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0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arb.sharepoint.com/sites/ISD/TFB/202X LCFS Rulemaking/Modeling/Air Quality Calcs/15Day Scenarios/"/>
    </mc:Choice>
  </mc:AlternateContent>
  <xr:revisionPtr revIDLastSave="0" documentId="8_{5EECB910-488F-40D3-8660-510EB387EBB8}" xr6:coauthVersionLast="47" xr6:coauthVersionMax="47" xr10:uidLastSave="{00000000-0000-0000-0000-000000000000}"/>
  <bookViews>
    <workbookView xWindow="-120" yWindow="-16320" windowWidth="29040" windowHeight="15840" tabRatio="817" firstSheet="17" activeTab="17" xr2:uid="{00000000-000D-0000-FFFF-FFFF00000000}"/>
  </bookViews>
  <sheets>
    <sheet name="BAU CATS Output" sheetId="143" r:id="rId1"/>
    <sheet name="Proposed CATS Output" sheetId="144" r:id="rId2"/>
    <sheet name="BAU Scenario" sheetId="116" r:id="rId3"/>
    <sheet name="Proposed Amendments Scenario" sheetId="85" r:id="rId4"/>
    <sheet name="Attribution Assumptions" sheetId="83" r:id="rId5"/>
    <sheet name="BAU Comparison - All Fuel" sheetId="34" r:id="rId6"/>
    <sheet name="BAU Comparison - Production" sheetId="36" r:id="rId7"/>
    <sheet name="BAU Comparison - AJF" sheetId="35" r:id="rId8"/>
    <sheet name="BAU Comparison - FS &amp; Fuel Tr" sheetId="110" r:id="rId9"/>
    <sheet name="BAU Comparison - BD RD NOx" sheetId="130" r:id="rId10"/>
    <sheet name="BAU Comparison - BD RD PM2.5" sheetId="132" r:id="rId11"/>
    <sheet name="Emission factors Trucks&amp;Trains" sheetId="93" r:id="rId12"/>
    <sheet name="Emission Factors - AJF" sheetId="22" r:id="rId13"/>
    <sheet name="Emission Factors - CJF" sheetId="117" r:id="rId14"/>
    <sheet name="Emission Factors - Production" sheetId="86" r:id="rId15"/>
    <sheet name="Emission Factors - Dairy Gas" sheetId="146" r:id="rId16"/>
    <sheet name="Unused EFs - Electricity " sheetId="26" r:id="rId17"/>
    <sheet name="Unused EFs - Solar Steam" sheetId="29" r:id="rId18"/>
    <sheet name="Petrol Refining NOx by AB" sheetId="134" r:id="rId19"/>
    <sheet name="Dairy NOx by AB" sheetId="139" r:id="rId20"/>
    <sheet name="Jet Fuel NOx by AB" sheetId="135" r:id="rId21"/>
    <sheet name="Electricity NOx by AB" sheetId="53" r:id="rId22"/>
    <sheet name="Petrol Refining PM2.5 by AB" sheetId="140" r:id="rId23"/>
    <sheet name="Jet Fuel PM2.5 by AB" sheetId="136" r:id="rId24"/>
    <sheet name="Electricity PM2.5 by AB" sheetId="52" r:id="rId25"/>
    <sheet name="Biodiesel Facility by AB" sheetId="56" r:id="rId26"/>
    <sheet name="Mobile NOx Tailpipe by AB" sheetId="131" r:id="rId27"/>
    <sheet name="Mobile PM Tailpipe by AB" sheetId="133" r:id="rId28"/>
    <sheet name="Air Basin Summary NOx BAU" sheetId="111" r:id="rId29"/>
    <sheet name="Air Basin Summary NOx BAU tpd" sheetId="141" r:id="rId30"/>
    <sheet name="Air Basin Summary PM2.5 BAU" sheetId="112" r:id="rId31"/>
    <sheet name="Air Basin Summary PM2.5 BAU tpd" sheetId="142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\p" localSheetId="28">'[1]Tables 14 15 16 data'!#REF!</definedName>
    <definedName name="\p" localSheetId="30">'[1]Tables 14 15 16 data'!#REF!</definedName>
    <definedName name="\p" localSheetId="7">'[1]Tables 14 15 16 data'!#REF!</definedName>
    <definedName name="\p" localSheetId="5">'[1]Tables 14 15 16 data'!#REF!</definedName>
    <definedName name="\p" localSheetId="8">'[1]Tables 14 15 16 data'!#REF!</definedName>
    <definedName name="\p" localSheetId="6">'[1]Tables 14 15 16 data'!#REF!</definedName>
    <definedName name="\p">'[1]Tables 14 15 16 data'!#REF!</definedName>
    <definedName name="\s" localSheetId="28">'[1]Tables 14 15 16 data'!#REF!</definedName>
    <definedName name="\s" localSheetId="30">'[1]Tables 14 15 16 data'!#REF!</definedName>
    <definedName name="\s" localSheetId="7">'[1]Tables 14 15 16 data'!#REF!</definedName>
    <definedName name="\s" localSheetId="5">'[1]Tables 14 15 16 data'!#REF!</definedName>
    <definedName name="\s" localSheetId="8">'[1]Tables 14 15 16 data'!#REF!</definedName>
    <definedName name="\s" localSheetId="6">'[1]Tables 14 15 16 data'!#REF!</definedName>
    <definedName name="\s">'[1]Tables 14 15 16 data'!#REF!</definedName>
    <definedName name="_P" localSheetId="28">'[1]Tables 14 15 16 data'!#REF!</definedName>
    <definedName name="_P" localSheetId="30">'[1]Tables 14 15 16 data'!#REF!</definedName>
    <definedName name="_P" localSheetId="7">'[1]Tables 14 15 16 data'!#REF!</definedName>
    <definedName name="_P" localSheetId="5">'[1]Tables 14 15 16 data'!#REF!</definedName>
    <definedName name="_P" localSheetId="8">'[1]Tables 14 15 16 data'!#REF!</definedName>
    <definedName name="_P" localSheetId="6">'[1]Tables 14 15 16 data'!#REF!</definedName>
    <definedName name="_P">'[1]Tables 14 15 16 data'!#REF!</definedName>
    <definedName name="_Regression_Out" localSheetId="28" hidden="1">#REF!</definedName>
    <definedName name="_Regression_Out" localSheetId="30" hidden="1">#REF!</definedName>
    <definedName name="_Regression_Out" localSheetId="7" hidden="1">#REF!</definedName>
    <definedName name="_Regression_Out" localSheetId="5" hidden="1">#REF!</definedName>
    <definedName name="_Regression_Out" localSheetId="8" hidden="1">#REF!</definedName>
    <definedName name="_Regression_Out" localSheetId="6" hidden="1">#REF!</definedName>
    <definedName name="_Regression_Out" hidden="1">#REF!</definedName>
    <definedName name="_Regression_X" localSheetId="28" hidden="1">#REF!</definedName>
    <definedName name="_Regression_X" localSheetId="30" hidden="1">#REF!</definedName>
    <definedName name="_Regression_X" localSheetId="7" hidden="1">#REF!</definedName>
    <definedName name="_Regression_X" localSheetId="5" hidden="1">#REF!</definedName>
    <definedName name="_Regression_X" localSheetId="8" hidden="1">#REF!</definedName>
    <definedName name="_Regression_X" localSheetId="6" hidden="1">#REF!</definedName>
    <definedName name="_Regression_X" hidden="1">#REF!</definedName>
    <definedName name="_Regression_Y" localSheetId="28" hidden="1">#REF!</definedName>
    <definedName name="_Regression_Y" localSheetId="30" hidden="1">#REF!</definedName>
    <definedName name="_Regression_Y" localSheetId="7" hidden="1">#REF!</definedName>
    <definedName name="_Regression_Y" localSheetId="5" hidden="1">#REF!</definedName>
    <definedName name="_Regression_Y" localSheetId="8" hidden="1">#REF!</definedName>
    <definedName name="_Regression_Y" localSheetId="6" hidden="1">#REF!</definedName>
    <definedName name="_Regression_Y" hidden="1">#REF!</definedName>
    <definedName name="_S" localSheetId="28">'[1]Tables 14 15 16 data'!#REF!</definedName>
    <definedName name="_S" localSheetId="30">'[1]Tables 14 15 16 data'!#REF!</definedName>
    <definedName name="_S" localSheetId="7">'[1]Tables 14 15 16 data'!#REF!</definedName>
    <definedName name="_S" localSheetId="5">'[1]Tables 14 15 16 data'!#REF!</definedName>
    <definedName name="_S" localSheetId="8">'[1]Tables 14 15 16 data'!#REF!</definedName>
    <definedName name="_S" localSheetId="6">'[1]Tables 14 15 16 data'!#REF!</definedName>
    <definedName name="_S">'[1]Tables 14 15 16 data'!#REF!</definedName>
    <definedName name="as" localSheetId="28">'[1]Tables 14 15 16 data'!#REF!</definedName>
    <definedName name="as" localSheetId="30">'[1]Tables 14 15 16 data'!#REF!</definedName>
    <definedName name="as" localSheetId="7">'[1]Tables 14 15 16 data'!#REF!</definedName>
    <definedName name="as" localSheetId="5">'[1]Tables 14 15 16 data'!#REF!</definedName>
    <definedName name="as" localSheetId="8">'[1]Tables 14 15 16 data'!#REF!</definedName>
    <definedName name="as" localSheetId="6">'[1]Tables 14 15 16 data'!#REF!</definedName>
    <definedName name="as">'[1]Tables 14 15 16 data'!#REF!</definedName>
    <definedName name="das" localSheetId="28" hidden="1">#REF!</definedName>
    <definedName name="das" localSheetId="30" hidden="1">#REF!</definedName>
    <definedName name="das" localSheetId="8" hidden="1">#REF!</definedName>
    <definedName name="das" hidden="1">#REF!</definedName>
    <definedName name="Delivered_Renewable1_index">[2]Delivered_Renewable1!$G$2:$G$760</definedName>
    <definedName name="Delivered_Renewable1_vals">[2]Delivered_Renewable1!$E$2:$E$760</definedName>
    <definedName name="Diesel" localSheetId="28">'[1]Tables 14 15 16 data'!#REF!</definedName>
    <definedName name="Diesel" localSheetId="30">'[1]Tables 14 15 16 data'!#REF!</definedName>
    <definedName name="Diesel" localSheetId="8">'[1]Tables 14 15 16 data'!#REF!</definedName>
    <definedName name="Diesel">'[1]Tables 14 15 16 data'!#REF!</definedName>
    <definedName name="Domestic_chart6" localSheetId="28">#REF!</definedName>
    <definedName name="Domestic_chart6" localSheetId="30">#REF!</definedName>
    <definedName name="Domestic_chart6" localSheetId="7">#REF!</definedName>
    <definedName name="Domestic_chart6" localSheetId="5">#REF!</definedName>
    <definedName name="Domestic_chart6" localSheetId="8">#REF!</definedName>
    <definedName name="Domestic_chart6" localSheetId="6">#REF!</definedName>
    <definedName name="Domestic_chart6">#REF!</definedName>
    <definedName name="Forecast_Model_Output" localSheetId="28">#REF!</definedName>
    <definedName name="Forecast_Model_Output" localSheetId="30">#REF!</definedName>
    <definedName name="Forecast_Model_Output" localSheetId="7">#REF!</definedName>
    <definedName name="Forecast_Model_Output" localSheetId="5">#REF!</definedName>
    <definedName name="Forecast_Model_Output" localSheetId="8">#REF!</definedName>
    <definedName name="Forecast_Model_Output" localSheetId="6">#REF!</definedName>
    <definedName name="Forecast_Model_Output">#REF!</definedName>
    <definedName name="Gen_by_category_index">[2]Gen_by_category!$G$2:$G$1048</definedName>
    <definedName name="Gen_by_category_vals">[2]Gen_by_category!$E$2:$E$1048</definedName>
    <definedName name="genActCase" localSheetId="8">#REF!</definedName>
    <definedName name="genActCase">#REF!</definedName>
    <definedName name="LATECON">[3]LATGDP!$B$5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odel_output" localSheetId="28">#REF!</definedName>
    <definedName name="model_output" localSheetId="30">#REF!</definedName>
    <definedName name="model_output" localSheetId="7">#REF!</definedName>
    <definedName name="model_output" localSheetId="5">#REF!</definedName>
    <definedName name="model_output" localSheetId="8">#REF!</definedName>
    <definedName name="model_output" localSheetId="6">#REF!</definedName>
    <definedName name="model_output">#REF!</definedName>
    <definedName name="NCC_NOx_Refinery">'Petrol Refining NOx by AB'!$A$2</definedName>
    <definedName name="Print_Area_MI">'[4]F41 data'!$CD$76:$CQ$117</definedName>
    <definedName name="Print_Titles_MI">'[4]F41 data'!$A$1:$A$65536</definedName>
    <definedName name="sadafg" localSheetId="28">#REF!</definedName>
    <definedName name="sadafg" localSheetId="30">#REF!</definedName>
    <definedName name="sadafg" localSheetId="8">#REF!</definedName>
    <definedName name="sadafg">#REF!</definedName>
    <definedName name="SC_NOx_Refinery">Table110[]</definedName>
    <definedName name="SCC_NOx_Refinery">Table8[]</definedName>
    <definedName name="SF_NOx_Refinery">Table4[]</definedName>
    <definedName name="SF_NOx_Refinery_Combustion">Table10[]</definedName>
    <definedName name="SJV_NOx_Refinery">Table7[]</definedName>
    <definedName name="solver_adj" localSheetId="5" hidden="1">'BAU Comparison - All Fuel'!#REF!</definedName>
    <definedName name="solver_cvg" localSheetId="5" hidden="1">0.0001</definedName>
    <definedName name="solver_drv" localSheetId="5" hidden="1">2</definedName>
    <definedName name="solver_eng" localSheetId="5" hidden="1">1</definedName>
    <definedName name="solver_est" localSheetId="5" hidden="1">1</definedName>
    <definedName name="solver_itr" localSheetId="5" hidden="1">2147483647</definedName>
    <definedName name="solver_mip" localSheetId="5" hidden="1">2147483647</definedName>
    <definedName name="solver_mni" localSheetId="5" hidden="1">30</definedName>
    <definedName name="solver_mrt" localSheetId="5" hidden="1">0.075</definedName>
    <definedName name="solver_msl" localSheetId="5" hidden="1">2</definedName>
    <definedName name="solver_neg" localSheetId="5" hidden="1">1</definedName>
    <definedName name="solver_nod" localSheetId="5" hidden="1">2147483647</definedName>
    <definedName name="solver_num" localSheetId="5" hidden="1">0</definedName>
    <definedName name="solver_nwt" localSheetId="5" hidden="1">1</definedName>
    <definedName name="solver_opt" localSheetId="5" hidden="1">'BAU Comparison - All Fuel'!#REF!</definedName>
    <definedName name="solver_pre" localSheetId="5" hidden="1">0.000001</definedName>
    <definedName name="solver_rbv" localSheetId="5" hidden="1">2</definedName>
    <definedName name="solver_rlx" localSheetId="5" hidden="1">2</definedName>
    <definedName name="solver_rsd" localSheetId="5" hidden="1">0</definedName>
    <definedName name="solver_scl" localSheetId="5" hidden="1">2</definedName>
    <definedName name="solver_sho" localSheetId="5" hidden="1">2</definedName>
    <definedName name="solver_ssz" localSheetId="5" hidden="1">100</definedName>
    <definedName name="solver_tim" localSheetId="5" hidden="1">2147483647</definedName>
    <definedName name="solver_tol" localSheetId="5" hidden="1">0.01</definedName>
    <definedName name="solver_typ" localSheetId="5" hidden="1">3</definedName>
    <definedName name="solver_val" localSheetId="5" hidden="1">500</definedName>
    <definedName name="solver_ver" localSheetId="5" hidden="1">3</definedName>
    <definedName name="ss" localSheetId="28">'[1]Tables 14 15 16 data'!#REF!</definedName>
    <definedName name="ss" localSheetId="30">'[1]Tables 14 15 16 data'!#REF!</definedName>
    <definedName name="ss" localSheetId="7">'[1]Tables 14 15 16 data'!#REF!</definedName>
    <definedName name="ss" localSheetId="5">'[1]Tables 14 15 16 data'!#REF!</definedName>
    <definedName name="ss" localSheetId="8">'[1]Tables 14 15 16 data'!#REF!</definedName>
    <definedName name="ss" localSheetId="6">'[1]Tables 14 15 16 data'!#REF!</definedName>
    <definedName name="ss">'[1]Tables 14 15 16 data'!#REF!</definedName>
    <definedName name="sss" localSheetId="15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sss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TableAB_Mojave_Petrol" comment="Mojave_Desert_Petrol_NOx">'Petrol Refining NOx by AB'!#REF!</definedName>
    <definedName name="TableAB_Mountain_Petrol">'Petrol Refining NOx by AB'!#REF!</definedName>
    <definedName name="wrn.DOM._.TRAF._.STATS." localSheetId="15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wrn.DOM._.TRAF._.STATS.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wrn.econtab." localSheetId="15" hidden="1">{#N/A,#N/A,FALSE,"TABLE1";#N/A,#N/A,FALSE,"TABLE2";#N/A,#N/A,FALSE,"TABLE3";#N/A,#N/A,FALSE,"TABLE4";#N/A,#N/A,FALSE,"TABLE5"}</definedName>
    <definedName name="wrn.econtab." hidden="1">{#N/A,#N/A,FALSE,"TABLE1";#N/A,#N/A,FALSE,"TABLE2";#N/A,#N/A,FALSE,"TABLE3";#N/A,#N/A,FALSE,"TABLE4";#N/A,#N/A,FALSE,"TABLE5"}</definedName>
    <definedName name="wrn.FORECAST." localSheetId="15" hidden="1">{"TOT",#N/A,FALSE,"ASFCST99";"TOTINT",#N/A,FALSE,"ASFCST99";"DOM",#N/A,FALSE,"ASFCST99";"NORTHATL",#N/A,FALSE,"ASFCST99";"PACIFIC",#N/A,FALSE,"ASFCST99";"LATAM",#N/A,FALSE,"ASFCST99"}</definedName>
    <definedName name="wrn.FORECAST." hidden="1">{"TOT",#N/A,FALSE,"ASFCST99";"TOTINT",#N/A,FALSE,"ASFCST99";"DOM",#N/A,FALSE,"ASFCST99";"NORTHATL",#N/A,FALSE,"ASFCST99";"PACIFIC",#N/A,FALSE,"ASFCST99";"LATAM",#N/A,FALSE,"ASFCST99"}</definedName>
  </definedNames>
  <calcPr calcId="191028" iterate="1" iterateDelta="1.0000000000000001E-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" i="117" l="1"/>
  <c r="AE21" i="35"/>
  <c r="E8" i="35"/>
  <c r="AE8" i="35" s="1"/>
  <c r="AE17" i="35"/>
  <c r="D6" i="22"/>
  <c r="C9" i="22"/>
  <c r="D2" i="22" a="1"/>
  <c r="D2" i="22" s="1"/>
  <c r="V15" i="117"/>
  <c r="B18" i="117"/>
  <c r="W15" i="117"/>
  <c r="L16" i="117"/>
  <c r="W14" i="117"/>
  <c r="V14" i="117"/>
  <c r="W13" i="117"/>
  <c r="V13" i="117"/>
  <c r="W12" i="117"/>
  <c r="V12" i="117"/>
  <c r="W11" i="117"/>
  <c r="V11" i="117"/>
  <c r="W10" i="117"/>
  <c r="V10" i="117"/>
  <c r="W9" i="117"/>
  <c r="W8" i="117"/>
  <c r="V8" i="117"/>
  <c r="W7" i="117"/>
  <c r="V7" i="117"/>
  <c r="W6" i="117"/>
  <c r="V6" i="117"/>
  <c r="W5" i="117"/>
  <c r="V5" i="117"/>
  <c r="W4" i="117"/>
  <c r="V4" i="117"/>
  <c r="F15" i="85" l="1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V15" i="85"/>
  <c r="W15" i="85"/>
  <c r="X15" i="85"/>
  <c r="Y15" i="85"/>
  <c r="Z15" i="85"/>
  <c r="AA15" i="85"/>
  <c r="AB15" i="85"/>
  <c r="AC15" i="85"/>
  <c r="E15" i="85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D101" i="36"/>
  <c r="E91" i="36"/>
  <c r="F91" i="36"/>
  <c r="G91" i="36"/>
  <c r="H91" i="36"/>
  <c r="I91" i="36"/>
  <c r="J91" i="36"/>
  <c r="K91" i="36"/>
  <c r="L91" i="36"/>
  <c r="M91" i="36"/>
  <c r="N91" i="36"/>
  <c r="O91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AB91" i="36"/>
  <c r="D91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D74" i="36"/>
  <c r="AB64" i="36"/>
  <c r="AA64" i="36"/>
  <c r="Z64" i="36"/>
  <c r="Y64" i="36"/>
  <c r="X64" i="36"/>
  <c r="W64" i="36"/>
  <c r="V64" i="36"/>
  <c r="U64" i="36"/>
  <c r="T64" i="36"/>
  <c r="S64" i="36"/>
  <c r="R64" i="36"/>
  <c r="Q64" i="36"/>
  <c r="P64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E8" i="146"/>
  <c r="E7" i="146"/>
  <c r="I22" i="86" l="1"/>
  <c r="I17" i="86"/>
  <c r="R9" i="146" l="1"/>
  <c r="C2" i="146" l="1"/>
  <c r="I31" i="86" l="1"/>
  <c r="F18" i="116" l="1"/>
  <c r="G18" i="116"/>
  <c r="H18" i="116"/>
  <c r="I18" i="116"/>
  <c r="J18" i="116"/>
  <c r="K18" i="116"/>
  <c r="L18" i="116"/>
  <c r="M18" i="116"/>
  <c r="N18" i="116"/>
  <c r="O18" i="116"/>
  <c r="P18" i="116"/>
  <c r="Q18" i="116"/>
  <c r="R18" i="116"/>
  <c r="S18" i="116"/>
  <c r="T18" i="116"/>
  <c r="U18" i="116"/>
  <c r="V18" i="116"/>
  <c r="W18" i="116"/>
  <c r="X18" i="116"/>
  <c r="Y18" i="116"/>
  <c r="Z18" i="116"/>
  <c r="AA18" i="116"/>
  <c r="AB18" i="116"/>
  <c r="AC18" i="116"/>
  <c r="E18" i="116"/>
  <c r="E34" i="116"/>
  <c r="F34" i="116"/>
  <c r="G34" i="116"/>
  <c r="H34" i="116"/>
  <c r="I34" i="116"/>
  <c r="J34" i="116"/>
  <c r="K34" i="116"/>
  <c r="L34" i="116"/>
  <c r="M34" i="116"/>
  <c r="N34" i="116"/>
  <c r="O34" i="116"/>
  <c r="P34" i="116"/>
  <c r="Q34" i="116"/>
  <c r="R34" i="116"/>
  <c r="S34" i="116"/>
  <c r="T34" i="116"/>
  <c r="U34" i="116"/>
  <c r="V34" i="116"/>
  <c r="W34" i="116"/>
  <c r="X34" i="116"/>
  <c r="Y34" i="116"/>
  <c r="Z34" i="116"/>
  <c r="AA34" i="116"/>
  <c r="AB34" i="116"/>
  <c r="AC34" i="116"/>
  <c r="S9" i="146" l="1"/>
  <c r="G16" i="86"/>
  <c r="N7" i="146" l="1"/>
  <c r="E62" i="83"/>
  <c r="E63" i="83" s="1"/>
  <c r="E64" i="83" s="1"/>
  <c r="B7" i="146" l="1"/>
  <c r="C7" i="146" s="1"/>
  <c r="C8" i="146"/>
  <c r="R21" i="146"/>
  <c r="S21" i="146"/>
  <c r="T21" i="146"/>
  <c r="R25" i="146"/>
  <c r="S25" i="146"/>
  <c r="T25" i="146"/>
  <c r="R29" i="146"/>
  <c r="U29" i="146" s="1"/>
  <c r="V29" i="146" s="1"/>
  <c r="S29" i="146"/>
  <c r="T29" i="146"/>
  <c r="S32" i="146"/>
  <c r="S35" i="146" s="1"/>
  <c r="T32" i="146"/>
  <c r="U32" i="146"/>
  <c r="R10" i="146" s="1"/>
  <c r="T35" i="146"/>
  <c r="AS81" i="110"/>
  <c r="AS82" i="110"/>
  <c r="AR81" i="110"/>
  <c r="AR82" i="110"/>
  <c r="F7" i="146" l="1"/>
  <c r="U25" i="146"/>
  <c r="V25" i="146" s="1"/>
  <c r="D7" i="146" s="1"/>
  <c r="U21" i="146"/>
  <c r="V21" i="146" s="1"/>
  <c r="L7" i="146" s="1"/>
  <c r="U35" i="146"/>
  <c r="V35" i="146" s="1"/>
  <c r="D8" i="146"/>
  <c r="T9" i="146"/>
  <c r="T10" i="146" s="1"/>
  <c r="F8" i="146"/>
  <c r="L8" i="146"/>
  <c r="O7" i="146" l="1"/>
  <c r="L9" i="146"/>
  <c r="L58" i="36"/>
  <c r="AD58" i="110" l="1"/>
  <c r="I16" i="86"/>
  <c r="F68" i="36"/>
  <c r="F69" i="36"/>
  <c r="K68" i="36" l="1"/>
  <c r="C97" i="142" l="1"/>
  <c r="AD59" i="110" l="1"/>
  <c r="AD55" i="110"/>
  <c r="AD64" i="110"/>
  <c r="V18" i="142" l="1"/>
  <c r="O18" i="142"/>
  <c r="F13" i="112"/>
  <c r="L12" i="112" l="1"/>
  <c r="G6" i="112"/>
  <c r="H6" i="112"/>
  <c r="I6" i="112"/>
  <c r="J6" i="112"/>
  <c r="K6" i="112"/>
  <c r="L6" i="112"/>
  <c r="M6" i="112"/>
  <c r="N6" i="112"/>
  <c r="O6" i="112"/>
  <c r="P6" i="112"/>
  <c r="Q6" i="112"/>
  <c r="R6" i="112"/>
  <c r="S6" i="112"/>
  <c r="T6" i="112"/>
  <c r="U6" i="112"/>
  <c r="V6" i="112"/>
  <c r="W6" i="112"/>
  <c r="X6" i="112"/>
  <c r="Y6" i="112"/>
  <c r="Z6" i="112"/>
  <c r="AA6" i="112"/>
  <c r="AB6" i="112"/>
  <c r="G9" i="112"/>
  <c r="H9" i="112"/>
  <c r="I9" i="112"/>
  <c r="J9" i="112"/>
  <c r="K9" i="112"/>
  <c r="L9" i="112"/>
  <c r="M9" i="112"/>
  <c r="N9" i="112"/>
  <c r="O9" i="112"/>
  <c r="P9" i="112"/>
  <c r="Q9" i="112"/>
  <c r="R9" i="112"/>
  <c r="S9" i="112"/>
  <c r="T9" i="112"/>
  <c r="U9" i="112"/>
  <c r="V9" i="112"/>
  <c r="W9" i="112"/>
  <c r="X9" i="112"/>
  <c r="Y9" i="112"/>
  <c r="Z9" i="112"/>
  <c r="AA9" i="112"/>
  <c r="AB9" i="112"/>
  <c r="K10" i="112"/>
  <c r="G11" i="112"/>
  <c r="H11" i="112"/>
  <c r="I11" i="112"/>
  <c r="J11" i="112"/>
  <c r="K11" i="112"/>
  <c r="L11" i="112"/>
  <c r="M11" i="112"/>
  <c r="N11" i="112"/>
  <c r="O11" i="112"/>
  <c r="P11" i="112"/>
  <c r="Q11" i="112"/>
  <c r="R11" i="112"/>
  <c r="S11" i="112"/>
  <c r="T11" i="112"/>
  <c r="U11" i="112"/>
  <c r="V11" i="112"/>
  <c r="W11" i="112"/>
  <c r="X11" i="112"/>
  <c r="Y11" i="112"/>
  <c r="Z11" i="112"/>
  <c r="AA11" i="112"/>
  <c r="AB11" i="112"/>
  <c r="G12" i="112"/>
  <c r="I12" i="112"/>
  <c r="G14" i="112"/>
  <c r="H14" i="112"/>
  <c r="I14" i="112"/>
  <c r="J14" i="112"/>
  <c r="K14" i="112"/>
  <c r="L14" i="112"/>
  <c r="M14" i="112"/>
  <c r="N14" i="112"/>
  <c r="O14" i="112"/>
  <c r="P14" i="112"/>
  <c r="Q14" i="112"/>
  <c r="R14" i="112"/>
  <c r="S14" i="112"/>
  <c r="T14" i="112"/>
  <c r="U14" i="112"/>
  <c r="V14" i="112"/>
  <c r="W14" i="112"/>
  <c r="X14" i="112"/>
  <c r="Y14" i="112"/>
  <c r="Z14" i="112"/>
  <c r="AA14" i="112"/>
  <c r="AB14" i="112"/>
  <c r="G15" i="112"/>
  <c r="H15" i="112"/>
  <c r="I15" i="112"/>
  <c r="J15" i="112"/>
  <c r="K15" i="112"/>
  <c r="L15" i="112"/>
  <c r="M15" i="112"/>
  <c r="N15" i="112"/>
  <c r="O15" i="112"/>
  <c r="P15" i="112"/>
  <c r="Q15" i="112"/>
  <c r="R15" i="112"/>
  <c r="S15" i="112"/>
  <c r="T15" i="112"/>
  <c r="U15" i="112"/>
  <c r="V15" i="112"/>
  <c r="W15" i="112"/>
  <c r="X15" i="112"/>
  <c r="Y15" i="112"/>
  <c r="Z15" i="112"/>
  <c r="AA15" i="112"/>
  <c r="AB15" i="112"/>
  <c r="G16" i="112"/>
  <c r="H16" i="112"/>
  <c r="I16" i="112"/>
  <c r="J16" i="112"/>
  <c r="K16" i="112"/>
  <c r="L16" i="112"/>
  <c r="M16" i="112"/>
  <c r="N16" i="112"/>
  <c r="O16" i="112"/>
  <c r="P16" i="112"/>
  <c r="Q16" i="112"/>
  <c r="R16" i="112"/>
  <c r="S16" i="112"/>
  <c r="T16" i="112"/>
  <c r="U16" i="112"/>
  <c r="V16" i="112"/>
  <c r="W16" i="112"/>
  <c r="X16" i="112"/>
  <c r="Y16" i="112"/>
  <c r="Z16" i="112"/>
  <c r="AA16" i="112"/>
  <c r="AB16" i="112"/>
  <c r="G17" i="112"/>
  <c r="H17" i="112"/>
  <c r="I17" i="112"/>
  <c r="J17" i="112"/>
  <c r="K17" i="112"/>
  <c r="L17" i="112"/>
  <c r="M17" i="112"/>
  <c r="N17" i="112"/>
  <c r="O17" i="112"/>
  <c r="P17" i="112"/>
  <c r="Q17" i="112"/>
  <c r="R17" i="112"/>
  <c r="S17" i="112"/>
  <c r="T17" i="112"/>
  <c r="U17" i="112"/>
  <c r="V17" i="112"/>
  <c r="W17" i="112"/>
  <c r="X17" i="112"/>
  <c r="Y17" i="112"/>
  <c r="Z17" i="112"/>
  <c r="AA17" i="112"/>
  <c r="AB17" i="112"/>
  <c r="F4" i="112"/>
  <c r="F5" i="112"/>
  <c r="F6" i="112"/>
  <c r="F7" i="112"/>
  <c r="F8" i="112"/>
  <c r="F9" i="112"/>
  <c r="F10" i="112"/>
  <c r="F11" i="112"/>
  <c r="F12" i="112"/>
  <c r="F14" i="112"/>
  <c r="F15" i="112"/>
  <c r="F16" i="112"/>
  <c r="F17" i="112"/>
  <c r="F3" i="112"/>
  <c r="H14" i="111"/>
  <c r="G13" i="111"/>
  <c r="G11" i="111"/>
  <c r="I7" i="111"/>
  <c r="G7" i="111"/>
  <c r="I5" i="111"/>
  <c r="G5" i="111"/>
  <c r="G3" i="111"/>
  <c r="F18" i="142"/>
  <c r="F3" i="111"/>
  <c r="H3" i="111"/>
  <c r="F4" i="111"/>
  <c r="F5" i="111"/>
  <c r="J5" i="111"/>
  <c r="F6" i="111"/>
  <c r="F7" i="111"/>
  <c r="H7" i="111"/>
  <c r="F8" i="111"/>
  <c r="F9" i="111"/>
  <c r="F10" i="111"/>
  <c r="F11" i="111"/>
  <c r="H11" i="111"/>
  <c r="F12" i="111"/>
  <c r="F14" i="111"/>
  <c r="F15" i="111"/>
  <c r="F16" i="111"/>
  <c r="F17" i="111"/>
  <c r="G18" i="141"/>
  <c r="H18" i="141"/>
  <c r="I18" i="141"/>
  <c r="F18" i="141"/>
  <c r="I18" i="111" l="1"/>
  <c r="H12" i="112"/>
  <c r="L10" i="112"/>
  <c r="J10" i="112"/>
  <c r="I10" i="112"/>
  <c r="H10" i="112"/>
  <c r="K12" i="112"/>
  <c r="G10" i="112"/>
  <c r="J12" i="112"/>
  <c r="F18" i="112"/>
  <c r="G18" i="111"/>
  <c r="K5" i="111"/>
  <c r="G12" i="111"/>
  <c r="H18" i="111"/>
  <c r="H5" i="111"/>
  <c r="F13" i="111"/>
  <c r="F18" i="111"/>
  <c r="G8" i="111"/>
  <c r="G9" i="111"/>
  <c r="G15" i="111"/>
  <c r="G17" i="111"/>
  <c r="I3" i="111"/>
  <c r="G6" i="111"/>
  <c r="G16" i="111"/>
  <c r="G4" i="111"/>
  <c r="G10" i="111"/>
  <c r="I11" i="111"/>
  <c r="G14" i="111"/>
  <c r="G4" i="112" l="1"/>
  <c r="G7" i="112"/>
  <c r="M12" i="112"/>
  <c r="G5" i="112"/>
  <c r="M10" i="112"/>
  <c r="J18" i="141"/>
  <c r="J3" i="111"/>
  <c r="H9" i="111"/>
  <c r="H4" i="111"/>
  <c r="H12" i="111"/>
  <c r="H10" i="111"/>
  <c r="H6" i="111"/>
  <c r="J11" i="111"/>
  <c r="L5" i="111"/>
  <c r="H17" i="111"/>
  <c r="H8" i="111"/>
  <c r="I14" i="111"/>
  <c r="H16" i="111"/>
  <c r="J7" i="111"/>
  <c r="H13" i="111"/>
  <c r="H15" i="111"/>
  <c r="N12" i="112" l="1"/>
  <c r="H7" i="112"/>
  <c r="H5" i="112"/>
  <c r="N10" i="112"/>
  <c r="H4" i="112"/>
  <c r="I6" i="111"/>
  <c r="I4" i="111"/>
  <c r="M5" i="111"/>
  <c r="J18" i="111"/>
  <c r="I13" i="111"/>
  <c r="K3" i="111"/>
  <c r="K18" i="141"/>
  <c r="K7" i="111"/>
  <c r="I10" i="111"/>
  <c r="I16" i="111"/>
  <c r="I17" i="111"/>
  <c r="J14" i="111"/>
  <c r="I8" i="111"/>
  <c r="I12" i="111"/>
  <c r="I9" i="111"/>
  <c r="I15" i="111"/>
  <c r="K11" i="111"/>
  <c r="I5" i="112" l="1"/>
  <c r="I7" i="112"/>
  <c r="O10" i="112"/>
  <c r="I4" i="112"/>
  <c r="O12" i="112"/>
  <c r="J8" i="111"/>
  <c r="J9" i="111"/>
  <c r="J16" i="111"/>
  <c r="L11" i="111"/>
  <c r="N5" i="111"/>
  <c r="K14" i="111"/>
  <c r="J10" i="111"/>
  <c r="J12" i="111"/>
  <c r="J13" i="111"/>
  <c r="K18" i="111"/>
  <c r="J17" i="111"/>
  <c r="L7" i="111"/>
  <c r="J6" i="111"/>
  <c r="L3" i="111"/>
  <c r="L18" i="141"/>
  <c r="J15" i="111"/>
  <c r="J4" i="111"/>
  <c r="J4" i="112" l="1"/>
  <c r="J5" i="112"/>
  <c r="P10" i="112"/>
  <c r="P12" i="112"/>
  <c r="J7" i="112"/>
  <c r="M3" i="111"/>
  <c r="M18" i="141"/>
  <c r="K4" i="111"/>
  <c r="K6" i="111"/>
  <c r="K17" i="111"/>
  <c r="K16" i="111"/>
  <c r="K12" i="111"/>
  <c r="K10" i="111"/>
  <c r="M11" i="111"/>
  <c r="O5" i="111"/>
  <c r="K15" i="111"/>
  <c r="K9" i="111"/>
  <c r="L18" i="111"/>
  <c r="M7" i="111"/>
  <c r="K13" i="111"/>
  <c r="L14" i="111"/>
  <c r="K8" i="111"/>
  <c r="Q12" i="112" l="1"/>
  <c r="K4" i="112"/>
  <c r="Q10" i="112"/>
  <c r="K7" i="112"/>
  <c r="K5" i="112"/>
  <c r="P5" i="111"/>
  <c r="L17" i="111"/>
  <c r="L13" i="111"/>
  <c r="N3" i="111"/>
  <c r="N18" i="141"/>
  <c r="L9" i="111"/>
  <c r="L12" i="111"/>
  <c r="L16" i="111"/>
  <c r="M18" i="111"/>
  <c r="L6" i="111"/>
  <c r="L8" i="111"/>
  <c r="N7" i="111"/>
  <c r="L15" i="111"/>
  <c r="M14" i="111"/>
  <c r="L10" i="111"/>
  <c r="N11" i="111"/>
  <c r="L4" i="111"/>
  <c r="L7" i="112" l="1"/>
  <c r="R12" i="112"/>
  <c r="L5" i="112"/>
  <c r="R10" i="112"/>
  <c r="L4" i="112"/>
  <c r="M15" i="111"/>
  <c r="O3" i="111"/>
  <c r="O18" i="141"/>
  <c r="M9" i="111"/>
  <c r="M13" i="111"/>
  <c r="O11" i="111"/>
  <c r="M10" i="111"/>
  <c r="M6" i="111"/>
  <c r="M4" i="111"/>
  <c r="N14" i="111"/>
  <c r="M8" i="111"/>
  <c r="Q5" i="111"/>
  <c r="O7" i="111"/>
  <c r="N18" i="111"/>
  <c r="M17" i="111"/>
  <c r="M12" i="111"/>
  <c r="M16" i="111"/>
  <c r="M4" i="112" l="1"/>
  <c r="S10" i="112"/>
  <c r="M5" i="112"/>
  <c r="S12" i="112"/>
  <c r="M7" i="112"/>
  <c r="N17" i="111"/>
  <c r="O14" i="111"/>
  <c r="R5" i="111"/>
  <c r="N9" i="111"/>
  <c r="N16" i="111"/>
  <c r="N4" i="111"/>
  <c r="P11" i="111"/>
  <c r="O18" i="111"/>
  <c r="N10" i="111"/>
  <c r="N15" i="111"/>
  <c r="N8" i="111"/>
  <c r="N13" i="111"/>
  <c r="P18" i="141"/>
  <c r="P3" i="111"/>
  <c r="N12" i="111"/>
  <c r="P7" i="111"/>
  <c r="N6" i="111"/>
  <c r="N7" i="112" l="1"/>
  <c r="T12" i="112"/>
  <c r="N5" i="112"/>
  <c r="T10" i="112"/>
  <c r="N4" i="112"/>
  <c r="O12" i="111"/>
  <c r="O4" i="111"/>
  <c r="O6" i="111"/>
  <c r="O8" i="111"/>
  <c r="S5" i="111"/>
  <c r="P18" i="111"/>
  <c r="O9" i="111"/>
  <c r="Q3" i="111"/>
  <c r="Q18" i="141"/>
  <c r="O16" i="111"/>
  <c r="O15" i="111"/>
  <c r="P14" i="111"/>
  <c r="O13" i="111"/>
  <c r="Q7" i="111"/>
  <c r="Q11" i="111"/>
  <c r="O10" i="111"/>
  <c r="O17" i="111"/>
  <c r="O4" i="112" l="1"/>
  <c r="U10" i="112"/>
  <c r="O5" i="112"/>
  <c r="U12" i="112"/>
  <c r="O7" i="112"/>
  <c r="P17" i="111"/>
  <c r="R18" i="141"/>
  <c r="R3" i="111"/>
  <c r="P6" i="111"/>
  <c r="T5" i="111"/>
  <c r="P13" i="111"/>
  <c r="P4" i="111"/>
  <c r="P12" i="111"/>
  <c r="P15" i="111"/>
  <c r="P10" i="111"/>
  <c r="P9" i="111"/>
  <c r="Q18" i="111"/>
  <c r="R7" i="111"/>
  <c r="R11" i="111"/>
  <c r="Q14" i="111"/>
  <c r="P16" i="111"/>
  <c r="P8" i="111"/>
  <c r="P4" i="112" l="1"/>
  <c r="V12" i="112"/>
  <c r="P7" i="112"/>
  <c r="P5" i="112"/>
  <c r="V10" i="112"/>
  <c r="Q8" i="111"/>
  <c r="Q15" i="111"/>
  <c r="S11" i="111"/>
  <c r="Q13" i="111"/>
  <c r="R18" i="111"/>
  <c r="Q17" i="111"/>
  <c r="Q16" i="111"/>
  <c r="Q12" i="111"/>
  <c r="S3" i="111"/>
  <c r="S18" i="141"/>
  <c r="Q4" i="111"/>
  <c r="S7" i="111"/>
  <c r="U5" i="111"/>
  <c r="Q6" i="111"/>
  <c r="Q9" i="111"/>
  <c r="R14" i="111"/>
  <c r="Q10" i="111"/>
  <c r="Q5" i="112" l="1"/>
  <c r="W10" i="112"/>
  <c r="Q4" i="112"/>
  <c r="Q7" i="112"/>
  <c r="W12" i="112"/>
  <c r="S18" i="111"/>
  <c r="R16" i="111"/>
  <c r="T7" i="111"/>
  <c r="R10" i="111"/>
  <c r="R6" i="111"/>
  <c r="R12" i="111"/>
  <c r="R9" i="111"/>
  <c r="R4" i="111"/>
  <c r="R15" i="111"/>
  <c r="R13" i="111"/>
  <c r="V5" i="111"/>
  <c r="S14" i="111"/>
  <c r="T3" i="111"/>
  <c r="T18" i="141"/>
  <c r="R17" i="111"/>
  <c r="T11" i="111"/>
  <c r="R8" i="111"/>
  <c r="R7" i="112" l="1"/>
  <c r="X12" i="112"/>
  <c r="R4" i="112"/>
  <c r="X10" i="112"/>
  <c r="R5" i="112"/>
  <c r="T14" i="111"/>
  <c r="S9" i="111"/>
  <c r="S15" i="111"/>
  <c r="S12" i="111"/>
  <c r="U7" i="111"/>
  <c r="W5" i="111"/>
  <c r="S8" i="111"/>
  <c r="T18" i="111"/>
  <c r="S6" i="111"/>
  <c r="S16" i="111"/>
  <c r="S17" i="111"/>
  <c r="S4" i="111"/>
  <c r="U3" i="111"/>
  <c r="U18" i="141"/>
  <c r="U11" i="111"/>
  <c r="S13" i="111"/>
  <c r="S10" i="111"/>
  <c r="Y10" i="112" l="1"/>
  <c r="S4" i="112"/>
  <c r="S5" i="112"/>
  <c r="Y12" i="112"/>
  <c r="S7" i="112"/>
  <c r="T15" i="111"/>
  <c r="T10" i="111"/>
  <c r="V18" i="141"/>
  <c r="V3" i="111"/>
  <c r="T17" i="111"/>
  <c r="U18" i="111"/>
  <c r="T4" i="111"/>
  <c r="T12" i="111"/>
  <c r="T13" i="111"/>
  <c r="T16" i="111"/>
  <c r="V7" i="111"/>
  <c r="T9" i="111"/>
  <c r="T8" i="111"/>
  <c r="V11" i="111"/>
  <c r="T6" i="111"/>
  <c r="X5" i="111"/>
  <c r="U14" i="111"/>
  <c r="Z12" i="112" l="1"/>
  <c r="Z10" i="112"/>
  <c r="T5" i="112"/>
  <c r="T7" i="112"/>
  <c r="T4" i="112"/>
  <c r="Y5" i="111"/>
  <c r="V18" i="111"/>
  <c r="V14" i="111"/>
  <c r="U13" i="111"/>
  <c r="W3" i="111"/>
  <c r="W18" i="141"/>
  <c r="U4" i="111"/>
  <c r="U9" i="111"/>
  <c r="W11" i="111"/>
  <c r="U12" i="111"/>
  <c r="U17" i="111"/>
  <c r="U16" i="111"/>
  <c r="U6" i="111"/>
  <c r="U15" i="111"/>
  <c r="U8" i="111"/>
  <c r="W7" i="111"/>
  <c r="U10" i="111"/>
  <c r="U7" i="112" l="1"/>
  <c r="U5" i="112"/>
  <c r="AB10" i="112"/>
  <c r="AA10" i="112"/>
  <c r="U4" i="112"/>
  <c r="AB12" i="112"/>
  <c r="AA12" i="112"/>
  <c r="V10" i="111"/>
  <c r="V16" i="111"/>
  <c r="W14" i="111"/>
  <c r="V8" i="111"/>
  <c r="V4" i="111"/>
  <c r="X11" i="111"/>
  <c r="V15" i="111"/>
  <c r="V17" i="111"/>
  <c r="V9" i="111"/>
  <c r="X3" i="111"/>
  <c r="X18" i="141"/>
  <c r="W18" i="111"/>
  <c r="X7" i="111"/>
  <c r="V13" i="111"/>
  <c r="V6" i="111"/>
  <c r="Z5" i="111"/>
  <c r="V12" i="111"/>
  <c r="V4" i="112" l="1"/>
  <c r="V5" i="112"/>
  <c r="V7" i="112"/>
  <c r="W12" i="111"/>
  <c r="X14" i="111"/>
  <c r="W10" i="111"/>
  <c r="W13" i="111"/>
  <c r="X18" i="111"/>
  <c r="W17" i="111"/>
  <c r="W4" i="111"/>
  <c r="AA5" i="111"/>
  <c r="Y3" i="111"/>
  <c r="Y18" i="141"/>
  <c r="W16" i="111"/>
  <c r="Y7" i="111"/>
  <c r="W15" i="111"/>
  <c r="W8" i="111"/>
  <c r="W6" i="111"/>
  <c r="W9" i="111"/>
  <c r="Y11" i="111"/>
  <c r="W7" i="112" l="1"/>
  <c r="W5" i="112"/>
  <c r="W4" i="112"/>
  <c r="X17" i="111"/>
  <c r="AB5" i="111"/>
  <c r="X10" i="111"/>
  <c r="X8" i="111"/>
  <c r="X16" i="111"/>
  <c r="Y14" i="111"/>
  <c r="X15" i="111"/>
  <c r="X4" i="111"/>
  <c r="X13" i="111"/>
  <c r="Z11" i="111"/>
  <c r="X9" i="111"/>
  <c r="Y18" i="111"/>
  <c r="Z7" i="111"/>
  <c r="Z3" i="111"/>
  <c r="Z18" i="141"/>
  <c r="X6" i="111"/>
  <c r="X12" i="111"/>
  <c r="X4" i="112" l="1"/>
  <c r="X5" i="112"/>
  <c r="X7" i="112"/>
  <c r="Z14" i="111"/>
  <c r="AA3" i="111"/>
  <c r="AA18" i="141"/>
  <c r="Y9" i="111"/>
  <c r="Y10" i="111"/>
  <c r="Y13" i="111"/>
  <c r="Y12" i="111"/>
  <c r="Y4" i="111"/>
  <c r="AA7" i="111"/>
  <c r="Y16" i="111"/>
  <c r="Y6" i="111"/>
  <c r="AA11" i="111"/>
  <c r="Z18" i="111"/>
  <c r="Y15" i="111"/>
  <c r="Y8" i="111"/>
  <c r="Y17" i="111"/>
  <c r="Y7" i="112" l="1"/>
  <c r="Y5" i="112"/>
  <c r="Y4" i="112"/>
  <c r="Z15" i="111"/>
  <c r="Z13" i="111"/>
  <c r="AA18" i="111"/>
  <c r="Z6" i="111"/>
  <c r="AB3" i="111"/>
  <c r="AB18" i="141"/>
  <c r="Z4" i="111"/>
  <c r="Z17" i="111"/>
  <c r="Z10" i="111"/>
  <c r="Z16" i="111"/>
  <c r="Z12" i="111"/>
  <c r="Z8" i="111"/>
  <c r="AB11" i="111"/>
  <c r="AB7" i="111"/>
  <c r="Z9" i="111"/>
  <c r="AA14" i="111"/>
  <c r="E160" i="141" l="1" a="1"/>
  <c r="Z4" i="112"/>
  <c r="Z5" i="112"/>
  <c r="Z7" i="112"/>
  <c r="AB18" i="111"/>
  <c r="AA10" i="111"/>
  <c r="AA8" i="111"/>
  <c r="AA9" i="111"/>
  <c r="AA4" i="111"/>
  <c r="AA12" i="111"/>
  <c r="AA13" i="111"/>
  <c r="AA17" i="111"/>
  <c r="AB14" i="111"/>
  <c r="AA6" i="111"/>
  <c r="AA16" i="111"/>
  <c r="AA15" i="111"/>
  <c r="E160" i="141" l="1"/>
  <c r="E183" i="141" s="1"/>
  <c r="AB7" i="112"/>
  <c r="AA7" i="112"/>
  <c r="AB5" i="112"/>
  <c r="AA5" i="112"/>
  <c r="AB4" i="112"/>
  <c r="AA4" i="112"/>
  <c r="AB8" i="111"/>
  <c r="AB16" i="111"/>
  <c r="AB12" i="111"/>
  <c r="AB17" i="111"/>
  <c r="AB4" i="111"/>
  <c r="AB6" i="111"/>
  <c r="AB13" i="111"/>
  <c r="AB10" i="111"/>
  <c r="AB9" i="111"/>
  <c r="AB15" i="111"/>
  <c r="B41" i="142" l="1"/>
  <c r="L16" i="86" l="1"/>
  <c r="L17" i="86" s="1"/>
  <c r="S10" i="146" s="1"/>
  <c r="E27" i="110" l="1"/>
  <c r="F27" i="110"/>
  <c r="G27" i="110"/>
  <c r="H27" i="110"/>
  <c r="I27" i="110"/>
  <c r="J27" i="110"/>
  <c r="K27" i="110"/>
  <c r="L27" i="110"/>
  <c r="M27" i="110"/>
  <c r="N27" i="110"/>
  <c r="O27" i="110"/>
  <c r="P27" i="110"/>
  <c r="Q27" i="110"/>
  <c r="R27" i="110"/>
  <c r="S27" i="110"/>
  <c r="T27" i="110"/>
  <c r="U27" i="110"/>
  <c r="V27" i="110"/>
  <c r="W27" i="110"/>
  <c r="X27" i="110"/>
  <c r="Y27" i="110"/>
  <c r="Z27" i="110"/>
  <c r="AA27" i="110"/>
  <c r="AB27" i="110"/>
  <c r="D27" i="110"/>
  <c r="E24" i="132"/>
  <c r="D24" i="132"/>
  <c r="C24" i="132"/>
  <c r="D37" i="112" s="1"/>
  <c r="C23" i="132"/>
  <c r="C22" i="132"/>
  <c r="D35" i="112" s="1"/>
  <c r="C21" i="132"/>
  <c r="D34" i="112" s="1"/>
  <c r="C20" i="132"/>
  <c r="D33" i="112" s="1"/>
  <c r="C19" i="132"/>
  <c r="C18" i="132"/>
  <c r="D31" i="112" s="1"/>
  <c r="C17" i="132"/>
  <c r="D30" i="112" s="1"/>
  <c r="C16" i="132"/>
  <c r="D29" i="112" s="1"/>
  <c r="C15" i="132"/>
  <c r="C14" i="132"/>
  <c r="D27" i="112" s="1"/>
  <c r="C13" i="132"/>
  <c r="D26" i="112" s="1"/>
  <c r="C12" i="132"/>
  <c r="D25" i="112" s="1"/>
  <c r="C11" i="132"/>
  <c r="C10" i="132"/>
  <c r="D23" i="112" s="1"/>
  <c r="C9" i="132"/>
  <c r="D22" i="112" s="1"/>
  <c r="C22" i="130"/>
  <c r="C21" i="130"/>
  <c r="C20" i="130"/>
  <c r="C19" i="130"/>
  <c r="D33" i="111" s="1"/>
  <c r="C18" i="130"/>
  <c r="D32" i="111" s="1"/>
  <c r="C17" i="130"/>
  <c r="C16" i="130"/>
  <c r="C15" i="130"/>
  <c r="C14" i="130"/>
  <c r="C13" i="130"/>
  <c r="C12" i="130"/>
  <c r="C11" i="130"/>
  <c r="D25" i="111" s="1"/>
  <c r="C10" i="130"/>
  <c r="D24" i="111" s="1"/>
  <c r="C9" i="130"/>
  <c r="D23" i="111" s="1"/>
  <c r="C8" i="130"/>
  <c r="D8" i="130"/>
  <c r="E8" i="130"/>
  <c r="F8" i="130"/>
  <c r="G22" i="111" s="1"/>
  <c r="G8" i="130"/>
  <c r="H22" i="111" s="1"/>
  <c r="H8" i="130"/>
  <c r="I8" i="130"/>
  <c r="J8" i="130"/>
  <c r="K8" i="130"/>
  <c r="L8" i="130"/>
  <c r="M22" i="111" s="1"/>
  <c r="M8" i="130"/>
  <c r="N8" i="130"/>
  <c r="O8" i="130"/>
  <c r="P22" i="111" s="1"/>
  <c r="P8" i="130"/>
  <c r="Q8" i="130"/>
  <c r="R8" i="130"/>
  <c r="S8" i="130"/>
  <c r="T8" i="130"/>
  <c r="U22" i="111" s="1"/>
  <c r="U8" i="130"/>
  <c r="V22" i="111" s="1"/>
  <c r="V8" i="130"/>
  <c r="W22" i="111" s="1"/>
  <c r="W8" i="130"/>
  <c r="X22" i="111" s="1"/>
  <c r="X8" i="130"/>
  <c r="Y8" i="130"/>
  <c r="Z8" i="130"/>
  <c r="AA8" i="130"/>
  <c r="D9" i="130"/>
  <c r="E9" i="130"/>
  <c r="F9" i="130"/>
  <c r="G23" i="111" s="1"/>
  <c r="G9" i="130"/>
  <c r="H23" i="111" s="1"/>
  <c r="H9" i="130"/>
  <c r="I23" i="111" s="1"/>
  <c r="I9" i="130"/>
  <c r="J23" i="111" s="1"/>
  <c r="J9" i="130"/>
  <c r="K9" i="130"/>
  <c r="L9" i="130"/>
  <c r="M23" i="111" s="1"/>
  <c r="M9" i="130"/>
  <c r="N9" i="130"/>
  <c r="O23" i="111" s="1"/>
  <c r="O9" i="130"/>
  <c r="P23" i="111" s="1"/>
  <c r="P9" i="130"/>
  <c r="Q23" i="111" s="1"/>
  <c r="Q9" i="130"/>
  <c r="R23" i="111" s="1"/>
  <c r="R9" i="130"/>
  <c r="S23" i="111" s="1"/>
  <c r="S9" i="130"/>
  <c r="T23" i="111" s="1"/>
  <c r="T9" i="130"/>
  <c r="U23" i="111" s="1"/>
  <c r="U9" i="130"/>
  <c r="V23" i="111" s="1"/>
  <c r="V9" i="130"/>
  <c r="W23" i="111" s="1"/>
  <c r="W9" i="130"/>
  <c r="X23" i="111" s="1"/>
  <c r="X9" i="130"/>
  <c r="Y23" i="111" s="1"/>
  <c r="Y9" i="130"/>
  <c r="Z23" i="111" s="1"/>
  <c r="Z9" i="130"/>
  <c r="AA9" i="130"/>
  <c r="D10" i="130"/>
  <c r="E10" i="130"/>
  <c r="F24" i="111" s="1"/>
  <c r="F10" i="130"/>
  <c r="G24" i="111" s="1"/>
  <c r="G10" i="130"/>
  <c r="H24" i="111" s="1"/>
  <c r="H10" i="130"/>
  <c r="I24" i="111" s="1"/>
  <c r="I10" i="130"/>
  <c r="J24" i="111" s="1"/>
  <c r="J10" i="130"/>
  <c r="K10" i="130"/>
  <c r="L24" i="111" s="1"/>
  <c r="L10" i="130"/>
  <c r="M24" i="111" s="1"/>
  <c r="M10" i="130"/>
  <c r="N10" i="130"/>
  <c r="O24" i="111" s="1"/>
  <c r="O10" i="130"/>
  <c r="P24" i="111" s="1"/>
  <c r="P10" i="130"/>
  <c r="Q24" i="111" s="1"/>
  <c r="Q10" i="130"/>
  <c r="R24" i="111" s="1"/>
  <c r="R10" i="130"/>
  <c r="S10" i="130"/>
  <c r="T24" i="111" s="1"/>
  <c r="T10" i="130"/>
  <c r="U24" i="111" s="1"/>
  <c r="U10" i="130"/>
  <c r="V24" i="111" s="1"/>
  <c r="V10" i="130"/>
  <c r="W24" i="111" s="1"/>
  <c r="W10" i="130"/>
  <c r="X24" i="111" s="1"/>
  <c r="X10" i="130"/>
  <c r="Y24" i="111" s="1"/>
  <c r="Y10" i="130"/>
  <c r="Z24" i="111" s="1"/>
  <c r="Z10" i="130"/>
  <c r="AA10" i="130"/>
  <c r="AB24" i="111" s="1"/>
  <c r="D11" i="130"/>
  <c r="E25" i="111" s="1"/>
  <c r="E11" i="130"/>
  <c r="F11" i="130"/>
  <c r="G25" i="111" s="1"/>
  <c r="G11" i="130"/>
  <c r="H25" i="111" s="1"/>
  <c r="H11" i="130"/>
  <c r="I25" i="111" s="1"/>
  <c r="I11" i="130"/>
  <c r="J25" i="111" s="1"/>
  <c r="J11" i="130"/>
  <c r="K11" i="130"/>
  <c r="L25" i="111" s="1"/>
  <c r="L11" i="130"/>
  <c r="M25" i="111" s="1"/>
  <c r="M11" i="130"/>
  <c r="N25" i="111" s="1"/>
  <c r="N11" i="130"/>
  <c r="O25" i="111" s="1"/>
  <c r="O11" i="130"/>
  <c r="P25" i="111" s="1"/>
  <c r="P11" i="130"/>
  <c r="Q25" i="111" s="1"/>
  <c r="Q11" i="130"/>
  <c r="R25" i="111" s="1"/>
  <c r="R11" i="130"/>
  <c r="S11" i="130"/>
  <c r="T11" i="130"/>
  <c r="U25" i="111" s="1"/>
  <c r="U11" i="130"/>
  <c r="V25" i="111" s="1"/>
  <c r="V11" i="130"/>
  <c r="W25" i="111" s="1"/>
  <c r="W11" i="130"/>
  <c r="X25" i="111" s="1"/>
  <c r="X11" i="130"/>
  <c r="Y25" i="111" s="1"/>
  <c r="Y11" i="130"/>
  <c r="Z25" i="111" s="1"/>
  <c r="Z11" i="130"/>
  <c r="AA11" i="130"/>
  <c r="AB25" i="111" s="1"/>
  <c r="D12" i="130"/>
  <c r="E26" i="111" s="1"/>
  <c r="E12" i="130"/>
  <c r="F26" i="111" s="1"/>
  <c r="F12" i="130"/>
  <c r="G26" i="111" s="1"/>
  <c r="G12" i="130"/>
  <c r="H26" i="111" s="1"/>
  <c r="H12" i="130"/>
  <c r="I26" i="111" s="1"/>
  <c r="I12" i="130"/>
  <c r="J26" i="111" s="1"/>
  <c r="J12" i="130"/>
  <c r="K12" i="130"/>
  <c r="L12" i="130"/>
  <c r="M26" i="111" s="1"/>
  <c r="M12" i="130"/>
  <c r="N12" i="130"/>
  <c r="O26" i="111" s="1"/>
  <c r="O12" i="130"/>
  <c r="P26" i="111" s="1"/>
  <c r="P12" i="130"/>
  <c r="Q26" i="111" s="1"/>
  <c r="Q12" i="130"/>
  <c r="R26" i="111" s="1"/>
  <c r="R12" i="130"/>
  <c r="S12" i="130"/>
  <c r="T26" i="111" s="1"/>
  <c r="T12" i="130"/>
  <c r="U26" i="111" s="1"/>
  <c r="U12" i="130"/>
  <c r="V12" i="130"/>
  <c r="W26" i="111" s="1"/>
  <c r="W12" i="130"/>
  <c r="X26" i="111" s="1"/>
  <c r="X12" i="130"/>
  <c r="Y26" i="111" s="1"/>
  <c r="Y12" i="130"/>
  <c r="Z26" i="111" s="1"/>
  <c r="Z12" i="130"/>
  <c r="AA26" i="111" s="1"/>
  <c r="AA12" i="130"/>
  <c r="AB26" i="111" s="1"/>
  <c r="D13" i="130"/>
  <c r="E27" i="111" s="1"/>
  <c r="E13" i="130"/>
  <c r="F27" i="111" s="1"/>
  <c r="F13" i="130"/>
  <c r="G27" i="111" s="1"/>
  <c r="G13" i="130"/>
  <c r="H27" i="111" s="1"/>
  <c r="H13" i="130"/>
  <c r="I27" i="111" s="1"/>
  <c r="I13" i="130"/>
  <c r="J27" i="111" s="1"/>
  <c r="J13" i="130"/>
  <c r="K27" i="111" s="1"/>
  <c r="K13" i="130"/>
  <c r="L27" i="111" s="1"/>
  <c r="L13" i="130"/>
  <c r="M27" i="111" s="1"/>
  <c r="M13" i="130"/>
  <c r="N27" i="111" s="1"/>
  <c r="N13" i="130"/>
  <c r="O13" i="130"/>
  <c r="P27" i="111" s="1"/>
  <c r="P13" i="130"/>
  <c r="Q27" i="111" s="1"/>
  <c r="Q13" i="130"/>
  <c r="R27" i="111" s="1"/>
  <c r="R13" i="130"/>
  <c r="S13" i="130"/>
  <c r="T27" i="111" s="1"/>
  <c r="T13" i="130"/>
  <c r="U27" i="111" s="1"/>
  <c r="U13" i="130"/>
  <c r="V27" i="111" s="1"/>
  <c r="V13" i="130"/>
  <c r="W27" i="111" s="1"/>
  <c r="W13" i="130"/>
  <c r="X27" i="111" s="1"/>
  <c r="X13" i="130"/>
  <c r="Y27" i="111" s="1"/>
  <c r="Y13" i="130"/>
  <c r="Z27" i="111" s="1"/>
  <c r="Z13" i="130"/>
  <c r="AA13" i="130"/>
  <c r="AB27" i="111" s="1"/>
  <c r="D14" i="130"/>
  <c r="E28" i="111" s="1"/>
  <c r="E14" i="130"/>
  <c r="F14" i="130"/>
  <c r="G28" i="111" s="1"/>
  <c r="G14" i="130"/>
  <c r="H28" i="111" s="1"/>
  <c r="H14" i="130"/>
  <c r="I28" i="111" s="1"/>
  <c r="I14" i="130"/>
  <c r="J28" i="111" s="1"/>
  <c r="J14" i="130"/>
  <c r="K14" i="130"/>
  <c r="L14" i="130"/>
  <c r="M28" i="111" s="1"/>
  <c r="M14" i="130"/>
  <c r="N14" i="130"/>
  <c r="O28" i="111" s="1"/>
  <c r="O14" i="130"/>
  <c r="P28" i="111" s="1"/>
  <c r="P14" i="130"/>
  <c r="Q28" i="111" s="1"/>
  <c r="Q14" i="130"/>
  <c r="R28" i="111" s="1"/>
  <c r="R14" i="130"/>
  <c r="S28" i="111" s="1"/>
  <c r="S14" i="130"/>
  <c r="T28" i="111" s="1"/>
  <c r="T14" i="130"/>
  <c r="U28" i="111" s="1"/>
  <c r="U14" i="130"/>
  <c r="V28" i="111" s="1"/>
  <c r="V14" i="130"/>
  <c r="W28" i="111" s="1"/>
  <c r="W14" i="130"/>
  <c r="X28" i="111" s="1"/>
  <c r="X14" i="130"/>
  <c r="Y28" i="111" s="1"/>
  <c r="Y14" i="130"/>
  <c r="Z28" i="111" s="1"/>
  <c r="Z14" i="130"/>
  <c r="AA14" i="130"/>
  <c r="AB28" i="111" s="1"/>
  <c r="D15" i="130"/>
  <c r="E29" i="111" s="1"/>
  <c r="E15" i="130"/>
  <c r="F15" i="130"/>
  <c r="G29" i="111" s="1"/>
  <c r="G15" i="130"/>
  <c r="H29" i="111" s="1"/>
  <c r="H15" i="130"/>
  <c r="I29" i="111" s="1"/>
  <c r="I15" i="130"/>
  <c r="J29" i="111" s="1"/>
  <c r="J15" i="130"/>
  <c r="K15" i="130"/>
  <c r="L29" i="111" s="1"/>
  <c r="L15" i="130"/>
  <c r="M29" i="111" s="1"/>
  <c r="M15" i="130"/>
  <c r="N29" i="111" s="1"/>
  <c r="N15" i="130"/>
  <c r="O29" i="111" s="1"/>
  <c r="O15" i="130"/>
  <c r="P29" i="111" s="1"/>
  <c r="P15" i="130"/>
  <c r="Q29" i="111" s="1"/>
  <c r="Q15" i="130"/>
  <c r="R29" i="111" s="1"/>
  <c r="R15" i="130"/>
  <c r="S29" i="111" s="1"/>
  <c r="S15" i="130"/>
  <c r="T29" i="111" s="1"/>
  <c r="T15" i="130"/>
  <c r="U29" i="111" s="1"/>
  <c r="U15" i="130"/>
  <c r="V29" i="111" s="1"/>
  <c r="V15" i="130"/>
  <c r="W29" i="111" s="1"/>
  <c r="W15" i="130"/>
  <c r="X29" i="111" s="1"/>
  <c r="X15" i="130"/>
  <c r="Y29" i="111" s="1"/>
  <c r="Y15" i="130"/>
  <c r="Z29" i="111" s="1"/>
  <c r="Z15" i="130"/>
  <c r="AA15" i="130"/>
  <c r="AB29" i="111" s="1"/>
  <c r="D16" i="130"/>
  <c r="E30" i="111" s="1"/>
  <c r="E16" i="130"/>
  <c r="F16" i="130"/>
  <c r="G30" i="111" s="1"/>
  <c r="G16" i="130"/>
  <c r="H30" i="111" s="1"/>
  <c r="H16" i="130"/>
  <c r="I30" i="111" s="1"/>
  <c r="I16" i="130"/>
  <c r="J30" i="111" s="1"/>
  <c r="J16" i="130"/>
  <c r="K16" i="130"/>
  <c r="L30" i="111" s="1"/>
  <c r="L16" i="130"/>
  <c r="M30" i="111" s="1"/>
  <c r="M16" i="130"/>
  <c r="N16" i="130"/>
  <c r="O30" i="111" s="1"/>
  <c r="O16" i="130"/>
  <c r="P30" i="111" s="1"/>
  <c r="P16" i="130"/>
  <c r="Q30" i="111" s="1"/>
  <c r="Q16" i="130"/>
  <c r="R30" i="111" s="1"/>
  <c r="R16" i="130"/>
  <c r="S30" i="111" s="1"/>
  <c r="S16" i="130"/>
  <c r="T30" i="111" s="1"/>
  <c r="T16" i="130"/>
  <c r="U30" i="111" s="1"/>
  <c r="U16" i="130"/>
  <c r="V16" i="130"/>
  <c r="W30" i="111" s="1"/>
  <c r="W16" i="130"/>
  <c r="X30" i="111" s="1"/>
  <c r="X16" i="130"/>
  <c r="Y30" i="111" s="1"/>
  <c r="Y16" i="130"/>
  <c r="Z30" i="111" s="1"/>
  <c r="Z16" i="130"/>
  <c r="AA30" i="111" s="1"/>
  <c r="AA16" i="130"/>
  <c r="AB30" i="111" s="1"/>
  <c r="D17" i="130"/>
  <c r="E31" i="111" s="1"/>
  <c r="E17" i="130"/>
  <c r="F31" i="111" s="1"/>
  <c r="F17" i="130"/>
  <c r="G31" i="111" s="1"/>
  <c r="G17" i="130"/>
  <c r="H31" i="111" s="1"/>
  <c r="H17" i="130"/>
  <c r="I31" i="111" s="1"/>
  <c r="I17" i="130"/>
  <c r="J31" i="111" s="1"/>
  <c r="J17" i="130"/>
  <c r="K17" i="130"/>
  <c r="L31" i="111" s="1"/>
  <c r="L17" i="130"/>
  <c r="M31" i="111" s="1"/>
  <c r="M17" i="130"/>
  <c r="N31" i="111" s="1"/>
  <c r="N17" i="130"/>
  <c r="O31" i="111" s="1"/>
  <c r="O17" i="130"/>
  <c r="P31" i="111" s="1"/>
  <c r="P17" i="130"/>
  <c r="Q31" i="111" s="1"/>
  <c r="Q17" i="130"/>
  <c r="R31" i="111" s="1"/>
  <c r="R17" i="130"/>
  <c r="S31" i="111" s="1"/>
  <c r="S17" i="130"/>
  <c r="T31" i="111" s="1"/>
  <c r="T17" i="130"/>
  <c r="U31" i="111" s="1"/>
  <c r="U17" i="130"/>
  <c r="V31" i="111" s="1"/>
  <c r="V17" i="130"/>
  <c r="W31" i="111" s="1"/>
  <c r="W17" i="130"/>
  <c r="X31" i="111" s="1"/>
  <c r="X17" i="130"/>
  <c r="Y31" i="111" s="1"/>
  <c r="Y17" i="130"/>
  <c r="Z31" i="111" s="1"/>
  <c r="Z17" i="130"/>
  <c r="AA17" i="130"/>
  <c r="AB31" i="111" s="1"/>
  <c r="D18" i="130"/>
  <c r="E32" i="111" s="1"/>
  <c r="E18" i="130"/>
  <c r="F18" i="130"/>
  <c r="G32" i="111" s="1"/>
  <c r="G18" i="130"/>
  <c r="H32" i="111" s="1"/>
  <c r="H18" i="130"/>
  <c r="I32" i="111" s="1"/>
  <c r="I18" i="130"/>
  <c r="J32" i="111" s="1"/>
  <c r="J18" i="130"/>
  <c r="K32" i="111" s="1"/>
  <c r="K18" i="130"/>
  <c r="L32" i="111" s="1"/>
  <c r="L18" i="130"/>
  <c r="M32" i="111" s="1"/>
  <c r="M18" i="130"/>
  <c r="N18" i="130"/>
  <c r="O32" i="111" s="1"/>
  <c r="O18" i="130"/>
  <c r="P32" i="111" s="1"/>
  <c r="P18" i="130"/>
  <c r="Q32" i="111" s="1"/>
  <c r="Q18" i="130"/>
  <c r="R32" i="111" s="1"/>
  <c r="R18" i="130"/>
  <c r="S32" i="111" s="1"/>
  <c r="S18" i="130"/>
  <c r="T32" i="111" s="1"/>
  <c r="T18" i="130"/>
  <c r="U32" i="111" s="1"/>
  <c r="U18" i="130"/>
  <c r="V32" i="111" s="1"/>
  <c r="V18" i="130"/>
  <c r="W32" i="111" s="1"/>
  <c r="W18" i="130"/>
  <c r="X32" i="111" s="1"/>
  <c r="X18" i="130"/>
  <c r="Y32" i="111" s="1"/>
  <c r="Y18" i="130"/>
  <c r="Z32" i="111" s="1"/>
  <c r="Z18" i="130"/>
  <c r="AA32" i="111" s="1"/>
  <c r="AA18" i="130"/>
  <c r="AB32" i="111" s="1"/>
  <c r="D19" i="130"/>
  <c r="E33" i="111" s="1"/>
  <c r="E19" i="130"/>
  <c r="F19" i="130"/>
  <c r="G33" i="111" s="1"/>
  <c r="G19" i="130"/>
  <c r="H33" i="111" s="1"/>
  <c r="H19" i="130"/>
  <c r="I33" i="111" s="1"/>
  <c r="I19" i="130"/>
  <c r="J33" i="111" s="1"/>
  <c r="J19" i="130"/>
  <c r="K33" i="111" s="1"/>
  <c r="K19" i="130"/>
  <c r="L33" i="111" s="1"/>
  <c r="L19" i="130"/>
  <c r="M33" i="111" s="1"/>
  <c r="M19" i="130"/>
  <c r="N19" i="130"/>
  <c r="O19" i="130"/>
  <c r="P33" i="111" s="1"/>
  <c r="P19" i="130"/>
  <c r="Q33" i="111" s="1"/>
  <c r="Q19" i="130"/>
  <c r="R33" i="111" s="1"/>
  <c r="R19" i="130"/>
  <c r="S33" i="111" s="1"/>
  <c r="S19" i="130"/>
  <c r="T33" i="111" s="1"/>
  <c r="T19" i="130"/>
  <c r="U33" i="111" s="1"/>
  <c r="U19" i="130"/>
  <c r="V33" i="111" s="1"/>
  <c r="V19" i="130"/>
  <c r="W33" i="111" s="1"/>
  <c r="W19" i="130"/>
  <c r="X33" i="111" s="1"/>
  <c r="X19" i="130"/>
  <c r="Y33" i="111" s="1"/>
  <c r="Y19" i="130"/>
  <c r="Z33" i="111" s="1"/>
  <c r="Z19" i="130"/>
  <c r="AA33" i="111" s="1"/>
  <c r="AA19" i="130"/>
  <c r="D20" i="130"/>
  <c r="E34" i="111" s="1"/>
  <c r="E20" i="130"/>
  <c r="F20" i="130"/>
  <c r="G34" i="111" s="1"/>
  <c r="G20" i="130"/>
  <c r="H34" i="111" s="1"/>
  <c r="H20" i="130"/>
  <c r="I34" i="111" s="1"/>
  <c r="I20" i="130"/>
  <c r="J34" i="111" s="1"/>
  <c r="J20" i="130"/>
  <c r="K34" i="111" s="1"/>
  <c r="K20" i="130"/>
  <c r="L20" i="130"/>
  <c r="M34" i="111" s="1"/>
  <c r="M20" i="130"/>
  <c r="N34" i="111" s="1"/>
  <c r="N20" i="130"/>
  <c r="O34" i="111" s="1"/>
  <c r="O20" i="130"/>
  <c r="P34" i="111" s="1"/>
  <c r="P20" i="130"/>
  <c r="Q34" i="111" s="1"/>
  <c r="Q20" i="130"/>
  <c r="R34" i="111" s="1"/>
  <c r="R20" i="130"/>
  <c r="S34" i="111" s="1"/>
  <c r="S20" i="130"/>
  <c r="T34" i="111" s="1"/>
  <c r="T20" i="130"/>
  <c r="U34" i="111" s="1"/>
  <c r="U20" i="130"/>
  <c r="V34" i="111" s="1"/>
  <c r="V20" i="130"/>
  <c r="W34" i="111" s="1"/>
  <c r="W20" i="130"/>
  <c r="X34" i="111" s="1"/>
  <c r="X20" i="130"/>
  <c r="Y34" i="111" s="1"/>
  <c r="Y20" i="130"/>
  <c r="Z34" i="111" s="1"/>
  <c r="Z20" i="130"/>
  <c r="AA34" i="111" s="1"/>
  <c r="AA20" i="130"/>
  <c r="AB34" i="111" s="1"/>
  <c r="D21" i="130"/>
  <c r="E35" i="111" s="1"/>
  <c r="E21" i="130"/>
  <c r="F35" i="111" s="1"/>
  <c r="F21" i="130"/>
  <c r="G35" i="111" s="1"/>
  <c r="G21" i="130"/>
  <c r="H35" i="111" s="1"/>
  <c r="H21" i="130"/>
  <c r="I35" i="111" s="1"/>
  <c r="I21" i="130"/>
  <c r="J35" i="111" s="1"/>
  <c r="J21" i="130"/>
  <c r="K35" i="111" s="1"/>
  <c r="K21" i="130"/>
  <c r="L35" i="111" s="1"/>
  <c r="L21" i="130"/>
  <c r="M35" i="111" s="1"/>
  <c r="M21" i="130"/>
  <c r="N35" i="111" s="1"/>
  <c r="N21" i="130"/>
  <c r="O35" i="111" s="1"/>
  <c r="O21" i="130"/>
  <c r="P35" i="111" s="1"/>
  <c r="P21" i="130"/>
  <c r="Q35" i="111" s="1"/>
  <c r="Q21" i="130"/>
  <c r="R35" i="111" s="1"/>
  <c r="R21" i="130"/>
  <c r="S35" i="111" s="1"/>
  <c r="S21" i="130"/>
  <c r="T35" i="111" s="1"/>
  <c r="T21" i="130"/>
  <c r="U35" i="111" s="1"/>
  <c r="U21" i="130"/>
  <c r="V35" i="111" s="1"/>
  <c r="V21" i="130"/>
  <c r="W35" i="111" s="1"/>
  <c r="W21" i="130"/>
  <c r="X35" i="111" s="1"/>
  <c r="X21" i="130"/>
  <c r="Y35" i="111" s="1"/>
  <c r="Y21" i="130"/>
  <c r="Z35" i="111" s="1"/>
  <c r="Z21" i="130"/>
  <c r="AA35" i="111" s="1"/>
  <c r="AA21" i="130"/>
  <c r="AB35" i="111" s="1"/>
  <c r="D22" i="130"/>
  <c r="E36" i="111" s="1"/>
  <c r="E22" i="130"/>
  <c r="F22" i="130"/>
  <c r="G36" i="111" s="1"/>
  <c r="G22" i="130"/>
  <c r="H36" i="111" s="1"/>
  <c r="H22" i="130"/>
  <c r="I36" i="111" s="1"/>
  <c r="I22" i="130"/>
  <c r="J36" i="111" s="1"/>
  <c r="J22" i="130"/>
  <c r="K36" i="111" s="1"/>
  <c r="K22" i="130"/>
  <c r="L36" i="111" s="1"/>
  <c r="L22" i="130"/>
  <c r="M36" i="111" s="1"/>
  <c r="M22" i="130"/>
  <c r="N22" i="130"/>
  <c r="O36" i="111" s="1"/>
  <c r="O22" i="130"/>
  <c r="P36" i="111" s="1"/>
  <c r="P22" i="130"/>
  <c r="Q36" i="111" s="1"/>
  <c r="Q22" i="130"/>
  <c r="R36" i="111" s="1"/>
  <c r="R22" i="130"/>
  <c r="S36" i="111" s="1"/>
  <c r="S22" i="130"/>
  <c r="T36" i="111" s="1"/>
  <c r="T22" i="130"/>
  <c r="U36" i="111" s="1"/>
  <c r="U22" i="130"/>
  <c r="V36" i="111" s="1"/>
  <c r="V22" i="130"/>
  <c r="W22" i="130"/>
  <c r="X36" i="111" s="1"/>
  <c r="X22" i="130"/>
  <c r="Y36" i="111" s="1"/>
  <c r="Y22" i="130"/>
  <c r="Z36" i="111" s="1"/>
  <c r="Z22" i="130"/>
  <c r="AA36" i="111" s="1"/>
  <c r="AA22" i="130"/>
  <c r="AB36" i="111" s="1"/>
  <c r="D34" i="111"/>
  <c r="D27" i="111"/>
  <c r="D26" i="111"/>
  <c r="B23" i="112"/>
  <c r="B23" i="142" s="1"/>
  <c r="B24" i="112"/>
  <c r="B24" i="142" s="1"/>
  <c r="B25" i="112"/>
  <c r="B25" i="142" s="1"/>
  <c r="B26" i="112"/>
  <c r="B26" i="142" s="1"/>
  <c r="B27" i="112"/>
  <c r="B27" i="142" s="1"/>
  <c r="B28" i="112"/>
  <c r="B28" i="142" s="1"/>
  <c r="B29" i="112"/>
  <c r="B29" i="142" s="1"/>
  <c r="B30" i="112"/>
  <c r="B30" i="142" s="1"/>
  <c r="B31" i="112"/>
  <c r="B31" i="142" s="1"/>
  <c r="B32" i="112"/>
  <c r="B32" i="142" s="1"/>
  <c r="B33" i="112"/>
  <c r="B33" i="142" s="1"/>
  <c r="B34" i="112"/>
  <c r="B34" i="142" s="1"/>
  <c r="B35" i="112"/>
  <c r="B35" i="142" s="1"/>
  <c r="B36" i="112"/>
  <c r="B36" i="142" s="1"/>
  <c r="B37" i="142"/>
  <c r="B22" i="112"/>
  <c r="B22" i="142" s="1"/>
  <c r="E37" i="112"/>
  <c r="F37" i="112"/>
  <c r="D24" i="112"/>
  <c r="D28" i="112"/>
  <c r="D32" i="112"/>
  <c r="D36" i="112"/>
  <c r="D9" i="132"/>
  <c r="E22" i="112" s="1"/>
  <c r="E9" i="132"/>
  <c r="F22" i="112" s="1"/>
  <c r="F9" i="132"/>
  <c r="G22" i="112" s="1"/>
  <c r="G9" i="132"/>
  <c r="H22" i="112" s="1"/>
  <c r="H9" i="132"/>
  <c r="I22" i="112" s="1"/>
  <c r="I9" i="132"/>
  <c r="J22" i="112" s="1"/>
  <c r="J9" i="132"/>
  <c r="K22" i="112" s="1"/>
  <c r="K9" i="132"/>
  <c r="L22" i="112" s="1"/>
  <c r="L9" i="132"/>
  <c r="M22" i="112" s="1"/>
  <c r="M9" i="132"/>
  <c r="N22" i="112" s="1"/>
  <c r="N9" i="132"/>
  <c r="O22" i="112" s="1"/>
  <c r="O9" i="132"/>
  <c r="P22" i="112" s="1"/>
  <c r="P9" i="132"/>
  <c r="Q22" i="112" s="1"/>
  <c r="Q9" i="132"/>
  <c r="R22" i="112" s="1"/>
  <c r="R9" i="132"/>
  <c r="S22" i="112" s="1"/>
  <c r="S9" i="132"/>
  <c r="T22" i="112" s="1"/>
  <c r="T9" i="132"/>
  <c r="U22" i="112" s="1"/>
  <c r="U9" i="132"/>
  <c r="V22" i="112" s="1"/>
  <c r="V9" i="132"/>
  <c r="W22" i="112" s="1"/>
  <c r="W9" i="132"/>
  <c r="X22" i="112" s="1"/>
  <c r="X9" i="132"/>
  <c r="Y22" i="112" s="1"/>
  <c r="Y9" i="132"/>
  <c r="Z22" i="112" s="1"/>
  <c r="Z9" i="132"/>
  <c r="AA22" i="112" s="1"/>
  <c r="AA9" i="132"/>
  <c r="AB22" i="112" s="1"/>
  <c r="D10" i="132"/>
  <c r="E23" i="112" s="1"/>
  <c r="E10" i="132"/>
  <c r="F23" i="112" s="1"/>
  <c r="F10" i="132"/>
  <c r="G23" i="112" s="1"/>
  <c r="G10" i="132"/>
  <c r="H23" i="112" s="1"/>
  <c r="H10" i="132"/>
  <c r="I23" i="112" s="1"/>
  <c r="I10" i="132"/>
  <c r="J23" i="112" s="1"/>
  <c r="J10" i="132"/>
  <c r="K23" i="112" s="1"/>
  <c r="K10" i="132"/>
  <c r="L23" i="112" s="1"/>
  <c r="L10" i="132"/>
  <c r="M23" i="112" s="1"/>
  <c r="M10" i="132"/>
  <c r="N23" i="112" s="1"/>
  <c r="N10" i="132"/>
  <c r="O23" i="112" s="1"/>
  <c r="O10" i="132"/>
  <c r="P23" i="112" s="1"/>
  <c r="P10" i="132"/>
  <c r="Q23" i="112" s="1"/>
  <c r="Q10" i="132"/>
  <c r="R23" i="112" s="1"/>
  <c r="R10" i="132"/>
  <c r="S23" i="112" s="1"/>
  <c r="S10" i="132"/>
  <c r="T23" i="112" s="1"/>
  <c r="T10" i="132"/>
  <c r="U23" i="112" s="1"/>
  <c r="U10" i="132"/>
  <c r="V23" i="112" s="1"/>
  <c r="V10" i="132"/>
  <c r="W23" i="112" s="1"/>
  <c r="W10" i="132"/>
  <c r="X23" i="112" s="1"/>
  <c r="X10" i="132"/>
  <c r="Y23" i="112" s="1"/>
  <c r="Y10" i="132"/>
  <c r="Z23" i="112" s="1"/>
  <c r="Z10" i="132"/>
  <c r="AA23" i="112" s="1"/>
  <c r="AA10" i="132"/>
  <c r="AB23" i="112" s="1"/>
  <c r="D11" i="132"/>
  <c r="E24" i="112" s="1"/>
  <c r="E11" i="132"/>
  <c r="F24" i="112" s="1"/>
  <c r="F11" i="132"/>
  <c r="G24" i="112" s="1"/>
  <c r="G11" i="132"/>
  <c r="H24" i="112" s="1"/>
  <c r="H11" i="132"/>
  <c r="I24" i="112" s="1"/>
  <c r="I11" i="132"/>
  <c r="J24" i="112" s="1"/>
  <c r="J11" i="132"/>
  <c r="K24" i="112" s="1"/>
  <c r="K11" i="132"/>
  <c r="L24" i="112" s="1"/>
  <c r="L11" i="132"/>
  <c r="M24" i="112" s="1"/>
  <c r="M11" i="132"/>
  <c r="N24" i="112" s="1"/>
  <c r="N11" i="132"/>
  <c r="O24" i="112" s="1"/>
  <c r="O11" i="132"/>
  <c r="P24" i="112" s="1"/>
  <c r="P11" i="132"/>
  <c r="Q24" i="112" s="1"/>
  <c r="Q11" i="132"/>
  <c r="R24" i="112" s="1"/>
  <c r="R11" i="132"/>
  <c r="S24" i="112" s="1"/>
  <c r="S11" i="132"/>
  <c r="T24" i="112" s="1"/>
  <c r="T11" i="132"/>
  <c r="U24" i="112" s="1"/>
  <c r="U11" i="132"/>
  <c r="V24" i="112" s="1"/>
  <c r="V11" i="132"/>
  <c r="W24" i="112" s="1"/>
  <c r="W11" i="132"/>
  <c r="X24" i="112" s="1"/>
  <c r="X11" i="132"/>
  <c r="Y24" i="112" s="1"/>
  <c r="Y11" i="132"/>
  <c r="Z24" i="112" s="1"/>
  <c r="Z11" i="132"/>
  <c r="AA24" i="112" s="1"/>
  <c r="AA11" i="132"/>
  <c r="AB24" i="112" s="1"/>
  <c r="D12" i="132"/>
  <c r="E25" i="112" s="1"/>
  <c r="E12" i="132"/>
  <c r="F25" i="112" s="1"/>
  <c r="F12" i="132"/>
  <c r="G25" i="112" s="1"/>
  <c r="G12" i="132"/>
  <c r="H25" i="112" s="1"/>
  <c r="H12" i="132"/>
  <c r="I25" i="112" s="1"/>
  <c r="I12" i="132"/>
  <c r="J25" i="112" s="1"/>
  <c r="J12" i="132"/>
  <c r="K25" i="112" s="1"/>
  <c r="K12" i="132"/>
  <c r="L25" i="112" s="1"/>
  <c r="L12" i="132"/>
  <c r="M25" i="112" s="1"/>
  <c r="M12" i="132"/>
  <c r="N25" i="112" s="1"/>
  <c r="N12" i="132"/>
  <c r="O25" i="112" s="1"/>
  <c r="O12" i="132"/>
  <c r="P25" i="112" s="1"/>
  <c r="P12" i="132"/>
  <c r="Q25" i="112" s="1"/>
  <c r="Q12" i="132"/>
  <c r="R25" i="112" s="1"/>
  <c r="R12" i="132"/>
  <c r="S25" i="112" s="1"/>
  <c r="S12" i="132"/>
  <c r="T25" i="112" s="1"/>
  <c r="T12" i="132"/>
  <c r="U25" i="112" s="1"/>
  <c r="U12" i="132"/>
  <c r="V25" i="112" s="1"/>
  <c r="V12" i="132"/>
  <c r="W25" i="112" s="1"/>
  <c r="W12" i="132"/>
  <c r="X25" i="112" s="1"/>
  <c r="X12" i="132"/>
  <c r="Y25" i="112" s="1"/>
  <c r="Y12" i="132"/>
  <c r="Z25" i="112" s="1"/>
  <c r="Z12" i="132"/>
  <c r="AA25" i="112" s="1"/>
  <c r="AA12" i="132"/>
  <c r="AB25" i="112" s="1"/>
  <c r="D13" i="132"/>
  <c r="E26" i="112" s="1"/>
  <c r="E13" i="132"/>
  <c r="F26" i="112" s="1"/>
  <c r="F13" i="132"/>
  <c r="G26" i="112" s="1"/>
  <c r="G13" i="132"/>
  <c r="H26" i="112" s="1"/>
  <c r="H13" i="132"/>
  <c r="I26" i="112" s="1"/>
  <c r="I13" i="132"/>
  <c r="J26" i="112" s="1"/>
  <c r="J13" i="132"/>
  <c r="K26" i="112" s="1"/>
  <c r="K13" i="132"/>
  <c r="L26" i="112" s="1"/>
  <c r="L13" i="132"/>
  <c r="M26" i="112" s="1"/>
  <c r="M13" i="132"/>
  <c r="N26" i="112" s="1"/>
  <c r="N13" i="132"/>
  <c r="O26" i="112" s="1"/>
  <c r="O13" i="132"/>
  <c r="P26" i="112" s="1"/>
  <c r="P13" i="132"/>
  <c r="Q26" i="112" s="1"/>
  <c r="Q13" i="132"/>
  <c r="R26" i="112" s="1"/>
  <c r="R13" i="132"/>
  <c r="S26" i="112" s="1"/>
  <c r="S13" i="132"/>
  <c r="T26" i="112" s="1"/>
  <c r="T13" i="132"/>
  <c r="U26" i="112" s="1"/>
  <c r="U13" i="132"/>
  <c r="V26" i="112" s="1"/>
  <c r="V13" i="132"/>
  <c r="W26" i="112" s="1"/>
  <c r="W13" i="132"/>
  <c r="X26" i="112" s="1"/>
  <c r="X13" i="132"/>
  <c r="Y26" i="112" s="1"/>
  <c r="Y13" i="132"/>
  <c r="Z26" i="112" s="1"/>
  <c r="Z13" i="132"/>
  <c r="AA26" i="112" s="1"/>
  <c r="AA13" i="132"/>
  <c r="AB26" i="112" s="1"/>
  <c r="D14" i="132"/>
  <c r="E27" i="112" s="1"/>
  <c r="E14" i="132"/>
  <c r="F27" i="112" s="1"/>
  <c r="F14" i="132"/>
  <c r="G27" i="112" s="1"/>
  <c r="G14" i="132"/>
  <c r="H27" i="112" s="1"/>
  <c r="H14" i="132"/>
  <c r="I27" i="112" s="1"/>
  <c r="I14" i="132"/>
  <c r="J27" i="112" s="1"/>
  <c r="J14" i="132"/>
  <c r="K27" i="112" s="1"/>
  <c r="K14" i="132"/>
  <c r="L27" i="112" s="1"/>
  <c r="L14" i="132"/>
  <c r="M27" i="112" s="1"/>
  <c r="M14" i="132"/>
  <c r="N27" i="112" s="1"/>
  <c r="N14" i="132"/>
  <c r="O27" i="112" s="1"/>
  <c r="O14" i="132"/>
  <c r="P27" i="112" s="1"/>
  <c r="P14" i="132"/>
  <c r="Q27" i="112" s="1"/>
  <c r="Q14" i="132"/>
  <c r="R27" i="112" s="1"/>
  <c r="R14" i="132"/>
  <c r="S27" i="112" s="1"/>
  <c r="S14" i="132"/>
  <c r="T27" i="112" s="1"/>
  <c r="T14" i="132"/>
  <c r="U27" i="112" s="1"/>
  <c r="U14" i="132"/>
  <c r="V27" i="112" s="1"/>
  <c r="V14" i="132"/>
  <c r="W27" i="112" s="1"/>
  <c r="W14" i="132"/>
  <c r="X27" i="112" s="1"/>
  <c r="X14" i="132"/>
  <c r="Y27" i="112" s="1"/>
  <c r="Y14" i="132"/>
  <c r="Z27" i="112" s="1"/>
  <c r="Z14" i="132"/>
  <c r="AA27" i="112" s="1"/>
  <c r="AA14" i="132"/>
  <c r="AB27" i="112" s="1"/>
  <c r="D15" i="132"/>
  <c r="E28" i="112" s="1"/>
  <c r="E15" i="132"/>
  <c r="F28" i="112" s="1"/>
  <c r="F15" i="132"/>
  <c r="G28" i="112" s="1"/>
  <c r="G15" i="132"/>
  <c r="H28" i="112" s="1"/>
  <c r="H15" i="132"/>
  <c r="I28" i="112" s="1"/>
  <c r="I15" i="132"/>
  <c r="J28" i="112" s="1"/>
  <c r="J15" i="132"/>
  <c r="K28" i="112" s="1"/>
  <c r="K15" i="132"/>
  <c r="L28" i="112" s="1"/>
  <c r="L15" i="132"/>
  <c r="M28" i="112" s="1"/>
  <c r="M15" i="132"/>
  <c r="N28" i="112" s="1"/>
  <c r="N15" i="132"/>
  <c r="O28" i="112" s="1"/>
  <c r="O15" i="132"/>
  <c r="P28" i="112" s="1"/>
  <c r="P15" i="132"/>
  <c r="Q28" i="112" s="1"/>
  <c r="Q15" i="132"/>
  <c r="R28" i="112" s="1"/>
  <c r="R15" i="132"/>
  <c r="S28" i="112" s="1"/>
  <c r="S15" i="132"/>
  <c r="T28" i="112" s="1"/>
  <c r="T15" i="132"/>
  <c r="U28" i="112" s="1"/>
  <c r="U15" i="132"/>
  <c r="V28" i="112" s="1"/>
  <c r="V15" i="132"/>
  <c r="W28" i="112" s="1"/>
  <c r="W15" i="132"/>
  <c r="X28" i="112" s="1"/>
  <c r="X15" i="132"/>
  <c r="Y28" i="112" s="1"/>
  <c r="Y15" i="132"/>
  <c r="Z28" i="112" s="1"/>
  <c r="Z15" i="132"/>
  <c r="AA28" i="112" s="1"/>
  <c r="AA15" i="132"/>
  <c r="AB28" i="112" s="1"/>
  <c r="D16" i="132"/>
  <c r="E29" i="112" s="1"/>
  <c r="E16" i="132"/>
  <c r="F29" i="112" s="1"/>
  <c r="F16" i="132"/>
  <c r="G29" i="112" s="1"/>
  <c r="G16" i="132"/>
  <c r="H29" i="112" s="1"/>
  <c r="H16" i="132"/>
  <c r="I29" i="112" s="1"/>
  <c r="I16" i="132"/>
  <c r="J29" i="112" s="1"/>
  <c r="J29" i="142" s="1"/>
  <c r="J16" i="132"/>
  <c r="K29" i="112" s="1"/>
  <c r="K16" i="132"/>
  <c r="L29" i="112" s="1"/>
  <c r="L16" i="132"/>
  <c r="M29" i="112" s="1"/>
  <c r="M16" i="132"/>
  <c r="N29" i="112" s="1"/>
  <c r="N16" i="132"/>
  <c r="O29" i="112" s="1"/>
  <c r="O16" i="132"/>
  <c r="P29" i="112" s="1"/>
  <c r="P16" i="132"/>
  <c r="Q29" i="112" s="1"/>
  <c r="Q16" i="132"/>
  <c r="R29" i="112" s="1"/>
  <c r="R16" i="132"/>
  <c r="S29" i="112" s="1"/>
  <c r="S16" i="132"/>
  <c r="T29" i="112" s="1"/>
  <c r="T16" i="132"/>
  <c r="U29" i="112" s="1"/>
  <c r="U16" i="132"/>
  <c r="V29" i="112" s="1"/>
  <c r="V16" i="132"/>
  <c r="W29" i="112" s="1"/>
  <c r="W16" i="132"/>
  <c r="X29" i="112" s="1"/>
  <c r="X16" i="132"/>
  <c r="Y29" i="112" s="1"/>
  <c r="Y16" i="132"/>
  <c r="Z29" i="112" s="1"/>
  <c r="Z16" i="132"/>
  <c r="AA29" i="112" s="1"/>
  <c r="AA16" i="132"/>
  <c r="AB29" i="112" s="1"/>
  <c r="D17" i="132"/>
  <c r="E30" i="112" s="1"/>
  <c r="E17" i="132"/>
  <c r="F30" i="112" s="1"/>
  <c r="F17" i="132"/>
  <c r="G30" i="112" s="1"/>
  <c r="G17" i="132"/>
  <c r="H30" i="112" s="1"/>
  <c r="H17" i="132"/>
  <c r="I30" i="112" s="1"/>
  <c r="I17" i="132"/>
  <c r="J30" i="112" s="1"/>
  <c r="J17" i="132"/>
  <c r="K30" i="112" s="1"/>
  <c r="K17" i="132"/>
  <c r="L30" i="112" s="1"/>
  <c r="L17" i="132"/>
  <c r="M30" i="112" s="1"/>
  <c r="M17" i="132"/>
  <c r="N30" i="112" s="1"/>
  <c r="N17" i="132"/>
  <c r="O30" i="112" s="1"/>
  <c r="O17" i="132"/>
  <c r="P30" i="112" s="1"/>
  <c r="P17" i="132"/>
  <c r="Q30" i="112" s="1"/>
  <c r="Q17" i="132"/>
  <c r="R30" i="112" s="1"/>
  <c r="R17" i="132"/>
  <c r="S30" i="112" s="1"/>
  <c r="S17" i="132"/>
  <c r="T30" i="112" s="1"/>
  <c r="T17" i="132"/>
  <c r="U30" i="112" s="1"/>
  <c r="U17" i="132"/>
  <c r="V30" i="112" s="1"/>
  <c r="V17" i="132"/>
  <c r="W30" i="112" s="1"/>
  <c r="W17" i="132"/>
  <c r="X30" i="112" s="1"/>
  <c r="X17" i="132"/>
  <c r="Y30" i="112" s="1"/>
  <c r="Y17" i="132"/>
  <c r="Z30" i="112" s="1"/>
  <c r="Z17" i="132"/>
  <c r="AA30" i="112" s="1"/>
  <c r="AA17" i="132"/>
  <c r="AB30" i="112" s="1"/>
  <c r="D18" i="132"/>
  <c r="E31" i="112" s="1"/>
  <c r="E18" i="132"/>
  <c r="F31" i="112" s="1"/>
  <c r="F18" i="132"/>
  <c r="G31" i="112" s="1"/>
  <c r="G18" i="132"/>
  <c r="H31" i="112" s="1"/>
  <c r="H18" i="132"/>
  <c r="I31" i="112" s="1"/>
  <c r="I18" i="132"/>
  <c r="J31" i="112" s="1"/>
  <c r="J18" i="132"/>
  <c r="K31" i="112" s="1"/>
  <c r="K18" i="132"/>
  <c r="L31" i="112" s="1"/>
  <c r="L18" i="132"/>
  <c r="M31" i="112" s="1"/>
  <c r="M18" i="132"/>
  <c r="N31" i="112" s="1"/>
  <c r="N18" i="132"/>
  <c r="O31" i="112" s="1"/>
  <c r="O18" i="132"/>
  <c r="P31" i="112" s="1"/>
  <c r="P18" i="132"/>
  <c r="Q31" i="112" s="1"/>
  <c r="Q18" i="132"/>
  <c r="R31" i="112" s="1"/>
  <c r="R18" i="132"/>
  <c r="S31" i="112" s="1"/>
  <c r="S18" i="132"/>
  <c r="T31" i="112" s="1"/>
  <c r="T18" i="132"/>
  <c r="U31" i="112" s="1"/>
  <c r="U18" i="132"/>
  <c r="V31" i="112" s="1"/>
  <c r="V18" i="132"/>
  <c r="W31" i="112" s="1"/>
  <c r="W18" i="132"/>
  <c r="X31" i="112" s="1"/>
  <c r="X18" i="132"/>
  <c r="Y31" i="112" s="1"/>
  <c r="Y18" i="132"/>
  <c r="Z31" i="112" s="1"/>
  <c r="Z18" i="132"/>
  <c r="AA31" i="112" s="1"/>
  <c r="AA18" i="132"/>
  <c r="AB31" i="112" s="1"/>
  <c r="D19" i="132"/>
  <c r="E32" i="112" s="1"/>
  <c r="E19" i="132"/>
  <c r="F32" i="112" s="1"/>
  <c r="F19" i="132"/>
  <c r="G32" i="112" s="1"/>
  <c r="G19" i="132"/>
  <c r="H32" i="112" s="1"/>
  <c r="H19" i="132"/>
  <c r="I32" i="112" s="1"/>
  <c r="I19" i="132"/>
  <c r="J32" i="112" s="1"/>
  <c r="J19" i="132"/>
  <c r="K32" i="112" s="1"/>
  <c r="K19" i="132"/>
  <c r="L32" i="112" s="1"/>
  <c r="L19" i="132"/>
  <c r="M32" i="112" s="1"/>
  <c r="M19" i="132"/>
  <c r="N32" i="112" s="1"/>
  <c r="N19" i="132"/>
  <c r="O32" i="112" s="1"/>
  <c r="O19" i="132"/>
  <c r="P32" i="112" s="1"/>
  <c r="P19" i="132"/>
  <c r="Q32" i="112" s="1"/>
  <c r="Q19" i="132"/>
  <c r="R32" i="112" s="1"/>
  <c r="R19" i="132"/>
  <c r="S32" i="112" s="1"/>
  <c r="S19" i="132"/>
  <c r="T32" i="112" s="1"/>
  <c r="T19" i="132"/>
  <c r="U32" i="112" s="1"/>
  <c r="U19" i="132"/>
  <c r="V32" i="112" s="1"/>
  <c r="V19" i="132"/>
  <c r="W32" i="112" s="1"/>
  <c r="W19" i="132"/>
  <c r="X32" i="112" s="1"/>
  <c r="X19" i="132"/>
  <c r="Y32" i="112" s="1"/>
  <c r="Y19" i="132"/>
  <c r="Z32" i="112" s="1"/>
  <c r="Z19" i="132"/>
  <c r="AA32" i="112" s="1"/>
  <c r="AA19" i="132"/>
  <c r="AB32" i="112" s="1"/>
  <c r="D20" i="132"/>
  <c r="E33" i="112" s="1"/>
  <c r="E20" i="132"/>
  <c r="F33" i="112" s="1"/>
  <c r="F20" i="132"/>
  <c r="G33" i="112" s="1"/>
  <c r="G20" i="132"/>
  <c r="H33" i="112" s="1"/>
  <c r="H20" i="132"/>
  <c r="I33" i="112" s="1"/>
  <c r="I20" i="132"/>
  <c r="J33" i="112" s="1"/>
  <c r="J20" i="132"/>
  <c r="K33" i="112" s="1"/>
  <c r="K20" i="132"/>
  <c r="L33" i="112" s="1"/>
  <c r="L20" i="132"/>
  <c r="M33" i="112" s="1"/>
  <c r="M20" i="132"/>
  <c r="N33" i="112" s="1"/>
  <c r="N20" i="132"/>
  <c r="O33" i="112" s="1"/>
  <c r="O20" i="132"/>
  <c r="P33" i="112" s="1"/>
  <c r="P20" i="132"/>
  <c r="Q33" i="112" s="1"/>
  <c r="Q20" i="132"/>
  <c r="R33" i="112" s="1"/>
  <c r="R20" i="132"/>
  <c r="S33" i="112" s="1"/>
  <c r="S20" i="132"/>
  <c r="T33" i="112" s="1"/>
  <c r="T20" i="132"/>
  <c r="U33" i="112" s="1"/>
  <c r="U20" i="132"/>
  <c r="V33" i="112" s="1"/>
  <c r="V20" i="132"/>
  <c r="W33" i="112" s="1"/>
  <c r="W20" i="132"/>
  <c r="X33" i="112" s="1"/>
  <c r="X20" i="132"/>
  <c r="Y33" i="112" s="1"/>
  <c r="Y20" i="132"/>
  <c r="Z33" i="112" s="1"/>
  <c r="Z20" i="132"/>
  <c r="AA33" i="112" s="1"/>
  <c r="AA20" i="132"/>
  <c r="AB33" i="112" s="1"/>
  <c r="D21" i="132"/>
  <c r="E34" i="112" s="1"/>
  <c r="E21" i="132"/>
  <c r="F34" i="112" s="1"/>
  <c r="F21" i="132"/>
  <c r="G34" i="112" s="1"/>
  <c r="G21" i="132"/>
  <c r="H34" i="112" s="1"/>
  <c r="H21" i="132"/>
  <c r="I34" i="112" s="1"/>
  <c r="I21" i="132"/>
  <c r="J34" i="112" s="1"/>
  <c r="J21" i="132"/>
  <c r="K34" i="112" s="1"/>
  <c r="K21" i="132"/>
  <c r="L34" i="112" s="1"/>
  <c r="L21" i="132"/>
  <c r="M34" i="112" s="1"/>
  <c r="M21" i="132"/>
  <c r="N34" i="112" s="1"/>
  <c r="N21" i="132"/>
  <c r="O34" i="112" s="1"/>
  <c r="O21" i="132"/>
  <c r="P34" i="112" s="1"/>
  <c r="P21" i="132"/>
  <c r="Q34" i="112" s="1"/>
  <c r="Q21" i="132"/>
  <c r="R34" i="112" s="1"/>
  <c r="R21" i="132"/>
  <c r="S34" i="112" s="1"/>
  <c r="S21" i="132"/>
  <c r="T34" i="112" s="1"/>
  <c r="T21" i="132"/>
  <c r="U34" i="112" s="1"/>
  <c r="U21" i="132"/>
  <c r="V34" i="112" s="1"/>
  <c r="V21" i="132"/>
  <c r="W34" i="112" s="1"/>
  <c r="W21" i="132"/>
  <c r="X34" i="112" s="1"/>
  <c r="X21" i="132"/>
  <c r="Y34" i="112" s="1"/>
  <c r="Y21" i="132"/>
  <c r="Z34" i="112" s="1"/>
  <c r="Z21" i="132"/>
  <c r="AA34" i="112" s="1"/>
  <c r="AA21" i="132"/>
  <c r="AB34" i="112" s="1"/>
  <c r="D22" i="132"/>
  <c r="E35" i="112" s="1"/>
  <c r="E22" i="132"/>
  <c r="F35" i="112" s="1"/>
  <c r="F22" i="132"/>
  <c r="G35" i="112" s="1"/>
  <c r="G22" i="132"/>
  <c r="H35" i="112" s="1"/>
  <c r="H22" i="132"/>
  <c r="I35" i="112" s="1"/>
  <c r="I22" i="132"/>
  <c r="J35" i="112" s="1"/>
  <c r="J22" i="132"/>
  <c r="K35" i="112" s="1"/>
  <c r="K22" i="132"/>
  <c r="L35" i="112" s="1"/>
  <c r="L22" i="132"/>
  <c r="M35" i="112" s="1"/>
  <c r="M22" i="132"/>
  <c r="N35" i="112" s="1"/>
  <c r="N22" i="132"/>
  <c r="O35" i="112" s="1"/>
  <c r="O22" i="132"/>
  <c r="P35" i="112" s="1"/>
  <c r="P22" i="132"/>
  <c r="Q35" i="112" s="1"/>
  <c r="Q22" i="132"/>
  <c r="R35" i="112" s="1"/>
  <c r="R22" i="132"/>
  <c r="S35" i="112" s="1"/>
  <c r="S22" i="132"/>
  <c r="T35" i="112" s="1"/>
  <c r="T22" i="132"/>
  <c r="U35" i="112" s="1"/>
  <c r="U22" i="132"/>
  <c r="V35" i="112" s="1"/>
  <c r="V22" i="132"/>
  <c r="W35" i="112" s="1"/>
  <c r="W22" i="132"/>
  <c r="X35" i="112" s="1"/>
  <c r="X22" i="132"/>
  <c r="Y35" i="112" s="1"/>
  <c r="Y22" i="132"/>
  <c r="Z35" i="112" s="1"/>
  <c r="Z22" i="132"/>
  <c r="AA35" i="112" s="1"/>
  <c r="AA22" i="132"/>
  <c r="AB35" i="112" s="1"/>
  <c r="D23" i="132"/>
  <c r="E36" i="112" s="1"/>
  <c r="E23" i="132"/>
  <c r="F36" i="112" s="1"/>
  <c r="F23" i="132"/>
  <c r="G36" i="112" s="1"/>
  <c r="G23" i="132"/>
  <c r="H36" i="112" s="1"/>
  <c r="H23" i="132"/>
  <c r="I36" i="112" s="1"/>
  <c r="I23" i="132"/>
  <c r="J36" i="112" s="1"/>
  <c r="J23" i="132"/>
  <c r="K36" i="112" s="1"/>
  <c r="K23" i="132"/>
  <c r="L36" i="112" s="1"/>
  <c r="L23" i="132"/>
  <c r="M36" i="112" s="1"/>
  <c r="M23" i="132"/>
  <c r="N36" i="112" s="1"/>
  <c r="N23" i="132"/>
  <c r="O36" i="112" s="1"/>
  <c r="O23" i="132"/>
  <c r="P36" i="112" s="1"/>
  <c r="P23" i="132"/>
  <c r="Q36" i="112" s="1"/>
  <c r="Q23" i="132"/>
  <c r="R36" i="112" s="1"/>
  <c r="R23" i="132"/>
  <c r="S36" i="112" s="1"/>
  <c r="S23" i="132"/>
  <c r="T36" i="112" s="1"/>
  <c r="T23" i="132"/>
  <c r="U36" i="112" s="1"/>
  <c r="U23" i="132"/>
  <c r="V36" i="112" s="1"/>
  <c r="V23" i="132"/>
  <c r="W36" i="112" s="1"/>
  <c r="W23" i="132"/>
  <c r="X36" i="112" s="1"/>
  <c r="X23" i="132"/>
  <c r="Y36" i="112" s="1"/>
  <c r="Y23" i="132"/>
  <c r="Z36" i="112" s="1"/>
  <c r="Z23" i="132"/>
  <c r="AA36" i="112" s="1"/>
  <c r="AA23" i="132"/>
  <c r="AB36" i="112" s="1"/>
  <c r="F24" i="132"/>
  <c r="G37" i="112" s="1"/>
  <c r="G24" i="132"/>
  <c r="H37" i="112" s="1"/>
  <c r="H24" i="132"/>
  <c r="I37" i="112" s="1"/>
  <c r="I24" i="132"/>
  <c r="J37" i="112" s="1"/>
  <c r="J24" i="132"/>
  <c r="K37" i="112" s="1"/>
  <c r="K24" i="132"/>
  <c r="L37" i="112" s="1"/>
  <c r="L24" i="132"/>
  <c r="M37" i="112" s="1"/>
  <c r="M24" i="132"/>
  <c r="N37" i="112" s="1"/>
  <c r="N24" i="132"/>
  <c r="O37" i="112" s="1"/>
  <c r="O24" i="132"/>
  <c r="P37" i="112" s="1"/>
  <c r="P24" i="132"/>
  <c r="Q37" i="112" s="1"/>
  <c r="Q24" i="132"/>
  <c r="R37" i="112" s="1"/>
  <c r="R24" i="132"/>
  <c r="S37" i="112" s="1"/>
  <c r="S24" i="132"/>
  <c r="T37" i="112" s="1"/>
  <c r="T24" i="132"/>
  <c r="U37" i="112" s="1"/>
  <c r="U24" i="132"/>
  <c r="V37" i="112" s="1"/>
  <c r="V24" i="132"/>
  <c r="W37" i="112" s="1"/>
  <c r="W24" i="132"/>
  <c r="X37" i="112" s="1"/>
  <c r="X24" i="132"/>
  <c r="Y37" i="112" s="1"/>
  <c r="Y24" i="132"/>
  <c r="Z37" i="112" s="1"/>
  <c r="Z24" i="132"/>
  <c r="AA37" i="112" s="1"/>
  <c r="AA24" i="132"/>
  <c r="AB37" i="112" s="1"/>
  <c r="B23" i="111"/>
  <c r="B23" i="141" s="1"/>
  <c r="B24" i="111"/>
  <c r="B24" i="141" s="1"/>
  <c r="B25" i="111"/>
  <c r="B25" i="141" s="1"/>
  <c r="B26" i="111"/>
  <c r="B26" i="141" s="1"/>
  <c r="B27" i="111"/>
  <c r="B27" i="141" s="1"/>
  <c r="B28" i="111"/>
  <c r="B28" i="141" s="1"/>
  <c r="B29" i="111"/>
  <c r="B29" i="141" s="1"/>
  <c r="B30" i="111"/>
  <c r="B30" i="141" s="1"/>
  <c r="B31" i="111"/>
  <c r="B31" i="141" s="1"/>
  <c r="B32" i="111"/>
  <c r="B32" i="141" s="1"/>
  <c r="B33" i="111"/>
  <c r="B33" i="141" s="1"/>
  <c r="B34" i="111"/>
  <c r="B34" i="141" s="1"/>
  <c r="B35" i="111"/>
  <c r="B35" i="141" s="1"/>
  <c r="B36" i="111"/>
  <c r="B36" i="141" s="1"/>
  <c r="B37" i="141"/>
  <c r="B22" i="111"/>
  <c r="B22" i="141" s="1"/>
  <c r="E21" i="111"/>
  <c r="E21" i="141" s="1"/>
  <c r="F21" i="111"/>
  <c r="F21" i="141" s="1"/>
  <c r="G21" i="111"/>
  <c r="G21" i="141" s="1"/>
  <c r="H21" i="111"/>
  <c r="H21" i="141" s="1"/>
  <c r="I21" i="111"/>
  <c r="I21" i="141" s="1"/>
  <c r="J21" i="111"/>
  <c r="J21" i="141" s="1"/>
  <c r="K21" i="111"/>
  <c r="K21" i="141" s="1"/>
  <c r="L21" i="111"/>
  <c r="L21" i="141" s="1"/>
  <c r="M21" i="111"/>
  <c r="M21" i="141" s="1"/>
  <c r="N21" i="111"/>
  <c r="N21" i="141" s="1"/>
  <c r="O21" i="111"/>
  <c r="O21" i="141" s="1"/>
  <c r="P21" i="111"/>
  <c r="P21" i="141" s="1"/>
  <c r="Q21" i="111"/>
  <c r="Q21" i="141" s="1"/>
  <c r="R21" i="111"/>
  <c r="R21" i="141" s="1"/>
  <c r="S21" i="111"/>
  <c r="S21" i="141" s="1"/>
  <c r="T21" i="111"/>
  <c r="T21" i="141" s="1"/>
  <c r="U21" i="111"/>
  <c r="U21" i="141" s="1"/>
  <c r="V21" i="111"/>
  <c r="V21" i="141" s="1"/>
  <c r="W21" i="111"/>
  <c r="W21" i="141" s="1"/>
  <c r="X21" i="111"/>
  <c r="X21" i="141" s="1"/>
  <c r="Y21" i="111"/>
  <c r="Y21" i="141" s="1"/>
  <c r="Z21" i="111"/>
  <c r="Z21" i="141" s="1"/>
  <c r="AA21" i="111"/>
  <c r="AA21" i="141" s="1"/>
  <c r="AB21" i="111"/>
  <c r="AB21" i="141" s="1"/>
  <c r="D21" i="111"/>
  <c r="D21" i="141" s="1"/>
  <c r="E22" i="111"/>
  <c r="F22" i="111"/>
  <c r="N22" i="111"/>
  <c r="O22" i="111"/>
  <c r="AB22" i="111"/>
  <c r="E23" i="111"/>
  <c r="F23" i="111"/>
  <c r="K23" i="111"/>
  <c r="L23" i="111"/>
  <c r="N23" i="111"/>
  <c r="AA23" i="111"/>
  <c r="AB23" i="111"/>
  <c r="E24" i="111"/>
  <c r="K24" i="111"/>
  <c r="N24" i="111"/>
  <c r="S24" i="111"/>
  <c r="AA24" i="111"/>
  <c r="F25" i="111"/>
  <c r="K25" i="111"/>
  <c r="S25" i="111"/>
  <c r="T25" i="111"/>
  <c r="AA25" i="111"/>
  <c r="K26" i="111"/>
  <c r="L26" i="111"/>
  <c r="N26" i="111"/>
  <c r="S26" i="111"/>
  <c r="V26" i="111"/>
  <c r="O27" i="111"/>
  <c r="S27" i="111"/>
  <c r="AA27" i="111"/>
  <c r="F28" i="111"/>
  <c r="K28" i="111"/>
  <c r="L28" i="111"/>
  <c r="N28" i="111"/>
  <c r="AA28" i="111"/>
  <c r="F29" i="111"/>
  <c r="K29" i="111"/>
  <c r="AA29" i="111"/>
  <c r="F30" i="111"/>
  <c r="K30" i="111"/>
  <c r="N30" i="111"/>
  <c r="V30" i="111"/>
  <c r="K31" i="111"/>
  <c r="AA31" i="111"/>
  <c r="F32" i="111"/>
  <c r="N32" i="111"/>
  <c r="F33" i="111"/>
  <c r="N33" i="111"/>
  <c r="O33" i="111"/>
  <c r="AB33" i="111"/>
  <c r="F34" i="111"/>
  <c r="L34" i="111"/>
  <c r="F36" i="111"/>
  <c r="N36" i="111"/>
  <c r="W36" i="111"/>
  <c r="D36" i="111"/>
  <c r="D35" i="111"/>
  <c r="D31" i="111"/>
  <c r="D30" i="111"/>
  <c r="D29" i="111"/>
  <c r="D28" i="111"/>
  <c r="C23" i="130" l="1"/>
  <c r="D22" i="111"/>
  <c r="D23" i="130"/>
  <c r="W23" i="130"/>
  <c r="Y23" i="130"/>
  <c r="Q23" i="130"/>
  <c r="I23" i="130"/>
  <c r="T23" i="130"/>
  <c r="X23" i="130"/>
  <c r="P23" i="130"/>
  <c r="H23" i="130"/>
  <c r="O23" i="130"/>
  <c r="L23" i="130"/>
  <c r="G23" i="130"/>
  <c r="AB37" i="111"/>
  <c r="D37" i="111"/>
  <c r="V37" i="111"/>
  <c r="N37" i="111"/>
  <c r="F37" i="111"/>
  <c r="M23" i="130"/>
  <c r="U37" i="111"/>
  <c r="M37" i="111"/>
  <c r="E37" i="111"/>
  <c r="K23" i="130"/>
  <c r="AA22" i="111"/>
  <c r="AA37" i="111" s="1"/>
  <c r="Z23" i="130"/>
  <c r="R23" i="130"/>
  <c r="S22" i="111"/>
  <c r="S37" i="111" s="1"/>
  <c r="S23" i="130"/>
  <c r="J23" i="130"/>
  <c r="K22" i="111"/>
  <c r="K37" i="111" s="1"/>
  <c r="E23" i="130"/>
  <c r="U23" i="130"/>
  <c r="T22" i="111"/>
  <c r="T37" i="111" s="1"/>
  <c r="X37" i="111"/>
  <c r="P37" i="111"/>
  <c r="H37" i="111"/>
  <c r="L22" i="111"/>
  <c r="L37" i="111" s="1"/>
  <c r="AA23" i="130"/>
  <c r="W37" i="111"/>
  <c r="O37" i="111"/>
  <c r="G37" i="111"/>
  <c r="V23" i="130"/>
  <c r="N23" i="130"/>
  <c r="F23" i="130"/>
  <c r="Z22" i="111"/>
  <c r="Z37" i="111" s="1"/>
  <c r="R22" i="111"/>
  <c r="R37" i="111" s="1"/>
  <c r="J22" i="111"/>
  <c r="J37" i="111" s="1"/>
  <c r="Y22" i="111"/>
  <c r="Y37" i="111" s="1"/>
  <c r="Q22" i="111"/>
  <c r="Q37" i="111" s="1"/>
  <c r="I22" i="111"/>
  <c r="I37" i="111" s="1"/>
  <c r="E78" i="112" l="1"/>
  <c r="F78" i="112"/>
  <c r="G78" i="112"/>
  <c r="H78" i="112"/>
  <c r="I78" i="112"/>
  <c r="J78" i="112"/>
  <c r="K78" i="112"/>
  <c r="L78" i="112"/>
  <c r="M78" i="112"/>
  <c r="N78" i="112"/>
  <c r="O78" i="112"/>
  <c r="P78" i="112"/>
  <c r="Q78" i="112"/>
  <c r="R78" i="112"/>
  <c r="S78" i="112"/>
  <c r="T78" i="112"/>
  <c r="U78" i="112"/>
  <c r="V78" i="112"/>
  <c r="W78" i="112"/>
  <c r="X78" i="112"/>
  <c r="Y78" i="112"/>
  <c r="Z78" i="112"/>
  <c r="AA78" i="112"/>
  <c r="AB78" i="112"/>
  <c r="D78" i="112"/>
  <c r="G23" i="136"/>
  <c r="D117" i="141"/>
  <c r="D118" i="141"/>
  <c r="D119" i="141"/>
  <c r="D120" i="141"/>
  <c r="D121" i="141"/>
  <c r="D123" i="141"/>
  <c r="D124" i="141"/>
  <c r="E117" i="141"/>
  <c r="F117" i="141"/>
  <c r="G117" i="141"/>
  <c r="H117" i="141"/>
  <c r="I117" i="141"/>
  <c r="J117" i="141"/>
  <c r="K117" i="141"/>
  <c r="L117" i="141"/>
  <c r="M117" i="141"/>
  <c r="N117" i="141"/>
  <c r="O117" i="141"/>
  <c r="P117" i="141"/>
  <c r="Q117" i="141"/>
  <c r="R117" i="141"/>
  <c r="S117" i="141"/>
  <c r="T117" i="141"/>
  <c r="U117" i="141"/>
  <c r="V117" i="141"/>
  <c r="W117" i="141"/>
  <c r="X117" i="141"/>
  <c r="Y117" i="141"/>
  <c r="Z117" i="141"/>
  <c r="AA117" i="141"/>
  <c r="AB117" i="141"/>
  <c r="E118" i="141"/>
  <c r="F118" i="141"/>
  <c r="G118" i="141"/>
  <c r="H118" i="141"/>
  <c r="I118" i="141"/>
  <c r="J118" i="141"/>
  <c r="K118" i="141"/>
  <c r="L118" i="141"/>
  <c r="M118" i="141"/>
  <c r="N118" i="141"/>
  <c r="O118" i="141"/>
  <c r="P118" i="141"/>
  <c r="Q118" i="141"/>
  <c r="R118" i="141"/>
  <c r="S118" i="141"/>
  <c r="T118" i="141"/>
  <c r="U118" i="141"/>
  <c r="V118" i="141"/>
  <c r="W118" i="141"/>
  <c r="X118" i="141"/>
  <c r="Y118" i="141"/>
  <c r="Z118" i="141"/>
  <c r="AA118" i="141"/>
  <c r="AB118" i="141"/>
  <c r="E119" i="141"/>
  <c r="F119" i="141"/>
  <c r="G119" i="141"/>
  <c r="H119" i="141"/>
  <c r="I119" i="141"/>
  <c r="J119" i="141"/>
  <c r="K119" i="141"/>
  <c r="L119" i="141"/>
  <c r="M119" i="141"/>
  <c r="N119" i="141"/>
  <c r="O119" i="141"/>
  <c r="P119" i="141"/>
  <c r="Q119" i="141"/>
  <c r="R119" i="141"/>
  <c r="S119" i="141"/>
  <c r="T119" i="141"/>
  <c r="U119" i="141"/>
  <c r="V119" i="141"/>
  <c r="W119" i="141"/>
  <c r="X119" i="141"/>
  <c r="Y119" i="141"/>
  <c r="Z119" i="141"/>
  <c r="AA119" i="141"/>
  <c r="AB119" i="141"/>
  <c r="E120" i="141"/>
  <c r="F120" i="141"/>
  <c r="G120" i="141"/>
  <c r="H120" i="141"/>
  <c r="I120" i="141"/>
  <c r="J120" i="141"/>
  <c r="K120" i="141"/>
  <c r="L120" i="141"/>
  <c r="M120" i="141"/>
  <c r="N120" i="141"/>
  <c r="O120" i="141"/>
  <c r="P120" i="141"/>
  <c r="Q120" i="141"/>
  <c r="R120" i="141"/>
  <c r="S120" i="141"/>
  <c r="T120" i="141"/>
  <c r="U120" i="141"/>
  <c r="V120" i="141"/>
  <c r="W120" i="141"/>
  <c r="X120" i="141"/>
  <c r="Y120" i="141"/>
  <c r="Z120" i="141"/>
  <c r="AA120" i="141"/>
  <c r="AB120" i="141"/>
  <c r="E121" i="141"/>
  <c r="F121" i="141"/>
  <c r="G121" i="141"/>
  <c r="H121" i="141"/>
  <c r="I121" i="141"/>
  <c r="J121" i="141"/>
  <c r="K121" i="141"/>
  <c r="L121" i="141"/>
  <c r="M121" i="141"/>
  <c r="N121" i="141"/>
  <c r="O121" i="141"/>
  <c r="P121" i="141"/>
  <c r="Q121" i="141"/>
  <c r="R121" i="141"/>
  <c r="S121" i="141"/>
  <c r="T121" i="141"/>
  <c r="U121" i="141"/>
  <c r="V121" i="141"/>
  <c r="W121" i="141"/>
  <c r="X121" i="141"/>
  <c r="Y121" i="141"/>
  <c r="Z121" i="141"/>
  <c r="AA121" i="141"/>
  <c r="AB121" i="141"/>
  <c r="E123" i="141"/>
  <c r="F123" i="141"/>
  <c r="G123" i="141"/>
  <c r="H123" i="141"/>
  <c r="I123" i="141"/>
  <c r="J123" i="141"/>
  <c r="K123" i="141"/>
  <c r="L123" i="141"/>
  <c r="M123" i="141"/>
  <c r="N123" i="141"/>
  <c r="O123" i="141"/>
  <c r="P123" i="141"/>
  <c r="Q123" i="141"/>
  <c r="R123" i="141"/>
  <c r="S123" i="141"/>
  <c r="T123" i="141"/>
  <c r="U123" i="141"/>
  <c r="V123" i="141"/>
  <c r="W123" i="141"/>
  <c r="X123" i="141"/>
  <c r="Y123" i="141"/>
  <c r="Z123" i="141"/>
  <c r="AA123" i="141"/>
  <c r="AB123" i="141"/>
  <c r="E124" i="141"/>
  <c r="F124" i="141"/>
  <c r="G124" i="141"/>
  <c r="H124" i="141"/>
  <c r="I124" i="141"/>
  <c r="J124" i="141"/>
  <c r="K124" i="141"/>
  <c r="L124" i="141"/>
  <c r="M124" i="141"/>
  <c r="N124" i="141"/>
  <c r="O124" i="141"/>
  <c r="P124" i="141"/>
  <c r="Q124" i="141"/>
  <c r="R124" i="141"/>
  <c r="S124" i="141"/>
  <c r="T124" i="141"/>
  <c r="U124" i="141"/>
  <c r="V124" i="141"/>
  <c r="W124" i="141"/>
  <c r="X124" i="141"/>
  <c r="Y124" i="141"/>
  <c r="Z124" i="141"/>
  <c r="AA124" i="141"/>
  <c r="AB124" i="141"/>
  <c r="B98" i="142"/>
  <c r="B99" i="142"/>
  <c r="B100" i="142"/>
  <c r="B101" i="142"/>
  <c r="B102" i="142"/>
  <c r="B103" i="142"/>
  <c r="B104" i="142"/>
  <c r="B105" i="142"/>
  <c r="B106" i="142"/>
  <c r="B107" i="142"/>
  <c r="B108" i="142"/>
  <c r="B109" i="142"/>
  <c r="B110" i="142"/>
  <c r="B111" i="142"/>
  <c r="B112" i="142"/>
  <c r="B113" i="142"/>
  <c r="B113" i="112"/>
  <c r="B112" i="112"/>
  <c r="B111" i="112"/>
  <c r="B110" i="112"/>
  <c r="B109" i="112"/>
  <c r="B108" i="112"/>
  <c r="B107" i="112"/>
  <c r="B106" i="112"/>
  <c r="B105" i="112"/>
  <c r="B104" i="112"/>
  <c r="B103" i="112"/>
  <c r="B102" i="112"/>
  <c r="B101" i="112"/>
  <c r="B100" i="112"/>
  <c r="B99" i="112"/>
  <c r="B98" i="112"/>
  <c r="B84" i="133"/>
  <c r="B88" i="133"/>
  <c r="D84" i="133"/>
  <c r="C8" i="133"/>
  <c r="C9" i="133"/>
  <c r="C97" i="141" l="1"/>
  <c r="B99" i="111" l="1"/>
  <c r="B99" i="141" s="1"/>
  <c r="B100" i="111"/>
  <c r="B100" i="141" s="1"/>
  <c r="B101" i="111"/>
  <c r="B101" i="141" s="1"/>
  <c r="B102" i="111"/>
  <c r="B102" i="141" s="1"/>
  <c r="B103" i="111"/>
  <c r="B103" i="141" s="1"/>
  <c r="B104" i="111"/>
  <c r="B104" i="141" s="1"/>
  <c r="B105" i="111"/>
  <c r="B105" i="141" s="1"/>
  <c r="B106" i="111"/>
  <c r="B106" i="141" s="1"/>
  <c r="B107" i="111"/>
  <c r="B107" i="141" s="1"/>
  <c r="B108" i="111"/>
  <c r="B108" i="141" s="1"/>
  <c r="B109" i="111"/>
  <c r="B109" i="141" s="1"/>
  <c r="B110" i="111"/>
  <c r="B110" i="141" s="1"/>
  <c r="B111" i="111"/>
  <c r="B111" i="141" s="1"/>
  <c r="B112" i="111"/>
  <c r="B112" i="141" s="1"/>
  <c r="B113" i="111"/>
  <c r="B113" i="141" s="1"/>
  <c r="B98" i="111"/>
  <c r="B98" i="141" s="1"/>
  <c r="E40" i="36" l="1"/>
  <c r="F40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Y40" i="36"/>
  <c r="Z40" i="36"/>
  <c r="AA40" i="36"/>
  <c r="AB40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AB41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AB42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AB43" i="36"/>
  <c r="D41" i="36"/>
  <c r="D42" i="36"/>
  <c r="D43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R32" i="36"/>
  <c r="S32" i="36"/>
  <c r="T32" i="36"/>
  <c r="U32" i="36"/>
  <c r="V32" i="36"/>
  <c r="W32" i="36"/>
  <c r="X32" i="36"/>
  <c r="Y32" i="36"/>
  <c r="Z32" i="36"/>
  <c r="AA32" i="36"/>
  <c r="AB32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Y33" i="36"/>
  <c r="Z33" i="36"/>
  <c r="AA33" i="36"/>
  <c r="AB33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Y34" i="36"/>
  <c r="Z34" i="36"/>
  <c r="AA34" i="36"/>
  <c r="AB34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Y35" i="36"/>
  <c r="Z35" i="36"/>
  <c r="AA35" i="36"/>
  <c r="AB35" i="36"/>
  <c r="D33" i="36"/>
  <c r="D34" i="36"/>
  <c r="D35" i="36"/>
  <c r="D32" i="36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E104" i="34"/>
  <c r="F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E106" i="34"/>
  <c r="F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D107" i="34"/>
  <c r="D106" i="34"/>
  <c r="D104" i="34"/>
  <c r="D103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D97" i="34"/>
  <c r="E96" i="34"/>
  <c r="F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E94" i="34"/>
  <c r="F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D96" i="34"/>
  <c r="D94" i="34"/>
  <c r="H50" i="83" l="1"/>
  <c r="I50" i="83"/>
  <c r="J50" i="83"/>
  <c r="K50" i="83"/>
  <c r="L50" i="83"/>
  <c r="G50" i="83"/>
  <c r="H44" i="83"/>
  <c r="I44" i="83"/>
  <c r="J44" i="83"/>
  <c r="K44" i="83"/>
  <c r="L44" i="83"/>
  <c r="G44" i="83"/>
  <c r="G96" i="34" l="1"/>
  <c r="G94" i="34"/>
  <c r="G104" i="34"/>
  <c r="G106" i="34"/>
  <c r="K104" i="34"/>
  <c r="K106" i="34"/>
  <c r="K94" i="34"/>
  <c r="K96" i="34"/>
  <c r="L104" i="34"/>
  <c r="L106" i="34"/>
  <c r="L94" i="34"/>
  <c r="L96" i="34"/>
  <c r="J104" i="34"/>
  <c r="J106" i="34"/>
  <c r="J96" i="34"/>
  <c r="J94" i="34"/>
  <c r="I104" i="34"/>
  <c r="I96" i="34"/>
  <c r="I94" i="34"/>
  <c r="I106" i="34"/>
  <c r="H96" i="34"/>
  <c r="H94" i="34"/>
  <c r="H104" i="34"/>
  <c r="H106" i="34"/>
  <c r="E106" i="36" l="1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D106" i="36"/>
  <c r="D78" i="142" l="1"/>
  <c r="E78" i="142"/>
  <c r="F78" i="142"/>
  <c r="G78" i="142"/>
  <c r="H78" i="142"/>
  <c r="I78" i="142"/>
  <c r="J78" i="142"/>
  <c r="K78" i="142"/>
  <c r="L78" i="142"/>
  <c r="M78" i="142"/>
  <c r="N78" i="142"/>
  <c r="O78" i="142"/>
  <c r="P78" i="142"/>
  <c r="Q78" i="142"/>
  <c r="R78" i="142"/>
  <c r="S78" i="142"/>
  <c r="T78" i="142"/>
  <c r="U78" i="142"/>
  <c r="V78" i="142"/>
  <c r="W78" i="142"/>
  <c r="X78" i="142"/>
  <c r="Y78" i="142"/>
  <c r="Z78" i="142"/>
  <c r="AA78" i="142"/>
  <c r="AB78" i="142"/>
  <c r="B80" i="141"/>
  <c r="B81" i="141"/>
  <c r="B82" i="141"/>
  <c r="B83" i="141"/>
  <c r="B84" i="141"/>
  <c r="B85" i="141"/>
  <c r="B86" i="141"/>
  <c r="B87" i="141"/>
  <c r="B88" i="141"/>
  <c r="B89" i="141"/>
  <c r="B90" i="141"/>
  <c r="B91" i="141"/>
  <c r="B92" i="141"/>
  <c r="B93" i="141"/>
  <c r="B94" i="141"/>
  <c r="B79" i="141"/>
  <c r="B80" i="112"/>
  <c r="B81" i="112"/>
  <c r="B82" i="112"/>
  <c r="B83" i="112"/>
  <c r="B84" i="112"/>
  <c r="B85" i="112"/>
  <c r="B86" i="112"/>
  <c r="B87" i="112"/>
  <c r="B88" i="112"/>
  <c r="B89" i="112"/>
  <c r="B90" i="112"/>
  <c r="B91" i="112"/>
  <c r="B92" i="112"/>
  <c r="B93" i="112"/>
  <c r="B94" i="112"/>
  <c r="B79" i="112"/>
  <c r="B80" i="142"/>
  <c r="B81" i="142"/>
  <c r="B82" i="142"/>
  <c r="B83" i="142"/>
  <c r="B84" i="142"/>
  <c r="B85" i="142"/>
  <c r="B86" i="142"/>
  <c r="B87" i="142"/>
  <c r="B88" i="142"/>
  <c r="B89" i="142"/>
  <c r="B90" i="142"/>
  <c r="B91" i="142"/>
  <c r="B92" i="142"/>
  <c r="B93" i="142"/>
  <c r="B94" i="142"/>
  <c r="B79" i="142"/>
  <c r="C78" i="112"/>
  <c r="C116" i="141"/>
  <c r="B94" i="111"/>
  <c r="B93" i="111"/>
  <c r="B92" i="111"/>
  <c r="B91" i="111"/>
  <c r="B90" i="111"/>
  <c r="B89" i="111"/>
  <c r="B88" i="111"/>
  <c r="B87" i="111"/>
  <c r="B86" i="111"/>
  <c r="B85" i="111"/>
  <c r="B84" i="111"/>
  <c r="B83" i="111"/>
  <c r="B82" i="111"/>
  <c r="B81" i="111"/>
  <c r="B80" i="111"/>
  <c r="B79" i="111"/>
  <c r="AB78" i="111"/>
  <c r="AA78" i="111"/>
  <c r="Z78" i="111"/>
  <c r="Y78" i="111"/>
  <c r="X78" i="111"/>
  <c r="W78" i="111"/>
  <c r="V78" i="111"/>
  <c r="U78" i="111"/>
  <c r="T78" i="111"/>
  <c r="S78" i="111"/>
  <c r="R78" i="111"/>
  <c r="Q78" i="111"/>
  <c r="P78" i="111"/>
  <c r="O78" i="111"/>
  <c r="N78" i="111"/>
  <c r="M78" i="111"/>
  <c r="L78" i="111"/>
  <c r="K78" i="111"/>
  <c r="J78" i="111"/>
  <c r="I78" i="111"/>
  <c r="H78" i="111"/>
  <c r="G78" i="111"/>
  <c r="F78" i="111"/>
  <c r="E78" i="111"/>
  <c r="D78" i="111"/>
  <c r="C78" i="111"/>
  <c r="AB143" i="142" l="1"/>
  <c r="AA143" i="142"/>
  <c r="Z143" i="142"/>
  <c r="Y143" i="142"/>
  <c r="X143" i="142"/>
  <c r="W143" i="142"/>
  <c r="V143" i="142"/>
  <c r="U143" i="142"/>
  <c r="T143" i="142"/>
  <c r="S143" i="142"/>
  <c r="R143" i="142"/>
  <c r="Q143" i="142"/>
  <c r="P143" i="142"/>
  <c r="O143" i="142"/>
  <c r="N143" i="142"/>
  <c r="M143" i="142"/>
  <c r="L143" i="142"/>
  <c r="K143" i="142"/>
  <c r="J143" i="142"/>
  <c r="I143" i="142"/>
  <c r="H143" i="142"/>
  <c r="G143" i="142"/>
  <c r="F143" i="142"/>
  <c r="E143" i="142"/>
  <c r="D143" i="142"/>
  <c r="AB142" i="142"/>
  <c r="AA142" i="142"/>
  <c r="Z142" i="142"/>
  <c r="Y142" i="142"/>
  <c r="X142" i="142"/>
  <c r="W142" i="142"/>
  <c r="V142" i="142"/>
  <c r="U142" i="142"/>
  <c r="T142" i="142"/>
  <c r="S142" i="142"/>
  <c r="R142" i="142"/>
  <c r="Q142" i="142"/>
  <c r="P142" i="142"/>
  <c r="O142" i="142"/>
  <c r="N142" i="142"/>
  <c r="M142" i="142"/>
  <c r="L142" i="142"/>
  <c r="K142" i="142"/>
  <c r="J142" i="142"/>
  <c r="I142" i="142"/>
  <c r="H142" i="142"/>
  <c r="G142" i="142"/>
  <c r="F142" i="142"/>
  <c r="E142" i="142"/>
  <c r="D142" i="142"/>
  <c r="AB138" i="142"/>
  <c r="AA138" i="142"/>
  <c r="Z138" i="142"/>
  <c r="Y138" i="142"/>
  <c r="X138" i="142"/>
  <c r="W138" i="142"/>
  <c r="V138" i="142"/>
  <c r="U138" i="142"/>
  <c r="T138" i="142"/>
  <c r="S138" i="142"/>
  <c r="R138" i="142"/>
  <c r="Q138" i="142"/>
  <c r="P138" i="142"/>
  <c r="O138" i="142"/>
  <c r="N138" i="142"/>
  <c r="M138" i="142"/>
  <c r="L138" i="142"/>
  <c r="K138" i="142"/>
  <c r="J138" i="142"/>
  <c r="I138" i="142"/>
  <c r="H138" i="142"/>
  <c r="G138" i="142"/>
  <c r="F138" i="142"/>
  <c r="E138" i="142"/>
  <c r="D138" i="142"/>
  <c r="AB137" i="142"/>
  <c r="AA137" i="142"/>
  <c r="Z137" i="142"/>
  <c r="Y137" i="142"/>
  <c r="X137" i="142"/>
  <c r="W137" i="142"/>
  <c r="V137" i="142"/>
  <c r="U137" i="142"/>
  <c r="T137" i="142"/>
  <c r="S137" i="142"/>
  <c r="R137" i="142"/>
  <c r="Q137" i="142"/>
  <c r="P137" i="142"/>
  <c r="O137" i="142"/>
  <c r="N137" i="142"/>
  <c r="M137" i="142"/>
  <c r="L137" i="142"/>
  <c r="K137" i="142"/>
  <c r="J137" i="142"/>
  <c r="I137" i="142"/>
  <c r="H137" i="142"/>
  <c r="G137" i="142"/>
  <c r="F137" i="142"/>
  <c r="E137" i="142"/>
  <c r="D137" i="142"/>
  <c r="AB136" i="142"/>
  <c r="AA136" i="142"/>
  <c r="Z136" i="142"/>
  <c r="Y136" i="142"/>
  <c r="X136" i="142"/>
  <c r="W136" i="142"/>
  <c r="V136" i="142"/>
  <c r="U136" i="142"/>
  <c r="T136" i="142"/>
  <c r="S136" i="142"/>
  <c r="R136" i="142"/>
  <c r="Q136" i="142"/>
  <c r="P136" i="142"/>
  <c r="O136" i="142"/>
  <c r="N136" i="142"/>
  <c r="M136" i="142"/>
  <c r="L136" i="142"/>
  <c r="K136" i="142"/>
  <c r="J136" i="142"/>
  <c r="I136" i="142"/>
  <c r="H136" i="142"/>
  <c r="G136" i="142"/>
  <c r="F136" i="142"/>
  <c r="E136" i="142"/>
  <c r="D136" i="142"/>
  <c r="AB124" i="142"/>
  <c r="AA124" i="142"/>
  <c r="Z124" i="142"/>
  <c r="Y124" i="142"/>
  <c r="X124" i="142"/>
  <c r="W124" i="142"/>
  <c r="V124" i="142"/>
  <c r="U124" i="142"/>
  <c r="T124" i="142"/>
  <c r="S124" i="142"/>
  <c r="R124" i="142"/>
  <c r="Q124" i="142"/>
  <c r="P124" i="142"/>
  <c r="O124" i="142"/>
  <c r="N124" i="142"/>
  <c r="M124" i="142"/>
  <c r="L124" i="142"/>
  <c r="K124" i="142"/>
  <c r="J124" i="142"/>
  <c r="I124" i="142"/>
  <c r="H124" i="142"/>
  <c r="G124" i="142"/>
  <c r="F124" i="142"/>
  <c r="E124" i="142"/>
  <c r="D124" i="142"/>
  <c r="AB123" i="142"/>
  <c r="AA123" i="142"/>
  <c r="Z123" i="142"/>
  <c r="Y123" i="142"/>
  <c r="X123" i="142"/>
  <c r="W123" i="142"/>
  <c r="V123" i="142"/>
  <c r="U123" i="142"/>
  <c r="T123" i="142"/>
  <c r="S123" i="142"/>
  <c r="R123" i="142"/>
  <c r="Q123" i="142"/>
  <c r="P123" i="142"/>
  <c r="O123" i="142"/>
  <c r="N123" i="142"/>
  <c r="M123" i="142"/>
  <c r="L123" i="142"/>
  <c r="K123" i="142"/>
  <c r="J123" i="142"/>
  <c r="I123" i="142"/>
  <c r="H123" i="142"/>
  <c r="G123" i="142"/>
  <c r="F123" i="142"/>
  <c r="E123" i="142"/>
  <c r="D123" i="142"/>
  <c r="AB121" i="142"/>
  <c r="AA121" i="142"/>
  <c r="Z121" i="142"/>
  <c r="Y121" i="142"/>
  <c r="X121" i="142"/>
  <c r="W121" i="142"/>
  <c r="V121" i="142"/>
  <c r="U121" i="142"/>
  <c r="T121" i="142"/>
  <c r="S121" i="142"/>
  <c r="R121" i="142"/>
  <c r="Q121" i="142"/>
  <c r="P121" i="142"/>
  <c r="O121" i="142"/>
  <c r="N121" i="142"/>
  <c r="M121" i="142"/>
  <c r="L121" i="142"/>
  <c r="K121" i="142"/>
  <c r="J121" i="142"/>
  <c r="I121" i="142"/>
  <c r="H121" i="142"/>
  <c r="G121" i="142"/>
  <c r="F121" i="142"/>
  <c r="E121" i="142"/>
  <c r="D121" i="142"/>
  <c r="AB120" i="142"/>
  <c r="AA120" i="142"/>
  <c r="Z120" i="142"/>
  <c r="Y120" i="142"/>
  <c r="X120" i="142"/>
  <c r="W120" i="142"/>
  <c r="V120" i="142"/>
  <c r="U120" i="142"/>
  <c r="T120" i="142"/>
  <c r="S120" i="142"/>
  <c r="R120" i="142"/>
  <c r="Q120" i="142"/>
  <c r="P120" i="142"/>
  <c r="O120" i="142"/>
  <c r="N120" i="142"/>
  <c r="M120" i="142"/>
  <c r="L120" i="142"/>
  <c r="K120" i="142"/>
  <c r="J120" i="142"/>
  <c r="I120" i="142"/>
  <c r="H120" i="142"/>
  <c r="G120" i="142"/>
  <c r="F120" i="142"/>
  <c r="E120" i="142"/>
  <c r="D120" i="142"/>
  <c r="AB119" i="142"/>
  <c r="AA119" i="142"/>
  <c r="Z119" i="142"/>
  <c r="Y119" i="142"/>
  <c r="X119" i="142"/>
  <c r="W119" i="142"/>
  <c r="V119" i="142"/>
  <c r="U119" i="142"/>
  <c r="T119" i="142"/>
  <c r="S119" i="142"/>
  <c r="R119" i="142"/>
  <c r="Q119" i="142"/>
  <c r="P119" i="142"/>
  <c r="O119" i="142"/>
  <c r="N119" i="142"/>
  <c r="M119" i="142"/>
  <c r="L119" i="142"/>
  <c r="K119" i="142"/>
  <c r="J119" i="142"/>
  <c r="I119" i="142"/>
  <c r="H119" i="142"/>
  <c r="G119" i="142"/>
  <c r="F119" i="142"/>
  <c r="E119" i="142"/>
  <c r="D119" i="142"/>
  <c r="AB118" i="142"/>
  <c r="AA118" i="142"/>
  <c r="Z118" i="142"/>
  <c r="Y118" i="142"/>
  <c r="X118" i="142"/>
  <c r="W118" i="142"/>
  <c r="V118" i="142"/>
  <c r="U118" i="142"/>
  <c r="T118" i="142"/>
  <c r="S118" i="142"/>
  <c r="R118" i="142"/>
  <c r="Q118" i="142"/>
  <c r="P118" i="142"/>
  <c r="O118" i="142"/>
  <c r="N118" i="142"/>
  <c r="M118" i="142"/>
  <c r="L118" i="142"/>
  <c r="K118" i="142"/>
  <c r="J118" i="142"/>
  <c r="I118" i="142"/>
  <c r="H118" i="142"/>
  <c r="G118" i="142"/>
  <c r="F118" i="142"/>
  <c r="E118" i="142"/>
  <c r="D118" i="142"/>
  <c r="AB117" i="142"/>
  <c r="AA117" i="142"/>
  <c r="Z117" i="142"/>
  <c r="Y117" i="142"/>
  <c r="X117" i="142"/>
  <c r="W117" i="142"/>
  <c r="V117" i="142"/>
  <c r="U117" i="142"/>
  <c r="T117" i="142"/>
  <c r="S117" i="142"/>
  <c r="R117" i="142"/>
  <c r="Q117" i="142"/>
  <c r="P117" i="142"/>
  <c r="O117" i="142"/>
  <c r="N117" i="142"/>
  <c r="M117" i="142"/>
  <c r="L117" i="142"/>
  <c r="K117" i="142"/>
  <c r="J117" i="142"/>
  <c r="I117" i="142"/>
  <c r="H117" i="142"/>
  <c r="G117" i="142"/>
  <c r="F117" i="142"/>
  <c r="E117" i="142"/>
  <c r="D117" i="142"/>
  <c r="B75" i="142"/>
  <c r="B74" i="142"/>
  <c r="B73" i="142"/>
  <c r="B72" i="142"/>
  <c r="B71" i="142"/>
  <c r="B70" i="142"/>
  <c r="B69" i="142"/>
  <c r="B68" i="142"/>
  <c r="B67" i="142"/>
  <c r="B66" i="142"/>
  <c r="B65" i="142"/>
  <c r="B64" i="142"/>
  <c r="B63" i="142"/>
  <c r="B62" i="142"/>
  <c r="B61" i="142"/>
  <c r="B60" i="142"/>
  <c r="AB59" i="142"/>
  <c r="AA59" i="142"/>
  <c r="Z59" i="142"/>
  <c r="Y59" i="142"/>
  <c r="X59" i="142"/>
  <c r="W59" i="142"/>
  <c r="V59" i="142"/>
  <c r="U59" i="142"/>
  <c r="T59" i="142"/>
  <c r="S59" i="142"/>
  <c r="R59" i="142"/>
  <c r="Q59" i="142"/>
  <c r="P59" i="142"/>
  <c r="O59" i="142"/>
  <c r="N59" i="142"/>
  <c r="M59" i="142"/>
  <c r="L59" i="142"/>
  <c r="K59" i="142"/>
  <c r="J59" i="142"/>
  <c r="I59" i="142"/>
  <c r="H59" i="142"/>
  <c r="G59" i="142"/>
  <c r="F59" i="142"/>
  <c r="E59" i="142"/>
  <c r="D59" i="142"/>
  <c r="C59" i="142"/>
  <c r="B56" i="142"/>
  <c r="B55" i="142"/>
  <c r="B54" i="142"/>
  <c r="B53" i="142"/>
  <c r="B52" i="142"/>
  <c r="B51" i="142"/>
  <c r="B50" i="142"/>
  <c r="B49" i="142"/>
  <c r="B48" i="142"/>
  <c r="B47" i="142"/>
  <c r="B46" i="142"/>
  <c r="B45" i="142"/>
  <c r="B44" i="142"/>
  <c r="B43" i="142"/>
  <c r="B42" i="142"/>
  <c r="AB40" i="142"/>
  <c r="AA40" i="142"/>
  <c r="Z40" i="142"/>
  <c r="Y40" i="142"/>
  <c r="X40" i="142"/>
  <c r="W40" i="142"/>
  <c r="V40" i="142"/>
  <c r="U40" i="142"/>
  <c r="T40" i="142"/>
  <c r="S40" i="142"/>
  <c r="R40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E40" i="142"/>
  <c r="D40" i="142"/>
  <c r="C40" i="142"/>
  <c r="AB21" i="142"/>
  <c r="AA21" i="142"/>
  <c r="Z21" i="142"/>
  <c r="Y21" i="142"/>
  <c r="X21" i="142"/>
  <c r="W21" i="142"/>
  <c r="V21" i="142"/>
  <c r="U21" i="142"/>
  <c r="T21" i="142"/>
  <c r="S21" i="142"/>
  <c r="R21" i="142"/>
  <c r="Q21" i="142"/>
  <c r="P21" i="142"/>
  <c r="O21" i="142"/>
  <c r="N21" i="142"/>
  <c r="M21" i="142"/>
  <c r="L21" i="142"/>
  <c r="K21" i="142"/>
  <c r="J21" i="142"/>
  <c r="I21" i="142"/>
  <c r="H21" i="142"/>
  <c r="G21" i="142"/>
  <c r="F21" i="142"/>
  <c r="E21" i="142"/>
  <c r="D21" i="142"/>
  <c r="AB143" i="141"/>
  <c r="AA143" i="141"/>
  <c r="Z143" i="141"/>
  <c r="Y143" i="141"/>
  <c r="X143" i="141"/>
  <c r="W143" i="141"/>
  <c r="V143" i="141"/>
  <c r="U143" i="141"/>
  <c r="T143" i="141"/>
  <c r="S143" i="141"/>
  <c r="R143" i="141"/>
  <c r="Q143" i="141"/>
  <c r="P143" i="141"/>
  <c r="O143" i="141"/>
  <c r="N143" i="141"/>
  <c r="M143" i="141"/>
  <c r="L143" i="141"/>
  <c r="K143" i="141"/>
  <c r="J143" i="141"/>
  <c r="I143" i="141"/>
  <c r="H143" i="141"/>
  <c r="G143" i="141"/>
  <c r="F143" i="141"/>
  <c r="E143" i="141"/>
  <c r="D143" i="141"/>
  <c r="AB142" i="141"/>
  <c r="AA142" i="141"/>
  <c r="Z142" i="141"/>
  <c r="Y142" i="141"/>
  <c r="X142" i="141"/>
  <c r="W142" i="141"/>
  <c r="V142" i="141"/>
  <c r="U142" i="141"/>
  <c r="T142" i="141"/>
  <c r="S142" i="141"/>
  <c r="R142" i="141"/>
  <c r="Q142" i="141"/>
  <c r="P142" i="141"/>
  <c r="O142" i="141"/>
  <c r="N142" i="141"/>
  <c r="M142" i="141"/>
  <c r="L142" i="141"/>
  <c r="K142" i="141"/>
  <c r="J142" i="141"/>
  <c r="I142" i="141"/>
  <c r="H142" i="141"/>
  <c r="G142" i="141"/>
  <c r="F142" i="141"/>
  <c r="E142" i="141"/>
  <c r="D142" i="141"/>
  <c r="AB138" i="141"/>
  <c r="AA138" i="141"/>
  <c r="Z138" i="141"/>
  <c r="Y138" i="141"/>
  <c r="X138" i="141"/>
  <c r="W138" i="141"/>
  <c r="V138" i="141"/>
  <c r="U138" i="141"/>
  <c r="T138" i="141"/>
  <c r="S138" i="141"/>
  <c r="R138" i="141"/>
  <c r="Q138" i="141"/>
  <c r="P138" i="141"/>
  <c r="O138" i="141"/>
  <c r="N138" i="141"/>
  <c r="M138" i="141"/>
  <c r="L138" i="141"/>
  <c r="K138" i="141"/>
  <c r="J138" i="141"/>
  <c r="I138" i="141"/>
  <c r="H138" i="141"/>
  <c r="G138" i="141"/>
  <c r="F138" i="141"/>
  <c r="E138" i="141"/>
  <c r="D138" i="141"/>
  <c r="AB137" i="141"/>
  <c r="AA137" i="141"/>
  <c r="Z137" i="141"/>
  <c r="Y137" i="141"/>
  <c r="X137" i="141"/>
  <c r="W137" i="141"/>
  <c r="V137" i="141"/>
  <c r="U137" i="141"/>
  <c r="T137" i="141"/>
  <c r="S137" i="141"/>
  <c r="R137" i="141"/>
  <c r="Q137" i="141"/>
  <c r="P137" i="141"/>
  <c r="O137" i="141"/>
  <c r="N137" i="141"/>
  <c r="M137" i="141"/>
  <c r="L137" i="141"/>
  <c r="K137" i="141"/>
  <c r="J137" i="141"/>
  <c r="I137" i="141"/>
  <c r="H137" i="141"/>
  <c r="G137" i="141"/>
  <c r="F137" i="141"/>
  <c r="E137" i="141"/>
  <c r="D137" i="141"/>
  <c r="AB136" i="141"/>
  <c r="AA136" i="141"/>
  <c r="Z136" i="141"/>
  <c r="Y136" i="141"/>
  <c r="X136" i="141"/>
  <c r="W136" i="141"/>
  <c r="V136" i="141"/>
  <c r="U136" i="141"/>
  <c r="T136" i="141"/>
  <c r="S136" i="141"/>
  <c r="R136" i="141"/>
  <c r="Q136" i="141"/>
  <c r="P136" i="141"/>
  <c r="O136" i="141"/>
  <c r="N136" i="141"/>
  <c r="M136" i="141"/>
  <c r="L136" i="141"/>
  <c r="K136" i="141"/>
  <c r="J136" i="141"/>
  <c r="I136" i="141"/>
  <c r="H136" i="141"/>
  <c r="G136" i="141"/>
  <c r="F136" i="141"/>
  <c r="E136" i="141"/>
  <c r="D136" i="141"/>
  <c r="C135" i="141"/>
  <c r="B75" i="141"/>
  <c r="B74" i="141"/>
  <c r="B73" i="141"/>
  <c r="B72" i="141"/>
  <c r="B71" i="141"/>
  <c r="B70" i="141"/>
  <c r="B69" i="141"/>
  <c r="B68" i="141"/>
  <c r="B67" i="141"/>
  <c r="B66" i="141"/>
  <c r="B65" i="141"/>
  <c r="B64" i="141"/>
  <c r="B63" i="141"/>
  <c r="B62" i="141"/>
  <c r="B61" i="141"/>
  <c r="B60" i="141"/>
  <c r="AB59" i="141"/>
  <c r="AA59" i="141"/>
  <c r="Z59" i="141"/>
  <c r="Y59" i="141"/>
  <c r="X59" i="141"/>
  <c r="W59" i="141"/>
  <c r="V59" i="141"/>
  <c r="U59" i="141"/>
  <c r="T59" i="141"/>
  <c r="S59" i="141"/>
  <c r="R59" i="141"/>
  <c r="Q59" i="141"/>
  <c r="P59" i="141"/>
  <c r="O59" i="141"/>
  <c r="N59" i="141"/>
  <c r="M59" i="141"/>
  <c r="L59" i="141"/>
  <c r="K59" i="141"/>
  <c r="J59" i="141"/>
  <c r="I59" i="141"/>
  <c r="H59" i="141"/>
  <c r="G59" i="141"/>
  <c r="F59" i="141"/>
  <c r="E59" i="141"/>
  <c r="D59" i="141"/>
  <c r="C59" i="141"/>
  <c r="B56" i="141"/>
  <c r="B55" i="141"/>
  <c r="B54" i="141"/>
  <c r="B53" i="141"/>
  <c r="B52" i="141"/>
  <c r="B51" i="141"/>
  <c r="B50" i="141"/>
  <c r="B49" i="141"/>
  <c r="B48" i="141"/>
  <c r="B47" i="141"/>
  <c r="B46" i="141"/>
  <c r="B45" i="141"/>
  <c r="B44" i="141"/>
  <c r="B43" i="141"/>
  <c r="B42" i="141"/>
  <c r="B41" i="141"/>
  <c r="AB40" i="141"/>
  <c r="AA40" i="141"/>
  <c r="Z40" i="141"/>
  <c r="Y40" i="141"/>
  <c r="X40" i="141"/>
  <c r="W40" i="141"/>
  <c r="V40" i="141"/>
  <c r="U40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N97" i="136" l="1"/>
  <c r="D41" i="140" l="1"/>
  <c r="E41" i="140"/>
  <c r="F41" i="140"/>
  <c r="G41" i="140"/>
  <c r="H41" i="140"/>
  <c r="I41" i="140"/>
  <c r="J41" i="140"/>
  <c r="K41" i="140"/>
  <c r="L41" i="140"/>
  <c r="M41" i="140"/>
  <c r="N41" i="140"/>
  <c r="O41" i="140"/>
  <c r="P41" i="140"/>
  <c r="Q41" i="140"/>
  <c r="R41" i="140"/>
  <c r="S41" i="140"/>
  <c r="T41" i="140"/>
  <c r="U41" i="140"/>
  <c r="V41" i="140"/>
  <c r="W41" i="140"/>
  <c r="X41" i="140"/>
  <c r="Y41" i="140"/>
  <c r="Z41" i="140"/>
  <c r="C41" i="140"/>
  <c r="D26" i="140"/>
  <c r="E26" i="140"/>
  <c r="F26" i="140"/>
  <c r="G26" i="140"/>
  <c r="H26" i="140"/>
  <c r="I26" i="140"/>
  <c r="J26" i="140"/>
  <c r="K26" i="140"/>
  <c r="L26" i="140"/>
  <c r="M26" i="140"/>
  <c r="N26" i="140"/>
  <c r="O26" i="140"/>
  <c r="P26" i="140"/>
  <c r="Q26" i="140"/>
  <c r="R26" i="140"/>
  <c r="S26" i="140"/>
  <c r="T26" i="140"/>
  <c r="U26" i="140"/>
  <c r="V26" i="140"/>
  <c r="W26" i="140"/>
  <c r="X26" i="140"/>
  <c r="Y26" i="140"/>
  <c r="Z26" i="140"/>
  <c r="D27" i="140"/>
  <c r="E27" i="140"/>
  <c r="F27" i="140"/>
  <c r="G27" i="140"/>
  <c r="H27" i="140"/>
  <c r="I27" i="140"/>
  <c r="J27" i="140"/>
  <c r="K27" i="140"/>
  <c r="L27" i="140"/>
  <c r="M27" i="140"/>
  <c r="N27" i="140"/>
  <c r="O27" i="140"/>
  <c r="P27" i="140"/>
  <c r="Q27" i="140"/>
  <c r="R27" i="140"/>
  <c r="S27" i="140"/>
  <c r="T27" i="140"/>
  <c r="U27" i="140"/>
  <c r="V27" i="140"/>
  <c r="W27" i="140"/>
  <c r="X27" i="140"/>
  <c r="Y27" i="140"/>
  <c r="Z27" i="140"/>
  <c r="D28" i="140"/>
  <c r="E28" i="140"/>
  <c r="F28" i="140"/>
  <c r="G28" i="140"/>
  <c r="H28" i="140"/>
  <c r="I28" i="140"/>
  <c r="J28" i="140"/>
  <c r="K28" i="140"/>
  <c r="L28" i="140"/>
  <c r="M28" i="140"/>
  <c r="N28" i="140"/>
  <c r="O28" i="140"/>
  <c r="P28" i="140"/>
  <c r="Q28" i="140"/>
  <c r="R28" i="140"/>
  <c r="S28" i="140"/>
  <c r="T28" i="140"/>
  <c r="U28" i="140"/>
  <c r="V28" i="140"/>
  <c r="W28" i="140"/>
  <c r="X28" i="140"/>
  <c r="Y28" i="140"/>
  <c r="Z28" i="140"/>
  <c r="D29" i="140"/>
  <c r="E29" i="140"/>
  <c r="F29" i="140"/>
  <c r="G29" i="140"/>
  <c r="H29" i="140"/>
  <c r="I29" i="140"/>
  <c r="J29" i="140"/>
  <c r="K29" i="140"/>
  <c r="L29" i="140"/>
  <c r="M29" i="140"/>
  <c r="N29" i="140"/>
  <c r="O29" i="140"/>
  <c r="P29" i="140"/>
  <c r="Q29" i="140"/>
  <c r="R29" i="140"/>
  <c r="S29" i="140"/>
  <c r="T29" i="140"/>
  <c r="U29" i="140"/>
  <c r="V29" i="140"/>
  <c r="W29" i="140"/>
  <c r="X29" i="140"/>
  <c r="Y29" i="140"/>
  <c r="Z29" i="140"/>
  <c r="D30" i="140"/>
  <c r="E30" i="140"/>
  <c r="F30" i="140"/>
  <c r="G30" i="140"/>
  <c r="H30" i="140"/>
  <c r="I30" i="140"/>
  <c r="J30" i="140"/>
  <c r="K30" i="140"/>
  <c r="L30" i="140"/>
  <c r="M30" i="140"/>
  <c r="N30" i="140"/>
  <c r="O30" i="140"/>
  <c r="P30" i="140"/>
  <c r="Q30" i="140"/>
  <c r="R30" i="140"/>
  <c r="S30" i="140"/>
  <c r="T30" i="140"/>
  <c r="U30" i="140"/>
  <c r="V30" i="140"/>
  <c r="W30" i="140"/>
  <c r="X30" i="140"/>
  <c r="Y30" i="140"/>
  <c r="Z30" i="140"/>
  <c r="D31" i="140"/>
  <c r="E31" i="140"/>
  <c r="F31" i="140"/>
  <c r="G31" i="140"/>
  <c r="H31" i="140"/>
  <c r="I31" i="140"/>
  <c r="J31" i="140"/>
  <c r="K31" i="140"/>
  <c r="L31" i="140"/>
  <c r="M31" i="140"/>
  <c r="N31" i="140"/>
  <c r="O31" i="140"/>
  <c r="P31" i="140"/>
  <c r="Q31" i="140"/>
  <c r="R31" i="140"/>
  <c r="S31" i="140"/>
  <c r="T31" i="140"/>
  <c r="U31" i="140"/>
  <c r="V31" i="140"/>
  <c r="W31" i="140"/>
  <c r="X31" i="140"/>
  <c r="Y31" i="140"/>
  <c r="Z31" i="140"/>
  <c r="D32" i="140"/>
  <c r="E32" i="140"/>
  <c r="F32" i="140"/>
  <c r="G32" i="140"/>
  <c r="H32" i="140"/>
  <c r="I32" i="140"/>
  <c r="J32" i="140"/>
  <c r="K32" i="140"/>
  <c r="L32" i="140"/>
  <c r="M32" i="140"/>
  <c r="N32" i="140"/>
  <c r="O32" i="140"/>
  <c r="P32" i="140"/>
  <c r="Q32" i="140"/>
  <c r="R32" i="140"/>
  <c r="S32" i="140"/>
  <c r="T32" i="140"/>
  <c r="U32" i="140"/>
  <c r="V32" i="140"/>
  <c r="W32" i="140"/>
  <c r="X32" i="140"/>
  <c r="Y32" i="140"/>
  <c r="Z32" i="140"/>
  <c r="D33" i="140"/>
  <c r="E33" i="140"/>
  <c r="F33" i="140"/>
  <c r="G33" i="140"/>
  <c r="H33" i="140"/>
  <c r="I33" i="140"/>
  <c r="J33" i="140"/>
  <c r="K33" i="140"/>
  <c r="L33" i="140"/>
  <c r="M33" i="140"/>
  <c r="N33" i="140"/>
  <c r="O33" i="140"/>
  <c r="P33" i="140"/>
  <c r="Q33" i="140"/>
  <c r="R33" i="140"/>
  <c r="S33" i="140"/>
  <c r="T33" i="140"/>
  <c r="U33" i="140"/>
  <c r="V33" i="140"/>
  <c r="W33" i="140"/>
  <c r="X33" i="140"/>
  <c r="Y33" i="140"/>
  <c r="Z33" i="140"/>
  <c r="D34" i="140"/>
  <c r="E34" i="140"/>
  <c r="F34" i="140"/>
  <c r="G34" i="140"/>
  <c r="H34" i="140"/>
  <c r="I34" i="140"/>
  <c r="J34" i="140"/>
  <c r="K34" i="140"/>
  <c r="L34" i="140"/>
  <c r="M34" i="140"/>
  <c r="N34" i="140"/>
  <c r="O34" i="140"/>
  <c r="P34" i="140"/>
  <c r="Q34" i="140"/>
  <c r="R34" i="140"/>
  <c r="S34" i="140"/>
  <c r="T34" i="140"/>
  <c r="U34" i="140"/>
  <c r="V34" i="140"/>
  <c r="W34" i="140"/>
  <c r="X34" i="140"/>
  <c r="Y34" i="140"/>
  <c r="Z34" i="140"/>
  <c r="D35" i="140"/>
  <c r="E35" i="140"/>
  <c r="F35" i="140"/>
  <c r="G35" i="140"/>
  <c r="H35" i="140"/>
  <c r="I35" i="140"/>
  <c r="J35" i="140"/>
  <c r="K35" i="140"/>
  <c r="L35" i="140"/>
  <c r="M35" i="140"/>
  <c r="N35" i="140"/>
  <c r="O35" i="140"/>
  <c r="P35" i="140"/>
  <c r="Q35" i="140"/>
  <c r="R35" i="140"/>
  <c r="S35" i="140"/>
  <c r="T35" i="140"/>
  <c r="U35" i="140"/>
  <c r="V35" i="140"/>
  <c r="W35" i="140"/>
  <c r="X35" i="140"/>
  <c r="Y35" i="140"/>
  <c r="Z35" i="140"/>
  <c r="D36" i="140"/>
  <c r="E36" i="140"/>
  <c r="F36" i="140"/>
  <c r="G36" i="140"/>
  <c r="H36" i="140"/>
  <c r="I36" i="140"/>
  <c r="J36" i="140"/>
  <c r="K36" i="140"/>
  <c r="L36" i="140"/>
  <c r="M36" i="140"/>
  <c r="N36" i="140"/>
  <c r="O36" i="140"/>
  <c r="P36" i="140"/>
  <c r="Q36" i="140"/>
  <c r="R36" i="140"/>
  <c r="S36" i="140"/>
  <c r="T36" i="140"/>
  <c r="U36" i="140"/>
  <c r="V36" i="140"/>
  <c r="W36" i="140"/>
  <c r="X36" i="140"/>
  <c r="Y36" i="140"/>
  <c r="Z36" i="140"/>
  <c r="D37" i="140"/>
  <c r="E37" i="140"/>
  <c r="F37" i="140"/>
  <c r="G37" i="140"/>
  <c r="H37" i="140"/>
  <c r="I37" i="140"/>
  <c r="J37" i="140"/>
  <c r="K37" i="140"/>
  <c r="L37" i="140"/>
  <c r="M37" i="140"/>
  <c r="N37" i="140"/>
  <c r="O37" i="140"/>
  <c r="P37" i="140"/>
  <c r="Q37" i="140"/>
  <c r="R37" i="140"/>
  <c r="S37" i="140"/>
  <c r="T37" i="140"/>
  <c r="U37" i="140"/>
  <c r="V37" i="140"/>
  <c r="W37" i="140"/>
  <c r="X37" i="140"/>
  <c r="Y37" i="140"/>
  <c r="Z37" i="140"/>
  <c r="D38" i="140"/>
  <c r="E38" i="140"/>
  <c r="F38" i="140"/>
  <c r="G38" i="140"/>
  <c r="H38" i="140"/>
  <c r="I38" i="140"/>
  <c r="J38" i="140"/>
  <c r="K38" i="140"/>
  <c r="L38" i="140"/>
  <c r="M38" i="140"/>
  <c r="N38" i="140"/>
  <c r="O38" i="140"/>
  <c r="P38" i="140"/>
  <c r="Q38" i="140"/>
  <c r="R38" i="140"/>
  <c r="S38" i="140"/>
  <c r="T38" i="140"/>
  <c r="U38" i="140"/>
  <c r="V38" i="140"/>
  <c r="W38" i="140"/>
  <c r="X38" i="140"/>
  <c r="Y38" i="140"/>
  <c r="Z38" i="140"/>
  <c r="D39" i="140"/>
  <c r="E39" i="140"/>
  <c r="F39" i="140"/>
  <c r="G39" i="140"/>
  <c r="H39" i="140"/>
  <c r="I39" i="140"/>
  <c r="J39" i="140"/>
  <c r="K39" i="140"/>
  <c r="L39" i="140"/>
  <c r="M39" i="140"/>
  <c r="N39" i="140"/>
  <c r="O39" i="140"/>
  <c r="P39" i="140"/>
  <c r="Q39" i="140"/>
  <c r="R39" i="140"/>
  <c r="S39" i="140"/>
  <c r="T39" i="140"/>
  <c r="U39" i="140"/>
  <c r="V39" i="140"/>
  <c r="W39" i="140"/>
  <c r="X39" i="140"/>
  <c r="Y39" i="140"/>
  <c r="Z39" i="140"/>
  <c r="D40" i="140"/>
  <c r="E40" i="140"/>
  <c r="F40" i="140"/>
  <c r="G40" i="140"/>
  <c r="H40" i="140"/>
  <c r="I40" i="140"/>
  <c r="J40" i="140"/>
  <c r="K40" i="140"/>
  <c r="L40" i="140"/>
  <c r="M40" i="140"/>
  <c r="N40" i="140"/>
  <c r="O40" i="140"/>
  <c r="P40" i="140"/>
  <c r="Q40" i="140"/>
  <c r="R40" i="140"/>
  <c r="S40" i="140"/>
  <c r="T40" i="140"/>
  <c r="U40" i="140"/>
  <c r="V40" i="140"/>
  <c r="W40" i="140"/>
  <c r="X40" i="140"/>
  <c r="Y40" i="140"/>
  <c r="Z40" i="140"/>
  <c r="C40" i="140"/>
  <c r="C39" i="140"/>
  <c r="C38" i="140"/>
  <c r="C37" i="140"/>
  <c r="C31" i="140"/>
  <c r="C29" i="140"/>
  <c r="C26" i="140"/>
  <c r="D41" i="112"/>
  <c r="D41" i="142" s="1"/>
  <c r="J1203" i="26"/>
  <c r="AC364" i="140"/>
  <c r="V5" i="140" s="1"/>
  <c r="AG364" i="140"/>
  <c r="Z5" i="140" s="1"/>
  <c r="K364" i="140"/>
  <c r="D5" i="140" s="1"/>
  <c r="L364" i="140"/>
  <c r="E5" i="140" s="1"/>
  <c r="M364" i="140"/>
  <c r="F5" i="140" s="1"/>
  <c r="N364" i="140"/>
  <c r="G5" i="140" s="1"/>
  <c r="O364" i="140"/>
  <c r="H5" i="140" s="1"/>
  <c r="P364" i="140"/>
  <c r="I5" i="140" s="1"/>
  <c r="Q364" i="140"/>
  <c r="J5" i="140" s="1"/>
  <c r="R364" i="140"/>
  <c r="K5" i="140" s="1"/>
  <c r="S364" i="140"/>
  <c r="L5" i="140" s="1"/>
  <c r="T364" i="140"/>
  <c r="M5" i="140" s="1"/>
  <c r="U364" i="140"/>
  <c r="N5" i="140" s="1"/>
  <c r="V364" i="140"/>
  <c r="O5" i="140" s="1"/>
  <c r="W364" i="140"/>
  <c r="P5" i="140" s="1"/>
  <c r="X364" i="140"/>
  <c r="Q5" i="140" s="1"/>
  <c r="Y364" i="140"/>
  <c r="R5" i="140" s="1"/>
  <c r="Z364" i="140"/>
  <c r="S5" i="140" s="1"/>
  <c r="AA364" i="140"/>
  <c r="T5" i="140" s="1"/>
  <c r="AB364" i="140"/>
  <c r="U5" i="140" s="1"/>
  <c r="AD364" i="140"/>
  <c r="W5" i="140" s="1"/>
  <c r="AE364" i="140"/>
  <c r="X5" i="140" s="1"/>
  <c r="AF364" i="140"/>
  <c r="Y5" i="140" s="1"/>
  <c r="J364" i="140"/>
  <c r="C5" i="140" s="1"/>
  <c r="K266" i="140"/>
  <c r="D18" i="140" s="1"/>
  <c r="L266" i="140"/>
  <c r="E18" i="140" s="1"/>
  <c r="M266" i="140"/>
  <c r="F18" i="140" s="1"/>
  <c r="N266" i="140"/>
  <c r="G18" i="140" s="1"/>
  <c r="O266" i="140"/>
  <c r="H18" i="140" s="1"/>
  <c r="P266" i="140"/>
  <c r="I18" i="140" s="1"/>
  <c r="Q266" i="140"/>
  <c r="J18" i="140" s="1"/>
  <c r="R266" i="140"/>
  <c r="K18" i="140" s="1"/>
  <c r="S266" i="140"/>
  <c r="L18" i="140" s="1"/>
  <c r="T266" i="140"/>
  <c r="M18" i="140" s="1"/>
  <c r="U266" i="140"/>
  <c r="N18" i="140" s="1"/>
  <c r="V266" i="140"/>
  <c r="O18" i="140" s="1"/>
  <c r="W266" i="140"/>
  <c r="P18" i="140" s="1"/>
  <c r="X266" i="140"/>
  <c r="Q18" i="140" s="1"/>
  <c r="Y266" i="140"/>
  <c r="R18" i="140" s="1"/>
  <c r="Z266" i="140"/>
  <c r="S18" i="140" s="1"/>
  <c r="AA266" i="140"/>
  <c r="T18" i="140" s="1"/>
  <c r="AB266" i="140"/>
  <c r="U18" i="140" s="1"/>
  <c r="AC266" i="140"/>
  <c r="V18" i="140" s="1"/>
  <c r="AD266" i="140"/>
  <c r="W18" i="140" s="1"/>
  <c r="AE266" i="140"/>
  <c r="X18" i="140" s="1"/>
  <c r="AF266" i="140"/>
  <c r="Y18" i="140" s="1"/>
  <c r="AG266" i="140"/>
  <c r="Z18" i="140" s="1"/>
  <c r="J266" i="140"/>
  <c r="C18" i="140" s="1"/>
  <c r="R345" i="140"/>
  <c r="K16" i="140" s="1"/>
  <c r="AG345" i="140"/>
  <c r="Z16" i="140" s="1"/>
  <c r="K345" i="140"/>
  <c r="D16" i="140" s="1"/>
  <c r="L345" i="140"/>
  <c r="E16" i="140" s="1"/>
  <c r="M345" i="140"/>
  <c r="F16" i="140" s="1"/>
  <c r="N345" i="140"/>
  <c r="G16" i="140" s="1"/>
  <c r="O345" i="140"/>
  <c r="H16" i="140" s="1"/>
  <c r="P345" i="140"/>
  <c r="I16" i="140" s="1"/>
  <c r="Q345" i="140"/>
  <c r="J16" i="140" s="1"/>
  <c r="S345" i="140"/>
  <c r="L16" i="140" s="1"/>
  <c r="T345" i="140"/>
  <c r="M16" i="140" s="1"/>
  <c r="U345" i="140"/>
  <c r="N16" i="140" s="1"/>
  <c r="V345" i="140"/>
  <c r="O16" i="140" s="1"/>
  <c r="W345" i="140"/>
  <c r="P16" i="140" s="1"/>
  <c r="X345" i="140"/>
  <c r="Q16" i="140" s="1"/>
  <c r="Y345" i="140"/>
  <c r="R16" i="140" s="1"/>
  <c r="Z345" i="140"/>
  <c r="S16" i="140" s="1"/>
  <c r="AA345" i="140"/>
  <c r="T16" i="140" s="1"/>
  <c r="AB345" i="140"/>
  <c r="U16" i="140" s="1"/>
  <c r="AC345" i="140"/>
  <c r="V16" i="140" s="1"/>
  <c r="AD345" i="140"/>
  <c r="W16" i="140" s="1"/>
  <c r="AE345" i="140"/>
  <c r="X16" i="140" s="1"/>
  <c r="AF345" i="140"/>
  <c r="Y16" i="140" s="1"/>
  <c r="J345" i="140"/>
  <c r="C16" i="140" s="1"/>
  <c r="C61" i="29"/>
  <c r="Q1202" i="2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Y29" i="36"/>
  <c r="Z29" i="36"/>
  <c r="AA29" i="36"/>
  <c r="AB29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Y30" i="36"/>
  <c r="Z30" i="36"/>
  <c r="AA30" i="36"/>
  <c r="AB30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Y37" i="36"/>
  <c r="Z37" i="36"/>
  <c r="AA37" i="36"/>
  <c r="AB37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Y38" i="36"/>
  <c r="Z38" i="36"/>
  <c r="AA38" i="36"/>
  <c r="AB38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Y39" i="36"/>
  <c r="Z39" i="36"/>
  <c r="AA39" i="36"/>
  <c r="AB39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AB44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AB45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AB46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AB47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AB48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AB49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AB50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AB51" i="36"/>
  <c r="D30" i="36"/>
  <c r="D31" i="36"/>
  <c r="D36" i="36"/>
  <c r="D37" i="36"/>
  <c r="D38" i="36"/>
  <c r="D39" i="36"/>
  <c r="D40" i="36"/>
  <c r="D44" i="36"/>
  <c r="D45" i="36"/>
  <c r="D46" i="36"/>
  <c r="D47" i="36"/>
  <c r="D48" i="36"/>
  <c r="D49" i="36"/>
  <c r="D50" i="36"/>
  <c r="D51" i="36"/>
  <c r="D29" i="36"/>
  <c r="K351" i="140"/>
  <c r="D8" i="140" s="1"/>
  <c r="L351" i="140"/>
  <c r="E8" i="140" s="1"/>
  <c r="M351" i="140"/>
  <c r="F8" i="140" s="1"/>
  <c r="N351" i="140"/>
  <c r="G8" i="140" s="1"/>
  <c r="O351" i="140"/>
  <c r="H8" i="140" s="1"/>
  <c r="P351" i="140"/>
  <c r="I8" i="140" s="1"/>
  <c r="Q351" i="140"/>
  <c r="J8" i="140" s="1"/>
  <c r="R351" i="140"/>
  <c r="K8" i="140" s="1"/>
  <c r="S351" i="140"/>
  <c r="L8" i="140" s="1"/>
  <c r="T351" i="140"/>
  <c r="M8" i="140" s="1"/>
  <c r="U351" i="140"/>
  <c r="N8" i="140" s="1"/>
  <c r="V351" i="140"/>
  <c r="O8" i="140" s="1"/>
  <c r="W351" i="140"/>
  <c r="P8" i="140" s="1"/>
  <c r="X351" i="140"/>
  <c r="Q8" i="140" s="1"/>
  <c r="Y351" i="140"/>
  <c r="R8" i="140" s="1"/>
  <c r="Z351" i="140"/>
  <c r="S8" i="140" s="1"/>
  <c r="AA351" i="140"/>
  <c r="T8" i="140" s="1"/>
  <c r="AB351" i="140"/>
  <c r="U8" i="140" s="1"/>
  <c r="AC351" i="140"/>
  <c r="V8" i="140" s="1"/>
  <c r="AD351" i="140"/>
  <c r="W8" i="140" s="1"/>
  <c r="AE351" i="140"/>
  <c r="X8" i="140" s="1"/>
  <c r="AF351" i="140"/>
  <c r="Y8" i="140" s="1"/>
  <c r="AG351" i="140"/>
  <c r="Z8" i="140" s="1"/>
  <c r="J351" i="140"/>
  <c r="C8" i="140" s="1"/>
  <c r="K322" i="140"/>
  <c r="D15" i="140" s="1"/>
  <c r="L322" i="140"/>
  <c r="E15" i="140" s="1"/>
  <c r="M322" i="140"/>
  <c r="F15" i="140" s="1"/>
  <c r="N322" i="140"/>
  <c r="G15" i="140" s="1"/>
  <c r="O322" i="140"/>
  <c r="H15" i="140" s="1"/>
  <c r="P322" i="140"/>
  <c r="I15" i="140" s="1"/>
  <c r="Q322" i="140"/>
  <c r="J15" i="140" s="1"/>
  <c r="R322" i="140"/>
  <c r="K15" i="140" s="1"/>
  <c r="S322" i="140"/>
  <c r="L15" i="140" s="1"/>
  <c r="T322" i="140"/>
  <c r="M15" i="140" s="1"/>
  <c r="U322" i="140"/>
  <c r="N15" i="140" s="1"/>
  <c r="V322" i="140"/>
  <c r="O15" i="140" s="1"/>
  <c r="W322" i="140"/>
  <c r="P15" i="140" s="1"/>
  <c r="X322" i="140"/>
  <c r="Q15" i="140" s="1"/>
  <c r="Y322" i="140"/>
  <c r="R15" i="140" s="1"/>
  <c r="Z322" i="140"/>
  <c r="S15" i="140" s="1"/>
  <c r="AA322" i="140"/>
  <c r="T15" i="140" s="1"/>
  <c r="AB322" i="140"/>
  <c r="U15" i="140" s="1"/>
  <c r="AC322" i="140"/>
  <c r="V15" i="140" s="1"/>
  <c r="AD322" i="140"/>
  <c r="W15" i="140" s="1"/>
  <c r="AE322" i="140"/>
  <c r="X15" i="140" s="1"/>
  <c r="AF322" i="140"/>
  <c r="Y15" i="140" s="1"/>
  <c r="AG322" i="140"/>
  <c r="Z15" i="140" s="1"/>
  <c r="J322" i="140"/>
  <c r="C15" i="140" s="1"/>
  <c r="K250" i="140"/>
  <c r="D17" i="140" s="1"/>
  <c r="L250" i="140"/>
  <c r="E17" i="140" s="1"/>
  <c r="M250" i="140"/>
  <c r="F17" i="140" s="1"/>
  <c r="N250" i="140"/>
  <c r="G17" i="140" s="1"/>
  <c r="O250" i="140"/>
  <c r="H17" i="140" s="1"/>
  <c r="P250" i="140"/>
  <c r="I17" i="140" s="1"/>
  <c r="Q250" i="140"/>
  <c r="J17" i="140" s="1"/>
  <c r="R250" i="140"/>
  <c r="K17" i="140" s="1"/>
  <c r="S250" i="140"/>
  <c r="L17" i="140" s="1"/>
  <c r="T250" i="140"/>
  <c r="M17" i="140" s="1"/>
  <c r="U250" i="140"/>
  <c r="N17" i="140" s="1"/>
  <c r="V250" i="140"/>
  <c r="O17" i="140" s="1"/>
  <c r="W250" i="140"/>
  <c r="P17" i="140" s="1"/>
  <c r="X250" i="140"/>
  <c r="Q17" i="140" s="1"/>
  <c r="Y250" i="140"/>
  <c r="R17" i="140" s="1"/>
  <c r="Z250" i="140"/>
  <c r="S17" i="140" s="1"/>
  <c r="AA250" i="140"/>
  <c r="T17" i="140" s="1"/>
  <c r="AB250" i="140"/>
  <c r="U17" i="140" s="1"/>
  <c r="AC250" i="140"/>
  <c r="V17" i="140" s="1"/>
  <c r="AD250" i="140"/>
  <c r="W17" i="140" s="1"/>
  <c r="AE250" i="140"/>
  <c r="X17" i="140" s="1"/>
  <c r="AF250" i="140"/>
  <c r="Y17" i="140" s="1"/>
  <c r="AG250" i="140"/>
  <c r="Z17" i="140" s="1"/>
  <c r="J250" i="140"/>
  <c r="C17" i="140" s="1"/>
  <c r="K192" i="140"/>
  <c r="D19" i="140" s="1"/>
  <c r="L192" i="140"/>
  <c r="E19" i="140" s="1"/>
  <c r="M192" i="140"/>
  <c r="F19" i="140" s="1"/>
  <c r="N192" i="140"/>
  <c r="G19" i="140" s="1"/>
  <c r="O192" i="140"/>
  <c r="H19" i="140" s="1"/>
  <c r="P192" i="140"/>
  <c r="I19" i="140" s="1"/>
  <c r="Q192" i="140"/>
  <c r="J19" i="140" s="1"/>
  <c r="R192" i="140"/>
  <c r="K19" i="140" s="1"/>
  <c r="S192" i="140"/>
  <c r="L19" i="140" s="1"/>
  <c r="T192" i="140"/>
  <c r="M19" i="140" s="1"/>
  <c r="U192" i="140"/>
  <c r="N19" i="140" s="1"/>
  <c r="V192" i="140"/>
  <c r="O19" i="140" s="1"/>
  <c r="W192" i="140"/>
  <c r="P19" i="140" s="1"/>
  <c r="X192" i="140"/>
  <c r="Q19" i="140" s="1"/>
  <c r="Y192" i="140"/>
  <c r="R19" i="140" s="1"/>
  <c r="Z192" i="140"/>
  <c r="S19" i="140" s="1"/>
  <c r="AA192" i="140"/>
  <c r="T19" i="140" s="1"/>
  <c r="AB192" i="140"/>
  <c r="U19" i="140" s="1"/>
  <c r="AC192" i="140"/>
  <c r="V19" i="140" s="1"/>
  <c r="AD192" i="140"/>
  <c r="W19" i="140" s="1"/>
  <c r="AE192" i="140"/>
  <c r="X19" i="140" s="1"/>
  <c r="AF192" i="140"/>
  <c r="Y19" i="140" s="1"/>
  <c r="AG192" i="140"/>
  <c r="Z19" i="140" s="1"/>
  <c r="J192" i="140"/>
  <c r="C19" i="140" s="1"/>
  <c r="K162" i="140"/>
  <c r="D20" i="140" s="1"/>
  <c r="L162" i="140"/>
  <c r="E20" i="140" s="1"/>
  <c r="M162" i="140"/>
  <c r="F20" i="140" s="1"/>
  <c r="N162" i="140"/>
  <c r="G20" i="140" s="1"/>
  <c r="O162" i="140"/>
  <c r="H20" i="140" s="1"/>
  <c r="P162" i="140"/>
  <c r="I20" i="140" s="1"/>
  <c r="Q162" i="140"/>
  <c r="J20" i="140" s="1"/>
  <c r="R162" i="140"/>
  <c r="K20" i="140" s="1"/>
  <c r="S162" i="140"/>
  <c r="L20" i="140" s="1"/>
  <c r="T162" i="140"/>
  <c r="M20" i="140" s="1"/>
  <c r="U162" i="140"/>
  <c r="N20" i="140" s="1"/>
  <c r="V162" i="140"/>
  <c r="O20" i="140" s="1"/>
  <c r="W162" i="140"/>
  <c r="P20" i="140" s="1"/>
  <c r="X162" i="140"/>
  <c r="Q20" i="140" s="1"/>
  <c r="Y162" i="140"/>
  <c r="R20" i="140" s="1"/>
  <c r="Z162" i="140"/>
  <c r="S20" i="140" s="1"/>
  <c r="AA162" i="140"/>
  <c r="T20" i="140" s="1"/>
  <c r="AB162" i="140"/>
  <c r="U20" i="140" s="1"/>
  <c r="AC162" i="140"/>
  <c r="V20" i="140" s="1"/>
  <c r="AD162" i="140"/>
  <c r="W20" i="140" s="1"/>
  <c r="AE162" i="140"/>
  <c r="X20" i="140" s="1"/>
  <c r="AF162" i="140"/>
  <c r="Y20" i="140" s="1"/>
  <c r="AG162" i="140"/>
  <c r="Z20" i="140" s="1"/>
  <c r="J162" i="140"/>
  <c r="C20" i="140" s="1"/>
  <c r="K153" i="140"/>
  <c r="D21" i="140" s="1"/>
  <c r="L153" i="140"/>
  <c r="E21" i="140" s="1"/>
  <c r="M153" i="140"/>
  <c r="F21" i="140" s="1"/>
  <c r="N153" i="140"/>
  <c r="G21" i="140" s="1"/>
  <c r="O153" i="140"/>
  <c r="H21" i="140" s="1"/>
  <c r="P153" i="140"/>
  <c r="I21" i="140" s="1"/>
  <c r="Q153" i="140"/>
  <c r="J21" i="140" s="1"/>
  <c r="R153" i="140"/>
  <c r="K21" i="140" s="1"/>
  <c r="S153" i="140"/>
  <c r="L21" i="140" s="1"/>
  <c r="T153" i="140"/>
  <c r="M21" i="140" s="1"/>
  <c r="U153" i="140"/>
  <c r="N21" i="140" s="1"/>
  <c r="V153" i="140"/>
  <c r="O21" i="140" s="1"/>
  <c r="W153" i="140"/>
  <c r="P21" i="140" s="1"/>
  <c r="X153" i="140"/>
  <c r="Q21" i="140" s="1"/>
  <c r="Y153" i="140"/>
  <c r="R21" i="140" s="1"/>
  <c r="Z153" i="140"/>
  <c r="S21" i="140" s="1"/>
  <c r="AA153" i="140"/>
  <c r="T21" i="140" s="1"/>
  <c r="AB153" i="140"/>
  <c r="U21" i="140" s="1"/>
  <c r="AC153" i="140"/>
  <c r="V21" i="140" s="1"/>
  <c r="AD153" i="140"/>
  <c r="W21" i="140" s="1"/>
  <c r="AE153" i="140"/>
  <c r="X21" i="140" s="1"/>
  <c r="AF153" i="140"/>
  <c r="Y21" i="140" s="1"/>
  <c r="AG153" i="140"/>
  <c r="Z21" i="140" s="1"/>
  <c r="J153" i="140"/>
  <c r="C21" i="140" s="1"/>
  <c r="K66" i="140"/>
  <c r="D22" i="140" s="1"/>
  <c r="L66" i="140"/>
  <c r="E22" i="140" s="1"/>
  <c r="M66" i="140"/>
  <c r="F22" i="140" s="1"/>
  <c r="N66" i="140"/>
  <c r="G22" i="140" s="1"/>
  <c r="O66" i="140"/>
  <c r="H22" i="140" s="1"/>
  <c r="P66" i="140"/>
  <c r="I22" i="140" s="1"/>
  <c r="Q66" i="140"/>
  <c r="J22" i="140" s="1"/>
  <c r="R66" i="140"/>
  <c r="K22" i="140" s="1"/>
  <c r="S66" i="140"/>
  <c r="L22" i="140" s="1"/>
  <c r="T66" i="140"/>
  <c r="M22" i="140" s="1"/>
  <c r="U66" i="140"/>
  <c r="N22" i="140" s="1"/>
  <c r="V66" i="140"/>
  <c r="O22" i="140" s="1"/>
  <c r="W66" i="140"/>
  <c r="P22" i="140" s="1"/>
  <c r="X66" i="140"/>
  <c r="Q22" i="140" s="1"/>
  <c r="Y66" i="140"/>
  <c r="R22" i="140" s="1"/>
  <c r="Z66" i="140"/>
  <c r="S22" i="140" s="1"/>
  <c r="AA66" i="140"/>
  <c r="T22" i="140" s="1"/>
  <c r="AB66" i="140"/>
  <c r="U22" i="140" s="1"/>
  <c r="AC66" i="140"/>
  <c r="V22" i="140" s="1"/>
  <c r="AD66" i="140"/>
  <c r="W22" i="140" s="1"/>
  <c r="AE66" i="140"/>
  <c r="X22" i="140" s="1"/>
  <c r="AF66" i="140"/>
  <c r="Y22" i="140" s="1"/>
  <c r="AG66" i="140"/>
  <c r="Z22" i="140" s="1"/>
  <c r="J66" i="140"/>
  <c r="C22" i="140" s="1"/>
  <c r="B17" i="139"/>
  <c r="G55" i="131"/>
  <c r="H55" i="131"/>
  <c r="I55" i="131"/>
  <c r="J55" i="131"/>
  <c r="K55" i="131"/>
  <c r="L55" i="131"/>
  <c r="M55" i="131"/>
  <c r="N55" i="131"/>
  <c r="O55" i="131"/>
  <c r="P55" i="131"/>
  <c r="Q55" i="131"/>
  <c r="R55" i="131"/>
  <c r="S55" i="131"/>
  <c r="T55" i="131"/>
  <c r="U55" i="131"/>
  <c r="V55" i="131"/>
  <c r="W55" i="131"/>
  <c r="X55" i="131"/>
  <c r="Y55" i="131"/>
  <c r="Z55" i="131"/>
  <c r="AA55" i="131"/>
  <c r="AB55" i="131"/>
  <c r="AC55" i="131"/>
  <c r="AD55" i="131"/>
  <c r="AE55" i="131"/>
  <c r="AF55" i="131"/>
  <c r="AG55" i="131"/>
  <c r="AH55" i="131"/>
  <c r="G56" i="131"/>
  <c r="H56" i="131"/>
  <c r="I56" i="131"/>
  <c r="J56" i="131"/>
  <c r="K56" i="131"/>
  <c r="L56" i="131"/>
  <c r="M56" i="131"/>
  <c r="N56" i="131"/>
  <c r="O56" i="131"/>
  <c r="P56" i="131"/>
  <c r="Q56" i="131"/>
  <c r="R56" i="131"/>
  <c r="S56" i="131"/>
  <c r="T56" i="131"/>
  <c r="U56" i="131"/>
  <c r="V56" i="131"/>
  <c r="W56" i="131"/>
  <c r="X56" i="131"/>
  <c r="Y56" i="131"/>
  <c r="Z56" i="131"/>
  <c r="AA56" i="131"/>
  <c r="AB56" i="131"/>
  <c r="AC56" i="131"/>
  <c r="AD56" i="131"/>
  <c r="AE56" i="131"/>
  <c r="AF56" i="131"/>
  <c r="AG56" i="131"/>
  <c r="AH56" i="131"/>
  <c r="G57" i="131"/>
  <c r="H57" i="131"/>
  <c r="I57" i="131"/>
  <c r="J57" i="131"/>
  <c r="K57" i="131"/>
  <c r="L57" i="131"/>
  <c r="M57" i="131"/>
  <c r="N57" i="131"/>
  <c r="O57" i="131"/>
  <c r="P57" i="131"/>
  <c r="Q57" i="131"/>
  <c r="R57" i="131"/>
  <c r="S57" i="131"/>
  <c r="T57" i="131"/>
  <c r="U57" i="131"/>
  <c r="V57" i="131"/>
  <c r="W57" i="131"/>
  <c r="X57" i="131"/>
  <c r="Y57" i="131"/>
  <c r="Z57" i="131"/>
  <c r="AA57" i="131"/>
  <c r="AB57" i="131"/>
  <c r="AC57" i="131"/>
  <c r="AD57" i="131"/>
  <c r="AE57" i="131"/>
  <c r="AF57" i="131"/>
  <c r="AG57" i="131"/>
  <c r="AH57" i="131"/>
  <c r="F56" i="131"/>
  <c r="F57" i="131"/>
  <c r="F55" i="131"/>
  <c r="M59" i="112"/>
  <c r="N59" i="112"/>
  <c r="O59" i="112"/>
  <c r="P59" i="112"/>
  <c r="Q59" i="112"/>
  <c r="R59" i="112"/>
  <c r="S59" i="112"/>
  <c r="T59" i="112"/>
  <c r="U59" i="112"/>
  <c r="V59" i="112"/>
  <c r="W59" i="112"/>
  <c r="X59" i="112"/>
  <c r="Y59" i="112"/>
  <c r="Z59" i="112"/>
  <c r="AA59" i="112"/>
  <c r="AB59" i="112"/>
  <c r="M21" i="112"/>
  <c r="N21" i="112"/>
  <c r="O21" i="112"/>
  <c r="P21" i="112"/>
  <c r="Q21" i="112"/>
  <c r="R21" i="112"/>
  <c r="S21" i="112"/>
  <c r="T21" i="112"/>
  <c r="U21" i="112"/>
  <c r="V21" i="112"/>
  <c r="W21" i="112"/>
  <c r="X21" i="112"/>
  <c r="Y21" i="112"/>
  <c r="Z21" i="112"/>
  <c r="AA21" i="112"/>
  <c r="AB21" i="112"/>
  <c r="AA40" i="112"/>
  <c r="AB40" i="112"/>
  <c r="M40" i="112"/>
  <c r="N40" i="112"/>
  <c r="O40" i="112"/>
  <c r="P40" i="112"/>
  <c r="Q40" i="112"/>
  <c r="R40" i="112"/>
  <c r="S40" i="112"/>
  <c r="T40" i="112"/>
  <c r="U40" i="112"/>
  <c r="V40" i="112"/>
  <c r="W40" i="112"/>
  <c r="X40" i="112"/>
  <c r="Y40" i="112"/>
  <c r="Z40" i="112"/>
  <c r="C23" i="140" l="1"/>
  <c r="C34" i="140"/>
  <c r="C27" i="140"/>
  <c r="S23" i="140"/>
  <c r="K23" i="140"/>
  <c r="Z23" i="140"/>
  <c r="R23" i="140"/>
  <c r="Y23" i="140"/>
  <c r="X23" i="140"/>
  <c r="P23" i="140"/>
  <c r="H23" i="140"/>
  <c r="Q23" i="140"/>
  <c r="W23" i="140"/>
  <c r="O23" i="140"/>
  <c r="G23" i="140"/>
  <c r="I23" i="140"/>
  <c r="V23" i="140"/>
  <c r="N23" i="140"/>
  <c r="F23" i="140"/>
  <c r="J23" i="140"/>
  <c r="U23" i="140"/>
  <c r="M23" i="140"/>
  <c r="E23" i="140"/>
  <c r="T23" i="140"/>
  <c r="L23" i="140"/>
  <c r="D23" i="140"/>
  <c r="Z13" i="133"/>
  <c r="X13" i="133"/>
  <c r="U13" i="133"/>
  <c r="T13" i="133"/>
  <c r="R13" i="133"/>
  <c r="P13" i="133"/>
  <c r="M13" i="133"/>
  <c r="L13" i="133"/>
  <c r="K13" i="133"/>
  <c r="N13" i="133"/>
  <c r="O13" i="133"/>
  <c r="Q13" i="133"/>
  <c r="S13" i="133"/>
  <c r="V13" i="133"/>
  <c r="W13" i="133"/>
  <c r="Y13" i="133"/>
  <c r="K18" i="133"/>
  <c r="L18" i="133"/>
  <c r="M18" i="133"/>
  <c r="N18" i="133"/>
  <c r="O18" i="133"/>
  <c r="P18" i="133"/>
  <c r="Q18" i="133"/>
  <c r="R18" i="133"/>
  <c r="S18" i="133"/>
  <c r="T18" i="133"/>
  <c r="U18" i="133"/>
  <c r="V18" i="133"/>
  <c r="W18" i="133"/>
  <c r="X18" i="133"/>
  <c r="Y18" i="133"/>
  <c r="Z18" i="133"/>
  <c r="K23" i="133"/>
  <c r="L23" i="133"/>
  <c r="M23" i="133"/>
  <c r="N23" i="133"/>
  <c r="O23" i="133"/>
  <c r="P23" i="133"/>
  <c r="Q23" i="133"/>
  <c r="R23" i="133"/>
  <c r="S23" i="133"/>
  <c r="T23" i="133"/>
  <c r="U23" i="133"/>
  <c r="V23" i="133"/>
  <c r="W23" i="133"/>
  <c r="X23" i="133"/>
  <c r="Y23" i="133"/>
  <c r="Z23" i="133"/>
  <c r="K28" i="133"/>
  <c r="L28" i="133"/>
  <c r="M28" i="133"/>
  <c r="N28" i="133"/>
  <c r="O28" i="133"/>
  <c r="P28" i="133"/>
  <c r="Q28" i="133"/>
  <c r="R28" i="133"/>
  <c r="S28" i="133"/>
  <c r="T28" i="133"/>
  <c r="U28" i="133"/>
  <c r="V28" i="133"/>
  <c r="W28" i="133"/>
  <c r="X28" i="133"/>
  <c r="Y28" i="133"/>
  <c r="Z28" i="133"/>
  <c r="K33" i="133"/>
  <c r="L33" i="133"/>
  <c r="M33" i="133"/>
  <c r="N33" i="133"/>
  <c r="O33" i="133"/>
  <c r="P33" i="133"/>
  <c r="Q33" i="133"/>
  <c r="R33" i="133"/>
  <c r="S33" i="133"/>
  <c r="T33" i="133"/>
  <c r="U33" i="133"/>
  <c r="V33" i="133"/>
  <c r="W33" i="133"/>
  <c r="X33" i="133"/>
  <c r="Y33" i="133"/>
  <c r="Z33" i="133"/>
  <c r="K38" i="133"/>
  <c r="L38" i="133"/>
  <c r="M38" i="133"/>
  <c r="N38" i="133"/>
  <c r="O38" i="133"/>
  <c r="P38" i="133"/>
  <c r="Q38" i="133"/>
  <c r="R38" i="133"/>
  <c r="S38" i="133"/>
  <c r="T38" i="133"/>
  <c r="U38" i="133"/>
  <c r="V38" i="133"/>
  <c r="W38" i="133"/>
  <c r="X38" i="133"/>
  <c r="Y38" i="133"/>
  <c r="Z38" i="133"/>
  <c r="K43" i="133"/>
  <c r="L43" i="133"/>
  <c r="M43" i="133"/>
  <c r="N43" i="133"/>
  <c r="O43" i="133"/>
  <c r="P43" i="133"/>
  <c r="Q43" i="133"/>
  <c r="R43" i="133"/>
  <c r="S43" i="133"/>
  <c r="T43" i="133"/>
  <c r="U43" i="133"/>
  <c r="V43" i="133"/>
  <c r="W43" i="133"/>
  <c r="X43" i="133"/>
  <c r="Y43" i="133"/>
  <c r="Z43" i="133"/>
  <c r="K48" i="133"/>
  <c r="L48" i="133"/>
  <c r="M48" i="133"/>
  <c r="N48" i="133"/>
  <c r="O48" i="133"/>
  <c r="P48" i="133"/>
  <c r="Q48" i="133"/>
  <c r="R48" i="133"/>
  <c r="S48" i="133"/>
  <c r="T48" i="133"/>
  <c r="U48" i="133"/>
  <c r="V48" i="133"/>
  <c r="W48" i="133"/>
  <c r="X48" i="133"/>
  <c r="Y48" i="133"/>
  <c r="Z48" i="133"/>
  <c r="K53" i="133"/>
  <c r="L53" i="133"/>
  <c r="M53" i="133"/>
  <c r="N53" i="133"/>
  <c r="O53" i="133"/>
  <c r="P53" i="133"/>
  <c r="Q53" i="133"/>
  <c r="R53" i="133"/>
  <c r="S53" i="133"/>
  <c r="T53" i="133"/>
  <c r="U53" i="133"/>
  <c r="V53" i="133"/>
  <c r="W53" i="133"/>
  <c r="X53" i="133"/>
  <c r="Y53" i="133"/>
  <c r="Z53" i="133"/>
  <c r="K58" i="133"/>
  <c r="L58" i="133"/>
  <c r="M58" i="133"/>
  <c r="N58" i="133"/>
  <c r="O58" i="133"/>
  <c r="P58" i="133"/>
  <c r="Q58" i="133"/>
  <c r="R58" i="133"/>
  <c r="S58" i="133"/>
  <c r="T58" i="133"/>
  <c r="U58" i="133"/>
  <c r="V58" i="133"/>
  <c r="W58" i="133"/>
  <c r="X58" i="133"/>
  <c r="Y58" i="133"/>
  <c r="Z58" i="133"/>
  <c r="K63" i="133"/>
  <c r="L63" i="133"/>
  <c r="M63" i="133"/>
  <c r="N63" i="133"/>
  <c r="O63" i="133"/>
  <c r="P63" i="133"/>
  <c r="Q63" i="133"/>
  <c r="R63" i="133"/>
  <c r="S63" i="133"/>
  <c r="T63" i="133"/>
  <c r="U63" i="133"/>
  <c r="V63" i="133"/>
  <c r="W63" i="133"/>
  <c r="X63" i="133"/>
  <c r="Y63" i="133"/>
  <c r="Z63" i="133"/>
  <c r="K68" i="133"/>
  <c r="L68" i="133"/>
  <c r="M68" i="133"/>
  <c r="N68" i="133"/>
  <c r="O68" i="133"/>
  <c r="P68" i="133"/>
  <c r="Q68" i="133"/>
  <c r="R68" i="133"/>
  <c r="S68" i="133"/>
  <c r="T68" i="133"/>
  <c r="U68" i="133"/>
  <c r="V68" i="133"/>
  <c r="W68" i="133"/>
  <c r="X68" i="133"/>
  <c r="Y68" i="133"/>
  <c r="Z68" i="133"/>
  <c r="K73" i="133"/>
  <c r="L73" i="133"/>
  <c r="M73" i="133"/>
  <c r="N73" i="133"/>
  <c r="O73" i="133"/>
  <c r="P73" i="133"/>
  <c r="Q73" i="133"/>
  <c r="R73" i="133"/>
  <c r="S73" i="133"/>
  <c r="T73" i="133"/>
  <c r="U73" i="133"/>
  <c r="V73" i="133"/>
  <c r="W73" i="133"/>
  <c r="X73" i="133"/>
  <c r="Y73" i="133"/>
  <c r="Z73" i="133"/>
  <c r="K78" i="133"/>
  <c r="L78" i="133"/>
  <c r="M78" i="133"/>
  <c r="N78" i="133"/>
  <c r="O78" i="133"/>
  <c r="P78" i="133"/>
  <c r="Q78" i="133"/>
  <c r="R78" i="133"/>
  <c r="S78" i="133"/>
  <c r="T78" i="133"/>
  <c r="U78" i="133"/>
  <c r="V78" i="133"/>
  <c r="W78" i="133"/>
  <c r="X78" i="133"/>
  <c r="Y78" i="133"/>
  <c r="Z78" i="133"/>
  <c r="K83" i="133"/>
  <c r="L83" i="133"/>
  <c r="M83" i="133"/>
  <c r="N83" i="133"/>
  <c r="O83" i="133"/>
  <c r="P83" i="133"/>
  <c r="Q83" i="133"/>
  <c r="R83" i="133"/>
  <c r="S83" i="133"/>
  <c r="T83" i="133"/>
  <c r="U83" i="133"/>
  <c r="V83" i="133"/>
  <c r="W83" i="133"/>
  <c r="X83" i="133"/>
  <c r="Y83" i="133"/>
  <c r="Z83" i="133"/>
  <c r="K88" i="133"/>
  <c r="K9" i="133" s="1"/>
  <c r="L88" i="133"/>
  <c r="L9" i="133" s="1"/>
  <c r="M88" i="133"/>
  <c r="M9" i="133" s="1"/>
  <c r="N88" i="133"/>
  <c r="N9" i="133" s="1"/>
  <c r="O88" i="133"/>
  <c r="O9" i="133" s="1"/>
  <c r="P88" i="133"/>
  <c r="P9" i="133" s="1"/>
  <c r="Q88" i="133"/>
  <c r="Q9" i="133" s="1"/>
  <c r="R88" i="133"/>
  <c r="R9" i="133" s="1"/>
  <c r="S88" i="133"/>
  <c r="S9" i="133" s="1"/>
  <c r="T88" i="133"/>
  <c r="T9" i="133" s="1"/>
  <c r="U88" i="133"/>
  <c r="U9" i="133" s="1"/>
  <c r="V88" i="133"/>
  <c r="V9" i="133" s="1"/>
  <c r="W88" i="133"/>
  <c r="W9" i="133" s="1"/>
  <c r="X88" i="133"/>
  <c r="X9" i="133" s="1"/>
  <c r="Y88" i="133"/>
  <c r="Y9" i="133" s="1"/>
  <c r="Z88" i="133"/>
  <c r="Z9" i="133" s="1"/>
  <c r="K8" i="133"/>
  <c r="L8" i="133"/>
  <c r="M8" i="133"/>
  <c r="N8" i="133"/>
  <c r="O8" i="133"/>
  <c r="P8" i="133"/>
  <c r="Q8" i="133"/>
  <c r="R8" i="133"/>
  <c r="S8" i="133"/>
  <c r="T8" i="133"/>
  <c r="U8" i="133"/>
  <c r="V8" i="133"/>
  <c r="W8" i="133"/>
  <c r="X8" i="133"/>
  <c r="Y8" i="133"/>
  <c r="Z8" i="133"/>
  <c r="E78" i="36" l="1"/>
  <c r="I78" i="36"/>
  <c r="U58" i="36"/>
  <c r="P58" i="36"/>
  <c r="AB68" i="36"/>
  <c r="Z68" i="36"/>
  <c r="M58" i="36"/>
  <c r="M78" i="36"/>
  <c r="U78" i="36"/>
  <c r="D78" i="36"/>
  <c r="Z78" i="36"/>
  <c r="F78" i="36"/>
  <c r="N78" i="36"/>
  <c r="V78" i="36"/>
  <c r="G78" i="36"/>
  <c r="O78" i="36"/>
  <c r="W78" i="36"/>
  <c r="J78" i="36"/>
  <c r="T78" i="36"/>
  <c r="P78" i="36"/>
  <c r="X78" i="36"/>
  <c r="R78" i="36"/>
  <c r="Q78" i="36"/>
  <c r="Y78" i="36"/>
  <c r="L78" i="36"/>
  <c r="K78" i="36"/>
  <c r="S78" i="36"/>
  <c r="AA78" i="36"/>
  <c r="AB78" i="36"/>
  <c r="AA95" i="36"/>
  <c r="S95" i="36"/>
  <c r="K95" i="36"/>
  <c r="E85" i="36"/>
  <c r="M85" i="36"/>
  <c r="U85" i="36"/>
  <c r="D85" i="36"/>
  <c r="Q85" i="36"/>
  <c r="Y85" i="36"/>
  <c r="AA85" i="36"/>
  <c r="L95" i="36"/>
  <c r="Z95" i="36"/>
  <c r="R95" i="36"/>
  <c r="J95" i="36"/>
  <c r="F85" i="36"/>
  <c r="N85" i="36"/>
  <c r="V85" i="36"/>
  <c r="I85" i="36"/>
  <c r="S85" i="36"/>
  <c r="T95" i="36"/>
  <c r="AB85" i="36"/>
  <c r="Y95" i="36"/>
  <c r="Q95" i="36"/>
  <c r="I95" i="36"/>
  <c r="G85" i="36"/>
  <c r="O85" i="36"/>
  <c r="W85" i="36"/>
  <c r="G95" i="36"/>
  <c r="T85" i="36"/>
  <c r="X95" i="36"/>
  <c r="P95" i="36"/>
  <c r="H95" i="36"/>
  <c r="H85" i="36"/>
  <c r="P85" i="36"/>
  <c r="X85" i="36"/>
  <c r="O95" i="36"/>
  <c r="L85" i="36"/>
  <c r="W95" i="36"/>
  <c r="V95" i="36"/>
  <c r="N95" i="36"/>
  <c r="F95" i="36"/>
  <c r="J85" i="36"/>
  <c r="R85" i="36"/>
  <c r="Z85" i="36"/>
  <c r="M95" i="36"/>
  <c r="E95" i="36"/>
  <c r="K85" i="36"/>
  <c r="D95" i="36"/>
  <c r="U95" i="36"/>
  <c r="AB95" i="36"/>
  <c r="E69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Y69" i="36"/>
  <c r="Z69" i="36"/>
  <c r="AA69" i="36"/>
  <c r="AB69" i="36"/>
  <c r="E59" i="36"/>
  <c r="F59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AB59" i="36"/>
  <c r="D59" i="36"/>
  <c r="D69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D96" i="36"/>
  <c r="E86" i="36"/>
  <c r="F86" i="36"/>
  <c r="G86" i="36"/>
  <c r="H86" i="36"/>
  <c r="I86" i="36"/>
  <c r="J86" i="36"/>
  <c r="K86" i="36"/>
  <c r="L86" i="36"/>
  <c r="M86" i="36"/>
  <c r="N86" i="36"/>
  <c r="O86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AB86" i="36"/>
  <c r="D86" i="36"/>
  <c r="C36" i="140"/>
  <c r="C30" i="140"/>
  <c r="C32" i="140"/>
  <c r="C33" i="140"/>
  <c r="C28" i="140"/>
  <c r="C35" i="140"/>
  <c r="Y69" i="133"/>
  <c r="Q79" i="133"/>
  <c r="Q69" i="133"/>
  <c r="Y49" i="133"/>
  <c r="Q14" i="133"/>
  <c r="Y64" i="133"/>
  <c r="Y59" i="133"/>
  <c r="Q59" i="133"/>
  <c r="Q54" i="133"/>
  <c r="Y44" i="133"/>
  <c r="Q49" i="133"/>
  <c r="Q34" i="133"/>
  <c r="Y39" i="133"/>
  <c r="Q39" i="133"/>
  <c r="Y24" i="133"/>
  <c r="Q74" i="133"/>
  <c r="Y29" i="133"/>
  <c r="Q29" i="133"/>
  <c r="Y84" i="133"/>
  <c r="Y79" i="133"/>
  <c r="Y19" i="133"/>
  <c r="Q19" i="133"/>
  <c r="Y14" i="133"/>
  <c r="Q84" i="133"/>
  <c r="Q64" i="133"/>
  <c r="Q44" i="133"/>
  <c r="Q24" i="133"/>
  <c r="Y74" i="133"/>
  <c r="Y54" i="133"/>
  <c r="Y34" i="133"/>
  <c r="Z84" i="133"/>
  <c r="R84" i="133"/>
  <c r="Z79" i="133"/>
  <c r="R79" i="133"/>
  <c r="Z74" i="133"/>
  <c r="R74" i="133"/>
  <c r="Z69" i="133"/>
  <c r="R69" i="133"/>
  <c r="Z64" i="133"/>
  <c r="R64" i="133"/>
  <c r="Z59" i="133"/>
  <c r="R59" i="133"/>
  <c r="Z54" i="133"/>
  <c r="R54" i="133"/>
  <c r="Z49" i="133"/>
  <c r="R49" i="133"/>
  <c r="Z44" i="133"/>
  <c r="R44" i="133"/>
  <c r="Z39" i="133"/>
  <c r="R39" i="133"/>
  <c r="Z34" i="133"/>
  <c r="R34" i="133"/>
  <c r="Z29" i="133"/>
  <c r="R29" i="133"/>
  <c r="Z24" i="133"/>
  <c r="R24" i="133"/>
  <c r="Z19" i="133"/>
  <c r="R19" i="133"/>
  <c r="Z14" i="133"/>
  <c r="R14" i="133"/>
  <c r="X84" i="133"/>
  <c r="P84" i="133"/>
  <c r="X79" i="133"/>
  <c r="P79" i="133"/>
  <c r="X74" i="133"/>
  <c r="P74" i="133"/>
  <c r="X69" i="133"/>
  <c r="P69" i="133"/>
  <c r="X64" i="133"/>
  <c r="P64" i="133"/>
  <c r="X59" i="133"/>
  <c r="P59" i="133"/>
  <c r="X54" i="133"/>
  <c r="P54" i="133"/>
  <c r="X49" i="133"/>
  <c r="P49" i="133"/>
  <c r="X44" i="133"/>
  <c r="P44" i="133"/>
  <c r="X39" i="133"/>
  <c r="P39" i="133"/>
  <c r="X34" i="133"/>
  <c r="P34" i="133"/>
  <c r="X29" i="133"/>
  <c r="P29" i="133"/>
  <c r="X24" i="133"/>
  <c r="P24" i="133"/>
  <c r="X19" i="133"/>
  <c r="P19" i="133"/>
  <c r="X14" i="133"/>
  <c r="P14" i="133"/>
  <c r="W84" i="133"/>
  <c r="O84" i="133"/>
  <c r="W79" i="133"/>
  <c r="O79" i="133"/>
  <c r="W74" i="133"/>
  <c r="O74" i="133"/>
  <c r="W69" i="133"/>
  <c r="O69" i="133"/>
  <c r="W64" i="133"/>
  <c r="O64" i="133"/>
  <c r="W59" i="133"/>
  <c r="O59" i="133"/>
  <c r="W54" i="133"/>
  <c r="O54" i="133"/>
  <c r="W49" i="133"/>
  <c r="O49" i="133"/>
  <c r="W44" i="133"/>
  <c r="O44" i="133"/>
  <c r="W39" i="133"/>
  <c r="O39" i="133"/>
  <c r="W34" i="133"/>
  <c r="O34" i="133"/>
  <c r="W29" i="133"/>
  <c r="O29" i="133"/>
  <c r="W24" i="133"/>
  <c r="O24" i="133"/>
  <c r="W19" i="133"/>
  <c r="O19" i="133"/>
  <c r="W14" i="133"/>
  <c r="O14" i="133"/>
  <c r="V84" i="133"/>
  <c r="N84" i="133"/>
  <c r="V79" i="133"/>
  <c r="N79" i="133"/>
  <c r="V74" i="133"/>
  <c r="N74" i="133"/>
  <c r="V69" i="133"/>
  <c r="N69" i="133"/>
  <c r="V64" i="133"/>
  <c r="N64" i="133"/>
  <c r="V59" i="133"/>
  <c r="N59" i="133"/>
  <c r="V54" i="133"/>
  <c r="N54" i="133"/>
  <c r="V49" i="133"/>
  <c r="N49" i="133"/>
  <c r="V44" i="133"/>
  <c r="N44" i="133"/>
  <c r="V39" i="133"/>
  <c r="N39" i="133"/>
  <c r="V34" i="133"/>
  <c r="N34" i="133"/>
  <c r="V29" i="133"/>
  <c r="N29" i="133"/>
  <c r="V24" i="133"/>
  <c r="N24" i="133"/>
  <c r="V19" i="133"/>
  <c r="N19" i="133"/>
  <c r="V14" i="133"/>
  <c r="N14" i="133"/>
  <c r="U84" i="133"/>
  <c r="M84" i="133"/>
  <c r="U79" i="133"/>
  <c r="M79" i="133"/>
  <c r="U74" i="133"/>
  <c r="M74" i="133"/>
  <c r="U69" i="133"/>
  <c r="M69" i="133"/>
  <c r="U64" i="133"/>
  <c r="M64" i="133"/>
  <c r="U59" i="133"/>
  <c r="M59" i="133"/>
  <c r="U54" i="133"/>
  <c r="M54" i="133"/>
  <c r="U49" i="133"/>
  <c r="M49" i="133"/>
  <c r="U44" i="133"/>
  <c r="M44" i="133"/>
  <c r="U39" i="133"/>
  <c r="M39" i="133"/>
  <c r="U34" i="133"/>
  <c r="M34" i="133"/>
  <c r="U29" i="133"/>
  <c r="M29" i="133"/>
  <c r="U24" i="133"/>
  <c r="M24" i="133"/>
  <c r="U19" i="133"/>
  <c r="M19" i="133"/>
  <c r="U14" i="133"/>
  <c r="M14" i="133"/>
  <c r="T84" i="133"/>
  <c r="L84" i="133"/>
  <c r="T79" i="133"/>
  <c r="L79" i="133"/>
  <c r="T74" i="133"/>
  <c r="L74" i="133"/>
  <c r="T69" i="133"/>
  <c r="L69" i="133"/>
  <c r="T64" i="133"/>
  <c r="L64" i="133"/>
  <c r="T59" i="133"/>
  <c r="L59" i="133"/>
  <c r="T54" i="133"/>
  <c r="L54" i="133"/>
  <c r="T49" i="133"/>
  <c r="L49" i="133"/>
  <c r="T44" i="133"/>
  <c r="L44" i="133"/>
  <c r="T39" i="133"/>
  <c r="L39" i="133"/>
  <c r="T34" i="133"/>
  <c r="L34" i="133"/>
  <c r="T29" i="133"/>
  <c r="L29" i="133"/>
  <c r="T24" i="133"/>
  <c r="L24" i="133"/>
  <c r="T19" i="133"/>
  <c r="L19" i="133"/>
  <c r="T14" i="133"/>
  <c r="L14" i="133"/>
  <c r="S84" i="133"/>
  <c r="K84" i="133"/>
  <c r="S79" i="133"/>
  <c r="K79" i="133"/>
  <c r="S74" i="133"/>
  <c r="K74" i="133"/>
  <c r="S69" i="133"/>
  <c r="K69" i="133"/>
  <c r="S64" i="133"/>
  <c r="K64" i="133"/>
  <c r="S59" i="133"/>
  <c r="K59" i="133"/>
  <c r="S54" i="133"/>
  <c r="K54" i="133"/>
  <c r="S49" i="133"/>
  <c r="K49" i="133"/>
  <c r="S44" i="133"/>
  <c r="K44" i="133"/>
  <c r="S39" i="133"/>
  <c r="K39" i="133"/>
  <c r="S34" i="133"/>
  <c r="K34" i="133"/>
  <c r="S29" i="133"/>
  <c r="K29" i="133"/>
  <c r="S24" i="133"/>
  <c r="K24" i="133"/>
  <c r="S19" i="133"/>
  <c r="K19" i="133"/>
  <c r="S14" i="133"/>
  <c r="K14" i="133"/>
  <c r="H78" i="36" l="1"/>
  <c r="E68" i="36"/>
  <c r="N68" i="36"/>
  <c r="P68" i="36"/>
  <c r="H58" i="36"/>
  <c r="Y58" i="36"/>
  <c r="T68" i="36"/>
  <c r="AA68" i="36"/>
  <c r="U68" i="36"/>
  <c r="K58" i="36"/>
  <c r="R58" i="36"/>
  <c r="V68" i="36"/>
  <c r="L68" i="36"/>
  <c r="S68" i="36"/>
  <c r="AA58" i="36"/>
  <c r="Y68" i="36"/>
  <c r="S58" i="36"/>
  <c r="J58" i="36"/>
  <c r="D58" i="36"/>
  <c r="H68" i="36"/>
  <c r="I58" i="36"/>
  <c r="X58" i="36"/>
  <c r="D68" i="36"/>
  <c r="R68" i="36"/>
  <c r="Q68" i="36"/>
  <c r="W68" i="36"/>
  <c r="Z58" i="36"/>
  <c r="T58" i="36"/>
  <c r="F58" i="36"/>
  <c r="G68" i="36"/>
  <c r="AB58" i="36"/>
  <c r="O58" i="36"/>
  <c r="W58" i="36"/>
  <c r="E58" i="36"/>
  <c r="J68" i="36"/>
  <c r="I68" i="36"/>
  <c r="O68" i="36"/>
  <c r="M68" i="36"/>
  <c r="G58" i="36"/>
  <c r="N58" i="36"/>
  <c r="V58" i="36"/>
  <c r="Q58" i="36"/>
  <c r="X68" i="36"/>
  <c r="F105" i="36"/>
  <c r="N105" i="36"/>
  <c r="V105" i="36"/>
  <c r="G105" i="36"/>
  <c r="O105" i="36"/>
  <c r="W105" i="36"/>
  <c r="S105" i="36"/>
  <c r="U105" i="36"/>
  <c r="H105" i="36"/>
  <c r="P105" i="36"/>
  <c r="X105" i="36"/>
  <c r="I105" i="36"/>
  <c r="Q105" i="36"/>
  <c r="Y105" i="36"/>
  <c r="K105" i="36"/>
  <c r="D105" i="36"/>
  <c r="J105" i="36"/>
  <c r="R105" i="36"/>
  <c r="Z105" i="36"/>
  <c r="AA105" i="36"/>
  <c r="L105" i="36"/>
  <c r="T105" i="36"/>
  <c r="AB105" i="36"/>
  <c r="E105" i="36"/>
  <c r="M105" i="36"/>
  <c r="Z266" i="110" l="1"/>
  <c r="AA266" i="110"/>
  <c r="AB266" i="110"/>
  <c r="Z267" i="110"/>
  <c r="AA267" i="110"/>
  <c r="AB267" i="110"/>
  <c r="Z268" i="110"/>
  <c r="AA268" i="110"/>
  <c r="AB268" i="110"/>
  <c r="Z270" i="110"/>
  <c r="AA270" i="110"/>
  <c r="AB270" i="110"/>
  <c r="Z271" i="110"/>
  <c r="AA271" i="110"/>
  <c r="AB271" i="110"/>
  <c r="Z272" i="110"/>
  <c r="AA272" i="110"/>
  <c r="AB272" i="110"/>
  <c r="E20" i="110"/>
  <c r="F20" i="110"/>
  <c r="G20" i="110"/>
  <c r="H20" i="110"/>
  <c r="I20" i="110"/>
  <c r="J20" i="110"/>
  <c r="K20" i="110"/>
  <c r="L20" i="110"/>
  <c r="M20" i="110"/>
  <c r="N20" i="110"/>
  <c r="O20" i="110"/>
  <c r="P20" i="110"/>
  <c r="Q20" i="110"/>
  <c r="R20" i="110"/>
  <c r="S20" i="110"/>
  <c r="T20" i="110"/>
  <c r="U20" i="110"/>
  <c r="V20" i="110"/>
  <c r="W20" i="110"/>
  <c r="X20" i="110"/>
  <c r="Y20" i="110"/>
  <c r="Z20" i="110"/>
  <c r="AA20" i="110"/>
  <c r="AB20" i="110"/>
  <c r="D20" i="110"/>
  <c r="R85" i="110" l="1"/>
  <c r="S85" i="110"/>
  <c r="T85" i="110"/>
  <c r="U85" i="110"/>
  <c r="V85" i="110"/>
  <c r="W85" i="110"/>
  <c r="X85" i="110"/>
  <c r="Y85" i="110"/>
  <c r="Z85" i="110"/>
  <c r="AA85" i="110"/>
  <c r="AB85" i="110"/>
  <c r="M85" i="110"/>
  <c r="N85" i="110"/>
  <c r="O85" i="110"/>
  <c r="P85" i="110"/>
  <c r="Q85" i="110"/>
  <c r="M59" i="111"/>
  <c r="N59" i="111"/>
  <c r="O59" i="111"/>
  <c r="P59" i="111"/>
  <c r="Q59" i="111"/>
  <c r="R59" i="111"/>
  <c r="S59" i="111"/>
  <c r="T59" i="111"/>
  <c r="U59" i="111"/>
  <c r="V59" i="111"/>
  <c r="W59" i="111"/>
  <c r="X59" i="111"/>
  <c r="Y59" i="111"/>
  <c r="Z59" i="111"/>
  <c r="AA59" i="111"/>
  <c r="AB59" i="111"/>
  <c r="AA40" i="111"/>
  <c r="AB40" i="111"/>
  <c r="M40" i="111"/>
  <c r="N40" i="111"/>
  <c r="O40" i="111"/>
  <c r="P40" i="111"/>
  <c r="Q40" i="111"/>
  <c r="R40" i="111"/>
  <c r="S40" i="111"/>
  <c r="T40" i="111"/>
  <c r="U40" i="111"/>
  <c r="V40" i="111"/>
  <c r="W40" i="111"/>
  <c r="X40" i="111"/>
  <c r="Y40" i="111"/>
  <c r="Z40" i="111"/>
  <c r="K153" i="136" l="1"/>
  <c r="L153" i="136"/>
  <c r="M153" i="136"/>
  <c r="N153" i="136"/>
  <c r="G16" i="136" s="1"/>
  <c r="O153" i="136"/>
  <c r="P153" i="136"/>
  <c r="Q153" i="136"/>
  <c r="R153" i="136"/>
  <c r="K16" i="136" s="1"/>
  <c r="S153" i="136"/>
  <c r="T153" i="136"/>
  <c r="U153" i="136"/>
  <c r="V153" i="136"/>
  <c r="W153" i="136"/>
  <c r="X153" i="136"/>
  <c r="Y153" i="136"/>
  <c r="Z153" i="136"/>
  <c r="S16" i="136" s="1"/>
  <c r="AA153" i="136"/>
  <c r="AB153" i="136"/>
  <c r="AC153" i="136"/>
  <c r="AD153" i="136"/>
  <c r="AE153" i="136"/>
  <c r="X16" i="136" s="1"/>
  <c r="AF153" i="136"/>
  <c r="AG153" i="136"/>
  <c r="K145" i="136"/>
  <c r="L145" i="136"/>
  <c r="M145" i="136"/>
  <c r="N145" i="136"/>
  <c r="O145" i="136"/>
  <c r="H15" i="136" s="1"/>
  <c r="P145" i="136"/>
  <c r="I15" i="136" s="1"/>
  <c r="Q145" i="136"/>
  <c r="J15" i="136" s="1"/>
  <c r="R145" i="136"/>
  <c r="K15" i="136" s="1"/>
  <c r="S145" i="136"/>
  <c r="T145" i="136"/>
  <c r="U145" i="136"/>
  <c r="V145" i="136"/>
  <c r="W145" i="136"/>
  <c r="X145" i="136"/>
  <c r="Q15" i="136" s="1"/>
  <c r="Y145" i="136"/>
  <c r="R15" i="136" s="1"/>
  <c r="Z145" i="136"/>
  <c r="S15" i="136" s="1"/>
  <c r="AA145" i="136"/>
  <c r="AB145" i="136"/>
  <c r="AC145" i="136"/>
  <c r="AD145" i="136"/>
  <c r="AE145" i="136"/>
  <c r="AF145" i="136"/>
  <c r="AG145" i="136"/>
  <c r="K136" i="136"/>
  <c r="L136" i="136"/>
  <c r="M136" i="136"/>
  <c r="N136" i="136"/>
  <c r="O136" i="136"/>
  <c r="H14" i="136" s="1"/>
  <c r="P136" i="136"/>
  <c r="I14" i="136" s="1"/>
  <c r="Q136" i="136"/>
  <c r="J14" i="136" s="1"/>
  <c r="R136" i="136"/>
  <c r="K14" i="136" s="1"/>
  <c r="S136" i="136"/>
  <c r="T136" i="136"/>
  <c r="U136" i="136"/>
  <c r="V136" i="136"/>
  <c r="W136" i="136"/>
  <c r="P14" i="136" s="1"/>
  <c r="X136" i="136"/>
  <c r="Q14" i="136" s="1"/>
  <c r="Y136" i="136"/>
  <c r="R14" i="136" s="1"/>
  <c r="Z136" i="136"/>
  <c r="S14" i="136" s="1"/>
  <c r="AA136" i="136"/>
  <c r="AB136" i="136"/>
  <c r="U14" i="136" s="1"/>
  <c r="AC136" i="136"/>
  <c r="AD136" i="136"/>
  <c r="AE136" i="136"/>
  <c r="X14" i="136" s="1"/>
  <c r="AF136" i="136"/>
  <c r="Y14" i="136" s="1"/>
  <c r="AG136" i="136"/>
  <c r="Z14" i="136" s="1"/>
  <c r="K127" i="136"/>
  <c r="L127" i="136"/>
  <c r="M127" i="136"/>
  <c r="N127" i="136"/>
  <c r="O127" i="136"/>
  <c r="H13" i="136" s="1"/>
  <c r="P127" i="136"/>
  <c r="Q127" i="136"/>
  <c r="R127" i="136"/>
  <c r="K13" i="136" s="1"/>
  <c r="S127" i="136"/>
  <c r="T127" i="136"/>
  <c r="U127" i="136"/>
  <c r="V127" i="136"/>
  <c r="W127" i="136"/>
  <c r="P13" i="136" s="1"/>
  <c r="X127" i="136"/>
  <c r="Y127" i="136"/>
  <c r="Z127" i="136"/>
  <c r="S13" i="136" s="1"/>
  <c r="AA127" i="136"/>
  <c r="AB127" i="136"/>
  <c r="AC127" i="136"/>
  <c r="AD127" i="136"/>
  <c r="AE127" i="136"/>
  <c r="X13" i="136" s="1"/>
  <c r="AF127" i="136"/>
  <c r="AG127" i="136"/>
  <c r="K117" i="136"/>
  <c r="L117" i="136"/>
  <c r="M117" i="136"/>
  <c r="N117" i="136"/>
  <c r="O117" i="136"/>
  <c r="P117" i="136"/>
  <c r="I12" i="136" s="1"/>
  <c r="Q117" i="136"/>
  <c r="J12" i="136" s="1"/>
  <c r="R117" i="136"/>
  <c r="K12" i="136" s="1"/>
  <c r="S117" i="136"/>
  <c r="T117" i="136"/>
  <c r="U117" i="136"/>
  <c r="V117" i="136"/>
  <c r="W117" i="136"/>
  <c r="X117" i="136"/>
  <c r="Q12" i="136" s="1"/>
  <c r="Y117" i="136"/>
  <c r="R12" i="136" s="1"/>
  <c r="Z117" i="136"/>
  <c r="S12" i="136" s="1"/>
  <c r="AA117" i="136"/>
  <c r="AB117" i="136"/>
  <c r="AC117" i="136"/>
  <c r="AD117" i="136"/>
  <c r="AE117" i="136"/>
  <c r="AF117" i="136"/>
  <c r="AG117" i="136"/>
  <c r="K108" i="136"/>
  <c r="D11" i="136" s="1"/>
  <c r="L108" i="136"/>
  <c r="M108" i="136"/>
  <c r="F11" i="136" s="1"/>
  <c r="N108" i="136"/>
  <c r="O108" i="136"/>
  <c r="P108" i="136"/>
  <c r="Q108" i="136"/>
  <c r="J11" i="136" s="1"/>
  <c r="R108" i="136"/>
  <c r="K11" i="136" s="1"/>
  <c r="S108" i="136"/>
  <c r="T108" i="136"/>
  <c r="U108" i="136"/>
  <c r="N11" i="136" s="1"/>
  <c r="V108" i="136"/>
  <c r="W108" i="136"/>
  <c r="X108" i="136"/>
  <c r="Q11" i="136" s="1"/>
  <c r="Y108" i="136"/>
  <c r="R11" i="136" s="1"/>
  <c r="Z108" i="136"/>
  <c r="S11" i="136" s="1"/>
  <c r="AA108" i="136"/>
  <c r="AB108" i="136"/>
  <c r="AC108" i="136"/>
  <c r="V11" i="136" s="1"/>
  <c r="AD108" i="136"/>
  <c r="AE108" i="136"/>
  <c r="AF108" i="136"/>
  <c r="AG108" i="136"/>
  <c r="K97" i="136"/>
  <c r="L97" i="136"/>
  <c r="M97" i="136"/>
  <c r="O97" i="136"/>
  <c r="P97" i="136"/>
  <c r="Q97" i="136"/>
  <c r="J10" i="136" s="1"/>
  <c r="R97" i="136"/>
  <c r="K10" i="136" s="1"/>
  <c r="S97" i="136"/>
  <c r="T97" i="136"/>
  <c r="M10" i="136" s="1"/>
  <c r="U97" i="136"/>
  <c r="V97" i="136"/>
  <c r="W97" i="136"/>
  <c r="X97" i="136"/>
  <c r="Y97" i="136"/>
  <c r="R10" i="136" s="1"/>
  <c r="Z97" i="136"/>
  <c r="S10" i="136" s="1"/>
  <c r="AA97" i="136"/>
  <c r="AB97" i="136"/>
  <c r="U10" i="136" s="1"/>
  <c r="AC97" i="136"/>
  <c r="AD97" i="136"/>
  <c r="AE97" i="136"/>
  <c r="AF97" i="136"/>
  <c r="AG97" i="136"/>
  <c r="Z10" i="136" s="1"/>
  <c r="K87" i="136"/>
  <c r="L87" i="136"/>
  <c r="M87" i="136"/>
  <c r="N87" i="136"/>
  <c r="O87" i="136"/>
  <c r="P87" i="136"/>
  <c r="I9" i="136" s="1"/>
  <c r="Q87" i="136"/>
  <c r="J9" i="136" s="1"/>
  <c r="R87" i="136"/>
  <c r="K9" i="136" s="1"/>
  <c r="S87" i="136"/>
  <c r="T87" i="136"/>
  <c r="U87" i="136"/>
  <c r="V87" i="136"/>
  <c r="W87" i="136"/>
  <c r="X87" i="136"/>
  <c r="Q9" i="136" s="1"/>
  <c r="Y87" i="136"/>
  <c r="R9" i="136" s="1"/>
  <c r="Z87" i="136"/>
  <c r="S9" i="136" s="1"/>
  <c r="AA87" i="136"/>
  <c r="AB87" i="136"/>
  <c r="AC87" i="136"/>
  <c r="AD87" i="136"/>
  <c r="AE87" i="136"/>
  <c r="AF87" i="136"/>
  <c r="AG87" i="136"/>
  <c r="Z9" i="136" s="1"/>
  <c r="K82" i="136"/>
  <c r="L82" i="136"/>
  <c r="M82" i="136"/>
  <c r="N82" i="136"/>
  <c r="G8" i="136" s="1"/>
  <c r="O82" i="136"/>
  <c r="H8" i="136" s="1"/>
  <c r="P82" i="136"/>
  <c r="I8" i="136" s="1"/>
  <c r="Q82" i="136"/>
  <c r="J8" i="136" s="1"/>
  <c r="R82" i="136"/>
  <c r="K8" i="136" s="1"/>
  <c r="S82" i="136"/>
  <c r="T82" i="136"/>
  <c r="U82" i="136"/>
  <c r="V82" i="136"/>
  <c r="O8" i="136" s="1"/>
  <c r="W82" i="136"/>
  <c r="P8" i="136" s="1"/>
  <c r="X82" i="136"/>
  <c r="Q8" i="136" s="1"/>
  <c r="Y82" i="136"/>
  <c r="R8" i="136" s="1"/>
  <c r="Z82" i="136"/>
  <c r="S8" i="136" s="1"/>
  <c r="AA82" i="136"/>
  <c r="AB82" i="136"/>
  <c r="AC82" i="136"/>
  <c r="AD82" i="136"/>
  <c r="AE82" i="136"/>
  <c r="AF82" i="136"/>
  <c r="AG82" i="136"/>
  <c r="Z8" i="136" s="1"/>
  <c r="K73" i="136"/>
  <c r="L73" i="136"/>
  <c r="M73" i="136"/>
  <c r="N73" i="136"/>
  <c r="O73" i="136"/>
  <c r="P73" i="136"/>
  <c r="Q73" i="136"/>
  <c r="J7" i="136" s="1"/>
  <c r="R73" i="136"/>
  <c r="K7" i="136" s="1"/>
  <c r="S73" i="136"/>
  <c r="T73" i="136"/>
  <c r="U73" i="136"/>
  <c r="V73" i="136"/>
  <c r="W73" i="136"/>
  <c r="X73" i="136"/>
  <c r="Y73" i="136"/>
  <c r="R7" i="136" s="1"/>
  <c r="Z73" i="136"/>
  <c r="S7" i="136" s="1"/>
  <c r="AA73" i="136"/>
  <c r="AB73" i="136"/>
  <c r="AC73" i="136"/>
  <c r="AD73" i="136"/>
  <c r="AE73" i="136"/>
  <c r="X7" i="136" s="1"/>
  <c r="AF73" i="136"/>
  <c r="AG73" i="136"/>
  <c r="Z7" i="136" s="1"/>
  <c r="K66" i="136"/>
  <c r="L66" i="136"/>
  <c r="M66" i="136"/>
  <c r="N66" i="136"/>
  <c r="O66" i="136"/>
  <c r="P66" i="136"/>
  <c r="Q66" i="136"/>
  <c r="J6" i="136" s="1"/>
  <c r="R66" i="136"/>
  <c r="K6" i="136" s="1"/>
  <c r="S66" i="136"/>
  <c r="T66" i="136"/>
  <c r="U66" i="136"/>
  <c r="V66" i="136"/>
  <c r="W66" i="136"/>
  <c r="X66" i="136"/>
  <c r="Y66" i="136"/>
  <c r="R6" i="136" s="1"/>
  <c r="Z66" i="136"/>
  <c r="S6" i="136" s="1"/>
  <c r="AA66" i="136"/>
  <c r="AB66" i="136"/>
  <c r="AC66" i="136"/>
  <c r="AD66" i="136"/>
  <c r="AE66" i="136"/>
  <c r="AF66" i="136"/>
  <c r="AG66" i="136"/>
  <c r="Z6" i="136" s="1"/>
  <c r="U61" i="136"/>
  <c r="K61" i="136"/>
  <c r="L61" i="136"/>
  <c r="M61" i="136"/>
  <c r="N61" i="136"/>
  <c r="O61" i="136"/>
  <c r="P61" i="136"/>
  <c r="Q61" i="136"/>
  <c r="R61" i="136"/>
  <c r="K5" i="136" s="1"/>
  <c r="S61" i="136"/>
  <c r="T61" i="136"/>
  <c r="V61" i="136"/>
  <c r="W61" i="136"/>
  <c r="X61" i="136"/>
  <c r="Y61" i="136"/>
  <c r="Z61" i="136"/>
  <c r="S5" i="136" s="1"/>
  <c r="AA61" i="136"/>
  <c r="AB61" i="136"/>
  <c r="AC61" i="136"/>
  <c r="AD61" i="136"/>
  <c r="AE61" i="136"/>
  <c r="AF61" i="136"/>
  <c r="AG61" i="136"/>
  <c r="X50" i="136"/>
  <c r="AA50" i="136"/>
  <c r="K50" i="136"/>
  <c r="L50" i="136"/>
  <c r="M50" i="136"/>
  <c r="N50" i="136"/>
  <c r="O50" i="136"/>
  <c r="P50" i="136"/>
  <c r="Q50" i="136"/>
  <c r="J4" i="136" s="1"/>
  <c r="R50" i="136"/>
  <c r="K4" i="136" s="1"/>
  <c r="S50" i="136"/>
  <c r="T50" i="136"/>
  <c r="U50" i="136"/>
  <c r="V50" i="136"/>
  <c r="W50" i="136"/>
  <c r="Y50" i="136"/>
  <c r="R4" i="136" s="1"/>
  <c r="Z50" i="136"/>
  <c r="S4" i="136" s="1"/>
  <c r="AB50" i="136"/>
  <c r="AC50" i="136"/>
  <c r="AD50" i="136"/>
  <c r="AE50" i="136"/>
  <c r="AF50" i="136"/>
  <c r="AG50" i="136"/>
  <c r="K45" i="136"/>
  <c r="L45" i="136"/>
  <c r="M45" i="136"/>
  <c r="N45" i="136"/>
  <c r="O45" i="136"/>
  <c r="P45" i="136"/>
  <c r="Q45" i="136"/>
  <c r="J3" i="136" s="1"/>
  <c r="R45" i="136"/>
  <c r="K3" i="136" s="1"/>
  <c r="S45" i="136"/>
  <c r="T45" i="136"/>
  <c r="U45" i="136"/>
  <c r="V45" i="136"/>
  <c r="W45" i="136"/>
  <c r="X45" i="136"/>
  <c r="Y45" i="136"/>
  <c r="Z45" i="136"/>
  <c r="S3" i="136" s="1"/>
  <c r="AA45" i="136"/>
  <c r="AB45" i="136"/>
  <c r="AC45" i="136"/>
  <c r="AD45" i="136"/>
  <c r="AE45" i="136"/>
  <c r="AF45" i="136"/>
  <c r="AG45" i="136"/>
  <c r="K41" i="136"/>
  <c r="L41" i="136"/>
  <c r="M41" i="136"/>
  <c r="N41" i="136"/>
  <c r="O41" i="136"/>
  <c r="P41" i="136"/>
  <c r="Q41" i="136"/>
  <c r="R41" i="136"/>
  <c r="K2" i="136" s="1"/>
  <c r="S41" i="136"/>
  <c r="T41" i="136"/>
  <c r="U41" i="136"/>
  <c r="V41" i="136"/>
  <c r="W41" i="136"/>
  <c r="X41" i="136"/>
  <c r="Y41" i="136"/>
  <c r="Z41" i="136"/>
  <c r="S2" i="136" s="1"/>
  <c r="AA41" i="136"/>
  <c r="AB41" i="136"/>
  <c r="AC41" i="136"/>
  <c r="AD41" i="136"/>
  <c r="AE41" i="136"/>
  <c r="AF41" i="136"/>
  <c r="AG41" i="136"/>
  <c r="Z2" i="136" s="1"/>
  <c r="E16" i="136"/>
  <c r="F16" i="136"/>
  <c r="M16" i="136"/>
  <c r="N16" i="136"/>
  <c r="V16" i="136"/>
  <c r="Y16" i="136"/>
  <c r="Z16" i="136"/>
  <c r="L15" i="136"/>
  <c r="V15" i="136"/>
  <c r="X15" i="136"/>
  <c r="Y15" i="136"/>
  <c r="Z15" i="136"/>
  <c r="D14" i="136"/>
  <c r="T14" i="136"/>
  <c r="V14" i="136"/>
  <c r="Y13" i="136"/>
  <c r="Z13" i="136"/>
  <c r="X12" i="136"/>
  <c r="Y12" i="136"/>
  <c r="Z12" i="136"/>
  <c r="L11" i="136"/>
  <c r="M11" i="136"/>
  <c r="X11" i="136"/>
  <c r="Y11" i="136"/>
  <c r="Z11" i="136"/>
  <c r="F10" i="136"/>
  <c r="X10" i="136"/>
  <c r="Y10" i="136"/>
  <c r="E9" i="136"/>
  <c r="X9" i="136"/>
  <c r="Y9" i="136"/>
  <c r="F8" i="136"/>
  <c r="N8" i="136"/>
  <c r="U8" i="136"/>
  <c r="V8" i="136"/>
  <c r="X8" i="136"/>
  <c r="Y8" i="136"/>
  <c r="D7" i="136"/>
  <c r="E7" i="136"/>
  <c r="F7" i="136"/>
  <c r="L7" i="136"/>
  <c r="M7" i="136"/>
  <c r="N7" i="136"/>
  <c r="T7" i="136"/>
  <c r="U7" i="136"/>
  <c r="V7" i="136"/>
  <c r="Y7" i="136"/>
  <c r="D6" i="136"/>
  <c r="E6" i="136"/>
  <c r="T6" i="136"/>
  <c r="U6" i="136"/>
  <c r="X6" i="136"/>
  <c r="Y6" i="136"/>
  <c r="X5" i="136"/>
  <c r="Y5" i="136"/>
  <c r="Z5" i="136"/>
  <c r="C5" i="136"/>
  <c r="F4" i="136"/>
  <c r="X4" i="136"/>
  <c r="Y4" i="136"/>
  <c r="Z4" i="136"/>
  <c r="L3" i="136"/>
  <c r="X3" i="136"/>
  <c r="Y3" i="136"/>
  <c r="Z3" i="136"/>
  <c r="X2" i="136"/>
  <c r="Y2" i="136"/>
  <c r="D16" i="136"/>
  <c r="H16" i="136"/>
  <c r="I16" i="136"/>
  <c r="J16" i="136"/>
  <c r="L16" i="136"/>
  <c r="O16" i="136"/>
  <c r="P16" i="136"/>
  <c r="Q16" i="136"/>
  <c r="R16" i="136"/>
  <c r="T16" i="136"/>
  <c r="U16" i="136"/>
  <c r="W16" i="136"/>
  <c r="J153" i="136"/>
  <c r="C16" i="136" s="1"/>
  <c r="D15" i="136"/>
  <c r="E15" i="136"/>
  <c r="F15" i="136"/>
  <c r="G15" i="136"/>
  <c r="M15" i="136"/>
  <c r="N15" i="136"/>
  <c r="O15" i="136"/>
  <c r="P15" i="136"/>
  <c r="T15" i="136"/>
  <c r="U15" i="136"/>
  <c r="W15" i="136"/>
  <c r="J145" i="136"/>
  <c r="C15" i="136" s="1"/>
  <c r="E14" i="136"/>
  <c r="F14" i="136"/>
  <c r="G14" i="136"/>
  <c r="L14" i="136"/>
  <c r="M14" i="136"/>
  <c r="N14" i="136"/>
  <c r="O14" i="136"/>
  <c r="W14" i="136"/>
  <c r="J136" i="136"/>
  <c r="C14" i="136" s="1"/>
  <c r="D13" i="136"/>
  <c r="E13" i="136"/>
  <c r="F13" i="136"/>
  <c r="G13" i="136"/>
  <c r="I13" i="136"/>
  <c r="J13" i="136"/>
  <c r="L13" i="136"/>
  <c r="M13" i="136"/>
  <c r="N13" i="136"/>
  <c r="O13" i="136"/>
  <c r="Q13" i="136"/>
  <c r="R13" i="136"/>
  <c r="T13" i="136"/>
  <c r="U13" i="136"/>
  <c r="V13" i="136"/>
  <c r="W13" i="136"/>
  <c r="J127" i="136"/>
  <c r="C13" i="136" s="1"/>
  <c r="U12" i="136"/>
  <c r="D12" i="136"/>
  <c r="E12" i="136"/>
  <c r="F12" i="136"/>
  <c r="G12" i="136"/>
  <c r="H12" i="136"/>
  <c r="L12" i="136"/>
  <c r="M12" i="136"/>
  <c r="N12" i="136"/>
  <c r="O12" i="136"/>
  <c r="P12" i="136"/>
  <c r="T12" i="136"/>
  <c r="V12" i="136"/>
  <c r="W12" i="136"/>
  <c r="J117" i="136"/>
  <c r="C12" i="136" s="1"/>
  <c r="E11" i="136"/>
  <c r="G11" i="136"/>
  <c r="H11" i="136"/>
  <c r="I11" i="136"/>
  <c r="O11" i="136"/>
  <c r="P11" i="136"/>
  <c r="T11" i="136"/>
  <c r="U11" i="136"/>
  <c r="W11" i="136"/>
  <c r="J108" i="136"/>
  <c r="C11" i="136" s="1"/>
  <c r="J97" i="136"/>
  <c r="C10" i="136" s="1"/>
  <c r="D10" i="136"/>
  <c r="E10" i="136"/>
  <c r="G10" i="136"/>
  <c r="H10" i="136"/>
  <c r="I10" i="136"/>
  <c r="L10" i="136"/>
  <c r="N10" i="136"/>
  <c r="O10" i="136"/>
  <c r="P10" i="136"/>
  <c r="Q10" i="136"/>
  <c r="T10" i="136"/>
  <c r="V10" i="136"/>
  <c r="W10" i="136"/>
  <c r="D9" i="136"/>
  <c r="F9" i="136"/>
  <c r="G9" i="136"/>
  <c r="H9" i="136"/>
  <c r="L9" i="136"/>
  <c r="M9" i="136"/>
  <c r="N9" i="136"/>
  <c r="O9" i="136"/>
  <c r="P9" i="136"/>
  <c r="T9" i="136"/>
  <c r="U9" i="136"/>
  <c r="V9" i="136"/>
  <c r="W9" i="136"/>
  <c r="J87" i="136"/>
  <c r="C9" i="136" s="1"/>
  <c r="D8" i="136"/>
  <c r="E8" i="136"/>
  <c r="L8" i="136"/>
  <c r="M8" i="136"/>
  <c r="T8" i="136"/>
  <c r="W8" i="136"/>
  <c r="J82" i="136"/>
  <c r="C8" i="136" s="1"/>
  <c r="G7" i="136"/>
  <c r="H7" i="136"/>
  <c r="I7" i="136"/>
  <c r="O7" i="136"/>
  <c r="P7" i="136"/>
  <c r="Q7" i="136"/>
  <c r="W7" i="136"/>
  <c r="J73" i="136"/>
  <c r="C7" i="136" s="1"/>
  <c r="F6" i="136"/>
  <c r="G6" i="136"/>
  <c r="H6" i="136"/>
  <c r="I6" i="136"/>
  <c r="L6" i="136"/>
  <c r="M6" i="136"/>
  <c r="N6" i="136"/>
  <c r="O6" i="136"/>
  <c r="P6" i="136"/>
  <c r="Q6" i="136"/>
  <c r="V6" i="136"/>
  <c r="W6" i="136"/>
  <c r="J66" i="136"/>
  <c r="C6" i="136" s="1"/>
  <c r="D5" i="136"/>
  <c r="E5" i="136"/>
  <c r="F5" i="136"/>
  <c r="G5" i="136"/>
  <c r="H5" i="136"/>
  <c r="I5" i="136"/>
  <c r="J5" i="136"/>
  <c r="L5" i="136"/>
  <c r="M5" i="136"/>
  <c r="N5" i="136"/>
  <c r="O5" i="136"/>
  <c r="P5" i="136"/>
  <c r="Q5" i="136"/>
  <c r="R5" i="136"/>
  <c r="T5" i="136"/>
  <c r="U5" i="136"/>
  <c r="V5" i="136"/>
  <c r="W5" i="136"/>
  <c r="J61" i="136"/>
  <c r="U4" i="136"/>
  <c r="D4" i="136"/>
  <c r="E4" i="136"/>
  <c r="G4" i="136"/>
  <c r="H4" i="136"/>
  <c r="I4" i="136"/>
  <c r="L4" i="136"/>
  <c r="M4" i="136"/>
  <c r="N4" i="136"/>
  <c r="O4" i="136"/>
  <c r="P4" i="136"/>
  <c r="Q4" i="136"/>
  <c r="T4" i="136"/>
  <c r="V4" i="136"/>
  <c r="W4" i="136"/>
  <c r="J50" i="136"/>
  <c r="C4" i="136" s="1"/>
  <c r="D3" i="136"/>
  <c r="E3" i="136"/>
  <c r="F3" i="136"/>
  <c r="G3" i="136"/>
  <c r="H3" i="136"/>
  <c r="I3" i="136"/>
  <c r="M3" i="136"/>
  <c r="N3" i="136"/>
  <c r="O3" i="136"/>
  <c r="P3" i="136"/>
  <c r="Q3" i="136"/>
  <c r="R3" i="136"/>
  <c r="T3" i="136"/>
  <c r="U3" i="136"/>
  <c r="V3" i="136"/>
  <c r="W3" i="136"/>
  <c r="J45" i="136"/>
  <c r="C3" i="136" s="1"/>
  <c r="D2" i="136"/>
  <c r="E2" i="136"/>
  <c r="F2" i="136"/>
  <c r="G2" i="136"/>
  <c r="H2" i="136"/>
  <c r="I2" i="136"/>
  <c r="J2" i="136"/>
  <c r="L2" i="136"/>
  <c r="M2" i="136"/>
  <c r="N2" i="136"/>
  <c r="O2" i="136"/>
  <c r="P2" i="136"/>
  <c r="Q2" i="136"/>
  <c r="R2" i="136"/>
  <c r="T2" i="136"/>
  <c r="U2" i="136"/>
  <c r="V2" i="136"/>
  <c r="W2" i="136"/>
  <c r="J41" i="136"/>
  <c r="C2" i="136" s="1"/>
  <c r="F22" i="135"/>
  <c r="G22" i="135"/>
  <c r="H22" i="135"/>
  <c r="S22" i="135"/>
  <c r="U22" i="135"/>
  <c r="W22" i="135"/>
  <c r="F23" i="135"/>
  <c r="G23" i="135"/>
  <c r="I23" i="135"/>
  <c r="N23" i="135"/>
  <c r="O23" i="135"/>
  <c r="X23" i="135"/>
  <c r="Y23" i="135"/>
  <c r="E24" i="135"/>
  <c r="F24" i="135"/>
  <c r="N24" i="135"/>
  <c r="O24" i="135"/>
  <c r="P24" i="135"/>
  <c r="Q24" i="135"/>
  <c r="I25" i="135"/>
  <c r="N25" i="135"/>
  <c r="F26" i="135"/>
  <c r="G26" i="135"/>
  <c r="I26" i="135"/>
  <c r="O26" i="135"/>
  <c r="V26" i="135"/>
  <c r="W26" i="135"/>
  <c r="H27" i="135"/>
  <c r="K27" i="135"/>
  <c r="V27" i="135"/>
  <c r="W27" i="135"/>
  <c r="F28" i="135"/>
  <c r="G28" i="135"/>
  <c r="H28" i="135"/>
  <c r="I28" i="135"/>
  <c r="M28" i="135"/>
  <c r="N28" i="135"/>
  <c r="V28" i="135"/>
  <c r="W28" i="135"/>
  <c r="X28" i="135"/>
  <c r="Y28" i="135"/>
  <c r="M29" i="135"/>
  <c r="N29" i="135"/>
  <c r="V29" i="135"/>
  <c r="W29" i="135"/>
  <c r="Z29" i="135"/>
  <c r="M30" i="135"/>
  <c r="N30" i="135"/>
  <c r="O30" i="135"/>
  <c r="P30" i="135"/>
  <c r="V30" i="135"/>
  <c r="W30" i="135"/>
  <c r="X30" i="135"/>
  <c r="Y30" i="135"/>
  <c r="Z30" i="135"/>
  <c r="P31" i="135"/>
  <c r="Q31" i="135"/>
  <c r="X31" i="135"/>
  <c r="Y31" i="135"/>
  <c r="Z31" i="135"/>
  <c r="K32" i="135"/>
  <c r="M32" i="135"/>
  <c r="N32" i="135"/>
  <c r="U32" i="135"/>
  <c r="V32" i="135"/>
  <c r="Y32" i="135"/>
  <c r="F33" i="135"/>
  <c r="G33" i="135"/>
  <c r="H33" i="135"/>
  <c r="K33" i="135"/>
  <c r="O33" i="135"/>
  <c r="T33" i="135"/>
  <c r="F34" i="135"/>
  <c r="G34" i="135"/>
  <c r="M34" i="135"/>
  <c r="N34" i="135"/>
  <c r="O34" i="135"/>
  <c r="P34" i="135"/>
  <c r="V34" i="135"/>
  <c r="W34" i="135"/>
  <c r="X34" i="135"/>
  <c r="Y34" i="135"/>
  <c r="F35" i="135"/>
  <c r="G35" i="135"/>
  <c r="H35" i="135"/>
  <c r="I35" i="135"/>
  <c r="J35" i="135"/>
  <c r="O35" i="135"/>
  <c r="Q35" i="135"/>
  <c r="T35" i="135"/>
  <c r="C25" i="135"/>
  <c r="C26" i="135"/>
  <c r="C32" i="135"/>
  <c r="C34" i="135"/>
  <c r="C35" i="135"/>
  <c r="F21" i="135"/>
  <c r="I21" i="135"/>
  <c r="K21" i="135"/>
  <c r="T21" i="135"/>
  <c r="C21" i="135"/>
  <c r="E20" i="135"/>
  <c r="F20" i="135"/>
  <c r="K20" i="135"/>
  <c r="M20" i="135"/>
  <c r="N20" i="135"/>
  <c r="S20" i="135"/>
  <c r="U20" i="135"/>
  <c r="V20" i="135"/>
  <c r="C20" i="135"/>
  <c r="C2" i="135"/>
  <c r="D2" i="135"/>
  <c r="E2" i="135"/>
  <c r="F2" i="135"/>
  <c r="G2" i="135"/>
  <c r="G20" i="135" s="1"/>
  <c r="H2" i="135"/>
  <c r="H20" i="135" s="1"/>
  <c r="I2" i="135"/>
  <c r="J2" i="135"/>
  <c r="K2" i="135"/>
  <c r="L2" i="135"/>
  <c r="M2" i="135"/>
  <c r="N2" i="135"/>
  <c r="O2" i="135"/>
  <c r="O20" i="135" s="1"/>
  <c r="P2" i="135"/>
  <c r="P20" i="135" s="1"/>
  <c r="Q2" i="135"/>
  <c r="R2" i="135"/>
  <c r="S2" i="135"/>
  <c r="T2" i="135"/>
  <c r="U2" i="135"/>
  <c r="V2" i="135"/>
  <c r="W2" i="135"/>
  <c r="W20" i="135" s="1"/>
  <c r="X2" i="135"/>
  <c r="X20" i="135" s="1"/>
  <c r="Y2" i="135"/>
  <c r="Z2" i="135"/>
  <c r="C3" i="135"/>
  <c r="D3" i="135"/>
  <c r="E3" i="135"/>
  <c r="E21" i="135" s="1"/>
  <c r="F3" i="135"/>
  <c r="G3" i="135"/>
  <c r="H3" i="135"/>
  <c r="H21" i="135" s="1"/>
  <c r="I3" i="135"/>
  <c r="J3" i="135"/>
  <c r="K3" i="135"/>
  <c r="L3" i="135"/>
  <c r="M3" i="135"/>
  <c r="M21" i="135" s="1"/>
  <c r="N3" i="135"/>
  <c r="N21" i="135" s="1"/>
  <c r="O3" i="135"/>
  <c r="P3" i="135"/>
  <c r="P21" i="135" s="1"/>
  <c r="Q3" i="135"/>
  <c r="Q21" i="135" s="1"/>
  <c r="R3" i="135"/>
  <c r="S3" i="135"/>
  <c r="S21" i="135" s="1"/>
  <c r="T3" i="135"/>
  <c r="U3" i="135"/>
  <c r="U21" i="135" s="1"/>
  <c r="V3" i="135"/>
  <c r="V21" i="135" s="1"/>
  <c r="W3" i="135"/>
  <c r="X3" i="135"/>
  <c r="X21" i="135" s="1"/>
  <c r="Y3" i="135"/>
  <c r="Y21" i="135" s="1"/>
  <c r="Z3" i="135"/>
  <c r="C4" i="135"/>
  <c r="D4" i="135"/>
  <c r="E4" i="135"/>
  <c r="F4" i="135"/>
  <c r="G4" i="135"/>
  <c r="H4" i="135"/>
  <c r="I4" i="135"/>
  <c r="J4" i="135"/>
  <c r="K4" i="135"/>
  <c r="K22" i="135" s="1"/>
  <c r="L4" i="135"/>
  <c r="M4" i="135"/>
  <c r="N4" i="135"/>
  <c r="O4" i="135"/>
  <c r="P4" i="135"/>
  <c r="P22" i="135" s="1"/>
  <c r="Q4" i="135"/>
  <c r="R4" i="135"/>
  <c r="S4" i="135"/>
  <c r="T4" i="135"/>
  <c r="U4" i="135"/>
  <c r="V4" i="135"/>
  <c r="W4" i="135"/>
  <c r="X4" i="135"/>
  <c r="Y4" i="135"/>
  <c r="Z4" i="135"/>
  <c r="C5" i="135"/>
  <c r="C23" i="135" s="1"/>
  <c r="D5" i="135"/>
  <c r="E5" i="135"/>
  <c r="E23" i="135" s="1"/>
  <c r="F5" i="135"/>
  <c r="G5" i="135"/>
  <c r="H5" i="135"/>
  <c r="I5" i="135"/>
  <c r="J5" i="135"/>
  <c r="K5" i="135"/>
  <c r="K23" i="135" s="1"/>
  <c r="L5" i="135"/>
  <c r="M5" i="135"/>
  <c r="N5" i="135"/>
  <c r="O5" i="135"/>
  <c r="P5" i="135"/>
  <c r="P23" i="135" s="1"/>
  <c r="Q5" i="135"/>
  <c r="R5" i="135"/>
  <c r="S5" i="135"/>
  <c r="S23" i="135" s="1"/>
  <c r="T5" i="135"/>
  <c r="U5" i="135"/>
  <c r="U23" i="135" s="1"/>
  <c r="V5" i="135"/>
  <c r="W5" i="135"/>
  <c r="X5" i="135"/>
  <c r="Y5" i="135"/>
  <c r="Z5" i="135"/>
  <c r="C6" i="135"/>
  <c r="D6" i="135"/>
  <c r="E6" i="135"/>
  <c r="F6" i="135"/>
  <c r="G6" i="135"/>
  <c r="G24" i="135" s="1"/>
  <c r="H6" i="135"/>
  <c r="H24" i="135" s="1"/>
  <c r="I6" i="135"/>
  <c r="J6" i="135"/>
  <c r="K6" i="135"/>
  <c r="L6" i="135"/>
  <c r="M6" i="135"/>
  <c r="N6" i="135"/>
  <c r="O6" i="135"/>
  <c r="P6" i="135"/>
  <c r="Q6" i="135"/>
  <c r="R6" i="135"/>
  <c r="S6" i="135"/>
  <c r="T6" i="135"/>
  <c r="U6" i="135"/>
  <c r="V6" i="135"/>
  <c r="W6" i="135"/>
  <c r="W24" i="135" s="1"/>
  <c r="X6" i="135"/>
  <c r="X24" i="135" s="1"/>
  <c r="Y6" i="135"/>
  <c r="Y24" i="135" s="1"/>
  <c r="Z6" i="135"/>
  <c r="C7" i="135"/>
  <c r="D7" i="135"/>
  <c r="E7" i="135"/>
  <c r="E25" i="135" s="1"/>
  <c r="F7" i="135"/>
  <c r="G7" i="135"/>
  <c r="H7" i="135"/>
  <c r="I7" i="135"/>
  <c r="J7" i="135"/>
  <c r="K7" i="135"/>
  <c r="K25" i="135" s="1"/>
  <c r="L7" i="135"/>
  <c r="M7" i="135"/>
  <c r="M25" i="135" s="1"/>
  <c r="N7" i="135"/>
  <c r="O7" i="135"/>
  <c r="P7" i="135"/>
  <c r="Q7" i="135"/>
  <c r="R7" i="135"/>
  <c r="S7" i="135"/>
  <c r="S25" i="135" s="1"/>
  <c r="T7" i="135"/>
  <c r="T25" i="135" s="1"/>
  <c r="U7" i="135"/>
  <c r="U25" i="135" s="1"/>
  <c r="V7" i="135"/>
  <c r="V25" i="135" s="1"/>
  <c r="W7" i="135"/>
  <c r="X7" i="135"/>
  <c r="X25" i="135" s="1"/>
  <c r="Y7" i="135"/>
  <c r="Z7" i="135"/>
  <c r="C8" i="135"/>
  <c r="D8" i="135"/>
  <c r="E8" i="135"/>
  <c r="E26" i="135" s="1"/>
  <c r="F8" i="135"/>
  <c r="G8" i="135"/>
  <c r="H8" i="135"/>
  <c r="I8" i="135"/>
  <c r="J8" i="135"/>
  <c r="K8" i="135"/>
  <c r="L8" i="135"/>
  <c r="M8" i="135"/>
  <c r="M26" i="135" s="1"/>
  <c r="N8" i="135"/>
  <c r="N26" i="135" s="1"/>
  <c r="O8" i="135"/>
  <c r="P8" i="135"/>
  <c r="Q8" i="135"/>
  <c r="Q26" i="135" s="1"/>
  <c r="R8" i="135"/>
  <c r="S8" i="135"/>
  <c r="S26" i="135" s="1"/>
  <c r="T8" i="135"/>
  <c r="U8" i="135"/>
  <c r="V8" i="135"/>
  <c r="W8" i="135"/>
  <c r="X8" i="135"/>
  <c r="Y8" i="135"/>
  <c r="Y26" i="135" s="1"/>
  <c r="Z8" i="135"/>
  <c r="C9" i="135"/>
  <c r="C27" i="135" s="1"/>
  <c r="D9" i="135"/>
  <c r="E9" i="135"/>
  <c r="E27" i="135" s="1"/>
  <c r="F9" i="135"/>
  <c r="G9" i="135"/>
  <c r="H9" i="135"/>
  <c r="I9" i="135"/>
  <c r="J9" i="135"/>
  <c r="K9" i="135"/>
  <c r="L9" i="135"/>
  <c r="M9" i="135"/>
  <c r="M27" i="135" s="1"/>
  <c r="N9" i="135"/>
  <c r="N27" i="135" s="1"/>
  <c r="O9" i="135"/>
  <c r="P9" i="135"/>
  <c r="Q9" i="135"/>
  <c r="R9" i="135"/>
  <c r="S9" i="135"/>
  <c r="S27" i="135" s="1"/>
  <c r="T9" i="135"/>
  <c r="U9" i="135"/>
  <c r="U27" i="135" s="1"/>
  <c r="V9" i="135"/>
  <c r="W9" i="135"/>
  <c r="X9" i="135"/>
  <c r="Y9" i="135"/>
  <c r="Z9" i="135"/>
  <c r="C10" i="135"/>
  <c r="C28" i="135" s="1"/>
  <c r="D10" i="135"/>
  <c r="E10" i="135"/>
  <c r="E28" i="135" s="1"/>
  <c r="F10" i="135"/>
  <c r="G10" i="135"/>
  <c r="H10" i="135"/>
  <c r="I10" i="135"/>
  <c r="J10" i="135"/>
  <c r="K10" i="135"/>
  <c r="L10" i="135"/>
  <c r="M10" i="135"/>
  <c r="N10" i="135"/>
  <c r="O10" i="135"/>
  <c r="O28" i="135" s="1"/>
  <c r="P10" i="135"/>
  <c r="P28" i="135" s="1"/>
  <c r="Q10" i="135"/>
  <c r="Q28" i="135" s="1"/>
  <c r="R10" i="135"/>
  <c r="S10" i="135"/>
  <c r="S28" i="135" s="1"/>
  <c r="T10" i="135"/>
  <c r="U10" i="135"/>
  <c r="V10" i="135"/>
  <c r="W10" i="135"/>
  <c r="X10" i="135"/>
  <c r="Y10" i="135"/>
  <c r="Z10" i="135"/>
  <c r="C11" i="135"/>
  <c r="C29" i="135" s="1"/>
  <c r="D11" i="135"/>
  <c r="E11" i="135"/>
  <c r="E29" i="135" s="1"/>
  <c r="F11" i="135"/>
  <c r="G11" i="135"/>
  <c r="H11" i="135"/>
  <c r="H29" i="135" s="1"/>
  <c r="I11" i="135"/>
  <c r="I29" i="135" s="1"/>
  <c r="J11" i="135"/>
  <c r="K11" i="135"/>
  <c r="L11" i="135"/>
  <c r="M11" i="135"/>
  <c r="N11" i="135"/>
  <c r="O11" i="135"/>
  <c r="P11" i="135"/>
  <c r="Q11" i="135"/>
  <c r="Q29" i="135" s="1"/>
  <c r="R11" i="135"/>
  <c r="S11" i="135"/>
  <c r="T11" i="135"/>
  <c r="U11" i="135"/>
  <c r="U29" i="135" s="1"/>
  <c r="V11" i="135"/>
  <c r="W11" i="135"/>
  <c r="X11" i="135"/>
  <c r="Y11" i="135"/>
  <c r="Z11" i="135"/>
  <c r="C12" i="135"/>
  <c r="C30" i="135" s="1"/>
  <c r="D12" i="135"/>
  <c r="E12" i="135"/>
  <c r="E30" i="135" s="1"/>
  <c r="F12" i="135"/>
  <c r="F30" i="135" s="1"/>
  <c r="G12" i="135"/>
  <c r="G30" i="135" s="1"/>
  <c r="H12" i="135"/>
  <c r="H30" i="135" s="1"/>
  <c r="I12" i="135"/>
  <c r="I30" i="135" s="1"/>
  <c r="J12" i="135"/>
  <c r="K12" i="135"/>
  <c r="L12" i="135"/>
  <c r="M12" i="135"/>
  <c r="N12" i="135"/>
  <c r="O12" i="135"/>
  <c r="P12" i="135"/>
  <c r="Q12" i="135"/>
  <c r="Q30" i="135" s="1"/>
  <c r="R12" i="135"/>
  <c r="S12" i="135"/>
  <c r="T12" i="135"/>
  <c r="U12" i="135"/>
  <c r="V12" i="135"/>
  <c r="W12" i="135"/>
  <c r="X12" i="135"/>
  <c r="Y12" i="135"/>
  <c r="Z12" i="135"/>
  <c r="C13" i="135"/>
  <c r="D13" i="135"/>
  <c r="E13" i="135"/>
  <c r="F13" i="135"/>
  <c r="G13" i="135"/>
  <c r="H13" i="135"/>
  <c r="H31" i="135" s="1"/>
  <c r="I13" i="135"/>
  <c r="I31" i="135" s="1"/>
  <c r="J13" i="135"/>
  <c r="K13" i="135"/>
  <c r="K31" i="135" s="1"/>
  <c r="L13" i="135"/>
  <c r="M13" i="135"/>
  <c r="M31" i="135" s="1"/>
  <c r="N13" i="135"/>
  <c r="O13" i="135"/>
  <c r="P13" i="135"/>
  <c r="Q13" i="135"/>
  <c r="R13" i="135"/>
  <c r="S13" i="135"/>
  <c r="S31" i="135" s="1"/>
  <c r="T13" i="135"/>
  <c r="U13" i="135"/>
  <c r="U31" i="135" s="1"/>
  <c r="V13" i="135"/>
  <c r="W13" i="135"/>
  <c r="X13" i="135"/>
  <c r="Y13" i="135"/>
  <c r="Z13" i="135"/>
  <c r="C14" i="135"/>
  <c r="D14" i="135"/>
  <c r="E14" i="135"/>
  <c r="E32" i="135" s="1"/>
  <c r="F14" i="135"/>
  <c r="F32" i="135" s="1"/>
  <c r="G14" i="135"/>
  <c r="H14" i="135"/>
  <c r="I14" i="135"/>
  <c r="I32" i="135" s="1"/>
  <c r="J14" i="135"/>
  <c r="K14" i="135"/>
  <c r="L14" i="135"/>
  <c r="M14" i="135"/>
  <c r="N14" i="135"/>
  <c r="O14" i="135"/>
  <c r="P14" i="135"/>
  <c r="Q14" i="135"/>
  <c r="Q32" i="135" s="1"/>
  <c r="R14" i="135"/>
  <c r="S14" i="135"/>
  <c r="S32" i="135" s="1"/>
  <c r="T14" i="135"/>
  <c r="U14" i="135"/>
  <c r="V14" i="135"/>
  <c r="W14" i="135"/>
  <c r="X14" i="135"/>
  <c r="Y14" i="135"/>
  <c r="Z14" i="135"/>
  <c r="C15" i="135"/>
  <c r="C33" i="135" s="1"/>
  <c r="D15" i="135"/>
  <c r="E15" i="135"/>
  <c r="E33" i="135" s="1"/>
  <c r="F15" i="135"/>
  <c r="G15" i="135"/>
  <c r="H15" i="135"/>
  <c r="I15" i="135"/>
  <c r="J15" i="135"/>
  <c r="K15" i="135"/>
  <c r="L15" i="135"/>
  <c r="M15" i="135"/>
  <c r="M33" i="135" s="1"/>
  <c r="N15" i="135"/>
  <c r="N33" i="135" s="1"/>
  <c r="O15" i="135"/>
  <c r="P15" i="135"/>
  <c r="P33" i="135" s="1"/>
  <c r="Q15" i="135"/>
  <c r="R15" i="135"/>
  <c r="S15" i="135"/>
  <c r="S33" i="135" s="1"/>
  <c r="T15" i="135"/>
  <c r="U15" i="135"/>
  <c r="U33" i="135" s="1"/>
  <c r="V15" i="135"/>
  <c r="V33" i="135" s="1"/>
  <c r="W15" i="135"/>
  <c r="W33" i="135" s="1"/>
  <c r="X15" i="135"/>
  <c r="X33" i="135" s="1"/>
  <c r="Y15" i="135"/>
  <c r="Z15" i="135"/>
  <c r="C16" i="135"/>
  <c r="D16" i="135"/>
  <c r="E16" i="135"/>
  <c r="E34" i="135" s="1"/>
  <c r="F16" i="135"/>
  <c r="G16" i="135"/>
  <c r="H16" i="135"/>
  <c r="H34" i="135" s="1"/>
  <c r="I16" i="135"/>
  <c r="I34" i="135" s="1"/>
  <c r="J16" i="135"/>
  <c r="K16" i="135"/>
  <c r="K34" i="135" s="1"/>
  <c r="L16" i="135"/>
  <c r="M16" i="135"/>
  <c r="N16" i="135"/>
  <c r="O16" i="135"/>
  <c r="P16" i="135"/>
  <c r="Q16" i="135"/>
  <c r="Q34" i="135" s="1"/>
  <c r="R16" i="135"/>
  <c r="S16" i="135"/>
  <c r="S34" i="135" s="1"/>
  <c r="T16" i="135"/>
  <c r="U16" i="135"/>
  <c r="U34" i="135" s="1"/>
  <c r="V16" i="135"/>
  <c r="W16" i="135"/>
  <c r="X16" i="135"/>
  <c r="Y16" i="135"/>
  <c r="Z16" i="135"/>
  <c r="C17" i="135"/>
  <c r="D17" i="135"/>
  <c r="D35" i="135" s="1"/>
  <c r="E17" i="135"/>
  <c r="E35" i="135" s="1"/>
  <c r="F17" i="135"/>
  <c r="G17" i="135"/>
  <c r="H17" i="135"/>
  <c r="I17" i="135"/>
  <c r="I20" i="135" s="1"/>
  <c r="J17" i="135"/>
  <c r="K17" i="135"/>
  <c r="K35" i="135" s="1"/>
  <c r="L17" i="135"/>
  <c r="L35" i="135" s="1"/>
  <c r="M17" i="135"/>
  <c r="M35" i="135" s="1"/>
  <c r="N17" i="135"/>
  <c r="N35" i="135" s="1"/>
  <c r="O17" i="135"/>
  <c r="P17" i="135"/>
  <c r="P35" i="135" s="1"/>
  <c r="Q17" i="135"/>
  <c r="Q20" i="135" s="1"/>
  <c r="R17" i="135"/>
  <c r="R35" i="135" s="1"/>
  <c r="S17" i="135"/>
  <c r="S35" i="135" s="1"/>
  <c r="T17" i="135"/>
  <c r="U17" i="135"/>
  <c r="U35" i="135" s="1"/>
  <c r="V17" i="135"/>
  <c r="V35" i="135" s="1"/>
  <c r="W17" i="135"/>
  <c r="W35" i="135" s="1"/>
  <c r="X17" i="135"/>
  <c r="X35" i="135" s="1"/>
  <c r="Y17" i="135"/>
  <c r="Y20" i="135" s="1"/>
  <c r="Z17" i="135"/>
  <c r="Z35" i="135" s="1"/>
  <c r="T21" i="136" l="1"/>
  <c r="U23" i="136"/>
  <c r="U30" i="136"/>
  <c r="T23" i="136"/>
  <c r="W24" i="136"/>
  <c r="O25" i="136"/>
  <c r="N31" i="136"/>
  <c r="Y27" i="136"/>
  <c r="K22" i="136"/>
  <c r="W34" i="136"/>
  <c r="T26" i="136"/>
  <c r="U27" i="136"/>
  <c r="O30" i="136"/>
  <c r="Q31" i="136"/>
  <c r="P20" i="136"/>
  <c r="N28" i="136"/>
  <c r="O31" i="136"/>
  <c r="Z34" i="136"/>
  <c r="W28" i="136"/>
  <c r="T27" i="136"/>
  <c r="Y23" i="136"/>
  <c r="Z26" i="136"/>
  <c r="Q21" i="136"/>
  <c r="W31" i="136"/>
  <c r="P21" i="136"/>
  <c r="W30" i="136"/>
  <c r="Z32" i="136"/>
  <c r="U20" i="136"/>
  <c r="O21" i="136"/>
  <c r="T28" i="136"/>
  <c r="P29" i="136"/>
  <c r="V30" i="136"/>
  <c r="X22" i="136"/>
  <c r="Y32" i="136"/>
  <c r="Q32" i="136"/>
  <c r="M26" i="136"/>
  <c r="U34" i="136"/>
  <c r="R26" i="136"/>
  <c r="R25" i="136"/>
  <c r="N29" i="136"/>
  <c r="K32" i="136"/>
  <c r="Z30" i="136"/>
  <c r="N34" i="136"/>
  <c r="R24" i="136"/>
  <c r="K31" i="136"/>
  <c r="O29" i="136"/>
  <c r="X30" i="136"/>
  <c r="O20" i="136"/>
  <c r="W29" i="136"/>
  <c r="Y24" i="136"/>
  <c r="Z25" i="136"/>
  <c r="R33" i="136"/>
  <c r="Z24" i="136"/>
  <c r="R32" i="136"/>
  <c r="V21" i="136"/>
  <c r="P31" i="136"/>
  <c r="X17" i="136"/>
  <c r="X21" i="136" s="1"/>
  <c r="L17" i="136"/>
  <c r="Z17" i="136"/>
  <c r="Z33" i="136" s="1"/>
  <c r="Y17" i="136"/>
  <c r="Y22" i="136" s="1"/>
  <c r="T17" i="136"/>
  <c r="U17" i="136"/>
  <c r="N17" i="136"/>
  <c r="N21" i="136" s="1"/>
  <c r="V17" i="136"/>
  <c r="M17" i="136"/>
  <c r="S17" i="136"/>
  <c r="S23" i="136" s="1"/>
  <c r="Q17" i="136"/>
  <c r="Q22" i="136" s="1"/>
  <c r="R17" i="136"/>
  <c r="R21" i="136" s="1"/>
  <c r="P17" i="136"/>
  <c r="P30" i="136" s="1"/>
  <c r="W17" i="136"/>
  <c r="O17" i="136"/>
  <c r="K17" i="136"/>
  <c r="K27" i="136" s="1"/>
  <c r="C17" i="136"/>
  <c r="G17" i="136"/>
  <c r="G28" i="136" s="1"/>
  <c r="J17" i="136"/>
  <c r="I17" i="136"/>
  <c r="H17" i="136"/>
  <c r="F17" i="136"/>
  <c r="E17" i="136"/>
  <c r="D17" i="136"/>
  <c r="T34" i="135"/>
  <c r="L34" i="135"/>
  <c r="D34" i="135"/>
  <c r="L33" i="135"/>
  <c r="D33" i="135"/>
  <c r="T32" i="135"/>
  <c r="L32" i="135"/>
  <c r="D32" i="135"/>
  <c r="T31" i="135"/>
  <c r="L31" i="135"/>
  <c r="D31" i="135"/>
  <c r="T30" i="135"/>
  <c r="L30" i="135"/>
  <c r="D30" i="135"/>
  <c r="T29" i="135"/>
  <c r="L29" i="135"/>
  <c r="D29" i="135"/>
  <c r="T28" i="135"/>
  <c r="L28" i="135"/>
  <c r="D28" i="135"/>
  <c r="T27" i="135"/>
  <c r="L27" i="135"/>
  <c r="D27" i="135"/>
  <c r="T26" i="135"/>
  <c r="L26" i="135"/>
  <c r="D26" i="135"/>
  <c r="L25" i="135"/>
  <c r="D25" i="135"/>
  <c r="T24" i="135"/>
  <c r="L24" i="135"/>
  <c r="D24" i="135"/>
  <c r="T23" i="135"/>
  <c r="L23" i="135"/>
  <c r="D23" i="135"/>
  <c r="T22" i="135"/>
  <c r="L22" i="135"/>
  <c r="D22" i="135"/>
  <c r="L21" i="135"/>
  <c r="D21" i="135"/>
  <c r="T20" i="135"/>
  <c r="L20" i="135"/>
  <c r="D20" i="135"/>
  <c r="Z34" i="135"/>
  <c r="R34" i="135"/>
  <c r="J34" i="135"/>
  <c r="Z33" i="135"/>
  <c r="R33" i="135"/>
  <c r="J33" i="135"/>
  <c r="Z32" i="135"/>
  <c r="R32" i="135"/>
  <c r="J32" i="135"/>
  <c r="R31" i="135"/>
  <c r="J31" i="135"/>
  <c r="R30" i="135"/>
  <c r="J30" i="135"/>
  <c r="R29" i="135"/>
  <c r="J29" i="135"/>
  <c r="Z28" i="135"/>
  <c r="R28" i="135"/>
  <c r="J28" i="135"/>
  <c r="Z27" i="135"/>
  <c r="R27" i="135"/>
  <c r="J27" i="135"/>
  <c r="Z26" i="135"/>
  <c r="R26" i="135"/>
  <c r="J26" i="135"/>
  <c r="Z25" i="135"/>
  <c r="R25" i="135"/>
  <c r="J25" i="135"/>
  <c r="Z24" i="135"/>
  <c r="R24" i="135"/>
  <c r="J24" i="135"/>
  <c r="Z23" i="135"/>
  <c r="R23" i="135"/>
  <c r="J23" i="135"/>
  <c r="R22" i="135"/>
  <c r="J22" i="135"/>
  <c r="Z21" i="135"/>
  <c r="R21" i="135"/>
  <c r="J21" i="135"/>
  <c r="Z20" i="135"/>
  <c r="R20" i="135"/>
  <c r="J20" i="135"/>
  <c r="Z22" i="135"/>
  <c r="E31" i="135"/>
  <c r="U30" i="135"/>
  <c r="U28" i="135"/>
  <c r="U26" i="135"/>
  <c r="U24" i="135"/>
  <c r="M24" i="135"/>
  <c r="M23" i="135"/>
  <c r="M22" i="135"/>
  <c r="E22" i="135"/>
  <c r="C31" i="135"/>
  <c r="S30" i="135"/>
  <c r="K30" i="135"/>
  <c r="S29" i="135"/>
  <c r="K29" i="135"/>
  <c r="K28" i="135"/>
  <c r="K26" i="135"/>
  <c r="S24" i="135"/>
  <c r="K24" i="135"/>
  <c r="C24" i="135"/>
  <c r="C22" i="135"/>
  <c r="Y33" i="135"/>
  <c r="Q33" i="135"/>
  <c r="I33" i="135"/>
  <c r="Y29" i="135"/>
  <c r="Y27" i="135"/>
  <c r="Q27" i="135"/>
  <c r="I27" i="135"/>
  <c r="Y25" i="135"/>
  <c r="Q25" i="135"/>
  <c r="I24" i="135"/>
  <c r="Q23" i="135"/>
  <c r="Y22" i="135"/>
  <c r="Q22" i="135"/>
  <c r="I22" i="135"/>
  <c r="Y35" i="135"/>
  <c r="X32" i="135"/>
  <c r="P32" i="135"/>
  <c r="H32" i="135"/>
  <c r="X29" i="135"/>
  <c r="P29" i="135"/>
  <c r="X27" i="135"/>
  <c r="P27" i="135"/>
  <c r="X26" i="135"/>
  <c r="P26" i="135"/>
  <c r="H26" i="135"/>
  <c r="P25" i="135"/>
  <c r="H25" i="135"/>
  <c r="H23" i="135"/>
  <c r="X22" i="135"/>
  <c r="W32" i="135"/>
  <c r="O32" i="135"/>
  <c r="G32" i="135"/>
  <c r="W31" i="135"/>
  <c r="O31" i="135"/>
  <c r="G31" i="135"/>
  <c r="O29" i="135"/>
  <c r="G29" i="135"/>
  <c r="O27" i="135"/>
  <c r="G27" i="135"/>
  <c r="W25" i="135"/>
  <c r="O25" i="135"/>
  <c r="G25" i="135"/>
  <c r="W23" i="135"/>
  <c r="O22" i="135"/>
  <c r="W21" i="135"/>
  <c r="O21" i="135"/>
  <c r="G21" i="135"/>
  <c r="V31" i="135"/>
  <c r="N31" i="135"/>
  <c r="F31" i="135"/>
  <c r="F29" i="135"/>
  <c r="F27" i="135"/>
  <c r="F25" i="135"/>
  <c r="V24" i="135"/>
  <c r="V23" i="135"/>
  <c r="V22" i="135"/>
  <c r="N22" i="135"/>
  <c r="L35" i="136" l="1"/>
  <c r="L25" i="136"/>
  <c r="L33" i="136"/>
  <c r="L32" i="136"/>
  <c r="L31" i="136"/>
  <c r="L30" i="136"/>
  <c r="L22" i="136"/>
  <c r="L29" i="136"/>
  <c r="M25" i="136"/>
  <c r="M35" i="136"/>
  <c r="M32" i="136"/>
  <c r="M23" i="136"/>
  <c r="M24" i="136"/>
  <c r="M22" i="136"/>
  <c r="V35" i="136"/>
  <c r="V26" i="136"/>
  <c r="V27" i="136"/>
  <c r="V25" i="136"/>
  <c r="V31" i="136"/>
  <c r="V24" i="136"/>
  <c r="V33" i="136"/>
  <c r="V23" i="136"/>
  <c r="S31" i="136"/>
  <c r="O35" i="136"/>
  <c r="O28" i="136"/>
  <c r="O24" i="136"/>
  <c r="O32" i="136"/>
  <c r="O34" i="136"/>
  <c r="O26" i="136"/>
  <c r="F22" i="136"/>
  <c r="F30" i="136"/>
  <c r="F27" i="136"/>
  <c r="F34" i="136"/>
  <c r="F21" i="136"/>
  <c r="F29" i="136"/>
  <c r="F20" i="136"/>
  <c r="F28" i="136"/>
  <c r="F35" i="136"/>
  <c r="F26" i="136"/>
  <c r="F33" i="136"/>
  <c r="F23" i="136"/>
  <c r="F24" i="136"/>
  <c r="F25" i="136"/>
  <c r="F31" i="136"/>
  <c r="F32" i="136"/>
  <c r="W35" i="136"/>
  <c r="W27" i="136"/>
  <c r="W25" i="136"/>
  <c r="W26" i="136"/>
  <c r="W32" i="136"/>
  <c r="W33" i="136"/>
  <c r="U33" i="136"/>
  <c r="U35" i="136"/>
  <c r="U26" i="136"/>
  <c r="U31" i="136"/>
  <c r="U22" i="136"/>
  <c r="U24" i="136"/>
  <c r="N27" i="136"/>
  <c r="M33" i="136"/>
  <c r="Z22" i="136"/>
  <c r="K34" i="136"/>
  <c r="U28" i="136"/>
  <c r="M27" i="136"/>
  <c r="K24" i="136"/>
  <c r="M29" i="136"/>
  <c r="W20" i="136"/>
  <c r="Q25" i="136"/>
  <c r="L23" i="136"/>
  <c r="Z27" i="136"/>
  <c r="S35" i="136"/>
  <c r="S22" i="136"/>
  <c r="S28" i="136"/>
  <c r="S29" i="136"/>
  <c r="S30" i="136"/>
  <c r="S20" i="136"/>
  <c r="S21" i="136"/>
  <c r="S25" i="136"/>
  <c r="X20" i="136"/>
  <c r="X28" i="136"/>
  <c r="X25" i="136"/>
  <c r="X26" i="136"/>
  <c r="X33" i="136"/>
  <c r="X34" i="136"/>
  <c r="X35" i="136"/>
  <c r="K35" i="136"/>
  <c r="K28" i="136"/>
  <c r="K30" i="136"/>
  <c r="K20" i="136"/>
  <c r="K21" i="136"/>
  <c r="K29" i="136"/>
  <c r="S24" i="136"/>
  <c r="K33" i="136"/>
  <c r="N26" i="136"/>
  <c r="N35" i="136"/>
  <c r="N32" i="136"/>
  <c r="N23" i="136"/>
  <c r="N25" i="136"/>
  <c r="N24" i="136"/>
  <c r="X29" i="136"/>
  <c r="L26" i="136"/>
  <c r="V29" i="136"/>
  <c r="L21" i="136"/>
  <c r="H24" i="136"/>
  <c r="H32" i="136"/>
  <c r="H20" i="136"/>
  <c r="H23" i="136"/>
  <c r="H31" i="136"/>
  <c r="H21" i="136"/>
  <c r="H22" i="136"/>
  <c r="H30" i="136"/>
  <c r="H29" i="136"/>
  <c r="H28" i="136"/>
  <c r="H33" i="136"/>
  <c r="H34" i="136"/>
  <c r="H35" i="136"/>
  <c r="H27" i="136"/>
  <c r="H26" i="136"/>
  <c r="H25" i="136"/>
  <c r="P28" i="136"/>
  <c r="P34" i="136"/>
  <c r="P35" i="136"/>
  <c r="P33" i="136"/>
  <c r="P26" i="136"/>
  <c r="P27" i="136"/>
  <c r="T33" i="136"/>
  <c r="T35" i="136"/>
  <c r="T24" i="136"/>
  <c r="T29" i="136"/>
  <c r="T30" i="136"/>
  <c r="T31" i="136"/>
  <c r="W23" i="136"/>
  <c r="Q24" i="136"/>
  <c r="U29" i="136"/>
  <c r="L24" i="136"/>
  <c r="W21" i="136"/>
  <c r="V28" i="136"/>
  <c r="O27" i="136"/>
  <c r="S26" i="136"/>
  <c r="M34" i="136"/>
  <c r="P24" i="136"/>
  <c r="V34" i="136"/>
  <c r="L28" i="136"/>
  <c r="K25" i="136"/>
  <c r="S27" i="136"/>
  <c r="V22" i="136"/>
  <c r="M31" i="136"/>
  <c r="U32" i="136"/>
  <c r="V32" i="136"/>
  <c r="G31" i="136"/>
  <c r="G35" i="136"/>
  <c r="G22" i="136"/>
  <c r="G30" i="136"/>
  <c r="G20" i="136"/>
  <c r="G21" i="136"/>
  <c r="G29" i="136"/>
  <c r="G27" i="136"/>
  <c r="G34" i="136"/>
  <c r="G24" i="136"/>
  <c r="G25" i="136"/>
  <c r="G26" i="136"/>
  <c r="G32" i="136"/>
  <c r="G33" i="136"/>
  <c r="C34" i="136"/>
  <c r="C29" i="136"/>
  <c r="C22" i="136"/>
  <c r="C30" i="136"/>
  <c r="C32" i="136"/>
  <c r="C25" i="136"/>
  <c r="C33" i="136"/>
  <c r="C23" i="136"/>
  <c r="C31" i="136"/>
  <c r="C24" i="136"/>
  <c r="C20" i="136"/>
  <c r="C26" i="136"/>
  <c r="C27" i="136"/>
  <c r="C28" i="136"/>
  <c r="C35" i="136"/>
  <c r="C21" i="136"/>
  <c r="X23" i="136"/>
  <c r="D20" i="136"/>
  <c r="D28" i="136"/>
  <c r="D27" i="136"/>
  <c r="D35" i="136"/>
  <c r="D32" i="136"/>
  <c r="D26" i="136"/>
  <c r="D34" i="136"/>
  <c r="D25" i="136"/>
  <c r="D33" i="136"/>
  <c r="D24" i="136"/>
  <c r="D29" i="136"/>
  <c r="D22" i="136"/>
  <c r="D30" i="136"/>
  <c r="D21" i="136"/>
  <c r="D31" i="136"/>
  <c r="D23" i="136"/>
  <c r="L27" i="136"/>
  <c r="S32" i="136"/>
  <c r="E21" i="136"/>
  <c r="E29" i="136"/>
  <c r="E20" i="136"/>
  <c r="E28" i="136"/>
  <c r="E33" i="136"/>
  <c r="E27" i="136"/>
  <c r="E35" i="136"/>
  <c r="E26" i="136"/>
  <c r="E34" i="136"/>
  <c r="E25" i="136"/>
  <c r="E22" i="136"/>
  <c r="E23" i="136"/>
  <c r="E24" i="136"/>
  <c r="E30" i="136"/>
  <c r="E31" i="136"/>
  <c r="E32" i="136"/>
  <c r="X24" i="136"/>
  <c r="K23" i="136"/>
  <c r="I25" i="136"/>
  <c r="I33" i="136"/>
  <c r="I22" i="136"/>
  <c r="I24" i="136"/>
  <c r="I32" i="136"/>
  <c r="I20" i="136"/>
  <c r="I23" i="136"/>
  <c r="I31" i="136"/>
  <c r="I30" i="136"/>
  <c r="I21" i="136"/>
  <c r="I29" i="136"/>
  <c r="I26" i="136"/>
  <c r="I34" i="136"/>
  <c r="I35" i="136"/>
  <c r="I28" i="136"/>
  <c r="I27" i="136"/>
  <c r="R31" i="136"/>
  <c r="R30" i="136"/>
  <c r="R22" i="136"/>
  <c r="R28" i="136"/>
  <c r="R29" i="136"/>
  <c r="R35" i="136"/>
  <c r="R20" i="136"/>
  <c r="Y29" i="136"/>
  <c r="Y21" i="136"/>
  <c r="Y20" i="136"/>
  <c r="Y34" i="136"/>
  <c r="Y28" i="136"/>
  <c r="Y35" i="136"/>
  <c r="W22" i="136"/>
  <c r="O22" i="136"/>
  <c r="R23" i="136"/>
  <c r="P32" i="136"/>
  <c r="T20" i="136"/>
  <c r="Q23" i="136"/>
  <c r="P22" i="136"/>
  <c r="Y25" i="136"/>
  <c r="Y33" i="136"/>
  <c r="P23" i="136"/>
  <c r="T25" i="136"/>
  <c r="U25" i="136"/>
  <c r="T32" i="136"/>
  <c r="Y31" i="136"/>
  <c r="U21" i="136"/>
  <c r="X27" i="136"/>
  <c r="R27" i="136"/>
  <c r="P25" i="136"/>
  <c r="L20" i="136"/>
  <c r="M30" i="136"/>
  <c r="X31" i="136"/>
  <c r="O23" i="136"/>
  <c r="M28" i="136"/>
  <c r="J26" i="136"/>
  <c r="J34" i="136"/>
  <c r="J22" i="136"/>
  <c r="J25" i="136"/>
  <c r="J33" i="136"/>
  <c r="J23" i="136"/>
  <c r="J24" i="136"/>
  <c r="J32" i="136"/>
  <c r="J31" i="136"/>
  <c r="J30" i="136"/>
  <c r="J20" i="136"/>
  <c r="J21" i="136"/>
  <c r="J28" i="136"/>
  <c r="J27" i="136"/>
  <c r="J35" i="136"/>
  <c r="J29" i="136"/>
  <c r="Q29" i="136"/>
  <c r="Q30" i="136"/>
  <c r="Q35" i="136"/>
  <c r="Q28" i="136"/>
  <c r="Q34" i="136"/>
  <c r="Q27" i="136"/>
  <c r="Q20" i="136"/>
  <c r="Q26" i="136"/>
  <c r="Z31" i="136"/>
  <c r="Z23" i="136"/>
  <c r="Z35" i="136"/>
  <c r="Z29" i="136"/>
  <c r="Z20" i="136"/>
  <c r="Z28" i="136"/>
  <c r="Z21" i="136"/>
  <c r="M21" i="136"/>
  <c r="V20" i="136"/>
  <c r="S33" i="136"/>
  <c r="X32" i="136"/>
  <c r="Q33" i="136"/>
  <c r="M20" i="136"/>
  <c r="N20" i="136"/>
  <c r="N30" i="136"/>
  <c r="Y30" i="136"/>
  <c r="N22" i="136"/>
  <c r="R34" i="136"/>
  <c r="T34" i="136"/>
  <c r="S34" i="136"/>
  <c r="K26" i="136"/>
  <c r="L34" i="136"/>
  <c r="Y26" i="136"/>
  <c r="N33" i="136"/>
  <c r="O33" i="136"/>
  <c r="T22" i="136"/>
  <c r="V11" i="35" l="1"/>
  <c r="W11" i="35"/>
  <c r="X11" i="35"/>
  <c r="Y11" i="35"/>
  <c r="Z11" i="35"/>
  <c r="AA11" i="35"/>
  <c r="E19" i="110"/>
  <c r="F19" i="110"/>
  <c r="G19" i="110"/>
  <c r="H19" i="110"/>
  <c r="I19" i="110"/>
  <c r="J19" i="110"/>
  <c r="K19" i="110"/>
  <c r="L19" i="110"/>
  <c r="M19" i="110"/>
  <c r="N19" i="110"/>
  <c r="O19" i="110"/>
  <c r="P19" i="110"/>
  <c r="Q19" i="110"/>
  <c r="R19" i="110"/>
  <c r="S19" i="110"/>
  <c r="T19" i="110"/>
  <c r="U19" i="110"/>
  <c r="V19" i="110"/>
  <c r="W19" i="110"/>
  <c r="X19" i="110"/>
  <c r="Y19" i="110"/>
  <c r="Z19" i="110"/>
  <c r="AA19" i="110"/>
  <c r="AB19" i="110"/>
  <c r="E21" i="110"/>
  <c r="F21" i="110"/>
  <c r="G21" i="110"/>
  <c r="H21" i="110"/>
  <c r="I21" i="110"/>
  <c r="J21" i="110"/>
  <c r="K21" i="110"/>
  <c r="L21" i="110"/>
  <c r="M21" i="110"/>
  <c r="N21" i="110"/>
  <c r="O21" i="110"/>
  <c r="P21" i="110"/>
  <c r="Q21" i="110"/>
  <c r="R21" i="110"/>
  <c r="S21" i="110"/>
  <c r="T21" i="110"/>
  <c r="U21" i="110"/>
  <c r="V21" i="110"/>
  <c r="W21" i="110"/>
  <c r="X21" i="110"/>
  <c r="Y21" i="110"/>
  <c r="Z21" i="110"/>
  <c r="AA21" i="110"/>
  <c r="AB21" i="110"/>
  <c r="E22" i="110"/>
  <c r="F22" i="110"/>
  <c r="G22" i="110"/>
  <c r="H22" i="110"/>
  <c r="I22" i="110"/>
  <c r="J22" i="110"/>
  <c r="K22" i="110"/>
  <c r="L22" i="110"/>
  <c r="M22" i="110"/>
  <c r="N22" i="110"/>
  <c r="O22" i="110"/>
  <c r="P22" i="110"/>
  <c r="Q22" i="110"/>
  <c r="R22" i="110"/>
  <c r="S22" i="110"/>
  <c r="T22" i="110"/>
  <c r="U22" i="110"/>
  <c r="V22" i="110"/>
  <c r="W22" i="110"/>
  <c r="X22" i="110"/>
  <c r="Y22" i="110"/>
  <c r="Z22" i="110"/>
  <c r="AA22" i="110"/>
  <c r="AB22" i="110"/>
  <c r="E23" i="110"/>
  <c r="F23" i="110"/>
  <c r="G23" i="110"/>
  <c r="H23" i="110"/>
  <c r="I23" i="110"/>
  <c r="J23" i="110"/>
  <c r="K23" i="110"/>
  <c r="L23" i="110"/>
  <c r="M23" i="110"/>
  <c r="N23" i="110"/>
  <c r="O23" i="110"/>
  <c r="P23" i="110"/>
  <c r="Q23" i="110"/>
  <c r="R23" i="110"/>
  <c r="S23" i="110"/>
  <c r="T23" i="110"/>
  <c r="U23" i="110"/>
  <c r="V23" i="110"/>
  <c r="W23" i="110"/>
  <c r="X23" i="110"/>
  <c r="Y23" i="110"/>
  <c r="Z23" i="110"/>
  <c r="AA23" i="110"/>
  <c r="AB23" i="110"/>
  <c r="E24" i="110"/>
  <c r="F24" i="110"/>
  <c r="G24" i="110"/>
  <c r="H24" i="110"/>
  <c r="I24" i="110"/>
  <c r="J24" i="110"/>
  <c r="K24" i="110"/>
  <c r="L24" i="110"/>
  <c r="M24" i="110"/>
  <c r="N24" i="110"/>
  <c r="O24" i="110"/>
  <c r="P24" i="110"/>
  <c r="Q24" i="110"/>
  <c r="R24" i="110"/>
  <c r="S24" i="110"/>
  <c r="T24" i="110"/>
  <c r="U24" i="110"/>
  <c r="V24" i="110"/>
  <c r="W24" i="110"/>
  <c r="X24" i="110"/>
  <c r="Y24" i="110"/>
  <c r="Z24" i="110"/>
  <c r="AA24" i="110"/>
  <c r="AB24" i="110"/>
  <c r="E25" i="110"/>
  <c r="F25" i="110"/>
  <c r="G25" i="110"/>
  <c r="H25" i="110"/>
  <c r="I25" i="110"/>
  <c r="J25" i="110"/>
  <c r="K25" i="110"/>
  <c r="L25" i="110"/>
  <c r="M25" i="110"/>
  <c r="N25" i="110"/>
  <c r="O25" i="110"/>
  <c r="P25" i="110"/>
  <c r="Q25" i="110"/>
  <c r="R25" i="110"/>
  <c r="S25" i="110"/>
  <c r="T25" i="110"/>
  <c r="U25" i="110"/>
  <c r="V25" i="110"/>
  <c r="W25" i="110"/>
  <c r="X25" i="110"/>
  <c r="Y25" i="110"/>
  <c r="Z25" i="110"/>
  <c r="AA25" i="110"/>
  <c r="AB25" i="110"/>
  <c r="E26" i="110"/>
  <c r="F26" i="110"/>
  <c r="G26" i="110"/>
  <c r="H26" i="110"/>
  <c r="I26" i="110"/>
  <c r="J26" i="110"/>
  <c r="K26" i="110"/>
  <c r="L26" i="110"/>
  <c r="M26" i="110"/>
  <c r="N26" i="110"/>
  <c r="O26" i="110"/>
  <c r="P26" i="110"/>
  <c r="Q26" i="110"/>
  <c r="R26" i="110"/>
  <c r="S26" i="110"/>
  <c r="T26" i="110"/>
  <c r="U26" i="110"/>
  <c r="V26" i="110"/>
  <c r="W26" i="110"/>
  <c r="X26" i="110"/>
  <c r="Y26" i="110"/>
  <c r="Z26" i="110"/>
  <c r="AA26" i="110"/>
  <c r="AB26" i="110"/>
  <c r="E28" i="110"/>
  <c r="F28" i="110"/>
  <c r="G28" i="110"/>
  <c r="H28" i="110"/>
  <c r="I28" i="110"/>
  <c r="J28" i="110"/>
  <c r="K28" i="110"/>
  <c r="L28" i="110"/>
  <c r="M28" i="110"/>
  <c r="N28" i="110"/>
  <c r="O28" i="110"/>
  <c r="P28" i="110"/>
  <c r="Q28" i="110"/>
  <c r="R28" i="110"/>
  <c r="S28" i="110"/>
  <c r="T28" i="110"/>
  <c r="U28" i="110"/>
  <c r="V28" i="110"/>
  <c r="W28" i="110"/>
  <c r="X28" i="110"/>
  <c r="Y28" i="110"/>
  <c r="Z28" i="110"/>
  <c r="AA28" i="110"/>
  <c r="AB28" i="110"/>
  <c r="E29" i="110"/>
  <c r="F29" i="110"/>
  <c r="G29" i="110"/>
  <c r="H29" i="110"/>
  <c r="I29" i="110"/>
  <c r="J29" i="110"/>
  <c r="K29" i="110"/>
  <c r="L29" i="110"/>
  <c r="M29" i="110"/>
  <c r="N29" i="110"/>
  <c r="O29" i="110"/>
  <c r="P29" i="110"/>
  <c r="Q29" i="110"/>
  <c r="R29" i="110"/>
  <c r="S29" i="110"/>
  <c r="T29" i="110"/>
  <c r="U29" i="110"/>
  <c r="V29" i="110"/>
  <c r="W29" i="110"/>
  <c r="X29" i="110"/>
  <c r="Y29" i="110"/>
  <c r="Z29" i="110"/>
  <c r="AA29" i="110"/>
  <c r="AB29" i="110"/>
  <c r="E30" i="110"/>
  <c r="F30" i="110"/>
  <c r="G30" i="110"/>
  <c r="H30" i="110"/>
  <c r="I30" i="110"/>
  <c r="J30" i="110"/>
  <c r="K30" i="110"/>
  <c r="L30" i="110"/>
  <c r="M30" i="110"/>
  <c r="N30" i="110"/>
  <c r="O30" i="110"/>
  <c r="P30" i="110"/>
  <c r="Q30" i="110"/>
  <c r="R30" i="110"/>
  <c r="S30" i="110"/>
  <c r="T30" i="110"/>
  <c r="U30" i="110"/>
  <c r="V30" i="110"/>
  <c r="W30" i="110"/>
  <c r="X30" i="110"/>
  <c r="Y30" i="110"/>
  <c r="Z30" i="110"/>
  <c r="AA30" i="110"/>
  <c r="AB30" i="110"/>
  <c r="E31" i="110"/>
  <c r="F31" i="110"/>
  <c r="G31" i="110"/>
  <c r="H31" i="110"/>
  <c r="I31" i="110"/>
  <c r="J31" i="110"/>
  <c r="K31" i="110"/>
  <c r="L31" i="110"/>
  <c r="M31" i="110"/>
  <c r="N31" i="110"/>
  <c r="O31" i="110"/>
  <c r="P31" i="110"/>
  <c r="Q31" i="110"/>
  <c r="R31" i="110"/>
  <c r="S31" i="110"/>
  <c r="T31" i="110"/>
  <c r="U31" i="110"/>
  <c r="V31" i="110"/>
  <c r="W31" i="110"/>
  <c r="X31" i="110"/>
  <c r="Y31" i="110"/>
  <c r="Z31" i="110"/>
  <c r="AA31" i="110"/>
  <c r="AB31" i="110"/>
  <c r="E32" i="110"/>
  <c r="F32" i="110"/>
  <c r="G32" i="110"/>
  <c r="H32" i="110"/>
  <c r="I32" i="110"/>
  <c r="J32" i="110"/>
  <c r="K32" i="110"/>
  <c r="L32" i="110"/>
  <c r="M32" i="110"/>
  <c r="N32" i="110"/>
  <c r="O32" i="110"/>
  <c r="P32" i="110"/>
  <c r="Q32" i="110"/>
  <c r="R32" i="110"/>
  <c r="S32" i="110"/>
  <c r="T32" i="110"/>
  <c r="U32" i="110"/>
  <c r="V32" i="110"/>
  <c r="W32" i="110"/>
  <c r="X32" i="110"/>
  <c r="Y32" i="110"/>
  <c r="Z32" i="110"/>
  <c r="AA32" i="110"/>
  <c r="AB32" i="110"/>
  <c r="E33" i="110"/>
  <c r="F33" i="110"/>
  <c r="G33" i="110"/>
  <c r="H33" i="110"/>
  <c r="I33" i="110"/>
  <c r="J33" i="110"/>
  <c r="K33" i="110"/>
  <c r="L33" i="110"/>
  <c r="M33" i="110"/>
  <c r="N33" i="110"/>
  <c r="O33" i="110"/>
  <c r="P33" i="110"/>
  <c r="Q33" i="110"/>
  <c r="R33" i="110"/>
  <c r="S33" i="110"/>
  <c r="T33" i="110"/>
  <c r="U33" i="110"/>
  <c r="V33" i="110"/>
  <c r="W33" i="110"/>
  <c r="X33" i="110"/>
  <c r="Y33" i="110"/>
  <c r="Z33" i="110"/>
  <c r="AA33" i="110"/>
  <c r="AB33" i="110"/>
  <c r="D33" i="110"/>
  <c r="D32" i="110"/>
  <c r="D31" i="110"/>
  <c r="D30" i="110"/>
  <c r="D29" i="110"/>
  <c r="D28" i="110"/>
  <c r="D26" i="110"/>
  <c r="D25" i="110"/>
  <c r="D24" i="110"/>
  <c r="D23" i="110"/>
  <c r="D22" i="110"/>
  <c r="D21" i="110"/>
  <c r="D19" i="110"/>
  <c r="M16" i="110"/>
  <c r="N16" i="110"/>
  <c r="O16" i="110"/>
  <c r="P16" i="110"/>
  <c r="P50" i="110" s="1"/>
  <c r="Q16" i="110"/>
  <c r="R16" i="110"/>
  <c r="S16" i="110"/>
  <c r="T16" i="110"/>
  <c r="U16" i="110"/>
  <c r="V16" i="110"/>
  <c r="W16" i="110"/>
  <c r="X16" i="110"/>
  <c r="X50" i="110" s="1"/>
  <c r="Y16" i="110"/>
  <c r="Z16" i="110"/>
  <c r="AA16" i="110"/>
  <c r="AB16" i="110"/>
  <c r="D16" i="110"/>
  <c r="M162" i="36"/>
  <c r="N162" i="36"/>
  <c r="O162" i="36"/>
  <c r="P162" i="36"/>
  <c r="Q162" i="36"/>
  <c r="R162" i="36"/>
  <c r="S162" i="36"/>
  <c r="T162" i="36"/>
  <c r="U162" i="36"/>
  <c r="V162" i="36"/>
  <c r="W162" i="36"/>
  <c r="X162" i="36"/>
  <c r="Y162" i="36"/>
  <c r="Z162" i="36"/>
  <c r="AA162" i="36"/>
  <c r="AB162" i="36"/>
  <c r="AD11" i="35"/>
  <c r="AE11" i="35"/>
  <c r="AF11" i="35"/>
  <c r="AG11" i="35"/>
  <c r="AH11" i="35"/>
  <c r="AI11" i="35"/>
  <c r="AJ11" i="35"/>
  <c r="AK11" i="35"/>
  <c r="AL11" i="35"/>
  <c r="AM11" i="35"/>
  <c r="AN11" i="35"/>
  <c r="AO11" i="35"/>
  <c r="AP11" i="35"/>
  <c r="AQ11" i="35"/>
  <c r="AR11" i="35"/>
  <c r="AS11" i="35"/>
  <c r="AT11" i="35"/>
  <c r="AU11" i="35"/>
  <c r="AV11" i="35"/>
  <c r="AW11" i="35"/>
  <c r="AX11" i="35"/>
  <c r="AY11" i="35"/>
  <c r="AZ11" i="35"/>
  <c r="BA11" i="35"/>
  <c r="AC11" i="35"/>
  <c r="Q11" i="35"/>
  <c r="R11" i="35"/>
  <c r="S11" i="35"/>
  <c r="T11" i="35"/>
  <c r="U11" i="35"/>
  <c r="R90" i="34"/>
  <c r="S90" i="34"/>
  <c r="T90" i="34"/>
  <c r="U90" i="34"/>
  <c r="V90" i="34"/>
  <c r="W90" i="34"/>
  <c r="X90" i="34"/>
  <c r="Y90" i="34"/>
  <c r="Z90" i="34"/>
  <c r="AA90" i="34"/>
  <c r="AB90" i="34"/>
  <c r="R91" i="34"/>
  <c r="S91" i="34"/>
  <c r="T91" i="34"/>
  <c r="U91" i="34"/>
  <c r="V91" i="34"/>
  <c r="W91" i="34"/>
  <c r="X91" i="34"/>
  <c r="Y91" i="34"/>
  <c r="Z91" i="34"/>
  <c r="AA91" i="34"/>
  <c r="AB91" i="34"/>
  <c r="R93" i="34"/>
  <c r="S93" i="34"/>
  <c r="T93" i="34"/>
  <c r="U93" i="34"/>
  <c r="V93" i="34"/>
  <c r="W93" i="34"/>
  <c r="X93" i="34"/>
  <c r="Y93" i="34"/>
  <c r="Z93" i="34"/>
  <c r="AA93" i="34"/>
  <c r="AB93" i="34"/>
  <c r="R98" i="34"/>
  <c r="S98" i="34"/>
  <c r="T98" i="34"/>
  <c r="U98" i="34"/>
  <c r="V98" i="34"/>
  <c r="W98" i="34"/>
  <c r="X98" i="34"/>
  <c r="Y98" i="34"/>
  <c r="Z98" i="34"/>
  <c r="AA98" i="34"/>
  <c r="AB98" i="34"/>
  <c r="R100" i="34"/>
  <c r="S100" i="34"/>
  <c r="T100" i="34"/>
  <c r="U100" i="34"/>
  <c r="V100" i="34"/>
  <c r="W100" i="34"/>
  <c r="X100" i="34"/>
  <c r="Y100" i="34"/>
  <c r="Z100" i="34"/>
  <c r="AA100" i="34"/>
  <c r="AB100" i="34"/>
  <c r="R102" i="34"/>
  <c r="S102" i="34"/>
  <c r="T102" i="34"/>
  <c r="U102" i="34"/>
  <c r="V102" i="34"/>
  <c r="W102" i="34"/>
  <c r="X102" i="34"/>
  <c r="Y102" i="34"/>
  <c r="Z102" i="34"/>
  <c r="AA102" i="34"/>
  <c r="AB102" i="34"/>
  <c r="R108" i="34"/>
  <c r="S108" i="34"/>
  <c r="T108" i="34"/>
  <c r="U108" i="34"/>
  <c r="V108" i="34"/>
  <c r="W108" i="34"/>
  <c r="X108" i="34"/>
  <c r="Y108" i="34"/>
  <c r="Z108" i="34"/>
  <c r="AA108" i="34"/>
  <c r="AB108" i="34"/>
  <c r="R110" i="34"/>
  <c r="S110" i="34"/>
  <c r="T110" i="34"/>
  <c r="U110" i="34"/>
  <c r="V110" i="34"/>
  <c r="W110" i="34"/>
  <c r="X110" i="34"/>
  <c r="Y110" i="34"/>
  <c r="Z110" i="34"/>
  <c r="AA110" i="34"/>
  <c r="AB110" i="34"/>
  <c r="R112" i="34"/>
  <c r="S112" i="34"/>
  <c r="T112" i="34"/>
  <c r="U112" i="34"/>
  <c r="V112" i="34"/>
  <c r="W112" i="34"/>
  <c r="X112" i="34"/>
  <c r="Y112" i="34"/>
  <c r="Z112" i="34"/>
  <c r="AA112" i="34"/>
  <c r="AB112" i="34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C16" i="35"/>
  <c r="C13" i="35"/>
  <c r="C11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AA10" i="35"/>
  <c r="C10" i="35"/>
  <c r="D11" i="35"/>
  <c r="Z50" i="110" l="1"/>
  <c r="R50" i="110"/>
  <c r="AB50" i="110"/>
  <c r="T50" i="110"/>
  <c r="U50" i="110"/>
  <c r="M50" i="110"/>
  <c r="Y50" i="110"/>
  <c r="Q50" i="110"/>
  <c r="W50" i="110"/>
  <c r="O50" i="110"/>
  <c r="AA50" i="110"/>
  <c r="S50" i="110"/>
  <c r="V50" i="110"/>
  <c r="N50" i="110"/>
  <c r="AB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D31" i="34"/>
  <c r="E11" i="116" l="1"/>
  <c r="E7" i="116"/>
  <c r="D11" i="34" s="1"/>
  <c r="AB9" i="85"/>
  <c r="AA35" i="34" s="1"/>
  <c r="AB24" i="85"/>
  <c r="AB4" i="85"/>
  <c r="AA57" i="34" s="1"/>
  <c r="AB8" i="85"/>
  <c r="AA33" i="34" s="1"/>
  <c r="AB34" i="85"/>
  <c r="AB10" i="85"/>
  <c r="AA36" i="34" s="1"/>
  <c r="AB18" i="85"/>
  <c r="AA58" i="34" s="1"/>
  <c r="AB11" i="85"/>
  <c r="AA37" i="34" s="1"/>
  <c r="AB17" i="85"/>
  <c r="AA42" i="34" s="1"/>
  <c r="AB20" i="85"/>
  <c r="AA56" i="34" s="1"/>
  <c r="AB25" i="85"/>
  <c r="AA46" i="34" s="1"/>
  <c r="AB12" i="85"/>
  <c r="AA38" i="34" s="1"/>
  <c r="AB13" i="85"/>
  <c r="AA39" i="34" s="1"/>
  <c r="AB19" i="85"/>
  <c r="AA44" i="34" s="1"/>
  <c r="AB23" i="85"/>
  <c r="AA51" i="34" s="1"/>
  <c r="AA34" i="34"/>
  <c r="AB21" i="85"/>
  <c r="AA50" i="34" s="1"/>
  <c r="AB26" i="85"/>
  <c r="AA47" i="34" s="1"/>
  <c r="AB28" i="85"/>
  <c r="AA49" i="34" s="1"/>
  <c r="AB32" i="85"/>
  <c r="AA53" i="34" s="1"/>
  <c r="AB33" i="85"/>
  <c r="AB5" i="85"/>
  <c r="AA32" i="34" s="1"/>
  <c r="AB27" i="85"/>
  <c r="AA48" i="34" s="1"/>
  <c r="AB29" i="85"/>
  <c r="AA55" i="34" s="1"/>
  <c r="AB6" i="85"/>
  <c r="AA40" i="34" s="1"/>
  <c r="AB30" i="85"/>
  <c r="AA43" i="34" s="1"/>
  <c r="AB7" i="85"/>
  <c r="AA41" i="34" s="1"/>
  <c r="T9" i="85"/>
  <c r="S35" i="34" s="1"/>
  <c r="T24" i="85"/>
  <c r="S45" i="34" s="1"/>
  <c r="T4" i="85"/>
  <c r="S57" i="34" s="1"/>
  <c r="T8" i="85"/>
  <c r="S33" i="34" s="1"/>
  <c r="T19" i="85"/>
  <c r="S44" i="34" s="1"/>
  <c r="T34" i="85"/>
  <c r="T10" i="85"/>
  <c r="T11" i="85"/>
  <c r="S37" i="34" s="1"/>
  <c r="T23" i="85"/>
  <c r="S51" i="34" s="1"/>
  <c r="T27" i="85"/>
  <c r="S48" i="34" s="1"/>
  <c r="T28" i="85"/>
  <c r="S49" i="34" s="1"/>
  <c r="T12" i="85"/>
  <c r="S38" i="34" s="1"/>
  <c r="T17" i="85"/>
  <c r="S42" i="34" s="1"/>
  <c r="T18" i="85"/>
  <c r="T21" i="85"/>
  <c r="S50" i="34" s="1"/>
  <c r="T25" i="85"/>
  <c r="S46" i="34" s="1"/>
  <c r="T26" i="85"/>
  <c r="S47" i="34" s="1"/>
  <c r="T13" i="85"/>
  <c r="S39" i="34" s="1"/>
  <c r="S34" i="34"/>
  <c r="T20" i="85"/>
  <c r="S56" i="34" s="1"/>
  <c r="T32" i="85"/>
  <c r="S53" i="34" s="1"/>
  <c r="T33" i="85"/>
  <c r="S54" i="34" s="1"/>
  <c r="T5" i="85"/>
  <c r="T29" i="85"/>
  <c r="S55" i="34" s="1"/>
  <c r="T30" i="85"/>
  <c r="S43" i="34" s="1"/>
  <c r="T6" i="85"/>
  <c r="S40" i="34" s="1"/>
  <c r="T7" i="85"/>
  <c r="S41" i="34" s="1"/>
  <c r="L24" i="85"/>
  <c r="K45" i="34" s="1"/>
  <c r="L9" i="85"/>
  <c r="K35" i="34" s="1"/>
  <c r="L4" i="85"/>
  <c r="K57" i="34" s="1"/>
  <c r="L8" i="85"/>
  <c r="K33" i="34" s="1"/>
  <c r="L34" i="85"/>
  <c r="L10" i="85"/>
  <c r="K36" i="34" s="1"/>
  <c r="L17" i="85"/>
  <c r="K42" i="34" s="1"/>
  <c r="L21" i="85"/>
  <c r="K50" i="34" s="1"/>
  <c r="L23" i="85"/>
  <c r="K51" i="34" s="1"/>
  <c r="L26" i="85"/>
  <c r="K47" i="34" s="1"/>
  <c r="L29" i="85"/>
  <c r="K55" i="34" s="1"/>
  <c r="L11" i="85"/>
  <c r="K37" i="34" s="1"/>
  <c r="L13" i="85"/>
  <c r="K39" i="34" s="1"/>
  <c r="L19" i="85"/>
  <c r="K44" i="34" s="1"/>
  <c r="L12" i="85"/>
  <c r="K38" i="34" s="1"/>
  <c r="K34" i="34"/>
  <c r="L18" i="85"/>
  <c r="K58" i="34" s="1"/>
  <c r="L32" i="85"/>
  <c r="K53" i="34" s="1"/>
  <c r="L33" i="85"/>
  <c r="L5" i="85"/>
  <c r="L20" i="85"/>
  <c r="K56" i="34" s="1"/>
  <c r="L25" i="85"/>
  <c r="K46" i="34" s="1"/>
  <c r="L27" i="85"/>
  <c r="K48" i="34" s="1"/>
  <c r="L28" i="85"/>
  <c r="K49" i="34" s="1"/>
  <c r="L30" i="85"/>
  <c r="K43" i="34" s="1"/>
  <c r="L7" i="85"/>
  <c r="K41" i="34" s="1"/>
  <c r="L6" i="85"/>
  <c r="K40" i="34" s="1"/>
  <c r="AA9" i="85"/>
  <c r="Z35" i="34" s="1"/>
  <c r="AA24" i="85"/>
  <c r="Z45" i="34" s="1"/>
  <c r="AA4" i="85"/>
  <c r="Z57" i="34" s="1"/>
  <c r="AA10" i="85"/>
  <c r="Z36" i="34" s="1"/>
  <c r="AA11" i="85"/>
  <c r="Z37" i="34" s="1"/>
  <c r="AA34" i="85"/>
  <c r="AA12" i="85"/>
  <c r="Z38" i="34" s="1"/>
  <c r="Z34" i="34"/>
  <c r="AA13" i="85"/>
  <c r="Z39" i="34" s="1"/>
  <c r="AA32" i="85"/>
  <c r="Z53" i="34" s="1"/>
  <c r="AA33" i="85"/>
  <c r="AA5" i="85"/>
  <c r="Z32" i="34" s="1"/>
  <c r="AA17" i="85"/>
  <c r="Z42" i="34" s="1"/>
  <c r="AA18" i="85"/>
  <c r="Z58" i="34" s="1"/>
  <c r="AA19" i="85"/>
  <c r="Z44" i="34" s="1"/>
  <c r="AA20" i="85"/>
  <c r="Z56" i="34" s="1"/>
  <c r="AA21" i="85"/>
  <c r="Z50" i="34" s="1"/>
  <c r="AA23" i="85"/>
  <c r="Z51" i="34" s="1"/>
  <c r="AA25" i="85"/>
  <c r="Z46" i="34" s="1"/>
  <c r="AA26" i="85"/>
  <c r="Z47" i="34" s="1"/>
  <c r="AA27" i="85"/>
  <c r="Z48" i="34" s="1"/>
  <c r="AA28" i="85"/>
  <c r="Z49" i="34" s="1"/>
  <c r="AA29" i="85"/>
  <c r="Z55" i="34" s="1"/>
  <c r="AA30" i="85"/>
  <c r="Z43" i="34" s="1"/>
  <c r="AA6" i="85"/>
  <c r="Z40" i="34" s="1"/>
  <c r="AA7" i="85"/>
  <c r="Z41" i="34" s="1"/>
  <c r="AA8" i="85"/>
  <c r="AA3" i="85" s="1"/>
  <c r="S9" i="85"/>
  <c r="R35" i="34" s="1"/>
  <c r="S24" i="85"/>
  <c r="R45" i="34" s="1"/>
  <c r="S4" i="85"/>
  <c r="R57" i="34" s="1"/>
  <c r="S10" i="85"/>
  <c r="R36" i="34" s="1"/>
  <c r="S11" i="85"/>
  <c r="R37" i="34" s="1"/>
  <c r="R34" i="34"/>
  <c r="S34" i="85"/>
  <c r="S12" i="85"/>
  <c r="R38" i="34" s="1"/>
  <c r="S13" i="85"/>
  <c r="R39" i="34" s="1"/>
  <c r="S32" i="85"/>
  <c r="R53" i="34" s="1"/>
  <c r="S33" i="85"/>
  <c r="S5" i="85"/>
  <c r="R32" i="34" s="1"/>
  <c r="S17" i="85"/>
  <c r="R42" i="34" s="1"/>
  <c r="S18" i="85"/>
  <c r="R58" i="34" s="1"/>
  <c r="S19" i="85"/>
  <c r="R44" i="34" s="1"/>
  <c r="S20" i="85"/>
  <c r="R56" i="34" s="1"/>
  <c r="S21" i="85"/>
  <c r="R50" i="34" s="1"/>
  <c r="S23" i="85"/>
  <c r="R51" i="34" s="1"/>
  <c r="S25" i="85"/>
  <c r="R46" i="34" s="1"/>
  <c r="S26" i="85"/>
  <c r="R47" i="34" s="1"/>
  <c r="S27" i="85"/>
  <c r="R48" i="34" s="1"/>
  <c r="S28" i="85"/>
  <c r="R49" i="34" s="1"/>
  <c r="S29" i="85"/>
  <c r="R55" i="34" s="1"/>
  <c r="S30" i="85"/>
  <c r="R43" i="34" s="1"/>
  <c r="S6" i="85"/>
  <c r="R40" i="34" s="1"/>
  <c r="S7" i="85"/>
  <c r="R41" i="34" s="1"/>
  <c r="S8" i="85"/>
  <c r="R33" i="34" s="1"/>
  <c r="K9" i="85"/>
  <c r="J35" i="34" s="1"/>
  <c r="K24" i="85"/>
  <c r="J45" i="34" s="1"/>
  <c r="K4" i="85"/>
  <c r="J57" i="34" s="1"/>
  <c r="K10" i="85"/>
  <c r="J36" i="34" s="1"/>
  <c r="J34" i="34"/>
  <c r="K11" i="85"/>
  <c r="J37" i="34" s="1"/>
  <c r="K34" i="85"/>
  <c r="K12" i="85"/>
  <c r="J38" i="34" s="1"/>
  <c r="K13" i="85"/>
  <c r="J39" i="34" s="1"/>
  <c r="K32" i="85"/>
  <c r="K33" i="85"/>
  <c r="K5" i="85"/>
  <c r="J32" i="34" s="1"/>
  <c r="K17" i="85"/>
  <c r="J42" i="34" s="1"/>
  <c r="K18" i="85"/>
  <c r="J58" i="34" s="1"/>
  <c r="K19" i="85"/>
  <c r="J44" i="34" s="1"/>
  <c r="K20" i="85"/>
  <c r="J56" i="34" s="1"/>
  <c r="K21" i="85"/>
  <c r="J50" i="34" s="1"/>
  <c r="K23" i="85"/>
  <c r="J51" i="34" s="1"/>
  <c r="K25" i="85"/>
  <c r="J46" i="34" s="1"/>
  <c r="K26" i="85"/>
  <c r="J47" i="34" s="1"/>
  <c r="K27" i="85"/>
  <c r="J48" i="34" s="1"/>
  <c r="K28" i="85"/>
  <c r="J49" i="34" s="1"/>
  <c r="K29" i="85"/>
  <c r="J55" i="34" s="1"/>
  <c r="K30" i="85"/>
  <c r="J43" i="34" s="1"/>
  <c r="K6" i="85"/>
  <c r="J40" i="34" s="1"/>
  <c r="K7" i="85"/>
  <c r="J41" i="34" s="1"/>
  <c r="K8" i="85"/>
  <c r="K3" i="85" s="1"/>
  <c r="E26" i="85"/>
  <c r="D47" i="34" s="1"/>
  <c r="E24" i="85"/>
  <c r="D45" i="34" s="1"/>
  <c r="E28" i="85"/>
  <c r="D49" i="34" s="1"/>
  <c r="E32" i="85"/>
  <c r="D53" i="34" s="1"/>
  <c r="E29" i="85"/>
  <c r="D55" i="34" s="1"/>
  <c r="E30" i="85"/>
  <c r="D43" i="34" s="1"/>
  <c r="E9" i="85"/>
  <c r="E33" i="85"/>
  <c r="E25" i="85"/>
  <c r="D46" i="34" s="1"/>
  <c r="E34" i="85"/>
  <c r="E27" i="85"/>
  <c r="D48" i="34" s="1"/>
  <c r="E4" i="85"/>
  <c r="D57" i="34" s="1"/>
  <c r="E6" i="85"/>
  <c r="D40" i="34" s="1"/>
  <c r="E18" i="85"/>
  <c r="E7" i="85"/>
  <c r="D41" i="34" s="1"/>
  <c r="E8" i="85"/>
  <c r="D33" i="34" s="1"/>
  <c r="E12" i="85"/>
  <c r="D38" i="34" s="1"/>
  <c r="E19" i="85"/>
  <c r="D44" i="34" s="1"/>
  <c r="E10" i="85"/>
  <c r="D36" i="34" s="1"/>
  <c r="E20" i="85"/>
  <c r="D56" i="34" s="1"/>
  <c r="E11" i="85"/>
  <c r="D37" i="34" s="1"/>
  <c r="E21" i="85"/>
  <c r="D50" i="34" s="1"/>
  <c r="E23" i="85"/>
  <c r="D51" i="34" s="1"/>
  <c r="E13" i="85"/>
  <c r="D39" i="34" s="1"/>
  <c r="E17" i="85"/>
  <c r="D42" i="34" s="1"/>
  <c r="D34" i="34"/>
  <c r="E5" i="85"/>
  <c r="D32" i="34" s="1"/>
  <c r="AC9" i="85"/>
  <c r="AB35" i="34" s="1"/>
  <c r="AC24" i="85"/>
  <c r="AB45" i="34" s="1"/>
  <c r="AC4" i="85"/>
  <c r="AB57" i="34" s="1"/>
  <c r="AC34" i="85"/>
  <c r="AC17" i="85"/>
  <c r="AB42" i="34" s="1"/>
  <c r="AC18" i="85"/>
  <c r="AB58" i="34" s="1"/>
  <c r="AC19" i="85"/>
  <c r="AB44" i="34" s="1"/>
  <c r="AC20" i="85"/>
  <c r="AB56" i="34" s="1"/>
  <c r="AC21" i="85"/>
  <c r="AB50" i="34" s="1"/>
  <c r="AC23" i="85"/>
  <c r="AB51" i="34" s="1"/>
  <c r="AC25" i="85"/>
  <c r="AB46" i="34" s="1"/>
  <c r="AC26" i="85"/>
  <c r="AB47" i="34" s="1"/>
  <c r="AC27" i="85"/>
  <c r="AB48" i="34" s="1"/>
  <c r="AC28" i="85"/>
  <c r="AB49" i="34" s="1"/>
  <c r="AC29" i="85"/>
  <c r="AB55" i="34" s="1"/>
  <c r="AC30" i="85"/>
  <c r="AB43" i="34" s="1"/>
  <c r="AC6" i="85"/>
  <c r="AB40" i="34" s="1"/>
  <c r="AC7" i="85"/>
  <c r="AB41" i="34" s="1"/>
  <c r="AC8" i="85"/>
  <c r="AC3" i="85" s="1"/>
  <c r="AC12" i="85"/>
  <c r="AB38" i="34" s="1"/>
  <c r="AC10" i="85"/>
  <c r="AB36" i="34" s="1"/>
  <c r="AC32" i="85"/>
  <c r="AB53" i="34" s="1"/>
  <c r="AC11" i="85"/>
  <c r="AB37" i="34" s="1"/>
  <c r="AC33" i="85"/>
  <c r="AC13" i="85"/>
  <c r="AB39" i="34" s="1"/>
  <c r="AB34" i="34"/>
  <c r="AC5" i="85"/>
  <c r="AB32" i="34" s="1"/>
  <c r="Z9" i="85"/>
  <c r="Y35" i="34" s="1"/>
  <c r="Z24" i="85"/>
  <c r="Y45" i="34" s="1"/>
  <c r="Z4" i="85"/>
  <c r="Y57" i="34" s="1"/>
  <c r="Z11" i="85"/>
  <c r="Y37" i="34" s="1"/>
  <c r="Z12" i="85"/>
  <c r="Y38" i="34" s="1"/>
  <c r="Z13" i="85"/>
  <c r="Y39" i="34" s="1"/>
  <c r="Z34" i="85"/>
  <c r="Y34" i="34"/>
  <c r="Z32" i="85"/>
  <c r="Y53" i="34" s="1"/>
  <c r="Z33" i="85"/>
  <c r="Z5" i="85"/>
  <c r="Y32" i="34" s="1"/>
  <c r="Z17" i="85"/>
  <c r="Y42" i="34" s="1"/>
  <c r="Z18" i="85"/>
  <c r="Y58" i="34" s="1"/>
  <c r="Z19" i="85"/>
  <c r="Y44" i="34" s="1"/>
  <c r="Z20" i="85"/>
  <c r="Y56" i="34" s="1"/>
  <c r="Z21" i="85"/>
  <c r="Y50" i="34" s="1"/>
  <c r="Z23" i="85"/>
  <c r="Y51" i="34" s="1"/>
  <c r="Z25" i="85"/>
  <c r="Y46" i="34" s="1"/>
  <c r="Z26" i="85"/>
  <c r="Y47" i="34" s="1"/>
  <c r="Z27" i="85"/>
  <c r="Y48" i="34" s="1"/>
  <c r="Z28" i="85"/>
  <c r="Y49" i="34" s="1"/>
  <c r="Z29" i="85"/>
  <c r="Y55" i="34" s="1"/>
  <c r="Z30" i="85"/>
  <c r="Y43" i="34" s="1"/>
  <c r="Z6" i="85"/>
  <c r="Y40" i="34" s="1"/>
  <c r="Z7" i="85"/>
  <c r="Y41" i="34" s="1"/>
  <c r="Z8" i="85"/>
  <c r="Y33" i="34" s="1"/>
  <c r="Z10" i="85"/>
  <c r="Y36" i="34" s="1"/>
  <c r="R9" i="85"/>
  <c r="Q35" i="34" s="1"/>
  <c r="R24" i="85"/>
  <c r="Q45" i="34" s="1"/>
  <c r="R4" i="85"/>
  <c r="Q57" i="34" s="1"/>
  <c r="R11" i="85"/>
  <c r="Q37" i="34" s="1"/>
  <c r="R12" i="85"/>
  <c r="Q38" i="34" s="1"/>
  <c r="R13" i="85"/>
  <c r="Q39" i="34" s="1"/>
  <c r="R34" i="85"/>
  <c r="Q34" i="34"/>
  <c r="R32" i="85"/>
  <c r="Q53" i="34" s="1"/>
  <c r="R33" i="85"/>
  <c r="R5" i="85"/>
  <c r="Q32" i="34" s="1"/>
  <c r="R17" i="85"/>
  <c r="Q42" i="34" s="1"/>
  <c r="R18" i="85"/>
  <c r="R19" i="85"/>
  <c r="Q44" i="34" s="1"/>
  <c r="R20" i="85"/>
  <c r="Q56" i="34" s="1"/>
  <c r="R21" i="85"/>
  <c r="Q50" i="34" s="1"/>
  <c r="R23" i="85"/>
  <c r="Q51" i="34" s="1"/>
  <c r="R25" i="85"/>
  <c r="Q46" i="34" s="1"/>
  <c r="R26" i="85"/>
  <c r="Q47" i="34" s="1"/>
  <c r="R27" i="85"/>
  <c r="Q48" i="34" s="1"/>
  <c r="R28" i="85"/>
  <c r="Q49" i="34" s="1"/>
  <c r="R29" i="85"/>
  <c r="Q55" i="34" s="1"/>
  <c r="R30" i="85"/>
  <c r="Q43" i="34" s="1"/>
  <c r="R6" i="85"/>
  <c r="Q40" i="34" s="1"/>
  <c r="R7" i="85"/>
  <c r="Q41" i="34" s="1"/>
  <c r="R8" i="85"/>
  <c r="Q33" i="34" s="1"/>
  <c r="R10" i="85"/>
  <c r="Q36" i="34" s="1"/>
  <c r="J9" i="85"/>
  <c r="I35" i="34" s="1"/>
  <c r="J24" i="85"/>
  <c r="I45" i="34" s="1"/>
  <c r="J4" i="85"/>
  <c r="I57" i="34" s="1"/>
  <c r="J11" i="85"/>
  <c r="I37" i="34" s="1"/>
  <c r="J12" i="85"/>
  <c r="I38" i="34" s="1"/>
  <c r="J13" i="85"/>
  <c r="I39" i="34" s="1"/>
  <c r="J34" i="85"/>
  <c r="I34" i="34"/>
  <c r="J32" i="85"/>
  <c r="I53" i="34" s="1"/>
  <c r="J33" i="85"/>
  <c r="J5" i="85"/>
  <c r="I32" i="34" s="1"/>
  <c r="J17" i="85"/>
  <c r="I42" i="34" s="1"/>
  <c r="J18" i="85"/>
  <c r="I58" i="34" s="1"/>
  <c r="J19" i="85"/>
  <c r="I44" i="34" s="1"/>
  <c r="J20" i="85"/>
  <c r="I56" i="34" s="1"/>
  <c r="J21" i="85"/>
  <c r="I50" i="34" s="1"/>
  <c r="J23" i="85"/>
  <c r="I51" i="34" s="1"/>
  <c r="J25" i="85"/>
  <c r="I46" i="34" s="1"/>
  <c r="J26" i="85"/>
  <c r="I47" i="34" s="1"/>
  <c r="J27" i="85"/>
  <c r="I48" i="34" s="1"/>
  <c r="J28" i="85"/>
  <c r="I49" i="34" s="1"/>
  <c r="J29" i="85"/>
  <c r="I55" i="34" s="1"/>
  <c r="J30" i="85"/>
  <c r="I43" i="34" s="1"/>
  <c r="J6" i="85"/>
  <c r="I40" i="34" s="1"/>
  <c r="J7" i="85"/>
  <c r="I41" i="34" s="1"/>
  <c r="J8" i="85"/>
  <c r="I33" i="34" s="1"/>
  <c r="J10" i="85"/>
  <c r="I36" i="34" s="1"/>
  <c r="F9" i="85"/>
  <c r="E35" i="34" s="1"/>
  <c r="F24" i="85"/>
  <c r="E45" i="34" s="1"/>
  <c r="F4" i="85"/>
  <c r="E57" i="34" s="1"/>
  <c r="F32" i="85"/>
  <c r="E53" i="34" s="1"/>
  <c r="F33" i="85"/>
  <c r="F5" i="85"/>
  <c r="E32" i="34" s="1"/>
  <c r="F34" i="85"/>
  <c r="F17" i="85"/>
  <c r="E42" i="34" s="1"/>
  <c r="F18" i="85"/>
  <c r="E58" i="34" s="1"/>
  <c r="F19" i="85"/>
  <c r="E44" i="34" s="1"/>
  <c r="F20" i="85"/>
  <c r="E56" i="34" s="1"/>
  <c r="F21" i="85"/>
  <c r="E50" i="34" s="1"/>
  <c r="F23" i="85"/>
  <c r="E51" i="34" s="1"/>
  <c r="F25" i="85"/>
  <c r="E46" i="34" s="1"/>
  <c r="F26" i="85"/>
  <c r="E47" i="34" s="1"/>
  <c r="F27" i="85"/>
  <c r="E48" i="34" s="1"/>
  <c r="F28" i="85"/>
  <c r="E49" i="34" s="1"/>
  <c r="F29" i="85"/>
  <c r="E55" i="34" s="1"/>
  <c r="F30" i="85"/>
  <c r="E43" i="34" s="1"/>
  <c r="F6" i="85"/>
  <c r="E40" i="34" s="1"/>
  <c r="F7" i="85"/>
  <c r="E41" i="34" s="1"/>
  <c r="F8" i="85"/>
  <c r="E33" i="34" s="1"/>
  <c r="F10" i="85"/>
  <c r="E36" i="34" s="1"/>
  <c r="F11" i="85"/>
  <c r="E37" i="34" s="1"/>
  <c r="F12" i="85"/>
  <c r="E38" i="34" s="1"/>
  <c r="F13" i="85"/>
  <c r="E39" i="34" s="1"/>
  <c r="E34" i="34"/>
  <c r="U9" i="85"/>
  <c r="T35" i="34" s="1"/>
  <c r="U24" i="85"/>
  <c r="T45" i="34" s="1"/>
  <c r="U4" i="85"/>
  <c r="T57" i="34" s="1"/>
  <c r="U34" i="85"/>
  <c r="U17" i="85"/>
  <c r="T42" i="34" s="1"/>
  <c r="U18" i="85"/>
  <c r="T58" i="34" s="1"/>
  <c r="U19" i="85"/>
  <c r="T44" i="34" s="1"/>
  <c r="U20" i="85"/>
  <c r="T56" i="34" s="1"/>
  <c r="U21" i="85"/>
  <c r="T50" i="34" s="1"/>
  <c r="U23" i="85"/>
  <c r="T51" i="34" s="1"/>
  <c r="U25" i="85"/>
  <c r="T46" i="34" s="1"/>
  <c r="U26" i="85"/>
  <c r="T47" i="34" s="1"/>
  <c r="U27" i="85"/>
  <c r="T48" i="34" s="1"/>
  <c r="U28" i="85"/>
  <c r="T49" i="34" s="1"/>
  <c r="U29" i="85"/>
  <c r="T55" i="34" s="1"/>
  <c r="U30" i="85"/>
  <c r="T43" i="34" s="1"/>
  <c r="U6" i="85"/>
  <c r="T40" i="34" s="1"/>
  <c r="U7" i="85"/>
  <c r="T41" i="34" s="1"/>
  <c r="U12" i="85"/>
  <c r="T38" i="34" s="1"/>
  <c r="U8" i="85"/>
  <c r="U10" i="85"/>
  <c r="T36" i="34" s="1"/>
  <c r="U11" i="85"/>
  <c r="T37" i="34" s="1"/>
  <c r="U32" i="85"/>
  <c r="T53" i="34" s="1"/>
  <c r="U13" i="85"/>
  <c r="T39" i="34" s="1"/>
  <c r="U33" i="85"/>
  <c r="T34" i="34"/>
  <c r="U5" i="85"/>
  <c r="T32" i="34" s="1"/>
  <c r="Y9" i="85"/>
  <c r="X35" i="34" s="1"/>
  <c r="Y24" i="85"/>
  <c r="X45" i="34" s="1"/>
  <c r="Y4" i="85"/>
  <c r="X57" i="34" s="1"/>
  <c r="Y12" i="85"/>
  <c r="X38" i="34" s="1"/>
  <c r="Y13" i="85"/>
  <c r="X39" i="34" s="1"/>
  <c r="X34" i="34"/>
  <c r="Y32" i="85"/>
  <c r="X53" i="34" s="1"/>
  <c r="Y33" i="85"/>
  <c r="Y5" i="85"/>
  <c r="X32" i="34" s="1"/>
  <c r="Y34" i="85"/>
  <c r="Y17" i="85"/>
  <c r="X42" i="34" s="1"/>
  <c r="Y18" i="85"/>
  <c r="X58" i="34" s="1"/>
  <c r="Y19" i="85"/>
  <c r="X44" i="34" s="1"/>
  <c r="Y20" i="85"/>
  <c r="X56" i="34" s="1"/>
  <c r="Y21" i="85"/>
  <c r="X50" i="34" s="1"/>
  <c r="Y23" i="85"/>
  <c r="X51" i="34" s="1"/>
  <c r="Y25" i="85"/>
  <c r="X46" i="34" s="1"/>
  <c r="Y26" i="85"/>
  <c r="X47" i="34" s="1"/>
  <c r="Y27" i="85"/>
  <c r="X48" i="34" s="1"/>
  <c r="Y28" i="85"/>
  <c r="X49" i="34" s="1"/>
  <c r="Y29" i="85"/>
  <c r="X55" i="34" s="1"/>
  <c r="Y30" i="85"/>
  <c r="X43" i="34" s="1"/>
  <c r="Y6" i="85"/>
  <c r="X40" i="34" s="1"/>
  <c r="Y7" i="85"/>
  <c r="X41" i="34" s="1"/>
  <c r="Y8" i="85"/>
  <c r="Y10" i="85"/>
  <c r="X36" i="34" s="1"/>
  <c r="Y11" i="85"/>
  <c r="X37" i="34" s="1"/>
  <c r="Q9" i="85"/>
  <c r="P35" i="34" s="1"/>
  <c r="Q24" i="85"/>
  <c r="P45" i="34" s="1"/>
  <c r="Q4" i="85"/>
  <c r="P57" i="34" s="1"/>
  <c r="Q12" i="85"/>
  <c r="P38" i="34" s="1"/>
  <c r="Q13" i="85"/>
  <c r="P39" i="34" s="1"/>
  <c r="P34" i="34"/>
  <c r="Q32" i="85"/>
  <c r="P53" i="34" s="1"/>
  <c r="Q33" i="85"/>
  <c r="Q5" i="85"/>
  <c r="P32" i="34" s="1"/>
  <c r="Q34" i="85"/>
  <c r="Q17" i="85"/>
  <c r="P42" i="34" s="1"/>
  <c r="Q18" i="85"/>
  <c r="P58" i="34" s="1"/>
  <c r="Q19" i="85"/>
  <c r="P44" i="34" s="1"/>
  <c r="Q20" i="85"/>
  <c r="P56" i="34" s="1"/>
  <c r="Q21" i="85"/>
  <c r="P50" i="34" s="1"/>
  <c r="Q23" i="85"/>
  <c r="P51" i="34" s="1"/>
  <c r="Q25" i="85"/>
  <c r="P46" i="34" s="1"/>
  <c r="Q26" i="85"/>
  <c r="P47" i="34" s="1"/>
  <c r="Q27" i="85"/>
  <c r="P48" i="34" s="1"/>
  <c r="Q28" i="85"/>
  <c r="P49" i="34" s="1"/>
  <c r="Q29" i="85"/>
  <c r="P55" i="34" s="1"/>
  <c r="Q30" i="85"/>
  <c r="P43" i="34" s="1"/>
  <c r="Q6" i="85"/>
  <c r="P40" i="34" s="1"/>
  <c r="Q7" i="85"/>
  <c r="P41" i="34" s="1"/>
  <c r="Q8" i="85"/>
  <c r="P33" i="34" s="1"/>
  <c r="Q10" i="85"/>
  <c r="P36" i="34" s="1"/>
  <c r="Q11" i="85"/>
  <c r="P37" i="34" s="1"/>
  <c r="I7" i="85"/>
  <c r="H41" i="34" s="1"/>
  <c r="I9" i="85"/>
  <c r="H35" i="34" s="1"/>
  <c r="I24" i="85"/>
  <c r="H45" i="34" s="1"/>
  <c r="I4" i="85"/>
  <c r="H57" i="34" s="1"/>
  <c r="I12" i="85"/>
  <c r="H38" i="34" s="1"/>
  <c r="I13" i="85"/>
  <c r="H39" i="34" s="1"/>
  <c r="H34" i="34"/>
  <c r="I32" i="85"/>
  <c r="H53" i="34" s="1"/>
  <c r="I33" i="85"/>
  <c r="I5" i="85"/>
  <c r="H32" i="34" s="1"/>
  <c r="I34" i="85"/>
  <c r="I17" i="85"/>
  <c r="H42" i="34" s="1"/>
  <c r="I18" i="85"/>
  <c r="H58" i="34" s="1"/>
  <c r="I19" i="85"/>
  <c r="H44" i="34" s="1"/>
  <c r="I20" i="85"/>
  <c r="H56" i="34" s="1"/>
  <c r="I21" i="85"/>
  <c r="H50" i="34" s="1"/>
  <c r="I23" i="85"/>
  <c r="H51" i="34" s="1"/>
  <c r="I25" i="85"/>
  <c r="H46" i="34" s="1"/>
  <c r="I26" i="85"/>
  <c r="H47" i="34" s="1"/>
  <c r="I27" i="85"/>
  <c r="H48" i="34" s="1"/>
  <c r="I28" i="85"/>
  <c r="H49" i="34" s="1"/>
  <c r="I29" i="85"/>
  <c r="H55" i="34" s="1"/>
  <c r="I30" i="85"/>
  <c r="H43" i="34" s="1"/>
  <c r="I6" i="85"/>
  <c r="H40" i="34" s="1"/>
  <c r="I8" i="85"/>
  <c r="H33" i="34" s="1"/>
  <c r="I10" i="85"/>
  <c r="H36" i="34" s="1"/>
  <c r="I11" i="85"/>
  <c r="H37" i="34" s="1"/>
  <c r="V9" i="85"/>
  <c r="U35" i="34" s="1"/>
  <c r="V24" i="85"/>
  <c r="U45" i="34" s="1"/>
  <c r="V4" i="85"/>
  <c r="U57" i="34" s="1"/>
  <c r="V32" i="85"/>
  <c r="U53" i="34" s="1"/>
  <c r="V33" i="85"/>
  <c r="V5" i="85"/>
  <c r="U32" i="34" s="1"/>
  <c r="V17" i="85"/>
  <c r="U42" i="34" s="1"/>
  <c r="V18" i="85"/>
  <c r="V19" i="85"/>
  <c r="U44" i="34" s="1"/>
  <c r="V20" i="85"/>
  <c r="U56" i="34" s="1"/>
  <c r="V21" i="85"/>
  <c r="U50" i="34" s="1"/>
  <c r="V23" i="85"/>
  <c r="U51" i="34" s="1"/>
  <c r="V25" i="85"/>
  <c r="U46" i="34" s="1"/>
  <c r="V26" i="85"/>
  <c r="U47" i="34" s="1"/>
  <c r="V27" i="85"/>
  <c r="U48" i="34" s="1"/>
  <c r="V28" i="85"/>
  <c r="U49" i="34" s="1"/>
  <c r="V29" i="85"/>
  <c r="U55" i="34" s="1"/>
  <c r="V30" i="85"/>
  <c r="U43" i="34" s="1"/>
  <c r="V6" i="85"/>
  <c r="U40" i="34" s="1"/>
  <c r="V7" i="85"/>
  <c r="U41" i="34" s="1"/>
  <c r="V8" i="85"/>
  <c r="U33" i="34" s="1"/>
  <c r="V10" i="85"/>
  <c r="U36" i="34" s="1"/>
  <c r="V11" i="85"/>
  <c r="U37" i="34" s="1"/>
  <c r="V12" i="85"/>
  <c r="U38" i="34" s="1"/>
  <c r="V13" i="85"/>
  <c r="U39" i="34" s="1"/>
  <c r="V34" i="85"/>
  <c r="U34" i="34"/>
  <c r="X9" i="85"/>
  <c r="W35" i="34" s="1"/>
  <c r="X24" i="85"/>
  <c r="W45" i="34" s="1"/>
  <c r="X4" i="85"/>
  <c r="W57" i="34" s="1"/>
  <c r="X13" i="85"/>
  <c r="W39" i="34" s="1"/>
  <c r="W34" i="34"/>
  <c r="X32" i="85"/>
  <c r="W53" i="34" s="1"/>
  <c r="X33" i="85"/>
  <c r="X5" i="85"/>
  <c r="W32" i="34" s="1"/>
  <c r="X17" i="85"/>
  <c r="W42" i="34" s="1"/>
  <c r="X18" i="85"/>
  <c r="W58" i="34" s="1"/>
  <c r="X19" i="85"/>
  <c r="W44" i="34" s="1"/>
  <c r="X20" i="85"/>
  <c r="W56" i="34" s="1"/>
  <c r="X21" i="85"/>
  <c r="W50" i="34" s="1"/>
  <c r="X23" i="85"/>
  <c r="W51" i="34" s="1"/>
  <c r="X25" i="85"/>
  <c r="W46" i="34" s="1"/>
  <c r="X26" i="85"/>
  <c r="W47" i="34" s="1"/>
  <c r="X27" i="85"/>
  <c r="W48" i="34" s="1"/>
  <c r="X28" i="85"/>
  <c r="W49" i="34" s="1"/>
  <c r="X29" i="85"/>
  <c r="W55" i="34" s="1"/>
  <c r="X30" i="85"/>
  <c r="W43" i="34" s="1"/>
  <c r="X6" i="85"/>
  <c r="W40" i="34" s="1"/>
  <c r="X7" i="85"/>
  <c r="W41" i="34" s="1"/>
  <c r="X8" i="85"/>
  <c r="W33" i="34" s="1"/>
  <c r="X34" i="85"/>
  <c r="X10" i="85"/>
  <c r="W36" i="34" s="1"/>
  <c r="X11" i="85"/>
  <c r="W37" i="34" s="1"/>
  <c r="X12" i="85"/>
  <c r="W38" i="34" s="1"/>
  <c r="P9" i="85"/>
  <c r="O35" i="34" s="1"/>
  <c r="P24" i="85"/>
  <c r="O45" i="34" s="1"/>
  <c r="P4" i="85"/>
  <c r="O57" i="34" s="1"/>
  <c r="P13" i="85"/>
  <c r="O39" i="34" s="1"/>
  <c r="O34" i="34"/>
  <c r="P32" i="85"/>
  <c r="O53" i="34" s="1"/>
  <c r="P33" i="85"/>
  <c r="P5" i="85"/>
  <c r="O32" i="34" s="1"/>
  <c r="P17" i="85"/>
  <c r="O42" i="34" s="1"/>
  <c r="P18" i="85"/>
  <c r="P19" i="85"/>
  <c r="O44" i="34" s="1"/>
  <c r="P20" i="85"/>
  <c r="O56" i="34" s="1"/>
  <c r="P21" i="85"/>
  <c r="O50" i="34" s="1"/>
  <c r="P23" i="85"/>
  <c r="O51" i="34" s="1"/>
  <c r="P25" i="85"/>
  <c r="O46" i="34" s="1"/>
  <c r="P26" i="85"/>
  <c r="O47" i="34" s="1"/>
  <c r="P27" i="85"/>
  <c r="O48" i="34" s="1"/>
  <c r="P28" i="85"/>
  <c r="O49" i="34" s="1"/>
  <c r="P29" i="85"/>
  <c r="O55" i="34" s="1"/>
  <c r="P30" i="85"/>
  <c r="O43" i="34" s="1"/>
  <c r="P6" i="85"/>
  <c r="O40" i="34" s="1"/>
  <c r="P7" i="85"/>
  <c r="O41" i="34" s="1"/>
  <c r="P8" i="85"/>
  <c r="O33" i="34" s="1"/>
  <c r="P34" i="85"/>
  <c r="P10" i="85"/>
  <c r="O36" i="34" s="1"/>
  <c r="P11" i="85"/>
  <c r="O37" i="34" s="1"/>
  <c r="P12" i="85"/>
  <c r="O38" i="34" s="1"/>
  <c r="H9" i="85"/>
  <c r="G35" i="34" s="1"/>
  <c r="H24" i="85"/>
  <c r="G45" i="34" s="1"/>
  <c r="H4" i="85"/>
  <c r="G57" i="34" s="1"/>
  <c r="H13" i="85"/>
  <c r="G39" i="34" s="1"/>
  <c r="G34" i="34"/>
  <c r="H32" i="85"/>
  <c r="G53" i="34" s="1"/>
  <c r="H33" i="85"/>
  <c r="H5" i="85"/>
  <c r="G32" i="34" s="1"/>
  <c r="H17" i="85"/>
  <c r="G42" i="34" s="1"/>
  <c r="H18" i="85"/>
  <c r="G58" i="34" s="1"/>
  <c r="H19" i="85"/>
  <c r="G44" i="34" s="1"/>
  <c r="H20" i="85"/>
  <c r="G56" i="34" s="1"/>
  <c r="H21" i="85"/>
  <c r="G50" i="34" s="1"/>
  <c r="H23" i="85"/>
  <c r="G51" i="34" s="1"/>
  <c r="H25" i="85"/>
  <c r="G46" i="34" s="1"/>
  <c r="H26" i="85"/>
  <c r="G47" i="34" s="1"/>
  <c r="H27" i="85"/>
  <c r="G48" i="34" s="1"/>
  <c r="H28" i="85"/>
  <c r="G49" i="34" s="1"/>
  <c r="H29" i="85"/>
  <c r="G55" i="34" s="1"/>
  <c r="H30" i="85"/>
  <c r="G43" i="34" s="1"/>
  <c r="H6" i="85"/>
  <c r="G40" i="34" s="1"/>
  <c r="H7" i="85"/>
  <c r="G41" i="34" s="1"/>
  <c r="H8" i="85"/>
  <c r="H34" i="85"/>
  <c r="H10" i="85"/>
  <c r="G36" i="34" s="1"/>
  <c r="H11" i="85"/>
  <c r="G37" i="34" s="1"/>
  <c r="H12" i="85"/>
  <c r="G38" i="34" s="1"/>
  <c r="N9" i="85"/>
  <c r="M35" i="34" s="1"/>
  <c r="N24" i="85"/>
  <c r="M45" i="34" s="1"/>
  <c r="N4" i="85"/>
  <c r="M57" i="34" s="1"/>
  <c r="N32" i="85"/>
  <c r="M53" i="34" s="1"/>
  <c r="N33" i="85"/>
  <c r="N5" i="85"/>
  <c r="M32" i="34" s="1"/>
  <c r="N17" i="85"/>
  <c r="M42" i="34" s="1"/>
  <c r="N18" i="85"/>
  <c r="M58" i="34" s="1"/>
  <c r="N19" i="85"/>
  <c r="M44" i="34" s="1"/>
  <c r="N20" i="85"/>
  <c r="M56" i="34" s="1"/>
  <c r="N21" i="85"/>
  <c r="M50" i="34" s="1"/>
  <c r="N23" i="85"/>
  <c r="M51" i="34" s="1"/>
  <c r="N25" i="85"/>
  <c r="M46" i="34" s="1"/>
  <c r="N26" i="85"/>
  <c r="M47" i="34" s="1"/>
  <c r="N27" i="85"/>
  <c r="M48" i="34" s="1"/>
  <c r="N28" i="85"/>
  <c r="M49" i="34" s="1"/>
  <c r="N29" i="85"/>
  <c r="M55" i="34" s="1"/>
  <c r="N30" i="85"/>
  <c r="M43" i="34" s="1"/>
  <c r="N6" i="85"/>
  <c r="M40" i="34" s="1"/>
  <c r="N7" i="85"/>
  <c r="M41" i="34" s="1"/>
  <c r="N8" i="85"/>
  <c r="M33" i="34" s="1"/>
  <c r="N11" i="85"/>
  <c r="M37" i="34" s="1"/>
  <c r="N10" i="85"/>
  <c r="M36" i="34" s="1"/>
  <c r="N12" i="85"/>
  <c r="M38" i="34" s="1"/>
  <c r="N34" i="85"/>
  <c r="N13" i="85"/>
  <c r="M39" i="34" s="1"/>
  <c r="M34" i="34"/>
  <c r="M9" i="85"/>
  <c r="L35" i="34" s="1"/>
  <c r="M24" i="85"/>
  <c r="L45" i="34" s="1"/>
  <c r="M4" i="85"/>
  <c r="L57" i="34" s="1"/>
  <c r="M34" i="85"/>
  <c r="M17" i="85"/>
  <c r="L42" i="34" s="1"/>
  <c r="M18" i="85"/>
  <c r="L58" i="34" s="1"/>
  <c r="M19" i="85"/>
  <c r="L44" i="34" s="1"/>
  <c r="M20" i="85"/>
  <c r="L56" i="34" s="1"/>
  <c r="M21" i="85"/>
  <c r="L50" i="34" s="1"/>
  <c r="M23" i="85"/>
  <c r="L51" i="34" s="1"/>
  <c r="M25" i="85"/>
  <c r="L46" i="34" s="1"/>
  <c r="M26" i="85"/>
  <c r="L47" i="34" s="1"/>
  <c r="M27" i="85"/>
  <c r="L48" i="34" s="1"/>
  <c r="M28" i="85"/>
  <c r="L49" i="34" s="1"/>
  <c r="M29" i="85"/>
  <c r="L55" i="34" s="1"/>
  <c r="M30" i="85"/>
  <c r="L43" i="34" s="1"/>
  <c r="M6" i="85"/>
  <c r="L40" i="34" s="1"/>
  <c r="M7" i="85"/>
  <c r="L41" i="34" s="1"/>
  <c r="M8" i="85"/>
  <c r="L33" i="34" s="1"/>
  <c r="M33" i="85"/>
  <c r="M10" i="85"/>
  <c r="L36" i="34" s="1"/>
  <c r="M11" i="85"/>
  <c r="L37" i="34" s="1"/>
  <c r="M32" i="85"/>
  <c r="L53" i="34" s="1"/>
  <c r="M12" i="85"/>
  <c r="L38" i="34" s="1"/>
  <c r="M13" i="85"/>
  <c r="L39" i="34" s="1"/>
  <c r="L34" i="34"/>
  <c r="M5" i="85"/>
  <c r="L32" i="34" s="1"/>
  <c r="W24" i="85"/>
  <c r="V45" i="34" s="1"/>
  <c r="W9" i="85"/>
  <c r="V35" i="34" s="1"/>
  <c r="W4" i="85"/>
  <c r="V57" i="34" s="1"/>
  <c r="V34" i="34"/>
  <c r="W32" i="85"/>
  <c r="V53" i="34" s="1"/>
  <c r="W33" i="85"/>
  <c r="W5" i="85"/>
  <c r="V32" i="34" s="1"/>
  <c r="W17" i="85"/>
  <c r="V42" i="34" s="1"/>
  <c r="W18" i="85"/>
  <c r="V58" i="34" s="1"/>
  <c r="W19" i="85"/>
  <c r="V44" i="34" s="1"/>
  <c r="W20" i="85"/>
  <c r="V56" i="34" s="1"/>
  <c r="W21" i="85"/>
  <c r="V50" i="34" s="1"/>
  <c r="W23" i="85"/>
  <c r="V51" i="34" s="1"/>
  <c r="W25" i="85"/>
  <c r="V46" i="34" s="1"/>
  <c r="W26" i="85"/>
  <c r="V47" i="34" s="1"/>
  <c r="W27" i="85"/>
  <c r="V48" i="34" s="1"/>
  <c r="W28" i="85"/>
  <c r="V49" i="34" s="1"/>
  <c r="W29" i="85"/>
  <c r="V55" i="34" s="1"/>
  <c r="W30" i="85"/>
  <c r="V43" i="34" s="1"/>
  <c r="W6" i="85"/>
  <c r="V40" i="34" s="1"/>
  <c r="W7" i="85"/>
  <c r="V41" i="34" s="1"/>
  <c r="W8" i="85"/>
  <c r="W10" i="85"/>
  <c r="V36" i="34" s="1"/>
  <c r="W11" i="85"/>
  <c r="V37" i="34" s="1"/>
  <c r="W34" i="85"/>
  <c r="W12" i="85"/>
  <c r="V38" i="34" s="1"/>
  <c r="W13" i="85"/>
  <c r="V39" i="34" s="1"/>
  <c r="O24" i="85"/>
  <c r="N45" i="34" s="1"/>
  <c r="O9" i="85"/>
  <c r="N35" i="34" s="1"/>
  <c r="O4" i="85"/>
  <c r="N57" i="34" s="1"/>
  <c r="N34" i="34"/>
  <c r="O32" i="85"/>
  <c r="N53" i="34" s="1"/>
  <c r="O33" i="85"/>
  <c r="O5" i="85"/>
  <c r="N32" i="34" s="1"/>
  <c r="O17" i="85"/>
  <c r="N42" i="34" s="1"/>
  <c r="O18" i="85"/>
  <c r="N58" i="34" s="1"/>
  <c r="O19" i="85"/>
  <c r="N44" i="34" s="1"/>
  <c r="O20" i="85"/>
  <c r="N56" i="34" s="1"/>
  <c r="O21" i="85"/>
  <c r="N50" i="34" s="1"/>
  <c r="O23" i="85"/>
  <c r="N51" i="34" s="1"/>
  <c r="O25" i="85"/>
  <c r="N46" i="34" s="1"/>
  <c r="O26" i="85"/>
  <c r="N47" i="34" s="1"/>
  <c r="O27" i="85"/>
  <c r="N48" i="34" s="1"/>
  <c r="O28" i="85"/>
  <c r="N49" i="34" s="1"/>
  <c r="O29" i="85"/>
  <c r="N55" i="34" s="1"/>
  <c r="O30" i="85"/>
  <c r="N43" i="34" s="1"/>
  <c r="O6" i="85"/>
  <c r="N40" i="34" s="1"/>
  <c r="O7" i="85"/>
  <c r="N41" i="34" s="1"/>
  <c r="O8" i="85"/>
  <c r="N33" i="34" s="1"/>
  <c r="O10" i="85"/>
  <c r="N36" i="34" s="1"/>
  <c r="O11" i="85"/>
  <c r="N37" i="34" s="1"/>
  <c r="O34" i="85"/>
  <c r="O12" i="85"/>
  <c r="N38" i="34" s="1"/>
  <c r="O13" i="85"/>
  <c r="N39" i="34" s="1"/>
  <c r="G24" i="85"/>
  <c r="F45" i="34" s="1"/>
  <c r="G9" i="85"/>
  <c r="F35" i="34" s="1"/>
  <c r="G4" i="85"/>
  <c r="F57" i="34" s="1"/>
  <c r="F34" i="34"/>
  <c r="G32" i="85"/>
  <c r="F53" i="34" s="1"/>
  <c r="G33" i="85"/>
  <c r="G5" i="85"/>
  <c r="F32" i="34" s="1"/>
  <c r="G17" i="85"/>
  <c r="F42" i="34" s="1"/>
  <c r="G18" i="85"/>
  <c r="F58" i="34" s="1"/>
  <c r="G19" i="85"/>
  <c r="F44" i="34" s="1"/>
  <c r="G20" i="85"/>
  <c r="F56" i="34" s="1"/>
  <c r="G21" i="85"/>
  <c r="F50" i="34" s="1"/>
  <c r="G23" i="85"/>
  <c r="F51" i="34" s="1"/>
  <c r="G25" i="85"/>
  <c r="F46" i="34" s="1"/>
  <c r="G26" i="85"/>
  <c r="F47" i="34" s="1"/>
  <c r="G27" i="85"/>
  <c r="F48" i="34" s="1"/>
  <c r="G28" i="85"/>
  <c r="F49" i="34" s="1"/>
  <c r="G29" i="85"/>
  <c r="F55" i="34" s="1"/>
  <c r="G30" i="85"/>
  <c r="F43" i="34" s="1"/>
  <c r="G6" i="85"/>
  <c r="F40" i="34" s="1"/>
  <c r="G7" i="85"/>
  <c r="F41" i="34" s="1"/>
  <c r="G8" i="85"/>
  <c r="G10" i="85"/>
  <c r="F36" i="34" s="1"/>
  <c r="G11" i="85"/>
  <c r="F37" i="34" s="1"/>
  <c r="G34" i="85"/>
  <c r="G12" i="85"/>
  <c r="F38" i="34" s="1"/>
  <c r="G13" i="85"/>
  <c r="F39" i="34" s="1"/>
  <c r="P33" i="116"/>
  <c r="O24" i="34" s="1"/>
  <c r="P32" i="116"/>
  <c r="O23" i="34" s="1"/>
  <c r="P12" i="116"/>
  <c r="O8" i="34" s="1"/>
  <c r="P5" i="116"/>
  <c r="O2" i="34" s="1"/>
  <c r="P13" i="116"/>
  <c r="O9" i="34" s="1"/>
  <c r="P4" i="116"/>
  <c r="O28" i="34" s="1"/>
  <c r="P17" i="116"/>
  <c r="O12" i="34" s="1"/>
  <c r="P19" i="116"/>
  <c r="O14" i="34" s="1"/>
  <c r="P20" i="116"/>
  <c r="O27" i="34" s="1"/>
  <c r="P21" i="116"/>
  <c r="O20" i="34" s="1"/>
  <c r="O22" i="34"/>
  <c r="P23" i="116"/>
  <c r="O21" i="34" s="1"/>
  <c r="P24" i="116"/>
  <c r="O15" i="34" s="1"/>
  <c r="P25" i="116"/>
  <c r="O16" i="34" s="1"/>
  <c r="P26" i="116"/>
  <c r="O17" i="34" s="1"/>
  <c r="P27" i="116"/>
  <c r="O18" i="34" s="1"/>
  <c r="P28" i="116"/>
  <c r="O19" i="34" s="1"/>
  <c r="P29" i="116"/>
  <c r="O26" i="34" s="1"/>
  <c r="P30" i="116"/>
  <c r="O13" i="34" s="1"/>
  <c r="P6" i="116"/>
  <c r="P7" i="116"/>
  <c r="O11" i="34" s="1"/>
  <c r="P8" i="116"/>
  <c r="P15" i="116" s="1"/>
  <c r="P10" i="116"/>
  <c r="O6" i="34" s="1"/>
  <c r="P11" i="116"/>
  <c r="O7" i="34" s="1"/>
  <c r="P9" i="116"/>
  <c r="O5" i="34" s="1"/>
  <c r="E32" i="116"/>
  <c r="D23" i="34" s="1"/>
  <c r="E33" i="116"/>
  <c r="D24" i="34" s="1"/>
  <c r="E30" i="116"/>
  <c r="D13" i="34" s="1"/>
  <c r="E4" i="116"/>
  <c r="D28" i="34" s="1"/>
  <c r="E23" i="116"/>
  <c r="D21" i="34" s="1"/>
  <c r="D29" i="34"/>
  <c r="E8" i="116"/>
  <c r="E24" i="116"/>
  <c r="D15" i="34" s="1"/>
  <c r="E19" i="116"/>
  <c r="D14" i="34" s="1"/>
  <c r="E9" i="116"/>
  <c r="D5" i="34" s="1"/>
  <c r="E25" i="116"/>
  <c r="D16" i="34" s="1"/>
  <c r="E20" i="116"/>
  <c r="E10" i="116"/>
  <c r="D6" i="34" s="1"/>
  <c r="E26" i="116"/>
  <c r="D17" i="34" s="1"/>
  <c r="E21" i="116"/>
  <c r="D20" i="34" s="1"/>
  <c r="E28" i="116"/>
  <c r="D19" i="34" s="1"/>
  <c r="E5" i="116"/>
  <c r="D2" i="34" s="1"/>
  <c r="E13" i="116"/>
  <c r="D9" i="34" s="1"/>
  <c r="E17" i="116"/>
  <c r="E29" i="116"/>
  <c r="D26" i="34" s="1"/>
  <c r="E6" i="116"/>
  <c r="D10" i="34" s="1"/>
  <c r="E12" i="116"/>
  <c r="D8" i="34" s="1"/>
  <c r="E27" i="116"/>
  <c r="D18" i="34" s="1"/>
  <c r="AC32" i="116"/>
  <c r="AB23" i="34" s="1"/>
  <c r="AC33" i="116"/>
  <c r="AB24" i="34" s="1"/>
  <c r="AC7" i="116"/>
  <c r="AB11" i="34" s="1"/>
  <c r="AC8" i="116"/>
  <c r="AC9" i="116"/>
  <c r="AB5" i="34" s="1"/>
  <c r="AC10" i="116"/>
  <c r="AB6" i="34" s="1"/>
  <c r="AC11" i="116"/>
  <c r="AB7" i="34" s="1"/>
  <c r="AC5" i="116"/>
  <c r="AB2" i="34" s="1"/>
  <c r="AC13" i="116"/>
  <c r="AB9" i="34" s="1"/>
  <c r="AC4" i="116"/>
  <c r="AB28" i="34" s="1"/>
  <c r="AC17" i="116"/>
  <c r="AB12" i="34" s="1"/>
  <c r="AB29" i="34"/>
  <c r="AC21" i="116"/>
  <c r="AB20" i="34" s="1"/>
  <c r="AC24" i="116"/>
  <c r="AB15" i="34" s="1"/>
  <c r="AC28" i="116"/>
  <c r="AB19" i="34" s="1"/>
  <c r="AC30" i="116"/>
  <c r="AB13" i="34" s="1"/>
  <c r="AC12" i="116"/>
  <c r="AB8" i="34" s="1"/>
  <c r="AC19" i="116"/>
  <c r="AB14" i="34" s="1"/>
  <c r="AC23" i="116"/>
  <c r="AB21" i="34" s="1"/>
  <c r="AC27" i="116"/>
  <c r="AB18" i="34" s="1"/>
  <c r="AC29" i="116"/>
  <c r="AB26" i="34" s="1"/>
  <c r="AC26" i="116"/>
  <c r="AB17" i="34" s="1"/>
  <c r="AC6" i="116"/>
  <c r="AB10" i="34" s="1"/>
  <c r="AC20" i="116"/>
  <c r="AB27" i="34" s="1"/>
  <c r="AC25" i="116"/>
  <c r="AB16" i="34" s="1"/>
  <c r="U32" i="116"/>
  <c r="T23" i="34" s="1"/>
  <c r="U33" i="116"/>
  <c r="T24" i="34" s="1"/>
  <c r="U7" i="116"/>
  <c r="T11" i="34" s="1"/>
  <c r="U8" i="116"/>
  <c r="U9" i="116"/>
  <c r="T5" i="34" s="1"/>
  <c r="U10" i="116"/>
  <c r="T6" i="34" s="1"/>
  <c r="U11" i="116"/>
  <c r="U5" i="116"/>
  <c r="T2" i="34" s="1"/>
  <c r="U13" i="116"/>
  <c r="T9" i="34" s="1"/>
  <c r="U4" i="116"/>
  <c r="T28" i="34" s="1"/>
  <c r="U17" i="116"/>
  <c r="T12" i="34" s="1"/>
  <c r="U21" i="116"/>
  <c r="T20" i="34" s="1"/>
  <c r="U12" i="116"/>
  <c r="T8" i="34" s="1"/>
  <c r="U20" i="116"/>
  <c r="T27" i="34" s="1"/>
  <c r="U29" i="116"/>
  <c r="T26" i="34" s="1"/>
  <c r="U23" i="116"/>
  <c r="T21" i="34" s="1"/>
  <c r="U27" i="116"/>
  <c r="T18" i="34" s="1"/>
  <c r="U28" i="116"/>
  <c r="T19" i="34" s="1"/>
  <c r="U19" i="116"/>
  <c r="T14" i="34" s="1"/>
  <c r="T22" i="34"/>
  <c r="U26" i="116"/>
  <c r="T17" i="34" s="1"/>
  <c r="U30" i="116"/>
  <c r="T13" i="34" s="1"/>
  <c r="U6" i="116"/>
  <c r="T10" i="34" s="1"/>
  <c r="U25" i="116"/>
  <c r="T16" i="34" s="1"/>
  <c r="U24" i="116"/>
  <c r="T15" i="34" s="1"/>
  <c r="M32" i="116"/>
  <c r="L23" i="34" s="1"/>
  <c r="M33" i="116"/>
  <c r="L24" i="34" s="1"/>
  <c r="M7" i="116"/>
  <c r="L11" i="34" s="1"/>
  <c r="M8" i="116"/>
  <c r="M9" i="116"/>
  <c r="L5" i="34" s="1"/>
  <c r="M10" i="116"/>
  <c r="L6" i="34" s="1"/>
  <c r="M11" i="116"/>
  <c r="L7" i="34" s="1"/>
  <c r="M5" i="116"/>
  <c r="L2" i="34" s="1"/>
  <c r="M13" i="116"/>
  <c r="L9" i="34" s="1"/>
  <c r="M4" i="116"/>
  <c r="L28" i="34" s="1"/>
  <c r="M17" i="116"/>
  <c r="L12" i="34" s="1"/>
  <c r="M19" i="116"/>
  <c r="L14" i="34" s="1"/>
  <c r="M26" i="116"/>
  <c r="L17" i="34" s="1"/>
  <c r="M30" i="116"/>
  <c r="L13" i="34" s="1"/>
  <c r="M6" i="116"/>
  <c r="L10" i="34" s="1"/>
  <c r="M24" i="116"/>
  <c r="L15" i="34" s="1"/>
  <c r="M28" i="116"/>
  <c r="L19" i="34" s="1"/>
  <c r="M25" i="116"/>
  <c r="L16" i="34" s="1"/>
  <c r="M29" i="116"/>
  <c r="L26" i="34" s="1"/>
  <c r="L4" i="34"/>
  <c r="M20" i="116"/>
  <c r="L27" i="34" s="1"/>
  <c r="M12" i="116"/>
  <c r="L8" i="34" s="1"/>
  <c r="M21" i="116"/>
  <c r="L20" i="34" s="1"/>
  <c r="M23" i="116"/>
  <c r="L21" i="34" s="1"/>
  <c r="M27" i="116"/>
  <c r="L18" i="34" s="1"/>
  <c r="O33" i="116"/>
  <c r="N24" i="34" s="1"/>
  <c r="O32" i="116"/>
  <c r="O5" i="116"/>
  <c r="N2" i="34" s="1"/>
  <c r="O13" i="116"/>
  <c r="N9" i="34" s="1"/>
  <c r="O4" i="116"/>
  <c r="N28" i="34" s="1"/>
  <c r="O17" i="116"/>
  <c r="N29" i="34"/>
  <c r="O19" i="116"/>
  <c r="N14" i="34" s="1"/>
  <c r="O20" i="116"/>
  <c r="N27" i="34" s="1"/>
  <c r="O21" i="116"/>
  <c r="N22" i="34"/>
  <c r="O23" i="116"/>
  <c r="N21" i="34" s="1"/>
  <c r="O24" i="116"/>
  <c r="N15" i="34" s="1"/>
  <c r="O25" i="116"/>
  <c r="N16" i="34" s="1"/>
  <c r="O26" i="116"/>
  <c r="N17" i="34" s="1"/>
  <c r="O27" i="116"/>
  <c r="N18" i="34" s="1"/>
  <c r="O28" i="116"/>
  <c r="N19" i="34" s="1"/>
  <c r="O29" i="116"/>
  <c r="N26" i="34" s="1"/>
  <c r="O30" i="116"/>
  <c r="N13" i="34" s="1"/>
  <c r="O6" i="116"/>
  <c r="N10" i="34" s="1"/>
  <c r="O7" i="116"/>
  <c r="N11" i="34" s="1"/>
  <c r="O8" i="116"/>
  <c r="O9" i="116"/>
  <c r="N5" i="34" s="1"/>
  <c r="O11" i="116"/>
  <c r="N7" i="34" s="1"/>
  <c r="O10" i="116"/>
  <c r="N6" i="34" s="1"/>
  <c r="O12" i="116"/>
  <c r="N8" i="34" s="1"/>
  <c r="N33" i="116"/>
  <c r="M24" i="34" s="1"/>
  <c r="N32" i="116"/>
  <c r="M23" i="34" s="1"/>
  <c r="N17" i="116"/>
  <c r="M29" i="34"/>
  <c r="N19" i="116"/>
  <c r="M14" i="34" s="1"/>
  <c r="N20" i="116"/>
  <c r="M27" i="34" s="1"/>
  <c r="N21" i="116"/>
  <c r="N23" i="116"/>
  <c r="M21" i="34" s="1"/>
  <c r="N24" i="116"/>
  <c r="M15" i="34" s="1"/>
  <c r="N25" i="116"/>
  <c r="M16" i="34" s="1"/>
  <c r="N26" i="116"/>
  <c r="M17" i="34" s="1"/>
  <c r="N27" i="116"/>
  <c r="M18" i="34" s="1"/>
  <c r="N28" i="116"/>
  <c r="M19" i="34" s="1"/>
  <c r="N29" i="116"/>
  <c r="M26" i="34" s="1"/>
  <c r="N30" i="116"/>
  <c r="M13" i="34" s="1"/>
  <c r="N6" i="116"/>
  <c r="M10" i="34" s="1"/>
  <c r="N7" i="116"/>
  <c r="M11" i="34" s="1"/>
  <c r="N8" i="116"/>
  <c r="N9" i="116"/>
  <c r="M5" i="34" s="1"/>
  <c r="N10" i="116"/>
  <c r="M6" i="34" s="1"/>
  <c r="N12" i="116"/>
  <c r="M8" i="34" s="1"/>
  <c r="N11" i="116"/>
  <c r="N4" i="116"/>
  <c r="M28" i="34" s="1"/>
  <c r="N5" i="116"/>
  <c r="M2" i="34" s="1"/>
  <c r="N13" i="116"/>
  <c r="M9" i="34" s="1"/>
  <c r="AB32" i="116"/>
  <c r="AA23" i="34" s="1"/>
  <c r="AB33" i="116"/>
  <c r="AA24" i="34" s="1"/>
  <c r="AB8" i="116"/>
  <c r="AB9" i="116"/>
  <c r="AA5" i="34" s="1"/>
  <c r="AB10" i="116"/>
  <c r="AA6" i="34" s="1"/>
  <c r="AB11" i="116"/>
  <c r="AA7" i="34" s="1"/>
  <c r="AB12" i="116"/>
  <c r="AA8" i="34" s="1"/>
  <c r="AB17" i="116"/>
  <c r="AA12" i="34" s="1"/>
  <c r="AA29" i="34"/>
  <c r="AB19" i="116"/>
  <c r="AA14" i="34" s="1"/>
  <c r="AB20" i="116"/>
  <c r="AA27" i="34" s="1"/>
  <c r="AB21" i="116"/>
  <c r="AA20" i="34" s="1"/>
  <c r="AB23" i="116"/>
  <c r="AA21" i="34" s="1"/>
  <c r="AB24" i="116"/>
  <c r="AA15" i="34" s="1"/>
  <c r="AB25" i="116"/>
  <c r="AA16" i="34" s="1"/>
  <c r="AB26" i="116"/>
  <c r="AA17" i="34" s="1"/>
  <c r="AB27" i="116"/>
  <c r="AA18" i="34" s="1"/>
  <c r="AB28" i="116"/>
  <c r="AA19" i="34" s="1"/>
  <c r="AB29" i="116"/>
  <c r="AA26" i="34" s="1"/>
  <c r="AB30" i="116"/>
  <c r="AA13" i="34" s="1"/>
  <c r="AB6" i="116"/>
  <c r="AA10" i="34" s="1"/>
  <c r="AB13" i="116"/>
  <c r="AA9" i="34" s="1"/>
  <c r="AB7" i="116"/>
  <c r="AA11" i="34" s="1"/>
  <c r="AB4" i="116"/>
  <c r="AA28" i="34" s="1"/>
  <c r="AB5" i="116"/>
  <c r="AA2" i="34" s="1"/>
  <c r="T32" i="116"/>
  <c r="S23" i="34" s="1"/>
  <c r="T33" i="116"/>
  <c r="S24" i="34" s="1"/>
  <c r="T8" i="116"/>
  <c r="T9" i="116"/>
  <c r="S5" i="34" s="1"/>
  <c r="T10" i="116"/>
  <c r="S6" i="34" s="1"/>
  <c r="T11" i="116"/>
  <c r="S7" i="34" s="1"/>
  <c r="T12" i="116"/>
  <c r="S8" i="34" s="1"/>
  <c r="T17" i="116"/>
  <c r="S12" i="34" s="1"/>
  <c r="S29" i="34"/>
  <c r="T19" i="116"/>
  <c r="S14" i="34" s="1"/>
  <c r="T20" i="116"/>
  <c r="S27" i="34" s="1"/>
  <c r="T21" i="116"/>
  <c r="S20" i="34" s="1"/>
  <c r="S22" i="34"/>
  <c r="T23" i="116"/>
  <c r="S21" i="34" s="1"/>
  <c r="T24" i="116"/>
  <c r="S15" i="34" s="1"/>
  <c r="T25" i="116"/>
  <c r="S16" i="34" s="1"/>
  <c r="T26" i="116"/>
  <c r="S17" i="34" s="1"/>
  <c r="T27" i="116"/>
  <c r="S18" i="34" s="1"/>
  <c r="T28" i="116"/>
  <c r="S19" i="34" s="1"/>
  <c r="T29" i="116"/>
  <c r="S26" i="34" s="1"/>
  <c r="T30" i="116"/>
  <c r="S13" i="34" s="1"/>
  <c r="T6" i="116"/>
  <c r="S10" i="34" s="1"/>
  <c r="T7" i="116"/>
  <c r="S11" i="34" s="1"/>
  <c r="T4" i="116"/>
  <c r="S28" i="34" s="1"/>
  <c r="T5" i="116"/>
  <c r="S2" i="34" s="1"/>
  <c r="T13" i="116"/>
  <c r="S9" i="34" s="1"/>
  <c r="L32" i="116"/>
  <c r="K23" i="34" s="1"/>
  <c r="L33" i="116"/>
  <c r="K24" i="34" s="1"/>
  <c r="L8" i="116"/>
  <c r="L9" i="116"/>
  <c r="K5" i="34" s="1"/>
  <c r="L10" i="116"/>
  <c r="K6" i="34" s="1"/>
  <c r="L11" i="116"/>
  <c r="K7" i="34" s="1"/>
  <c r="L12" i="116"/>
  <c r="K8" i="34" s="1"/>
  <c r="L17" i="116"/>
  <c r="K12" i="34" s="1"/>
  <c r="K29" i="34"/>
  <c r="L19" i="116"/>
  <c r="K14" i="34" s="1"/>
  <c r="L20" i="116"/>
  <c r="K27" i="34" s="1"/>
  <c r="L21" i="116"/>
  <c r="K20" i="34" s="1"/>
  <c r="L23" i="116"/>
  <c r="K21" i="34" s="1"/>
  <c r="L24" i="116"/>
  <c r="K15" i="34" s="1"/>
  <c r="L25" i="116"/>
  <c r="K16" i="34" s="1"/>
  <c r="L26" i="116"/>
  <c r="K17" i="34" s="1"/>
  <c r="L27" i="116"/>
  <c r="K18" i="34" s="1"/>
  <c r="L28" i="116"/>
  <c r="K19" i="34" s="1"/>
  <c r="L29" i="116"/>
  <c r="K26" i="34" s="1"/>
  <c r="L30" i="116"/>
  <c r="K13" i="34" s="1"/>
  <c r="L6" i="116"/>
  <c r="K10" i="34" s="1"/>
  <c r="L4" i="116"/>
  <c r="K28" i="34" s="1"/>
  <c r="L5" i="116"/>
  <c r="K2" i="34" s="1"/>
  <c r="L13" i="116"/>
  <c r="K9" i="34" s="1"/>
  <c r="L7" i="116"/>
  <c r="K11" i="34" s="1"/>
  <c r="H33" i="116"/>
  <c r="G24" i="34" s="1"/>
  <c r="H32" i="116"/>
  <c r="G23" i="34" s="1"/>
  <c r="H12" i="116"/>
  <c r="G8" i="34" s="1"/>
  <c r="H5" i="116"/>
  <c r="G2" i="34" s="1"/>
  <c r="H13" i="116"/>
  <c r="G9" i="34" s="1"/>
  <c r="H4" i="116"/>
  <c r="G28" i="34" s="1"/>
  <c r="H17" i="116"/>
  <c r="G12" i="34" s="1"/>
  <c r="G29" i="34"/>
  <c r="H19" i="116"/>
  <c r="G14" i="34" s="1"/>
  <c r="H20" i="116"/>
  <c r="G27" i="34" s="1"/>
  <c r="H21" i="116"/>
  <c r="G20" i="34" s="1"/>
  <c r="H23" i="116"/>
  <c r="G21" i="34" s="1"/>
  <c r="H24" i="116"/>
  <c r="G15" i="34" s="1"/>
  <c r="H25" i="116"/>
  <c r="G16" i="34" s="1"/>
  <c r="H26" i="116"/>
  <c r="G17" i="34" s="1"/>
  <c r="H27" i="116"/>
  <c r="G18" i="34" s="1"/>
  <c r="H28" i="116"/>
  <c r="G19" i="34" s="1"/>
  <c r="H29" i="116"/>
  <c r="G26" i="34" s="1"/>
  <c r="H30" i="116"/>
  <c r="G13" i="34" s="1"/>
  <c r="H6" i="116"/>
  <c r="G10" i="34" s="1"/>
  <c r="H7" i="116"/>
  <c r="G11" i="34" s="1"/>
  <c r="H8" i="116"/>
  <c r="H10" i="116"/>
  <c r="G6" i="34" s="1"/>
  <c r="H9" i="116"/>
  <c r="G5" i="34" s="1"/>
  <c r="H11" i="116"/>
  <c r="G7" i="34" s="1"/>
  <c r="G32" i="116"/>
  <c r="F23" i="34" s="1"/>
  <c r="G33" i="116"/>
  <c r="F24" i="34" s="1"/>
  <c r="G5" i="116"/>
  <c r="F2" i="34" s="1"/>
  <c r="G13" i="116"/>
  <c r="F9" i="34" s="1"/>
  <c r="G4" i="116"/>
  <c r="F28" i="34" s="1"/>
  <c r="G17" i="116"/>
  <c r="F29" i="34"/>
  <c r="G19" i="116"/>
  <c r="F14" i="34" s="1"/>
  <c r="G20" i="116"/>
  <c r="F27" i="34" s="1"/>
  <c r="G21" i="116"/>
  <c r="F20" i="34" s="1"/>
  <c r="G23" i="116"/>
  <c r="F21" i="34" s="1"/>
  <c r="G24" i="116"/>
  <c r="F15" i="34" s="1"/>
  <c r="G25" i="116"/>
  <c r="F16" i="34" s="1"/>
  <c r="G26" i="116"/>
  <c r="F17" i="34" s="1"/>
  <c r="G27" i="116"/>
  <c r="F18" i="34" s="1"/>
  <c r="G28" i="116"/>
  <c r="F19" i="34" s="1"/>
  <c r="G29" i="116"/>
  <c r="F26" i="34" s="1"/>
  <c r="G30" i="116"/>
  <c r="F13" i="34" s="1"/>
  <c r="G6" i="116"/>
  <c r="F10" i="34" s="1"/>
  <c r="G7" i="116"/>
  <c r="F11" i="34" s="1"/>
  <c r="G8" i="116"/>
  <c r="G9" i="116"/>
  <c r="F5" i="34" s="1"/>
  <c r="G11" i="116"/>
  <c r="F7" i="34" s="1"/>
  <c r="G10" i="116"/>
  <c r="F6" i="34" s="1"/>
  <c r="G12" i="116"/>
  <c r="F8" i="34" s="1"/>
  <c r="F33" i="116"/>
  <c r="E24" i="34" s="1"/>
  <c r="F32" i="116"/>
  <c r="E23" i="34" s="1"/>
  <c r="F17" i="116"/>
  <c r="E12" i="34" s="1"/>
  <c r="E29" i="34"/>
  <c r="F19" i="116"/>
  <c r="E14" i="34" s="1"/>
  <c r="F20" i="116"/>
  <c r="E27" i="34" s="1"/>
  <c r="F21" i="116"/>
  <c r="E20" i="34" s="1"/>
  <c r="E22" i="34"/>
  <c r="F23" i="116"/>
  <c r="E21" i="34" s="1"/>
  <c r="F24" i="116"/>
  <c r="E15" i="34" s="1"/>
  <c r="F25" i="116"/>
  <c r="E16" i="34" s="1"/>
  <c r="F26" i="116"/>
  <c r="E17" i="34" s="1"/>
  <c r="F27" i="116"/>
  <c r="E18" i="34" s="1"/>
  <c r="F28" i="116"/>
  <c r="E19" i="34" s="1"/>
  <c r="F29" i="116"/>
  <c r="E26" i="34" s="1"/>
  <c r="F30" i="116"/>
  <c r="E13" i="34" s="1"/>
  <c r="F6" i="116"/>
  <c r="E10" i="34" s="1"/>
  <c r="E4" i="34"/>
  <c r="F7" i="116"/>
  <c r="E11" i="34" s="1"/>
  <c r="F8" i="116"/>
  <c r="F9" i="116"/>
  <c r="E5" i="34" s="1"/>
  <c r="F10" i="116"/>
  <c r="E6" i="34" s="1"/>
  <c r="F12" i="116"/>
  <c r="E8" i="34" s="1"/>
  <c r="F5" i="116"/>
  <c r="E2" i="34" s="1"/>
  <c r="F13" i="116"/>
  <c r="E9" i="34" s="1"/>
  <c r="F4" i="116"/>
  <c r="E28" i="34" s="1"/>
  <c r="F11" i="116"/>
  <c r="AA32" i="116"/>
  <c r="Z23" i="34" s="1"/>
  <c r="AA33" i="116"/>
  <c r="Z24" i="34" s="1"/>
  <c r="AA9" i="116"/>
  <c r="Z5" i="34" s="1"/>
  <c r="AA21" i="116"/>
  <c r="Z20" i="34" s="1"/>
  <c r="AA10" i="116"/>
  <c r="Z6" i="34" s="1"/>
  <c r="AA11" i="116"/>
  <c r="AA17" i="116"/>
  <c r="Z12" i="34" s="1"/>
  <c r="AA12" i="116"/>
  <c r="Z8" i="34" s="1"/>
  <c r="AA5" i="116"/>
  <c r="Z2" i="34" s="1"/>
  <c r="AA13" i="116"/>
  <c r="Z9" i="34" s="1"/>
  <c r="AA4" i="116"/>
  <c r="Z28" i="34" s="1"/>
  <c r="Z29" i="34"/>
  <c r="AA19" i="116"/>
  <c r="Z14" i="34" s="1"/>
  <c r="AA20" i="116"/>
  <c r="Z27" i="34" s="1"/>
  <c r="AA7" i="116"/>
  <c r="Z11" i="34" s="1"/>
  <c r="AA24" i="116"/>
  <c r="Z15" i="34" s="1"/>
  <c r="AA28" i="116"/>
  <c r="Z19" i="34" s="1"/>
  <c r="AA8" i="116"/>
  <c r="AA23" i="116"/>
  <c r="Z21" i="34" s="1"/>
  <c r="AA27" i="116"/>
  <c r="Z18" i="34" s="1"/>
  <c r="Z22" i="34"/>
  <c r="AA26" i="116"/>
  <c r="Z17" i="34" s="1"/>
  <c r="AA30" i="116"/>
  <c r="Z13" i="34" s="1"/>
  <c r="AA6" i="116"/>
  <c r="Z10" i="34" s="1"/>
  <c r="AA25" i="116"/>
  <c r="Z16" i="34" s="1"/>
  <c r="AA29" i="116"/>
  <c r="Z26" i="34" s="1"/>
  <c r="Z4" i="34"/>
  <c r="S33" i="116"/>
  <c r="R24" i="34" s="1"/>
  <c r="S32" i="116"/>
  <c r="R23" i="34" s="1"/>
  <c r="S9" i="116"/>
  <c r="R5" i="34" s="1"/>
  <c r="S10" i="116"/>
  <c r="R6" i="34" s="1"/>
  <c r="S11" i="116"/>
  <c r="R29" i="34"/>
  <c r="S19" i="116"/>
  <c r="R14" i="34" s="1"/>
  <c r="S20" i="116"/>
  <c r="R27" i="34" s="1"/>
  <c r="S21" i="116"/>
  <c r="R20" i="34" s="1"/>
  <c r="S12" i="116"/>
  <c r="R8" i="34" s="1"/>
  <c r="S17" i="116"/>
  <c r="S5" i="116"/>
  <c r="R2" i="34" s="1"/>
  <c r="S13" i="116"/>
  <c r="R9" i="34" s="1"/>
  <c r="S4" i="116"/>
  <c r="R28" i="34" s="1"/>
  <c r="R22" i="34"/>
  <c r="S7" i="116"/>
  <c r="R11" i="34" s="1"/>
  <c r="S23" i="116"/>
  <c r="R21" i="34" s="1"/>
  <c r="S27" i="116"/>
  <c r="R18" i="34" s="1"/>
  <c r="S26" i="116"/>
  <c r="R17" i="34" s="1"/>
  <c r="S30" i="116"/>
  <c r="R13" i="34" s="1"/>
  <c r="S6" i="116"/>
  <c r="R10" i="34" s="1"/>
  <c r="S25" i="116"/>
  <c r="R16" i="34" s="1"/>
  <c r="S29" i="116"/>
  <c r="R26" i="34" s="1"/>
  <c r="R4" i="34"/>
  <c r="S24" i="116"/>
  <c r="R15" i="34" s="1"/>
  <c r="S28" i="116"/>
  <c r="R19" i="34" s="1"/>
  <c r="S8" i="116"/>
  <c r="K33" i="116"/>
  <c r="J24" i="34" s="1"/>
  <c r="K32" i="116"/>
  <c r="J23" i="34" s="1"/>
  <c r="K9" i="116"/>
  <c r="J5" i="34" s="1"/>
  <c r="J29" i="34"/>
  <c r="K19" i="116"/>
  <c r="J14" i="34" s="1"/>
  <c r="K20" i="116"/>
  <c r="J27" i="34" s="1"/>
  <c r="K21" i="116"/>
  <c r="J20" i="34" s="1"/>
  <c r="K10" i="116"/>
  <c r="J6" i="34" s="1"/>
  <c r="K11" i="116"/>
  <c r="J22" i="34"/>
  <c r="K12" i="116"/>
  <c r="J8" i="34" s="1"/>
  <c r="K5" i="116"/>
  <c r="J2" i="34" s="1"/>
  <c r="K13" i="116"/>
  <c r="J9" i="34" s="1"/>
  <c r="K4" i="116"/>
  <c r="J28" i="34" s="1"/>
  <c r="K17" i="116"/>
  <c r="J12" i="34" s="1"/>
  <c r="K7" i="116"/>
  <c r="J11" i="34" s="1"/>
  <c r="K26" i="116"/>
  <c r="J17" i="34" s="1"/>
  <c r="K30" i="116"/>
  <c r="J13" i="34" s="1"/>
  <c r="K6" i="116"/>
  <c r="J10" i="34" s="1"/>
  <c r="K25" i="116"/>
  <c r="J16" i="34" s="1"/>
  <c r="K29" i="116"/>
  <c r="J26" i="34" s="1"/>
  <c r="J4" i="34"/>
  <c r="K8" i="116"/>
  <c r="K24" i="116"/>
  <c r="J15" i="34" s="1"/>
  <c r="K28" i="116"/>
  <c r="J19" i="34" s="1"/>
  <c r="K23" i="116"/>
  <c r="J21" i="34" s="1"/>
  <c r="K27" i="116"/>
  <c r="J18" i="34" s="1"/>
  <c r="X33" i="116"/>
  <c r="W24" i="34" s="1"/>
  <c r="X32" i="116"/>
  <c r="W23" i="34" s="1"/>
  <c r="X12" i="116"/>
  <c r="W8" i="34" s="1"/>
  <c r="X4" i="116"/>
  <c r="W28" i="34" s="1"/>
  <c r="X5" i="116"/>
  <c r="W2" i="34" s="1"/>
  <c r="X13" i="116"/>
  <c r="W9" i="34" s="1"/>
  <c r="X17" i="116"/>
  <c r="W29" i="34"/>
  <c r="X19" i="116"/>
  <c r="W14" i="34" s="1"/>
  <c r="X20" i="116"/>
  <c r="W27" i="34" s="1"/>
  <c r="X21" i="116"/>
  <c r="W20" i="34" s="1"/>
  <c r="W22" i="34"/>
  <c r="X23" i="116"/>
  <c r="W21" i="34" s="1"/>
  <c r="X24" i="116"/>
  <c r="W15" i="34" s="1"/>
  <c r="X25" i="116"/>
  <c r="W16" i="34" s="1"/>
  <c r="X26" i="116"/>
  <c r="W17" i="34" s="1"/>
  <c r="X27" i="116"/>
  <c r="W18" i="34" s="1"/>
  <c r="X28" i="116"/>
  <c r="W19" i="34" s="1"/>
  <c r="X29" i="116"/>
  <c r="W26" i="34" s="1"/>
  <c r="X30" i="116"/>
  <c r="W13" i="34" s="1"/>
  <c r="X6" i="116"/>
  <c r="W10" i="34" s="1"/>
  <c r="W4" i="34"/>
  <c r="X7" i="116"/>
  <c r="W11" i="34" s="1"/>
  <c r="X8" i="116"/>
  <c r="X10" i="116"/>
  <c r="W6" i="34" s="1"/>
  <c r="X11" i="116"/>
  <c r="X9" i="116"/>
  <c r="W5" i="34" s="1"/>
  <c r="W33" i="116"/>
  <c r="V24" i="34" s="1"/>
  <c r="W32" i="116"/>
  <c r="V23" i="34" s="1"/>
  <c r="W5" i="116"/>
  <c r="V2" i="34" s="1"/>
  <c r="W13" i="116"/>
  <c r="V9" i="34" s="1"/>
  <c r="W4" i="116"/>
  <c r="V28" i="34" s="1"/>
  <c r="W17" i="116"/>
  <c r="V12" i="34" s="1"/>
  <c r="V29" i="34"/>
  <c r="W19" i="116"/>
  <c r="V14" i="34" s="1"/>
  <c r="W20" i="116"/>
  <c r="V27" i="34" s="1"/>
  <c r="W21" i="116"/>
  <c r="V20" i="34" s="1"/>
  <c r="W23" i="116"/>
  <c r="V21" i="34" s="1"/>
  <c r="W24" i="116"/>
  <c r="V15" i="34" s="1"/>
  <c r="W25" i="116"/>
  <c r="V16" i="34" s="1"/>
  <c r="W26" i="116"/>
  <c r="V17" i="34" s="1"/>
  <c r="W27" i="116"/>
  <c r="V18" i="34" s="1"/>
  <c r="W28" i="116"/>
  <c r="V19" i="34" s="1"/>
  <c r="W29" i="116"/>
  <c r="V26" i="34" s="1"/>
  <c r="W30" i="116"/>
  <c r="V13" i="34" s="1"/>
  <c r="W6" i="116"/>
  <c r="V10" i="34" s="1"/>
  <c r="V4" i="34"/>
  <c r="W7" i="116"/>
  <c r="V11" i="34" s="1"/>
  <c r="W8" i="116"/>
  <c r="W9" i="116"/>
  <c r="V5" i="34" s="1"/>
  <c r="W11" i="116"/>
  <c r="W12" i="116"/>
  <c r="V8" i="34" s="1"/>
  <c r="W10" i="116"/>
  <c r="V6" i="34" s="1"/>
  <c r="Z33" i="116"/>
  <c r="Y24" i="34" s="1"/>
  <c r="Z32" i="116"/>
  <c r="Y23" i="34" s="1"/>
  <c r="Z10" i="116"/>
  <c r="Y6" i="34" s="1"/>
  <c r="Z11" i="116"/>
  <c r="Y7" i="34" s="1"/>
  <c r="Z12" i="116"/>
  <c r="Y8" i="34" s="1"/>
  <c r="Z5" i="116"/>
  <c r="Y2" i="34" s="1"/>
  <c r="Z13" i="116"/>
  <c r="Y9" i="34" s="1"/>
  <c r="Z4" i="116"/>
  <c r="Y28" i="34" s="1"/>
  <c r="Z17" i="116"/>
  <c r="Y12" i="34" s="1"/>
  <c r="Y29" i="34"/>
  <c r="Z19" i="116"/>
  <c r="Y14" i="34" s="1"/>
  <c r="Z20" i="116"/>
  <c r="Y27" i="34" s="1"/>
  <c r="Z21" i="116"/>
  <c r="Y20" i="34" s="1"/>
  <c r="Y22" i="34"/>
  <c r="Z23" i="116"/>
  <c r="Y21" i="34" s="1"/>
  <c r="Z24" i="116"/>
  <c r="Y15" i="34" s="1"/>
  <c r="Z25" i="116"/>
  <c r="Y16" i="34" s="1"/>
  <c r="Z26" i="116"/>
  <c r="Y17" i="34" s="1"/>
  <c r="Z27" i="116"/>
  <c r="Y18" i="34" s="1"/>
  <c r="Z28" i="116"/>
  <c r="Y19" i="34" s="1"/>
  <c r="Z29" i="116"/>
  <c r="Y26" i="34" s="1"/>
  <c r="Z30" i="116"/>
  <c r="Y13" i="34" s="1"/>
  <c r="Z6" i="116"/>
  <c r="Y10" i="34" s="1"/>
  <c r="Y4" i="34"/>
  <c r="Z8" i="116"/>
  <c r="Z9" i="116"/>
  <c r="Y5" i="34" s="1"/>
  <c r="Z7" i="116"/>
  <c r="Y11" i="34" s="1"/>
  <c r="R33" i="116"/>
  <c r="Q24" i="34" s="1"/>
  <c r="R32" i="116"/>
  <c r="Q23" i="34" s="1"/>
  <c r="R10" i="116"/>
  <c r="Q6" i="34" s="1"/>
  <c r="R11" i="116"/>
  <c r="Q7" i="34" s="1"/>
  <c r="R12" i="116"/>
  <c r="Q8" i="34" s="1"/>
  <c r="R5" i="116"/>
  <c r="Q2" i="34" s="1"/>
  <c r="R13" i="116"/>
  <c r="Q9" i="34" s="1"/>
  <c r="R4" i="116"/>
  <c r="Q28" i="34" s="1"/>
  <c r="R17" i="116"/>
  <c r="Q12" i="34" s="1"/>
  <c r="Q29" i="34"/>
  <c r="R19" i="116"/>
  <c r="Q14" i="34" s="1"/>
  <c r="R20" i="116"/>
  <c r="Q27" i="34" s="1"/>
  <c r="R21" i="116"/>
  <c r="Q20" i="34" s="1"/>
  <c r="Q22" i="34"/>
  <c r="R23" i="116"/>
  <c r="Q21" i="34" s="1"/>
  <c r="R24" i="116"/>
  <c r="Q15" i="34" s="1"/>
  <c r="R25" i="116"/>
  <c r="Q16" i="34" s="1"/>
  <c r="R26" i="116"/>
  <c r="Q17" i="34" s="1"/>
  <c r="R27" i="116"/>
  <c r="Q18" i="34" s="1"/>
  <c r="R28" i="116"/>
  <c r="Q19" i="34" s="1"/>
  <c r="R29" i="116"/>
  <c r="Q26" i="34" s="1"/>
  <c r="R30" i="116"/>
  <c r="Q13" i="34" s="1"/>
  <c r="R6" i="116"/>
  <c r="Q10" i="34" s="1"/>
  <c r="R8" i="116"/>
  <c r="R7" i="116"/>
  <c r="Q11" i="34" s="1"/>
  <c r="R9" i="116"/>
  <c r="Q5" i="34" s="1"/>
  <c r="J33" i="116"/>
  <c r="I24" i="34" s="1"/>
  <c r="J32" i="116"/>
  <c r="I23" i="34" s="1"/>
  <c r="J10" i="116"/>
  <c r="I6" i="34" s="1"/>
  <c r="J11" i="116"/>
  <c r="I7" i="34" s="1"/>
  <c r="J12" i="116"/>
  <c r="I8" i="34" s="1"/>
  <c r="J5" i="116"/>
  <c r="I2" i="34" s="1"/>
  <c r="J13" i="116"/>
  <c r="I9" i="34" s="1"/>
  <c r="J4" i="116"/>
  <c r="I28" i="34" s="1"/>
  <c r="J17" i="116"/>
  <c r="I29" i="34"/>
  <c r="J19" i="116"/>
  <c r="I14" i="34" s="1"/>
  <c r="J20" i="116"/>
  <c r="I27" i="34" s="1"/>
  <c r="J21" i="116"/>
  <c r="I20" i="34" s="1"/>
  <c r="J23" i="116"/>
  <c r="I21" i="34" s="1"/>
  <c r="J24" i="116"/>
  <c r="I15" i="34" s="1"/>
  <c r="J25" i="116"/>
  <c r="I16" i="34" s="1"/>
  <c r="J26" i="116"/>
  <c r="I17" i="34" s="1"/>
  <c r="J27" i="116"/>
  <c r="I18" i="34" s="1"/>
  <c r="J28" i="116"/>
  <c r="I19" i="34" s="1"/>
  <c r="J29" i="116"/>
  <c r="I26" i="34" s="1"/>
  <c r="J30" i="116"/>
  <c r="I13" i="34" s="1"/>
  <c r="J6" i="116"/>
  <c r="I10" i="34" s="1"/>
  <c r="J8" i="116"/>
  <c r="J9" i="116"/>
  <c r="I5" i="34" s="1"/>
  <c r="J7" i="116"/>
  <c r="I11" i="34" s="1"/>
  <c r="V33" i="116"/>
  <c r="U24" i="34" s="1"/>
  <c r="V32" i="116"/>
  <c r="U23" i="34" s="1"/>
  <c r="V17" i="116"/>
  <c r="U12" i="34" s="1"/>
  <c r="U29" i="34"/>
  <c r="V19" i="116"/>
  <c r="U14" i="34" s="1"/>
  <c r="V20" i="116"/>
  <c r="U27" i="34" s="1"/>
  <c r="V21" i="116"/>
  <c r="U20" i="34" s="1"/>
  <c r="U22" i="34"/>
  <c r="V23" i="116"/>
  <c r="U21" i="34" s="1"/>
  <c r="V24" i="116"/>
  <c r="U15" i="34" s="1"/>
  <c r="V25" i="116"/>
  <c r="U16" i="34" s="1"/>
  <c r="V26" i="116"/>
  <c r="U17" i="34" s="1"/>
  <c r="V27" i="116"/>
  <c r="U18" i="34" s="1"/>
  <c r="V28" i="116"/>
  <c r="U19" i="34" s="1"/>
  <c r="V29" i="116"/>
  <c r="U26" i="34" s="1"/>
  <c r="V30" i="116"/>
  <c r="U13" i="34" s="1"/>
  <c r="V6" i="116"/>
  <c r="U10" i="34" s="1"/>
  <c r="U4" i="34"/>
  <c r="V7" i="116"/>
  <c r="U11" i="34" s="1"/>
  <c r="V8" i="116"/>
  <c r="V9" i="116"/>
  <c r="U5" i="34" s="1"/>
  <c r="V10" i="116"/>
  <c r="U6" i="34" s="1"/>
  <c r="V12" i="116"/>
  <c r="U8" i="34" s="1"/>
  <c r="V11" i="116"/>
  <c r="V4" i="116"/>
  <c r="U28" i="34" s="1"/>
  <c r="V5" i="116"/>
  <c r="U2" i="34" s="1"/>
  <c r="V13" i="116"/>
  <c r="U9" i="34" s="1"/>
  <c r="Y33" i="116"/>
  <c r="X24" i="34" s="1"/>
  <c r="Y32" i="116"/>
  <c r="X23" i="34" s="1"/>
  <c r="Y11" i="116"/>
  <c r="Y12" i="116"/>
  <c r="X8" i="34" s="1"/>
  <c r="Y5" i="116"/>
  <c r="X2" i="34" s="1"/>
  <c r="Y13" i="116"/>
  <c r="X9" i="34" s="1"/>
  <c r="Y4" i="116"/>
  <c r="X28" i="34" s="1"/>
  <c r="Y17" i="116"/>
  <c r="X29" i="34"/>
  <c r="Y19" i="116"/>
  <c r="X14" i="34" s="1"/>
  <c r="Y20" i="116"/>
  <c r="X27" i="34" s="1"/>
  <c r="Y21" i="116"/>
  <c r="X20" i="34" s="1"/>
  <c r="X22" i="34"/>
  <c r="Y23" i="116"/>
  <c r="X21" i="34" s="1"/>
  <c r="Y24" i="116"/>
  <c r="X15" i="34" s="1"/>
  <c r="Y25" i="116"/>
  <c r="X16" i="34" s="1"/>
  <c r="Y26" i="116"/>
  <c r="X17" i="34" s="1"/>
  <c r="Y27" i="116"/>
  <c r="X18" i="34" s="1"/>
  <c r="Y28" i="116"/>
  <c r="X19" i="34" s="1"/>
  <c r="Y29" i="116"/>
  <c r="X26" i="34" s="1"/>
  <c r="Y30" i="116"/>
  <c r="X13" i="34" s="1"/>
  <c r="Y6" i="116"/>
  <c r="X10" i="34" s="1"/>
  <c r="X4" i="34"/>
  <c r="Y7" i="116"/>
  <c r="X11" i="34" s="1"/>
  <c r="Y9" i="116"/>
  <c r="X5" i="34" s="1"/>
  <c r="Y8" i="116"/>
  <c r="Y10" i="116"/>
  <c r="X6" i="34" s="1"/>
  <c r="Q33" i="116"/>
  <c r="P24" i="34" s="1"/>
  <c r="Q32" i="116"/>
  <c r="P23" i="34" s="1"/>
  <c r="Q11" i="116"/>
  <c r="P7" i="34" s="1"/>
  <c r="Q12" i="116"/>
  <c r="P8" i="34" s="1"/>
  <c r="Q5" i="116"/>
  <c r="P2" i="34" s="1"/>
  <c r="Q13" i="116"/>
  <c r="P9" i="34" s="1"/>
  <c r="Q4" i="116"/>
  <c r="P28" i="34" s="1"/>
  <c r="Q17" i="116"/>
  <c r="P12" i="34" s="1"/>
  <c r="P29" i="34"/>
  <c r="Q19" i="116"/>
  <c r="P14" i="34" s="1"/>
  <c r="Q20" i="116"/>
  <c r="P27" i="34" s="1"/>
  <c r="Q21" i="116"/>
  <c r="P20" i="34" s="1"/>
  <c r="Q23" i="116"/>
  <c r="P21" i="34" s="1"/>
  <c r="Q24" i="116"/>
  <c r="P15" i="34" s="1"/>
  <c r="Q25" i="116"/>
  <c r="P16" i="34" s="1"/>
  <c r="Q26" i="116"/>
  <c r="P17" i="34" s="1"/>
  <c r="Q27" i="116"/>
  <c r="P18" i="34" s="1"/>
  <c r="Q28" i="116"/>
  <c r="P19" i="34" s="1"/>
  <c r="Q29" i="116"/>
  <c r="P26" i="34" s="1"/>
  <c r="Q30" i="116"/>
  <c r="P13" i="34" s="1"/>
  <c r="Q6" i="116"/>
  <c r="P10" i="34" s="1"/>
  <c r="Q7" i="116"/>
  <c r="P11" i="34" s="1"/>
  <c r="Q9" i="116"/>
  <c r="P5" i="34" s="1"/>
  <c r="Q10" i="116"/>
  <c r="P6" i="34" s="1"/>
  <c r="Q8" i="116"/>
  <c r="I33" i="116"/>
  <c r="H24" i="34" s="1"/>
  <c r="I32" i="116"/>
  <c r="H23" i="34" s="1"/>
  <c r="I11" i="116"/>
  <c r="H7" i="34" s="1"/>
  <c r="I12" i="116"/>
  <c r="H8" i="34" s="1"/>
  <c r="I5" i="116"/>
  <c r="H2" i="34" s="1"/>
  <c r="I13" i="116"/>
  <c r="H9" i="34" s="1"/>
  <c r="I4" i="116"/>
  <c r="H28" i="34" s="1"/>
  <c r="I17" i="116"/>
  <c r="H12" i="34" s="1"/>
  <c r="H29" i="34"/>
  <c r="I19" i="116"/>
  <c r="H14" i="34" s="1"/>
  <c r="I20" i="116"/>
  <c r="H27" i="34" s="1"/>
  <c r="I21" i="116"/>
  <c r="H20" i="34" s="1"/>
  <c r="H22" i="34"/>
  <c r="I23" i="116"/>
  <c r="H21" i="34" s="1"/>
  <c r="I24" i="116"/>
  <c r="H15" i="34" s="1"/>
  <c r="I25" i="116"/>
  <c r="H16" i="34" s="1"/>
  <c r="I26" i="116"/>
  <c r="H17" i="34" s="1"/>
  <c r="I27" i="116"/>
  <c r="H18" i="34" s="1"/>
  <c r="I28" i="116"/>
  <c r="H19" i="34" s="1"/>
  <c r="I29" i="116"/>
  <c r="H26" i="34" s="1"/>
  <c r="I30" i="116"/>
  <c r="H13" i="34" s="1"/>
  <c r="I6" i="116"/>
  <c r="H10" i="34" s="1"/>
  <c r="I7" i="116"/>
  <c r="H11" i="34" s="1"/>
  <c r="I9" i="116"/>
  <c r="H5" i="34" s="1"/>
  <c r="I10" i="116"/>
  <c r="H6" i="34" s="1"/>
  <c r="I8" i="116"/>
  <c r="AA45" i="34"/>
  <c r="S36" i="34"/>
  <c r="M20" i="34"/>
  <c r="M22" i="34"/>
  <c r="F4" i="34"/>
  <c r="N20" i="34"/>
  <c r="F22" i="34"/>
  <c r="V22" i="34"/>
  <c r="N23" i="34"/>
  <c r="P22" i="34"/>
  <c r="O10" i="34"/>
  <c r="G22" i="34"/>
  <c r="D27" i="34"/>
  <c r="K4" i="34"/>
  <c r="K22" i="34"/>
  <c r="AA22" i="34"/>
  <c r="D12" i="34"/>
  <c r="L22" i="34"/>
  <c r="AB22" i="34"/>
  <c r="D22" i="34"/>
  <c r="I22" i="34"/>
  <c r="K60" i="34"/>
  <c r="K89" i="34" s="1"/>
  <c r="K115" i="34" s="1"/>
  <c r="K32" i="34"/>
  <c r="K52" i="34"/>
  <c r="Y60" i="34"/>
  <c r="Y89" i="34" s="1"/>
  <c r="Y115" i="34" s="1"/>
  <c r="Y52" i="34"/>
  <c r="Q60" i="34"/>
  <c r="Q89" i="34" s="1"/>
  <c r="Q115" i="34" s="1"/>
  <c r="Q52" i="34"/>
  <c r="I60" i="34"/>
  <c r="I89" i="34" s="1"/>
  <c r="I115" i="34" s="1"/>
  <c r="I52" i="34"/>
  <c r="J60" i="34"/>
  <c r="J89" i="34" s="1"/>
  <c r="J115" i="34" s="1"/>
  <c r="J52" i="34"/>
  <c r="J53" i="34"/>
  <c r="X60" i="34"/>
  <c r="X89" i="34" s="1"/>
  <c r="X115" i="34" s="1"/>
  <c r="X52" i="34"/>
  <c r="P60" i="34"/>
  <c r="P89" i="34" s="1"/>
  <c r="P115" i="34" s="1"/>
  <c r="P52" i="34"/>
  <c r="H60" i="34"/>
  <c r="H89" i="34" s="1"/>
  <c r="H115" i="34" s="1"/>
  <c r="H52" i="34"/>
  <c r="AA60" i="34"/>
  <c r="AA89" i="34" s="1"/>
  <c r="AA115" i="34" s="1"/>
  <c r="AA52" i="34"/>
  <c r="Z60" i="34"/>
  <c r="Z89" i="34" s="1"/>
  <c r="Z115" i="34" s="1"/>
  <c r="Z52" i="34"/>
  <c r="W60" i="34"/>
  <c r="W89" i="34" s="1"/>
  <c r="W115" i="34" s="1"/>
  <c r="W52" i="34"/>
  <c r="O60" i="34"/>
  <c r="O89" i="34" s="1"/>
  <c r="O115" i="34" s="1"/>
  <c r="O52" i="34"/>
  <c r="G60" i="34"/>
  <c r="G89" i="34" s="1"/>
  <c r="G115" i="34" s="1"/>
  <c r="G52" i="34"/>
  <c r="R60" i="34"/>
  <c r="R89" i="34" s="1"/>
  <c r="R115" i="34" s="1"/>
  <c r="R52" i="34"/>
  <c r="V60" i="34"/>
  <c r="V89" i="34" s="1"/>
  <c r="V115" i="34" s="1"/>
  <c r="V52" i="34"/>
  <c r="N60" i="34"/>
  <c r="N89" i="34" s="1"/>
  <c r="N115" i="34" s="1"/>
  <c r="N52" i="34"/>
  <c r="F60" i="34"/>
  <c r="F89" i="34" s="1"/>
  <c r="F115" i="34" s="1"/>
  <c r="F52" i="34"/>
  <c r="U60" i="34"/>
  <c r="U89" i="34" s="1"/>
  <c r="U115" i="34" s="1"/>
  <c r="U52" i="34"/>
  <c r="M60" i="34"/>
  <c r="M89" i="34" s="1"/>
  <c r="M115" i="34" s="1"/>
  <c r="M52" i="34"/>
  <c r="E60" i="34"/>
  <c r="E89" i="34" s="1"/>
  <c r="E115" i="34" s="1"/>
  <c r="E52" i="34"/>
  <c r="S60" i="34"/>
  <c r="S89" i="34" s="1"/>
  <c r="S115" i="34" s="1"/>
  <c r="S58" i="34"/>
  <c r="S32" i="34"/>
  <c r="S52" i="34"/>
  <c r="D60" i="34"/>
  <c r="D89" i="34" s="1"/>
  <c r="D115" i="34" s="1"/>
  <c r="D35" i="34"/>
  <c r="D52" i="34"/>
  <c r="T60" i="34"/>
  <c r="T89" i="34" s="1"/>
  <c r="T115" i="34" s="1"/>
  <c r="T52" i="34"/>
  <c r="L60" i="34"/>
  <c r="L89" i="34" s="1"/>
  <c r="L115" i="34" s="1"/>
  <c r="L52" i="34"/>
  <c r="AB60" i="34"/>
  <c r="AB89" i="34" s="1"/>
  <c r="AB115" i="34" s="1"/>
  <c r="AB52" i="34"/>
  <c r="W15" i="116" l="1"/>
  <c r="S15" i="116"/>
  <c r="K15" i="116"/>
  <c r="J15" i="116"/>
  <c r="Y15" i="116"/>
  <c r="H3" i="34"/>
  <c r="I15" i="116"/>
  <c r="Z3" i="34"/>
  <c r="Z62" i="34" s="1"/>
  <c r="Z117" i="34" s="1"/>
  <c r="Z3" i="36" s="1"/>
  <c r="Z111" i="36" s="1"/>
  <c r="AA15" i="116"/>
  <c r="AA3" i="34"/>
  <c r="AB15" i="116"/>
  <c r="N3" i="34"/>
  <c r="O15" i="116"/>
  <c r="Q3" i="34"/>
  <c r="R15" i="116"/>
  <c r="W3" i="34"/>
  <c r="W62" i="34" s="1"/>
  <c r="W117" i="34" s="1"/>
  <c r="W3" i="110" s="1"/>
  <c r="W37" i="110" s="1"/>
  <c r="W54" i="110" s="1"/>
  <c r="X15" i="116"/>
  <c r="E3" i="34"/>
  <c r="F15" i="116"/>
  <c r="F3" i="34"/>
  <c r="G15" i="116"/>
  <c r="G3" i="34"/>
  <c r="H15" i="116"/>
  <c r="E15" i="116"/>
  <c r="U3" i="34"/>
  <c r="V15" i="116"/>
  <c r="M3" i="34"/>
  <c r="N15" i="116"/>
  <c r="P3" i="34"/>
  <c r="Q15" i="116"/>
  <c r="Z15" i="116"/>
  <c r="M15" i="116"/>
  <c r="S3" i="34"/>
  <c r="T15" i="116"/>
  <c r="T3" i="34"/>
  <c r="U15" i="116"/>
  <c r="K3" i="34"/>
  <c r="L15" i="116"/>
  <c r="AB3" i="34"/>
  <c r="AC15" i="116"/>
  <c r="I72" i="34"/>
  <c r="U3" i="85"/>
  <c r="W3" i="85"/>
  <c r="V31" i="85"/>
  <c r="I54" i="34"/>
  <c r="I83" i="34" s="1"/>
  <c r="E31" i="85"/>
  <c r="AA54" i="34"/>
  <c r="AA83" i="34" s="1"/>
  <c r="Z8" i="35" s="1"/>
  <c r="AZ8" i="35" s="1"/>
  <c r="P31" i="85"/>
  <c r="R31" i="85"/>
  <c r="J33" i="34"/>
  <c r="Y3" i="85"/>
  <c r="V54" i="34"/>
  <c r="V83" i="34" s="1"/>
  <c r="U8" i="35" s="1"/>
  <c r="AU8" i="35" s="1"/>
  <c r="L54" i="34"/>
  <c r="L83" i="34" s="1"/>
  <c r="R54" i="34"/>
  <c r="R83" i="34" s="1"/>
  <c r="Q8" i="35" s="1"/>
  <c r="G3" i="85"/>
  <c r="M3" i="85"/>
  <c r="K54" i="34"/>
  <c r="K83" i="34" s="1"/>
  <c r="Z33" i="34"/>
  <c r="D54" i="34"/>
  <c r="D83" i="34" s="1"/>
  <c r="H3" i="85"/>
  <c r="G65" i="34"/>
  <c r="G120" i="34" s="1"/>
  <c r="G6" i="36" s="1"/>
  <c r="G54" i="34"/>
  <c r="G83" i="34" s="1"/>
  <c r="X54" i="34"/>
  <c r="X83" i="34" s="1"/>
  <c r="W8" i="35" s="1"/>
  <c r="AW8" i="35" s="1"/>
  <c r="Y78" i="34"/>
  <c r="Y133" i="34" s="1"/>
  <c r="Y19" i="36" s="1"/>
  <c r="Y127" i="36" s="1"/>
  <c r="R16" i="116"/>
  <c r="V16" i="116"/>
  <c r="W16" i="116"/>
  <c r="AB16" i="116"/>
  <c r="H16" i="116"/>
  <c r="F74" i="34"/>
  <c r="AB54" i="34"/>
  <c r="AB83" i="34" s="1"/>
  <c r="AA8" i="35" s="1"/>
  <c r="AA14" i="35" s="1"/>
  <c r="AB3" i="85"/>
  <c r="AB33" i="34"/>
  <c r="T33" i="34"/>
  <c r="G33" i="34"/>
  <c r="H71" i="34"/>
  <c r="F33" i="34"/>
  <c r="M54" i="34"/>
  <c r="M83" i="34" s="1"/>
  <c r="V3" i="85"/>
  <c r="V33" i="34"/>
  <c r="W54" i="34"/>
  <c r="W83" i="34" s="1"/>
  <c r="V8" i="35" s="1"/>
  <c r="AV8" i="35" s="1"/>
  <c r="J54" i="34"/>
  <c r="J83" i="34" s="1"/>
  <c r="K71" i="34"/>
  <c r="Q58" i="34"/>
  <c r="D58" i="34"/>
  <c r="S71" i="34"/>
  <c r="S126" i="34" s="1"/>
  <c r="AX41" i="110" s="1"/>
  <c r="AX111" i="110" s="1"/>
  <c r="F54" i="34"/>
  <c r="F83" i="34" s="1"/>
  <c r="O31" i="85"/>
  <c r="H54" i="34"/>
  <c r="H83" i="34" s="1"/>
  <c r="Q31" i="85"/>
  <c r="E54" i="34"/>
  <c r="E83" i="34" s="1"/>
  <c r="O54" i="34"/>
  <c r="O83" i="34" s="1"/>
  <c r="U54" i="34"/>
  <c r="U83" i="34" s="1"/>
  <c r="T8" i="35" s="1"/>
  <c r="AT8" i="35" s="1"/>
  <c r="T54" i="34"/>
  <c r="T83" i="34" s="1"/>
  <c r="S8" i="35" s="1"/>
  <c r="AS8" i="35" s="1"/>
  <c r="Q54" i="34"/>
  <c r="Q83" i="34" s="1"/>
  <c r="X33" i="34"/>
  <c r="W74" i="34"/>
  <c r="W129" i="34" s="1"/>
  <c r="W15" i="36" s="1"/>
  <c r="W153" i="36" s="1"/>
  <c r="F73" i="34"/>
  <c r="Z54" i="34"/>
  <c r="Z83" i="34" s="1"/>
  <c r="Y8" i="35" s="1"/>
  <c r="N54" i="34"/>
  <c r="N83" i="34" s="1"/>
  <c r="S3" i="85"/>
  <c r="U58" i="34"/>
  <c r="U87" i="34" s="1"/>
  <c r="O58" i="34"/>
  <c r="N70" i="34"/>
  <c r="P54" i="34"/>
  <c r="P83" i="34" s="1"/>
  <c r="Y54" i="34"/>
  <c r="Y83" i="34" s="1"/>
  <c r="X8" i="35" s="1"/>
  <c r="T71" i="34"/>
  <c r="T126" i="34" s="1"/>
  <c r="AY41" i="110" s="1"/>
  <c r="AY94" i="110" s="1"/>
  <c r="G31" i="85"/>
  <c r="N3" i="85"/>
  <c r="T31" i="85"/>
  <c r="J16" i="85"/>
  <c r="O16" i="85"/>
  <c r="J3" i="85"/>
  <c r="AC16" i="85"/>
  <c r="P16" i="85"/>
  <c r="L16" i="85"/>
  <c r="Z71" i="34"/>
  <c r="Z126" i="34" s="1"/>
  <c r="Z12" i="36" s="1"/>
  <c r="N16" i="85"/>
  <c r="U16" i="85"/>
  <c r="F3" i="85"/>
  <c r="S16" i="85"/>
  <c r="AA31" i="85"/>
  <c r="L31" i="85"/>
  <c r="T3" i="85"/>
  <c r="AB31" i="85"/>
  <c r="T16" i="85"/>
  <c r="W16" i="85"/>
  <c r="M31" i="85"/>
  <c r="P3" i="85"/>
  <c r="X31" i="85"/>
  <c r="Q16" i="85"/>
  <c r="R3" i="85"/>
  <c r="Z31" i="85"/>
  <c r="K31" i="85"/>
  <c r="I16" i="85"/>
  <c r="X16" i="85"/>
  <c r="I3" i="85"/>
  <c r="R16" i="85"/>
  <c r="E16" i="85"/>
  <c r="AB74" i="34"/>
  <c r="AB129" i="34" s="1"/>
  <c r="AB15" i="36" s="1"/>
  <c r="AB153" i="36" s="1"/>
  <c r="S83" i="34"/>
  <c r="R8" i="35" s="1"/>
  <c r="AR8" i="35" s="1"/>
  <c r="N31" i="85"/>
  <c r="H16" i="85"/>
  <c r="F16" i="85"/>
  <c r="AA16" i="85"/>
  <c r="G16" i="85"/>
  <c r="O3" i="85"/>
  <c r="W31" i="85"/>
  <c r="H31" i="85"/>
  <c r="V16" i="85"/>
  <c r="Q3" i="85"/>
  <c r="Y31" i="85"/>
  <c r="J31" i="85"/>
  <c r="Z16" i="85"/>
  <c r="AC31" i="85"/>
  <c r="AB16" i="85"/>
  <c r="M16" i="85"/>
  <c r="X3" i="85"/>
  <c r="I31" i="85"/>
  <c r="Y16" i="85"/>
  <c r="U31" i="85"/>
  <c r="F31" i="85"/>
  <c r="Z3" i="85"/>
  <c r="E3" i="85"/>
  <c r="K16" i="85"/>
  <c r="S31" i="85"/>
  <c r="L3" i="85"/>
  <c r="G71" i="34"/>
  <c r="J78" i="34"/>
  <c r="J133" i="34" s="1"/>
  <c r="J19" i="36" s="1"/>
  <c r="J155" i="36" s="1"/>
  <c r="Q71" i="34"/>
  <c r="U71" i="34"/>
  <c r="U126" i="34" s="1"/>
  <c r="V74" i="34"/>
  <c r="V129" i="34" s="1"/>
  <c r="V15" i="36" s="1"/>
  <c r="L66" i="34"/>
  <c r="T67" i="34"/>
  <c r="T122" i="34" s="1"/>
  <c r="T8" i="36" s="1"/>
  <c r="M68" i="34"/>
  <c r="M123" i="34" s="1"/>
  <c r="M9" i="36" s="1"/>
  <c r="M117" i="36" s="1"/>
  <c r="O77" i="34"/>
  <c r="O132" i="34" s="1"/>
  <c r="O18" i="36" s="1"/>
  <c r="Y74" i="34"/>
  <c r="Y129" i="34" s="1"/>
  <c r="Y15" i="36" s="1"/>
  <c r="Y153" i="36" s="1"/>
  <c r="Y71" i="34"/>
  <c r="Y126" i="34" s="1"/>
  <c r="Y12" i="36" s="1"/>
  <c r="G86" i="34"/>
  <c r="O71" i="34"/>
  <c r="E73" i="34"/>
  <c r="S69" i="34"/>
  <c r="S124" i="34" s="1"/>
  <c r="S10" i="36" s="1"/>
  <c r="S118" i="36" s="1"/>
  <c r="J71" i="34"/>
  <c r="L73" i="34"/>
  <c r="P71" i="34"/>
  <c r="L71" i="34"/>
  <c r="AB71" i="34"/>
  <c r="AB126" i="34" s="1"/>
  <c r="AB12" i="36" s="1"/>
  <c r="V71" i="34"/>
  <c r="V126" i="34" s="1"/>
  <c r="BA41" i="110" s="1"/>
  <c r="BA111" i="110" s="1"/>
  <c r="AA71" i="34"/>
  <c r="AA126" i="34" s="1"/>
  <c r="AA7" i="110" s="1"/>
  <c r="AA41" i="110" s="1"/>
  <c r="W69" i="34"/>
  <c r="W124" i="34" s="1"/>
  <c r="Y79" i="34"/>
  <c r="Y134" i="34" s="1"/>
  <c r="P70" i="34"/>
  <c r="R73" i="34"/>
  <c r="R128" i="34" s="1"/>
  <c r="R9" i="110" s="1"/>
  <c r="R43" i="110" s="1"/>
  <c r="D82" i="34"/>
  <c r="I79" i="34"/>
  <c r="P79" i="34"/>
  <c r="X74" i="34"/>
  <c r="X129" i="34" s="1"/>
  <c r="X15" i="36" s="1"/>
  <c r="X153" i="36" s="1"/>
  <c r="T70" i="34"/>
  <c r="Y68" i="34"/>
  <c r="Y123" i="34" s="1"/>
  <c r="Y9" i="36" s="1"/>
  <c r="Z76" i="34"/>
  <c r="D65" i="34"/>
  <c r="D120" i="34" s="1"/>
  <c r="D6" i="36" s="1"/>
  <c r="O66" i="34"/>
  <c r="V65" i="34"/>
  <c r="V120" i="34" s="1"/>
  <c r="V6" i="36" s="1"/>
  <c r="O65" i="34"/>
  <c r="O120" i="34" s="1"/>
  <c r="O6" i="36" s="1"/>
  <c r="J3" i="116"/>
  <c r="I25" i="34" s="1"/>
  <c r="AB68" i="34"/>
  <c r="AB123" i="34" s="1"/>
  <c r="AB9" i="36" s="1"/>
  <c r="P4" i="34"/>
  <c r="Q16" i="116"/>
  <c r="Y3" i="116"/>
  <c r="X25" i="34" s="1"/>
  <c r="I4" i="34"/>
  <c r="J16" i="116"/>
  <c r="N16" i="116"/>
  <c r="AA4" i="34"/>
  <c r="AA63" i="34" s="1"/>
  <c r="M4" i="34"/>
  <c r="K16" i="116"/>
  <c r="T4" i="34"/>
  <c r="T63" i="34" s="1"/>
  <c r="U16" i="116"/>
  <c r="O4" i="34"/>
  <c r="P16" i="116"/>
  <c r="G4" i="34"/>
  <c r="L65" i="34"/>
  <c r="L120" i="34" s="1"/>
  <c r="L6" i="36" s="1"/>
  <c r="W3" i="116"/>
  <c r="V25" i="34" s="1"/>
  <c r="S16" i="116"/>
  <c r="AA16" i="116"/>
  <c r="L16" i="116"/>
  <c r="N78" i="34"/>
  <c r="N133" i="34" s="1"/>
  <c r="N19" i="36" s="1"/>
  <c r="S3" i="116"/>
  <c r="R25" i="34" s="1"/>
  <c r="N4" i="34"/>
  <c r="O16" i="116"/>
  <c r="E3" i="116"/>
  <c r="D25" i="34" s="1"/>
  <c r="Q4" i="34"/>
  <c r="D3" i="34"/>
  <c r="D62" i="34" s="1"/>
  <c r="T78" i="34"/>
  <c r="T133" i="34" s="1"/>
  <c r="T19" i="36" s="1"/>
  <c r="AB4" i="34"/>
  <c r="AB63" i="34" s="1"/>
  <c r="AC16" i="116"/>
  <c r="D4" i="34"/>
  <c r="E16" i="116"/>
  <c r="E31" i="116"/>
  <c r="H4" i="34"/>
  <c r="I16" i="116"/>
  <c r="Z3" i="116"/>
  <c r="Y25" i="34" s="1"/>
  <c r="S4" i="34"/>
  <c r="S63" i="34" s="1"/>
  <c r="T16" i="116"/>
  <c r="M16" i="116"/>
  <c r="Y16" i="116"/>
  <c r="X3" i="34"/>
  <c r="Z16" i="116"/>
  <c r="X16" i="116"/>
  <c r="F16" i="116"/>
  <c r="G16" i="116"/>
  <c r="L78" i="34"/>
  <c r="L133" i="34" s="1"/>
  <c r="L19" i="36" s="1"/>
  <c r="E67" i="34"/>
  <c r="E122" i="34" s="1"/>
  <c r="E8" i="36" s="1"/>
  <c r="G68" i="34"/>
  <c r="G123" i="34" s="1"/>
  <c r="G9" i="36" s="1"/>
  <c r="AB65" i="34"/>
  <c r="AB120" i="34" s="1"/>
  <c r="AB6" i="36" s="1"/>
  <c r="S87" i="34"/>
  <c r="U76" i="34"/>
  <c r="W67" i="34"/>
  <c r="W122" i="34" s="1"/>
  <c r="L68" i="34"/>
  <c r="L123" i="34" s="1"/>
  <c r="L9" i="36" s="1"/>
  <c r="T65" i="34"/>
  <c r="T120" i="34" s="1"/>
  <c r="T6" i="36" s="1"/>
  <c r="AB78" i="34"/>
  <c r="AB133" i="34" s="1"/>
  <c r="AB19" i="36" s="1"/>
  <c r="O68" i="34"/>
  <c r="O123" i="34" s="1"/>
  <c r="O9" i="36" s="1"/>
  <c r="V77" i="34"/>
  <c r="V132" i="34" s="1"/>
  <c r="V18" i="36" s="1"/>
  <c r="I68" i="34"/>
  <c r="I123" i="34" s="1"/>
  <c r="I9" i="36" s="1"/>
  <c r="P68" i="34"/>
  <c r="P123" i="34" s="1"/>
  <c r="P9" i="36" s="1"/>
  <c r="N68" i="34"/>
  <c r="N123" i="34" s="1"/>
  <c r="N9" i="36" s="1"/>
  <c r="L77" i="34"/>
  <c r="L132" i="34" s="1"/>
  <c r="L18" i="36" s="1"/>
  <c r="L67" i="34"/>
  <c r="L122" i="34" s="1"/>
  <c r="Z65" i="34"/>
  <c r="Z120" i="34" s="1"/>
  <c r="Z6" i="36" s="1"/>
  <c r="X77" i="34"/>
  <c r="X132" i="34" s="1"/>
  <c r="X18" i="36" s="1"/>
  <c r="F79" i="34"/>
  <c r="M79" i="34"/>
  <c r="Z70" i="34"/>
  <c r="P69" i="34"/>
  <c r="W79" i="34"/>
  <c r="W134" i="34" s="1"/>
  <c r="W11" i="110" s="1"/>
  <c r="W45" i="110" s="1"/>
  <c r="N79" i="34"/>
  <c r="AA69" i="34"/>
  <c r="AA124" i="34" s="1"/>
  <c r="Q70" i="34"/>
  <c r="T73" i="34"/>
  <c r="T128" i="34" s="1"/>
  <c r="T79" i="34"/>
  <c r="T134" i="34" s="1"/>
  <c r="T11" i="110" s="1"/>
  <c r="T45" i="110" s="1"/>
  <c r="G74" i="34"/>
  <c r="G129" i="34" s="1"/>
  <c r="G15" i="36" s="1"/>
  <c r="G153" i="36" s="1"/>
  <c r="N69" i="34"/>
  <c r="X69" i="34"/>
  <c r="X124" i="34" s="1"/>
  <c r="G69" i="34"/>
  <c r="AB73" i="34"/>
  <c r="AB128" i="34" s="1"/>
  <c r="AB14" i="36" s="1"/>
  <c r="AB122" i="36" s="1"/>
  <c r="Z73" i="34"/>
  <c r="Z128" i="34" s="1"/>
  <c r="Z9" i="110" s="1"/>
  <c r="Z43" i="110" s="1"/>
  <c r="O73" i="34"/>
  <c r="U73" i="34"/>
  <c r="U128" i="34" s="1"/>
  <c r="U9" i="110" s="1"/>
  <c r="U43" i="110" s="1"/>
  <c r="AA75" i="34"/>
  <c r="AA130" i="34" s="1"/>
  <c r="AA16" i="36" s="1"/>
  <c r="AA125" i="36" s="1"/>
  <c r="T77" i="34"/>
  <c r="T132" i="34" s="1"/>
  <c r="T18" i="36" s="1"/>
  <c r="D76" i="34"/>
  <c r="M31" i="116"/>
  <c r="M3" i="116"/>
  <c r="L25" i="34" s="1"/>
  <c r="K77" i="34"/>
  <c r="K132" i="34" s="1"/>
  <c r="K18" i="36" s="1"/>
  <c r="E68" i="34"/>
  <c r="E123" i="34" s="1"/>
  <c r="E9" i="36" s="1"/>
  <c r="E117" i="36" s="1"/>
  <c r="R3" i="34"/>
  <c r="R62" i="34" s="1"/>
  <c r="R117" i="34" s="1"/>
  <c r="R3" i="36" s="1"/>
  <c r="R111" i="36" s="1"/>
  <c r="J79" i="34"/>
  <c r="AA74" i="34"/>
  <c r="Q73" i="34"/>
  <c r="L79" i="34"/>
  <c r="R74" i="34"/>
  <c r="O70" i="34"/>
  <c r="M69" i="34"/>
  <c r="AB69" i="34"/>
  <c r="AB124" i="34" s="1"/>
  <c r="Y70" i="34"/>
  <c r="I70" i="34"/>
  <c r="D71" i="34"/>
  <c r="T74" i="34"/>
  <c r="F69" i="34"/>
  <c r="AA73" i="34"/>
  <c r="AA128" i="34" s="1"/>
  <c r="AA14" i="36" s="1"/>
  <c r="AA150" i="36" s="1"/>
  <c r="S70" i="34"/>
  <c r="AA70" i="34"/>
  <c r="Q74" i="34"/>
  <c r="Q129" i="34" s="1"/>
  <c r="Q15" i="36" s="1"/>
  <c r="Q153" i="36" s="1"/>
  <c r="S79" i="34"/>
  <c r="S134" i="34" s="1"/>
  <c r="S11" i="110" s="1"/>
  <c r="S45" i="110" s="1"/>
  <c r="Z79" i="34"/>
  <c r="Z134" i="34" s="1"/>
  <c r="Z20" i="36" s="1"/>
  <c r="Z128" i="36" s="1"/>
  <c r="K73" i="34"/>
  <c r="I69" i="34"/>
  <c r="O69" i="34"/>
  <c r="V73" i="34"/>
  <c r="V128" i="34" s="1"/>
  <c r="V9" i="110" s="1"/>
  <c r="V43" i="110" s="1"/>
  <c r="L69" i="34"/>
  <c r="Y69" i="34"/>
  <c r="Y124" i="34" s="1"/>
  <c r="Y6" i="110" s="1"/>
  <c r="Y40" i="110" s="1"/>
  <c r="Y73" i="34"/>
  <c r="Y128" i="34" s="1"/>
  <c r="Y9" i="110" s="1"/>
  <c r="Y43" i="110" s="1"/>
  <c r="V79" i="34"/>
  <c r="V134" i="34" s="1"/>
  <c r="V11" i="110" s="1"/>
  <c r="V45" i="110" s="1"/>
  <c r="X70" i="34"/>
  <c r="U70" i="34"/>
  <c r="N73" i="34"/>
  <c r="D70" i="34"/>
  <c r="N82" i="34"/>
  <c r="U82" i="34"/>
  <c r="K69" i="34"/>
  <c r="R79" i="34"/>
  <c r="R134" i="34" s="1"/>
  <c r="R20" i="36" s="1"/>
  <c r="R128" i="36" s="1"/>
  <c r="AB79" i="34"/>
  <c r="AB134" i="34" s="1"/>
  <c r="AB20" i="36" s="1"/>
  <c r="AB128" i="36" s="1"/>
  <c r="K74" i="34"/>
  <c r="K129" i="34" s="1"/>
  <c r="K15" i="36" s="1"/>
  <c r="D79" i="34"/>
  <c r="H74" i="34"/>
  <c r="H129" i="34" s="1"/>
  <c r="H15" i="36" s="1"/>
  <c r="H153" i="36" s="1"/>
  <c r="H70" i="34"/>
  <c r="J69" i="34"/>
  <c r="Z80" i="34"/>
  <c r="Q69" i="34"/>
  <c r="G82" i="34"/>
  <c r="O79" i="34"/>
  <c r="U74" i="34"/>
  <c r="M70" i="34"/>
  <c r="AB77" i="34"/>
  <c r="AB132" i="34" s="1"/>
  <c r="AB18" i="36" s="1"/>
  <c r="O78" i="34"/>
  <c r="O133" i="34" s="1"/>
  <c r="O19" i="36" s="1"/>
  <c r="D73" i="34"/>
  <c r="O74" i="34"/>
  <c r="O129" i="34" s="1"/>
  <c r="O15" i="36" s="1"/>
  <c r="O153" i="36" s="1"/>
  <c r="T81" i="34"/>
  <c r="T136" i="34" s="1"/>
  <c r="S81" i="34"/>
  <c r="S136" i="34" s="1"/>
  <c r="G79" i="34"/>
  <c r="K67" i="34"/>
  <c r="K122" i="34" s="1"/>
  <c r="AA65" i="34"/>
  <c r="AA120" i="34" s="1"/>
  <c r="AA6" i="36" s="1"/>
  <c r="O75" i="34"/>
  <c r="O130" i="34" s="1"/>
  <c r="O16" i="36" s="1"/>
  <c r="O125" i="36" s="1"/>
  <c r="P73" i="34"/>
  <c r="I73" i="34"/>
  <c r="Q81" i="34"/>
  <c r="W70" i="34"/>
  <c r="J82" i="34"/>
  <c r="R69" i="34"/>
  <c r="R124" i="34" s="1"/>
  <c r="Z69" i="34"/>
  <c r="Z124" i="34" s="1"/>
  <c r="Z74" i="34"/>
  <c r="E70" i="34"/>
  <c r="F70" i="34"/>
  <c r="G73" i="34"/>
  <c r="K79" i="34"/>
  <c r="S74" i="34"/>
  <c r="M73" i="34"/>
  <c r="H69" i="34"/>
  <c r="L70" i="34"/>
  <c r="P80" i="34"/>
  <c r="D69" i="34"/>
  <c r="I74" i="34"/>
  <c r="I129" i="34" s="1"/>
  <c r="I15" i="36" s="1"/>
  <c r="I153" i="36" s="1"/>
  <c r="R70" i="34"/>
  <c r="T68" i="34"/>
  <c r="T123" i="34" s="1"/>
  <c r="T9" i="36" s="1"/>
  <c r="J74" i="34"/>
  <c r="J129" i="34" s="1"/>
  <c r="J15" i="36" s="1"/>
  <c r="J153" i="36" s="1"/>
  <c r="E69" i="34"/>
  <c r="G70" i="34"/>
  <c r="Y85" i="34"/>
  <c r="Q82" i="34"/>
  <c r="Y82" i="34"/>
  <c r="T69" i="34"/>
  <c r="T124" i="34" s="1"/>
  <c r="T10" i="36" s="1"/>
  <c r="T146" i="36" s="1"/>
  <c r="W73" i="34"/>
  <c r="W128" i="34" s="1"/>
  <c r="W9" i="110" s="1"/>
  <c r="W43" i="110" s="1"/>
  <c r="F66" i="34"/>
  <c r="H79" i="34"/>
  <c r="P74" i="34"/>
  <c r="P129" i="34" s="1"/>
  <c r="P15" i="36" s="1"/>
  <c r="P153" i="36" s="1"/>
  <c r="X73" i="34"/>
  <c r="X128" i="34" s="1"/>
  <c r="X14" i="36" s="1"/>
  <c r="X122" i="36" s="1"/>
  <c r="M74" i="34"/>
  <c r="M129" i="34" s="1"/>
  <c r="M15" i="36" s="1"/>
  <c r="M153" i="36" s="1"/>
  <c r="T82" i="34"/>
  <c r="K70" i="34"/>
  <c r="O80" i="34"/>
  <c r="U79" i="34"/>
  <c r="U134" i="34" s="1"/>
  <c r="U11" i="110" s="1"/>
  <c r="U45" i="110" s="1"/>
  <c r="P31" i="116"/>
  <c r="S68" i="34"/>
  <c r="S123" i="34" s="1"/>
  <c r="S9" i="36" s="1"/>
  <c r="J77" i="34"/>
  <c r="J132" i="34" s="1"/>
  <c r="J18" i="36" s="1"/>
  <c r="Z75" i="34"/>
  <c r="Z130" i="34" s="1"/>
  <c r="Z16" i="36" s="1"/>
  <c r="Z125" i="36" s="1"/>
  <c r="R3" i="116"/>
  <c r="Q25" i="34" s="1"/>
  <c r="W31" i="116"/>
  <c r="E7" i="34"/>
  <c r="E66" i="34" s="1"/>
  <c r="F3" i="116"/>
  <c r="E25" i="34" s="1"/>
  <c r="G3" i="116"/>
  <c r="F25" i="34" s="1"/>
  <c r="U3" i="116"/>
  <c r="T25" i="34" s="1"/>
  <c r="S76" i="34"/>
  <c r="Y67" i="34"/>
  <c r="Y122" i="34" s="1"/>
  <c r="G78" i="34"/>
  <c r="G133" i="34" s="1"/>
  <c r="G19" i="36" s="1"/>
  <c r="W7" i="34"/>
  <c r="K65" i="34"/>
  <c r="K120" i="34" s="1"/>
  <c r="K6" i="36" s="1"/>
  <c r="Z78" i="34"/>
  <c r="Z133" i="34" s="1"/>
  <c r="Z19" i="36" s="1"/>
  <c r="N3" i="116"/>
  <c r="M25" i="34" s="1"/>
  <c r="S66" i="34"/>
  <c r="AA78" i="34"/>
  <c r="AA133" i="34" s="1"/>
  <c r="AA19" i="36" s="1"/>
  <c r="E76" i="34"/>
  <c r="U75" i="34"/>
  <c r="U130" i="34" s="1"/>
  <c r="U16" i="36" s="1"/>
  <c r="U125" i="36" s="1"/>
  <c r="J76" i="34"/>
  <c r="L31" i="116"/>
  <c r="H66" i="34"/>
  <c r="F67" i="34"/>
  <c r="F122" i="34" s="1"/>
  <c r="U7" i="34"/>
  <c r="U66" i="34" s="1"/>
  <c r="F12" i="34"/>
  <c r="F71" i="34" s="1"/>
  <c r="L3" i="34"/>
  <c r="U31" i="116"/>
  <c r="T29" i="34"/>
  <c r="T87" i="34" s="1"/>
  <c r="D7" i="34"/>
  <c r="D66" i="34" s="1"/>
  <c r="T7" i="34"/>
  <c r="U85" i="34"/>
  <c r="Q68" i="34"/>
  <c r="Q123" i="34" s="1"/>
  <c r="Q9" i="36" s="1"/>
  <c r="N65" i="34"/>
  <c r="N120" i="34" s="1"/>
  <c r="N6" i="36" s="1"/>
  <c r="I66" i="34"/>
  <c r="P67" i="34"/>
  <c r="P122" i="34" s="1"/>
  <c r="X67" i="34"/>
  <c r="X122" i="34" s="1"/>
  <c r="J72" i="34"/>
  <c r="R7" i="34"/>
  <c r="R66" i="34" s="1"/>
  <c r="Y3" i="34"/>
  <c r="Y62" i="34" s="1"/>
  <c r="Y117" i="34" s="1"/>
  <c r="Y3" i="110" s="1"/>
  <c r="Y37" i="110" s="1"/>
  <c r="Y54" i="110" s="1"/>
  <c r="Q66" i="34"/>
  <c r="M77" i="34"/>
  <c r="M132" i="34" s="1"/>
  <c r="M18" i="36" s="1"/>
  <c r="G67" i="34"/>
  <c r="G122" i="34" s="1"/>
  <c r="X7" i="34"/>
  <c r="I12" i="34"/>
  <c r="I71" i="34" s="1"/>
  <c r="R12" i="34"/>
  <c r="Z7" i="34"/>
  <c r="Z66" i="34" s="1"/>
  <c r="M12" i="34"/>
  <c r="M71" i="34" s="1"/>
  <c r="E77" i="34"/>
  <c r="E132" i="34" s="1"/>
  <c r="E18" i="36" s="1"/>
  <c r="N66" i="34"/>
  <c r="Q72" i="34"/>
  <c r="E75" i="34"/>
  <c r="E130" i="34" s="1"/>
  <c r="E16" i="36" s="1"/>
  <c r="E125" i="36" s="1"/>
  <c r="V76" i="34"/>
  <c r="I65" i="34"/>
  <c r="I120" i="34" s="1"/>
  <c r="I6" i="36" s="1"/>
  <c r="W76" i="34"/>
  <c r="Z68" i="34"/>
  <c r="Z123" i="34" s="1"/>
  <c r="Z9" i="36" s="1"/>
  <c r="H76" i="34"/>
  <c r="P77" i="34"/>
  <c r="P132" i="34" s="1"/>
  <c r="P18" i="36" s="1"/>
  <c r="W72" i="34"/>
  <c r="K3" i="116"/>
  <c r="J25" i="34" s="1"/>
  <c r="J3" i="34"/>
  <c r="P3" i="116"/>
  <c r="O25" i="34" s="1"/>
  <c r="O3" i="34"/>
  <c r="R75" i="34"/>
  <c r="R130" i="34" s="1"/>
  <c r="R16" i="36" s="1"/>
  <c r="R125" i="36" s="1"/>
  <c r="O29" i="34"/>
  <c r="H72" i="34"/>
  <c r="N12" i="34"/>
  <c r="N71" i="34" s="1"/>
  <c r="U72" i="34"/>
  <c r="L29" i="34"/>
  <c r="H67" i="34"/>
  <c r="H122" i="34" s="1"/>
  <c r="P78" i="34"/>
  <c r="P133" i="34" s="1"/>
  <c r="P19" i="36" s="1"/>
  <c r="W12" i="34"/>
  <c r="K66" i="34"/>
  <c r="S78" i="34"/>
  <c r="S133" i="34" s="1"/>
  <c r="S19" i="36" s="1"/>
  <c r="AB66" i="34"/>
  <c r="L75" i="34"/>
  <c r="L130" i="34" s="1"/>
  <c r="L16" i="36" s="1"/>
  <c r="L125" i="36" s="1"/>
  <c r="Y65" i="34"/>
  <c r="Y120" i="34" s="1"/>
  <c r="Y6" i="36" s="1"/>
  <c r="F65" i="34"/>
  <c r="F120" i="34" s="1"/>
  <c r="F6" i="36" s="1"/>
  <c r="Y87" i="34"/>
  <c r="I3" i="34"/>
  <c r="X72" i="34"/>
  <c r="S65" i="34"/>
  <c r="S120" i="34" s="1"/>
  <c r="S6" i="36" s="1"/>
  <c r="Q67" i="34"/>
  <c r="Q122" i="34" s="1"/>
  <c r="J65" i="34"/>
  <c r="J120" i="34" s="1"/>
  <c r="J6" i="36" s="1"/>
  <c r="Y75" i="34"/>
  <c r="Y130" i="34" s="1"/>
  <c r="Y16" i="36" s="1"/>
  <c r="Y125" i="36" s="1"/>
  <c r="R76" i="34"/>
  <c r="E65" i="34"/>
  <c r="E120" i="34" s="1"/>
  <c r="E6" i="36" s="1"/>
  <c r="M65" i="34"/>
  <c r="M120" i="34" s="1"/>
  <c r="M6" i="36" s="1"/>
  <c r="F76" i="34"/>
  <c r="V78" i="34"/>
  <c r="V133" i="34" s="1"/>
  <c r="V19" i="36" s="1"/>
  <c r="V75" i="34"/>
  <c r="V130" i="34" s="1"/>
  <c r="V16" i="36" s="1"/>
  <c r="V125" i="36" s="1"/>
  <c r="I78" i="34"/>
  <c r="I133" i="34" s="1"/>
  <c r="I19" i="36" s="1"/>
  <c r="W77" i="34"/>
  <c r="W132" i="34" s="1"/>
  <c r="W18" i="36" s="1"/>
  <c r="X68" i="34"/>
  <c r="X123" i="34" s="1"/>
  <c r="X9" i="36" s="1"/>
  <c r="X65" i="34"/>
  <c r="X120" i="34" s="1"/>
  <c r="X6" i="36" s="1"/>
  <c r="V7" i="34"/>
  <c r="V3" i="34"/>
  <c r="K68" i="34"/>
  <c r="K123" i="34" s="1"/>
  <c r="K9" i="36" s="1"/>
  <c r="AA66" i="34"/>
  <c r="Q65" i="34"/>
  <c r="Q120" i="34" s="1"/>
  <c r="Q6" i="36" s="1"/>
  <c r="AB76" i="34"/>
  <c r="AB67" i="34"/>
  <c r="AB122" i="34" s="1"/>
  <c r="D67" i="34"/>
  <c r="D122" i="34" s="1"/>
  <c r="D8" i="36" s="1"/>
  <c r="Y66" i="34"/>
  <c r="Y76" i="34"/>
  <c r="R67" i="34"/>
  <c r="R122" i="34" s="1"/>
  <c r="M67" i="34"/>
  <c r="M122" i="34" s="1"/>
  <c r="M76" i="34"/>
  <c r="U78" i="34"/>
  <c r="U133" i="34" s="1"/>
  <c r="U19" i="36" s="1"/>
  <c r="U68" i="34"/>
  <c r="U123" i="34" s="1"/>
  <c r="U9" i="36" s="1"/>
  <c r="F78" i="34"/>
  <c r="F133" i="34" s="1"/>
  <c r="F19" i="36" s="1"/>
  <c r="I76" i="34"/>
  <c r="G75" i="34"/>
  <c r="G130" i="34" s="1"/>
  <c r="G16" i="36" s="1"/>
  <c r="G125" i="36" s="1"/>
  <c r="O67" i="34"/>
  <c r="O122" i="34" s="1"/>
  <c r="W65" i="34"/>
  <c r="W120" i="34" s="1"/>
  <c r="W6" i="36" s="1"/>
  <c r="H68" i="34"/>
  <c r="H123" i="34" s="1"/>
  <c r="H9" i="36" s="1"/>
  <c r="H78" i="34"/>
  <c r="H133" i="34" s="1"/>
  <c r="H19" i="36" s="1"/>
  <c r="P75" i="34"/>
  <c r="P130" i="34" s="1"/>
  <c r="P16" i="36" s="1"/>
  <c r="P125" i="36" s="1"/>
  <c r="Q31" i="116"/>
  <c r="J31" i="116"/>
  <c r="H3" i="116"/>
  <c r="G25" i="34" s="1"/>
  <c r="H31" i="116"/>
  <c r="L3" i="116"/>
  <c r="K25" i="34" s="1"/>
  <c r="AB31" i="116"/>
  <c r="N31" i="116"/>
  <c r="J7" i="34"/>
  <c r="O3" i="116"/>
  <c r="N25" i="34" s="1"/>
  <c r="O31" i="116"/>
  <c r="K78" i="34"/>
  <c r="K133" i="34" s="1"/>
  <c r="K19" i="36" s="1"/>
  <c r="S77" i="34"/>
  <c r="S132" i="34" s="1"/>
  <c r="S18" i="36" s="1"/>
  <c r="AA76" i="34"/>
  <c r="Q75" i="34"/>
  <c r="Q130" i="34" s="1"/>
  <c r="Q16" i="36" s="1"/>
  <c r="Q125" i="36" s="1"/>
  <c r="Q77" i="34"/>
  <c r="Q132" i="34" s="1"/>
  <c r="Q18" i="36" s="1"/>
  <c r="J68" i="34"/>
  <c r="J123" i="34" s="1"/>
  <c r="J9" i="36" s="1"/>
  <c r="AB75" i="34"/>
  <c r="AB130" i="34" s="1"/>
  <c r="AB16" i="36" s="1"/>
  <c r="AB125" i="36" s="1"/>
  <c r="L76" i="34"/>
  <c r="D77" i="34"/>
  <c r="D132" i="34" s="1"/>
  <c r="D18" i="36" s="1"/>
  <c r="R65" i="34"/>
  <c r="R120" i="34" s="1"/>
  <c r="R6" i="36" s="1"/>
  <c r="R77" i="34"/>
  <c r="R132" i="34" s="1"/>
  <c r="R18" i="36" s="1"/>
  <c r="E78" i="34"/>
  <c r="E133" i="34" s="1"/>
  <c r="E19" i="36" s="1"/>
  <c r="U77" i="34"/>
  <c r="U132" i="34" s="1"/>
  <c r="U18" i="36" s="1"/>
  <c r="U65" i="34"/>
  <c r="U120" i="34" s="1"/>
  <c r="U6" i="36" s="1"/>
  <c r="F77" i="34"/>
  <c r="F132" i="34" s="1"/>
  <c r="F18" i="36" s="1"/>
  <c r="N76" i="34"/>
  <c r="V68" i="34"/>
  <c r="V123" i="34" s="1"/>
  <c r="V9" i="36" s="1"/>
  <c r="I75" i="34"/>
  <c r="I130" i="34" s="1"/>
  <c r="I16" i="36" s="1"/>
  <c r="I125" i="36" s="1"/>
  <c r="G66" i="34"/>
  <c r="W68" i="34"/>
  <c r="W123" i="34" s="1"/>
  <c r="W9" i="36" s="1"/>
  <c r="Z77" i="34"/>
  <c r="Z132" i="34" s="1"/>
  <c r="Z18" i="36" s="1"/>
  <c r="H77" i="34"/>
  <c r="H132" i="34" s="1"/>
  <c r="H18" i="36" s="1"/>
  <c r="P66" i="34"/>
  <c r="I3" i="116"/>
  <c r="H25" i="34" s="1"/>
  <c r="Y31" i="116"/>
  <c r="V3" i="116"/>
  <c r="U25" i="34" s="1"/>
  <c r="V31" i="116"/>
  <c r="R31" i="116"/>
  <c r="AA31" i="116"/>
  <c r="T3" i="116"/>
  <c r="S25" i="34" s="1"/>
  <c r="K76" i="34"/>
  <c r="S75" i="34"/>
  <c r="S130" i="34" s="1"/>
  <c r="S16" i="36" s="1"/>
  <c r="S125" i="36" s="1"/>
  <c r="AA77" i="34"/>
  <c r="AA132" i="34" s="1"/>
  <c r="AA18" i="36" s="1"/>
  <c r="AA67" i="34"/>
  <c r="AA122" i="34" s="1"/>
  <c r="Q78" i="34"/>
  <c r="Q133" i="34" s="1"/>
  <c r="Q19" i="36" s="1"/>
  <c r="J75" i="34"/>
  <c r="J130" i="34" s="1"/>
  <c r="J16" i="36" s="1"/>
  <c r="J125" i="36" s="1"/>
  <c r="T76" i="34"/>
  <c r="D78" i="34"/>
  <c r="D133" i="34" s="1"/>
  <c r="D19" i="36" s="1"/>
  <c r="D75" i="34"/>
  <c r="D130" i="34" s="1"/>
  <c r="D16" i="36" s="1"/>
  <c r="D125" i="36" s="1"/>
  <c r="Y77" i="34"/>
  <c r="Y132" i="34" s="1"/>
  <c r="Y18" i="36" s="1"/>
  <c r="R68" i="34"/>
  <c r="R123" i="34" s="1"/>
  <c r="R9" i="36" s="1"/>
  <c r="M78" i="34"/>
  <c r="M133" i="34" s="1"/>
  <c r="M19" i="36" s="1"/>
  <c r="U67" i="34"/>
  <c r="U122" i="34" s="1"/>
  <c r="F68" i="34"/>
  <c r="F123" i="34" s="1"/>
  <c r="F9" i="36" s="1"/>
  <c r="N75" i="34"/>
  <c r="N130" i="34" s="1"/>
  <c r="N16" i="36" s="1"/>
  <c r="N125" i="36" s="1"/>
  <c r="V67" i="34"/>
  <c r="V122" i="34" s="1"/>
  <c r="I67" i="34"/>
  <c r="I122" i="34" s="1"/>
  <c r="I77" i="34"/>
  <c r="I132" i="34" s="1"/>
  <c r="I18" i="36" s="1"/>
  <c r="G76" i="34"/>
  <c r="O76" i="34"/>
  <c r="W78" i="34"/>
  <c r="W133" i="34" s="1"/>
  <c r="W19" i="36" s="1"/>
  <c r="Z67" i="34"/>
  <c r="Z122" i="34" s="1"/>
  <c r="P65" i="34"/>
  <c r="P120" i="34" s="1"/>
  <c r="P6" i="36" s="1"/>
  <c r="X75" i="34"/>
  <c r="X130" i="34" s="1"/>
  <c r="X16" i="36" s="1"/>
  <c r="X125" i="36" s="1"/>
  <c r="I31" i="116"/>
  <c r="K31" i="116"/>
  <c r="AA3" i="116"/>
  <c r="Z25" i="34" s="1"/>
  <c r="T31" i="116"/>
  <c r="AC31" i="116"/>
  <c r="AC3" i="116"/>
  <c r="AB25" i="34" s="1"/>
  <c r="X12" i="34"/>
  <c r="K75" i="34"/>
  <c r="K130" i="34" s="1"/>
  <c r="K16" i="36" s="1"/>
  <c r="K125" i="36" s="1"/>
  <c r="S67" i="34"/>
  <c r="S122" i="34" s="1"/>
  <c r="AA68" i="34"/>
  <c r="AA123" i="34" s="1"/>
  <c r="AA9" i="36" s="1"/>
  <c r="Q76" i="34"/>
  <c r="J67" i="34"/>
  <c r="J122" i="34" s="1"/>
  <c r="T75" i="34"/>
  <c r="T130" i="34" s="1"/>
  <c r="T16" i="36" s="1"/>
  <c r="T125" i="36" s="1"/>
  <c r="D68" i="34"/>
  <c r="D123" i="34" s="1"/>
  <c r="D9" i="36" s="1"/>
  <c r="R78" i="34"/>
  <c r="R133" i="34" s="1"/>
  <c r="R19" i="36" s="1"/>
  <c r="M75" i="34"/>
  <c r="M130" i="34" s="1"/>
  <c r="M16" i="36" s="1"/>
  <c r="M125" i="36" s="1"/>
  <c r="F75" i="34"/>
  <c r="F130" i="34" s="1"/>
  <c r="F16" i="36" s="1"/>
  <c r="F125" i="36" s="1"/>
  <c r="N77" i="34"/>
  <c r="N132" i="34" s="1"/>
  <c r="N18" i="36" s="1"/>
  <c r="N67" i="34"/>
  <c r="N122" i="34" s="1"/>
  <c r="G77" i="34"/>
  <c r="G132" i="34" s="1"/>
  <c r="G18" i="36" s="1"/>
  <c r="W75" i="34"/>
  <c r="W130" i="34" s="1"/>
  <c r="W16" i="36" s="1"/>
  <c r="W125" i="36" s="1"/>
  <c r="H75" i="34"/>
  <c r="H130" i="34" s="1"/>
  <c r="H16" i="36" s="1"/>
  <c r="H125" i="36" s="1"/>
  <c r="H65" i="34"/>
  <c r="H120" i="34" s="1"/>
  <c r="H6" i="36" s="1"/>
  <c r="P76" i="34"/>
  <c r="X76" i="34"/>
  <c r="X78" i="34"/>
  <c r="X133" i="34" s="1"/>
  <c r="X19" i="36" s="1"/>
  <c r="Q3" i="116"/>
  <c r="P25" i="34" s="1"/>
  <c r="Z31" i="116"/>
  <c r="X3" i="116"/>
  <c r="W25" i="34" s="1"/>
  <c r="X31" i="116"/>
  <c r="S31" i="116"/>
  <c r="F31" i="116"/>
  <c r="G31" i="116"/>
  <c r="AB3" i="116"/>
  <c r="AA25" i="34" s="1"/>
  <c r="M7" i="34"/>
  <c r="M66" i="34" s="1"/>
  <c r="D80" i="34"/>
  <c r="Z81" i="34"/>
  <c r="Z136" i="34" s="1"/>
  <c r="Y81" i="34"/>
  <c r="Y136" i="34" s="1"/>
  <c r="J81" i="34"/>
  <c r="T80" i="34"/>
  <c r="AB82" i="34"/>
  <c r="K82" i="34"/>
  <c r="J73" i="34"/>
  <c r="H73" i="34"/>
  <c r="G81" i="34"/>
  <c r="X82" i="34"/>
  <c r="N80" i="34"/>
  <c r="U81" i="34"/>
  <c r="U136" i="34" s="1"/>
  <c r="U12" i="110" s="1"/>
  <c r="U46" i="110" s="1"/>
  <c r="E79" i="34"/>
  <c r="U69" i="34"/>
  <c r="U124" i="34" s="1"/>
  <c r="U10" i="36" s="1"/>
  <c r="U118" i="36" s="1"/>
  <c r="Z82" i="34"/>
  <c r="S80" i="34"/>
  <c r="D81" i="34"/>
  <c r="R80" i="34"/>
  <c r="Q80" i="34"/>
  <c r="AB70" i="34"/>
  <c r="L82" i="34"/>
  <c r="AA81" i="34"/>
  <c r="AA136" i="34" s="1"/>
  <c r="J70" i="34"/>
  <c r="W80" i="34"/>
  <c r="P81" i="34"/>
  <c r="V82" i="34"/>
  <c r="F80" i="34"/>
  <c r="V70" i="34"/>
  <c r="M81" i="34"/>
  <c r="E81" i="34"/>
  <c r="AB80" i="34"/>
  <c r="W82" i="34"/>
  <c r="G80" i="34"/>
  <c r="F82" i="34"/>
  <c r="U80" i="34"/>
  <c r="E74" i="34"/>
  <c r="E129" i="34" s="1"/>
  <c r="E15" i="36" s="1"/>
  <c r="E153" i="36" s="1"/>
  <c r="K81" i="34"/>
  <c r="I80" i="34"/>
  <c r="L74" i="34"/>
  <c r="L129" i="34" s="1"/>
  <c r="L15" i="36" s="1"/>
  <c r="L153" i="36" s="1"/>
  <c r="L80" i="34"/>
  <c r="AA80" i="34"/>
  <c r="H82" i="34"/>
  <c r="O82" i="34"/>
  <c r="V81" i="34"/>
  <c r="V136" i="34" s="1"/>
  <c r="V12" i="110" s="1"/>
  <c r="V46" i="110" s="1"/>
  <c r="V69" i="34"/>
  <c r="V124" i="34" s="1"/>
  <c r="V10" i="36" s="1"/>
  <c r="V118" i="36" s="1"/>
  <c r="M80" i="34"/>
  <c r="E71" i="34"/>
  <c r="N81" i="34"/>
  <c r="E80" i="34"/>
  <c r="I81" i="34"/>
  <c r="I82" i="34"/>
  <c r="Q79" i="34"/>
  <c r="R81" i="34"/>
  <c r="R136" i="34" s="1"/>
  <c r="Y80" i="34"/>
  <c r="AB81" i="34"/>
  <c r="AB136" i="34" s="1"/>
  <c r="AA82" i="34"/>
  <c r="K80" i="34"/>
  <c r="S73" i="34"/>
  <c r="S128" i="34" s="1"/>
  <c r="S9" i="110" s="1"/>
  <c r="S43" i="110" s="1"/>
  <c r="P82" i="34"/>
  <c r="W81" i="34"/>
  <c r="W136" i="34" s="1"/>
  <c r="W12" i="110" s="1"/>
  <c r="W46" i="110" s="1"/>
  <c r="F81" i="34"/>
  <c r="N74" i="34"/>
  <c r="N129" i="34" s="1"/>
  <c r="N15" i="36" s="1"/>
  <c r="N153" i="36" s="1"/>
  <c r="X81" i="34"/>
  <c r="X136" i="34" s="1"/>
  <c r="M82" i="34"/>
  <c r="H81" i="34"/>
  <c r="AA61" i="34"/>
  <c r="J80" i="34"/>
  <c r="R82" i="34"/>
  <c r="L81" i="34"/>
  <c r="S82" i="34"/>
  <c r="X80" i="34"/>
  <c r="O81" i="34"/>
  <c r="D74" i="34"/>
  <c r="V80" i="34"/>
  <c r="H80" i="34"/>
  <c r="E82" i="34"/>
  <c r="M72" i="34"/>
  <c r="T72" i="34"/>
  <c r="S72" i="34"/>
  <c r="Z72" i="34"/>
  <c r="Z47" i="83" s="1"/>
  <c r="E72" i="34"/>
  <c r="K72" i="34"/>
  <c r="R72" i="34"/>
  <c r="P72" i="34"/>
  <c r="AA72" i="34"/>
  <c r="V72" i="34"/>
  <c r="D72" i="34"/>
  <c r="N72" i="34"/>
  <c r="N47" i="83" s="1"/>
  <c r="Y72" i="34"/>
  <c r="AB72" i="34"/>
  <c r="X79" i="34"/>
  <c r="X134" i="34" s="1"/>
  <c r="X20" i="36" s="1"/>
  <c r="X128" i="36" s="1"/>
  <c r="O72" i="34"/>
  <c r="O47" i="83" s="1"/>
  <c r="L72" i="34"/>
  <c r="AA79" i="34"/>
  <c r="AA134" i="34" s="1"/>
  <c r="G72" i="34"/>
  <c r="Y63" i="34"/>
  <c r="X63" i="34"/>
  <c r="Z86" i="34"/>
  <c r="Z84" i="34"/>
  <c r="Z138" i="34" s="1"/>
  <c r="BE48" i="110" s="1"/>
  <c r="T85" i="34"/>
  <c r="S61" i="34"/>
  <c r="U63" i="34"/>
  <c r="W84" i="34"/>
  <c r="W138" i="34" s="1"/>
  <c r="BB48" i="110" s="1"/>
  <c r="S64" i="34"/>
  <c r="U86" i="34"/>
  <c r="X84" i="34"/>
  <c r="X138" i="34" s="1"/>
  <c r="BC48" i="110" s="1"/>
  <c r="V85" i="34"/>
  <c r="V64" i="34"/>
  <c r="R84" i="34"/>
  <c r="R138" i="34" s="1"/>
  <c r="R14" i="110" s="1"/>
  <c r="R48" i="110" s="1"/>
  <c r="W85" i="34"/>
  <c r="V61" i="34"/>
  <c r="Y64" i="34"/>
  <c r="AB87" i="34"/>
  <c r="R86" i="34"/>
  <c r="S84" i="34"/>
  <c r="S138" i="34" s="1"/>
  <c r="AX48" i="110" s="1"/>
  <c r="W61" i="34"/>
  <c r="V87" i="34"/>
  <c r="T61" i="34"/>
  <c r="T86" i="34"/>
  <c r="U84" i="34"/>
  <c r="U138" i="34" s="1"/>
  <c r="AZ48" i="110" s="1"/>
  <c r="S62" i="34"/>
  <c r="S117" i="34" s="1"/>
  <c r="S3" i="36" s="1"/>
  <c r="S139" i="36" s="1"/>
  <c r="R63" i="34"/>
  <c r="W87" i="34"/>
  <c r="W86" i="34"/>
  <c r="N85" i="34"/>
  <c r="AA87" i="34"/>
  <c r="AB85" i="34"/>
  <c r="AA84" i="34"/>
  <c r="AA138" i="34" s="1"/>
  <c r="BF48" i="110" s="1"/>
  <c r="AB64" i="34"/>
  <c r="Z85" i="34"/>
  <c r="T84" i="34"/>
  <c r="T138" i="34" s="1"/>
  <c r="AY48" i="110" s="1"/>
  <c r="X86" i="34"/>
  <c r="AA86" i="34"/>
  <c r="V86" i="34"/>
  <c r="R64" i="34"/>
  <c r="AB86" i="34"/>
  <c r="Z61" i="34"/>
  <c r="Z87" i="34"/>
  <c r="Y86" i="34"/>
  <c r="R85" i="34"/>
  <c r="AB61" i="34"/>
  <c r="Z64" i="34"/>
  <c r="Z119" i="34" s="1"/>
  <c r="T64" i="34"/>
  <c r="U62" i="34"/>
  <c r="U117" i="34" s="1"/>
  <c r="U3" i="110" s="1"/>
  <c r="U37" i="110" s="1"/>
  <c r="U54" i="110" s="1"/>
  <c r="W64" i="34"/>
  <c r="W119" i="34" s="1"/>
  <c r="S86" i="34"/>
  <c r="V63" i="34"/>
  <c r="AB84" i="34"/>
  <c r="AB138" i="34" s="1"/>
  <c r="BG48" i="110" s="1"/>
  <c r="X61" i="34"/>
  <c r="Z63" i="34"/>
  <c r="D61" i="34"/>
  <c r="U61" i="34"/>
  <c r="W63" i="34"/>
  <c r="S85" i="34"/>
  <c r="X64" i="34"/>
  <c r="X119" i="34" s="1"/>
  <c r="AA64" i="34"/>
  <c r="AA119" i="34" s="1"/>
  <c r="Y84" i="34"/>
  <c r="Y138" i="34" s="1"/>
  <c r="Y14" i="110" s="1"/>
  <c r="Y48" i="110" s="1"/>
  <c r="U64" i="34"/>
  <c r="AA62" i="34"/>
  <c r="Y61" i="34"/>
  <c r="X85" i="34"/>
  <c r="V84" i="34"/>
  <c r="V138" i="34" s="1"/>
  <c r="BA48" i="110" s="1"/>
  <c r="R61" i="34"/>
  <c r="R87" i="34"/>
  <c r="AA85" i="34"/>
  <c r="X87" i="34"/>
  <c r="W165" i="110"/>
  <c r="V160" i="110"/>
  <c r="V161" i="110"/>
  <c r="V162" i="110"/>
  <c r="V164" i="110"/>
  <c r="V165" i="110"/>
  <c r="V166" i="110"/>
  <c r="BA133" i="110"/>
  <c r="BA134" i="110"/>
  <c r="BA135" i="110"/>
  <c r="BA137" i="110"/>
  <c r="BA138" i="110"/>
  <c r="BA139" i="110"/>
  <c r="T62" i="34" l="1"/>
  <c r="T117" i="34" s="1"/>
  <c r="T3" i="110" s="1"/>
  <c r="T37" i="110" s="1"/>
  <c r="T54" i="110" s="1"/>
  <c r="AB62" i="34"/>
  <c r="AB117" i="34" s="1"/>
  <c r="AB3" i="36" s="1"/>
  <c r="AB139" i="36" s="1"/>
  <c r="V47" i="83"/>
  <c r="V42" i="83" s="1"/>
  <c r="V92" i="34" s="1"/>
  <c r="V118" i="34" s="1"/>
  <c r="J47" i="83"/>
  <c r="Y47" i="83"/>
  <c r="Y42" i="83" s="1"/>
  <c r="Y92" i="34" s="1"/>
  <c r="Y118" i="34" s="1"/>
  <c r="BD38" i="110" s="1"/>
  <c r="BD91" i="110" s="1"/>
  <c r="E47" i="83"/>
  <c r="E42" i="83" s="1"/>
  <c r="BA14" i="35"/>
  <c r="M47" i="83"/>
  <c r="S47" i="83"/>
  <c r="S42" i="83" s="1"/>
  <c r="S92" i="34" s="1"/>
  <c r="S118" i="34" s="1"/>
  <c r="AX38" i="110" s="1"/>
  <c r="AX91" i="110" s="1"/>
  <c r="H47" i="83"/>
  <c r="H101" i="34" s="1"/>
  <c r="H127" i="34" s="1"/>
  <c r="W47" i="83"/>
  <c r="W101" i="34" s="1"/>
  <c r="W127" i="34" s="1"/>
  <c r="BB42" i="110" s="1"/>
  <c r="BB112" i="110" s="1"/>
  <c r="BB153" i="110" s="1"/>
  <c r="Q47" i="83"/>
  <c r="I47" i="83"/>
  <c r="G47" i="83"/>
  <c r="L47" i="83"/>
  <c r="P47" i="83"/>
  <c r="K47" i="83"/>
  <c r="X47" i="83"/>
  <c r="X42" i="83" s="1"/>
  <c r="X92" i="34" s="1"/>
  <c r="X118" i="34" s="1"/>
  <c r="T47" i="83"/>
  <c r="T53" i="83" s="1"/>
  <c r="T111" i="34" s="1"/>
  <c r="T137" i="34" s="1"/>
  <c r="AY47" i="110" s="1"/>
  <c r="AY117" i="110" s="1"/>
  <c r="AY163" i="110" s="1"/>
  <c r="AB47" i="83"/>
  <c r="AB53" i="83" s="1"/>
  <c r="AB111" i="34" s="1"/>
  <c r="AB137" i="34" s="1"/>
  <c r="BG47" i="110" s="1"/>
  <c r="BG100" i="110" s="1"/>
  <c r="R47" i="83"/>
  <c r="U47" i="83"/>
  <c r="U53" i="83" s="1"/>
  <c r="U111" i="34" s="1"/>
  <c r="U137" i="34" s="1"/>
  <c r="AA47" i="83"/>
  <c r="AA42" i="83" s="1"/>
  <c r="AA92" i="34" s="1"/>
  <c r="AA118" i="34" s="1"/>
  <c r="BF38" i="110" s="1"/>
  <c r="BF91" i="110" s="1"/>
  <c r="F129" i="34"/>
  <c r="F15" i="36" s="1"/>
  <c r="F153" i="36" s="1"/>
  <c r="M115" i="36"/>
  <c r="M143" i="36"/>
  <c r="T126" i="36"/>
  <c r="T154" i="36"/>
  <c r="O115" i="36"/>
  <c r="O143" i="36"/>
  <c r="E115" i="36"/>
  <c r="E143" i="36"/>
  <c r="V115" i="36"/>
  <c r="V143" i="36"/>
  <c r="Q115" i="36"/>
  <c r="Q143" i="36"/>
  <c r="P115" i="36"/>
  <c r="P143" i="36"/>
  <c r="Q126" i="36"/>
  <c r="Q154" i="36"/>
  <c r="K115" i="36"/>
  <c r="K143" i="36"/>
  <c r="J126" i="36"/>
  <c r="J154" i="36"/>
  <c r="V126" i="36"/>
  <c r="V154" i="36"/>
  <c r="G115" i="36"/>
  <c r="G143" i="36"/>
  <c r="K123" i="36"/>
  <c r="K153" i="36"/>
  <c r="D115" i="36"/>
  <c r="D143" i="36"/>
  <c r="X115" i="36"/>
  <c r="X143" i="36"/>
  <c r="AB126" i="36"/>
  <c r="AB154" i="36"/>
  <c r="O126" i="36"/>
  <c r="O154" i="36"/>
  <c r="U115" i="36"/>
  <c r="U143" i="36"/>
  <c r="S115" i="36"/>
  <c r="S143" i="36"/>
  <c r="T115" i="36"/>
  <c r="T143" i="36"/>
  <c r="E116" i="36"/>
  <c r="E144" i="36"/>
  <c r="Y126" i="36"/>
  <c r="Y154" i="36"/>
  <c r="U126" i="36"/>
  <c r="U154" i="36"/>
  <c r="W126" i="36"/>
  <c r="W154" i="36"/>
  <c r="P126" i="36"/>
  <c r="P154" i="36"/>
  <c r="N115" i="36"/>
  <c r="N143" i="36"/>
  <c r="T116" i="36"/>
  <c r="T144" i="36"/>
  <c r="J115" i="36"/>
  <c r="J143" i="36"/>
  <c r="F126" i="36"/>
  <c r="F154" i="36"/>
  <c r="S126" i="36"/>
  <c r="S154" i="36"/>
  <c r="K126" i="36"/>
  <c r="K154" i="36"/>
  <c r="X126" i="36"/>
  <c r="X154" i="36"/>
  <c r="L115" i="36"/>
  <c r="L143" i="36"/>
  <c r="H115" i="36"/>
  <c r="H143" i="36"/>
  <c r="G126" i="36"/>
  <c r="G154" i="36"/>
  <c r="N126" i="36"/>
  <c r="N154" i="36"/>
  <c r="I126" i="36"/>
  <c r="I154" i="36"/>
  <c r="R126" i="36"/>
  <c r="R154" i="36"/>
  <c r="W115" i="36"/>
  <c r="W143" i="36"/>
  <c r="D116" i="36"/>
  <c r="D144" i="36"/>
  <c r="AA115" i="36"/>
  <c r="AA143" i="36"/>
  <c r="Z115" i="36"/>
  <c r="Z143" i="36"/>
  <c r="V123" i="36"/>
  <c r="V153" i="36"/>
  <c r="E126" i="36"/>
  <c r="E154" i="36"/>
  <c r="H126" i="36"/>
  <c r="H154" i="36"/>
  <c r="R115" i="36"/>
  <c r="R143" i="36"/>
  <c r="F115" i="36"/>
  <c r="F143" i="36"/>
  <c r="AA126" i="36"/>
  <c r="AA154" i="36"/>
  <c r="Z126" i="36"/>
  <c r="Z154" i="36"/>
  <c r="D126" i="36"/>
  <c r="D154" i="36"/>
  <c r="Y115" i="36"/>
  <c r="Y143" i="36"/>
  <c r="I115" i="36"/>
  <c r="I143" i="36"/>
  <c r="M126" i="36"/>
  <c r="M154" i="36"/>
  <c r="L126" i="36"/>
  <c r="L154" i="36"/>
  <c r="AB115" i="36"/>
  <c r="AB143" i="36"/>
  <c r="Y155" i="36"/>
  <c r="J127" i="36"/>
  <c r="Y10" i="110"/>
  <c r="Y44" i="110" s="1"/>
  <c r="X62" i="34"/>
  <c r="X117" i="34" s="1"/>
  <c r="X3" i="110" s="1"/>
  <c r="X37" i="110" s="1"/>
  <c r="X54" i="110" s="1"/>
  <c r="V62" i="34"/>
  <c r="V116" i="34" s="1"/>
  <c r="AB10" i="110"/>
  <c r="AB44" i="110" s="1"/>
  <c r="Z101" i="34"/>
  <c r="Z127" i="34" s="1"/>
  <c r="M145" i="36"/>
  <c r="F72" i="34"/>
  <c r="F47" i="83" s="1"/>
  <c r="L8" i="36"/>
  <c r="L144" i="36" s="1"/>
  <c r="H8" i="36"/>
  <c r="Z8" i="36"/>
  <c r="Z144" i="36" s="1"/>
  <c r="X8" i="36"/>
  <c r="X144" i="36" s="1"/>
  <c r="AB8" i="36"/>
  <c r="AB144" i="36" s="1"/>
  <c r="U8" i="36"/>
  <c r="U144" i="36" s="1"/>
  <c r="M8" i="36"/>
  <c r="M144" i="36" s="1"/>
  <c r="Q8" i="36"/>
  <c r="Q144" i="36" s="1"/>
  <c r="P8" i="36"/>
  <c r="W8" i="36"/>
  <c r="W144" i="36" s="1"/>
  <c r="J8" i="36"/>
  <c r="J144" i="36" s="1"/>
  <c r="AA8" i="36"/>
  <c r="AA144" i="36" s="1"/>
  <c r="O8" i="36"/>
  <c r="O144" i="36" s="1"/>
  <c r="R8" i="36"/>
  <c r="G8" i="36"/>
  <c r="Y8" i="36"/>
  <c r="N8" i="36"/>
  <c r="N144" i="36" s="1"/>
  <c r="V8" i="36"/>
  <c r="V144" i="36" s="1"/>
  <c r="K8" i="36"/>
  <c r="K144" i="36" s="1"/>
  <c r="S8" i="36"/>
  <c r="S144" i="36" s="1"/>
  <c r="I8" i="36"/>
  <c r="I144" i="36" s="1"/>
  <c r="F8" i="36"/>
  <c r="F144" i="36" s="1"/>
  <c r="X71" i="34"/>
  <c r="X126" i="34" s="1"/>
  <c r="R71" i="34"/>
  <c r="W71" i="34"/>
  <c r="W126" i="34" s="1"/>
  <c r="R117" i="36"/>
  <c r="R145" i="36"/>
  <c r="H127" i="36"/>
  <c r="H155" i="36"/>
  <c r="U127" i="36"/>
  <c r="U155" i="36"/>
  <c r="P127" i="36"/>
  <c r="P155" i="36"/>
  <c r="L117" i="36"/>
  <c r="L145" i="36"/>
  <c r="AB117" i="36"/>
  <c r="AB145" i="36"/>
  <c r="J117" i="36"/>
  <c r="J145" i="36"/>
  <c r="H117" i="36"/>
  <c r="H145" i="36"/>
  <c r="I127" i="36"/>
  <c r="I155" i="36"/>
  <c r="Z127" i="36"/>
  <c r="Z155" i="36"/>
  <c r="O127" i="36"/>
  <c r="O155" i="36"/>
  <c r="N117" i="36"/>
  <c r="N145" i="36"/>
  <c r="N127" i="36"/>
  <c r="N155" i="36"/>
  <c r="R127" i="36"/>
  <c r="R155" i="36"/>
  <c r="Z117" i="36"/>
  <c r="Z145" i="36"/>
  <c r="T117" i="36"/>
  <c r="T145" i="36"/>
  <c r="E145" i="36"/>
  <c r="P117" i="36"/>
  <c r="P145" i="36"/>
  <c r="T127" i="36"/>
  <c r="T155" i="36"/>
  <c r="D117" i="36"/>
  <c r="D145" i="36"/>
  <c r="D127" i="36"/>
  <c r="D155" i="36"/>
  <c r="W117" i="36"/>
  <c r="W145" i="36"/>
  <c r="E127" i="36"/>
  <c r="E155" i="36"/>
  <c r="K117" i="36"/>
  <c r="K145" i="36"/>
  <c r="V127" i="36"/>
  <c r="V155" i="36"/>
  <c r="S127" i="36"/>
  <c r="S155" i="36"/>
  <c r="I117" i="36"/>
  <c r="I145" i="36"/>
  <c r="G127" i="36"/>
  <c r="G155" i="36"/>
  <c r="F117" i="36"/>
  <c r="F145" i="36"/>
  <c r="Q117" i="36"/>
  <c r="Q145" i="36"/>
  <c r="O117" i="36"/>
  <c r="O145" i="36"/>
  <c r="G117" i="36"/>
  <c r="G145" i="36"/>
  <c r="W127" i="36"/>
  <c r="W155" i="36"/>
  <c r="Q127" i="36"/>
  <c r="Q155" i="36"/>
  <c r="V117" i="36"/>
  <c r="V145" i="36"/>
  <c r="K127" i="36"/>
  <c r="K155" i="36"/>
  <c r="F127" i="36"/>
  <c r="F155" i="36"/>
  <c r="AA127" i="36"/>
  <c r="AA155" i="36"/>
  <c r="AB127" i="36"/>
  <c r="AB155" i="36"/>
  <c r="X127" i="36"/>
  <c r="X155" i="36"/>
  <c r="AA117" i="36"/>
  <c r="AA145" i="36"/>
  <c r="M127" i="36"/>
  <c r="M155" i="36"/>
  <c r="U117" i="36"/>
  <c r="U145" i="36"/>
  <c r="X117" i="36"/>
  <c r="X145" i="36"/>
  <c r="S117" i="36"/>
  <c r="S145" i="36"/>
  <c r="L127" i="36"/>
  <c r="L155" i="36"/>
  <c r="Y117" i="36"/>
  <c r="Y145" i="36"/>
  <c r="X10" i="110"/>
  <c r="X44" i="110" s="1"/>
  <c r="W66" i="34"/>
  <c r="U129" i="34"/>
  <c r="U15" i="36" s="1"/>
  <c r="U153" i="36" s="1"/>
  <c r="Y119" i="34"/>
  <c r="Y5" i="36" s="1"/>
  <c r="Y113" i="36" s="1"/>
  <c r="U119" i="34"/>
  <c r="U5" i="36" s="1"/>
  <c r="AB119" i="34"/>
  <c r="AB5" i="110" s="1"/>
  <c r="AB39" i="110" s="1"/>
  <c r="AA129" i="34"/>
  <c r="T119" i="34"/>
  <c r="T5" i="36" s="1"/>
  <c r="R119" i="34"/>
  <c r="R5" i="36" s="1"/>
  <c r="Z129" i="34"/>
  <c r="T129" i="34"/>
  <c r="S119" i="34"/>
  <c r="S5" i="36" s="1"/>
  <c r="S113" i="36" s="1"/>
  <c r="V119" i="34"/>
  <c r="V5" i="36" s="1"/>
  <c r="V141" i="36" s="1"/>
  <c r="S129" i="34"/>
  <c r="S15" i="36" s="1"/>
  <c r="S153" i="36" s="1"/>
  <c r="R129" i="34"/>
  <c r="BB37" i="110"/>
  <c r="BB90" i="110" s="1"/>
  <c r="V66" i="34"/>
  <c r="W3" i="36"/>
  <c r="W139" i="36" s="1"/>
  <c r="W116" i="34"/>
  <c r="W2" i="110" s="1"/>
  <c r="W36" i="110" s="1"/>
  <c r="W53" i="110" s="1"/>
  <c r="W71" i="110" s="1"/>
  <c r="W125" i="110" s="1"/>
  <c r="W210" i="110" s="1"/>
  <c r="W256" i="110" s="1"/>
  <c r="X12" i="110"/>
  <c r="X46" i="110" s="1"/>
  <c r="X22" i="36"/>
  <c r="X130" i="36" s="1"/>
  <c r="X66" i="34"/>
  <c r="J66" i="34"/>
  <c r="T66" i="34"/>
  <c r="Z14" i="36"/>
  <c r="Z150" i="36" s="1"/>
  <c r="S14" i="36"/>
  <c r="S150" i="36" s="1"/>
  <c r="V53" i="83"/>
  <c r="V111" i="34" s="1"/>
  <c r="V137" i="34" s="1"/>
  <c r="BA47" i="110" s="1"/>
  <c r="BA117" i="110" s="1"/>
  <c r="BA167" i="110" s="1"/>
  <c r="V101" i="34"/>
  <c r="V127" i="34" s="1"/>
  <c r="BA42" i="110" s="1"/>
  <c r="BA95" i="110" s="1"/>
  <c r="AA20" i="36"/>
  <c r="AA11" i="110"/>
  <c r="AA45" i="110" s="1"/>
  <c r="X156" i="36"/>
  <c r="X11" i="110"/>
  <c r="X45" i="110" s="1"/>
  <c r="AZ41" i="110"/>
  <c r="U12" i="36"/>
  <c r="U7" i="110"/>
  <c r="U41" i="110" s="1"/>
  <c r="U58" i="110" s="1"/>
  <c r="V7" i="110"/>
  <c r="V41" i="110" s="1"/>
  <c r="V58" i="110" s="1"/>
  <c r="BA94" i="110"/>
  <c r="V14" i="35"/>
  <c r="V12" i="36"/>
  <c r="V22" i="36"/>
  <c r="V130" i="36" s="1"/>
  <c r="S6" i="110"/>
  <c r="S40" i="110" s="1"/>
  <c r="R139" i="36"/>
  <c r="S146" i="36"/>
  <c r="T20" i="36"/>
  <c r="T128" i="36" s="1"/>
  <c r="U20" i="36"/>
  <c r="U128" i="36" s="1"/>
  <c r="U146" i="36"/>
  <c r="U6" i="110"/>
  <c r="U40" i="110" s="1"/>
  <c r="W22" i="36"/>
  <c r="W130" i="36" s="1"/>
  <c r="W14" i="36"/>
  <c r="W122" i="36" s="1"/>
  <c r="T3" i="36"/>
  <c r="T139" i="36" s="1"/>
  <c r="X24" i="36"/>
  <c r="X132" i="36" s="1"/>
  <c r="Z24" i="36"/>
  <c r="Z132" i="36" s="1"/>
  <c r="Z14" i="110"/>
  <c r="Z48" i="110" s="1"/>
  <c r="W14" i="110"/>
  <c r="W48" i="110" s="1"/>
  <c r="W24" i="36"/>
  <c r="W132" i="36" s="1"/>
  <c r="Y10" i="36"/>
  <c r="Y118" i="36" s="1"/>
  <c r="W14" i="35"/>
  <c r="R14" i="35"/>
  <c r="S14" i="110"/>
  <c r="S48" i="110" s="1"/>
  <c r="U14" i="35"/>
  <c r="X14" i="110"/>
  <c r="X48" i="110" s="1"/>
  <c r="S24" i="36"/>
  <c r="S132" i="36" s="1"/>
  <c r="AB156" i="36"/>
  <c r="U22" i="36"/>
  <c r="U130" i="36" s="1"/>
  <c r="Z116" i="34"/>
  <c r="Z2" i="110" s="1"/>
  <c r="Z36" i="110" s="1"/>
  <c r="Z53" i="110" s="1"/>
  <c r="Z71" i="110" s="1"/>
  <c r="Z131" i="110" s="1"/>
  <c r="AB11" i="110"/>
  <c r="AB45" i="110" s="1"/>
  <c r="Z3" i="110"/>
  <c r="Z37" i="110" s="1"/>
  <c r="Z54" i="110" s="1"/>
  <c r="Z139" i="36"/>
  <c r="U24" i="36"/>
  <c r="U132" i="36" s="1"/>
  <c r="V113" i="34"/>
  <c r="R24" i="36"/>
  <c r="R132" i="36" s="1"/>
  <c r="BE37" i="110"/>
  <c r="BE90" i="110" s="1"/>
  <c r="AW48" i="110"/>
  <c r="U14" i="110"/>
  <c r="U48" i="110" s="1"/>
  <c r="Z14" i="35"/>
  <c r="AX37" i="110"/>
  <c r="AX90" i="110" s="1"/>
  <c r="S116" i="34"/>
  <c r="S2" i="110" s="1"/>
  <c r="S36" i="110" s="1"/>
  <c r="S53" i="110" s="1"/>
  <c r="S71" i="110" s="1"/>
  <c r="S129" i="110" s="1"/>
  <c r="S214" i="110" s="1"/>
  <c r="S260" i="110" s="1"/>
  <c r="Z11" i="110"/>
  <c r="Z45" i="110" s="1"/>
  <c r="S14" i="35"/>
  <c r="S111" i="36"/>
  <c r="X150" i="36"/>
  <c r="S3" i="110"/>
  <c r="S37" i="110" s="1"/>
  <c r="S54" i="110" s="1"/>
  <c r="R11" i="110"/>
  <c r="R45" i="110" s="1"/>
  <c r="R3" i="110"/>
  <c r="R37" i="110" s="1"/>
  <c r="R54" i="110" s="1"/>
  <c r="AW37" i="110"/>
  <c r="AW90" i="110" s="1"/>
  <c r="R116" i="34"/>
  <c r="R2" i="110" s="1"/>
  <c r="R36" i="110" s="1"/>
  <c r="R53" i="110" s="1"/>
  <c r="R71" i="110" s="1"/>
  <c r="R129" i="110" s="1"/>
  <c r="R214" i="110" s="1"/>
  <c r="R260" i="110" s="1"/>
  <c r="Z156" i="36"/>
  <c r="R156" i="36"/>
  <c r="W20" i="36"/>
  <c r="W156" i="36" s="1"/>
  <c r="V146" i="36"/>
  <c r="AA10" i="36"/>
  <c r="AA6" i="110"/>
  <c r="AA40" i="110" s="1"/>
  <c r="V6" i="110"/>
  <c r="V40" i="110" s="1"/>
  <c r="X9" i="110"/>
  <c r="X43" i="110" s="1"/>
  <c r="AX94" i="110"/>
  <c r="T14" i="110"/>
  <c r="T48" i="110" s="1"/>
  <c r="X123" i="36"/>
  <c r="X10" i="36"/>
  <c r="X6" i="110"/>
  <c r="X40" i="110" s="1"/>
  <c r="T24" i="36"/>
  <c r="T132" i="36" s="1"/>
  <c r="AA24" i="36"/>
  <c r="AA132" i="36" s="1"/>
  <c r="AA14" i="110"/>
  <c r="AA48" i="110" s="1"/>
  <c r="Y14" i="36"/>
  <c r="Y150" i="36" s="1"/>
  <c r="AB7" i="110"/>
  <c r="AB41" i="110" s="1"/>
  <c r="AB111" i="110" s="1"/>
  <c r="BG41" i="110"/>
  <c r="BG94" i="110" s="1"/>
  <c r="T113" i="34"/>
  <c r="R14" i="36"/>
  <c r="R150" i="36" s="1"/>
  <c r="S7" i="110"/>
  <c r="S41" i="110" s="1"/>
  <c r="S58" i="110" s="1"/>
  <c r="S12" i="36"/>
  <c r="AY111" i="110"/>
  <c r="AY145" i="110" s="1"/>
  <c r="BE41" i="110"/>
  <c r="BE111" i="110" s="1"/>
  <c r="Z113" i="34"/>
  <c r="Y3" i="36"/>
  <c r="Y111" i="36" s="1"/>
  <c r="AB113" i="34"/>
  <c r="V14" i="110"/>
  <c r="V48" i="110" s="1"/>
  <c r="U116" i="34"/>
  <c r="AZ36" i="110" s="1"/>
  <c r="U14" i="36"/>
  <c r="U122" i="36" s="1"/>
  <c r="T6" i="110"/>
  <c r="T40" i="110" s="1"/>
  <c r="T118" i="36"/>
  <c r="AB9" i="110"/>
  <c r="AB43" i="110" s="1"/>
  <c r="AZ37" i="110"/>
  <c r="AZ107" i="110" s="1"/>
  <c r="AB150" i="36"/>
  <c r="U3" i="36"/>
  <c r="U111" i="36" s="1"/>
  <c r="Y116" i="34"/>
  <c r="BD36" i="110" s="1"/>
  <c r="W113" i="34"/>
  <c r="BD37" i="110"/>
  <c r="BD107" i="110" s="1"/>
  <c r="V20" i="36"/>
  <c r="V156" i="36" s="1"/>
  <c r="Y113" i="34"/>
  <c r="AB10" i="36"/>
  <c r="AB6" i="110"/>
  <c r="AB40" i="110" s="1"/>
  <c r="BA8" i="35"/>
  <c r="T7" i="110"/>
  <c r="T41" i="110" s="1"/>
  <c r="T58" i="110" s="1"/>
  <c r="AB3" i="110"/>
  <c r="AB37" i="110" s="1"/>
  <c r="AB54" i="110" s="1"/>
  <c r="AB116" i="34"/>
  <c r="BF41" i="110"/>
  <c r="BF111" i="110" s="1"/>
  <c r="T12" i="36"/>
  <c r="AB111" i="36"/>
  <c r="BG37" i="110"/>
  <c r="BG90" i="110" s="1"/>
  <c r="T14" i="35"/>
  <c r="V151" i="36"/>
  <c r="AA12" i="36"/>
  <c r="AB151" i="36"/>
  <c r="R113" i="34"/>
  <c r="V24" i="36"/>
  <c r="V160" i="36" s="1"/>
  <c r="S20" i="36"/>
  <c r="V14" i="36"/>
  <c r="V122" i="36" s="1"/>
  <c r="AA122" i="36"/>
  <c r="Y151" i="36"/>
  <c r="V10" i="110"/>
  <c r="V44" i="110" s="1"/>
  <c r="Z5" i="36"/>
  <c r="Z5" i="110"/>
  <c r="Z39" i="110" s="1"/>
  <c r="W5" i="110"/>
  <c r="W39" i="110" s="1"/>
  <c r="W5" i="36"/>
  <c r="AB24" i="36"/>
  <c r="AB160" i="36" s="1"/>
  <c r="AX8" i="35"/>
  <c r="X14" i="35"/>
  <c r="X113" i="34"/>
  <c r="AB14" i="110"/>
  <c r="AB48" i="110" s="1"/>
  <c r="Q14" i="35"/>
  <c r="AQ8" i="35"/>
  <c r="U113" i="34"/>
  <c r="U105" i="34" s="1"/>
  <c r="U131" i="34" s="1"/>
  <c r="U17" i="36" s="1"/>
  <c r="W10" i="110"/>
  <c r="W44" i="110" s="1"/>
  <c r="R10" i="36"/>
  <c r="R6" i="110"/>
  <c r="R40" i="110" s="1"/>
  <c r="BD41" i="110"/>
  <c r="BD94" i="110" s="1"/>
  <c r="Z7" i="110"/>
  <c r="Z41" i="110" s="1"/>
  <c r="Z58" i="110" s="1"/>
  <c r="Y7" i="110"/>
  <c r="Y41" i="110" s="1"/>
  <c r="Y58" i="110" s="1"/>
  <c r="Z6" i="110"/>
  <c r="Z40" i="110" s="1"/>
  <c r="Z10" i="36"/>
  <c r="BD48" i="110"/>
  <c r="AA9" i="110"/>
  <c r="AA43" i="110" s="1"/>
  <c r="AA117" i="34"/>
  <c r="AA116" i="34"/>
  <c r="AA113" i="34"/>
  <c r="AA105" i="34" s="1"/>
  <c r="AA131" i="34" s="1"/>
  <c r="AA17" i="36" s="1"/>
  <c r="T14" i="36"/>
  <c r="T9" i="110"/>
  <c r="T43" i="110" s="1"/>
  <c r="W10" i="36"/>
  <c r="W6" i="110"/>
  <c r="W40" i="110" s="1"/>
  <c r="Y11" i="110"/>
  <c r="Y45" i="110" s="1"/>
  <c r="Y20" i="36"/>
  <c r="S113" i="34"/>
  <c r="S105" i="34" s="1"/>
  <c r="S131" i="34" s="1"/>
  <c r="S17" i="36" s="1"/>
  <c r="Y24" i="36"/>
  <c r="Y160" i="36" s="1"/>
  <c r="AY8" i="35"/>
  <c r="Y14" i="35"/>
  <c r="AA5" i="110"/>
  <c r="AA39" i="110" s="1"/>
  <c r="AA5" i="36"/>
  <c r="X5" i="110"/>
  <c r="X39" i="110" s="1"/>
  <c r="X5" i="36"/>
  <c r="Y22" i="36"/>
  <c r="Y12" i="110"/>
  <c r="Y46" i="110" s="1"/>
  <c r="Z22" i="36"/>
  <c r="Z12" i="110"/>
  <c r="Z46" i="110" s="1"/>
  <c r="AA22" i="36"/>
  <c r="AA12" i="110"/>
  <c r="AA46" i="110" s="1"/>
  <c r="AB12" i="110"/>
  <c r="AB46" i="110" s="1"/>
  <c r="AB22" i="36"/>
  <c r="S22" i="36"/>
  <c r="S12" i="110"/>
  <c r="S46" i="110" s="1"/>
  <c r="R22" i="36"/>
  <c r="R12" i="110"/>
  <c r="R46" i="110" s="1"/>
  <c r="T22" i="36"/>
  <c r="T12" i="110"/>
  <c r="T46" i="110" s="1"/>
  <c r="BA149" i="110"/>
  <c r="BA145" i="110"/>
  <c r="AX149" i="110"/>
  <c r="AX145" i="110"/>
  <c r="W164" i="110"/>
  <c r="T162" i="110"/>
  <c r="W166" i="110"/>
  <c r="W161" i="110"/>
  <c r="W160" i="110"/>
  <c r="W162" i="110"/>
  <c r="AX129" i="110"/>
  <c r="AX126" i="110"/>
  <c r="AX130" i="110"/>
  <c r="AX128" i="110"/>
  <c r="AX125" i="110"/>
  <c r="AX124" i="110"/>
  <c r="BA130" i="110"/>
  <c r="BA129" i="110"/>
  <c r="BA128" i="110"/>
  <c r="BA126" i="110"/>
  <c r="BA125" i="110"/>
  <c r="BA124" i="110"/>
  <c r="S160" i="110"/>
  <c r="S161" i="110"/>
  <c r="S162" i="110"/>
  <c r="S164" i="110"/>
  <c r="S166" i="110"/>
  <c r="S165" i="110"/>
  <c r="R164" i="110"/>
  <c r="R160" i="110"/>
  <c r="R165" i="110"/>
  <c r="R166" i="110"/>
  <c r="R161" i="110"/>
  <c r="R162" i="110"/>
  <c r="AA160" i="110"/>
  <c r="AA166" i="110"/>
  <c r="AA161" i="110"/>
  <c r="AA162" i="110"/>
  <c r="AA165" i="110"/>
  <c r="AA164" i="110"/>
  <c r="X160" i="110"/>
  <c r="X161" i="110"/>
  <c r="X162" i="110"/>
  <c r="X164" i="110"/>
  <c r="X165" i="110"/>
  <c r="X166" i="110"/>
  <c r="Y165" i="110"/>
  <c r="Y166" i="110"/>
  <c r="Y160" i="110"/>
  <c r="Y161" i="110"/>
  <c r="Y164" i="110"/>
  <c r="Y162" i="110"/>
  <c r="Z162" i="110"/>
  <c r="Z161" i="110"/>
  <c r="Z164" i="110"/>
  <c r="Z165" i="110"/>
  <c r="Z160" i="110"/>
  <c r="Z166" i="110"/>
  <c r="AB160" i="110"/>
  <c r="AB161" i="110"/>
  <c r="AB162" i="110"/>
  <c r="AB164" i="110"/>
  <c r="AB165" i="110"/>
  <c r="AB166" i="110"/>
  <c r="U165" i="110"/>
  <c r="U162" i="110"/>
  <c r="U166" i="110"/>
  <c r="U160" i="110"/>
  <c r="U161" i="110"/>
  <c r="U164" i="110"/>
  <c r="AW133" i="110"/>
  <c r="AW134" i="110"/>
  <c r="AW135" i="110"/>
  <c r="AW137" i="110"/>
  <c r="AW138" i="110"/>
  <c r="AW139" i="110"/>
  <c r="AX133" i="110"/>
  <c r="AX134" i="110"/>
  <c r="AX135" i="110"/>
  <c r="AX137" i="110"/>
  <c r="AX138" i="110"/>
  <c r="AX139" i="110"/>
  <c r="AA58" i="110"/>
  <c r="AA111" i="110"/>
  <c r="BA144" i="110"/>
  <c r="BA148" i="110"/>
  <c r="BA143" i="110"/>
  <c r="BA147" i="110"/>
  <c r="BA146" i="110"/>
  <c r="BA142" i="110"/>
  <c r="BE133" i="110"/>
  <c r="BE134" i="110"/>
  <c r="BE135" i="110"/>
  <c r="BE137" i="110"/>
  <c r="BE138" i="110"/>
  <c r="BE139" i="110"/>
  <c r="BD134" i="110"/>
  <c r="BD138" i="110"/>
  <c r="BD133" i="110"/>
  <c r="BD135" i="110"/>
  <c r="BD137" i="110"/>
  <c r="BD139" i="110"/>
  <c r="BB133" i="110"/>
  <c r="BB134" i="110"/>
  <c r="BB135" i="110"/>
  <c r="BB137" i="110"/>
  <c r="BB138" i="110"/>
  <c r="BB139" i="110"/>
  <c r="AZ133" i="110"/>
  <c r="AZ134" i="110"/>
  <c r="AZ135" i="110"/>
  <c r="AZ137" i="110"/>
  <c r="AZ138" i="110"/>
  <c r="AZ139" i="110"/>
  <c r="BF133" i="110"/>
  <c r="BF134" i="110"/>
  <c r="BF135" i="110"/>
  <c r="BF137" i="110"/>
  <c r="BF138" i="110"/>
  <c r="BF139" i="110"/>
  <c r="AX144" i="110"/>
  <c r="AX148" i="110"/>
  <c r="AX143" i="110"/>
  <c r="AX147" i="110"/>
  <c r="AX142" i="110"/>
  <c r="AX146" i="110"/>
  <c r="BG133" i="110"/>
  <c r="BG134" i="110"/>
  <c r="BG135" i="110"/>
  <c r="BG137" i="110"/>
  <c r="BG138" i="110"/>
  <c r="BG139" i="110"/>
  <c r="BC134" i="110"/>
  <c r="BC138" i="110"/>
  <c r="BC133" i="110"/>
  <c r="BC135" i="110"/>
  <c r="BC137" i="110"/>
  <c r="BC139" i="110"/>
  <c r="J16" i="86"/>
  <c r="K16" i="86"/>
  <c r="AY37" i="110" l="1"/>
  <c r="AY107" i="110" s="1"/>
  <c r="T116" i="34"/>
  <c r="T2" i="110" s="1"/>
  <c r="T36" i="110" s="1"/>
  <c r="T53" i="110" s="1"/>
  <c r="T71" i="110" s="1"/>
  <c r="T126" i="110" s="1"/>
  <c r="T211" i="110" s="1"/>
  <c r="T257" i="110" s="1"/>
  <c r="Y53" i="83"/>
  <c r="Y111" i="34" s="1"/>
  <c r="Y137" i="34" s="1"/>
  <c r="AT14" i="35"/>
  <c r="AZ14" i="35"/>
  <c r="AR14" i="35"/>
  <c r="S101" i="34"/>
  <c r="S127" i="34" s="1"/>
  <c r="AX42" i="110" s="1"/>
  <c r="AX112" i="110" s="1"/>
  <c r="AX152" i="110" s="1"/>
  <c r="BB151" i="110"/>
  <c r="AA53" i="83"/>
  <c r="AA111" i="34" s="1"/>
  <c r="AA137" i="34" s="1"/>
  <c r="BF47" i="110" s="1"/>
  <c r="BF100" i="110" s="1"/>
  <c r="AA101" i="34"/>
  <c r="AA127" i="34" s="1"/>
  <c r="BF42" i="110" s="1"/>
  <c r="BF95" i="110" s="1"/>
  <c r="BB95" i="110"/>
  <c r="X101" i="34"/>
  <c r="X127" i="34" s="1"/>
  <c r="X13" i="36" s="1"/>
  <c r="X53" i="83"/>
  <c r="X111" i="34" s="1"/>
  <c r="X137" i="34" s="1"/>
  <c r="BC47" i="110" s="1"/>
  <c r="Y101" i="34"/>
  <c r="Y127" i="34" s="1"/>
  <c r="BD42" i="110" s="1"/>
  <c r="BD95" i="110" s="1"/>
  <c r="S53" i="83"/>
  <c r="S111" i="34" s="1"/>
  <c r="S137" i="34" s="1"/>
  <c r="AX47" i="110" s="1"/>
  <c r="AX117" i="110" s="1"/>
  <c r="AX160" i="110" s="1"/>
  <c r="X3" i="36"/>
  <c r="X111" i="36" s="1"/>
  <c r="BB155" i="110"/>
  <c r="BB154" i="110"/>
  <c r="BB158" i="110"/>
  <c r="BB157" i="110"/>
  <c r="BB156" i="110"/>
  <c r="BB152" i="110"/>
  <c r="R116" i="36"/>
  <c r="R144" i="36"/>
  <c r="H116" i="36"/>
  <c r="H144" i="36"/>
  <c r="P116" i="36"/>
  <c r="P144" i="36"/>
  <c r="Y116" i="36"/>
  <c r="Y144" i="36"/>
  <c r="G116" i="36"/>
  <c r="G144" i="36"/>
  <c r="Q116" i="36"/>
  <c r="F116" i="36"/>
  <c r="M116" i="36"/>
  <c r="I116" i="36"/>
  <c r="O116" i="36"/>
  <c r="U116" i="36"/>
  <c r="S116" i="36"/>
  <c r="AA116" i="36"/>
  <c r="AB116" i="36"/>
  <c r="L116" i="36"/>
  <c r="K116" i="36"/>
  <c r="J116" i="36"/>
  <c r="X116" i="36"/>
  <c r="V116" i="36"/>
  <c r="W116" i="36"/>
  <c r="N116" i="36"/>
  <c r="Z116" i="36"/>
  <c r="BC37" i="110"/>
  <c r="BC107" i="110" s="1"/>
  <c r="X116" i="34"/>
  <c r="X2" i="110" s="1"/>
  <c r="X36" i="110" s="1"/>
  <c r="X53" i="110" s="1"/>
  <c r="X71" i="110" s="1"/>
  <c r="X131" i="110" s="1"/>
  <c r="W13" i="36"/>
  <c r="W53" i="83"/>
  <c r="W111" i="34" s="1"/>
  <c r="W137" i="34" s="1"/>
  <c r="BB47" i="110" s="1"/>
  <c r="BB100" i="110" s="1"/>
  <c r="W42" i="83"/>
  <c r="W92" i="34" s="1"/>
  <c r="W118" i="34" s="1"/>
  <c r="BB38" i="110" s="1"/>
  <c r="AB42" i="83"/>
  <c r="AB92" i="34" s="1"/>
  <c r="AB118" i="34" s="1"/>
  <c r="BG38" i="110" s="1"/>
  <c r="BG91" i="110" s="1"/>
  <c r="AB101" i="34"/>
  <c r="AB127" i="34" s="1"/>
  <c r="AB8" i="110" s="1"/>
  <c r="AB42" i="110" s="1"/>
  <c r="AB59" i="110" s="1"/>
  <c r="AB77" i="110" s="1"/>
  <c r="W8" i="110"/>
  <c r="W42" i="110" s="1"/>
  <c r="W59" i="110" s="1"/>
  <c r="W77" i="110" s="1"/>
  <c r="V117" i="34"/>
  <c r="BA37" i="110" s="1"/>
  <c r="BA90" i="110" s="1"/>
  <c r="T101" i="34"/>
  <c r="T127" i="34" s="1"/>
  <c r="AY42" i="110" s="1"/>
  <c r="AY112" i="110" s="1"/>
  <c r="AY157" i="110" s="1"/>
  <c r="T42" i="83"/>
  <c r="T92" i="34" s="1"/>
  <c r="T118" i="34" s="1"/>
  <c r="AY38" i="110" s="1"/>
  <c r="AY108" i="110" s="1"/>
  <c r="AY140" i="110" s="1"/>
  <c r="Z42" i="83"/>
  <c r="Z92" i="34" s="1"/>
  <c r="Z118" i="34" s="1"/>
  <c r="Z4" i="110" s="1"/>
  <c r="Z38" i="110" s="1"/>
  <c r="Z55" i="110" s="1"/>
  <c r="U42" i="83"/>
  <c r="U92" i="34" s="1"/>
  <c r="U118" i="34" s="1"/>
  <c r="AZ38" i="110" s="1"/>
  <c r="AZ91" i="110" s="1"/>
  <c r="Z53" i="83"/>
  <c r="Z111" i="34" s="1"/>
  <c r="Z137" i="34" s="1"/>
  <c r="BE47" i="110" s="1"/>
  <c r="U101" i="34"/>
  <c r="U127" i="34" s="1"/>
  <c r="AZ42" i="110" s="1"/>
  <c r="AZ95" i="110" s="1"/>
  <c r="U10" i="110"/>
  <c r="U44" i="110" s="1"/>
  <c r="F42" i="83"/>
  <c r="X7" i="110"/>
  <c r="X41" i="110" s="1"/>
  <c r="X12" i="36"/>
  <c r="W12" i="36"/>
  <c r="BB41" i="110"/>
  <c r="BB94" i="110" s="1"/>
  <c r="W7" i="110"/>
  <c r="W41" i="110" s="1"/>
  <c r="W58" i="110" s="1"/>
  <c r="W94" i="110" s="1"/>
  <c r="BC41" i="110"/>
  <c r="BC111" i="110" s="1"/>
  <c r="BC145" i="110" s="1"/>
  <c r="R126" i="34"/>
  <c r="AV213" i="36"/>
  <c r="AV217" i="36"/>
  <c r="AV218" i="36"/>
  <c r="AV209" i="36"/>
  <c r="AV210" i="36"/>
  <c r="AV214" i="36"/>
  <c r="AV211" i="36"/>
  <c r="AV215" i="36"/>
  <c r="AV207" i="36"/>
  <c r="AV221" i="36"/>
  <c r="AV212" i="36"/>
  <c r="AV216" i="36"/>
  <c r="AV220" i="36"/>
  <c r="AV208" i="36"/>
  <c r="AV219" i="36"/>
  <c r="W111" i="36"/>
  <c r="T5" i="110"/>
  <c r="T39" i="110" s="1"/>
  <c r="U5" i="110"/>
  <c r="U39" i="110" s="1"/>
  <c r="S10" i="110"/>
  <c r="S44" i="110" s="1"/>
  <c r="W109" i="34"/>
  <c r="W135" i="34" s="1"/>
  <c r="W21" i="36" s="1"/>
  <c r="W157" i="36" s="1"/>
  <c r="W105" i="34"/>
  <c r="W131" i="34" s="1"/>
  <c r="W17" i="36" s="1"/>
  <c r="W124" i="36" s="1"/>
  <c r="V109" i="34"/>
  <c r="V135" i="34" s="1"/>
  <c r="V21" i="36" s="1"/>
  <c r="V157" i="36" s="1"/>
  <c r="V105" i="34"/>
  <c r="V131" i="34" s="1"/>
  <c r="V17" i="36" s="1"/>
  <c r="V152" i="36" s="1"/>
  <c r="Z10" i="110"/>
  <c r="Z44" i="110" s="1"/>
  <c r="Z15" i="36"/>
  <c r="Z153" i="36" s="1"/>
  <c r="T10" i="110"/>
  <c r="T44" i="110" s="1"/>
  <c r="T15" i="36"/>
  <c r="T153" i="36" s="1"/>
  <c r="W127" i="110"/>
  <c r="X99" i="34"/>
  <c r="X125" i="34" s="1"/>
  <c r="X11" i="36" s="1"/>
  <c r="X147" i="36" s="1"/>
  <c r="X105" i="34"/>
  <c r="X131" i="34" s="1"/>
  <c r="X17" i="36" s="1"/>
  <c r="AB105" i="34"/>
  <c r="AB131" i="34" s="1"/>
  <c r="AB17" i="36" s="1"/>
  <c r="AB152" i="36" s="1"/>
  <c r="S5" i="110"/>
  <c r="S39" i="110" s="1"/>
  <c r="Y5" i="110"/>
  <c r="Y39" i="110" s="1"/>
  <c r="Y105" i="34"/>
  <c r="Y131" i="34" s="1"/>
  <c r="Y17" i="36" s="1"/>
  <c r="Y152" i="36" s="1"/>
  <c r="R109" i="34"/>
  <c r="R135" i="34" s="1"/>
  <c r="R21" i="36" s="1"/>
  <c r="R157" i="36" s="1"/>
  <c r="R105" i="34"/>
  <c r="R131" i="34" s="1"/>
  <c r="R17" i="36" s="1"/>
  <c r="R124" i="36" s="1"/>
  <c r="T105" i="34"/>
  <c r="T131" i="34" s="1"/>
  <c r="T17" i="36" s="1"/>
  <c r="T152" i="36" s="1"/>
  <c r="R10" i="110"/>
  <c r="R44" i="110" s="1"/>
  <c r="R15" i="36"/>
  <c r="AA10" i="110"/>
  <c r="AA44" i="110" s="1"/>
  <c r="AA15" i="36"/>
  <c r="AA153" i="36" s="1"/>
  <c r="Z95" i="34"/>
  <c r="Z105" i="34"/>
  <c r="Z131" i="34" s="1"/>
  <c r="Z17" i="36" s="1"/>
  <c r="Z152" i="36" s="1"/>
  <c r="R5" i="110"/>
  <c r="R39" i="110" s="1"/>
  <c r="AB5" i="36"/>
  <c r="AB141" i="36" s="1"/>
  <c r="S123" i="36"/>
  <c r="S151" i="36"/>
  <c r="T141" i="36"/>
  <c r="T113" i="36"/>
  <c r="U113" i="36"/>
  <c r="U141" i="36"/>
  <c r="R113" i="36"/>
  <c r="R141" i="36"/>
  <c r="U123" i="36"/>
  <c r="U151" i="36"/>
  <c r="V5" i="110"/>
  <c r="V39" i="110" s="1"/>
  <c r="S141" i="36"/>
  <c r="Y141" i="36"/>
  <c r="W129" i="110"/>
  <c r="W214" i="110" s="1"/>
  <c r="W260" i="110" s="1"/>
  <c r="W128" i="110"/>
  <c r="W213" i="110" s="1"/>
  <c r="W259" i="110" s="1"/>
  <c r="BB107" i="110"/>
  <c r="W124" i="110"/>
  <c r="W209" i="110" s="1"/>
  <c r="W255" i="110" s="1"/>
  <c r="W131" i="110"/>
  <c r="W130" i="110"/>
  <c r="W215" i="110" s="1"/>
  <c r="W261" i="110" s="1"/>
  <c r="X158" i="36"/>
  <c r="W126" i="110"/>
  <c r="W211" i="110" s="1"/>
  <c r="W257" i="110" s="1"/>
  <c r="BB36" i="110"/>
  <c r="BB89" i="110" s="1"/>
  <c r="W2" i="36"/>
  <c r="W110" i="36" s="1"/>
  <c r="S122" i="36"/>
  <c r="Z122" i="36"/>
  <c r="V8" i="110"/>
  <c r="V42" i="110" s="1"/>
  <c r="V59" i="110" s="1"/>
  <c r="V95" i="110" s="1"/>
  <c r="U111" i="110"/>
  <c r="V111" i="110"/>
  <c r="BA112" i="110"/>
  <c r="BA158" i="110" s="1"/>
  <c r="V13" i="36"/>
  <c r="AA128" i="36"/>
  <c r="AA156" i="36"/>
  <c r="AZ111" i="110"/>
  <c r="AZ94" i="110"/>
  <c r="V158" i="36"/>
  <c r="AV14" i="35"/>
  <c r="T156" i="36"/>
  <c r="T111" i="36"/>
  <c r="BG111" i="110"/>
  <c r="BG125" i="110" s="1"/>
  <c r="Y146" i="36"/>
  <c r="U156" i="36"/>
  <c r="X160" i="36"/>
  <c r="BA161" i="110"/>
  <c r="BA160" i="110"/>
  <c r="BA166" i="110"/>
  <c r="AA4" i="110"/>
  <c r="AA38" i="110" s="1"/>
  <c r="AA55" i="110" s="1"/>
  <c r="AA91" i="110" s="1"/>
  <c r="AA4" i="36"/>
  <c r="S2" i="36"/>
  <c r="S110" i="36" s="1"/>
  <c r="AY90" i="110"/>
  <c r="R126" i="110"/>
  <c r="R211" i="110" s="1"/>
  <c r="R257" i="110" s="1"/>
  <c r="W160" i="36"/>
  <c r="BF108" i="110"/>
  <c r="BF136" i="110" s="1"/>
  <c r="W150" i="36"/>
  <c r="W158" i="36"/>
  <c r="AW14" i="35"/>
  <c r="T131" i="110"/>
  <c r="T129" i="110"/>
  <c r="T214" i="110" s="1"/>
  <c r="T260" i="110" s="1"/>
  <c r="T23" i="36"/>
  <c r="AS14" i="35"/>
  <c r="T125" i="110"/>
  <c r="T210" i="110" s="1"/>
  <c r="T256" i="110" s="1"/>
  <c r="T127" i="110"/>
  <c r="T128" i="110"/>
  <c r="T213" i="110" s="1"/>
  <c r="T259" i="110" s="1"/>
  <c r="T124" i="110"/>
  <c r="T209" i="110" s="1"/>
  <c r="T255" i="110" s="1"/>
  <c r="Z160" i="36"/>
  <c r="V113" i="36"/>
  <c r="AY36" i="110"/>
  <c r="AY89" i="110" s="1"/>
  <c r="T130" i="110"/>
  <c r="T215" i="110" s="1"/>
  <c r="T261" i="110" s="1"/>
  <c r="U158" i="36"/>
  <c r="T2" i="36"/>
  <c r="T110" i="36" s="1"/>
  <c r="AX107" i="110"/>
  <c r="Z128" i="110"/>
  <c r="Z213" i="110" s="1"/>
  <c r="Z259" i="110" s="1"/>
  <c r="Z130" i="110"/>
  <c r="Z215" i="110" s="1"/>
  <c r="Z261" i="110" s="1"/>
  <c r="AW107" i="110"/>
  <c r="Z129" i="110"/>
  <c r="Z214" i="110" s="1"/>
  <c r="Z260" i="110" s="1"/>
  <c r="Z127" i="110"/>
  <c r="BE36" i="110"/>
  <c r="BE106" i="110" s="1"/>
  <c r="Z126" i="110"/>
  <c r="Z211" i="110" s="1"/>
  <c r="Z257" i="110" s="1"/>
  <c r="Z125" i="110"/>
  <c r="Z210" i="110" s="1"/>
  <c r="Z256" i="110" s="1"/>
  <c r="Z124" i="110"/>
  <c r="Z209" i="110" s="1"/>
  <c r="Z255" i="110" s="1"/>
  <c r="Z2" i="36"/>
  <c r="Z110" i="36" s="1"/>
  <c r="AU14" i="35"/>
  <c r="AW36" i="110"/>
  <c r="AW89" i="110" s="1"/>
  <c r="R125" i="110"/>
  <c r="R210" i="110" s="1"/>
  <c r="R256" i="110" s="1"/>
  <c r="R128" i="110"/>
  <c r="R213" i="110" s="1"/>
  <c r="R259" i="110" s="1"/>
  <c r="V139" i="34"/>
  <c r="BA49" i="110" s="1"/>
  <c r="R127" i="110"/>
  <c r="S128" i="110"/>
  <c r="S213" i="110" s="1"/>
  <c r="S259" i="110" s="1"/>
  <c r="S126" i="110"/>
  <c r="S211" i="110" s="1"/>
  <c r="S257" i="110" s="1"/>
  <c r="BA165" i="110"/>
  <c r="BA164" i="110"/>
  <c r="V13" i="110"/>
  <c r="V47" i="110" s="1"/>
  <c r="V64" i="110" s="1"/>
  <c r="V82" i="110" s="1"/>
  <c r="BA162" i="110"/>
  <c r="S160" i="36"/>
  <c r="S127" i="110"/>
  <c r="R2" i="36"/>
  <c r="R110" i="36" s="1"/>
  <c r="R160" i="36"/>
  <c r="R124" i="110"/>
  <c r="R209" i="110" s="1"/>
  <c r="R255" i="110" s="1"/>
  <c r="S124" i="110"/>
  <c r="S209" i="110" s="1"/>
  <c r="S255" i="110" s="1"/>
  <c r="BA163" i="110"/>
  <c r="AX36" i="110"/>
  <c r="AX106" i="110" s="1"/>
  <c r="R131" i="110"/>
  <c r="S131" i="110"/>
  <c r="V23" i="36"/>
  <c r="S125" i="110"/>
  <c r="S210" i="110" s="1"/>
  <c r="S256" i="110" s="1"/>
  <c r="R130" i="110"/>
  <c r="R215" i="110" s="1"/>
  <c r="R261" i="110" s="1"/>
  <c r="S130" i="110"/>
  <c r="S215" i="110" s="1"/>
  <c r="S261" i="110" s="1"/>
  <c r="BA100" i="110"/>
  <c r="AY161" i="110"/>
  <c r="AY167" i="110"/>
  <c r="U160" i="36"/>
  <c r="V99" i="34"/>
  <c r="V125" i="34" s="1"/>
  <c r="V11" i="36" s="1"/>
  <c r="V95" i="34"/>
  <c r="V121" i="34" s="1"/>
  <c r="W128" i="36"/>
  <c r="BE107" i="110"/>
  <c r="AB58" i="110"/>
  <c r="AB76" i="110" s="1"/>
  <c r="AY160" i="110"/>
  <c r="AY100" i="110"/>
  <c r="T99" i="34"/>
  <c r="T125" i="34" s="1"/>
  <c r="T11" i="36" s="1"/>
  <c r="T147" i="36" s="1"/>
  <c r="AY166" i="110"/>
  <c r="AY165" i="110"/>
  <c r="AY164" i="110"/>
  <c r="T13" i="110"/>
  <c r="T47" i="110" s="1"/>
  <c r="T64" i="110" s="1"/>
  <c r="T82" i="110" s="1"/>
  <c r="AY162" i="110"/>
  <c r="X151" i="36"/>
  <c r="AY130" i="110"/>
  <c r="BG107" i="110"/>
  <c r="AA118" i="36"/>
  <c r="AA146" i="36"/>
  <c r="Y122" i="36"/>
  <c r="T95" i="34"/>
  <c r="AA160" i="36"/>
  <c r="BE94" i="110"/>
  <c r="T139" i="34"/>
  <c r="AY49" i="110" s="1"/>
  <c r="AY146" i="110"/>
  <c r="AB123" i="36"/>
  <c r="T160" i="36"/>
  <c r="AY149" i="110"/>
  <c r="X118" i="36"/>
  <c r="X146" i="36"/>
  <c r="AY147" i="110"/>
  <c r="AY144" i="110"/>
  <c r="AY125" i="110"/>
  <c r="AY142" i="110"/>
  <c r="Z139" i="34"/>
  <c r="BE49" i="110" s="1"/>
  <c r="T109" i="34"/>
  <c r="T135" i="34" s="1"/>
  <c r="T21" i="36" s="1"/>
  <c r="T157" i="36" s="1"/>
  <c r="AY143" i="110"/>
  <c r="AY129" i="110"/>
  <c r="T111" i="110"/>
  <c r="AY128" i="110"/>
  <c r="AY148" i="110"/>
  <c r="AY124" i="110"/>
  <c r="AB99" i="34"/>
  <c r="AB125" i="34" s="1"/>
  <c r="AB11" i="36" s="1"/>
  <c r="AB147" i="36" s="1"/>
  <c r="AY126" i="110"/>
  <c r="AB139" i="34"/>
  <c r="BG49" i="110" s="1"/>
  <c r="R122" i="36"/>
  <c r="S111" i="110"/>
  <c r="Y139" i="36"/>
  <c r="U150" i="36"/>
  <c r="V128" i="36"/>
  <c r="U139" i="36"/>
  <c r="S4" i="36"/>
  <c r="S4" i="110"/>
  <c r="S38" i="110" s="1"/>
  <c r="S55" i="110" s="1"/>
  <c r="S91" i="110" s="1"/>
  <c r="AX108" i="110"/>
  <c r="AX140" i="110" s="1"/>
  <c r="AB109" i="34"/>
  <c r="AB135" i="34" s="1"/>
  <c r="AB21" i="36" s="1"/>
  <c r="AB157" i="36" s="1"/>
  <c r="AB95" i="34"/>
  <c r="Z99" i="34"/>
  <c r="Z125" i="34" s="1"/>
  <c r="Z11" i="36" s="1"/>
  <c r="Z147" i="36" s="1"/>
  <c r="Z109" i="34"/>
  <c r="Z135" i="34" s="1"/>
  <c r="Z21" i="36" s="1"/>
  <c r="Z157" i="36" s="1"/>
  <c r="R99" i="34"/>
  <c r="R125" i="34" s="1"/>
  <c r="R11" i="36" s="1"/>
  <c r="R147" i="36" s="1"/>
  <c r="Y139" i="34"/>
  <c r="BD49" i="110" s="1"/>
  <c r="U2" i="36"/>
  <c r="U110" i="36" s="1"/>
  <c r="U2" i="110"/>
  <c r="U36" i="110" s="1"/>
  <c r="U53" i="110" s="1"/>
  <c r="U71" i="110" s="1"/>
  <c r="U129" i="110" s="1"/>
  <c r="U214" i="110" s="1"/>
  <c r="U260" i="110" s="1"/>
  <c r="BD90" i="110"/>
  <c r="R95" i="34"/>
  <c r="R121" i="34" s="1"/>
  <c r="R139" i="34"/>
  <c r="AW49" i="110" s="1"/>
  <c r="Y111" i="110"/>
  <c r="AZ89" i="110"/>
  <c r="AZ106" i="110"/>
  <c r="AZ131" i="110" s="1"/>
  <c r="AB13" i="110"/>
  <c r="AB47" i="110" s="1"/>
  <c r="AB64" i="110" s="1"/>
  <c r="AB100" i="110" s="1"/>
  <c r="BD89" i="110"/>
  <c r="BD106" i="110"/>
  <c r="BD131" i="110" s="1"/>
  <c r="V150" i="36"/>
  <c r="W95" i="34"/>
  <c r="W139" i="34"/>
  <c r="W25" i="36" s="1"/>
  <c r="W133" i="36" s="1"/>
  <c r="Y132" i="36"/>
  <c r="AZ90" i="110"/>
  <c r="Y4" i="110"/>
  <c r="Y38" i="110" s="1"/>
  <c r="Y55" i="110" s="1"/>
  <c r="W99" i="34"/>
  <c r="W125" i="34" s="1"/>
  <c r="W11" i="36" s="1"/>
  <c r="W147" i="36" s="1"/>
  <c r="BD108" i="110"/>
  <c r="BD140" i="110" s="1"/>
  <c r="V132" i="36"/>
  <c r="Y95" i="34"/>
  <c r="Y109" i="34"/>
  <c r="Y135" i="34" s="1"/>
  <c r="Y21" i="36" s="1"/>
  <c r="Y157" i="36" s="1"/>
  <c r="BF94" i="110"/>
  <c r="Y2" i="110"/>
  <c r="Y36" i="110" s="1"/>
  <c r="Y53" i="110" s="1"/>
  <c r="Y71" i="110" s="1"/>
  <c r="Y2" i="36"/>
  <c r="Y110" i="36" s="1"/>
  <c r="Y99" i="34"/>
  <c r="Y125" i="34" s="1"/>
  <c r="Y11" i="36" s="1"/>
  <c r="Y147" i="36" s="1"/>
  <c r="AB23" i="36"/>
  <c r="BG117" i="110"/>
  <c r="BE42" i="110"/>
  <c r="Z13" i="36"/>
  <c r="Z8" i="110"/>
  <c r="Z42" i="110" s="1"/>
  <c r="Y123" i="36"/>
  <c r="AB146" i="36"/>
  <c r="AB118" i="36"/>
  <c r="AB2" i="36"/>
  <c r="AB110" i="36" s="1"/>
  <c r="AB2" i="110"/>
  <c r="AB36" i="110" s="1"/>
  <c r="AB53" i="110" s="1"/>
  <c r="AB71" i="110" s="1"/>
  <c r="AB130" i="110" s="1"/>
  <c r="AB215" i="110" s="1"/>
  <c r="AB261" i="110" s="1"/>
  <c r="BG36" i="110"/>
  <c r="AB132" i="36"/>
  <c r="S128" i="36"/>
  <c r="S156" i="36"/>
  <c r="Z111" i="110"/>
  <c r="W141" i="36"/>
  <c r="W113" i="36"/>
  <c r="AZ47" i="110"/>
  <c r="U23" i="36"/>
  <c r="U13" i="110"/>
  <c r="U47" i="110" s="1"/>
  <c r="X139" i="34"/>
  <c r="BA38" i="110"/>
  <c r="V4" i="110"/>
  <c r="V38" i="110" s="1"/>
  <c r="V4" i="36"/>
  <c r="AX14" i="35"/>
  <c r="Z141" i="36"/>
  <c r="Z113" i="36"/>
  <c r="X109" i="34"/>
  <c r="X135" i="34" s="1"/>
  <c r="X21" i="36" s="1"/>
  <c r="X157" i="36" s="1"/>
  <c r="X95" i="34"/>
  <c r="X121" i="34" s="1"/>
  <c r="AQ14" i="35"/>
  <c r="V2" i="110"/>
  <c r="V36" i="110" s="1"/>
  <c r="V53" i="110" s="1"/>
  <c r="V71" i="110" s="1"/>
  <c r="BA36" i="110"/>
  <c r="V2" i="36"/>
  <c r="V110" i="36" s="1"/>
  <c r="BD111" i="110"/>
  <c r="BD125" i="110" s="1"/>
  <c r="R118" i="36"/>
  <c r="R146" i="36"/>
  <c r="U99" i="34"/>
  <c r="U125" i="34" s="1"/>
  <c r="U11" i="36" s="1"/>
  <c r="U147" i="36" s="1"/>
  <c r="U95" i="34"/>
  <c r="U121" i="34" s="1"/>
  <c r="U109" i="34"/>
  <c r="U135" i="34" s="1"/>
  <c r="U21" i="36" s="1"/>
  <c r="U157" i="36" s="1"/>
  <c r="U139" i="34"/>
  <c r="W123" i="36"/>
  <c r="W151" i="36"/>
  <c r="Y4" i="36"/>
  <c r="Y156" i="36"/>
  <c r="Y128" i="36"/>
  <c r="AA3" i="36"/>
  <c r="AA3" i="110"/>
  <c r="AA37" i="110" s="1"/>
  <c r="AA54" i="110" s="1"/>
  <c r="BF37" i="110"/>
  <c r="Z146" i="36"/>
  <c r="Z118" i="36"/>
  <c r="AA113" i="36"/>
  <c r="AA141" i="36"/>
  <c r="AY14" i="35"/>
  <c r="W146" i="36"/>
  <c r="W118" i="36"/>
  <c r="R101" i="34"/>
  <c r="R127" i="34" s="1"/>
  <c r="R42" i="83"/>
  <c r="R92" i="34" s="1"/>
  <c r="R118" i="34" s="1"/>
  <c r="R53" i="83"/>
  <c r="R111" i="34" s="1"/>
  <c r="R137" i="34" s="1"/>
  <c r="T122" i="36"/>
  <c r="T150" i="36"/>
  <c r="BC38" i="110"/>
  <c r="X4" i="110"/>
  <c r="X38" i="110" s="1"/>
  <c r="X4" i="36"/>
  <c r="AA95" i="34"/>
  <c r="AA121" i="34" s="1"/>
  <c r="AA109" i="34"/>
  <c r="AA135" i="34" s="1"/>
  <c r="AA21" i="36" s="1"/>
  <c r="AA157" i="36" s="1"/>
  <c r="AA139" i="34"/>
  <c r="AA99" i="34"/>
  <c r="AA125" i="34" s="1"/>
  <c r="AA11" i="36" s="1"/>
  <c r="AA147" i="36" s="1"/>
  <c r="BD47" i="110"/>
  <c r="Y23" i="36"/>
  <c r="Y13" i="110"/>
  <c r="Y47" i="110" s="1"/>
  <c r="X113" i="36"/>
  <c r="X141" i="36"/>
  <c r="S99" i="34"/>
  <c r="S125" i="34" s="1"/>
  <c r="S11" i="36" s="1"/>
  <c r="S147" i="36" s="1"/>
  <c r="S139" i="34"/>
  <c r="S109" i="34"/>
  <c r="S135" i="34" s="1"/>
  <c r="S21" i="36" s="1"/>
  <c r="S157" i="36" s="1"/>
  <c r="S95" i="34"/>
  <c r="S121" i="34" s="1"/>
  <c r="AA2" i="36"/>
  <c r="AA110" i="36" s="1"/>
  <c r="BF36" i="110"/>
  <c r="AA2" i="110"/>
  <c r="AA36" i="110" s="1"/>
  <c r="AA53" i="110" s="1"/>
  <c r="AA71" i="110" s="1"/>
  <c r="AA124" i="110" s="1"/>
  <c r="AA209" i="110" s="1"/>
  <c r="AA255" i="110" s="1"/>
  <c r="T164" i="110"/>
  <c r="R130" i="36"/>
  <c r="R158" i="36"/>
  <c r="Y130" i="36"/>
  <c r="Y158" i="36"/>
  <c r="S158" i="36"/>
  <c r="S130" i="36"/>
  <c r="Z130" i="36"/>
  <c r="Z158" i="36"/>
  <c r="AB158" i="36"/>
  <c r="AB130" i="36"/>
  <c r="AA158" i="36"/>
  <c r="AA130" i="36"/>
  <c r="T158" i="36"/>
  <c r="T130" i="36"/>
  <c r="T161" i="110"/>
  <c r="BE149" i="110"/>
  <c r="BE145" i="110"/>
  <c r="BF149" i="110"/>
  <c r="BF145" i="110"/>
  <c r="T160" i="110"/>
  <c r="T166" i="110"/>
  <c r="T165" i="110"/>
  <c r="BF130" i="110"/>
  <c r="BF124" i="110"/>
  <c r="BF128" i="110"/>
  <c r="BF125" i="110"/>
  <c r="BF129" i="110"/>
  <c r="BF126" i="110"/>
  <c r="BE130" i="110"/>
  <c r="BE129" i="110"/>
  <c r="BE128" i="110"/>
  <c r="BE126" i="110"/>
  <c r="BE125" i="110"/>
  <c r="BE124" i="110"/>
  <c r="T76" i="110"/>
  <c r="T94" i="110"/>
  <c r="BE142" i="110"/>
  <c r="BE143" i="110"/>
  <c r="BE144" i="110"/>
  <c r="BE146" i="110"/>
  <c r="BE147" i="110"/>
  <c r="BE148" i="110"/>
  <c r="U76" i="110"/>
  <c r="U94" i="110"/>
  <c r="BF142" i="110"/>
  <c r="BF146" i="110"/>
  <c r="BF144" i="110"/>
  <c r="BF148" i="110"/>
  <c r="BF147" i="110"/>
  <c r="BF143" i="110"/>
  <c r="AA76" i="110"/>
  <c r="AA94" i="110"/>
  <c r="Y76" i="110"/>
  <c r="Y94" i="110"/>
  <c r="Z76" i="110"/>
  <c r="Z94" i="110"/>
  <c r="AY133" i="110"/>
  <c r="AY134" i="110"/>
  <c r="AY135" i="110"/>
  <c r="AY137" i="110"/>
  <c r="AY138" i="110"/>
  <c r="AY139" i="110"/>
  <c r="S76" i="110"/>
  <c r="S94" i="110"/>
  <c r="V76" i="110"/>
  <c r="V94" i="110"/>
  <c r="AA13" i="110" l="1"/>
  <c r="AA47" i="110" s="1"/>
  <c r="AA117" i="110" s="1"/>
  <c r="AA13" i="36"/>
  <c r="AA8" i="110"/>
  <c r="AA42" i="110" s="1"/>
  <c r="AA59" i="110" s="1"/>
  <c r="AA77" i="110" s="1"/>
  <c r="BF117" i="110"/>
  <c r="BF160" i="110" s="1"/>
  <c r="AA23" i="36"/>
  <c r="AX151" i="110"/>
  <c r="AW307" i="110" s="1"/>
  <c r="S13" i="36"/>
  <c r="AX95" i="110"/>
  <c r="AX156" i="110"/>
  <c r="AX153" i="110"/>
  <c r="AX158" i="110"/>
  <c r="AX154" i="110"/>
  <c r="AX157" i="110"/>
  <c r="AX155" i="110"/>
  <c r="S8" i="110"/>
  <c r="S42" i="110" s="1"/>
  <c r="S59" i="110" s="1"/>
  <c r="BF112" i="110"/>
  <c r="BF154" i="110" s="1"/>
  <c r="X13" i="110"/>
  <c r="X47" i="110" s="1"/>
  <c r="X117" i="110" s="1"/>
  <c r="X23" i="36"/>
  <c r="X8" i="110"/>
  <c r="X42" i="110" s="1"/>
  <c r="X59" i="110" s="1"/>
  <c r="BC42" i="110"/>
  <c r="BC95" i="110" s="1"/>
  <c r="AX100" i="110"/>
  <c r="Y13" i="36"/>
  <c r="AX164" i="110"/>
  <c r="AX167" i="110"/>
  <c r="AX163" i="110"/>
  <c r="BD112" i="110"/>
  <c r="BD154" i="110" s="1"/>
  <c r="S13" i="110"/>
  <c r="S47" i="110" s="1"/>
  <c r="S64" i="110" s="1"/>
  <c r="S82" i="110" s="1"/>
  <c r="AX165" i="110"/>
  <c r="X127" i="110"/>
  <c r="X130" i="110"/>
  <c r="X215" i="110" s="1"/>
  <c r="X261" i="110" s="1"/>
  <c r="X124" i="110"/>
  <c r="X209" i="110" s="1"/>
  <c r="X255" i="110" s="1"/>
  <c r="Z13" i="110"/>
  <c r="Z47" i="110" s="1"/>
  <c r="Z117" i="110" s="1"/>
  <c r="S23" i="36"/>
  <c r="X128" i="110"/>
  <c r="X213" i="110" s="1"/>
  <c r="X259" i="110" s="1"/>
  <c r="X125" i="110"/>
  <c r="X210" i="110" s="1"/>
  <c r="X256" i="110" s="1"/>
  <c r="AX161" i="110"/>
  <c r="AW308" i="110" s="1"/>
  <c r="BC36" i="110"/>
  <c r="BC106" i="110" s="1"/>
  <c r="BC127" i="110" s="1"/>
  <c r="X129" i="110"/>
  <c r="X214" i="110" s="1"/>
  <c r="X260" i="110" s="1"/>
  <c r="Y8" i="110"/>
  <c r="Y42" i="110" s="1"/>
  <c r="Y59" i="110" s="1"/>
  <c r="Y77" i="110" s="1"/>
  <c r="X2" i="36"/>
  <c r="X110" i="36" s="1"/>
  <c r="Z23" i="36"/>
  <c r="X126" i="110"/>
  <c r="X211" i="110" s="1"/>
  <c r="X257" i="110" s="1"/>
  <c r="X139" i="36"/>
  <c r="AX162" i="110"/>
  <c r="AX166" i="110"/>
  <c r="AZ108" i="110"/>
  <c r="AZ140" i="110" s="1"/>
  <c r="BC90" i="110"/>
  <c r="U4" i="110"/>
  <c r="U38" i="110" s="1"/>
  <c r="U55" i="110" s="1"/>
  <c r="U73" i="110" s="1"/>
  <c r="W4" i="36"/>
  <c r="W4" i="110"/>
  <c r="W38" i="110" s="1"/>
  <c r="W108" i="110" s="1"/>
  <c r="W13" i="110"/>
  <c r="W47" i="110" s="1"/>
  <c r="W117" i="110" s="1"/>
  <c r="R123" i="36"/>
  <c r="R153" i="36"/>
  <c r="V3" i="110"/>
  <c r="V37" i="110" s="1"/>
  <c r="V54" i="110" s="1"/>
  <c r="U4" i="36"/>
  <c r="AB13" i="36"/>
  <c r="AY153" i="110"/>
  <c r="AX309" i="110" s="1"/>
  <c r="T8" i="110"/>
  <c r="T42" i="110" s="1"/>
  <c r="T59" i="110" s="1"/>
  <c r="T77" i="110" s="1"/>
  <c r="AX288" i="110" s="1"/>
  <c r="AB4" i="110"/>
  <c r="AB38" i="110" s="1"/>
  <c r="AB55" i="110" s="1"/>
  <c r="AB91" i="110" s="1"/>
  <c r="AY156" i="110"/>
  <c r="AX312" i="110" s="1"/>
  <c r="AY155" i="110"/>
  <c r="AX311" i="110" s="1"/>
  <c r="BG108" i="110"/>
  <c r="BG140" i="110" s="1"/>
  <c r="AY152" i="110"/>
  <c r="AX308" i="110" s="1"/>
  <c r="AY154" i="110"/>
  <c r="AY95" i="110"/>
  <c r="AB4" i="36"/>
  <c r="T13" i="36"/>
  <c r="AY151" i="110"/>
  <c r="AX307" i="110" s="1"/>
  <c r="AY158" i="110"/>
  <c r="BG42" i="110"/>
  <c r="BG112" i="110" s="1"/>
  <c r="W23" i="36"/>
  <c r="AB112" i="110"/>
  <c r="AB147" i="110" s="1"/>
  <c r="Z4" i="36"/>
  <c r="BB117" i="110"/>
  <c r="BB162" i="110" s="1"/>
  <c r="BE38" i="110"/>
  <c r="BE108" i="110" s="1"/>
  <c r="BE136" i="110" s="1"/>
  <c r="Y124" i="36"/>
  <c r="BA107" i="110"/>
  <c r="W111" i="110"/>
  <c r="W95" i="110"/>
  <c r="W112" i="110"/>
  <c r="W142" i="110" s="1"/>
  <c r="V3" i="36"/>
  <c r="V139" i="36" s="1"/>
  <c r="AY136" i="110"/>
  <c r="AY91" i="110"/>
  <c r="T4" i="36"/>
  <c r="T4" i="110"/>
  <c r="T38" i="110" s="1"/>
  <c r="T55" i="110" s="1"/>
  <c r="T91" i="110" s="1"/>
  <c r="U13" i="36"/>
  <c r="BB111" i="110"/>
  <c r="BB146" i="110" s="1"/>
  <c r="AZ112" i="110"/>
  <c r="AZ155" i="110" s="1"/>
  <c r="U8" i="110"/>
  <c r="U42" i="110" s="1"/>
  <c r="U59" i="110" s="1"/>
  <c r="U95" i="110" s="1"/>
  <c r="BC94" i="110"/>
  <c r="BC149" i="110"/>
  <c r="BC147" i="110"/>
  <c r="BC129" i="110"/>
  <c r="V147" i="36"/>
  <c r="V119" i="36"/>
  <c r="BC146" i="110"/>
  <c r="BC130" i="110"/>
  <c r="BC144" i="110"/>
  <c r="R7" i="36"/>
  <c r="R142" i="36" s="1"/>
  <c r="V7" i="36"/>
  <c r="V114" i="36" s="1"/>
  <c r="BC143" i="110"/>
  <c r="AA7" i="36"/>
  <c r="AA114" i="36" s="1"/>
  <c r="BC142" i="110"/>
  <c r="BC125" i="110"/>
  <c r="BC126" i="110"/>
  <c r="X7" i="36"/>
  <c r="X142" i="36" s="1"/>
  <c r="W76" i="110"/>
  <c r="S7" i="36"/>
  <c r="S142" i="36" s="1"/>
  <c r="BC124" i="110"/>
  <c r="U7" i="36"/>
  <c r="U114" i="36" s="1"/>
  <c r="BC148" i="110"/>
  <c r="BC128" i="110"/>
  <c r="AX131" i="110"/>
  <c r="X58" i="110"/>
  <c r="X111" i="110"/>
  <c r="R12" i="36"/>
  <c r="R7" i="110"/>
  <c r="R41" i="110" s="1"/>
  <c r="AW41" i="110"/>
  <c r="V106" i="142"/>
  <c r="V106" i="112"/>
  <c r="V110" i="142"/>
  <c r="V110" i="112"/>
  <c r="V102" i="142"/>
  <c r="V102" i="112"/>
  <c r="V99" i="142"/>
  <c r="V99" i="112"/>
  <c r="V105" i="142"/>
  <c r="V105" i="112"/>
  <c r="BB210" i="36"/>
  <c r="BB214" i="36"/>
  <c r="BB220" i="36"/>
  <c r="BB219" i="36"/>
  <c r="BB211" i="36"/>
  <c r="BB215" i="36"/>
  <c r="BB218" i="36"/>
  <c r="BB207" i="36"/>
  <c r="BB212" i="36"/>
  <c r="BB216" i="36"/>
  <c r="BB208" i="36"/>
  <c r="BB213" i="36"/>
  <c r="BB217" i="36"/>
  <c r="BB209" i="36"/>
  <c r="BB221" i="36"/>
  <c r="V111" i="142"/>
  <c r="V111" i="112"/>
  <c r="V101" i="142"/>
  <c r="V101" i="112"/>
  <c r="AU209" i="36"/>
  <c r="AU219" i="36"/>
  <c r="AU210" i="36"/>
  <c r="AU214" i="36"/>
  <c r="AU218" i="36"/>
  <c r="AU211" i="36"/>
  <c r="AU215" i="36"/>
  <c r="AU207" i="36"/>
  <c r="AU212" i="36"/>
  <c r="AU216" i="36"/>
  <c r="AU208" i="36"/>
  <c r="AU221" i="36"/>
  <c r="AU213" i="36"/>
  <c r="AU217" i="36"/>
  <c r="AU220" i="36"/>
  <c r="V107" i="142"/>
  <c r="V107" i="112"/>
  <c r="V100" i="142"/>
  <c r="V100" i="112"/>
  <c r="AX212" i="36"/>
  <c r="AX216" i="36"/>
  <c r="AX208" i="36"/>
  <c r="AX213" i="36"/>
  <c r="AX217" i="36"/>
  <c r="AX209" i="36"/>
  <c r="AX221" i="36"/>
  <c r="AX210" i="36"/>
  <c r="AX214" i="36"/>
  <c r="AX220" i="36"/>
  <c r="AX219" i="36"/>
  <c r="AX211" i="36"/>
  <c r="AX215" i="36"/>
  <c r="AX218" i="36"/>
  <c r="AX207" i="36"/>
  <c r="AY207" i="36"/>
  <c r="AY212" i="36"/>
  <c r="AY216" i="36"/>
  <c r="AY208" i="36"/>
  <c r="AY221" i="36"/>
  <c r="AY213" i="36"/>
  <c r="AY217" i="36"/>
  <c r="AY220" i="36"/>
  <c r="AY209" i="36"/>
  <c r="AY219" i="36"/>
  <c r="AY210" i="36"/>
  <c r="AY214" i="36"/>
  <c r="AY218" i="36"/>
  <c r="AY211" i="36"/>
  <c r="AY215" i="36"/>
  <c r="V103" i="142"/>
  <c r="V103" i="112"/>
  <c r="V109" i="142"/>
  <c r="V109" i="112"/>
  <c r="AS221" i="36"/>
  <c r="AS211" i="36"/>
  <c r="AS215" i="36"/>
  <c r="AS220" i="36"/>
  <c r="AS207" i="36"/>
  <c r="AS219" i="36"/>
  <c r="AS212" i="36"/>
  <c r="AS216" i="36"/>
  <c r="AS218" i="36"/>
  <c r="AS208" i="36"/>
  <c r="AS213" i="36"/>
  <c r="AS217" i="36"/>
  <c r="AS209" i="36"/>
  <c r="AS210" i="36"/>
  <c r="AS214" i="36"/>
  <c r="V112" i="142"/>
  <c r="V112" i="112"/>
  <c r="V108" i="142"/>
  <c r="V108" i="112"/>
  <c r="AW208" i="36"/>
  <c r="AW213" i="36"/>
  <c r="AW217" i="36"/>
  <c r="AW209" i="36"/>
  <c r="AW210" i="36"/>
  <c r="AW214" i="36"/>
  <c r="AW221" i="36"/>
  <c r="AW211" i="36"/>
  <c r="AW215" i="36"/>
  <c r="AW220" i="36"/>
  <c r="AW207" i="36"/>
  <c r="AW219" i="36"/>
  <c r="AW212" i="36"/>
  <c r="AW216" i="36"/>
  <c r="AW218" i="36"/>
  <c r="V98" i="142"/>
  <c r="V98" i="112"/>
  <c r="V104" i="142"/>
  <c r="V104" i="112"/>
  <c r="AV222" i="36"/>
  <c r="BG142" i="110"/>
  <c r="T124" i="36"/>
  <c r="R151" i="36"/>
  <c r="AR212" i="36" s="1"/>
  <c r="AB124" i="36"/>
  <c r="Z121" i="34"/>
  <c r="AB121" i="34"/>
  <c r="T121" i="34"/>
  <c r="Y121" i="34"/>
  <c r="W121" i="34"/>
  <c r="AB113" i="36"/>
  <c r="AA123" i="36"/>
  <c r="AA151" i="36"/>
  <c r="BA212" i="36" s="1"/>
  <c r="T151" i="36"/>
  <c r="AT210" i="36" s="1"/>
  <c r="T123" i="36"/>
  <c r="Z151" i="36"/>
  <c r="AZ221" i="36" s="1"/>
  <c r="Z123" i="36"/>
  <c r="BG129" i="110"/>
  <c r="BG146" i="110"/>
  <c r="BG145" i="110"/>
  <c r="BB106" i="110"/>
  <c r="BB127" i="110" s="1"/>
  <c r="BA157" i="110"/>
  <c r="AZ313" i="110" s="1"/>
  <c r="BA152" i="110"/>
  <c r="AZ308" i="110" s="1"/>
  <c r="BA154" i="110"/>
  <c r="BA156" i="110"/>
  <c r="AZ312" i="110" s="1"/>
  <c r="BA153" i="110"/>
  <c r="AZ309" i="110" s="1"/>
  <c r="BA155" i="110"/>
  <c r="AZ311" i="110" s="1"/>
  <c r="BA151" i="110"/>
  <c r="AZ307" i="110" s="1"/>
  <c r="V77" i="110"/>
  <c r="AZ289" i="110" s="1"/>
  <c r="V112" i="110"/>
  <c r="W31" i="141"/>
  <c r="W23" i="141"/>
  <c r="BG143" i="110"/>
  <c r="BG124" i="110"/>
  <c r="M23" i="141"/>
  <c r="M31" i="141"/>
  <c r="BG128" i="110"/>
  <c r="AZ128" i="110"/>
  <c r="AZ144" i="110"/>
  <c r="AZ149" i="110"/>
  <c r="AZ126" i="110"/>
  <c r="AZ146" i="110"/>
  <c r="AZ143" i="110"/>
  <c r="AZ145" i="110"/>
  <c r="AZ125" i="110"/>
  <c r="AZ147" i="110"/>
  <c r="AZ124" i="110"/>
  <c r="AZ148" i="110"/>
  <c r="AZ129" i="110"/>
  <c r="AZ130" i="110"/>
  <c r="AZ142" i="110"/>
  <c r="BG144" i="110"/>
  <c r="BG126" i="110"/>
  <c r="BG149" i="110"/>
  <c r="BG130" i="110"/>
  <c r="BG148" i="110"/>
  <c r="BG147" i="110"/>
  <c r="AA108" i="110"/>
  <c r="AA95" i="110"/>
  <c r="AA73" i="110"/>
  <c r="AA112" i="110"/>
  <c r="BE297" i="110" s="1"/>
  <c r="BF140" i="110"/>
  <c r="V117" i="110"/>
  <c r="AA64" i="110"/>
  <c r="AA82" i="110" s="1"/>
  <c r="AA156" i="110" s="1"/>
  <c r="AY106" i="110"/>
  <c r="AY131" i="110" s="1"/>
  <c r="V15" i="110"/>
  <c r="V49" i="110" s="1"/>
  <c r="BE131" i="110"/>
  <c r="V25" i="36"/>
  <c r="V133" i="36" s="1"/>
  <c r="BE127" i="110"/>
  <c r="AW106" i="110"/>
  <c r="AW131" i="110" s="1"/>
  <c r="BE89" i="110"/>
  <c r="V100" i="110"/>
  <c r="T100" i="110"/>
  <c r="AX89" i="110"/>
  <c r="AX127" i="110"/>
  <c r="BF166" i="110"/>
  <c r="T117" i="110"/>
  <c r="T155" i="110" s="1"/>
  <c r="V124" i="36"/>
  <c r="AB94" i="110"/>
  <c r="BD126" i="110"/>
  <c r="BD129" i="110"/>
  <c r="AB117" i="110"/>
  <c r="BD142" i="110"/>
  <c r="S73" i="110"/>
  <c r="Z25" i="36"/>
  <c r="Z161" i="36" s="1"/>
  <c r="T15" i="110"/>
  <c r="T49" i="110" s="1"/>
  <c r="T25" i="36"/>
  <c r="T133" i="36" s="1"/>
  <c r="Z15" i="110"/>
  <c r="Z49" i="110" s="1"/>
  <c r="AB25" i="36"/>
  <c r="AB133" i="36" s="1"/>
  <c r="AB15" i="110"/>
  <c r="AB49" i="110" s="1"/>
  <c r="AX136" i="110"/>
  <c r="S108" i="110"/>
  <c r="Y108" i="110"/>
  <c r="Z124" i="36"/>
  <c r="R15" i="110"/>
  <c r="R49" i="110" s="1"/>
  <c r="R25" i="36"/>
  <c r="R161" i="36" s="1"/>
  <c r="Y15" i="110"/>
  <c r="Y49" i="110" s="1"/>
  <c r="BD127" i="110"/>
  <c r="R152" i="36"/>
  <c r="AZ127" i="110"/>
  <c r="BD136" i="110"/>
  <c r="U126" i="110"/>
  <c r="U211" i="110" s="1"/>
  <c r="U257" i="110" s="1"/>
  <c r="U130" i="110"/>
  <c r="U215" i="110" s="1"/>
  <c r="U261" i="110" s="1"/>
  <c r="U131" i="110"/>
  <c r="AB82" i="110"/>
  <c r="Y25" i="36"/>
  <c r="Y161" i="36" s="1"/>
  <c r="U128" i="110"/>
  <c r="U213" i="110" s="1"/>
  <c r="U259" i="110" s="1"/>
  <c r="U124" i="110"/>
  <c r="U209" i="110" s="1"/>
  <c r="U255" i="110" s="1"/>
  <c r="U125" i="110"/>
  <c r="U210" i="110" s="1"/>
  <c r="U256" i="110" s="1"/>
  <c r="U127" i="110"/>
  <c r="AB129" i="110"/>
  <c r="AB214" i="110" s="1"/>
  <c r="AB260" i="110" s="1"/>
  <c r="AB131" i="110"/>
  <c r="AB127" i="110"/>
  <c r="AB126" i="110"/>
  <c r="AB211" i="110" s="1"/>
  <c r="AB257" i="110" s="1"/>
  <c r="BB49" i="110"/>
  <c r="W15" i="110"/>
  <c r="W49" i="110" s="1"/>
  <c r="BD144" i="110"/>
  <c r="AB125" i="110"/>
  <c r="AB210" i="110" s="1"/>
  <c r="AB256" i="110" s="1"/>
  <c r="AB128" i="110"/>
  <c r="AB213" i="110" s="1"/>
  <c r="AB259" i="110" s="1"/>
  <c r="W152" i="36"/>
  <c r="AB124" i="110"/>
  <c r="AB209" i="110" s="1"/>
  <c r="AB255" i="110" s="1"/>
  <c r="W161" i="36"/>
  <c r="BG165" i="110"/>
  <c r="BG166" i="110"/>
  <c r="BG160" i="110"/>
  <c r="BG161" i="110"/>
  <c r="BG164" i="110"/>
  <c r="BG167" i="110"/>
  <c r="BG162" i="110"/>
  <c r="BG163" i="110"/>
  <c r="Y128" i="110"/>
  <c r="Y213" i="110" s="1"/>
  <c r="Y259" i="110" s="1"/>
  <c r="Y129" i="110"/>
  <c r="Y214" i="110" s="1"/>
  <c r="Y260" i="110" s="1"/>
  <c r="Y130" i="110"/>
  <c r="Y215" i="110" s="1"/>
  <c r="Y261" i="110" s="1"/>
  <c r="Y124" i="110"/>
  <c r="Y209" i="110" s="1"/>
  <c r="Y255" i="110" s="1"/>
  <c r="Y125" i="110"/>
  <c r="Y210" i="110" s="1"/>
  <c r="Y256" i="110" s="1"/>
  <c r="Y131" i="110"/>
  <c r="Y126" i="110"/>
  <c r="Y211" i="110" s="1"/>
  <c r="Y257" i="110" s="1"/>
  <c r="Y127" i="110"/>
  <c r="AB95" i="110"/>
  <c r="Z108" i="110"/>
  <c r="AA131" i="110"/>
  <c r="Z59" i="110"/>
  <c r="Z112" i="110"/>
  <c r="BE112" i="110"/>
  <c r="BE95" i="110"/>
  <c r="BG106" i="110"/>
  <c r="BG89" i="110"/>
  <c r="U64" i="110"/>
  <c r="U117" i="110"/>
  <c r="BD143" i="110"/>
  <c r="BD128" i="110"/>
  <c r="V55" i="110"/>
  <c r="V108" i="110"/>
  <c r="BD130" i="110"/>
  <c r="BA108" i="110"/>
  <c r="BA91" i="110"/>
  <c r="BD145" i="110"/>
  <c r="AZ117" i="110"/>
  <c r="AZ100" i="110"/>
  <c r="BD148" i="110"/>
  <c r="BD149" i="110"/>
  <c r="BC49" i="110"/>
  <c r="X25" i="36"/>
  <c r="X15" i="110"/>
  <c r="X49" i="110" s="1"/>
  <c r="BD147" i="110"/>
  <c r="BD124" i="110"/>
  <c r="X152" i="36"/>
  <c r="X124" i="36"/>
  <c r="BD146" i="110"/>
  <c r="AA129" i="110"/>
  <c r="AA214" i="110" s="1"/>
  <c r="AA260" i="110" s="1"/>
  <c r="V128" i="110"/>
  <c r="V213" i="110" s="1"/>
  <c r="V259" i="110" s="1"/>
  <c r="V126" i="110"/>
  <c r="V211" i="110" s="1"/>
  <c r="V257" i="110" s="1"/>
  <c r="V130" i="110"/>
  <c r="V215" i="110" s="1"/>
  <c r="V261" i="110" s="1"/>
  <c r="V125" i="110"/>
  <c r="V210" i="110" s="1"/>
  <c r="V256" i="110" s="1"/>
  <c r="V127" i="110"/>
  <c r="V129" i="110"/>
  <c r="V214" i="110" s="1"/>
  <c r="V260" i="110" s="1"/>
  <c r="V131" i="110"/>
  <c r="V124" i="110"/>
  <c r="V209" i="110" s="1"/>
  <c r="V255" i="110" s="1"/>
  <c r="AA128" i="110"/>
  <c r="AA213" i="110" s="1"/>
  <c r="AA259" i="110" s="1"/>
  <c r="AA127" i="110"/>
  <c r="AA126" i="110"/>
  <c r="AA211" i="110" s="1"/>
  <c r="AA257" i="110" s="1"/>
  <c r="AZ49" i="110"/>
  <c r="U15" i="110"/>
  <c r="U49" i="110" s="1"/>
  <c r="U25" i="36"/>
  <c r="BB108" i="110"/>
  <c r="BB91" i="110"/>
  <c r="AA125" i="110"/>
  <c r="AA210" i="110" s="1"/>
  <c r="AA256" i="110" s="1"/>
  <c r="U152" i="36"/>
  <c r="U124" i="36"/>
  <c r="AA130" i="110"/>
  <c r="AA215" i="110" s="1"/>
  <c r="AA261" i="110" s="1"/>
  <c r="BA89" i="110"/>
  <c r="BA106" i="110"/>
  <c r="Y117" i="110"/>
  <c r="Y64" i="110"/>
  <c r="BC117" i="110"/>
  <c r="BC100" i="110"/>
  <c r="S152" i="36"/>
  <c r="S124" i="36"/>
  <c r="X55" i="110"/>
  <c r="X108" i="110"/>
  <c r="AW47" i="110"/>
  <c r="R13" i="110"/>
  <c r="R47" i="110" s="1"/>
  <c r="R23" i="36"/>
  <c r="BF107" i="110"/>
  <c r="BF90" i="110"/>
  <c r="BD100" i="110"/>
  <c r="BD117" i="110"/>
  <c r="BC91" i="110"/>
  <c r="BC108" i="110"/>
  <c r="AW38" i="110"/>
  <c r="R4" i="36"/>
  <c r="R4" i="110"/>
  <c r="R38" i="110" s="1"/>
  <c r="R13" i="36"/>
  <c r="R8" i="110"/>
  <c r="R42" i="110" s="1"/>
  <c r="AW42" i="110"/>
  <c r="AA111" i="36"/>
  <c r="AA139" i="36"/>
  <c r="BF89" i="110"/>
  <c r="BF106" i="110"/>
  <c r="AX49" i="110"/>
  <c r="S15" i="110"/>
  <c r="S49" i="110" s="1"/>
  <c r="S25" i="36"/>
  <c r="BF49" i="110"/>
  <c r="AA25" i="36"/>
  <c r="AA15" i="110"/>
  <c r="AA49" i="110" s="1"/>
  <c r="AA152" i="36"/>
  <c r="AA124" i="36"/>
  <c r="BE100" i="110"/>
  <c r="BE117" i="110"/>
  <c r="AX313" i="110"/>
  <c r="V139" i="110"/>
  <c r="V134" i="110"/>
  <c r="V133" i="110"/>
  <c r="V137" i="110"/>
  <c r="V138" i="110"/>
  <c r="V135" i="110"/>
  <c r="V140" i="110"/>
  <c r="V136" i="110"/>
  <c r="S133" i="110"/>
  <c r="S134" i="110"/>
  <c r="S135" i="110"/>
  <c r="S136" i="110"/>
  <c r="S137" i="110"/>
  <c r="S140" i="110"/>
  <c r="S138" i="110"/>
  <c r="S139" i="110"/>
  <c r="AB135" i="110"/>
  <c r="AB137" i="110"/>
  <c r="AB138" i="110"/>
  <c r="AB133" i="110"/>
  <c r="AB136" i="110"/>
  <c r="AB134" i="110"/>
  <c r="AB140" i="110"/>
  <c r="AB139" i="110"/>
  <c r="Y133" i="110"/>
  <c r="Y134" i="110"/>
  <c r="Y135" i="110"/>
  <c r="Y136" i="110"/>
  <c r="Y137" i="110"/>
  <c r="Y138" i="110"/>
  <c r="Y139" i="110"/>
  <c r="Y140" i="110"/>
  <c r="Z133" i="110"/>
  <c r="Z134" i="110"/>
  <c r="Z135" i="110"/>
  <c r="Z136" i="110"/>
  <c r="Z138" i="110"/>
  <c r="Z139" i="110"/>
  <c r="Z137" i="110"/>
  <c r="Z140" i="110"/>
  <c r="AA133" i="110"/>
  <c r="AA134" i="110"/>
  <c r="AA135" i="110"/>
  <c r="AA136" i="110"/>
  <c r="AA137" i="110"/>
  <c r="AA139" i="110"/>
  <c r="AA140" i="110"/>
  <c r="AA138" i="110"/>
  <c r="T134" i="110"/>
  <c r="T140" i="110"/>
  <c r="T137" i="110"/>
  <c r="T136" i="110"/>
  <c r="T135" i="110"/>
  <c r="T133" i="110"/>
  <c r="T138" i="110"/>
  <c r="T139" i="110"/>
  <c r="U133" i="110"/>
  <c r="U134" i="110"/>
  <c r="U135" i="110"/>
  <c r="U136" i="110"/>
  <c r="U137" i="110"/>
  <c r="U138" i="110"/>
  <c r="U139" i="110"/>
  <c r="U140" i="110"/>
  <c r="Y91" i="110"/>
  <c r="Y73" i="110"/>
  <c r="BF162" i="110" l="1"/>
  <c r="BF167" i="110"/>
  <c r="BF164" i="110"/>
  <c r="BF161" i="110"/>
  <c r="BF165" i="110"/>
  <c r="BF163" i="110"/>
  <c r="AW309" i="110"/>
  <c r="AW311" i="110"/>
  <c r="AW312" i="110"/>
  <c r="AW313" i="110"/>
  <c r="BF152" i="110"/>
  <c r="X64" i="110"/>
  <c r="X100" i="110" s="1"/>
  <c r="BF153" i="110"/>
  <c r="BF158" i="110"/>
  <c r="BF151" i="110"/>
  <c r="BE307" i="110" s="1"/>
  <c r="BF156" i="110"/>
  <c r="BF155" i="110"/>
  <c r="BF157" i="110"/>
  <c r="BE313" i="110" s="1"/>
  <c r="AZ136" i="110"/>
  <c r="S112" i="110"/>
  <c r="S95" i="110"/>
  <c r="S77" i="110"/>
  <c r="BC112" i="110"/>
  <c r="BC151" i="110" s="1"/>
  <c r="S100" i="110"/>
  <c r="S117" i="110"/>
  <c r="S151" i="110" s="1"/>
  <c r="BD151" i="110"/>
  <c r="BD158" i="110"/>
  <c r="BD152" i="110"/>
  <c r="BD153" i="110"/>
  <c r="X112" i="110"/>
  <c r="BB302" i="110" s="1"/>
  <c r="BD156" i="110"/>
  <c r="BD157" i="110"/>
  <c r="BD155" i="110"/>
  <c r="U108" i="110"/>
  <c r="U167" i="110" s="1"/>
  <c r="Z64" i="110"/>
  <c r="Z82" i="110" s="1"/>
  <c r="AW314" i="110"/>
  <c r="AB73" i="110"/>
  <c r="BF294" i="110" s="1"/>
  <c r="W55" i="110"/>
  <c r="W91" i="110" s="1"/>
  <c r="Y95" i="110"/>
  <c r="Y112" i="110"/>
  <c r="BC299" i="110" s="1"/>
  <c r="U91" i="110"/>
  <c r="BC131" i="110"/>
  <c r="W64" i="110"/>
  <c r="W82" i="110" s="1"/>
  <c r="W157" i="110" s="1"/>
  <c r="BB164" i="110"/>
  <c r="BA311" i="110" s="1"/>
  <c r="BC89" i="110"/>
  <c r="U77" i="110"/>
  <c r="V111" i="36"/>
  <c r="AX287" i="110"/>
  <c r="CB437" i="110" s="1"/>
  <c r="BE140" i="110"/>
  <c r="BA221" i="36"/>
  <c r="AB108" i="110"/>
  <c r="BF300" i="110" s="1"/>
  <c r="BE91" i="110"/>
  <c r="AX314" i="110"/>
  <c r="BB128" i="110"/>
  <c r="BB147" i="110"/>
  <c r="AB146" i="110"/>
  <c r="AB149" i="110"/>
  <c r="AB145" i="110"/>
  <c r="BF301" i="110"/>
  <c r="AB144" i="110"/>
  <c r="AX291" i="110"/>
  <c r="CB441" i="110" s="1"/>
  <c r="AX293" i="110"/>
  <c r="CB443" i="110" s="1"/>
  <c r="AB143" i="110"/>
  <c r="BB165" i="110"/>
  <c r="BB160" i="110"/>
  <c r="AX289" i="110"/>
  <c r="CB439" i="110" s="1"/>
  <c r="AX292" i="110"/>
  <c r="CB442" i="110" s="1"/>
  <c r="AB142" i="110"/>
  <c r="T95" i="110"/>
  <c r="T112" i="110"/>
  <c r="T149" i="110" s="1"/>
  <c r="BB163" i="110"/>
  <c r="BB167" i="110"/>
  <c r="AB148" i="110"/>
  <c r="U112" i="110"/>
  <c r="BB166" i="110"/>
  <c r="BB161" i="110"/>
  <c r="BG95" i="110"/>
  <c r="W138" i="110"/>
  <c r="BG136" i="110"/>
  <c r="T73" i="110"/>
  <c r="AX290" i="110" s="1"/>
  <c r="CB440" i="110" s="1"/>
  <c r="T126" i="111" s="1"/>
  <c r="T126" i="141" s="1"/>
  <c r="T108" i="110"/>
  <c r="BA297" i="110"/>
  <c r="BA303" i="110"/>
  <c r="W143" i="110"/>
  <c r="W147" i="110"/>
  <c r="BA302" i="110"/>
  <c r="AZ153" i="110"/>
  <c r="AZ152" i="110"/>
  <c r="AZ157" i="110"/>
  <c r="W149" i="110"/>
  <c r="AZ151" i="110"/>
  <c r="W148" i="110"/>
  <c r="AZ158" i="110"/>
  <c r="BA301" i="110"/>
  <c r="W146" i="110"/>
  <c r="AZ154" i="110"/>
  <c r="BA299" i="110"/>
  <c r="W145" i="110"/>
  <c r="AZ156" i="110"/>
  <c r="BA298" i="110"/>
  <c r="W144" i="110"/>
  <c r="BB149" i="110"/>
  <c r="BB144" i="110"/>
  <c r="BA309" i="110" s="1"/>
  <c r="BB129" i="110"/>
  <c r="BB126" i="110"/>
  <c r="BB124" i="110"/>
  <c r="BB145" i="110"/>
  <c r="BB130" i="110"/>
  <c r="BB143" i="110"/>
  <c r="BB125" i="110"/>
  <c r="BB142" i="110"/>
  <c r="BB148" i="110"/>
  <c r="AA142" i="36"/>
  <c r="S114" i="36"/>
  <c r="V142" i="36"/>
  <c r="W136" i="110"/>
  <c r="W133" i="110"/>
  <c r="X114" i="36"/>
  <c r="BB131" i="110"/>
  <c r="W7" i="36"/>
  <c r="W140" i="110"/>
  <c r="Y7" i="36"/>
  <c r="W139" i="110"/>
  <c r="W137" i="110"/>
  <c r="T7" i="36"/>
  <c r="T142" i="36" s="1"/>
  <c r="U142" i="36"/>
  <c r="W134" i="110"/>
  <c r="R114" i="36"/>
  <c r="W135" i="110"/>
  <c r="AB7" i="36"/>
  <c r="AB142" i="36" s="1"/>
  <c r="Z7" i="36"/>
  <c r="Z142" i="36" s="1"/>
  <c r="AZ170" i="36" s="1"/>
  <c r="X94" i="110"/>
  <c r="X76" i="110"/>
  <c r="AR213" i="36"/>
  <c r="R104" i="142" s="1"/>
  <c r="BA217" i="36"/>
  <c r="AA108" i="142" s="1"/>
  <c r="AZ212" i="36"/>
  <c r="Z103" i="142" s="1"/>
  <c r="AT209" i="36"/>
  <c r="T100" i="112" s="1"/>
  <c r="BA216" i="36"/>
  <c r="AA107" i="142" s="1"/>
  <c r="AZ211" i="36"/>
  <c r="Z102" i="112" s="1"/>
  <c r="AT216" i="36"/>
  <c r="T107" i="142" s="1"/>
  <c r="BA220" i="36"/>
  <c r="AA111" i="112" s="1"/>
  <c r="AR210" i="36"/>
  <c r="R101" i="112" s="1"/>
  <c r="AT215" i="36"/>
  <c r="T106" i="142" s="1"/>
  <c r="AT214" i="36"/>
  <c r="T105" i="112" s="1"/>
  <c r="AR216" i="36"/>
  <c r="R107" i="142" s="1"/>
  <c r="AR215" i="36"/>
  <c r="R106" i="142" s="1"/>
  <c r="AW111" i="110"/>
  <c r="AW94" i="110"/>
  <c r="AZ209" i="36"/>
  <c r="Z100" i="142" s="1"/>
  <c r="R58" i="110"/>
  <c r="R111" i="110"/>
  <c r="AZ219" i="36"/>
  <c r="Z110" i="142" s="1"/>
  <c r="R103" i="142"/>
  <c r="R103" i="112"/>
  <c r="Z112" i="142"/>
  <c r="Z112" i="112"/>
  <c r="T101" i="112"/>
  <c r="T101" i="142"/>
  <c r="AA103" i="142"/>
  <c r="AA103" i="112"/>
  <c r="W106" i="142"/>
  <c r="W106" i="112"/>
  <c r="S104" i="142"/>
  <c r="S104" i="112"/>
  <c r="X106" i="142"/>
  <c r="X106" i="112"/>
  <c r="AB99" i="142"/>
  <c r="AB99" i="112"/>
  <c r="W109" i="142"/>
  <c r="W109" i="112"/>
  <c r="W112" i="142"/>
  <c r="W112" i="112"/>
  <c r="BA210" i="36"/>
  <c r="BA219" i="36"/>
  <c r="S109" i="142"/>
  <c r="S109" i="112"/>
  <c r="S112" i="142"/>
  <c r="S112" i="112"/>
  <c r="Y105" i="142"/>
  <c r="Y105" i="112"/>
  <c r="Y99" i="142"/>
  <c r="Y99" i="112"/>
  <c r="X110" i="112"/>
  <c r="X110" i="142"/>
  <c r="X99" i="142"/>
  <c r="X99" i="112"/>
  <c r="U108" i="142"/>
  <c r="U108" i="112"/>
  <c r="U102" i="142"/>
  <c r="U102" i="112"/>
  <c r="AB103" i="142"/>
  <c r="AB103" i="112"/>
  <c r="AB101" i="112"/>
  <c r="AB101" i="142"/>
  <c r="AR218" i="36"/>
  <c r="AR221" i="36"/>
  <c r="AZ217" i="36"/>
  <c r="AZ207" i="36"/>
  <c r="AT207" i="36"/>
  <c r="S106" i="142"/>
  <c r="S106" i="112"/>
  <c r="X108" i="142"/>
  <c r="X108" i="112"/>
  <c r="W107" i="142"/>
  <c r="W107" i="112"/>
  <c r="W105" i="142"/>
  <c r="W105" i="112"/>
  <c r="BA209" i="36"/>
  <c r="BA207" i="36"/>
  <c r="S107" i="142"/>
  <c r="S107" i="112"/>
  <c r="Y101" i="142"/>
  <c r="Y101" i="112"/>
  <c r="Y107" i="142"/>
  <c r="Y107" i="112"/>
  <c r="X111" i="142"/>
  <c r="X111" i="112"/>
  <c r="X107" i="142"/>
  <c r="X107" i="112"/>
  <c r="U104" i="142"/>
  <c r="U104" i="112"/>
  <c r="U109" i="142"/>
  <c r="U109" i="112"/>
  <c r="AB98" i="142"/>
  <c r="AB98" i="112"/>
  <c r="AR217" i="36"/>
  <c r="AR207" i="36"/>
  <c r="AZ213" i="36"/>
  <c r="AZ215" i="36"/>
  <c r="AT221" i="36"/>
  <c r="AT218" i="36"/>
  <c r="W103" i="142"/>
  <c r="W103" i="112"/>
  <c r="S103" i="142"/>
  <c r="S103" i="112"/>
  <c r="X105" i="142"/>
  <c r="X105" i="112"/>
  <c r="AB112" i="142"/>
  <c r="AB112" i="112"/>
  <c r="U112" i="142"/>
  <c r="U112" i="112"/>
  <c r="W110" i="142"/>
  <c r="W110" i="112"/>
  <c r="W100" i="142"/>
  <c r="W100" i="112"/>
  <c r="BA213" i="36"/>
  <c r="BA215" i="36"/>
  <c r="S101" i="142"/>
  <c r="S101" i="112"/>
  <c r="S110" i="142"/>
  <c r="S110" i="112"/>
  <c r="Y100" i="142"/>
  <c r="Y100" i="112"/>
  <c r="Y98" i="142"/>
  <c r="Y98" i="112"/>
  <c r="X101" i="142"/>
  <c r="X101" i="112"/>
  <c r="U99" i="142"/>
  <c r="U99" i="112"/>
  <c r="U101" i="142"/>
  <c r="U101" i="112"/>
  <c r="AB100" i="142"/>
  <c r="AB100" i="112"/>
  <c r="AB106" i="142"/>
  <c r="AB106" i="112"/>
  <c r="AR219" i="36"/>
  <c r="AR211" i="36"/>
  <c r="AZ208" i="36"/>
  <c r="AT217" i="36"/>
  <c r="AT211" i="36"/>
  <c r="W101" i="142"/>
  <c r="W101" i="112"/>
  <c r="S105" i="142"/>
  <c r="S105" i="112"/>
  <c r="Y103" i="142"/>
  <c r="Y103" i="112"/>
  <c r="U105" i="142"/>
  <c r="U105" i="112"/>
  <c r="W98" i="142"/>
  <c r="W98" i="112"/>
  <c r="W108" i="142"/>
  <c r="W108" i="112"/>
  <c r="BA208" i="36"/>
  <c r="BA211" i="36"/>
  <c r="S100" i="142"/>
  <c r="S100" i="112"/>
  <c r="S98" i="142"/>
  <c r="S98" i="112"/>
  <c r="Y111" i="142"/>
  <c r="Y111" i="112"/>
  <c r="X98" i="142"/>
  <c r="X98" i="112"/>
  <c r="X112" i="142"/>
  <c r="X112" i="112"/>
  <c r="U107" i="142"/>
  <c r="U107" i="112"/>
  <c r="U110" i="142"/>
  <c r="U110" i="112"/>
  <c r="AB108" i="142"/>
  <c r="AB108" i="112"/>
  <c r="AB102" i="142"/>
  <c r="AB102" i="112"/>
  <c r="AR208" i="36"/>
  <c r="AZ214" i="36"/>
  <c r="AZ220" i="36"/>
  <c r="AT213" i="36"/>
  <c r="AT219" i="36"/>
  <c r="Y110" i="142"/>
  <c r="Y110" i="112"/>
  <c r="X103" i="142"/>
  <c r="X103" i="112"/>
  <c r="AB109" i="142"/>
  <c r="AB109" i="112"/>
  <c r="W111" i="112"/>
  <c r="W111" i="142"/>
  <c r="W104" i="142"/>
  <c r="W104" i="112"/>
  <c r="BA218" i="36"/>
  <c r="S108" i="142"/>
  <c r="S108" i="112"/>
  <c r="S111" i="142"/>
  <c r="S111" i="112"/>
  <c r="Y106" i="142"/>
  <c r="Y106" i="112"/>
  <c r="Y108" i="142"/>
  <c r="Y108" i="112"/>
  <c r="X109" i="142"/>
  <c r="X109" i="112"/>
  <c r="X100" i="142"/>
  <c r="X100" i="112"/>
  <c r="U103" i="142"/>
  <c r="U103" i="112"/>
  <c r="U100" i="142"/>
  <c r="U100" i="112"/>
  <c r="AB104" i="142"/>
  <c r="AB104" i="112"/>
  <c r="AB110" i="142"/>
  <c r="AB110" i="112"/>
  <c r="AR214" i="36"/>
  <c r="AR220" i="36"/>
  <c r="AZ210" i="36"/>
  <c r="AZ216" i="36"/>
  <c r="AT208" i="36"/>
  <c r="AT220" i="36"/>
  <c r="Y104" i="142"/>
  <c r="Y104" i="112"/>
  <c r="U98" i="142"/>
  <c r="U98" i="112"/>
  <c r="AB111" i="142"/>
  <c r="AB111" i="112"/>
  <c r="W99" i="142"/>
  <c r="W99" i="112"/>
  <c r="Y102" i="142"/>
  <c r="Y102" i="112"/>
  <c r="W102" i="142"/>
  <c r="W102" i="112"/>
  <c r="BA214" i="36"/>
  <c r="S99" i="142"/>
  <c r="S99" i="112"/>
  <c r="S102" i="142"/>
  <c r="S102" i="112"/>
  <c r="Y109" i="112"/>
  <c r="Y109" i="142"/>
  <c r="Y112" i="142"/>
  <c r="Y112" i="112"/>
  <c r="X102" i="142"/>
  <c r="X102" i="112"/>
  <c r="X104" i="142"/>
  <c r="X104" i="112"/>
  <c r="U111" i="142"/>
  <c r="U111" i="112"/>
  <c r="U106" i="142"/>
  <c r="U106" i="112"/>
  <c r="AB107" i="142"/>
  <c r="AB107" i="112"/>
  <c r="AB105" i="112"/>
  <c r="AB105" i="142"/>
  <c r="AR209" i="36"/>
  <c r="AZ218" i="36"/>
  <c r="AT212" i="36"/>
  <c r="O35" i="142"/>
  <c r="V22" i="142"/>
  <c r="O31" i="141"/>
  <c r="O25" i="141"/>
  <c r="O29" i="141"/>
  <c r="O26" i="141"/>
  <c r="O22" i="141"/>
  <c r="O36" i="141"/>
  <c r="O28" i="141"/>
  <c r="O24" i="141"/>
  <c r="O30" i="141"/>
  <c r="O34" i="141"/>
  <c r="O32" i="141"/>
  <c r="O35" i="141"/>
  <c r="O23" i="141"/>
  <c r="T25" i="141"/>
  <c r="Q36" i="141"/>
  <c r="X23" i="141"/>
  <c r="Q30" i="141"/>
  <c r="Q23" i="141"/>
  <c r="Q31" i="141"/>
  <c r="Q24" i="141"/>
  <c r="Q26" i="141"/>
  <c r="Q32" i="141"/>
  <c r="U25" i="141"/>
  <c r="Q35" i="141"/>
  <c r="T27" i="141"/>
  <c r="T26" i="141"/>
  <c r="T28" i="141"/>
  <c r="U24" i="141"/>
  <c r="R36" i="141"/>
  <c r="U30" i="141"/>
  <c r="X34" i="141"/>
  <c r="X29" i="141"/>
  <c r="U27" i="141"/>
  <c r="W35" i="141"/>
  <c r="W34" i="141"/>
  <c r="M28" i="141"/>
  <c r="M24" i="141"/>
  <c r="W33" i="141"/>
  <c r="W28" i="141"/>
  <c r="M34" i="141"/>
  <c r="M33" i="141"/>
  <c r="W25" i="141"/>
  <c r="Q33" i="141"/>
  <c r="M27" i="141"/>
  <c r="M26" i="141"/>
  <c r="W36" i="141"/>
  <c r="W26" i="141"/>
  <c r="Q34" i="141"/>
  <c r="Q25" i="141"/>
  <c r="M32" i="141"/>
  <c r="M30" i="141"/>
  <c r="O27" i="141"/>
  <c r="W24" i="141"/>
  <c r="W27" i="141"/>
  <c r="M29" i="141"/>
  <c r="Q28" i="141"/>
  <c r="Q29" i="141"/>
  <c r="M25" i="141"/>
  <c r="O33" i="141"/>
  <c r="W29" i="141"/>
  <c r="W32" i="141"/>
  <c r="M35" i="141"/>
  <c r="Q27" i="141"/>
  <c r="M36" i="141"/>
  <c r="W30" i="141"/>
  <c r="O27" i="142"/>
  <c r="S26" i="142"/>
  <c r="AA22" i="142"/>
  <c r="AA24" i="142"/>
  <c r="S22" i="142"/>
  <c r="S35" i="142"/>
  <c r="Q35" i="142"/>
  <c r="AA30" i="142"/>
  <c r="V24" i="142"/>
  <c r="AA34" i="142"/>
  <c r="V31" i="142"/>
  <c r="S27" i="142"/>
  <c r="S28" i="142"/>
  <c r="Q28" i="142"/>
  <c r="AA27" i="142"/>
  <c r="V32" i="142"/>
  <c r="O36" i="142"/>
  <c r="S25" i="142"/>
  <c r="Q33" i="142"/>
  <c r="Q32" i="142"/>
  <c r="AA36" i="142"/>
  <c r="AA35" i="142"/>
  <c r="V23" i="142"/>
  <c r="V30" i="142"/>
  <c r="S24" i="142"/>
  <c r="AA25" i="142"/>
  <c r="S34" i="142"/>
  <c r="AA28" i="142"/>
  <c r="V26" i="142"/>
  <c r="AA23" i="142"/>
  <c r="V25" i="142"/>
  <c r="S36" i="142"/>
  <c r="Q27" i="142"/>
  <c r="V33" i="142"/>
  <c r="S32" i="142"/>
  <c r="S23" i="142"/>
  <c r="S31" i="142"/>
  <c r="Q31" i="142"/>
  <c r="Q24" i="142"/>
  <c r="AA29" i="142"/>
  <c r="AA33" i="142"/>
  <c r="V34" i="142"/>
  <c r="Q29" i="142"/>
  <c r="O33" i="142"/>
  <c r="Q26" i="142"/>
  <c r="S29" i="142"/>
  <c r="Q23" i="142"/>
  <c r="Q30" i="142"/>
  <c r="Q25" i="142"/>
  <c r="AA26" i="142"/>
  <c r="AA32" i="142"/>
  <c r="V35" i="142"/>
  <c r="V27" i="142"/>
  <c r="V36" i="142"/>
  <c r="S33" i="142"/>
  <c r="S30" i="142"/>
  <c r="Q34" i="142"/>
  <c r="Q22" i="142"/>
  <c r="Q36" i="142"/>
  <c r="AA31" i="142"/>
  <c r="V29" i="142"/>
  <c r="V28" i="142"/>
  <c r="T37" i="142"/>
  <c r="V113" i="112"/>
  <c r="V113" i="142"/>
  <c r="Q37" i="142"/>
  <c r="V37" i="142"/>
  <c r="AA37" i="142"/>
  <c r="S37" i="142"/>
  <c r="AU222" i="36"/>
  <c r="AW222" i="36"/>
  <c r="AR167" i="36"/>
  <c r="AR168" i="36"/>
  <c r="AR169" i="36"/>
  <c r="AR170" i="36"/>
  <c r="AR171" i="36"/>
  <c r="AR172" i="36"/>
  <c r="AR173" i="36"/>
  <c r="AR174" i="36"/>
  <c r="AR175" i="36"/>
  <c r="AR177" i="36"/>
  <c r="AR178" i="36"/>
  <c r="AR179" i="36"/>
  <c r="AR180" i="36"/>
  <c r="AR181" i="36"/>
  <c r="AR176" i="36"/>
  <c r="BB222" i="36"/>
  <c r="AX222" i="36"/>
  <c r="AY222" i="36"/>
  <c r="AS222" i="36"/>
  <c r="AB22" i="141"/>
  <c r="AZ287" i="110"/>
  <c r="S266" i="110" s="1"/>
  <c r="AZ288" i="110"/>
  <c r="CD438" i="110" s="1"/>
  <c r="AZ293" i="110"/>
  <c r="CD443" i="110" s="1"/>
  <c r="AZ292" i="110"/>
  <c r="S271" i="110" s="1"/>
  <c r="AZ291" i="110"/>
  <c r="CD441" i="110" s="1"/>
  <c r="V144" i="110"/>
  <c r="AZ297" i="110"/>
  <c r="V149" i="110"/>
  <c r="V143" i="110"/>
  <c r="V142" i="110"/>
  <c r="V148" i="110"/>
  <c r="V147" i="110"/>
  <c r="V146" i="110"/>
  <c r="V145" i="110"/>
  <c r="P31" i="141"/>
  <c r="W22" i="141"/>
  <c r="AA23" i="141"/>
  <c r="M22" i="141"/>
  <c r="Q22" i="141"/>
  <c r="S31" i="141"/>
  <c r="BE301" i="110"/>
  <c r="AA163" i="110"/>
  <c r="AA167" i="110"/>
  <c r="BF302" i="110"/>
  <c r="AY127" i="110"/>
  <c r="AX310" i="110" s="1"/>
  <c r="V151" i="110"/>
  <c r="AA148" i="110"/>
  <c r="BE303" i="110"/>
  <c r="AA142" i="110"/>
  <c r="AA143" i="110"/>
  <c r="AA149" i="110"/>
  <c r="BE299" i="110"/>
  <c r="BE300" i="110"/>
  <c r="AA147" i="110"/>
  <c r="AA146" i="110"/>
  <c r="AA145" i="110"/>
  <c r="BE298" i="110"/>
  <c r="AA144" i="110"/>
  <c r="BE304" i="110"/>
  <c r="BE302" i="110"/>
  <c r="V161" i="36"/>
  <c r="V157" i="110"/>
  <c r="V158" i="110"/>
  <c r="AZ299" i="110"/>
  <c r="CD479" i="110" s="1"/>
  <c r="V156" i="110"/>
  <c r="AZ301" i="110"/>
  <c r="AZ302" i="110"/>
  <c r="V155" i="110"/>
  <c r="V154" i="110"/>
  <c r="AZ303" i="110"/>
  <c r="AZ298" i="110"/>
  <c r="V153" i="110"/>
  <c r="V152" i="110"/>
  <c r="BE311" i="110"/>
  <c r="AA152" i="110"/>
  <c r="BE292" i="110"/>
  <c r="X271" i="110" s="1"/>
  <c r="BE291" i="110"/>
  <c r="BE288" i="110"/>
  <c r="AA155" i="110"/>
  <c r="AA153" i="110"/>
  <c r="AA154" i="110"/>
  <c r="AA100" i="110"/>
  <c r="AA151" i="110"/>
  <c r="BE294" i="110"/>
  <c r="BE287" i="110"/>
  <c r="X266" i="110" s="1"/>
  <c r="AA158" i="110"/>
  <c r="BE290" i="110"/>
  <c r="CI440" i="110" s="1"/>
  <c r="AA126" i="111" s="1"/>
  <c r="AA126" i="141" s="1"/>
  <c r="BE293" i="110"/>
  <c r="AA157" i="110"/>
  <c r="BE289" i="110"/>
  <c r="AW127" i="110"/>
  <c r="AW310" i="110"/>
  <c r="T154" i="110"/>
  <c r="T152" i="110"/>
  <c r="T151" i="110"/>
  <c r="T153" i="110"/>
  <c r="T158" i="110"/>
  <c r="T157" i="110"/>
  <c r="T156" i="110"/>
  <c r="BF297" i="110"/>
  <c r="AB155" i="110"/>
  <c r="BF298" i="110"/>
  <c r="BF303" i="110"/>
  <c r="BF299" i="110"/>
  <c r="Z133" i="36"/>
  <c r="T161" i="36"/>
  <c r="AB161" i="36"/>
  <c r="S167" i="110"/>
  <c r="S163" i="110"/>
  <c r="BF291" i="110"/>
  <c r="CJ441" i="110" s="1"/>
  <c r="R133" i="36"/>
  <c r="AB154" i="110"/>
  <c r="AB158" i="110"/>
  <c r="BF287" i="110"/>
  <c r="AB153" i="110"/>
  <c r="BF289" i="110"/>
  <c r="CJ439" i="110" s="1"/>
  <c r="AB152" i="110"/>
  <c r="BF293" i="110"/>
  <c r="BF292" i="110"/>
  <c r="CJ442" i="110" s="1"/>
  <c r="BF288" i="110"/>
  <c r="CJ438" i="110" s="1"/>
  <c r="AB151" i="110"/>
  <c r="AB157" i="110"/>
  <c r="AB156" i="110"/>
  <c r="Y133" i="36"/>
  <c r="Z73" i="110"/>
  <c r="Z91" i="110"/>
  <c r="BE154" i="110"/>
  <c r="BE155" i="110"/>
  <c r="BE153" i="110"/>
  <c r="BE156" i="110"/>
  <c r="BE157" i="110"/>
  <c r="BE151" i="110"/>
  <c r="BE152" i="110"/>
  <c r="BE158" i="110"/>
  <c r="Z77" i="110"/>
  <c r="Z95" i="110"/>
  <c r="BG131" i="110"/>
  <c r="BG127" i="110"/>
  <c r="BG154" i="110"/>
  <c r="BG151" i="110"/>
  <c r="BF307" i="110" s="1"/>
  <c r="BG152" i="110"/>
  <c r="BF308" i="110" s="1"/>
  <c r="BG153" i="110"/>
  <c r="BF309" i="110" s="1"/>
  <c r="BG157" i="110"/>
  <c r="BF313" i="110" s="1"/>
  <c r="BG155" i="110"/>
  <c r="BF311" i="110" s="1"/>
  <c r="BG158" i="110"/>
  <c r="BG156" i="110"/>
  <c r="BF312" i="110" s="1"/>
  <c r="BA140" i="110"/>
  <c r="BA136" i="110"/>
  <c r="V91" i="110"/>
  <c r="V73" i="110"/>
  <c r="AZ166" i="110"/>
  <c r="AZ165" i="110"/>
  <c r="AZ167" i="110"/>
  <c r="AZ160" i="110"/>
  <c r="AZ163" i="110"/>
  <c r="AZ161" i="110"/>
  <c r="AZ162" i="110"/>
  <c r="AZ164" i="110"/>
  <c r="AY311" i="110" s="1"/>
  <c r="U100" i="110"/>
  <c r="U82" i="110"/>
  <c r="X133" i="36"/>
  <c r="X161" i="36"/>
  <c r="AX167" i="36" s="1"/>
  <c r="AZ300" i="110"/>
  <c r="AZ304" i="110"/>
  <c r="U161" i="36"/>
  <c r="U133" i="36"/>
  <c r="BA304" i="110"/>
  <c r="BA300" i="110"/>
  <c r="BB136" i="110"/>
  <c r="BB140" i="110"/>
  <c r="BA131" i="110"/>
  <c r="BA127" i="110"/>
  <c r="BE162" i="110"/>
  <c r="BE167" i="110"/>
  <c r="BE164" i="110"/>
  <c r="BE163" i="110"/>
  <c r="BE165" i="110"/>
  <c r="BE166" i="110"/>
  <c r="BE160" i="110"/>
  <c r="BE161" i="110"/>
  <c r="AW117" i="110"/>
  <c r="AW100" i="110"/>
  <c r="S161" i="36"/>
  <c r="AS169" i="36" s="1"/>
  <c r="S133" i="36"/>
  <c r="BD300" i="110"/>
  <c r="BD302" i="110"/>
  <c r="BD303" i="110"/>
  <c r="BD297" i="110"/>
  <c r="BD299" i="110"/>
  <c r="BD298" i="110"/>
  <c r="BD304" i="110"/>
  <c r="BD301" i="110"/>
  <c r="BC136" i="110"/>
  <c r="BC140" i="110"/>
  <c r="BD162" i="110"/>
  <c r="BD167" i="110"/>
  <c r="BD165" i="110"/>
  <c r="BD164" i="110"/>
  <c r="BD166" i="110"/>
  <c r="BD163" i="110"/>
  <c r="BC310" i="110" s="1"/>
  <c r="BD160" i="110"/>
  <c r="BD161" i="110"/>
  <c r="BC163" i="110"/>
  <c r="BC165" i="110"/>
  <c r="BC160" i="110"/>
  <c r="BC161" i="110"/>
  <c r="BC162" i="110"/>
  <c r="BC164" i="110"/>
  <c r="BC167" i="110"/>
  <c r="BC166" i="110"/>
  <c r="BF131" i="110"/>
  <c r="BF127" i="110"/>
  <c r="BE310" i="110" s="1"/>
  <c r="R55" i="110"/>
  <c r="R108" i="110"/>
  <c r="X91" i="110"/>
  <c r="X73" i="110"/>
  <c r="AW95" i="110"/>
  <c r="AW112" i="110"/>
  <c r="AW108" i="110"/>
  <c r="AW91" i="110"/>
  <c r="Y100" i="110"/>
  <c r="Y82" i="110"/>
  <c r="BC289" i="110" s="1"/>
  <c r="X77" i="110"/>
  <c r="X95" i="110"/>
  <c r="AA161" i="36"/>
  <c r="AA133" i="36"/>
  <c r="R59" i="110"/>
  <c r="R112" i="110"/>
  <c r="R64" i="110"/>
  <c r="R117" i="110"/>
  <c r="Y167" i="110"/>
  <c r="Y163" i="110"/>
  <c r="CD439" i="110"/>
  <c r="S268" i="110"/>
  <c r="CB438" i="110"/>
  <c r="Q267" i="110"/>
  <c r="BE312" i="110" l="1"/>
  <c r="BE309" i="110"/>
  <c r="BE308" i="110"/>
  <c r="S142" i="110"/>
  <c r="X82" i="110"/>
  <c r="BB291" i="110" s="1"/>
  <c r="AW293" i="110"/>
  <c r="CA443" i="110" s="1"/>
  <c r="BE314" i="110"/>
  <c r="BC309" i="110"/>
  <c r="BF290" i="110"/>
  <c r="CJ440" i="110" s="1"/>
  <c r="AB126" i="111" s="1"/>
  <c r="AB126" i="141" s="1"/>
  <c r="AW294" i="110"/>
  <c r="CA444" i="110" s="1"/>
  <c r="S126" i="112" s="1"/>
  <c r="S126" i="142" s="1"/>
  <c r="S148" i="110"/>
  <c r="S144" i="110"/>
  <c r="AW302" i="110"/>
  <c r="AW300" i="110"/>
  <c r="S157" i="110"/>
  <c r="AW288" i="110"/>
  <c r="CA438" i="110" s="1"/>
  <c r="S145" i="110"/>
  <c r="S146" i="110"/>
  <c r="AW292" i="110"/>
  <c r="P271" i="110" s="1"/>
  <c r="S153" i="110"/>
  <c r="W73" i="110"/>
  <c r="BA290" i="110" s="1"/>
  <c r="AW291" i="110"/>
  <c r="CA441" i="110" s="1"/>
  <c r="AW289" i="110"/>
  <c r="BC154" i="110"/>
  <c r="BB310" i="110" s="1"/>
  <c r="S156" i="110"/>
  <c r="S149" i="110"/>
  <c r="AW290" i="110"/>
  <c r="CA440" i="110" s="1"/>
  <c r="S126" i="111" s="1"/>
  <c r="S126" i="141" s="1"/>
  <c r="S152" i="110"/>
  <c r="S143" i="110"/>
  <c r="AW287" i="110"/>
  <c r="S147" i="110"/>
  <c r="BC313" i="110"/>
  <c r="BB304" i="110"/>
  <c r="BC158" i="110"/>
  <c r="BB314" i="110" s="1"/>
  <c r="BB299" i="110"/>
  <c r="BC157" i="110"/>
  <c r="BB313" i="110" s="1"/>
  <c r="BC155" i="110"/>
  <c r="BB311" i="110" s="1"/>
  <c r="BC156" i="110"/>
  <c r="BB312" i="110" s="1"/>
  <c r="BC307" i="110"/>
  <c r="BC153" i="110"/>
  <c r="BB309" i="110" s="1"/>
  <c r="BB297" i="110"/>
  <c r="BC152" i="110"/>
  <c r="BB308" i="110" s="1"/>
  <c r="AW303" i="110"/>
  <c r="BB303" i="110"/>
  <c r="AW304" i="110"/>
  <c r="S155" i="110"/>
  <c r="AW299" i="110"/>
  <c r="AW297" i="110"/>
  <c r="BB298" i="110"/>
  <c r="BB301" i="110"/>
  <c r="S154" i="110"/>
  <c r="S158" i="110"/>
  <c r="BB300" i="110"/>
  <c r="AW301" i="110"/>
  <c r="AW298" i="110"/>
  <c r="BC314" i="110"/>
  <c r="BC308" i="110"/>
  <c r="BC304" i="110"/>
  <c r="BC311" i="110"/>
  <c r="Y147" i="110"/>
  <c r="Y146" i="110"/>
  <c r="U163" i="110"/>
  <c r="Z100" i="110"/>
  <c r="BC312" i="110"/>
  <c r="BC303" i="110"/>
  <c r="BC301" i="110"/>
  <c r="Y144" i="110"/>
  <c r="BC298" i="110"/>
  <c r="Q266" i="110"/>
  <c r="Y143" i="110"/>
  <c r="BC297" i="110"/>
  <c r="Y142" i="110"/>
  <c r="BC300" i="110"/>
  <c r="Y145" i="110"/>
  <c r="Y149" i="110"/>
  <c r="BC302" i="110"/>
  <c r="Y148" i="110"/>
  <c r="Q272" i="110"/>
  <c r="AX299" i="110"/>
  <c r="CB459" i="110" s="1"/>
  <c r="AY308" i="110"/>
  <c r="W151" i="110"/>
  <c r="W152" i="110"/>
  <c r="BA291" i="110"/>
  <c r="CE441" i="110" s="1"/>
  <c r="W154" i="110"/>
  <c r="BA287" i="110"/>
  <c r="CE437" i="110" s="1"/>
  <c r="BA293" i="110"/>
  <c r="CE463" i="110" s="1"/>
  <c r="W153" i="110"/>
  <c r="BA289" i="110"/>
  <c r="CE439" i="110" s="1"/>
  <c r="W158" i="110"/>
  <c r="BA288" i="110"/>
  <c r="CE478" i="110" s="1"/>
  <c r="T144" i="110"/>
  <c r="T145" i="110"/>
  <c r="AX297" i="110"/>
  <c r="CB457" i="110" s="1"/>
  <c r="BA312" i="110"/>
  <c r="AX302" i="110"/>
  <c r="CB482" i="110" s="1"/>
  <c r="U145" i="110"/>
  <c r="T147" i="110"/>
  <c r="AX303" i="110"/>
  <c r="CB483" i="110" s="1"/>
  <c r="AX301" i="110"/>
  <c r="CB481" i="110" s="1"/>
  <c r="AX298" i="110"/>
  <c r="CB458" i="110" s="1"/>
  <c r="W155" i="110"/>
  <c r="T143" i="110"/>
  <c r="AB163" i="110"/>
  <c r="W100" i="110"/>
  <c r="W156" i="110"/>
  <c r="BF304" i="110"/>
  <c r="CJ484" i="110" s="1"/>
  <c r="AB130" i="112" s="1"/>
  <c r="AB130" i="142" s="1"/>
  <c r="T142" i="110"/>
  <c r="Q271" i="110"/>
  <c r="AB167" i="110"/>
  <c r="T146" i="110"/>
  <c r="BA292" i="110"/>
  <c r="CE462" i="110" s="1"/>
  <c r="T148" i="110"/>
  <c r="AY307" i="110"/>
  <c r="T163" i="110"/>
  <c r="AX294" i="110"/>
  <c r="CB444" i="110" s="1"/>
  <c r="T126" i="112" s="1"/>
  <c r="T126" i="142" s="1"/>
  <c r="BA313" i="110"/>
  <c r="Q268" i="110"/>
  <c r="U144" i="110"/>
  <c r="U146" i="110"/>
  <c r="AY298" i="110"/>
  <c r="AY300" i="110"/>
  <c r="AY301" i="110"/>
  <c r="AY314" i="110"/>
  <c r="Q270" i="110"/>
  <c r="T114" i="36"/>
  <c r="AY309" i="110"/>
  <c r="AX300" i="110"/>
  <c r="CB480" i="110" s="1"/>
  <c r="T130" i="111" s="1"/>
  <c r="T130" i="141" s="1"/>
  <c r="T167" i="110"/>
  <c r="AY304" i="110"/>
  <c r="U149" i="110"/>
  <c r="BA307" i="110"/>
  <c r="AY313" i="110"/>
  <c r="AX304" i="110"/>
  <c r="U148" i="110"/>
  <c r="AY303" i="110"/>
  <c r="U142" i="110"/>
  <c r="AY302" i="110"/>
  <c r="AY299" i="110"/>
  <c r="U147" i="110"/>
  <c r="AY297" i="110"/>
  <c r="U143" i="110"/>
  <c r="BA308" i="110"/>
  <c r="AY312" i="110"/>
  <c r="AV180" i="36"/>
  <c r="AB114" i="36"/>
  <c r="AY310" i="110"/>
  <c r="BA170" i="36"/>
  <c r="BA310" i="110"/>
  <c r="BA314" i="110"/>
  <c r="BB171" i="36"/>
  <c r="AA111" i="142"/>
  <c r="Z100" i="112"/>
  <c r="R101" i="142"/>
  <c r="AZ176" i="36"/>
  <c r="AZ169" i="36"/>
  <c r="AU170" i="36"/>
  <c r="T100" i="142"/>
  <c r="T105" i="142"/>
  <c r="AA108" i="112"/>
  <c r="Z103" i="112"/>
  <c r="Z110" i="112"/>
  <c r="T106" i="112"/>
  <c r="AZ175" i="36"/>
  <c r="AA107" i="112"/>
  <c r="AZ178" i="36"/>
  <c r="AZ167" i="36"/>
  <c r="AZ168" i="36"/>
  <c r="AZ174" i="36"/>
  <c r="R106" i="112"/>
  <c r="AZ181" i="36"/>
  <c r="AZ172" i="36"/>
  <c r="R107" i="112"/>
  <c r="R104" i="112"/>
  <c r="X136" i="110"/>
  <c r="X140" i="110"/>
  <c r="X135" i="110"/>
  <c r="X138" i="110"/>
  <c r="X137" i="110"/>
  <c r="X134" i="110"/>
  <c r="X139" i="110"/>
  <c r="X133" i="110"/>
  <c r="AT174" i="36"/>
  <c r="AZ180" i="36"/>
  <c r="AZ171" i="36"/>
  <c r="AZ179" i="36"/>
  <c r="AZ173" i="36"/>
  <c r="Y142" i="36"/>
  <c r="Y114" i="36"/>
  <c r="Z114" i="36"/>
  <c r="AZ177" i="36"/>
  <c r="W142" i="36"/>
  <c r="W114" i="36"/>
  <c r="Z102" i="142"/>
  <c r="R76" i="110"/>
  <c r="R136" i="110" s="1"/>
  <c r="R94" i="110"/>
  <c r="AW126" i="110"/>
  <c r="AW149" i="110"/>
  <c r="AW130" i="110"/>
  <c r="AW148" i="110"/>
  <c r="AW144" i="110"/>
  <c r="AW142" i="110"/>
  <c r="AW125" i="110"/>
  <c r="AW147" i="110"/>
  <c r="AW128" i="110"/>
  <c r="AW146" i="110"/>
  <c r="AW143" i="110"/>
  <c r="AW124" i="110"/>
  <c r="AW145" i="110"/>
  <c r="AW129" i="110"/>
  <c r="T107" i="112"/>
  <c r="R105" i="142"/>
  <c r="R105" i="112"/>
  <c r="Z105" i="142"/>
  <c r="Z105" i="112"/>
  <c r="R110" i="142"/>
  <c r="R110" i="112"/>
  <c r="Z104" i="142"/>
  <c r="Z104" i="112"/>
  <c r="R99" i="142"/>
  <c r="R99" i="112"/>
  <c r="R98" i="142"/>
  <c r="R98" i="112"/>
  <c r="T98" i="142"/>
  <c r="T98" i="112"/>
  <c r="T111" i="142"/>
  <c r="T111" i="112"/>
  <c r="R108" i="142"/>
  <c r="R108" i="112"/>
  <c r="Z98" i="142"/>
  <c r="Z98" i="112"/>
  <c r="AA110" i="142"/>
  <c r="AA110" i="112"/>
  <c r="AA105" i="142"/>
  <c r="AA105" i="112"/>
  <c r="T99" i="142"/>
  <c r="T99" i="112"/>
  <c r="AA106" i="142"/>
  <c r="AA106" i="112"/>
  <c r="AA98" i="142"/>
  <c r="AA98" i="112"/>
  <c r="Z108" i="142"/>
  <c r="Z108" i="112"/>
  <c r="AA101" i="142"/>
  <c r="AA101" i="112"/>
  <c r="T103" i="142"/>
  <c r="T103" i="112"/>
  <c r="AA102" i="142"/>
  <c r="AA102" i="112"/>
  <c r="T102" i="142"/>
  <c r="T102" i="112"/>
  <c r="AA104" i="142"/>
  <c r="AA104" i="112"/>
  <c r="AA100" i="142"/>
  <c r="AA100" i="112"/>
  <c r="R112" i="142"/>
  <c r="R112" i="112"/>
  <c r="Z109" i="142"/>
  <c r="Z109" i="112"/>
  <c r="Z107" i="142"/>
  <c r="Z107" i="112"/>
  <c r="AA112" i="142"/>
  <c r="AA112" i="112"/>
  <c r="T110" i="142"/>
  <c r="T110" i="112"/>
  <c r="AA99" i="142"/>
  <c r="AA99" i="112"/>
  <c r="T108" i="142"/>
  <c r="T108" i="112"/>
  <c r="T109" i="142"/>
  <c r="T109" i="112"/>
  <c r="R109" i="142"/>
  <c r="R109" i="112"/>
  <c r="R100" i="142"/>
  <c r="R100" i="112"/>
  <c r="Z101" i="142"/>
  <c r="Z101" i="112"/>
  <c r="AA109" i="142"/>
  <c r="AA109" i="112"/>
  <c r="T104" i="142"/>
  <c r="T104" i="112"/>
  <c r="Z99" i="142"/>
  <c r="Z99" i="112"/>
  <c r="T112" i="142"/>
  <c r="T112" i="112"/>
  <c r="R111" i="142"/>
  <c r="R111" i="112"/>
  <c r="Z111" i="142"/>
  <c r="Z111" i="112"/>
  <c r="R102" i="112"/>
  <c r="R102" i="142"/>
  <c r="Z106" i="112"/>
  <c r="Z106" i="142"/>
  <c r="Y23" i="142"/>
  <c r="Y37" i="142"/>
  <c r="X33" i="142"/>
  <c r="Y35" i="142"/>
  <c r="Y24" i="142"/>
  <c r="Y30" i="142"/>
  <c r="Y33" i="142"/>
  <c r="Y28" i="142"/>
  <c r="Y36" i="142"/>
  <c r="S23" i="141"/>
  <c r="R23" i="141"/>
  <c r="Z33" i="141"/>
  <c r="Z31" i="141"/>
  <c r="X28" i="141"/>
  <c r="X25" i="141"/>
  <c r="Z28" i="141"/>
  <c r="S22" i="141"/>
  <c r="N33" i="141"/>
  <c r="Z23" i="141"/>
  <c r="X32" i="141"/>
  <c r="X31" i="141"/>
  <c r="S25" i="141"/>
  <c r="X35" i="141"/>
  <c r="N24" i="141"/>
  <c r="R34" i="141"/>
  <c r="Z27" i="141"/>
  <c r="X30" i="141"/>
  <c r="X33" i="141"/>
  <c r="N23" i="141"/>
  <c r="N31" i="141"/>
  <c r="R28" i="141"/>
  <c r="R22" i="141"/>
  <c r="X24" i="141"/>
  <c r="X36" i="141"/>
  <c r="S26" i="141"/>
  <c r="N36" i="141"/>
  <c r="N34" i="141"/>
  <c r="R31" i="141"/>
  <c r="Z22" i="141"/>
  <c r="X26" i="141"/>
  <c r="X27" i="141"/>
  <c r="S27" i="141"/>
  <c r="Z35" i="141"/>
  <c r="Z33" i="142"/>
  <c r="Z26" i="142"/>
  <c r="Z32" i="142"/>
  <c r="Z28" i="142"/>
  <c r="AA35" i="141"/>
  <c r="AA34" i="141"/>
  <c r="P23" i="141"/>
  <c r="U36" i="141"/>
  <c r="T34" i="141"/>
  <c r="AA36" i="141"/>
  <c r="P35" i="141"/>
  <c r="P36" i="141"/>
  <c r="U28" i="141"/>
  <c r="U23" i="141"/>
  <c r="U29" i="141"/>
  <c r="T29" i="141"/>
  <c r="AA28" i="141"/>
  <c r="AA31" i="141"/>
  <c r="V33" i="141"/>
  <c r="T31" i="141"/>
  <c r="U35" i="141"/>
  <c r="AA32" i="141"/>
  <c r="AA29" i="141"/>
  <c r="P24" i="141"/>
  <c r="V27" i="141"/>
  <c r="T24" i="141"/>
  <c r="T35" i="141"/>
  <c r="AA27" i="141"/>
  <c r="P22" i="141"/>
  <c r="T30" i="141"/>
  <c r="T22" i="141"/>
  <c r="U31" i="141"/>
  <c r="AA24" i="141"/>
  <c r="P28" i="141"/>
  <c r="P27" i="141"/>
  <c r="U34" i="141"/>
  <c r="V28" i="141"/>
  <c r="V32" i="141"/>
  <c r="U26" i="141"/>
  <c r="U32" i="141"/>
  <c r="U33" i="141"/>
  <c r="T32" i="141"/>
  <c r="T33" i="141"/>
  <c r="T36" i="141"/>
  <c r="V26" i="141"/>
  <c r="V23" i="141"/>
  <c r="Y32" i="141"/>
  <c r="Y36" i="141"/>
  <c r="Y26" i="141"/>
  <c r="Y34" i="141"/>
  <c r="Y33" i="141"/>
  <c r="Y31" i="141"/>
  <c r="Y28" i="141"/>
  <c r="Y24" i="141"/>
  <c r="Y29" i="141"/>
  <c r="Y23" i="141"/>
  <c r="Y27" i="141"/>
  <c r="Y25" i="141"/>
  <c r="Y30" i="141"/>
  <c r="Y35" i="141"/>
  <c r="V31" i="141"/>
  <c r="V29" i="141"/>
  <c r="V22" i="141"/>
  <c r="Z26" i="141"/>
  <c r="AB33" i="141"/>
  <c r="AB27" i="141"/>
  <c r="AB31" i="141"/>
  <c r="AB35" i="141"/>
  <c r="AB25" i="141"/>
  <c r="AB30" i="141"/>
  <c r="AB34" i="141"/>
  <c r="V30" i="141"/>
  <c r="AB23" i="141"/>
  <c r="AB36" i="141"/>
  <c r="AB24" i="141"/>
  <c r="AB26" i="141"/>
  <c r="R33" i="141"/>
  <c r="R32" i="141"/>
  <c r="P26" i="141"/>
  <c r="V35" i="141"/>
  <c r="S33" i="141"/>
  <c r="Z30" i="141"/>
  <c r="AB29" i="141"/>
  <c r="S36" i="141"/>
  <c r="S24" i="141"/>
  <c r="AA33" i="141"/>
  <c r="N32" i="141"/>
  <c r="P25" i="141"/>
  <c r="P34" i="141"/>
  <c r="V25" i="141"/>
  <c r="V36" i="141"/>
  <c r="R24" i="141"/>
  <c r="N27" i="141"/>
  <c r="S28" i="141"/>
  <c r="AA25" i="141"/>
  <c r="N28" i="141"/>
  <c r="N30" i="141"/>
  <c r="P29" i="141"/>
  <c r="R30" i="141"/>
  <c r="R27" i="141"/>
  <c r="N25" i="141"/>
  <c r="R26" i="141"/>
  <c r="Z36" i="141"/>
  <c r="S35" i="141"/>
  <c r="S34" i="141"/>
  <c r="P30" i="141"/>
  <c r="Z34" i="141"/>
  <c r="N35" i="141"/>
  <c r="P33" i="141"/>
  <c r="R25" i="141"/>
  <c r="Z32" i="141"/>
  <c r="S29" i="141"/>
  <c r="AA30" i="141"/>
  <c r="P32" i="141"/>
  <c r="Z24" i="141"/>
  <c r="AB28" i="141"/>
  <c r="S32" i="141"/>
  <c r="N26" i="141"/>
  <c r="N29" i="141"/>
  <c r="S30" i="141"/>
  <c r="V24" i="141"/>
  <c r="V34" i="141"/>
  <c r="Z23" i="142"/>
  <c r="T31" i="142"/>
  <c r="X31" i="142"/>
  <c r="M35" i="142"/>
  <c r="P32" i="142"/>
  <c r="AB31" i="142"/>
  <c r="N25" i="142"/>
  <c r="O25" i="142"/>
  <c r="M29" i="142"/>
  <c r="W32" i="142"/>
  <c r="N36" i="142"/>
  <c r="U27" i="142"/>
  <c r="R28" i="142"/>
  <c r="Y29" i="142"/>
  <c r="O26" i="142"/>
  <c r="O31" i="142"/>
  <c r="M33" i="142"/>
  <c r="P29" i="142"/>
  <c r="P27" i="142"/>
  <c r="W28" i="142"/>
  <c r="W34" i="142"/>
  <c r="AB30" i="142"/>
  <c r="N30" i="142"/>
  <c r="N27" i="142"/>
  <c r="U28" i="142"/>
  <c r="U32" i="142"/>
  <c r="R34" i="142"/>
  <c r="R35" i="142"/>
  <c r="R33" i="142"/>
  <c r="Y25" i="142"/>
  <c r="Y32" i="142"/>
  <c r="O30" i="142"/>
  <c r="O23" i="142"/>
  <c r="W30" i="142"/>
  <c r="U36" i="142"/>
  <c r="P33" i="142"/>
  <c r="AB28" i="142"/>
  <c r="N22" i="142"/>
  <c r="U26" i="142"/>
  <c r="R25" i="142"/>
  <c r="R31" i="142"/>
  <c r="O32" i="142"/>
  <c r="M28" i="142"/>
  <c r="M22" i="142"/>
  <c r="P24" i="142"/>
  <c r="P36" i="142"/>
  <c r="P23" i="142"/>
  <c r="W27" i="142"/>
  <c r="W33" i="142"/>
  <c r="AB22" i="142"/>
  <c r="AB25" i="142"/>
  <c r="N33" i="142"/>
  <c r="N29" i="142"/>
  <c r="U31" i="142"/>
  <c r="R24" i="142"/>
  <c r="R36" i="142"/>
  <c r="O29" i="142"/>
  <c r="M31" i="142"/>
  <c r="W22" i="142"/>
  <c r="R29" i="142"/>
  <c r="T29" i="142"/>
  <c r="X35" i="142"/>
  <c r="AB26" i="142"/>
  <c r="M30" i="142"/>
  <c r="W29" i="142"/>
  <c r="U22" i="142"/>
  <c r="R27" i="142"/>
  <c r="R30" i="142"/>
  <c r="Y27" i="142"/>
  <c r="AB23" i="142"/>
  <c r="P31" i="142"/>
  <c r="M24" i="142"/>
  <c r="P25" i="142"/>
  <c r="AB24" i="142"/>
  <c r="M23" i="142"/>
  <c r="M25" i="142"/>
  <c r="M34" i="142"/>
  <c r="P34" i="142"/>
  <c r="P30" i="142"/>
  <c r="W31" i="142"/>
  <c r="AB33" i="142"/>
  <c r="AB29" i="142"/>
  <c r="N24" i="142"/>
  <c r="N34" i="142"/>
  <c r="N28" i="142"/>
  <c r="U24" i="142"/>
  <c r="R26" i="142"/>
  <c r="O34" i="142"/>
  <c r="P22" i="142"/>
  <c r="U29" i="142"/>
  <c r="X29" i="142"/>
  <c r="W25" i="142"/>
  <c r="P26" i="142"/>
  <c r="W23" i="142"/>
  <c r="U25" i="142"/>
  <c r="M36" i="142"/>
  <c r="M27" i="142"/>
  <c r="M32" i="142"/>
  <c r="W35" i="142"/>
  <c r="W24" i="142"/>
  <c r="W36" i="142"/>
  <c r="AB34" i="142"/>
  <c r="AB35" i="142"/>
  <c r="N26" i="142"/>
  <c r="N31" i="142"/>
  <c r="N23" i="142"/>
  <c r="U23" i="142"/>
  <c r="U33" i="142"/>
  <c r="R23" i="142"/>
  <c r="Y22" i="142"/>
  <c r="Y31" i="142"/>
  <c r="O24" i="142"/>
  <c r="O28" i="142"/>
  <c r="AB32" i="142"/>
  <c r="U30" i="142"/>
  <c r="Y34" i="142"/>
  <c r="M26" i="142"/>
  <c r="P28" i="142"/>
  <c r="P35" i="142"/>
  <c r="W26" i="142"/>
  <c r="AB27" i="142"/>
  <c r="AB36" i="142"/>
  <c r="N35" i="142"/>
  <c r="N32" i="142"/>
  <c r="U34" i="142"/>
  <c r="U35" i="142"/>
  <c r="R32" i="142"/>
  <c r="R22" i="142"/>
  <c r="Z37" i="142"/>
  <c r="Y26" i="142"/>
  <c r="O37" i="142"/>
  <c r="O22" i="142"/>
  <c r="X113" i="112"/>
  <c r="X113" i="142"/>
  <c r="U113" i="142"/>
  <c r="U113" i="112"/>
  <c r="AB113" i="112"/>
  <c r="AB113" i="142"/>
  <c r="Y113" i="112"/>
  <c r="Y113" i="142"/>
  <c r="W113" i="112"/>
  <c r="W113" i="142"/>
  <c r="S113" i="112"/>
  <c r="S113" i="142"/>
  <c r="P37" i="142"/>
  <c r="R37" i="142"/>
  <c r="M37" i="142"/>
  <c r="U37" i="142"/>
  <c r="N37" i="142"/>
  <c r="AB37" i="142"/>
  <c r="W37" i="142"/>
  <c r="AS177" i="36"/>
  <c r="AT179" i="36"/>
  <c r="BB178" i="36"/>
  <c r="BB176" i="36"/>
  <c r="BA222" i="36"/>
  <c r="AA113" i="112" s="1"/>
  <c r="AS174" i="36"/>
  <c r="BB170" i="36"/>
  <c r="AU169" i="36"/>
  <c r="AU177" i="36"/>
  <c r="BA167" i="36"/>
  <c r="AT181" i="36"/>
  <c r="BB168" i="36"/>
  <c r="AS168" i="36"/>
  <c r="AT173" i="36"/>
  <c r="AT171" i="36"/>
  <c r="AV175" i="36"/>
  <c r="AX177" i="36"/>
  <c r="BA175" i="36"/>
  <c r="AV174" i="36"/>
  <c r="AR222" i="36"/>
  <c r="AX180" i="36"/>
  <c r="BA177" i="36"/>
  <c r="AV179" i="36"/>
  <c r="AX176" i="36"/>
  <c r="BA169" i="36"/>
  <c r="AV177" i="36"/>
  <c r="AV176" i="36"/>
  <c r="AU176" i="36"/>
  <c r="AU168" i="36"/>
  <c r="AX178" i="36"/>
  <c r="AX179" i="36"/>
  <c r="BB177" i="36"/>
  <c r="BB169" i="36"/>
  <c r="BA178" i="36"/>
  <c r="BA168" i="36"/>
  <c r="AS176" i="36"/>
  <c r="AS167" i="36"/>
  <c r="AT180" i="36"/>
  <c r="AT172" i="36"/>
  <c r="AV171" i="36"/>
  <c r="AV172" i="36"/>
  <c r="AU174" i="36"/>
  <c r="AX174" i="36"/>
  <c r="AX175" i="36"/>
  <c r="BB175" i="36"/>
  <c r="BB167" i="36"/>
  <c r="BA174" i="36"/>
  <c r="AS181" i="36"/>
  <c r="AS173" i="36"/>
  <c r="AT178" i="36"/>
  <c r="AT170" i="36"/>
  <c r="AU167" i="36"/>
  <c r="AV173" i="36"/>
  <c r="AV170" i="36"/>
  <c r="AU181" i="36"/>
  <c r="AU173" i="36"/>
  <c r="AX172" i="36"/>
  <c r="AX173" i="36"/>
  <c r="BB174" i="36"/>
  <c r="BA179" i="36"/>
  <c r="BA173" i="36"/>
  <c r="AS180" i="36"/>
  <c r="AS172" i="36"/>
  <c r="AT177" i="36"/>
  <c r="AT169" i="36"/>
  <c r="AV169" i="36"/>
  <c r="AV168" i="36"/>
  <c r="AU180" i="36"/>
  <c r="AU172" i="36"/>
  <c r="AX170" i="36"/>
  <c r="AX171" i="36"/>
  <c r="BB179" i="36"/>
  <c r="BB173" i="36"/>
  <c r="BA180" i="36"/>
  <c r="BA172" i="36"/>
  <c r="AS179" i="36"/>
  <c r="AS171" i="36"/>
  <c r="AT176" i="36"/>
  <c r="AT168" i="36"/>
  <c r="AV178" i="36"/>
  <c r="AV181" i="36"/>
  <c r="AZ222" i="36"/>
  <c r="AU179" i="36"/>
  <c r="AU171" i="36"/>
  <c r="AX168" i="36"/>
  <c r="AX169" i="36"/>
  <c r="BB181" i="36"/>
  <c r="BB172" i="36"/>
  <c r="BA176" i="36"/>
  <c r="BA171" i="36"/>
  <c r="AS175" i="36"/>
  <c r="AS170" i="36"/>
  <c r="AT222" i="36"/>
  <c r="AT175" i="36"/>
  <c r="AT167" i="36"/>
  <c r="AU175" i="36"/>
  <c r="AV167" i="36"/>
  <c r="AU178" i="36"/>
  <c r="AX181" i="36"/>
  <c r="BB180" i="36"/>
  <c r="BA181" i="36"/>
  <c r="AS178" i="36"/>
  <c r="X37" i="141"/>
  <c r="CD437" i="110"/>
  <c r="S267" i="110"/>
  <c r="CD478" i="110"/>
  <c r="CD477" i="110"/>
  <c r="S272" i="110"/>
  <c r="CD483" i="110"/>
  <c r="CD457" i="110"/>
  <c r="CD442" i="110"/>
  <c r="S270" i="110"/>
  <c r="CD482" i="110"/>
  <c r="CD481" i="110"/>
  <c r="AA22" i="141"/>
  <c r="N22" i="141"/>
  <c r="CI461" i="110"/>
  <c r="CI484" i="110"/>
  <c r="AA130" i="112" s="1"/>
  <c r="AA130" i="142" s="1"/>
  <c r="CI458" i="110"/>
  <c r="CI463" i="110"/>
  <c r="CI483" i="110"/>
  <c r="CI438" i="110"/>
  <c r="CD458" i="110"/>
  <c r="CI477" i="110"/>
  <c r="CI479" i="110"/>
  <c r="CD461" i="110"/>
  <c r="CI482" i="110"/>
  <c r="CI442" i="110"/>
  <c r="CD462" i="110"/>
  <c r="X270" i="110"/>
  <c r="CD459" i="110"/>
  <c r="CI478" i="110"/>
  <c r="CD463" i="110"/>
  <c r="CI481" i="110"/>
  <c r="CI437" i="110"/>
  <c r="X267" i="110"/>
  <c r="CI441" i="110"/>
  <c r="CI462" i="110"/>
  <c r="CI457" i="110"/>
  <c r="CI444" i="110"/>
  <c r="AA126" i="112" s="1"/>
  <c r="AA126" i="142" s="1"/>
  <c r="CI464" i="110"/>
  <c r="AA122" i="112" s="1"/>
  <c r="AA122" i="142" s="1"/>
  <c r="CI460" i="110"/>
  <c r="AA122" i="111" s="1"/>
  <c r="AA122" i="141" s="1"/>
  <c r="CI480" i="110"/>
  <c r="AA130" i="111" s="1"/>
  <c r="AA130" i="141" s="1"/>
  <c r="X268" i="110"/>
  <c r="CI459" i="110"/>
  <c r="X272" i="110"/>
  <c r="CI439" i="110"/>
  <c r="CI443" i="110"/>
  <c r="CJ458" i="110"/>
  <c r="BC294" i="110"/>
  <c r="CJ478" i="110"/>
  <c r="CJ483" i="110"/>
  <c r="CJ477" i="110"/>
  <c r="CJ461" i="110"/>
  <c r="CJ459" i="110"/>
  <c r="CJ481" i="110"/>
  <c r="Y270" i="110"/>
  <c r="Y267" i="110"/>
  <c r="CJ437" i="110"/>
  <c r="Y266" i="110"/>
  <c r="CJ444" i="110"/>
  <c r="AB126" i="112" s="1"/>
  <c r="AB126" i="142" s="1"/>
  <c r="CJ457" i="110"/>
  <c r="Y268" i="110"/>
  <c r="CJ479" i="110"/>
  <c r="Y272" i="110"/>
  <c r="CJ443" i="110"/>
  <c r="CJ462" i="110"/>
  <c r="CJ463" i="110"/>
  <c r="CJ482" i="110"/>
  <c r="Y271" i="110"/>
  <c r="BD313" i="110"/>
  <c r="BD312" i="110"/>
  <c r="BD314" i="110"/>
  <c r="BD310" i="110"/>
  <c r="AZ314" i="110"/>
  <c r="BB307" i="110"/>
  <c r="Z163" i="110"/>
  <c r="Z167" i="110"/>
  <c r="BD311" i="110"/>
  <c r="AZ310" i="110"/>
  <c r="BD309" i="110"/>
  <c r="BD308" i="110"/>
  <c r="Z143" i="110"/>
  <c r="Z149" i="110"/>
  <c r="Z142" i="110"/>
  <c r="Z144" i="110"/>
  <c r="Z145" i="110"/>
  <c r="Z146" i="110"/>
  <c r="Z148" i="110"/>
  <c r="Z147" i="110"/>
  <c r="BD307" i="110"/>
  <c r="BC288" i="110"/>
  <c r="BC287" i="110"/>
  <c r="CG437" i="110" s="1"/>
  <c r="BF310" i="110"/>
  <c r="BF314" i="110"/>
  <c r="U157" i="110"/>
  <c r="AY288" i="110"/>
  <c r="AY292" i="110"/>
  <c r="U153" i="110"/>
  <c r="U158" i="110"/>
  <c r="AY289" i="110"/>
  <c r="U151" i="110"/>
  <c r="AY294" i="110"/>
  <c r="U154" i="110"/>
  <c r="AY291" i="110"/>
  <c r="AY287" i="110"/>
  <c r="AY290" i="110"/>
  <c r="U155" i="110"/>
  <c r="U152" i="110"/>
  <c r="AY293" i="110"/>
  <c r="U156" i="110"/>
  <c r="AZ290" i="110"/>
  <c r="AZ294" i="110"/>
  <c r="V167" i="110"/>
  <c r="V163" i="110"/>
  <c r="BC290" i="110"/>
  <c r="CG440" i="110" s="1"/>
  <c r="Y126" i="111" s="1"/>
  <c r="Y126" i="141" s="1"/>
  <c r="BC292" i="110"/>
  <c r="BC293" i="110"/>
  <c r="X144" i="110"/>
  <c r="X145" i="110"/>
  <c r="X146" i="110"/>
  <c r="X147" i="110"/>
  <c r="X149" i="110"/>
  <c r="BB290" i="110"/>
  <c r="X148" i="110"/>
  <c r="X142" i="110"/>
  <c r="X143" i="110"/>
  <c r="R91" i="110"/>
  <c r="R73" i="110"/>
  <c r="Y156" i="110"/>
  <c r="Y157" i="110"/>
  <c r="Y153" i="110"/>
  <c r="Y158" i="110"/>
  <c r="Y151" i="110"/>
  <c r="Y152" i="110"/>
  <c r="Y154" i="110"/>
  <c r="Y155" i="110"/>
  <c r="AV304" i="110"/>
  <c r="AV300" i="110"/>
  <c r="X151" i="110"/>
  <c r="X154" i="110"/>
  <c r="AV302" i="110"/>
  <c r="AV299" i="110"/>
  <c r="AV297" i="110"/>
  <c r="AV298" i="110"/>
  <c r="AV301" i="110"/>
  <c r="AV303" i="110"/>
  <c r="R95" i="110"/>
  <c r="R77" i="110"/>
  <c r="AW140" i="110"/>
  <c r="AW136" i="110"/>
  <c r="AW154" i="110"/>
  <c r="AW151" i="110"/>
  <c r="AW152" i="110"/>
  <c r="AW153" i="110"/>
  <c r="AW155" i="110"/>
  <c r="AW156" i="110"/>
  <c r="AW157" i="110"/>
  <c r="AW158" i="110"/>
  <c r="BC291" i="110"/>
  <c r="R82" i="110"/>
  <c r="R100" i="110"/>
  <c r="X163" i="110"/>
  <c r="X167" i="110"/>
  <c r="BD294" i="110"/>
  <c r="Z157" i="110"/>
  <c r="BD290" i="110"/>
  <c r="Z158" i="110"/>
  <c r="Z154" i="110"/>
  <c r="Z152" i="110"/>
  <c r="BD291" i="110"/>
  <c r="Z151" i="110"/>
  <c r="BD292" i="110"/>
  <c r="BD287" i="110"/>
  <c r="Z153" i="110"/>
  <c r="BD293" i="110"/>
  <c r="Z155" i="110"/>
  <c r="BD288" i="110"/>
  <c r="Z156" i="110"/>
  <c r="BD289" i="110"/>
  <c r="AW164" i="110"/>
  <c r="AW160" i="110"/>
  <c r="AW167" i="110"/>
  <c r="AW165" i="110"/>
  <c r="AW163" i="110"/>
  <c r="AW166" i="110"/>
  <c r="AW161" i="110"/>
  <c r="AW162" i="110"/>
  <c r="CG439" i="110"/>
  <c r="CG479" i="110"/>
  <c r="CG459" i="110"/>
  <c r="V268" i="110"/>
  <c r="X152" i="110" l="1"/>
  <c r="BB287" i="110"/>
  <c r="CF437" i="110" s="1"/>
  <c r="X158" i="110"/>
  <c r="BB288" i="110"/>
  <c r="U267" i="110" s="1"/>
  <c r="X157" i="110"/>
  <c r="BB289" i="110"/>
  <c r="X156" i="110"/>
  <c r="BB294" i="110"/>
  <c r="CF464" i="110" s="1"/>
  <c r="X122" i="112" s="1"/>
  <c r="X122" i="142" s="1"/>
  <c r="W163" i="110"/>
  <c r="X153" i="110"/>
  <c r="BB292" i="110"/>
  <c r="U271" i="110" s="1"/>
  <c r="X155" i="110"/>
  <c r="BB293" i="110"/>
  <c r="CF443" i="110" s="1"/>
  <c r="P272" i="110"/>
  <c r="W167" i="110"/>
  <c r="CA479" i="110"/>
  <c r="CJ480" i="110"/>
  <c r="AB130" i="111" s="1"/>
  <c r="AB130" i="141" s="1"/>
  <c r="CA483" i="110"/>
  <c r="CA484" i="110"/>
  <c r="S130" i="112" s="1"/>
  <c r="S130" i="142" s="1"/>
  <c r="CJ460" i="110"/>
  <c r="AB122" i="111" s="1"/>
  <c r="AB122" i="141" s="1"/>
  <c r="CA460" i="110"/>
  <c r="S122" i="111" s="1"/>
  <c r="S122" i="141" s="1"/>
  <c r="CA463" i="110"/>
  <c r="CA478" i="110"/>
  <c r="CA458" i="110"/>
  <c r="CA482" i="110"/>
  <c r="CA480" i="110"/>
  <c r="S130" i="111" s="1"/>
  <c r="S130" i="141" s="1"/>
  <c r="CA462" i="110"/>
  <c r="CA459" i="110"/>
  <c r="CA442" i="110"/>
  <c r="P267" i="110"/>
  <c r="BA294" i="110"/>
  <c r="CE484" i="110" s="1"/>
  <c r="W130" i="112" s="1"/>
  <c r="W130" i="142" s="1"/>
  <c r="CA477" i="110"/>
  <c r="CA481" i="110"/>
  <c r="P270" i="110"/>
  <c r="P268" i="110"/>
  <c r="CA439" i="110"/>
  <c r="P266" i="110"/>
  <c r="CA437" i="110"/>
  <c r="CA461" i="110"/>
  <c r="CA464" i="110"/>
  <c r="S122" i="112" s="1"/>
  <c r="S122" i="142" s="1"/>
  <c r="CG464" i="110"/>
  <c r="Y122" i="112" s="1"/>
  <c r="Y122" i="142" s="1"/>
  <c r="CA457" i="110"/>
  <c r="CB479" i="110"/>
  <c r="CJ464" i="110"/>
  <c r="AB122" i="112" s="1"/>
  <c r="AB122" i="142" s="1"/>
  <c r="T272" i="110"/>
  <c r="CB478" i="110"/>
  <c r="CG483" i="110"/>
  <c r="CG458" i="110"/>
  <c r="CG482" i="110"/>
  <c r="CE459" i="110"/>
  <c r="T270" i="110"/>
  <c r="CE481" i="110"/>
  <c r="CE461" i="110"/>
  <c r="CE477" i="110"/>
  <c r="CB477" i="110"/>
  <c r="T266" i="110"/>
  <c r="CB484" i="110"/>
  <c r="T130" i="112" s="1"/>
  <c r="T130" i="142" s="1"/>
  <c r="CE457" i="110"/>
  <c r="CE483" i="110"/>
  <c r="CB462" i="110"/>
  <c r="CE443" i="110"/>
  <c r="T268" i="110"/>
  <c r="CB460" i="110"/>
  <c r="T122" i="111" s="1"/>
  <c r="T122" i="141" s="1"/>
  <c r="CE442" i="110"/>
  <c r="CE482" i="110"/>
  <c r="T271" i="110"/>
  <c r="CE479" i="110"/>
  <c r="CE438" i="110"/>
  <c r="CE458" i="110"/>
  <c r="CB463" i="110"/>
  <c r="T267" i="110"/>
  <c r="CB461" i="110"/>
  <c r="CB464" i="110"/>
  <c r="T122" i="112" s="1"/>
  <c r="T122" i="142" s="1"/>
  <c r="AW176" i="36"/>
  <c r="AW177" i="36"/>
  <c r="AW175" i="36"/>
  <c r="AW179" i="36"/>
  <c r="AW173" i="36"/>
  <c r="AW180" i="36"/>
  <c r="AW171" i="36"/>
  <c r="AW181" i="36"/>
  <c r="AW169" i="36"/>
  <c r="AW168" i="36"/>
  <c r="AW178" i="36"/>
  <c r="AW172" i="36"/>
  <c r="AW174" i="36"/>
  <c r="AW170" i="36"/>
  <c r="AW167" i="36"/>
  <c r="AY167" i="36"/>
  <c r="AY181" i="36"/>
  <c r="AY169" i="36"/>
  <c r="AY168" i="36"/>
  <c r="AY173" i="36"/>
  <c r="AY171" i="36"/>
  <c r="AY170" i="36"/>
  <c r="AY172" i="36"/>
  <c r="AY175" i="36"/>
  <c r="AY174" i="36"/>
  <c r="AY179" i="36"/>
  <c r="AY178" i="36"/>
  <c r="AY176" i="36"/>
  <c r="AY177" i="36"/>
  <c r="AY180" i="36"/>
  <c r="R135" i="110"/>
  <c r="R139" i="110"/>
  <c r="R140" i="110"/>
  <c r="R133" i="110"/>
  <c r="R134" i="110"/>
  <c r="R137" i="110"/>
  <c r="R138" i="110"/>
  <c r="AA26" i="141"/>
  <c r="X22" i="141"/>
  <c r="Z25" i="141"/>
  <c r="R29" i="141"/>
  <c r="AB32" i="141"/>
  <c r="Z29" i="141"/>
  <c r="R35" i="141"/>
  <c r="T34" i="142"/>
  <c r="T22" i="142"/>
  <c r="T27" i="142"/>
  <c r="T36" i="142"/>
  <c r="T32" i="142"/>
  <c r="T35" i="142"/>
  <c r="Z29" i="142"/>
  <c r="X22" i="142"/>
  <c r="Z25" i="142"/>
  <c r="X23" i="142"/>
  <c r="X25" i="142"/>
  <c r="Z24" i="142"/>
  <c r="T26" i="142"/>
  <c r="X24" i="142"/>
  <c r="X36" i="142"/>
  <c r="T25" i="142"/>
  <c r="X34" i="142"/>
  <c r="X32" i="142"/>
  <c r="Z30" i="142"/>
  <c r="X30" i="142"/>
  <c r="X27" i="142"/>
  <c r="Z27" i="142"/>
  <c r="T23" i="142"/>
  <c r="Z35" i="142"/>
  <c r="T33" i="142"/>
  <c r="T24" i="142"/>
  <c r="X26" i="142"/>
  <c r="T30" i="142"/>
  <c r="Z36" i="142"/>
  <c r="Z34" i="142"/>
  <c r="Z31" i="142"/>
  <c r="X28" i="142"/>
  <c r="Z22" i="142"/>
  <c r="T28" i="142"/>
  <c r="AA113" i="142"/>
  <c r="R113" i="112"/>
  <c r="R113" i="142"/>
  <c r="T113" i="142"/>
  <c r="T113" i="112"/>
  <c r="Z113" i="112"/>
  <c r="Z113" i="142"/>
  <c r="V37" i="141"/>
  <c r="U37" i="141"/>
  <c r="Q37" i="141"/>
  <c r="M37" i="141"/>
  <c r="T37" i="141"/>
  <c r="V271" i="110"/>
  <c r="CG484" i="110"/>
  <c r="Y130" i="112" s="1"/>
  <c r="Y130" i="142" s="1"/>
  <c r="CG444" i="110"/>
  <c r="Y126" i="112" s="1"/>
  <c r="Y126" i="142" s="1"/>
  <c r="CG457" i="110"/>
  <c r="CG477" i="110"/>
  <c r="CG442" i="110"/>
  <c r="V272" i="110"/>
  <c r="CG463" i="110"/>
  <c r="CG443" i="110"/>
  <c r="CG462" i="110"/>
  <c r="V266" i="110"/>
  <c r="CG480" i="110"/>
  <c r="Y130" i="111" s="1"/>
  <c r="Y130" i="141" s="1"/>
  <c r="V267" i="110"/>
  <c r="CG478" i="110"/>
  <c r="CG438" i="110"/>
  <c r="CC479" i="110"/>
  <c r="CC459" i="110"/>
  <c r="CC439" i="110"/>
  <c r="R268" i="110"/>
  <c r="CC464" i="110"/>
  <c r="U122" i="112" s="1"/>
  <c r="U122" i="142" s="1"/>
  <c r="CC444" i="110"/>
  <c r="U126" i="112" s="1"/>
  <c r="U126" i="142" s="1"/>
  <c r="CC484" i="110"/>
  <c r="U130" i="112" s="1"/>
  <c r="U130" i="142" s="1"/>
  <c r="CC463" i="110"/>
  <c r="R272" i="110"/>
  <c r="CC443" i="110"/>
  <c r="CC483" i="110"/>
  <c r="CC440" i="110"/>
  <c r="U126" i="111" s="1"/>
  <c r="U126" i="141" s="1"/>
  <c r="CC460" i="110"/>
  <c r="U122" i="111" s="1"/>
  <c r="U122" i="141" s="1"/>
  <c r="CC480" i="110"/>
  <c r="U130" i="111" s="1"/>
  <c r="U130" i="141" s="1"/>
  <c r="CC477" i="110"/>
  <c r="CC457" i="110"/>
  <c r="CC437" i="110"/>
  <c r="R266" i="110"/>
  <c r="CC442" i="110"/>
  <c r="R271" i="110"/>
  <c r="CC482" i="110"/>
  <c r="CC462" i="110"/>
  <c r="CD484" i="110"/>
  <c r="V130" i="112" s="1"/>
  <c r="V130" i="142" s="1"/>
  <c r="CD464" i="110"/>
  <c r="V122" i="112" s="1"/>
  <c r="V122" i="142" s="1"/>
  <c r="CD444" i="110"/>
  <c r="V126" i="112" s="1"/>
  <c r="V126" i="142" s="1"/>
  <c r="CC481" i="110"/>
  <c r="R270" i="110"/>
  <c r="CC461" i="110"/>
  <c r="CC441" i="110"/>
  <c r="CC438" i="110"/>
  <c r="R267" i="110"/>
  <c r="CC478" i="110"/>
  <c r="CC458" i="110"/>
  <c r="CD440" i="110"/>
  <c r="V126" i="111" s="1"/>
  <c r="V126" i="141" s="1"/>
  <c r="CD480" i="110"/>
  <c r="V130" i="111" s="1"/>
  <c r="V130" i="141" s="1"/>
  <c r="CD460" i="110"/>
  <c r="V122" i="111" s="1"/>
  <c r="V122" i="141" s="1"/>
  <c r="CG460" i="110"/>
  <c r="Y122" i="111" s="1"/>
  <c r="Y122" i="141" s="1"/>
  <c r="CE480" i="110"/>
  <c r="W130" i="111" s="1"/>
  <c r="W130" i="141" s="1"/>
  <c r="CE460" i="110"/>
  <c r="W122" i="111" s="1"/>
  <c r="W122" i="141" s="1"/>
  <c r="CE440" i="110"/>
  <c r="W126" i="111" s="1"/>
  <c r="W126" i="141" s="1"/>
  <c r="AV309" i="110"/>
  <c r="CH481" i="110"/>
  <c r="CH461" i="110"/>
  <c r="CH441" i="110"/>
  <c r="W270" i="110"/>
  <c r="AV312" i="110"/>
  <c r="CF477" i="110"/>
  <c r="CF457" i="110"/>
  <c r="U266" i="110"/>
  <c r="CH478" i="110"/>
  <c r="CH458" i="110"/>
  <c r="CH438" i="110"/>
  <c r="W267" i="110"/>
  <c r="AV311" i="110"/>
  <c r="R142" i="110"/>
  <c r="R146" i="110"/>
  <c r="R143" i="110"/>
  <c r="R144" i="110"/>
  <c r="R145" i="110"/>
  <c r="R148" i="110"/>
  <c r="R149" i="110"/>
  <c r="R147" i="110"/>
  <c r="AV291" i="110"/>
  <c r="AV287" i="110"/>
  <c r="AV289" i="110"/>
  <c r="AV294" i="110"/>
  <c r="AV292" i="110"/>
  <c r="AV288" i="110"/>
  <c r="AV293" i="110"/>
  <c r="AV290" i="110"/>
  <c r="CF479" i="110"/>
  <c r="CF439" i="110"/>
  <c r="U268" i="110"/>
  <c r="CF459" i="110"/>
  <c r="CH483" i="110"/>
  <c r="CH443" i="110"/>
  <c r="CH463" i="110"/>
  <c r="W272" i="110"/>
  <c r="AV308" i="110"/>
  <c r="CF482" i="110"/>
  <c r="CF484" i="110"/>
  <c r="X130" i="112" s="1"/>
  <c r="X130" i="142" s="1"/>
  <c r="CH480" i="110"/>
  <c r="Z130" i="111" s="1"/>
  <c r="Z130" i="141" s="1"/>
  <c r="CH460" i="110"/>
  <c r="Z122" i="111" s="1"/>
  <c r="Z122" i="141" s="1"/>
  <c r="CH440" i="110"/>
  <c r="Z126" i="111" s="1"/>
  <c r="Z126" i="141" s="1"/>
  <c r="R157" i="110"/>
  <c r="R158" i="110"/>
  <c r="R151" i="110"/>
  <c r="R152" i="110"/>
  <c r="R153" i="110"/>
  <c r="R154" i="110"/>
  <c r="R155" i="110"/>
  <c r="R156" i="110"/>
  <c r="AV307" i="110"/>
  <c r="CF483" i="110"/>
  <c r="CF481" i="110"/>
  <c r="CF461" i="110"/>
  <c r="U270" i="110"/>
  <c r="CF441" i="110"/>
  <c r="CH437" i="110"/>
  <c r="W266" i="110"/>
  <c r="CH477" i="110"/>
  <c r="CH457" i="110"/>
  <c r="CG441" i="110"/>
  <c r="CG481" i="110"/>
  <c r="V270" i="110"/>
  <c r="CG461" i="110"/>
  <c r="AV310" i="110"/>
  <c r="R163" i="110"/>
  <c r="R167" i="110"/>
  <c r="CF438" i="110"/>
  <c r="CH482" i="110"/>
  <c r="W271" i="110"/>
  <c r="CH462" i="110"/>
  <c r="CH442" i="110"/>
  <c r="CH464" i="110"/>
  <c r="Z122" i="112" s="1"/>
  <c r="Z122" i="142" s="1"/>
  <c r="CH484" i="110"/>
  <c r="Z130" i="112" s="1"/>
  <c r="Z130" i="142" s="1"/>
  <c r="CH444" i="110"/>
  <c r="Z126" i="112" s="1"/>
  <c r="Z126" i="142" s="1"/>
  <c r="AV314" i="110"/>
  <c r="CH479" i="110"/>
  <c r="CH459" i="110"/>
  <c r="CH439" i="110"/>
  <c r="W268" i="110"/>
  <c r="AV313" i="110"/>
  <c r="CF440" i="110"/>
  <c r="X126" i="111" s="1"/>
  <c r="X126" i="141" s="1"/>
  <c r="CF480" i="110"/>
  <c r="X130" i="111" s="1"/>
  <c r="X130" i="141" s="1"/>
  <c r="CF460" i="110"/>
  <c r="X122" i="111" s="1"/>
  <c r="X122" i="141" s="1"/>
  <c r="CF444" i="110" l="1"/>
  <c r="X126" i="112" s="1"/>
  <c r="X126" i="142" s="1"/>
  <c r="CF458" i="110"/>
  <c r="CF478" i="110"/>
  <c r="CF463" i="110"/>
  <c r="U272" i="110"/>
  <c r="CF462" i="110"/>
  <c r="CF442" i="110"/>
  <c r="CE444" i="110"/>
  <c r="W126" i="112" s="1"/>
  <c r="W126" i="142" s="1"/>
  <c r="CE464" i="110"/>
  <c r="W122" i="112" s="1"/>
  <c r="W122" i="142" s="1"/>
  <c r="T23" i="141"/>
  <c r="U22" i="141"/>
  <c r="Y22" i="141"/>
  <c r="Y37" i="141"/>
  <c r="W37" i="141"/>
  <c r="O37" i="141"/>
  <c r="X37" i="142"/>
  <c r="BZ480" i="110"/>
  <c r="R130" i="111" s="1"/>
  <c r="R130" i="141" s="1"/>
  <c r="BZ440" i="110"/>
  <c r="R126" i="111" s="1"/>
  <c r="R126" i="141" s="1"/>
  <c r="BZ460" i="110"/>
  <c r="R122" i="111" s="1"/>
  <c r="R122" i="141" s="1"/>
  <c r="O266" i="110"/>
  <c r="BZ437" i="110"/>
  <c r="BZ477" i="110"/>
  <c r="BZ457" i="110"/>
  <c r="BZ441" i="110"/>
  <c r="O270" i="110"/>
  <c r="BZ461" i="110"/>
  <c r="BZ481" i="110"/>
  <c r="BZ478" i="110"/>
  <c r="BZ438" i="110"/>
  <c r="BZ458" i="110"/>
  <c r="O267" i="110"/>
  <c r="BZ443" i="110"/>
  <c r="O272" i="110"/>
  <c r="BZ463" i="110"/>
  <c r="BZ483" i="110"/>
  <c r="BZ482" i="110"/>
  <c r="BZ442" i="110"/>
  <c r="BZ462" i="110"/>
  <c r="O271" i="110"/>
  <c r="BZ464" i="110"/>
  <c r="R122" i="112" s="1"/>
  <c r="R122" i="142" s="1"/>
  <c r="BZ444" i="110"/>
  <c r="R126" i="112" s="1"/>
  <c r="R126" i="142" s="1"/>
  <c r="BZ484" i="110"/>
  <c r="R130" i="112" s="1"/>
  <c r="R130" i="142" s="1"/>
  <c r="BZ439" i="110"/>
  <c r="O268" i="110"/>
  <c r="BZ479" i="110"/>
  <c r="BZ459" i="110"/>
  <c r="S37" i="141" l="1"/>
  <c r="N37" i="141"/>
  <c r="AA37" i="141"/>
  <c r="AB37" i="141"/>
  <c r="R37" i="141"/>
  <c r="Z37" i="141"/>
  <c r="P37" i="141"/>
  <c r="G21" i="86"/>
  <c r="L22" i="86" l="1"/>
  <c r="J22" i="86"/>
  <c r="K22" i="86"/>
  <c r="AB129" i="36" l="1"/>
  <c r="AA129" i="36"/>
  <c r="Z129" i="36"/>
  <c r="Y129" i="36"/>
  <c r="X129" i="36"/>
  <c r="W129" i="36"/>
  <c r="V129" i="36"/>
  <c r="U129" i="36"/>
  <c r="T129" i="36"/>
  <c r="S129" i="36"/>
  <c r="R129" i="36"/>
  <c r="R119" i="36"/>
  <c r="S119" i="36"/>
  <c r="T119" i="36"/>
  <c r="U119" i="36"/>
  <c r="W119" i="36"/>
  <c r="X119" i="36"/>
  <c r="Y119" i="36"/>
  <c r="Z119" i="36"/>
  <c r="AA119" i="36"/>
  <c r="AB119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Y66" i="36"/>
  <c r="Z66" i="36"/>
  <c r="AA66" i="36"/>
  <c r="AB66" i="36"/>
  <c r="U172" i="36" l="1"/>
  <c r="U167" i="36"/>
  <c r="U179" i="36"/>
  <c r="U173" i="36"/>
  <c r="U169" i="36"/>
  <c r="U174" i="36"/>
  <c r="U180" i="36"/>
  <c r="U178" i="36"/>
  <c r="U181" i="36"/>
  <c r="U168" i="36"/>
  <c r="U176" i="36"/>
  <c r="U171" i="36"/>
  <c r="U175" i="36"/>
  <c r="U177" i="36"/>
  <c r="U170" i="36"/>
  <c r="AA173" i="36"/>
  <c r="AA167" i="36"/>
  <c r="AA170" i="36"/>
  <c r="AA171" i="36"/>
  <c r="AA177" i="36"/>
  <c r="AA175" i="36"/>
  <c r="AA181" i="36"/>
  <c r="AA178" i="36"/>
  <c r="AA172" i="36"/>
  <c r="AA169" i="36"/>
  <c r="AA179" i="36"/>
  <c r="AA174" i="36"/>
  <c r="AA176" i="36"/>
  <c r="AA180" i="36"/>
  <c r="AA168" i="36"/>
  <c r="S167" i="36"/>
  <c r="S181" i="36"/>
  <c r="S173" i="36"/>
  <c r="S175" i="36"/>
  <c r="S169" i="36"/>
  <c r="S168" i="36"/>
  <c r="S171" i="36"/>
  <c r="S179" i="36"/>
  <c r="S176" i="36"/>
  <c r="S170" i="36"/>
  <c r="S172" i="36"/>
  <c r="S178" i="36"/>
  <c r="S180" i="36"/>
  <c r="S177" i="36"/>
  <c r="S174" i="36"/>
  <c r="V169" i="36"/>
  <c r="V178" i="36"/>
  <c r="V170" i="36"/>
  <c r="V176" i="36"/>
  <c r="V174" i="36"/>
  <c r="V171" i="36"/>
  <c r="V179" i="36"/>
  <c r="V172" i="36"/>
  <c r="V180" i="36"/>
  <c r="V177" i="36"/>
  <c r="V173" i="36"/>
  <c r="V181" i="36"/>
  <c r="V168" i="36"/>
  <c r="V167" i="36"/>
  <c r="V175" i="36"/>
  <c r="Z170" i="36"/>
  <c r="Z178" i="36"/>
  <c r="Z171" i="36"/>
  <c r="Z179" i="36"/>
  <c r="Z168" i="36"/>
  <c r="Z177" i="36"/>
  <c r="Z172" i="36"/>
  <c r="Z180" i="36"/>
  <c r="Z167" i="36"/>
  <c r="Z176" i="36"/>
  <c r="Z173" i="36"/>
  <c r="Z181" i="36"/>
  <c r="Z175" i="36"/>
  <c r="Z174" i="36"/>
  <c r="Z169" i="36"/>
  <c r="R169" i="36"/>
  <c r="R177" i="36"/>
  <c r="R175" i="36"/>
  <c r="R176" i="36"/>
  <c r="R170" i="36"/>
  <c r="R178" i="36"/>
  <c r="R171" i="36"/>
  <c r="R179" i="36"/>
  <c r="R168" i="36"/>
  <c r="R172" i="36"/>
  <c r="R180" i="36"/>
  <c r="R173" i="36"/>
  <c r="R181" i="36"/>
  <c r="R174" i="36"/>
  <c r="R167" i="36"/>
  <c r="T180" i="36"/>
  <c r="T177" i="36"/>
  <c r="T172" i="36"/>
  <c r="T174" i="36"/>
  <c r="T167" i="36"/>
  <c r="T175" i="36"/>
  <c r="T168" i="36"/>
  <c r="T173" i="36"/>
  <c r="T171" i="36"/>
  <c r="T179" i="36"/>
  <c r="T176" i="36"/>
  <c r="T169" i="36"/>
  <c r="T178" i="36"/>
  <c r="T181" i="36"/>
  <c r="T170" i="36"/>
  <c r="Y170" i="36"/>
  <c r="Y178" i="36"/>
  <c r="Y168" i="36"/>
  <c r="Y171" i="36"/>
  <c r="Y179" i="36"/>
  <c r="Y177" i="36"/>
  <c r="Y172" i="36"/>
  <c r="Y180" i="36"/>
  <c r="Y175" i="36"/>
  <c r="Y176" i="36"/>
  <c r="Y169" i="36"/>
  <c r="Y173" i="36"/>
  <c r="Y181" i="36"/>
  <c r="Y174" i="36"/>
  <c r="Y167" i="36"/>
  <c r="AB171" i="36"/>
  <c r="AB180" i="36"/>
  <c r="AB179" i="36"/>
  <c r="AB173" i="36"/>
  <c r="AB176" i="36"/>
  <c r="AB169" i="36"/>
  <c r="AB168" i="36"/>
  <c r="AB167" i="36"/>
  <c r="AB177" i="36"/>
  <c r="AB172" i="36"/>
  <c r="AB174" i="36"/>
  <c r="AB170" i="36"/>
  <c r="AB175" i="36"/>
  <c r="AB181" i="36"/>
  <c r="AB178" i="36"/>
  <c r="X174" i="36"/>
  <c r="X167" i="36"/>
  <c r="X175" i="36"/>
  <c r="X171" i="36"/>
  <c r="X168" i="36"/>
  <c r="X176" i="36"/>
  <c r="X172" i="36"/>
  <c r="X181" i="36"/>
  <c r="X169" i="36"/>
  <c r="X177" i="36"/>
  <c r="X179" i="36"/>
  <c r="X180" i="36"/>
  <c r="X170" i="36"/>
  <c r="X178" i="36"/>
  <c r="X173" i="36"/>
  <c r="W173" i="36"/>
  <c r="W181" i="36"/>
  <c r="W167" i="36"/>
  <c r="W175" i="36"/>
  <c r="W179" i="36"/>
  <c r="W177" i="36"/>
  <c r="W168" i="36"/>
  <c r="W171" i="36"/>
  <c r="W178" i="36"/>
  <c r="W169" i="36"/>
  <c r="W174" i="36"/>
  <c r="W170" i="36"/>
  <c r="W180" i="36"/>
  <c r="W172" i="36"/>
  <c r="W176" i="36"/>
  <c r="AB57" i="36"/>
  <c r="AB112" i="36" s="1"/>
  <c r="AB76" i="36"/>
  <c r="AB131" i="36" s="1"/>
  <c r="AB121" i="36"/>
  <c r="AA76" i="36"/>
  <c r="AA131" i="36" s="1"/>
  <c r="AA57" i="36"/>
  <c r="AA112" i="36" s="1"/>
  <c r="AA121" i="36"/>
  <c r="Z57" i="36"/>
  <c r="Z112" i="36" s="1"/>
  <c r="Z76" i="36"/>
  <c r="Z131" i="36" s="1"/>
  <c r="Z121" i="36"/>
  <c r="Y57" i="36"/>
  <c r="Y112" i="36" s="1"/>
  <c r="Y76" i="36"/>
  <c r="Y131" i="36" s="1"/>
  <c r="Y121" i="36"/>
  <c r="X57" i="36"/>
  <c r="X112" i="36" s="1"/>
  <c r="X76" i="36"/>
  <c r="X131" i="36" s="1"/>
  <c r="X121" i="36"/>
  <c r="W57" i="36"/>
  <c r="W112" i="36" s="1"/>
  <c r="W76" i="36"/>
  <c r="W131" i="36" s="1"/>
  <c r="W121" i="36"/>
  <c r="V57" i="36"/>
  <c r="V112" i="36" s="1"/>
  <c r="V76" i="36"/>
  <c r="V131" i="36" s="1"/>
  <c r="V121" i="36"/>
  <c r="U57" i="36"/>
  <c r="U112" i="36" s="1"/>
  <c r="U76" i="36"/>
  <c r="U131" i="36" s="1"/>
  <c r="U121" i="36"/>
  <c r="T57" i="36"/>
  <c r="T112" i="36" s="1"/>
  <c r="T76" i="36"/>
  <c r="T131" i="36" s="1"/>
  <c r="T121" i="36"/>
  <c r="S57" i="36"/>
  <c r="S112" i="36" s="1"/>
  <c r="S76" i="36"/>
  <c r="S131" i="36" s="1"/>
  <c r="S121" i="36"/>
  <c r="R76" i="36"/>
  <c r="R131" i="36" s="1"/>
  <c r="R57" i="36"/>
  <c r="R112" i="36" s="1"/>
  <c r="R121" i="36"/>
  <c r="Q76" i="36"/>
  <c r="Q57" i="36"/>
  <c r="P57" i="36"/>
  <c r="P76" i="36"/>
  <c r="O57" i="36"/>
  <c r="O76" i="36"/>
  <c r="N57" i="36"/>
  <c r="N76" i="36"/>
  <c r="M57" i="36"/>
  <c r="M76" i="36"/>
  <c r="AB103" i="36"/>
  <c r="AB159" i="36" s="1"/>
  <c r="AB84" i="36"/>
  <c r="AB140" i="36" s="1"/>
  <c r="AB149" i="36"/>
  <c r="AA84" i="36"/>
  <c r="AA140" i="36" s="1"/>
  <c r="AA103" i="36"/>
  <c r="AA159" i="36" s="1"/>
  <c r="AA149" i="36"/>
  <c r="Z84" i="36"/>
  <c r="Z140" i="36" s="1"/>
  <c r="Z103" i="36"/>
  <c r="Z159" i="36" s="1"/>
  <c r="Z149" i="36"/>
  <c r="Y84" i="36"/>
  <c r="Y140" i="36" s="1"/>
  <c r="Y103" i="36"/>
  <c r="Y159" i="36" s="1"/>
  <c r="Y149" i="36"/>
  <c r="X84" i="36"/>
  <c r="X140" i="36" s="1"/>
  <c r="X103" i="36"/>
  <c r="X159" i="36" s="1"/>
  <c r="X149" i="36"/>
  <c r="W84" i="36"/>
  <c r="W140" i="36" s="1"/>
  <c r="W103" i="36"/>
  <c r="W159" i="36" s="1"/>
  <c r="W149" i="36"/>
  <c r="V84" i="36"/>
  <c r="V140" i="36" s="1"/>
  <c r="V103" i="36"/>
  <c r="V159" i="36" s="1"/>
  <c r="V149" i="36"/>
  <c r="U84" i="36"/>
  <c r="U140" i="36" s="1"/>
  <c r="U103" i="36"/>
  <c r="U159" i="36" s="1"/>
  <c r="U149" i="36"/>
  <c r="T103" i="36"/>
  <c r="T159" i="36" s="1"/>
  <c r="T84" i="36"/>
  <c r="T140" i="36" s="1"/>
  <c r="T149" i="36"/>
  <c r="S84" i="36"/>
  <c r="S140" i="36" s="1"/>
  <c r="S103" i="36"/>
  <c r="S159" i="36" s="1"/>
  <c r="S149" i="36"/>
  <c r="R84" i="36"/>
  <c r="R140" i="36" s="1"/>
  <c r="R103" i="36"/>
  <c r="R159" i="36" s="1"/>
  <c r="R149" i="36"/>
  <c r="Q84" i="36"/>
  <c r="Q103" i="36"/>
  <c r="P84" i="36"/>
  <c r="P103" i="36"/>
  <c r="O84" i="36"/>
  <c r="O103" i="36"/>
  <c r="N84" i="36"/>
  <c r="N103" i="36"/>
  <c r="M84" i="36"/>
  <c r="M103" i="36"/>
  <c r="L31" i="86" l="1"/>
  <c r="K31" i="86"/>
  <c r="AG215" i="134" l="1"/>
  <c r="K215" i="134"/>
  <c r="L215" i="134"/>
  <c r="M215" i="134"/>
  <c r="N215" i="134"/>
  <c r="O215" i="134"/>
  <c r="P215" i="134"/>
  <c r="Q215" i="134"/>
  <c r="R215" i="134"/>
  <c r="S215" i="134"/>
  <c r="T215" i="134"/>
  <c r="U215" i="134"/>
  <c r="V215" i="134"/>
  <c r="W215" i="134"/>
  <c r="X215" i="134"/>
  <c r="Y215" i="134"/>
  <c r="Z215" i="134"/>
  <c r="AA215" i="134"/>
  <c r="AB215" i="134"/>
  <c r="AC215" i="134"/>
  <c r="AD215" i="134"/>
  <c r="AE215" i="134"/>
  <c r="AF215" i="134"/>
  <c r="G317" i="134"/>
  <c r="H317" i="134"/>
  <c r="I317" i="134"/>
  <c r="J317" i="134"/>
  <c r="K317" i="134"/>
  <c r="L317" i="134"/>
  <c r="M317" i="134"/>
  <c r="N317" i="134"/>
  <c r="O317" i="134"/>
  <c r="P317" i="134"/>
  <c r="Q317" i="134"/>
  <c r="R317" i="134"/>
  <c r="S317" i="134"/>
  <c r="T317" i="134"/>
  <c r="U317" i="134"/>
  <c r="V317" i="134"/>
  <c r="W317" i="134"/>
  <c r="X317" i="134"/>
  <c r="Y317" i="134"/>
  <c r="Z317" i="134"/>
  <c r="AA317" i="134"/>
  <c r="AB317" i="134"/>
  <c r="AC317" i="134"/>
  <c r="F317" i="134"/>
  <c r="G316" i="134"/>
  <c r="H316" i="134"/>
  <c r="I316" i="134"/>
  <c r="J316" i="134"/>
  <c r="K316" i="134"/>
  <c r="L316" i="134"/>
  <c r="M316" i="134"/>
  <c r="N316" i="134"/>
  <c r="O316" i="134"/>
  <c r="P316" i="134"/>
  <c r="Q316" i="134"/>
  <c r="R316" i="134"/>
  <c r="S316" i="134"/>
  <c r="T316" i="134"/>
  <c r="U316" i="134"/>
  <c r="V316" i="134"/>
  <c r="W316" i="134"/>
  <c r="X316" i="134"/>
  <c r="Y316" i="134"/>
  <c r="Z316" i="134"/>
  <c r="AA316" i="134"/>
  <c r="AB316" i="134"/>
  <c r="AC316" i="134"/>
  <c r="F316" i="134"/>
  <c r="J31" i="86" l="1"/>
  <c r="J301" i="134" l="1" a="1"/>
  <c r="J301" i="134" s="1"/>
  <c r="F319" i="134" s="1"/>
  <c r="K301" i="134" a="1"/>
  <c r="K301" i="134" s="1"/>
  <c r="G319" i="134" s="1"/>
  <c r="L301" i="134" a="1"/>
  <c r="L301" i="134" s="1"/>
  <c r="H319" i="134" s="1"/>
  <c r="M301" i="134" a="1"/>
  <c r="M301" i="134" s="1"/>
  <c r="I319" i="134" s="1"/>
  <c r="N301" i="134" a="1"/>
  <c r="N301" i="134" s="1"/>
  <c r="J319" i="134" s="1"/>
  <c r="O301" i="134" a="1"/>
  <c r="O301" i="134" s="1"/>
  <c r="K319" i="134" s="1"/>
  <c r="P301" i="134" a="1"/>
  <c r="P301" i="134" s="1"/>
  <c r="L319" i="134" s="1"/>
  <c r="Q301" i="134" a="1"/>
  <c r="Q301" i="134" s="1"/>
  <c r="M319" i="134" s="1"/>
  <c r="R301" i="134" a="1"/>
  <c r="R301" i="134" s="1"/>
  <c r="N319" i="134" s="1"/>
  <c r="S301" i="134" a="1"/>
  <c r="S301" i="134" s="1"/>
  <c r="O319" i="134" s="1"/>
  <c r="T301" i="134" a="1"/>
  <c r="T301" i="134" s="1"/>
  <c r="P319" i="134" s="1"/>
  <c r="U301" i="134" a="1"/>
  <c r="U301" i="134" s="1"/>
  <c r="Q319" i="134" s="1"/>
  <c r="V301" i="134" a="1"/>
  <c r="V301" i="134" s="1"/>
  <c r="R319" i="134" s="1"/>
  <c r="W301" i="134" a="1"/>
  <c r="W301" i="134" s="1"/>
  <c r="S319" i="134" s="1"/>
  <c r="X301" i="134" a="1"/>
  <c r="X301" i="134" s="1"/>
  <c r="T319" i="134" s="1"/>
  <c r="Y301" i="134" a="1"/>
  <c r="Y301" i="134" s="1"/>
  <c r="U319" i="134" s="1"/>
  <c r="Z301" i="134" a="1"/>
  <c r="Z301" i="134" s="1"/>
  <c r="V319" i="134" s="1"/>
  <c r="AA301" i="134" a="1"/>
  <c r="AA301" i="134" s="1"/>
  <c r="W319" i="134" s="1"/>
  <c r="AB301" i="134" a="1"/>
  <c r="AB301" i="134" s="1"/>
  <c r="X319" i="134" s="1"/>
  <c r="AC301" i="134" a="1"/>
  <c r="AC301" i="134" s="1"/>
  <c r="Y319" i="134" s="1"/>
  <c r="AD301" i="134" a="1"/>
  <c r="AD301" i="134" s="1"/>
  <c r="Z319" i="134" s="1"/>
  <c r="AE301" i="134" a="1"/>
  <c r="AE301" i="134" s="1"/>
  <c r="AA319" i="134" s="1"/>
  <c r="AF301" i="134" a="1"/>
  <c r="AF301" i="134" s="1"/>
  <c r="AB319" i="134" s="1"/>
  <c r="AG301" i="134" a="1"/>
  <c r="AG301" i="134" s="1"/>
  <c r="AC319" i="134" s="1"/>
  <c r="J215" i="134" l="1"/>
  <c r="K163" i="134"/>
  <c r="L163" i="134"/>
  <c r="M163" i="134"/>
  <c r="N163" i="134"/>
  <c r="O163" i="134"/>
  <c r="P163" i="134"/>
  <c r="Q163" i="134"/>
  <c r="R163" i="134"/>
  <c r="S163" i="134"/>
  <c r="T163" i="134"/>
  <c r="U163" i="134"/>
  <c r="V163" i="134"/>
  <c r="W163" i="134"/>
  <c r="X163" i="134"/>
  <c r="Y163" i="134"/>
  <c r="Z163" i="134"/>
  <c r="AA163" i="134"/>
  <c r="AB163" i="134"/>
  <c r="AC163" i="134"/>
  <c r="AD163" i="134"/>
  <c r="AE163" i="134"/>
  <c r="AF163" i="134"/>
  <c r="AG163" i="134"/>
  <c r="J163" i="134"/>
  <c r="K155" i="134"/>
  <c r="L155" i="134"/>
  <c r="M155" i="134"/>
  <c r="N155" i="134"/>
  <c r="O155" i="134"/>
  <c r="P155" i="134"/>
  <c r="Q155" i="134"/>
  <c r="R155" i="134"/>
  <c r="S155" i="134"/>
  <c r="T155" i="134"/>
  <c r="U155" i="134"/>
  <c r="V155" i="134"/>
  <c r="W155" i="134"/>
  <c r="X155" i="134"/>
  <c r="Y155" i="134"/>
  <c r="Z155" i="134"/>
  <c r="AA155" i="134"/>
  <c r="AB155" i="134"/>
  <c r="AC155" i="134"/>
  <c r="AD155" i="134"/>
  <c r="AE155" i="134"/>
  <c r="AF155" i="134"/>
  <c r="AG155" i="134"/>
  <c r="J155" i="134"/>
  <c r="K97" i="134"/>
  <c r="L97" i="134"/>
  <c r="M97" i="134"/>
  <c r="N97" i="134"/>
  <c r="O97" i="134"/>
  <c r="P97" i="134"/>
  <c r="Q97" i="134"/>
  <c r="R97" i="134"/>
  <c r="S97" i="134"/>
  <c r="T97" i="134"/>
  <c r="U97" i="134"/>
  <c r="V97" i="134"/>
  <c r="W97" i="134"/>
  <c r="X97" i="134"/>
  <c r="Y97" i="134"/>
  <c r="Z97" i="134"/>
  <c r="AA97" i="134"/>
  <c r="AB97" i="134"/>
  <c r="AC97" i="134"/>
  <c r="AD97" i="134"/>
  <c r="AE97" i="134"/>
  <c r="AF97" i="134"/>
  <c r="AG97" i="134"/>
  <c r="J97" i="134"/>
  <c r="K82" i="134"/>
  <c r="L82" i="134"/>
  <c r="M82" i="134"/>
  <c r="N82" i="134"/>
  <c r="O82" i="134"/>
  <c r="P82" i="134"/>
  <c r="Q82" i="134"/>
  <c r="R82" i="134"/>
  <c r="S82" i="134"/>
  <c r="T82" i="134"/>
  <c r="U82" i="134"/>
  <c r="V82" i="134"/>
  <c r="W82" i="134"/>
  <c r="X82" i="134"/>
  <c r="Y82" i="134"/>
  <c r="Z82" i="134"/>
  <c r="AA82" i="134"/>
  <c r="AB82" i="134"/>
  <c r="AC82" i="134"/>
  <c r="AD82" i="134"/>
  <c r="AE82" i="134"/>
  <c r="AF82" i="134"/>
  <c r="AG82" i="134"/>
  <c r="J82" i="134"/>
  <c r="J4" i="134"/>
  <c r="K4" i="134"/>
  <c r="L4" i="134"/>
  <c r="M4" i="134"/>
  <c r="N4" i="134"/>
  <c r="O4" i="134"/>
  <c r="P4" i="134"/>
  <c r="Q4" i="134"/>
  <c r="R4" i="134"/>
  <c r="S4" i="134"/>
  <c r="T4" i="134"/>
  <c r="U4" i="134"/>
  <c r="V4" i="134"/>
  <c r="W4" i="134"/>
  <c r="X4" i="134"/>
  <c r="Y4" i="134"/>
  <c r="Z4" i="134"/>
  <c r="AA4" i="134"/>
  <c r="AB4" i="134"/>
  <c r="AC4" i="134"/>
  <c r="AD4" i="134"/>
  <c r="AE4" i="134"/>
  <c r="AF4" i="134"/>
  <c r="AG4" i="134"/>
  <c r="K26" i="134"/>
  <c r="L26" i="134"/>
  <c r="M26" i="134"/>
  <c r="N26" i="134"/>
  <c r="O26" i="134"/>
  <c r="P26" i="134"/>
  <c r="Q26" i="134"/>
  <c r="R26" i="134"/>
  <c r="S26" i="134"/>
  <c r="T26" i="134"/>
  <c r="U26" i="134"/>
  <c r="V26" i="134"/>
  <c r="W26" i="134"/>
  <c r="X26" i="134"/>
  <c r="Y26" i="134"/>
  <c r="Z26" i="134"/>
  <c r="AA26" i="134"/>
  <c r="AB26" i="134"/>
  <c r="AC26" i="134"/>
  <c r="AD26" i="134"/>
  <c r="AE26" i="134"/>
  <c r="AF26" i="134"/>
  <c r="AG26" i="134"/>
  <c r="J26" i="134"/>
  <c r="K192" i="134" l="1" a="1"/>
  <c r="K192" i="134" s="1"/>
  <c r="G318" i="134" s="1"/>
  <c r="L192" i="134" a="1"/>
  <c r="L192" i="134" s="1"/>
  <c r="H318" i="134" s="1"/>
  <c r="M192" i="134" a="1"/>
  <c r="M192" i="134" s="1"/>
  <c r="I318" i="134" s="1"/>
  <c r="N192" i="134" a="1"/>
  <c r="N192" i="134" s="1"/>
  <c r="J318" i="134" s="1"/>
  <c r="O192" i="134" a="1"/>
  <c r="O192" i="134" s="1"/>
  <c r="K318" i="134" s="1"/>
  <c r="P192" i="134" a="1"/>
  <c r="P192" i="134" s="1"/>
  <c r="L318" i="134" s="1"/>
  <c r="Q192" i="134" a="1"/>
  <c r="Q192" i="134" s="1"/>
  <c r="M318" i="134" s="1"/>
  <c r="R192" i="134" a="1"/>
  <c r="R192" i="134" s="1"/>
  <c r="N318" i="134" s="1"/>
  <c r="S192" i="134" a="1"/>
  <c r="S192" i="134" s="1"/>
  <c r="O318" i="134" s="1"/>
  <c r="T192" i="134" a="1"/>
  <c r="T192" i="134" s="1"/>
  <c r="P318" i="134" s="1"/>
  <c r="U192" i="134" a="1"/>
  <c r="U192" i="134" s="1"/>
  <c r="Q318" i="134" s="1"/>
  <c r="V192" i="134" a="1"/>
  <c r="V192" i="134" s="1"/>
  <c r="R318" i="134" s="1"/>
  <c r="W192" i="134" a="1"/>
  <c r="W192" i="134" s="1"/>
  <c r="S318" i="134" s="1"/>
  <c r="X192" i="134" a="1"/>
  <c r="X192" i="134" s="1"/>
  <c r="T318" i="134" s="1"/>
  <c r="Y192" i="134" a="1"/>
  <c r="Y192" i="134" s="1"/>
  <c r="U318" i="134" s="1"/>
  <c r="Z192" i="134" a="1"/>
  <c r="Z192" i="134" s="1"/>
  <c r="V318" i="134" s="1"/>
  <c r="AA192" i="134" a="1"/>
  <c r="AA192" i="134" s="1"/>
  <c r="W318" i="134" s="1"/>
  <c r="AB192" i="134" a="1"/>
  <c r="AB192" i="134" s="1"/>
  <c r="X318" i="134" s="1"/>
  <c r="AC192" i="134" a="1"/>
  <c r="AC192" i="134" s="1"/>
  <c r="Y318" i="134" s="1"/>
  <c r="AD192" i="134" a="1"/>
  <c r="AD192" i="134" s="1"/>
  <c r="Z318" i="134" s="1"/>
  <c r="AE192" i="134" a="1"/>
  <c r="AE192" i="134" s="1"/>
  <c r="AA318" i="134" s="1"/>
  <c r="AF192" i="134" a="1"/>
  <c r="AF192" i="134" s="1"/>
  <c r="AB318" i="134" s="1"/>
  <c r="AG192" i="134" a="1"/>
  <c r="AG192" i="134" s="1"/>
  <c r="AC318" i="134" s="1"/>
  <c r="J192" i="134" a="1"/>
  <c r="J192" i="134" s="1"/>
  <c r="F318" i="134" s="1"/>
  <c r="AC320" i="134" l="1"/>
  <c r="L320" i="134"/>
  <c r="S320" i="134"/>
  <c r="K320" i="134"/>
  <c r="K336" i="134" s="1"/>
  <c r="F320" i="134"/>
  <c r="F323" i="134" s="1"/>
  <c r="AB320" i="134"/>
  <c r="AB336" i="134" s="1"/>
  <c r="AA220" i="36" s="1"/>
  <c r="AA111" i="111" s="1"/>
  <c r="AA111" i="141" s="1"/>
  <c r="Z320" i="134"/>
  <c r="Z336" i="134" s="1"/>
  <c r="Y220" i="36" s="1"/>
  <c r="Y111" i="111" s="1"/>
  <c r="Y111" i="141" s="1"/>
  <c r="R320" i="134"/>
  <c r="J320" i="134"/>
  <c r="N320" i="134"/>
  <c r="N336" i="134" s="1"/>
  <c r="T320" i="134"/>
  <c r="T336" i="134" s="1"/>
  <c r="S220" i="36" s="1"/>
  <c r="S111" i="111" s="1"/>
  <c r="S111" i="141" s="1"/>
  <c r="Y320" i="134"/>
  <c r="Y336" i="134" s="1"/>
  <c r="X220" i="36" s="1"/>
  <c r="X111" i="111" s="1"/>
  <c r="X111" i="141" s="1"/>
  <c r="Q320" i="134"/>
  <c r="I320" i="134"/>
  <c r="U320" i="134"/>
  <c r="U336" i="134" s="1"/>
  <c r="T220" i="36" s="1"/>
  <c r="T111" i="111" s="1"/>
  <c r="T111" i="141" s="1"/>
  <c r="AA320" i="134"/>
  <c r="AA336" i="134" s="1"/>
  <c r="Z220" i="36" s="1"/>
  <c r="Z111" i="111" s="1"/>
  <c r="Z111" i="141" s="1"/>
  <c r="X320" i="134"/>
  <c r="X336" i="134" s="1"/>
  <c r="W220" i="36" s="1"/>
  <c r="W111" i="111" s="1"/>
  <c r="W111" i="141" s="1"/>
  <c r="P320" i="134"/>
  <c r="H320" i="134"/>
  <c r="V320" i="134"/>
  <c r="V336" i="134" s="1"/>
  <c r="U220" i="36" s="1"/>
  <c r="U111" i="111" s="1"/>
  <c r="U111" i="141" s="1"/>
  <c r="M320" i="134"/>
  <c r="W320" i="134"/>
  <c r="W336" i="134" s="1"/>
  <c r="V220" i="36" s="1"/>
  <c r="V111" i="111" s="1"/>
  <c r="V111" i="141" s="1"/>
  <c r="O320" i="134"/>
  <c r="O336" i="134" s="1"/>
  <c r="G320" i="134"/>
  <c r="G324" i="134" l="1"/>
  <c r="G332" i="134"/>
  <c r="G323" i="134"/>
  <c r="G331" i="134"/>
  <c r="G330" i="134"/>
  <c r="G329" i="134"/>
  <c r="G328" i="134"/>
  <c r="G327" i="134"/>
  <c r="G335" i="134"/>
  <c r="G326" i="134"/>
  <c r="G334" i="134"/>
  <c r="G325" i="134"/>
  <c r="G333" i="134"/>
  <c r="G337" i="134"/>
  <c r="R327" i="134"/>
  <c r="R335" i="134"/>
  <c r="R326" i="134"/>
  <c r="R334" i="134"/>
  <c r="R325" i="134"/>
  <c r="R333" i="134"/>
  <c r="R324" i="134"/>
  <c r="R332" i="134"/>
  <c r="R323" i="134"/>
  <c r="R331" i="134"/>
  <c r="R330" i="134"/>
  <c r="R329" i="134"/>
  <c r="R328" i="134"/>
  <c r="R337" i="134"/>
  <c r="G336" i="134"/>
  <c r="Y326" i="134"/>
  <c r="X210" i="36" s="1"/>
  <c r="X101" i="111" s="1"/>
  <c r="X101" i="141" s="1"/>
  <c r="Y334" i="134"/>
  <c r="X218" i="36" s="1"/>
  <c r="X109" i="111" s="1"/>
  <c r="X109" i="141" s="1"/>
  <c r="Y325" i="134"/>
  <c r="X209" i="36" s="1"/>
  <c r="X100" i="111" s="1"/>
  <c r="X100" i="141" s="1"/>
  <c r="Y333" i="134"/>
  <c r="X217" i="36" s="1"/>
  <c r="X108" i="111" s="1"/>
  <c r="X108" i="141" s="1"/>
  <c r="Y324" i="134"/>
  <c r="X208" i="36" s="1"/>
  <c r="X99" i="111" s="1"/>
  <c r="X99" i="141" s="1"/>
  <c r="Y332" i="134"/>
  <c r="X216" i="36" s="1"/>
  <c r="X107" i="111" s="1"/>
  <c r="X107" i="141" s="1"/>
  <c r="Y323" i="134"/>
  <c r="X207" i="36" s="1"/>
  <c r="Y331" i="134"/>
  <c r="X215" i="36" s="1"/>
  <c r="X106" i="111" s="1"/>
  <c r="X106" i="141" s="1"/>
  <c r="Y330" i="134"/>
  <c r="X214" i="36" s="1"/>
  <c r="X105" i="111" s="1"/>
  <c r="X105" i="141" s="1"/>
  <c r="Y329" i="134"/>
  <c r="X213" i="36" s="1"/>
  <c r="X104" i="111" s="1"/>
  <c r="X104" i="141" s="1"/>
  <c r="Y328" i="134"/>
  <c r="X212" i="36" s="1"/>
  <c r="X103" i="111" s="1"/>
  <c r="X103" i="141" s="1"/>
  <c r="Y327" i="134"/>
  <c r="X211" i="36" s="1"/>
  <c r="X102" i="111" s="1"/>
  <c r="X102" i="141" s="1"/>
  <c r="Y335" i="134"/>
  <c r="X219" i="36" s="1"/>
  <c r="X110" i="111" s="1"/>
  <c r="X110" i="141" s="1"/>
  <c r="Y337" i="134"/>
  <c r="X221" i="36" s="1"/>
  <c r="X112" i="111" s="1"/>
  <c r="X112" i="141" s="1"/>
  <c r="R336" i="134"/>
  <c r="H325" i="134"/>
  <c r="H333" i="134"/>
  <c r="H324" i="134"/>
  <c r="H332" i="134"/>
  <c r="H323" i="134"/>
  <c r="H331" i="134"/>
  <c r="H330" i="134"/>
  <c r="H329" i="134"/>
  <c r="H328" i="134"/>
  <c r="H327" i="134"/>
  <c r="H335" i="134"/>
  <c r="H326" i="134"/>
  <c r="H334" i="134"/>
  <c r="H337" i="134"/>
  <c r="P325" i="134"/>
  <c r="P333" i="134"/>
  <c r="P324" i="134"/>
  <c r="P332" i="134"/>
  <c r="P323" i="134"/>
  <c r="P331" i="134"/>
  <c r="P330" i="134"/>
  <c r="P329" i="134"/>
  <c r="P328" i="134"/>
  <c r="P327" i="134"/>
  <c r="P335" i="134"/>
  <c r="P326" i="134"/>
  <c r="P334" i="134"/>
  <c r="P337" i="134"/>
  <c r="L329" i="134"/>
  <c r="L328" i="134"/>
  <c r="L327" i="134"/>
  <c r="L335" i="134"/>
  <c r="L326" i="134"/>
  <c r="L334" i="134"/>
  <c r="L325" i="134"/>
  <c r="L333" i="134"/>
  <c r="L324" i="134"/>
  <c r="L332" i="134"/>
  <c r="L323" i="134"/>
  <c r="L331" i="134"/>
  <c r="L330" i="134"/>
  <c r="L337" i="134"/>
  <c r="P336" i="134"/>
  <c r="L336" i="134"/>
  <c r="V323" i="134"/>
  <c r="U207" i="36" s="1"/>
  <c r="V331" i="134"/>
  <c r="U215" i="36" s="1"/>
  <c r="U106" i="111" s="1"/>
  <c r="U106" i="141" s="1"/>
  <c r="V330" i="134"/>
  <c r="U214" i="36" s="1"/>
  <c r="U105" i="111" s="1"/>
  <c r="U105" i="141" s="1"/>
  <c r="V329" i="134"/>
  <c r="U213" i="36" s="1"/>
  <c r="U104" i="111" s="1"/>
  <c r="U104" i="141" s="1"/>
  <c r="V328" i="134"/>
  <c r="U212" i="36" s="1"/>
  <c r="U103" i="111" s="1"/>
  <c r="U103" i="141" s="1"/>
  <c r="V327" i="134"/>
  <c r="U211" i="36" s="1"/>
  <c r="U102" i="111" s="1"/>
  <c r="U102" i="141" s="1"/>
  <c r="V335" i="134"/>
  <c r="U219" i="36" s="1"/>
  <c r="U110" i="111" s="1"/>
  <c r="U110" i="141" s="1"/>
  <c r="V326" i="134"/>
  <c r="U210" i="36" s="1"/>
  <c r="U101" i="111" s="1"/>
  <c r="U101" i="141" s="1"/>
  <c r="V334" i="134"/>
  <c r="U218" i="36" s="1"/>
  <c r="U109" i="111" s="1"/>
  <c r="U109" i="141" s="1"/>
  <c r="V325" i="134"/>
  <c r="U209" i="36" s="1"/>
  <c r="U100" i="111" s="1"/>
  <c r="U100" i="141" s="1"/>
  <c r="V333" i="134"/>
  <c r="U217" i="36" s="1"/>
  <c r="U108" i="111" s="1"/>
  <c r="U108" i="141" s="1"/>
  <c r="V324" i="134"/>
  <c r="U208" i="36" s="1"/>
  <c r="U99" i="111" s="1"/>
  <c r="U99" i="141" s="1"/>
  <c r="V332" i="134"/>
  <c r="U216" i="36" s="1"/>
  <c r="U107" i="111" s="1"/>
  <c r="U107" i="141" s="1"/>
  <c r="V337" i="134"/>
  <c r="U221" i="36" s="1"/>
  <c r="U112" i="111" s="1"/>
  <c r="U112" i="141" s="1"/>
  <c r="U330" i="134"/>
  <c r="T214" i="36" s="1"/>
  <c r="T105" i="111" s="1"/>
  <c r="T105" i="141" s="1"/>
  <c r="U329" i="134"/>
  <c r="T213" i="36" s="1"/>
  <c r="T104" i="111" s="1"/>
  <c r="T104" i="141" s="1"/>
  <c r="U328" i="134"/>
  <c r="T212" i="36" s="1"/>
  <c r="T103" i="111" s="1"/>
  <c r="T103" i="141" s="1"/>
  <c r="U327" i="134"/>
  <c r="T211" i="36" s="1"/>
  <c r="T102" i="111" s="1"/>
  <c r="T102" i="141" s="1"/>
  <c r="U335" i="134"/>
  <c r="T219" i="36" s="1"/>
  <c r="T110" i="111" s="1"/>
  <c r="T110" i="141" s="1"/>
  <c r="U326" i="134"/>
  <c r="T210" i="36" s="1"/>
  <c r="T101" i="111" s="1"/>
  <c r="T101" i="141" s="1"/>
  <c r="U334" i="134"/>
  <c r="T218" i="36" s="1"/>
  <c r="T109" i="111" s="1"/>
  <c r="T109" i="141" s="1"/>
  <c r="U325" i="134"/>
  <c r="T209" i="36" s="1"/>
  <c r="T100" i="111" s="1"/>
  <c r="T100" i="141" s="1"/>
  <c r="U333" i="134"/>
  <c r="T217" i="36" s="1"/>
  <c r="T108" i="111" s="1"/>
  <c r="T108" i="141" s="1"/>
  <c r="U324" i="134"/>
  <c r="T208" i="36" s="1"/>
  <c r="T99" i="111" s="1"/>
  <c r="T99" i="141" s="1"/>
  <c r="U332" i="134"/>
  <c r="T216" i="36" s="1"/>
  <c r="T107" i="111" s="1"/>
  <c r="T107" i="141" s="1"/>
  <c r="U323" i="134"/>
  <c r="T207" i="36" s="1"/>
  <c r="U331" i="134"/>
  <c r="T215" i="36" s="1"/>
  <c r="T106" i="111" s="1"/>
  <c r="T106" i="141" s="1"/>
  <c r="U337" i="134"/>
  <c r="T221" i="36" s="1"/>
  <c r="T112" i="111" s="1"/>
  <c r="T112" i="141" s="1"/>
  <c r="S328" i="134"/>
  <c r="R212" i="36" s="1"/>
  <c r="R103" i="111" s="1"/>
  <c r="R103" i="141" s="1"/>
  <c r="S327" i="134"/>
  <c r="R211" i="36" s="1"/>
  <c r="R102" i="111" s="1"/>
  <c r="R102" i="141" s="1"/>
  <c r="S335" i="134"/>
  <c r="R219" i="36" s="1"/>
  <c r="R110" i="111" s="1"/>
  <c r="R110" i="141" s="1"/>
  <c r="S326" i="134"/>
  <c r="R210" i="36" s="1"/>
  <c r="R101" i="111" s="1"/>
  <c r="R101" i="141" s="1"/>
  <c r="S334" i="134"/>
  <c r="R218" i="36" s="1"/>
  <c r="R109" i="111" s="1"/>
  <c r="R109" i="141" s="1"/>
  <c r="S325" i="134"/>
  <c r="R209" i="36" s="1"/>
  <c r="R100" i="111" s="1"/>
  <c r="R100" i="141" s="1"/>
  <c r="S333" i="134"/>
  <c r="R217" i="36" s="1"/>
  <c r="R108" i="111" s="1"/>
  <c r="R108" i="141" s="1"/>
  <c r="S324" i="134"/>
  <c r="R208" i="36" s="1"/>
  <c r="R99" i="111" s="1"/>
  <c r="R99" i="141" s="1"/>
  <c r="S332" i="134"/>
  <c r="R216" i="36" s="1"/>
  <c r="R107" i="111" s="1"/>
  <c r="R107" i="141" s="1"/>
  <c r="S323" i="134"/>
  <c r="R207" i="36" s="1"/>
  <c r="S331" i="134"/>
  <c r="R215" i="36" s="1"/>
  <c r="R106" i="111" s="1"/>
  <c r="R106" i="141" s="1"/>
  <c r="S330" i="134"/>
  <c r="R214" i="36" s="1"/>
  <c r="R105" i="111" s="1"/>
  <c r="R105" i="141" s="1"/>
  <c r="S329" i="134"/>
  <c r="R213" i="36" s="1"/>
  <c r="R104" i="111" s="1"/>
  <c r="R104" i="141" s="1"/>
  <c r="S337" i="134"/>
  <c r="R221" i="36" s="1"/>
  <c r="R112" i="111" s="1"/>
  <c r="R112" i="141" s="1"/>
  <c r="Z327" i="134"/>
  <c r="Y211" i="36" s="1"/>
  <c r="Y102" i="111" s="1"/>
  <c r="Y102" i="141" s="1"/>
  <c r="Z335" i="134"/>
  <c r="Y219" i="36" s="1"/>
  <c r="Y110" i="111" s="1"/>
  <c r="Y110" i="141" s="1"/>
  <c r="Z326" i="134"/>
  <c r="Y210" i="36" s="1"/>
  <c r="Y101" i="111" s="1"/>
  <c r="Y101" i="141" s="1"/>
  <c r="Z334" i="134"/>
  <c r="Y218" i="36" s="1"/>
  <c r="Y109" i="111" s="1"/>
  <c r="Y109" i="141" s="1"/>
  <c r="Z325" i="134"/>
  <c r="Y209" i="36" s="1"/>
  <c r="Y100" i="111" s="1"/>
  <c r="Y100" i="141" s="1"/>
  <c r="Z333" i="134"/>
  <c r="Y217" i="36" s="1"/>
  <c r="Y108" i="111" s="1"/>
  <c r="Y108" i="141" s="1"/>
  <c r="Z324" i="134"/>
  <c r="Y208" i="36" s="1"/>
  <c r="Y99" i="111" s="1"/>
  <c r="Y99" i="141" s="1"/>
  <c r="Z332" i="134"/>
  <c r="Y216" i="36" s="1"/>
  <c r="Y107" i="111" s="1"/>
  <c r="Y107" i="141" s="1"/>
  <c r="Z323" i="134"/>
  <c r="Y207" i="36" s="1"/>
  <c r="Z331" i="134"/>
  <c r="Y215" i="36" s="1"/>
  <c r="Y106" i="111" s="1"/>
  <c r="Y106" i="141" s="1"/>
  <c r="Z330" i="134"/>
  <c r="Y214" i="36" s="1"/>
  <c r="Y105" i="111" s="1"/>
  <c r="Y105" i="141" s="1"/>
  <c r="Z329" i="134"/>
  <c r="Y213" i="36" s="1"/>
  <c r="Y104" i="111" s="1"/>
  <c r="Y104" i="141" s="1"/>
  <c r="Z328" i="134"/>
  <c r="Y212" i="36" s="1"/>
  <c r="Y103" i="111" s="1"/>
  <c r="Y103" i="141" s="1"/>
  <c r="Z337" i="134"/>
  <c r="Y221" i="36" s="1"/>
  <c r="Y112" i="111" s="1"/>
  <c r="Y112" i="141" s="1"/>
  <c r="I326" i="134"/>
  <c r="I334" i="134"/>
  <c r="I325" i="134"/>
  <c r="I333" i="134"/>
  <c r="I324" i="134"/>
  <c r="I332" i="134"/>
  <c r="I323" i="134"/>
  <c r="I331" i="134"/>
  <c r="I330" i="134"/>
  <c r="I329" i="134"/>
  <c r="I328" i="134"/>
  <c r="I327" i="134"/>
  <c r="I335" i="134"/>
  <c r="I337" i="134"/>
  <c r="AB329" i="134"/>
  <c r="AA213" i="36" s="1"/>
  <c r="AA104" i="111" s="1"/>
  <c r="AA104" i="141" s="1"/>
  <c r="AB328" i="134"/>
  <c r="AA212" i="36" s="1"/>
  <c r="AA103" i="111" s="1"/>
  <c r="AA103" i="141" s="1"/>
  <c r="AB327" i="134"/>
  <c r="AA211" i="36" s="1"/>
  <c r="AA102" i="111" s="1"/>
  <c r="AA102" i="141" s="1"/>
  <c r="AB335" i="134"/>
  <c r="AA219" i="36" s="1"/>
  <c r="AA110" i="111" s="1"/>
  <c r="AA110" i="141" s="1"/>
  <c r="AB326" i="134"/>
  <c r="AA210" i="36" s="1"/>
  <c r="AA101" i="111" s="1"/>
  <c r="AA101" i="141" s="1"/>
  <c r="AB334" i="134"/>
  <c r="AA218" i="36" s="1"/>
  <c r="AA109" i="111" s="1"/>
  <c r="AA109" i="141" s="1"/>
  <c r="AB325" i="134"/>
  <c r="AA209" i="36" s="1"/>
  <c r="AA100" i="111" s="1"/>
  <c r="AA100" i="141" s="1"/>
  <c r="AB333" i="134"/>
  <c r="AA217" i="36" s="1"/>
  <c r="AA108" i="111" s="1"/>
  <c r="AA108" i="141" s="1"/>
  <c r="AB324" i="134"/>
  <c r="AA208" i="36" s="1"/>
  <c r="AA99" i="111" s="1"/>
  <c r="AA99" i="141" s="1"/>
  <c r="AB332" i="134"/>
  <c r="AA216" i="36" s="1"/>
  <c r="AA107" i="111" s="1"/>
  <c r="AA107" i="141" s="1"/>
  <c r="AB323" i="134"/>
  <c r="AA207" i="36" s="1"/>
  <c r="AB331" i="134"/>
  <c r="AA215" i="36" s="1"/>
  <c r="AA106" i="111" s="1"/>
  <c r="AA106" i="141" s="1"/>
  <c r="AB330" i="134"/>
  <c r="AA214" i="36" s="1"/>
  <c r="AA105" i="111" s="1"/>
  <c r="AA105" i="141" s="1"/>
  <c r="AB337" i="134"/>
  <c r="AA221" i="36" s="1"/>
  <c r="AA112" i="111" s="1"/>
  <c r="AA112" i="141" s="1"/>
  <c r="I336" i="134"/>
  <c r="Q326" i="134"/>
  <c r="Q334" i="134"/>
  <c r="Q325" i="134"/>
  <c r="Q333" i="134"/>
  <c r="Q324" i="134"/>
  <c r="Q332" i="134"/>
  <c r="Q323" i="134"/>
  <c r="Q331" i="134"/>
  <c r="Q330" i="134"/>
  <c r="Q329" i="134"/>
  <c r="Q328" i="134"/>
  <c r="Q327" i="134"/>
  <c r="Q335" i="134"/>
  <c r="Q337" i="134"/>
  <c r="J327" i="134"/>
  <c r="J335" i="134"/>
  <c r="J326" i="134"/>
  <c r="J334" i="134"/>
  <c r="J325" i="134"/>
  <c r="J333" i="134"/>
  <c r="J324" i="134"/>
  <c r="J332" i="134"/>
  <c r="J323" i="134"/>
  <c r="J331" i="134"/>
  <c r="J330" i="134"/>
  <c r="J329" i="134"/>
  <c r="J328" i="134"/>
  <c r="J337" i="134"/>
  <c r="F331" i="134"/>
  <c r="F324" i="134"/>
  <c r="F332" i="134"/>
  <c r="F325" i="134"/>
  <c r="F333" i="134"/>
  <c r="F326" i="134"/>
  <c r="F334" i="134"/>
  <c r="F327" i="134"/>
  <c r="F335" i="134"/>
  <c r="F328" i="134"/>
  <c r="F329" i="134"/>
  <c r="F330" i="134"/>
  <c r="F337" i="134"/>
  <c r="AC335" i="134"/>
  <c r="AB219" i="36" s="1"/>
  <c r="AB110" i="111" s="1"/>
  <c r="AB110" i="141" s="1"/>
  <c r="AC330" i="134"/>
  <c r="AB214" i="36" s="1"/>
  <c r="AB105" i="111" s="1"/>
  <c r="AB105" i="141" s="1"/>
  <c r="AC329" i="134"/>
  <c r="AB213" i="36" s="1"/>
  <c r="AB104" i="111" s="1"/>
  <c r="AB104" i="141" s="1"/>
  <c r="AC328" i="134"/>
  <c r="AB212" i="36" s="1"/>
  <c r="AB103" i="111" s="1"/>
  <c r="AB103" i="141" s="1"/>
  <c r="AC327" i="134"/>
  <c r="AB211" i="36" s="1"/>
  <c r="AB102" i="111" s="1"/>
  <c r="AB102" i="141" s="1"/>
  <c r="AC326" i="134"/>
  <c r="AB210" i="36" s="1"/>
  <c r="AB101" i="111" s="1"/>
  <c r="AB101" i="141" s="1"/>
  <c r="AC334" i="134"/>
  <c r="AB218" i="36" s="1"/>
  <c r="AB109" i="111" s="1"/>
  <c r="AB109" i="141" s="1"/>
  <c r="AC325" i="134"/>
  <c r="AB209" i="36" s="1"/>
  <c r="AB100" i="111" s="1"/>
  <c r="AB100" i="141" s="1"/>
  <c r="AC333" i="134"/>
  <c r="AB217" i="36" s="1"/>
  <c r="AB108" i="111" s="1"/>
  <c r="AB108" i="141" s="1"/>
  <c r="AC324" i="134"/>
  <c r="AB208" i="36" s="1"/>
  <c r="AB99" i="111" s="1"/>
  <c r="AB99" i="141" s="1"/>
  <c r="AC332" i="134"/>
  <c r="AB216" i="36" s="1"/>
  <c r="AB107" i="111" s="1"/>
  <c r="AB107" i="141" s="1"/>
  <c r="AC323" i="134"/>
  <c r="AB207" i="36" s="1"/>
  <c r="AC331" i="134"/>
  <c r="AB215" i="36" s="1"/>
  <c r="AB106" i="111" s="1"/>
  <c r="AB106" i="141" s="1"/>
  <c r="AC337" i="134"/>
  <c r="AB221" i="36" s="1"/>
  <c r="AB112" i="111" s="1"/>
  <c r="AB112" i="141" s="1"/>
  <c r="K328" i="134"/>
  <c r="K327" i="134"/>
  <c r="K335" i="134"/>
  <c r="K326" i="134"/>
  <c r="K334" i="134"/>
  <c r="K325" i="134"/>
  <c r="K333" i="134"/>
  <c r="K324" i="134"/>
  <c r="K332" i="134"/>
  <c r="K323" i="134"/>
  <c r="K331" i="134"/>
  <c r="K330" i="134"/>
  <c r="K329" i="134"/>
  <c r="K337" i="134"/>
  <c r="AA328" i="134"/>
  <c r="Z212" i="36" s="1"/>
  <c r="Z103" i="111" s="1"/>
  <c r="Z103" i="141" s="1"/>
  <c r="AA327" i="134"/>
  <c r="Z211" i="36" s="1"/>
  <c r="Z102" i="111" s="1"/>
  <c r="Z102" i="141" s="1"/>
  <c r="AA335" i="134"/>
  <c r="Z219" i="36" s="1"/>
  <c r="Z110" i="111" s="1"/>
  <c r="Z110" i="141" s="1"/>
  <c r="AA326" i="134"/>
  <c r="Z210" i="36" s="1"/>
  <c r="Z101" i="111" s="1"/>
  <c r="Z101" i="141" s="1"/>
  <c r="AA334" i="134"/>
  <c r="Z218" i="36" s="1"/>
  <c r="Z109" i="111" s="1"/>
  <c r="Z109" i="141" s="1"/>
  <c r="AA325" i="134"/>
  <c r="Z209" i="36" s="1"/>
  <c r="Z100" i="111" s="1"/>
  <c r="Z100" i="141" s="1"/>
  <c r="AA333" i="134"/>
  <c r="Z217" i="36" s="1"/>
  <c r="Z108" i="111" s="1"/>
  <c r="Z108" i="141" s="1"/>
  <c r="AA324" i="134"/>
  <c r="Z208" i="36" s="1"/>
  <c r="Z99" i="111" s="1"/>
  <c r="Z99" i="141" s="1"/>
  <c r="AA332" i="134"/>
  <c r="Z216" i="36" s="1"/>
  <c r="Z107" i="111" s="1"/>
  <c r="Z107" i="141" s="1"/>
  <c r="AA323" i="134"/>
  <c r="Z207" i="36" s="1"/>
  <c r="AA331" i="134"/>
  <c r="Z215" i="36" s="1"/>
  <c r="Z106" i="111" s="1"/>
  <c r="Z106" i="141" s="1"/>
  <c r="AA330" i="134"/>
  <c r="Z214" i="36" s="1"/>
  <c r="Z105" i="111" s="1"/>
  <c r="Z105" i="141" s="1"/>
  <c r="AA329" i="134"/>
  <c r="Z213" i="36" s="1"/>
  <c r="Z104" i="111" s="1"/>
  <c r="Z104" i="141" s="1"/>
  <c r="AA337" i="134"/>
  <c r="Z221" i="36" s="1"/>
  <c r="Z112" i="111" s="1"/>
  <c r="Z112" i="141" s="1"/>
  <c r="O324" i="134"/>
  <c r="O332" i="134"/>
  <c r="O323" i="134"/>
  <c r="O331" i="134"/>
  <c r="O330" i="134"/>
  <c r="O329" i="134"/>
  <c r="O328" i="134"/>
  <c r="O327" i="134"/>
  <c r="O335" i="134"/>
  <c r="O326" i="134"/>
  <c r="O334" i="134"/>
  <c r="O325" i="134"/>
  <c r="O333" i="134"/>
  <c r="O337" i="134"/>
  <c r="T329" i="134"/>
  <c r="S213" i="36" s="1"/>
  <c r="S104" i="111" s="1"/>
  <c r="S104" i="141" s="1"/>
  <c r="T328" i="134"/>
  <c r="S212" i="36" s="1"/>
  <c r="S103" i="111" s="1"/>
  <c r="S103" i="141" s="1"/>
  <c r="T327" i="134"/>
  <c r="S211" i="36" s="1"/>
  <c r="S102" i="111" s="1"/>
  <c r="S102" i="141" s="1"/>
  <c r="T335" i="134"/>
  <c r="S219" i="36" s="1"/>
  <c r="S110" i="111" s="1"/>
  <c r="S110" i="141" s="1"/>
  <c r="T326" i="134"/>
  <c r="S210" i="36" s="1"/>
  <c r="S101" i="111" s="1"/>
  <c r="S101" i="141" s="1"/>
  <c r="T334" i="134"/>
  <c r="S218" i="36" s="1"/>
  <c r="S109" i="111" s="1"/>
  <c r="S109" i="141" s="1"/>
  <c r="T325" i="134"/>
  <c r="S209" i="36" s="1"/>
  <c r="S100" i="111" s="1"/>
  <c r="S100" i="141" s="1"/>
  <c r="T333" i="134"/>
  <c r="S217" i="36" s="1"/>
  <c r="S108" i="111" s="1"/>
  <c r="S108" i="141" s="1"/>
  <c r="T324" i="134"/>
  <c r="S208" i="36" s="1"/>
  <c r="S99" i="111" s="1"/>
  <c r="S99" i="141" s="1"/>
  <c r="T332" i="134"/>
  <c r="S216" i="36" s="1"/>
  <c r="S107" i="111" s="1"/>
  <c r="S107" i="141" s="1"/>
  <c r="T323" i="134"/>
  <c r="S207" i="36" s="1"/>
  <c r="T331" i="134"/>
  <c r="S215" i="36" s="1"/>
  <c r="S106" i="111" s="1"/>
  <c r="S106" i="141" s="1"/>
  <c r="T330" i="134"/>
  <c r="S214" i="36" s="1"/>
  <c r="S105" i="111" s="1"/>
  <c r="S105" i="141" s="1"/>
  <c r="T337" i="134"/>
  <c r="S221" i="36" s="1"/>
  <c r="S112" i="111" s="1"/>
  <c r="S112" i="141" s="1"/>
  <c r="H336" i="134"/>
  <c r="S336" i="134"/>
  <c r="R220" i="36" s="1"/>
  <c r="R111" i="111" s="1"/>
  <c r="R111" i="141" s="1"/>
  <c r="N323" i="134"/>
  <c r="N331" i="134"/>
  <c r="N330" i="134"/>
  <c r="N329" i="134"/>
  <c r="N328" i="134"/>
  <c r="N327" i="134"/>
  <c r="N335" i="134"/>
  <c r="N326" i="134"/>
  <c r="N334" i="134"/>
  <c r="N325" i="134"/>
  <c r="N333" i="134"/>
  <c r="N324" i="134"/>
  <c r="N332" i="134"/>
  <c r="N337" i="134"/>
  <c r="W324" i="134"/>
  <c r="V208" i="36" s="1"/>
  <c r="V99" i="111" s="1"/>
  <c r="V99" i="141" s="1"/>
  <c r="W332" i="134"/>
  <c r="V216" i="36" s="1"/>
  <c r="V107" i="111" s="1"/>
  <c r="V107" i="141" s="1"/>
  <c r="W323" i="134"/>
  <c r="V207" i="36" s="1"/>
  <c r="W331" i="134"/>
  <c r="V215" i="36" s="1"/>
  <c r="V106" i="111" s="1"/>
  <c r="V106" i="141" s="1"/>
  <c r="W330" i="134"/>
  <c r="V214" i="36" s="1"/>
  <c r="V105" i="111" s="1"/>
  <c r="V105" i="141" s="1"/>
  <c r="W329" i="134"/>
  <c r="V213" i="36" s="1"/>
  <c r="V104" i="111" s="1"/>
  <c r="V104" i="141" s="1"/>
  <c r="W328" i="134"/>
  <c r="V212" i="36" s="1"/>
  <c r="V103" i="111" s="1"/>
  <c r="V103" i="141" s="1"/>
  <c r="W327" i="134"/>
  <c r="V211" i="36" s="1"/>
  <c r="V102" i="111" s="1"/>
  <c r="V102" i="141" s="1"/>
  <c r="W335" i="134"/>
  <c r="V219" i="36" s="1"/>
  <c r="V110" i="111" s="1"/>
  <c r="V110" i="141" s="1"/>
  <c r="W326" i="134"/>
  <c r="V210" i="36" s="1"/>
  <c r="V101" i="111" s="1"/>
  <c r="V101" i="141" s="1"/>
  <c r="W334" i="134"/>
  <c r="V218" i="36" s="1"/>
  <c r="V109" i="111" s="1"/>
  <c r="V109" i="141" s="1"/>
  <c r="W325" i="134"/>
  <c r="V209" i="36" s="1"/>
  <c r="V100" i="111" s="1"/>
  <c r="V100" i="141" s="1"/>
  <c r="W333" i="134"/>
  <c r="V217" i="36" s="1"/>
  <c r="V108" i="111" s="1"/>
  <c r="V108" i="141" s="1"/>
  <c r="W337" i="134"/>
  <c r="V221" i="36" s="1"/>
  <c r="V112" i="111" s="1"/>
  <c r="V112" i="141" s="1"/>
  <c r="M330" i="134"/>
  <c r="M329" i="134"/>
  <c r="M328" i="134"/>
  <c r="M327" i="134"/>
  <c r="M335" i="134"/>
  <c r="M326" i="134"/>
  <c r="M334" i="134"/>
  <c r="M325" i="134"/>
  <c r="M333" i="134"/>
  <c r="M324" i="134"/>
  <c r="M332" i="134"/>
  <c r="M323" i="134"/>
  <c r="M331" i="134"/>
  <c r="M337" i="134"/>
  <c r="M336" i="134"/>
  <c r="X325" i="134"/>
  <c r="W209" i="36" s="1"/>
  <c r="W100" i="111" s="1"/>
  <c r="W100" i="141" s="1"/>
  <c r="X333" i="134"/>
  <c r="W217" i="36" s="1"/>
  <c r="W108" i="111" s="1"/>
  <c r="W108" i="141" s="1"/>
  <c r="X324" i="134"/>
  <c r="W208" i="36" s="1"/>
  <c r="W99" i="111" s="1"/>
  <c r="W99" i="141" s="1"/>
  <c r="X332" i="134"/>
  <c r="W216" i="36" s="1"/>
  <c r="W107" i="111" s="1"/>
  <c r="W107" i="141" s="1"/>
  <c r="X323" i="134"/>
  <c r="W207" i="36" s="1"/>
  <c r="X331" i="134"/>
  <c r="W215" i="36" s="1"/>
  <c r="W106" i="111" s="1"/>
  <c r="W106" i="141" s="1"/>
  <c r="X330" i="134"/>
  <c r="W214" i="36" s="1"/>
  <c r="W105" i="111" s="1"/>
  <c r="W105" i="141" s="1"/>
  <c r="X329" i="134"/>
  <c r="W213" i="36" s="1"/>
  <c r="W104" i="111" s="1"/>
  <c r="W104" i="141" s="1"/>
  <c r="X328" i="134"/>
  <c r="W212" i="36" s="1"/>
  <c r="W103" i="111" s="1"/>
  <c r="W103" i="141" s="1"/>
  <c r="X327" i="134"/>
  <c r="W211" i="36" s="1"/>
  <c r="W102" i="111" s="1"/>
  <c r="W102" i="141" s="1"/>
  <c r="X335" i="134"/>
  <c r="W219" i="36" s="1"/>
  <c r="W110" i="111" s="1"/>
  <c r="W110" i="141" s="1"/>
  <c r="X326" i="134"/>
  <c r="W210" i="36" s="1"/>
  <c r="W101" i="111" s="1"/>
  <c r="W101" i="141" s="1"/>
  <c r="X334" i="134"/>
  <c r="W218" i="36" s="1"/>
  <c r="W109" i="111" s="1"/>
  <c r="W109" i="141" s="1"/>
  <c r="X337" i="134"/>
  <c r="W221" i="36" s="1"/>
  <c r="W112" i="111" s="1"/>
  <c r="W112" i="141" s="1"/>
  <c r="Q336" i="134"/>
  <c r="J336" i="134"/>
  <c r="F336" i="134"/>
  <c r="AC336" i="134"/>
  <c r="AB220" i="36" s="1"/>
  <c r="AB111" i="111" s="1"/>
  <c r="AB111" i="141" s="1"/>
  <c r="R98" i="111" l="1"/>
  <c r="R98" i="141" s="1"/>
  <c r="R222" i="36"/>
  <c r="R113" i="111" s="1"/>
  <c r="R113" i="141" s="1"/>
  <c r="V98" i="111"/>
  <c r="V98" i="141" s="1"/>
  <c r="V222" i="36"/>
  <c r="V113" i="111" s="1"/>
  <c r="V113" i="141" s="1"/>
  <c r="Z98" i="111"/>
  <c r="Z98" i="141" s="1"/>
  <c r="Z222" i="36"/>
  <c r="Z113" i="111" s="1"/>
  <c r="Z113" i="141" s="1"/>
  <c r="X98" i="111"/>
  <c r="X98" i="141" s="1"/>
  <c r="X222" i="36"/>
  <c r="X113" i="111" s="1"/>
  <c r="X113" i="141" s="1"/>
  <c r="Y222" i="36"/>
  <c r="Y113" i="111" s="1"/>
  <c r="Y113" i="141" s="1"/>
  <c r="Y98" i="111"/>
  <c r="Y98" i="141" s="1"/>
  <c r="T98" i="111"/>
  <c r="T98" i="141" s="1"/>
  <c r="T222" i="36"/>
  <c r="T113" i="111" s="1"/>
  <c r="T113" i="141" s="1"/>
  <c r="W98" i="111"/>
  <c r="W98" i="141" s="1"/>
  <c r="W222" i="36"/>
  <c r="W113" i="111" s="1"/>
  <c r="W113" i="141" s="1"/>
  <c r="AB98" i="111"/>
  <c r="AB98" i="141" s="1"/>
  <c r="AB222" i="36"/>
  <c r="AB113" i="111" s="1"/>
  <c r="AB113" i="141" s="1"/>
  <c r="S98" i="111"/>
  <c r="S98" i="141" s="1"/>
  <c r="S222" i="36"/>
  <c r="S113" i="111" s="1"/>
  <c r="S113" i="141" s="1"/>
  <c r="AA98" i="111"/>
  <c r="AA98" i="141" s="1"/>
  <c r="AA222" i="36"/>
  <c r="AA113" i="111" s="1"/>
  <c r="AA113" i="141" s="1"/>
  <c r="U98" i="111"/>
  <c r="U98" i="141" s="1"/>
  <c r="U222" i="36"/>
  <c r="U113" i="111" s="1"/>
  <c r="U113" i="141" s="1"/>
  <c r="AB338" i="134"/>
  <c r="W338" i="134"/>
  <c r="AA338" i="134"/>
  <c r="Q338" i="134"/>
  <c r="X338" i="134"/>
  <c r="Y338" i="134"/>
  <c r="AC338" i="134"/>
  <c r="Z338" i="134"/>
  <c r="V338" i="134"/>
  <c r="K338" i="134"/>
  <c r="H338" i="134"/>
  <c r="F338" i="134"/>
  <c r="I338" i="134"/>
  <c r="R338" i="134"/>
  <c r="G338" i="134"/>
  <c r="M338" i="134"/>
  <c r="P338" i="134"/>
  <c r="O338" i="134"/>
  <c r="N338" i="134"/>
  <c r="U338" i="134"/>
  <c r="L338" i="134"/>
  <c r="J338" i="134"/>
  <c r="S338" i="134"/>
  <c r="T338" i="134"/>
  <c r="J1202" i="26" l="1"/>
  <c r="K1202" i="26"/>
  <c r="B75" i="112" l="1"/>
  <c r="B74" i="112"/>
  <c r="B73" i="112"/>
  <c r="B72" i="112"/>
  <c r="B71" i="112"/>
  <c r="B70" i="112"/>
  <c r="B69" i="112"/>
  <c r="B68" i="112"/>
  <c r="B67" i="112"/>
  <c r="B66" i="112"/>
  <c r="B65" i="112"/>
  <c r="B64" i="112"/>
  <c r="B63" i="112"/>
  <c r="B62" i="112"/>
  <c r="B61" i="112"/>
  <c r="B60" i="112"/>
  <c r="L59" i="112"/>
  <c r="K59" i="112"/>
  <c r="J59" i="112"/>
  <c r="I59" i="112"/>
  <c r="H59" i="112"/>
  <c r="G59" i="112"/>
  <c r="F59" i="112"/>
  <c r="E59" i="112"/>
  <c r="D59" i="112"/>
  <c r="C59" i="112"/>
  <c r="B56" i="112"/>
  <c r="C55" i="112"/>
  <c r="B55" i="112"/>
  <c r="C54" i="112"/>
  <c r="B54" i="112"/>
  <c r="C53" i="112"/>
  <c r="B53" i="112"/>
  <c r="C52" i="112"/>
  <c r="B52" i="112"/>
  <c r="C51" i="112"/>
  <c r="B51" i="112"/>
  <c r="C50" i="112"/>
  <c r="B50" i="112"/>
  <c r="C49" i="112"/>
  <c r="B49" i="112"/>
  <c r="C48" i="112"/>
  <c r="B48" i="112"/>
  <c r="C47" i="112"/>
  <c r="B47" i="112"/>
  <c r="C46" i="112"/>
  <c r="B46" i="112"/>
  <c r="C45" i="112"/>
  <c r="B45" i="112"/>
  <c r="C44" i="112"/>
  <c r="B44" i="112"/>
  <c r="C43" i="112"/>
  <c r="B43" i="112"/>
  <c r="C42" i="112"/>
  <c r="B42" i="112"/>
  <c r="C41" i="112"/>
  <c r="B41" i="112"/>
  <c r="L40" i="112"/>
  <c r="K40" i="112"/>
  <c r="J40" i="112"/>
  <c r="I40" i="112"/>
  <c r="H40" i="112"/>
  <c r="G40" i="112"/>
  <c r="F40" i="112"/>
  <c r="E40" i="112"/>
  <c r="D40" i="112"/>
  <c r="C40" i="112"/>
  <c r="L21" i="112"/>
  <c r="K21" i="112"/>
  <c r="J21" i="112"/>
  <c r="I21" i="112"/>
  <c r="H21" i="112"/>
  <c r="G21" i="112"/>
  <c r="F21" i="112"/>
  <c r="E21" i="112"/>
  <c r="D21" i="112"/>
  <c r="B75" i="111"/>
  <c r="B74" i="111"/>
  <c r="B73" i="111"/>
  <c r="B72" i="111"/>
  <c r="B71" i="111"/>
  <c r="B70" i="111"/>
  <c r="B69" i="111"/>
  <c r="B68" i="111"/>
  <c r="B67" i="111"/>
  <c r="B66" i="111"/>
  <c r="B65" i="111"/>
  <c r="B64" i="111"/>
  <c r="B63" i="111"/>
  <c r="B62" i="111"/>
  <c r="B61" i="111"/>
  <c r="B60" i="111"/>
  <c r="L59" i="111"/>
  <c r="K59" i="111"/>
  <c r="J59" i="111"/>
  <c r="I59" i="111"/>
  <c r="H59" i="111"/>
  <c r="G59" i="111"/>
  <c r="F59" i="111"/>
  <c r="E59" i="111"/>
  <c r="D59" i="111"/>
  <c r="C59" i="111"/>
  <c r="B56" i="111"/>
  <c r="C55" i="111"/>
  <c r="B55" i="111"/>
  <c r="C54" i="111"/>
  <c r="B54" i="111"/>
  <c r="C53" i="111"/>
  <c r="B53" i="111"/>
  <c r="C52" i="111"/>
  <c r="B52" i="111"/>
  <c r="C51" i="111"/>
  <c r="B51" i="111"/>
  <c r="C50" i="111"/>
  <c r="B50" i="111"/>
  <c r="C49" i="111"/>
  <c r="B49" i="111"/>
  <c r="C48" i="111"/>
  <c r="B48" i="111"/>
  <c r="C47" i="111"/>
  <c r="B47" i="111"/>
  <c r="C46" i="111"/>
  <c r="B46" i="111"/>
  <c r="C45" i="111"/>
  <c r="B45" i="111"/>
  <c r="C44" i="111"/>
  <c r="B44" i="111"/>
  <c r="C43" i="111"/>
  <c r="B43" i="111"/>
  <c r="C42" i="111"/>
  <c r="B42" i="111"/>
  <c r="C41" i="111"/>
  <c r="B41" i="111"/>
  <c r="L40" i="111"/>
  <c r="K40" i="111"/>
  <c r="J40" i="111"/>
  <c r="I40" i="111"/>
  <c r="H40" i="111"/>
  <c r="G40" i="111"/>
  <c r="F40" i="111"/>
  <c r="E40" i="111"/>
  <c r="D40" i="111"/>
  <c r="C40" i="111"/>
  <c r="P92" i="133"/>
  <c r="P97" i="133" s="1"/>
  <c r="O92" i="133"/>
  <c r="O97" i="133" s="1"/>
  <c r="N92" i="133"/>
  <c r="N97" i="133" s="1"/>
  <c r="M92" i="133"/>
  <c r="M97" i="133" s="1"/>
  <c r="L92" i="133"/>
  <c r="L97" i="133" s="1"/>
  <c r="K92" i="133"/>
  <c r="K97" i="133" s="1"/>
  <c r="J92" i="133"/>
  <c r="J97" i="133" s="1"/>
  <c r="I92" i="133"/>
  <c r="I97" i="133" s="1"/>
  <c r="H92" i="133"/>
  <c r="H97" i="133" s="1"/>
  <c r="G92" i="133"/>
  <c r="G97" i="133" s="1"/>
  <c r="F92" i="133"/>
  <c r="F97" i="133" s="1"/>
  <c r="E92" i="133"/>
  <c r="E97" i="133" s="1"/>
  <c r="D92" i="133"/>
  <c r="D97" i="133" s="1"/>
  <c r="C92" i="133"/>
  <c r="C97" i="133" s="1"/>
  <c r="B92" i="133"/>
  <c r="B97" i="133" s="1"/>
  <c r="P91" i="133"/>
  <c r="O91" i="133"/>
  <c r="O96" i="133" s="1"/>
  <c r="N91" i="133"/>
  <c r="N96" i="133" s="1"/>
  <c r="M91" i="133"/>
  <c r="M93" i="133" s="1"/>
  <c r="L91" i="133"/>
  <c r="K91" i="133"/>
  <c r="J91" i="133"/>
  <c r="I91" i="133"/>
  <c r="H91" i="133"/>
  <c r="G91" i="133"/>
  <c r="G96" i="133" s="1"/>
  <c r="F91" i="133"/>
  <c r="F96" i="133" s="1"/>
  <c r="E91" i="133"/>
  <c r="E93" i="133" s="1"/>
  <c r="D91" i="133"/>
  <c r="D93" i="133" s="1"/>
  <c r="C91" i="133"/>
  <c r="C93" i="133" s="1"/>
  <c r="C98" i="133" s="1"/>
  <c r="B91" i="133"/>
  <c r="B93" i="133" s="1"/>
  <c r="J88" i="133"/>
  <c r="I88" i="133"/>
  <c r="H88" i="133"/>
  <c r="G88" i="133"/>
  <c r="M98" i="133" s="1"/>
  <c r="F88" i="133"/>
  <c r="E88" i="133"/>
  <c r="D88" i="133"/>
  <c r="C88" i="133"/>
  <c r="E98" i="133"/>
  <c r="B98" i="133"/>
  <c r="J83" i="133"/>
  <c r="I83" i="133"/>
  <c r="H83" i="133"/>
  <c r="H84" i="133" s="1"/>
  <c r="G83" i="133"/>
  <c r="F83" i="133"/>
  <c r="E83" i="133"/>
  <c r="E84" i="133" s="1"/>
  <c r="D83" i="133"/>
  <c r="C83" i="133"/>
  <c r="B83" i="133"/>
  <c r="J78" i="133"/>
  <c r="I78" i="133"/>
  <c r="H78" i="133"/>
  <c r="G78" i="133"/>
  <c r="G79" i="133" s="1"/>
  <c r="F78" i="133"/>
  <c r="E78" i="133"/>
  <c r="D78" i="133"/>
  <c r="D79" i="133" s="1"/>
  <c r="C78" i="133"/>
  <c r="B78" i="133"/>
  <c r="J73" i="133"/>
  <c r="I73" i="133"/>
  <c r="H73" i="133"/>
  <c r="H74" i="133" s="1"/>
  <c r="G73" i="133"/>
  <c r="G74" i="133" s="1"/>
  <c r="F73" i="133"/>
  <c r="F74" i="133" s="1"/>
  <c r="E73" i="133"/>
  <c r="D73" i="133"/>
  <c r="C73" i="133"/>
  <c r="B73" i="133"/>
  <c r="J68" i="133"/>
  <c r="I68" i="133"/>
  <c r="I69" i="133" s="1"/>
  <c r="H68" i="133"/>
  <c r="H69" i="133" s="1"/>
  <c r="G68" i="133"/>
  <c r="F68" i="133"/>
  <c r="E68" i="133"/>
  <c r="D68" i="133"/>
  <c r="D69" i="133" s="1"/>
  <c r="C68" i="133"/>
  <c r="B68" i="133"/>
  <c r="G64" i="133"/>
  <c r="J63" i="133"/>
  <c r="I63" i="133"/>
  <c r="H63" i="133"/>
  <c r="H64" i="133" s="1"/>
  <c r="G63" i="133"/>
  <c r="F63" i="133"/>
  <c r="E63" i="133"/>
  <c r="E64" i="133" s="1"/>
  <c r="D63" i="133"/>
  <c r="D64" i="133" s="1"/>
  <c r="C63" i="133"/>
  <c r="C64" i="133" s="1"/>
  <c r="B63" i="133"/>
  <c r="J58" i="133"/>
  <c r="I58" i="133"/>
  <c r="H58" i="133"/>
  <c r="H59" i="133" s="1"/>
  <c r="G58" i="133"/>
  <c r="G59" i="133" s="1"/>
  <c r="F58" i="133"/>
  <c r="F59" i="133" s="1"/>
  <c r="E58" i="133"/>
  <c r="D58" i="133"/>
  <c r="D59" i="133" s="1"/>
  <c r="C58" i="133"/>
  <c r="B58" i="133"/>
  <c r="J53" i="133"/>
  <c r="I53" i="133"/>
  <c r="I54" i="133" s="1"/>
  <c r="H53" i="133"/>
  <c r="H54" i="133" s="1"/>
  <c r="G53" i="133"/>
  <c r="G54" i="133" s="1"/>
  <c r="F53" i="133"/>
  <c r="F54" i="133" s="1"/>
  <c r="E53" i="133"/>
  <c r="D53" i="133"/>
  <c r="D54" i="133" s="1"/>
  <c r="C53" i="133"/>
  <c r="B53" i="133"/>
  <c r="I49" i="133"/>
  <c r="J48" i="133"/>
  <c r="I48" i="133"/>
  <c r="H48" i="133"/>
  <c r="H49" i="133" s="1"/>
  <c r="G48" i="133"/>
  <c r="F48" i="133"/>
  <c r="F49" i="133" s="1"/>
  <c r="E48" i="133"/>
  <c r="D48" i="133"/>
  <c r="D49" i="133" s="1"/>
  <c r="C48" i="133"/>
  <c r="B48" i="133"/>
  <c r="J43" i="133"/>
  <c r="I43" i="133"/>
  <c r="H43" i="133"/>
  <c r="H44" i="133" s="1"/>
  <c r="G43" i="133"/>
  <c r="G44" i="133" s="1"/>
  <c r="F43" i="133"/>
  <c r="E43" i="133"/>
  <c r="D43" i="133"/>
  <c r="D44" i="133" s="1"/>
  <c r="C43" i="133"/>
  <c r="B43" i="133"/>
  <c r="J38" i="133"/>
  <c r="I38" i="133"/>
  <c r="H38" i="133"/>
  <c r="H39" i="133" s="1"/>
  <c r="G38" i="133"/>
  <c r="G39" i="133" s="1"/>
  <c r="F38" i="133"/>
  <c r="E38" i="133"/>
  <c r="D38" i="133"/>
  <c r="D39" i="133" s="1"/>
  <c r="C38" i="133"/>
  <c r="B38" i="133"/>
  <c r="J33" i="133"/>
  <c r="I33" i="133"/>
  <c r="H33" i="133"/>
  <c r="H34" i="133" s="1"/>
  <c r="G33" i="133"/>
  <c r="G34" i="133" s="1"/>
  <c r="F33" i="133"/>
  <c r="F34" i="133" s="1"/>
  <c r="E33" i="133"/>
  <c r="D33" i="133"/>
  <c r="C33" i="133"/>
  <c r="B33" i="133"/>
  <c r="J28" i="133"/>
  <c r="I28" i="133"/>
  <c r="H28" i="133"/>
  <c r="H29" i="133" s="1"/>
  <c r="G28" i="133"/>
  <c r="F28" i="133"/>
  <c r="F29" i="133" s="1"/>
  <c r="E28" i="133"/>
  <c r="E29" i="133" s="1"/>
  <c r="D28" i="133"/>
  <c r="D29" i="133" s="1"/>
  <c r="C28" i="133"/>
  <c r="B28" i="133"/>
  <c r="J23" i="133"/>
  <c r="I23" i="133"/>
  <c r="H23" i="133"/>
  <c r="H24" i="133" s="1"/>
  <c r="G23" i="133"/>
  <c r="G24" i="133" s="1"/>
  <c r="F23" i="133"/>
  <c r="E23" i="133"/>
  <c r="D23" i="133"/>
  <c r="D24" i="133" s="1"/>
  <c r="C23" i="133"/>
  <c r="C24" i="133" s="1"/>
  <c r="B23" i="133"/>
  <c r="J18" i="133"/>
  <c r="I18" i="133"/>
  <c r="H18" i="133"/>
  <c r="H19" i="133" s="1"/>
  <c r="G18" i="133"/>
  <c r="G19" i="133" s="1"/>
  <c r="F18" i="133"/>
  <c r="F19" i="133" s="1"/>
  <c r="E18" i="133"/>
  <c r="D18" i="133"/>
  <c r="C18" i="133"/>
  <c r="B18" i="133"/>
  <c r="J13" i="133"/>
  <c r="I13" i="133"/>
  <c r="H13" i="133"/>
  <c r="H14" i="133" s="1"/>
  <c r="G13" i="133"/>
  <c r="G14" i="133" s="1"/>
  <c r="F13" i="133"/>
  <c r="F14" i="133" s="1"/>
  <c r="E13" i="133"/>
  <c r="E14" i="133" s="1"/>
  <c r="D13" i="133"/>
  <c r="D14" i="133" s="1"/>
  <c r="C13" i="133"/>
  <c r="B13" i="133"/>
  <c r="J8" i="133"/>
  <c r="I8" i="133"/>
  <c r="H8" i="133"/>
  <c r="H9" i="133" s="1"/>
  <c r="G8" i="133"/>
  <c r="G9" i="133" s="1"/>
  <c r="F8" i="133"/>
  <c r="F9" i="133" s="1"/>
  <c r="E8" i="133"/>
  <c r="D8" i="133"/>
  <c r="D9" i="133" s="1"/>
  <c r="B8" i="133"/>
  <c r="C94" i="133"/>
  <c r="O27" i="56"/>
  <c r="R26" i="56"/>
  <c r="G26" i="56"/>
  <c r="N14" i="56"/>
  <c r="N13" i="56"/>
  <c r="E27" i="56" s="1"/>
  <c r="N12" i="56"/>
  <c r="I26" i="56" s="1"/>
  <c r="N10" i="56"/>
  <c r="N9" i="56"/>
  <c r="O29" i="56" s="1"/>
  <c r="N6" i="56"/>
  <c r="R3800" i="52"/>
  <c r="Q3800" i="52"/>
  <c r="P3800" i="52"/>
  <c r="O3800" i="52"/>
  <c r="N3800" i="52"/>
  <c r="M3800" i="52"/>
  <c r="L3800" i="52"/>
  <c r="K3800" i="52"/>
  <c r="J3800" i="52"/>
  <c r="I3800" i="52"/>
  <c r="H3800" i="52"/>
  <c r="G3800" i="52"/>
  <c r="F3800" i="52"/>
  <c r="E3800" i="52"/>
  <c r="D3800" i="52"/>
  <c r="C3800" i="52"/>
  <c r="Y3795" i="52"/>
  <c r="R3812" i="52" s="1"/>
  <c r="X3795" i="52"/>
  <c r="Q3812" i="52" s="1"/>
  <c r="W3795" i="52"/>
  <c r="P3812" i="52" s="1"/>
  <c r="V3795" i="52"/>
  <c r="O3812" i="52" s="1"/>
  <c r="U3795" i="52"/>
  <c r="N3812" i="52" s="1"/>
  <c r="T3795" i="52"/>
  <c r="M3812" i="52" s="1"/>
  <c r="S3795" i="52"/>
  <c r="L3812" i="52" s="1"/>
  <c r="R3795" i="52"/>
  <c r="K3812" i="52" s="1"/>
  <c r="Q3795" i="52"/>
  <c r="J3812" i="52" s="1"/>
  <c r="P3795" i="52"/>
  <c r="I3812" i="52" s="1"/>
  <c r="O3795" i="52"/>
  <c r="H3812" i="52" s="1"/>
  <c r="N3795" i="52"/>
  <c r="G3812" i="52" s="1"/>
  <c r="M3795" i="52"/>
  <c r="F3812" i="52" s="1"/>
  <c r="L3795" i="52"/>
  <c r="E3812" i="52" s="1"/>
  <c r="K3795" i="52"/>
  <c r="D3812" i="52" s="1"/>
  <c r="J3795" i="52"/>
  <c r="C3812" i="52" s="1"/>
  <c r="Y3214" i="52"/>
  <c r="R3811" i="52" s="1"/>
  <c r="X3214" i="52"/>
  <c r="Q3811" i="52" s="1"/>
  <c r="W3214" i="52"/>
  <c r="P3811" i="52" s="1"/>
  <c r="V3214" i="52"/>
  <c r="O3811" i="52" s="1"/>
  <c r="U3214" i="52"/>
  <c r="N3811" i="52" s="1"/>
  <c r="T3214" i="52"/>
  <c r="M3811" i="52" s="1"/>
  <c r="S3214" i="52"/>
  <c r="L3811" i="52" s="1"/>
  <c r="R3214" i="52"/>
  <c r="K3811" i="52" s="1"/>
  <c r="Q3214" i="52"/>
  <c r="J3811" i="52" s="1"/>
  <c r="P3214" i="52"/>
  <c r="I3811" i="52" s="1"/>
  <c r="O3214" i="52"/>
  <c r="H3811" i="52" s="1"/>
  <c r="N3214" i="52"/>
  <c r="G3811" i="52" s="1"/>
  <c r="M3214" i="52"/>
  <c r="F3811" i="52" s="1"/>
  <c r="L3214" i="52"/>
  <c r="E3811" i="52" s="1"/>
  <c r="K3214" i="52"/>
  <c r="D3811" i="52" s="1"/>
  <c r="J3214" i="52"/>
  <c r="C3811" i="52" s="1"/>
  <c r="Y2861" i="52"/>
  <c r="R3810" i="52" s="1"/>
  <c r="X2861" i="52"/>
  <c r="Q3810" i="52" s="1"/>
  <c r="W2861" i="52"/>
  <c r="P3810" i="52" s="1"/>
  <c r="V2861" i="52"/>
  <c r="O3810" i="52" s="1"/>
  <c r="U2861" i="52"/>
  <c r="N3810" i="52" s="1"/>
  <c r="T2861" i="52"/>
  <c r="M3810" i="52" s="1"/>
  <c r="S2861" i="52"/>
  <c r="L3810" i="52" s="1"/>
  <c r="R2861" i="52"/>
  <c r="K3810" i="52" s="1"/>
  <c r="Q2861" i="52"/>
  <c r="J3810" i="52" s="1"/>
  <c r="P2861" i="52"/>
  <c r="I3810" i="52" s="1"/>
  <c r="O2861" i="52"/>
  <c r="H3810" i="52" s="1"/>
  <c r="N2861" i="52"/>
  <c r="G3810" i="52" s="1"/>
  <c r="M2861" i="52"/>
  <c r="F3810" i="52" s="1"/>
  <c r="L2861" i="52"/>
  <c r="E3810" i="52" s="1"/>
  <c r="K2861" i="52"/>
  <c r="D3810" i="52" s="1"/>
  <c r="J2861" i="52"/>
  <c r="C3810" i="52" s="1"/>
  <c r="Y2227" i="52"/>
  <c r="R3809" i="52" s="1"/>
  <c r="X2227" i="52"/>
  <c r="Q3809" i="52" s="1"/>
  <c r="W2227" i="52"/>
  <c r="P3809" i="52" s="1"/>
  <c r="V2227" i="52"/>
  <c r="O3809" i="52" s="1"/>
  <c r="U2227" i="52"/>
  <c r="N3809" i="52" s="1"/>
  <c r="T2227" i="52"/>
  <c r="M3809" i="52" s="1"/>
  <c r="S2227" i="52"/>
  <c r="L3809" i="52" s="1"/>
  <c r="R2227" i="52"/>
  <c r="K3809" i="52" s="1"/>
  <c r="Q2227" i="52"/>
  <c r="J3809" i="52" s="1"/>
  <c r="P2227" i="52"/>
  <c r="I3809" i="52" s="1"/>
  <c r="O2227" i="52"/>
  <c r="H3809" i="52" s="1"/>
  <c r="N2227" i="52"/>
  <c r="G3809" i="52" s="1"/>
  <c r="M2227" i="52"/>
  <c r="F3809" i="52" s="1"/>
  <c r="L2227" i="52"/>
  <c r="E3809" i="52" s="1"/>
  <c r="K2227" i="52"/>
  <c r="D3809" i="52" s="1"/>
  <c r="J2227" i="52"/>
  <c r="C3809" i="52" s="1"/>
  <c r="Y1710" i="52"/>
  <c r="R3808" i="52" s="1"/>
  <c r="X1710" i="52"/>
  <c r="Q3808" i="52" s="1"/>
  <c r="W1710" i="52"/>
  <c r="P3808" i="52" s="1"/>
  <c r="V1710" i="52"/>
  <c r="O3808" i="52" s="1"/>
  <c r="U1710" i="52"/>
  <c r="N3808" i="52" s="1"/>
  <c r="T1710" i="52"/>
  <c r="M3808" i="52" s="1"/>
  <c r="S1710" i="52"/>
  <c r="L3808" i="52" s="1"/>
  <c r="R1710" i="52"/>
  <c r="K3808" i="52" s="1"/>
  <c r="Q1710" i="52"/>
  <c r="J3808" i="52" s="1"/>
  <c r="P1710" i="52"/>
  <c r="I3808" i="52" s="1"/>
  <c r="O1710" i="52"/>
  <c r="H3808" i="52" s="1"/>
  <c r="N1710" i="52"/>
  <c r="G3808" i="52" s="1"/>
  <c r="M1710" i="52"/>
  <c r="F3808" i="52" s="1"/>
  <c r="L1710" i="52"/>
  <c r="E3808" i="52" s="1"/>
  <c r="K1710" i="52"/>
  <c r="D3808" i="52" s="1"/>
  <c r="J1710" i="52"/>
  <c r="C3808" i="52" s="1"/>
  <c r="Y1565" i="52"/>
  <c r="R3807" i="52" s="1"/>
  <c r="X1565" i="52"/>
  <c r="Q3807" i="52" s="1"/>
  <c r="W1565" i="52"/>
  <c r="P3807" i="52" s="1"/>
  <c r="V1565" i="52"/>
  <c r="O3807" i="52" s="1"/>
  <c r="U1565" i="52"/>
  <c r="N3807" i="52" s="1"/>
  <c r="T1565" i="52"/>
  <c r="M3807" i="52" s="1"/>
  <c r="S1565" i="52"/>
  <c r="L3807" i="52" s="1"/>
  <c r="R1565" i="52"/>
  <c r="K3807" i="52" s="1"/>
  <c r="Q1565" i="52"/>
  <c r="J3807" i="52" s="1"/>
  <c r="P1565" i="52"/>
  <c r="I3807" i="52" s="1"/>
  <c r="O1565" i="52"/>
  <c r="H3807" i="52" s="1"/>
  <c r="N1565" i="52"/>
  <c r="G3807" i="52" s="1"/>
  <c r="M1565" i="52"/>
  <c r="F3807" i="52" s="1"/>
  <c r="L1565" i="52"/>
  <c r="E3807" i="52" s="1"/>
  <c r="K1565" i="52"/>
  <c r="D3807" i="52" s="1"/>
  <c r="J1565" i="52"/>
  <c r="C3807" i="52" s="1"/>
  <c r="Y1405" i="52"/>
  <c r="R3806" i="52" s="1"/>
  <c r="X1405" i="52"/>
  <c r="Q3806" i="52" s="1"/>
  <c r="W1405" i="52"/>
  <c r="P3806" i="52" s="1"/>
  <c r="V1405" i="52"/>
  <c r="O3806" i="52" s="1"/>
  <c r="U1405" i="52"/>
  <c r="N3806" i="52" s="1"/>
  <c r="T1405" i="52"/>
  <c r="M3806" i="52" s="1"/>
  <c r="S1405" i="52"/>
  <c r="L3806" i="52" s="1"/>
  <c r="R1405" i="52"/>
  <c r="K3806" i="52" s="1"/>
  <c r="Q1405" i="52"/>
  <c r="J3806" i="52" s="1"/>
  <c r="P1405" i="52"/>
  <c r="I3806" i="52" s="1"/>
  <c r="O1405" i="52"/>
  <c r="H3806" i="52" s="1"/>
  <c r="N1405" i="52"/>
  <c r="G3806" i="52" s="1"/>
  <c r="M1405" i="52"/>
  <c r="F3806" i="52" s="1"/>
  <c r="L1405" i="52"/>
  <c r="E3806" i="52" s="1"/>
  <c r="K1405" i="52"/>
  <c r="D3806" i="52" s="1"/>
  <c r="J1405" i="52"/>
  <c r="C3806" i="52" s="1"/>
  <c r="Y947" i="52"/>
  <c r="R3804" i="52" s="1"/>
  <c r="X947" i="52"/>
  <c r="Q3804" i="52" s="1"/>
  <c r="W947" i="52"/>
  <c r="P3804" i="52" s="1"/>
  <c r="V947" i="52"/>
  <c r="O3804" i="52" s="1"/>
  <c r="U947" i="52"/>
  <c r="N3804" i="52" s="1"/>
  <c r="T947" i="52"/>
  <c r="M3804" i="52" s="1"/>
  <c r="S947" i="52"/>
  <c r="L3804" i="52" s="1"/>
  <c r="R947" i="52"/>
  <c r="K3804" i="52" s="1"/>
  <c r="Q947" i="52"/>
  <c r="J3804" i="52" s="1"/>
  <c r="P947" i="52"/>
  <c r="I3804" i="52" s="1"/>
  <c r="O947" i="52"/>
  <c r="H3804" i="52" s="1"/>
  <c r="N947" i="52"/>
  <c r="G3804" i="52" s="1"/>
  <c r="M947" i="52"/>
  <c r="F3804" i="52" s="1"/>
  <c r="L947" i="52"/>
  <c r="E3804" i="52" s="1"/>
  <c r="K947" i="52"/>
  <c r="D3804" i="52" s="1"/>
  <c r="J947" i="52"/>
  <c r="C3804" i="52" s="1"/>
  <c r="Y837" i="52"/>
  <c r="R3803" i="52" s="1"/>
  <c r="X837" i="52"/>
  <c r="Q3803" i="52" s="1"/>
  <c r="W837" i="52"/>
  <c r="P3803" i="52" s="1"/>
  <c r="V837" i="52"/>
  <c r="O3803" i="52" s="1"/>
  <c r="U837" i="52"/>
  <c r="N3803" i="52" s="1"/>
  <c r="T837" i="52"/>
  <c r="M3803" i="52" s="1"/>
  <c r="S837" i="52"/>
  <c r="L3803" i="52" s="1"/>
  <c r="R837" i="52"/>
  <c r="K3803" i="52" s="1"/>
  <c r="Q837" i="52"/>
  <c r="J3803" i="52" s="1"/>
  <c r="P837" i="52"/>
  <c r="I3803" i="52" s="1"/>
  <c r="O837" i="52"/>
  <c r="H3803" i="52" s="1"/>
  <c r="N837" i="52"/>
  <c r="G3803" i="52" s="1"/>
  <c r="M837" i="52"/>
  <c r="F3803" i="52" s="1"/>
  <c r="L837" i="52"/>
  <c r="E3803" i="52" s="1"/>
  <c r="K837" i="52"/>
  <c r="D3803" i="52" s="1"/>
  <c r="J837" i="52"/>
  <c r="C3803" i="52" s="1"/>
  <c r="Y654" i="52"/>
  <c r="R3802" i="52" s="1"/>
  <c r="X654" i="52"/>
  <c r="Q3802" i="52" s="1"/>
  <c r="W654" i="52"/>
  <c r="P3802" i="52" s="1"/>
  <c r="V654" i="52"/>
  <c r="O3802" i="52" s="1"/>
  <c r="U654" i="52"/>
  <c r="N3802" i="52" s="1"/>
  <c r="T654" i="52"/>
  <c r="M3802" i="52" s="1"/>
  <c r="S654" i="52"/>
  <c r="L3802" i="52" s="1"/>
  <c r="R654" i="52"/>
  <c r="K3802" i="52" s="1"/>
  <c r="Q654" i="52"/>
  <c r="J3802" i="52" s="1"/>
  <c r="P654" i="52"/>
  <c r="I3802" i="52" s="1"/>
  <c r="O654" i="52"/>
  <c r="H3802" i="52" s="1"/>
  <c r="N654" i="52"/>
  <c r="G3802" i="52" s="1"/>
  <c r="M654" i="52"/>
  <c r="F3802" i="52" s="1"/>
  <c r="L654" i="52"/>
  <c r="E3802" i="52" s="1"/>
  <c r="K654" i="52"/>
  <c r="D3802" i="52" s="1"/>
  <c r="J654" i="52"/>
  <c r="C3802" i="52" s="1"/>
  <c r="Y510" i="52"/>
  <c r="R3801" i="52" s="1"/>
  <c r="X510" i="52"/>
  <c r="Q3801" i="52" s="1"/>
  <c r="W510" i="52"/>
  <c r="P3801" i="52" s="1"/>
  <c r="V510" i="52"/>
  <c r="O3801" i="52" s="1"/>
  <c r="U510" i="52"/>
  <c r="N3801" i="52" s="1"/>
  <c r="T510" i="52"/>
  <c r="M3801" i="52" s="1"/>
  <c r="S510" i="52"/>
  <c r="L3801" i="52" s="1"/>
  <c r="R510" i="52"/>
  <c r="K3801" i="52" s="1"/>
  <c r="Q510" i="52"/>
  <c r="J3801" i="52" s="1"/>
  <c r="P510" i="52"/>
  <c r="I3801" i="52" s="1"/>
  <c r="O510" i="52"/>
  <c r="H3801" i="52" s="1"/>
  <c r="N510" i="52"/>
  <c r="G3801" i="52" s="1"/>
  <c r="M510" i="52"/>
  <c r="F3801" i="52" s="1"/>
  <c r="L510" i="52"/>
  <c r="E3801" i="52" s="1"/>
  <c r="K510" i="52"/>
  <c r="D3801" i="52" s="1"/>
  <c r="J510" i="52"/>
  <c r="C3801" i="52" s="1"/>
  <c r="Y136" i="52"/>
  <c r="R3799" i="52" s="1"/>
  <c r="X136" i="52"/>
  <c r="Q3799" i="52" s="1"/>
  <c r="W136" i="52"/>
  <c r="P3799" i="52" s="1"/>
  <c r="V136" i="52"/>
  <c r="O3799" i="52" s="1"/>
  <c r="U136" i="52"/>
  <c r="N3799" i="52" s="1"/>
  <c r="T136" i="52"/>
  <c r="M3799" i="52" s="1"/>
  <c r="S136" i="52"/>
  <c r="L3799" i="52" s="1"/>
  <c r="R136" i="52"/>
  <c r="K3799" i="52" s="1"/>
  <c r="Q136" i="52"/>
  <c r="J3799" i="52" s="1"/>
  <c r="P136" i="52"/>
  <c r="I3799" i="52" s="1"/>
  <c r="O136" i="52"/>
  <c r="H3799" i="52" s="1"/>
  <c r="N136" i="52"/>
  <c r="G3799" i="52" s="1"/>
  <c r="M136" i="52"/>
  <c r="F3799" i="52" s="1"/>
  <c r="L136" i="52"/>
  <c r="E3799" i="52" s="1"/>
  <c r="K136" i="52"/>
  <c r="D3799" i="52" s="1"/>
  <c r="J136" i="52"/>
  <c r="C3799" i="52" s="1"/>
  <c r="Y68" i="52"/>
  <c r="R3798" i="52" s="1"/>
  <c r="X68" i="52"/>
  <c r="Q3798" i="52" s="1"/>
  <c r="W68" i="52"/>
  <c r="P3798" i="52" s="1"/>
  <c r="V68" i="52"/>
  <c r="O3798" i="52" s="1"/>
  <c r="U68" i="52"/>
  <c r="N3798" i="52" s="1"/>
  <c r="T68" i="52"/>
  <c r="M3798" i="52" s="1"/>
  <c r="S68" i="52"/>
  <c r="L3798" i="52" s="1"/>
  <c r="R68" i="52"/>
  <c r="K3798" i="52" s="1"/>
  <c r="Q68" i="52"/>
  <c r="J3798" i="52" s="1"/>
  <c r="P68" i="52"/>
  <c r="I3798" i="52" s="1"/>
  <c r="O68" i="52"/>
  <c r="H3798" i="52" s="1"/>
  <c r="N68" i="52"/>
  <c r="G3798" i="52" s="1"/>
  <c r="M68" i="52"/>
  <c r="F3798" i="52" s="1"/>
  <c r="L68" i="52"/>
  <c r="E3798" i="52" s="1"/>
  <c r="K68" i="52"/>
  <c r="D3798" i="52" s="1"/>
  <c r="J68" i="52"/>
  <c r="C3798" i="52" s="1"/>
  <c r="P3813" i="53"/>
  <c r="P3812" i="53"/>
  <c r="P3811" i="53"/>
  <c r="P3810" i="53"/>
  <c r="P3809" i="53"/>
  <c r="P3808" i="53"/>
  <c r="P3805" i="53"/>
  <c r="P3804" i="53"/>
  <c r="P3803" i="53"/>
  <c r="P3802" i="53"/>
  <c r="P3801" i="53"/>
  <c r="P3800" i="53"/>
  <c r="Y3796" i="53"/>
  <c r="R3813" i="53" s="1"/>
  <c r="X3796" i="53"/>
  <c r="Q3813" i="53" s="1"/>
  <c r="W3796" i="53"/>
  <c r="V3796" i="53"/>
  <c r="O3813" i="53" s="1"/>
  <c r="U3796" i="53"/>
  <c r="N3813" i="53" s="1"/>
  <c r="T3796" i="53"/>
  <c r="M3813" i="53" s="1"/>
  <c r="S3796" i="53"/>
  <c r="L3813" i="53" s="1"/>
  <c r="R3796" i="53"/>
  <c r="K3813" i="53" s="1"/>
  <c r="Q3796" i="53"/>
  <c r="J3813" i="53" s="1"/>
  <c r="P3796" i="53"/>
  <c r="I3813" i="53" s="1"/>
  <c r="O3796" i="53"/>
  <c r="H3813" i="53" s="1"/>
  <c r="N3796" i="53"/>
  <c r="G3813" i="53" s="1"/>
  <c r="M3796" i="53"/>
  <c r="F3813" i="53" s="1"/>
  <c r="L3796" i="53"/>
  <c r="E3813" i="53" s="1"/>
  <c r="K3796" i="53"/>
  <c r="D3813" i="53" s="1"/>
  <c r="J3796" i="53"/>
  <c r="C3813" i="53" s="1"/>
  <c r="Y3215" i="53"/>
  <c r="R3812" i="53" s="1"/>
  <c r="X3215" i="53"/>
  <c r="Q3812" i="53" s="1"/>
  <c r="W3215" i="53"/>
  <c r="V3215" i="53"/>
  <c r="O3812" i="53" s="1"/>
  <c r="U3215" i="53"/>
  <c r="N3812" i="53" s="1"/>
  <c r="T3215" i="53"/>
  <c r="M3812" i="53" s="1"/>
  <c r="S3215" i="53"/>
  <c r="L3812" i="53" s="1"/>
  <c r="R3215" i="53"/>
  <c r="K3812" i="53" s="1"/>
  <c r="Q3215" i="53"/>
  <c r="J3812" i="53" s="1"/>
  <c r="P3215" i="53"/>
  <c r="I3812" i="53" s="1"/>
  <c r="O3215" i="53"/>
  <c r="H3812" i="53" s="1"/>
  <c r="N3215" i="53"/>
  <c r="G3812" i="53" s="1"/>
  <c r="M3215" i="53"/>
  <c r="F3812" i="53" s="1"/>
  <c r="L3215" i="53"/>
  <c r="E3812" i="53" s="1"/>
  <c r="K3215" i="53"/>
  <c r="D3812" i="53" s="1"/>
  <c r="J3215" i="53"/>
  <c r="C3812" i="53" s="1"/>
  <c r="Y2862" i="53"/>
  <c r="R3811" i="53" s="1"/>
  <c r="X2862" i="53"/>
  <c r="Q3811" i="53" s="1"/>
  <c r="W2862" i="53"/>
  <c r="V2862" i="53"/>
  <c r="O3811" i="53" s="1"/>
  <c r="U2862" i="53"/>
  <c r="N3811" i="53" s="1"/>
  <c r="T2862" i="53"/>
  <c r="M3811" i="53" s="1"/>
  <c r="S2862" i="53"/>
  <c r="L3811" i="53" s="1"/>
  <c r="R2862" i="53"/>
  <c r="K3811" i="53" s="1"/>
  <c r="Q2862" i="53"/>
  <c r="J3811" i="53" s="1"/>
  <c r="P2862" i="53"/>
  <c r="I3811" i="53" s="1"/>
  <c r="O2862" i="53"/>
  <c r="H3811" i="53" s="1"/>
  <c r="N2862" i="53"/>
  <c r="G3811" i="53" s="1"/>
  <c r="M2862" i="53"/>
  <c r="F3811" i="53" s="1"/>
  <c r="L2862" i="53"/>
  <c r="E3811" i="53" s="1"/>
  <c r="K2862" i="53"/>
  <c r="D3811" i="53" s="1"/>
  <c r="J2862" i="53"/>
  <c r="C3811" i="53" s="1"/>
  <c r="Y2228" i="53"/>
  <c r="R3810" i="53" s="1"/>
  <c r="X2228" i="53"/>
  <c r="Q3810" i="53" s="1"/>
  <c r="W2228" i="53"/>
  <c r="V2228" i="53"/>
  <c r="O3810" i="53" s="1"/>
  <c r="U2228" i="53"/>
  <c r="N3810" i="53" s="1"/>
  <c r="T2228" i="53"/>
  <c r="M3810" i="53" s="1"/>
  <c r="S2228" i="53"/>
  <c r="L3810" i="53" s="1"/>
  <c r="R2228" i="53"/>
  <c r="K3810" i="53" s="1"/>
  <c r="Q2228" i="53"/>
  <c r="J3810" i="53" s="1"/>
  <c r="P2228" i="53"/>
  <c r="I3810" i="53" s="1"/>
  <c r="O2228" i="53"/>
  <c r="H3810" i="53" s="1"/>
  <c r="N2228" i="53"/>
  <c r="G3810" i="53" s="1"/>
  <c r="M2228" i="53"/>
  <c r="F3810" i="53" s="1"/>
  <c r="L2228" i="53"/>
  <c r="E3810" i="53" s="1"/>
  <c r="K2228" i="53"/>
  <c r="D3810" i="53" s="1"/>
  <c r="J2228" i="53"/>
  <c r="C3810" i="53" s="1"/>
  <c r="Y1711" i="53"/>
  <c r="R3809" i="53" s="1"/>
  <c r="X1711" i="53"/>
  <c r="Q3809" i="53" s="1"/>
  <c r="W1711" i="53"/>
  <c r="V1711" i="53"/>
  <c r="O3809" i="53" s="1"/>
  <c r="U1711" i="53"/>
  <c r="N3809" i="53" s="1"/>
  <c r="T1711" i="53"/>
  <c r="M3809" i="53" s="1"/>
  <c r="S1711" i="53"/>
  <c r="L3809" i="53" s="1"/>
  <c r="R1711" i="53"/>
  <c r="K3809" i="53" s="1"/>
  <c r="Q1711" i="53"/>
  <c r="J3809" i="53" s="1"/>
  <c r="P1711" i="53"/>
  <c r="I3809" i="53" s="1"/>
  <c r="O1711" i="53"/>
  <c r="H3809" i="53" s="1"/>
  <c r="N1711" i="53"/>
  <c r="G3809" i="53" s="1"/>
  <c r="M1711" i="53"/>
  <c r="F3809" i="53" s="1"/>
  <c r="L1711" i="53"/>
  <c r="E3809" i="53" s="1"/>
  <c r="K1711" i="53"/>
  <c r="D3809" i="53" s="1"/>
  <c r="J1711" i="53"/>
  <c r="C3809" i="53" s="1"/>
  <c r="Y1566" i="53"/>
  <c r="R3808" i="53" s="1"/>
  <c r="X1566" i="53"/>
  <c r="Q3808" i="53" s="1"/>
  <c r="W1566" i="53"/>
  <c r="V1566" i="53"/>
  <c r="O3808" i="53" s="1"/>
  <c r="U1566" i="53"/>
  <c r="N3808" i="53" s="1"/>
  <c r="T1566" i="53"/>
  <c r="M3808" i="53" s="1"/>
  <c r="S1566" i="53"/>
  <c r="L3808" i="53" s="1"/>
  <c r="R1566" i="53"/>
  <c r="K3808" i="53" s="1"/>
  <c r="Q1566" i="53"/>
  <c r="J3808" i="53" s="1"/>
  <c r="P1566" i="53"/>
  <c r="I3808" i="53" s="1"/>
  <c r="O1566" i="53"/>
  <c r="H3808" i="53" s="1"/>
  <c r="N1566" i="53"/>
  <c r="G3808" i="53" s="1"/>
  <c r="M1566" i="53"/>
  <c r="F3808" i="53" s="1"/>
  <c r="L1566" i="53"/>
  <c r="E3808" i="53" s="1"/>
  <c r="K1566" i="53"/>
  <c r="D3808" i="53" s="1"/>
  <c r="J1566" i="53"/>
  <c r="C3808" i="53" s="1"/>
  <c r="Y1406" i="53"/>
  <c r="R3807" i="53" s="1"/>
  <c r="X1406" i="53"/>
  <c r="Q3807" i="53" s="1"/>
  <c r="W1406" i="53"/>
  <c r="P3807" i="53" s="1"/>
  <c r="V1406" i="53"/>
  <c r="O3807" i="53" s="1"/>
  <c r="U1406" i="53"/>
  <c r="N3807" i="53" s="1"/>
  <c r="T1406" i="53"/>
  <c r="M3807" i="53" s="1"/>
  <c r="S1406" i="53"/>
  <c r="L3807" i="53" s="1"/>
  <c r="R1406" i="53"/>
  <c r="K3807" i="53" s="1"/>
  <c r="Q1406" i="53"/>
  <c r="J3807" i="53" s="1"/>
  <c r="P1406" i="53"/>
  <c r="I3807" i="53" s="1"/>
  <c r="O1406" i="53"/>
  <c r="H3807" i="53" s="1"/>
  <c r="N1406" i="53"/>
  <c r="G3807" i="53" s="1"/>
  <c r="M1406" i="53"/>
  <c r="F3807" i="53" s="1"/>
  <c r="L1406" i="53"/>
  <c r="E3807" i="53" s="1"/>
  <c r="K1406" i="53"/>
  <c r="D3807" i="53" s="1"/>
  <c r="J1406" i="53"/>
  <c r="C3807" i="53" s="1"/>
  <c r="Y947" i="53"/>
  <c r="R3805" i="53" s="1"/>
  <c r="X947" i="53"/>
  <c r="Q3805" i="53" s="1"/>
  <c r="W947" i="53"/>
  <c r="V947" i="53"/>
  <c r="O3805" i="53" s="1"/>
  <c r="U947" i="53"/>
  <c r="N3805" i="53" s="1"/>
  <c r="T947" i="53"/>
  <c r="M3805" i="53" s="1"/>
  <c r="S947" i="53"/>
  <c r="L3805" i="53" s="1"/>
  <c r="R947" i="53"/>
  <c r="K3805" i="53" s="1"/>
  <c r="Q947" i="53"/>
  <c r="J3805" i="53" s="1"/>
  <c r="P947" i="53"/>
  <c r="I3805" i="53" s="1"/>
  <c r="O947" i="53"/>
  <c r="H3805" i="53" s="1"/>
  <c r="N947" i="53"/>
  <c r="G3805" i="53" s="1"/>
  <c r="M947" i="53"/>
  <c r="F3805" i="53" s="1"/>
  <c r="L947" i="53"/>
  <c r="E3805" i="53" s="1"/>
  <c r="K947" i="53"/>
  <c r="D3805" i="53" s="1"/>
  <c r="J947" i="53"/>
  <c r="C3805" i="53" s="1"/>
  <c r="Y837" i="53"/>
  <c r="R3804" i="53" s="1"/>
  <c r="X837" i="53"/>
  <c r="Q3804" i="53" s="1"/>
  <c r="W837" i="53"/>
  <c r="V837" i="53"/>
  <c r="O3804" i="53" s="1"/>
  <c r="U837" i="53"/>
  <c r="N3804" i="53" s="1"/>
  <c r="T837" i="53"/>
  <c r="M3804" i="53" s="1"/>
  <c r="S837" i="53"/>
  <c r="L3804" i="53" s="1"/>
  <c r="R837" i="53"/>
  <c r="K3804" i="53" s="1"/>
  <c r="Q837" i="53"/>
  <c r="J3804" i="53" s="1"/>
  <c r="P837" i="53"/>
  <c r="I3804" i="53" s="1"/>
  <c r="O837" i="53"/>
  <c r="H3804" i="53" s="1"/>
  <c r="N837" i="53"/>
  <c r="G3804" i="53" s="1"/>
  <c r="M837" i="53"/>
  <c r="F3804" i="53" s="1"/>
  <c r="L837" i="53"/>
  <c r="E3804" i="53" s="1"/>
  <c r="K837" i="53"/>
  <c r="D3804" i="53" s="1"/>
  <c r="J837" i="53"/>
  <c r="C3804" i="53" s="1"/>
  <c r="Y654" i="53"/>
  <c r="R3803" i="53" s="1"/>
  <c r="X654" i="53"/>
  <c r="Q3803" i="53" s="1"/>
  <c r="W654" i="53"/>
  <c r="V654" i="53"/>
  <c r="O3803" i="53" s="1"/>
  <c r="U654" i="53"/>
  <c r="N3803" i="53" s="1"/>
  <c r="T654" i="53"/>
  <c r="M3803" i="53" s="1"/>
  <c r="S654" i="53"/>
  <c r="L3803" i="53" s="1"/>
  <c r="R654" i="53"/>
  <c r="K3803" i="53" s="1"/>
  <c r="Q654" i="53"/>
  <c r="J3803" i="53" s="1"/>
  <c r="P654" i="53"/>
  <c r="I3803" i="53" s="1"/>
  <c r="O654" i="53"/>
  <c r="H3803" i="53" s="1"/>
  <c r="N654" i="53"/>
  <c r="G3803" i="53" s="1"/>
  <c r="M654" i="53"/>
  <c r="F3803" i="53" s="1"/>
  <c r="L654" i="53"/>
  <c r="E3803" i="53" s="1"/>
  <c r="K654" i="53"/>
  <c r="D3803" i="53" s="1"/>
  <c r="J654" i="53"/>
  <c r="C3803" i="53" s="1"/>
  <c r="Y510" i="53"/>
  <c r="R3802" i="53" s="1"/>
  <c r="X510" i="53"/>
  <c r="Q3802" i="53" s="1"/>
  <c r="W510" i="53"/>
  <c r="V510" i="53"/>
  <c r="O3802" i="53" s="1"/>
  <c r="U510" i="53"/>
  <c r="N3802" i="53" s="1"/>
  <c r="T510" i="53"/>
  <c r="M3802" i="53" s="1"/>
  <c r="S510" i="53"/>
  <c r="L3802" i="53" s="1"/>
  <c r="R510" i="53"/>
  <c r="K3802" i="53" s="1"/>
  <c r="Q510" i="53"/>
  <c r="J3802" i="53" s="1"/>
  <c r="P510" i="53"/>
  <c r="I3802" i="53" s="1"/>
  <c r="O510" i="53"/>
  <c r="H3802" i="53" s="1"/>
  <c r="N510" i="53"/>
  <c r="G3802" i="53" s="1"/>
  <c r="M510" i="53"/>
  <c r="F3802" i="53" s="1"/>
  <c r="L510" i="53"/>
  <c r="E3802" i="53" s="1"/>
  <c r="K510" i="53"/>
  <c r="D3802" i="53" s="1"/>
  <c r="J510" i="53"/>
  <c r="C3802" i="53" s="1"/>
  <c r="Y202" i="53"/>
  <c r="R3801" i="53" s="1"/>
  <c r="X202" i="53"/>
  <c r="Q3801" i="53" s="1"/>
  <c r="W202" i="53"/>
  <c r="V202" i="53"/>
  <c r="O3801" i="53" s="1"/>
  <c r="U202" i="53"/>
  <c r="N3801" i="53" s="1"/>
  <c r="T202" i="53"/>
  <c r="M3801" i="53" s="1"/>
  <c r="S202" i="53"/>
  <c r="L3801" i="53" s="1"/>
  <c r="R202" i="53"/>
  <c r="K3801" i="53" s="1"/>
  <c r="Q202" i="53"/>
  <c r="J3801" i="53" s="1"/>
  <c r="P202" i="53"/>
  <c r="I3801" i="53" s="1"/>
  <c r="O202" i="53"/>
  <c r="H3801" i="53" s="1"/>
  <c r="N202" i="53"/>
  <c r="G3801" i="53" s="1"/>
  <c r="M202" i="53"/>
  <c r="F3801" i="53" s="1"/>
  <c r="L202" i="53"/>
  <c r="E3801" i="53" s="1"/>
  <c r="K202" i="53"/>
  <c r="D3801" i="53" s="1"/>
  <c r="J202" i="53"/>
  <c r="C3801" i="53" s="1"/>
  <c r="Y136" i="53"/>
  <c r="R3800" i="53" s="1"/>
  <c r="X136" i="53"/>
  <c r="Q3800" i="53" s="1"/>
  <c r="W136" i="53"/>
  <c r="V136" i="53"/>
  <c r="O3800" i="53" s="1"/>
  <c r="U136" i="53"/>
  <c r="N3800" i="53" s="1"/>
  <c r="T136" i="53"/>
  <c r="M3800" i="53" s="1"/>
  <c r="S136" i="53"/>
  <c r="L3800" i="53" s="1"/>
  <c r="R136" i="53"/>
  <c r="K3800" i="53" s="1"/>
  <c r="Q136" i="53"/>
  <c r="J3800" i="53" s="1"/>
  <c r="P136" i="53"/>
  <c r="I3800" i="53" s="1"/>
  <c r="O136" i="53"/>
  <c r="H3800" i="53" s="1"/>
  <c r="N136" i="53"/>
  <c r="G3800" i="53" s="1"/>
  <c r="M136" i="53"/>
  <c r="F3800" i="53" s="1"/>
  <c r="L136" i="53"/>
  <c r="E3800" i="53" s="1"/>
  <c r="K136" i="53"/>
  <c r="D3800" i="53" s="1"/>
  <c r="J136" i="53"/>
  <c r="C3800" i="53" s="1"/>
  <c r="Y68" i="53"/>
  <c r="R3799" i="53" s="1"/>
  <c r="X68" i="53"/>
  <c r="Q3799" i="53" s="1"/>
  <c r="W68" i="53"/>
  <c r="P3799" i="53" s="1"/>
  <c r="V68" i="53"/>
  <c r="O3799" i="53" s="1"/>
  <c r="U68" i="53"/>
  <c r="N3799" i="53" s="1"/>
  <c r="T68" i="53"/>
  <c r="M3799" i="53" s="1"/>
  <c r="S68" i="53"/>
  <c r="L3799" i="53" s="1"/>
  <c r="R68" i="53"/>
  <c r="K3799" i="53" s="1"/>
  <c r="Q68" i="53"/>
  <c r="J3799" i="53" s="1"/>
  <c r="P68" i="53"/>
  <c r="I3799" i="53" s="1"/>
  <c r="O68" i="53"/>
  <c r="H3799" i="53" s="1"/>
  <c r="N68" i="53"/>
  <c r="G3799" i="53" s="1"/>
  <c r="M68" i="53"/>
  <c r="F3799" i="53" s="1"/>
  <c r="L68" i="53"/>
  <c r="E3799" i="53" s="1"/>
  <c r="K68" i="53"/>
  <c r="D3799" i="53" s="1"/>
  <c r="J68" i="53"/>
  <c r="C3799" i="53" s="1"/>
  <c r="K1187" i="26"/>
  <c r="L1187" i="26" s="1"/>
  <c r="M1187" i="26" s="1"/>
  <c r="N1187" i="26" s="1"/>
  <c r="O1187" i="26" s="1"/>
  <c r="P1187" i="26" s="1"/>
  <c r="Q1187" i="26" s="1"/>
  <c r="R1187" i="26" s="1"/>
  <c r="S1187" i="26" s="1"/>
  <c r="T1187" i="26" s="1"/>
  <c r="U1187" i="26" s="1"/>
  <c r="V1187" i="26" s="1"/>
  <c r="W1187" i="26" s="1"/>
  <c r="X1187" i="26" s="1"/>
  <c r="Y1187" i="26" s="1"/>
  <c r="Y1185" i="26"/>
  <c r="Y1203" i="26" s="1"/>
  <c r="X1185" i="26"/>
  <c r="X1203" i="26" s="1"/>
  <c r="W1185" i="26"/>
  <c r="W1203" i="26" s="1"/>
  <c r="V1185" i="26"/>
  <c r="V1203" i="26" s="1"/>
  <c r="U1185" i="26"/>
  <c r="U1203" i="26" s="1"/>
  <c r="T1185" i="26"/>
  <c r="T1203" i="26" s="1"/>
  <c r="S1185" i="26"/>
  <c r="S1203" i="26" s="1"/>
  <c r="R1185" i="26"/>
  <c r="R1203" i="26" s="1"/>
  <c r="Q1185" i="26"/>
  <c r="Q1203" i="26" s="1"/>
  <c r="P1185" i="26"/>
  <c r="P1203" i="26" s="1"/>
  <c r="O1185" i="26"/>
  <c r="O1203" i="26" s="1"/>
  <c r="N1185" i="26"/>
  <c r="N1203" i="26" s="1"/>
  <c r="M1185" i="26"/>
  <c r="M1203" i="26" s="1"/>
  <c r="L1185" i="26"/>
  <c r="L1203" i="26" s="1"/>
  <c r="K1185" i="26"/>
  <c r="K1203" i="26" s="1"/>
  <c r="J1185" i="26"/>
  <c r="Y1156" i="26"/>
  <c r="Y1202" i="26" s="1"/>
  <c r="X1156" i="26"/>
  <c r="X1202" i="26" s="1"/>
  <c r="W1156" i="26"/>
  <c r="W1202" i="26" s="1"/>
  <c r="V1156" i="26"/>
  <c r="V1202" i="26" s="1"/>
  <c r="U1156" i="26"/>
  <c r="U1202" i="26" s="1"/>
  <c r="T1156" i="26"/>
  <c r="T1202" i="26" s="1"/>
  <c r="S1156" i="26"/>
  <c r="S1202" i="26" s="1"/>
  <c r="R1156" i="26"/>
  <c r="R1202" i="26" s="1"/>
  <c r="Q1156" i="26"/>
  <c r="P1156" i="26"/>
  <c r="P1202" i="26" s="1"/>
  <c r="O1156" i="26"/>
  <c r="O1202" i="26" s="1"/>
  <c r="N1156" i="26"/>
  <c r="N1202" i="26" s="1"/>
  <c r="M1156" i="26"/>
  <c r="M1202" i="26" s="1"/>
  <c r="L1156" i="26"/>
  <c r="L1202" i="26" s="1"/>
  <c r="K1156" i="26"/>
  <c r="J1156" i="26"/>
  <c r="C62" i="29"/>
  <c r="C60" i="29"/>
  <c r="C59" i="29"/>
  <c r="C58" i="29"/>
  <c r="C57" i="29"/>
  <c r="C56" i="29"/>
  <c r="J21" i="29"/>
  <c r="C55" i="29" s="1"/>
  <c r="J14" i="29"/>
  <c r="G93" i="36"/>
  <c r="J66" i="36"/>
  <c r="J57" i="36" s="1"/>
  <c r="AI284" i="110"/>
  <c r="AI283" i="110"/>
  <c r="AI282" i="110"/>
  <c r="AI281" i="110"/>
  <c r="AI280" i="110"/>
  <c r="L85" i="110"/>
  <c r="K85" i="110"/>
  <c r="J85" i="110"/>
  <c r="I85" i="110"/>
  <c r="H85" i="110"/>
  <c r="G85" i="110"/>
  <c r="F85" i="110"/>
  <c r="E85" i="110"/>
  <c r="D85" i="110"/>
  <c r="J16" i="110"/>
  <c r="I16" i="110"/>
  <c r="I50" i="110" s="1"/>
  <c r="P11" i="35"/>
  <c r="O11" i="35"/>
  <c r="N11" i="35"/>
  <c r="M11" i="35"/>
  <c r="L11" i="35"/>
  <c r="K11" i="35"/>
  <c r="J11" i="35"/>
  <c r="I11" i="35"/>
  <c r="H11" i="35"/>
  <c r="G11" i="35"/>
  <c r="F11" i="35"/>
  <c r="E11" i="35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Q110" i="34"/>
  <c r="P110" i="34"/>
  <c r="O110" i="34"/>
  <c r="N110" i="34"/>
  <c r="M110" i="34"/>
  <c r="L110" i="34"/>
  <c r="K110" i="34"/>
  <c r="J110" i="34"/>
  <c r="I110" i="34"/>
  <c r="H110" i="34"/>
  <c r="G110" i="34"/>
  <c r="G136" i="34" s="1"/>
  <c r="F110" i="34"/>
  <c r="E110" i="34"/>
  <c r="D110" i="34"/>
  <c r="Q108" i="34"/>
  <c r="P108" i="34"/>
  <c r="O108" i="34"/>
  <c r="N108" i="34"/>
  <c r="M108" i="34"/>
  <c r="M134" i="34" s="1"/>
  <c r="L108" i="34"/>
  <c r="K108" i="34"/>
  <c r="J108" i="34"/>
  <c r="I108" i="34"/>
  <c r="H108" i="34"/>
  <c r="G108" i="34"/>
  <c r="F108" i="34"/>
  <c r="E108" i="34"/>
  <c r="E134" i="34" s="1"/>
  <c r="D108" i="34"/>
  <c r="D134" i="34" s="1"/>
  <c r="D20" i="36" s="1"/>
  <c r="D128" i="36" s="1"/>
  <c r="Q102" i="34"/>
  <c r="P102" i="34"/>
  <c r="P128" i="34" s="1"/>
  <c r="O102" i="34"/>
  <c r="O128" i="34" s="1"/>
  <c r="N102" i="34"/>
  <c r="M102" i="34"/>
  <c r="M128" i="34" s="1"/>
  <c r="L102" i="34"/>
  <c r="K102" i="34"/>
  <c r="J102" i="34"/>
  <c r="I102" i="34"/>
  <c r="H102" i="34"/>
  <c r="H128" i="34" s="1"/>
  <c r="G102" i="34"/>
  <c r="G128" i="34" s="1"/>
  <c r="F102" i="34"/>
  <c r="E102" i="34"/>
  <c r="E128" i="34" s="1"/>
  <c r="D102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D117" i="34" s="1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D116" i="34" s="1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Q86" i="34"/>
  <c r="P86" i="34"/>
  <c r="O86" i="34"/>
  <c r="N86" i="34"/>
  <c r="M86" i="34"/>
  <c r="L86" i="34"/>
  <c r="K86" i="34"/>
  <c r="J86" i="34"/>
  <c r="I86" i="34"/>
  <c r="H86" i="34"/>
  <c r="F86" i="34"/>
  <c r="E86" i="34"/>
  <c r="D86" i="34"/>
  <c r="Q85" i="34"/>
  <c r="P85" i="34"/>
  <c r="O85" i="34"/>
  <c r="N113" i="34"/>
  <c r="N105" i="34" s="1"/>
  <c r="N131" i="34" s="1"/>
  <c r="N17" i="36" s="1"/>
  <c r="M85" i="34"/>
  <c r="L85" i="34"/>
  <c r="K85" i="34"/>
  <c r="J85" i="34"/>
  <c r="I85" i="34"/>
  <c r="H85" i="34"/>
  <c r="G85" i="34"/>
  <c r="F85" i="34"/>
  <c r="E85" i="34"/>
  <c r="D85" i="34"/>
  <c r="Q128" i="34"/>
  <c r="I128" i="34"/>
  <c r="M84" i="34"/>
  <c r="L84" i="34"/>
  <c r="K84" i="34"/>
  <c r="J84" i="34"/>
  <c r="Q64" i="34"/>
  <c r="P64" i="34"/>
  <c r="O64" i="34"/>
  <c r="N64" i="34"/>
  <c r="M64" i="34"/>
  <c r="L64" i="34"/>
  <c r="K64" i="34"/>
  <c r="K119" i="34" s="1"/>
  <c r="J64" i="34"/>
  <c r="I64" i="34"/>
  <c r="H64" i="34"/>
  <c r="G64" i="34"/>
  <c r="F64" i="34"/>
  <c r="E64" i="34"/>
  <c r="D64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Q62" i="34"/>
  <c r="Q117" i="34" s="1"/>
  <c r="P62" i="34"/>
  <c r="O62" i="34"/>
  <c r="N62" i="34"/>
  <c r="M62" i="34"/>
  <c r="L62" i="34"/>
  <c r="K62" i="34"/>
  <c r="J62" i="34"/>
  <c r="I62" i="34"/>
  <c r="I117" i="34" s="1"/>
  <c r="H62" i="34"/>
  <c r="G62" i="34"/>
  <c r="F62" i="34"/>
  <c r="E62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47" i="83" l="1"/>
  <c r="E26" i="56"/>
  <c r="O26" i="56"/>
  <c r="M27" i="56"/>
  <c r="M28" i="56"/>
  <c r="T28" i="56"/>
  <c r="AB28" i="56"/>
  <c r="AA28" i="56"/>
  <c r="U28" i="56"/>
  <c r="AC28" i="56"/>
  <c r="S28" i="56"/>
  <c r="V28" i="56"/>
  <c r="AD28" i="56"/>
  <c r="W28" i="56"/>
  <c r="AE28" i="56"/>
  <c r="X28" i="56"/>
  <c r="AF28" i="56"/>
  <c r="Z28" i="56"/>
  <c r="Y28" i="56"/>
  <c r="AG28" i="56"/>
  <c r="AH28" i="56"/>
  <c r="F26" i="56"/>
  <c r="Q26" i="56"/>
  <c r="N27" i="56"/>
  <c r="L29" i="56"/>
  <c r="S29" i="56"/>
  <c r="T29" i="56"/>
  <c r="AB29" i="56"/>
  <c r="U29" i="56"/>
  <c r="AC29" i="56"/>
  <c r="Z29" i="56"/>
  <c r="V29" i="56"/>
  <c r="AD29" i="56"/>
  <c r="W29" i="56"/>
  <c r="AE29" i="56"/>
  <c r="AH29" i="56"/>
  <c r="X29" i="56"/>
  <c r="AF29" i="56"/>
  <c r="Y29" i="56"/>
  <c r="AG29" i="56"/>
  <c r="AA29" i="56"/>
  <c r="C27" i="56"/>
  <c r="G28" i="56"/>
  <c r="L26" i="56"/>
  <c r="S26" i="56"/>
  <c r="AA26" i="56"/>
  <c r="T26" i="56"/>
  <c r="AB26" i="56"/>
  <c r="U26" i="56"/>
  <c r="AC26" i="56"/>
  <c r="V26" i="56"/>
  <c r="AD26" i="56"/>
  <c r="W26" i="56"/>
  <c r="AE26" i="56"/>
  <c r="AH26" i="56"/>
  <c r="X26" i="56"/>
  <c r="AF26" i="56"/>
  <c r="Y26" i="56"/>
  <c r="AG26" i="56"/>
  <c r="Z26" i="56"/>
  <c r="J26" i="56"/>
  <c r="O28" i="56"/>
  <c r="L27" i="56"/>
  <c r="S27" i="56"/>
  <c r="AA27" i="56"/>
  <c r="T27" i="56"/>
  <c r="AB27" i="56"/>
  <c r="AH27" i="56"/>
  <c r="U27" i="56"/>
  <c r="AC27" i="56"/>
  <c r="V27" i="56"/>
  <c r="AD27" i="56"/>
  <c r="Z27" i="56"/>
  <c r="W27" i="56"/>
  <c r="AE27" i="56"/>
  <c r="X27" i="56"/>
  <c r="AF27" i="56"/>
  <c r="Y27" i="56"/>
  <c r="AG27" i="56"/>
  <c r="K26" i="56"/>
  <c r="F27" i="56"/>
  <c r="E29" i="56"/>
  <c r="M26" i="56"/>
  <c r="G27" i="56"/>
  <c r="G29" i="56"/>
  <c r="C26" i="56"/>
  <c r="N26" i="56"/>
  <c r="K27" i="56"/>
  <c r="M29" i="56"/>
  <c r="I119" i="34"/>
  <c r="I5" i="110" s="1"/>
  <c r="I39" i="110" s="1"/>
  <c r="Q119" i="34"/>
  <c r="Q5" i="36" s="1"/>
  <c r="D3" i="22" a="1"/>
  <c r="E119" i="34"/>
  <c r="E5" i="110" s="1"/>
  <c r="E39" i="110" s="1"/>
  <c r="M119" i="34"/>
  <c r="M5" i="36" s="1"/>
  <c r="F119" i="34"/>
  <c r="F5" i="110" s="1"/>
  <c r="F39" i="110" s="1"/>
  <c r="N119" i="34"/>
  <c r="N5" i="110" s="1"/>
  <c r="N39" i="110" s="1"/>
  <c r="K117" i="34"/>
  <c r="AP37" i="110" s="1"/>
  <c r="AP90" i="110" s="1"/>
  <c r="O119" i="34"/>
  <c r="O5" i="36" s="1"/>
  <c r="G119" i="34"/>
  <c r="G5" i="110" s="1"/>
  <c r="G39" i="110" s="1"/>
  <c r="J119" i="34"/>
  <c r="J5" i="36" s="1"/>
  <c r="L119" i="34"/>
  <c r="H119" i="34"/>
  <c r="H5" i="110" s="1"/>
  <c r="H39" i="110" s="1"/>
  <c r="P119" i="34"/>
  <c r="P5" i="110" s="1"/>
  <c r="P39" i="110" s="1"/>
  <c r="H117" i="34"/>
  <c r="AM37" i="110" s="1"/>
  <c r="P117" i="34"/>
  <c r="AU37" i="110" s="1"/>
  <c r="K124" i="34"/>
  <c r="F117" i="34"/>
  <c r="AK37" i="110" s="1"/>
  <c r="N117" i="34"/>
  <c r="AS37" i="110" s="1"/>
  <c r="G117" i="34"/>
  <c r="AL37" i="110" s="1"/>
  <c r="O117" i="34"/>
  <c r="AT37" i="110" s="1"/>
  <c r="J117" i="34"/>
  <c r="AO37" i="110" s="1"/>
  <c r="E117" i="34"/>
  <c r="AJ37" i="110" s="1"/>
  <c r="M117" i="34"/>
  <c r="AR37" i="110" s="1"/>
  <c r="L117" i="34"/>
  <c r="AQ37" i="110" s="1"/>
  <c r="F128" i="34"/>
  <c r="N128" i="34"/>
  <c r="D136" i="34"/>
  <c r="D22" i="36" s="1"/>
  <c r="D128" i="34"/>
  <c r="L128" i="34"/>
  <c r="O136" i="34"/>
  <c r="O12" i="110" s="1"/>
  <c r="O46" i="110" s="1"/>
  <c r="J128" i="34"/>
  <c r="J14" i="36" s="1"/>
  <c r="D129" i="34"/>
  <c r="D15" i="36" s="1"/>
  <c r="K128" i="34"/>
  <c r="K9" i="110" s="1"/>
  <c r="G113" i="34"/>
  <c r="O113" i="34"/>
  <c r="O105" i="34" s="1"/>
  <c r="O131" i="34" s="1"/>
  <c r="O17" i="36" s="1"/>
  <c r="H113" i="34"/>
  <c r="H105" i="34" s="1"/>
  <c r="H131" i="34" s="1"/>
  <c r="H17" i="36" s="1"/>
  <c r="P113" i="34"/>
  <c r="P105" i="34" s="1"/>
  <c r="P131" i="34" s="1"/>
  <c r="P17" i="36" s="1"/>
  <c r="F113" i="34"/>
  <c r="F105" i="34" s="1"/>
  <c r="F131" i="34" s="1"/>
  <c r="F17" i="36" s="1"/>
  <c r="I113" i="34"/>
  <c r="I105" i="34" s="1"/>
  <c r="I131" i="34" s="1"/>
  <c r="I17" i="36" s="1"/>
  <c r="Q113" i="34"/>
  <c r="Q105" i="34" s="1"/>
  <c r="Q131" i="34" s="1"/>
  <c r="Q17" i="36" s="1"/>
  <c r="L113" i="34"/>
  <c r="L105" i="34" s="1"/>
  <c r="L131" i="34" s="1"/>
  <c r="L17" i="36" s="1"/>
  <c r="M113" i="34"/>
  <c r="M105" i="34" s="1"/>
  <c r="M131" i="34" s="1"/>
  <c r="M17" i="36" s="1"/>
  <c r="N109" i="34"/>
  <c r="N135" i="34" s="1"/>
  <c r="N21" i="36" s="1"/>
  <c r="N99" i="34"/>
  <c r="N125" i="34" s="1"/>
  <c r="N11" i="36" s="1"/>
  <c r="N95" i="34"/>
  <c r="N121" i="34" s="1"/>
  <c r="BE205" i="110"/>
  <c r="AZ205" i="110"/>
  <c r="BF205" i="110"/>
  <c r="AX214" i="110"/>
  <c r="BD214" i="110"/>
  <c r="BC205" i="110"/>
  <c r="AX183" i="110"/>
  <c r="BF174" i="110"/>
  <c r="AA212" i="110" s="1"/>
  <c r="AY173" i="110"/>
  <c r="AX172" i="110"/>
  <c r="AZ175" i="110"/>
  <c r="BA171" i="110"/>
  <c r="BE201" i="110"/>
  <c r="AZ201" i="110"/>
  <c r="BF201" i="110"/>
  <c r="AX210" i="110"/>
  <c r="BD210" i="110"/>
  <c r="BC201" i="110"/>
  <c r="BE187" i="110"/>
  <c r="AZ187" i="110"/>
  <c r="BC187" i="110"/>
  <c r="BA178" i="110"/>
  <c r="V216" i="110" s="1"/>
  <c r="AY171" i="110"/>
  <c r="AX173" i="110"/>
  <c r="AZ173" i="110"/>
  <c r="BA177" i="110"/>
  <c r="AZ176" i="110"/>
  <c r="BE214" i="110"/>
  <c r="BC214" i="110"/>
  <c r="BB205" i="110"/>
  <c r="BA205" i="110"/>
  <c r="BE183" i="110"/>
  <c r="AZ183" i="110"/>
  <c r="BC183" i="110"/>
  <c r="BA174" i="110"/>
  <c r="V212" i="110" s="1"/>
  <c r="AY172" i="110"/>
  <c r="AZ172" i="110"/>
  <c r="AW177" i="110"/>
  <c r="BA176" i="110"/>
  <c r="BE210" i="110"/>
  <c r="BC210" i="110"/>
  <c r="BB201" i="110"/>
  <c r="BA201" i="110"/>
  <c r="BA187" i="110"/>
  <c r="BB187" i="110"/>
  <c r="AY177" i="110"/>
  <c r="AZ171" i="110"/>
  <c r="AW176" i="110"/>
  <c r="BA175" i="110"/>
  <c r="AX176" i="110"/>
  <c r="BG205" i="110"/>
  <c r="BG214" i="110"/>
  <c r="AX205" i="110"/>
  <c r="BB214" i="110"/>
  <c r="AW205" i="110"/>
  <c r="BF214" i="110"/>
  <c r="BA183" i="110"/>
  <c r="BB183" i="110"/>
  <c r="AX177" i="110"/>
  <c r="AZ177" i="110"/>
  <c r="AW172" i="110"/>
  <c r="AW175" i="110"/>
  <c r="BG201" i="110"/>
  <c r="BG210" i="110"/>
  <c r="AX201" i="110"/>
  <c r="BB210" i="110"/>
  <c r="AW201" i="110"/>
  <c r="BF210" i="110"/>
  <c r="BF187" i="110"/>
  <c r="AW187" i="110"/>
  <c r="AZ178" i="110"/>
  <c r="U216" i="110" s="1"/>
  <c r="AY214" i="110"/>
  <c r="AW214" i="110"/>
  <c r="BA214" i="110"/>
  <c r="AZ214" i="110"/>
  <c r="BF183" i="110"/>
  <c r="AW183" i="110"/>
  <c r="AZ174" i="110"/>
  <c r="U212" i="110" s="1"/>
  <c r="AY176" i="110"/>
  <c r="AX171" i="110"/>
  <c r="AW173" i="110"/>
  <c r="BA173" i="110"/>
  <c r="AY210" i="110"/>
  <c r="AW210" i="110"/>
  <c r="BA210" i="110"/>
  <c r="AZ210" i="110"/>
  <c r="AX187" i="110"/>
  <c r="BF178" i="110"/>
  <c r="AA216" i="110" s="1"/>
  <c r="AY175" i="110"/>
  <c r="AX175" i="110"/>
  <c r="AW171" i="110"/>
  <c r="BA172" i="110"/>
  <c r="BG183" i="110"/>
  <c r="BC178" i="110"/>
  <c r="X216" i="110" s="1"/>
  <c r="AY178" i="110"/>
  <c r="T216" i="110" s="1"/>
  <c r="BB173" i="110"/>
  <c r="BE172" i="110"/>
  <c r="BG173" i="110"/>
  <c r="BF176" i="110"/>
  <c r="BE174" i="110"/>
  <c r="Z212" i="110" s="1"/>
  <c r="BB175" i="110"/>
  <c r="BD205" i="110"/>
  <c r="BC174" i="110"/>
  <c r="X212" i="110" s="1"/>
  <c r="AY174" i="110"/>
  <c r="T212" i="110" s="1"/>
  <c r="BE176" i="110"/>
  <c r="BC171" i="110"/>
  <c r="BG172" i="110"/>
  <c r="BD175" i="110"/>
  <c r="BF172" i="110"/>
  <c r="BD201" i="110"/>
  <c r="BD187" i="110"/>
  <c r="AY187" i="110"/>
  <c r="BD178" i="110"/>
  <c r="Y216" i="110" s="1"/>
  <c r="BB178" i="110"/>
  <c r="W216" i="110" s="1"/>
  <c r="BE173" i="110"/>
  <c r="BC176" i="110"/>
  <c r="BG177" i="110"/>
  <c r="BD177" i="110"/>
  <c r="BF175" i="110"/>
  <c r="AW174" i="110"/>
  <c r="R212" i="110" s="1"/>
  <c r="BE177" i="110"/>
  <c r="BG175" i="110"/>
  <c r="AY205" i="110"/>
  <c r="BD183" i="110"/>
  <c r="AY183" i="110"/>
  <c r="BD174" i="110"/>
  <c r="Y212" i="110" s="1"/>
  <c r="BB174" i="110"/>
  <c r="W212" i="110" s="1"/>
  <c r="BG187" i="110"/>
  <c r="BB172" i="110"/>
  <c r="BE175" i="110"/>
  <c r="BC177" i="110"/>
  <c r="BD173" i="110"/>
  <c r="BF173" i="110"/>
  <c r="AY201" i="110"/>
  <c r="AX178" i="110"/>
  <c r="S216" i="110" s="1"/>
  <c r="BG178" i="110"/>
  <c r="AB216" i="110" s="1"/>
  <c r="BB171" i="110"/>
  <c r="BE171" i="110"/>
  <c r="BC175" i="110"/>
  <c r="BD176" i="110"/>
  <c r="BF171" i="110"/>
  <c r="BF177" i="110"/>
  <c r="AX174" i="110"/>
  <c r="S212" i="110" s="1"/>
  <c r="BG174" i="110"/>
  <c r="AB212" i="110" s="1"/>
  <c r="BB177" i="110"/>
  <c r="BC173" i="110"/>
  <c r="BG176" i="110"/>
  <c r="BD172" i="110"/>
  <c r="AW178" i="110"/>
  <c r="R216" i="110" s="1"/>
  <c r="BE178" i="110"/>
  <c r="Z216" i="110" s="1"/>
  <c r="BB176" i="110"/>
  <c r="BC172" i="110"/>
  <c r="BG171" i="110"/>
  <c r="BD171" i="110"/>
  <c r="R148" i="36"/>
  <c r="S148" i="36"/>
  <c r="T148" i="36"/>
  <c r="U148" i="36"/>
  <c r="V148" i="36"/>
  <c r="W148" i="36"/>
  <c r="X148" i="36"/>
  <c r="Y148" i="36"/>
  <c r="Z148" i="36"/>
  <c r="AA148" i="36"/>
  <c r="AB148" i="36"/>
  <c r="J124" i="34"/>
  <c r="J10" i="36" s="1"/>
  <c r="I197" i="110"/>
  <c r="I199" i="110"/>
  <c r="I203" i="110"/>
  <c r="I202" i="110"/>
  <c r="I198" i="110"/>
  <c r="I201" i="110"/>
  <c r="CJ419" i="110"/>
  <c r="CI418" i="110"/>
  <c r="CF424" i="110"/>
  <c r="X125" i="112" s="1"/>
  <c r="CI422" i="110"/>
  <c r="CE420" i="110"/>
  <c r="W125" i="111" s="1"/>
  <c r="W125" i="141" s="1"/>
  <c r="BZ417" i="110"/>
  <c r="CE418" i="110"/>
  <c r="CC417" i="110"/>
  <c r="CD423" i="110"/>
  <c r="CA419" i="110"/>
  <c r="CB422" i="110"/>
  <c r="CH422" i="110"/>
  <c r="CI424" i="110"/>
  <c r="AA125" i="112" s="1"/>
  <c r="AA125" i="142" s="1"/>
  <c r="CB417" i="110"/>
  <c r="CH419" i="110"/>
  <c r="CE421" i="110"/>
  <c r="CC420" i="110"/>
  <c r="U125" i="111" s="1"/>
  <c r="U125" i="141" s="1"/>
  <c r="CB420" i="110"/>
  <c r="T125" i="111" s="1"/>
  <c r="T125" i="141" s="1"/>
  <c r="CH424" i="110"/>
  <c r="Z125" i="112" s="1"/>
  <c r="Z125" i="142" s="1"/>
  <c r="CI419" i="110"/>
  <c r="CH423" i="110"/>
  <c r="CF418" i="110"/>
  <c r="BZ423" i="110"/>
  <c r="CC419" i="110"/>
  <c r="CB418" i="110"/>
  <c r="CH421" i="110"/>
  <c r="BZ420" i="110"/>
  <c r="R125" i="111" s="1"/>
  <c r="R125" i="141" s="1"/>
  <c r="CB421" i="110"/>
  <c r="CA424" i="110"/>
  <c r="S125" i="112" s="1"/>
  <c r="S125" i="142" s="1"/>
  <c r="CA421" i="110"/>
  <c r="CC422" i="110"/>
  <c r="CF423" i="110"/>
  <c r="CI421" i="110"/>
  <c r="CD419" i="110"/>
  <c r="CC418" i="110"/>
  <c r="BZ421" i="110"/>
  <c r="CA420" i="110"/>
  <c r="S125" i="111" s="1"/>
  <c r="S125" i="141" s="1"/>
  <c r="CH418" i="110"/>
  <c r="CD424" i="110"/>
  <c r="V125" i="112" s="1"/>
  <c r="CF419" i="110"/>
  <c r="CJ422" i="110"/>
  <c r="CE417" i="110"/>
  <c r="CJ423" i="110"/>
  <c r="CF417" i="110"/>
  <c r="CI417" i="110"/>
  <c r="CE419" i="110"/>
  <c r="CC424" i="110"/>
  <c r="U125" i="112" s="1"/>
  <c r="BZ422" i="110"/>
  <c r="CC421" i="110"/>
  <c r="CJ421" i="110"/>
  <c r="CI423" i="110"/>
  <c r="CH417" i="110"/>
  <c r="CJ418" i="110"/>
  <c r="CA423" i="110"/>
  <c r="CC423" i="110"/>
  <c r="CB419" i="110"/>
  <c r="CD418" i="110"/>
  <c r="CA418" i="110"/>
  <c r="CE422" i="110"/>
  <c r="CG421" i="110"/>
  <c r="CI420" i="110"/>
  <c r="AA125" i="111" s="1"/>
  <c r="AA125" i="141" s="1"/>
  <c r="CH420" i="110"/>
  <c r="Z125" i="111" s="1"/>
  <c r="Z125" i="141" s="1"/>
  <c r="CD422" i="110"/>
  <c r="CJ417" i="110"/>
  <c r="CD421" i="110"/>
  <c r="CE424" i="110"/>
  <c r="W125" i="112" s="1"/>
  <c r="CA417" i="110"/>
  <c r="CF422" i="110"/>
  <c r="CD420" i="110"/>
  <c r="V125" i="111" s="1"/>
  <c r="V125" i="141" s="1"/>
  <c r="CF420" i="110"/>
  <c r="X125" i="111" s="1"/>
  <c r="X125" i="141" s="1"/>
  <c r="CB424" i="110"/>
  <c r="T125" i="112" s="1"/>
  <c r="T125" i="142" s="1"/>
  <c r="CG419" i="110"/>
  <c r="CB423" i="110"/>
  <c r="CD417" i="110"/>
  <c r="BZ418" i="110"/>
  <c r="BZ419" i="110"/>
  <c r="CF421" i="110"/>
  <c r="CJ420" i="110"/>
  <c r="AB125" i="111" s="1"/>
  <c r="AB125" i="141" s="1"/>
  <c r="CE423" i="110"/>
  <c r="CJ424" i="110"/>
  <c r="AB125" i="112" s="1"/>
  <c r="BZ424" i="110"/>
  <c r="R125" i="112" s="1"/>
  <c r="R125" i="142" s="1"/>
  <c r="CA422" i="110"/>
  <c r="CG424" i="110"/>
  <c r="Y125" i="112" s="1"/>
  <c r="CG418" i="110"/>
  <c r="CG423" i="110"/>
  <c r="CG422" i="110"/>
  <c r="CG420" i="110"/>
  <c r="Y125" i="111" s="1"/>
  <c r="Y125" i="141" s="1"/>
  <c r="CG417" i="110"/>
  <c r="R202" i="110"/>
  <c r="Q198" i="110"/>
  <c r="S199" i="110"/>
  <c r="AA202" i="110"/>
  <c r="Z201" i="110"/>
  <c r="P202" i="110"/>
  <c r="W197" i="110"/>
  <c r="O199" i="110"/>
  <c r="V199" i="110"/>
  <c r="N203" i="110"/>
  <c r="X199" i="110"/>
  <c r="U198" i="110"/>
  <c r="AB197" i="110"/>
  <c r="T203" i="110"/>
  <c r="R203" i="110"/>
  <c r="Q201" i="110"/>
  <c r="S201" i="110"/>
  <c r="AA203" i="110"/>
  <c r="Z198" i="110"/>
  <c r="P203" i="110"/>
  <c r="W198" i="110"/>
  <c r="O201" i="110"/>
  <c r="V201" i="110"/>
  <c r="N202" i="110"/>
  <c r="X201" i="110"/>
  <c r="U201" i="110"/>
  <c r="AB199" i="110"/>
  <c r="T202" i="110"/>
  <c r="R197" i="110"/>
  <c r="Y197" i="110"/>
  <c r="Q202" i="110"/>
  <c r="S202" i="110"/>
  <c r="W199" i="110"/>
  <c r="O202" i="110"/>
  <c r="V203" i="110"/>
  <c r="X202" i="110"/>
  <c r="M198" i="110"/>
  <c r="AB202" i="110"/>
  <c r="R199" i="110"/>
  <c r="Y199" i="110"/>
  <c r="Q203" i="110"/>
  <c r="S203" i="110"/>
  <c r="W201" i="110"/>
  <c r="O203" i="110"/>
  <c r="V202" i="110"/>
  <c r="X203" i="110"/>
  <c r="M201" i="110"/>
  <c r="AB203" i="110"/>
  <c r="Y202" i="110"/>
  <c r="Q197" i="110"/>
  <c r="AA197" i="110"/>
  <c r="Z197" i="110"/>
  <c r="P197" i="110"/>
  <c r="W202" i="110"/>
  <c r="N197" i="110"/>
  <c r="U197" i="110"/>
  <c r="M202" i="110"/>
  <c r="T197" i="110"/>
  <c r="Y203" i="110"/>
  <c r="Q199" i="110"/>
  <c r="AA198" i="110"/>
  <c r="Z199" i="110"/>
  <c r="P198" i="110"/>
  <c r="W203" i="110"/>
  <c r="N198" i="110"/>
  <c r="U199" i="110"/>
  <c r="M203" i="110"/>
  <c r="T199" i="110"/>
  <c r="R198" i="110"/>
  <c r="Y198" i="110"/>
  <c r="S197" i="110"/>
  <c r="AA199" i="110"/>
  <c r="Z202" i="110"/>
  <c r="P199" i="110"/>
  <c r="O197" i="110"/>
  <c r="V197" i="110"/>
  <c r="N199" i="110"/>
  <c r="X197" i="110"/>
  <c r="U202" i="110"/>
  <c r="M197" i="110"/>
  <c r="AB198" i="110"/>
  <c r="T198" i="110"/>
  <c r="N201" i="110"/>
  <c r="T201" i="110"/>
  <c r="Z203" i="110"/>
  <c r="V198" i="110"/>
  <c r="O198" i="110"/>
  <c r="Y201" i="110"/>
  <c r="P201" i="110"/>
  <c r="X198" i="110"/>
  <c r="M199" i="110"/>
  <c r="R201" i="110"/>
  <c r="S198" i="110"/>
  <c r="U203" i="110"/>
  <c r="AB201" i="110"/>
  <c r="AA201" i="110"/>
  <c r="X174" i="110"/>
  <c r="W175" i="110"/>
  <c r="R179" i="110"/>
  <c r="R176" i="110"/>
  <c r="X175" i="110"/>
  <c r="W176" i="110"/>
  <c r="R183" i="110"/>
  <c r="R171" i="110"/>
  <c r="X176" i="110"/>
  <c r="W177" i="110"/>
  <c r="R182" i="110"/>
  <c r="R175" i="110"/>
  <c r="X177" i="110"/>
  <c r="W170" i="110"/>
  <c r="R181" i="110"/>
  <c r="R170" i="110"/>
  <c r="W174" i="110"/>
  <c r="R172" i="110"/>
  <c r="X170" i="110"/>
  <c r="W171" i="110"/>
  <c r="R185" i="110"/>
  <c r="R174" i="110"/>
  <c r="R184" i="110"/>
  <c r="X171" i="110"/>
  <c r="W172" i="110"/>
  <c r="R186" i="110"/>
  <c r="R173" i="110"/>
  <c r="X172" i="110"/>
  <c r="W173" i="110"/>
  <c r="R180" i="110"/>
  <c r="R177" i="110"/>
  <c r="X173" i="110"/>
  <c r="U182" i="110"/>
  <c r="S182" i="110"/>
  <c r="S173" i="110"/>
  <c r="S191" i="110"/>
  <c r="AB175" i="110"/>
  <c r="Y173" i="110"/>
  <c r="V191" i="110"/>
  <c r="W182" i="110"/>
  <c r="Z200" i="110"/>
  <c r="X200" i="110"/>
  <c r="R194" i="110"/>
  <c r="AB190" i="110"/>
  <c r="U189" i="110"/>
  <c r="Z174" i="110"/>
  <c r="AA174" i="110"/>
  <c r="AA192" i="110"/>
  <c r="T176" i="110"/>
  <c r="T191" i="110"/>
  <c r="Y191" i="110"/>
  <c r="X193" i="110"/>
  <c r="Z179" i="110"/>
  <c r="U175" i="110"/>
  <c r="T183" i="110"/>
  <c r="W192" i="110"/>
  <c r="V176" i="110"/>
  <c r="V185" i="110"/>
  <c r="AB179" i="110"/>
  <c r="X185" i="110"/>
  <c r="Z195" i="110"/>
  <c r="AA185" i="110"/>
  <c r="V186" i="110"/>
  <c r="X186" i="110"/>
  <c r="AA186" i="110"/>
  <c r="S172" i="110"/>
  <c r="Y172" i="110"/>
  <c r="W181" i="110"/>
  <c r="U193" i="110"/>
  <c r="S200" i="110"/>
  <c r="V184" i="110"/>
  <c r="AA184" i="110"/>
  <c r="U183" i="110"/>
  <c r="S183" i="110"/>
  <c r="S174" i="110"/>
  <c r="S192" i="110"/>
  <c r="AB170" i="110"/>
  <c r="Y174" i="110"/>
  <c r="V192" i="110"/>
  <c r="W183" i="110"/>
  <c r="X204" i="110"/>
  <c r="V204" i="110"/>
  <c r="R190" i="110"/>
  <c r="AB192" i="110"/>
  <c r="U195" i="110"/>
  <c r="Z173" i="110"/>
  <c r="AA175" i="110"/>
  <c r="AA193" i="110"/>
  <c r="T172" i="110"/>
  <c r="T193" i="110"/>
  <c r="Y193" i="110"/>
  <c r="X194" i="110"/>
  <c r="Z183" i="110"/>
  <c r="U176" i="110"/>
  <c r="T182" i="110"/>
  <c r="W193" i="110"/>
  <c r="V177" i="110"/>
  <c r="AB183" i="110"/>
  <c r="Z189" i="110"/>
  <c r="U174" i="110"/>
  <c r="U184" i="110"/>
  <c r="S184" i="110"/>
  <c r="S175" i="110"/>
  <c r="S193" i="110"/>
  <c r="AB177" i="110"/>
  <c r="Y175" i="110"/>
  <c r="V193" i="110"/>
  <c r="W184" i="110"/>
  <c r="V200" i="110"/>
  <c r="R192" i="110"/>
  <c r="AB194" i="110"/>
  <c r="U191" i="110"/>
  <c r="Z177" i="110"/>
  <c r="AA176" i="110"/>
  <c r="AA194" i="110"/>
  <c r="T173" i="110"/>
  <c r="U200" i="110"/>
  <c r="T195" i="110"/>
  <c r="Y195" i="110"/>
  <c r="X195" i="110"/>
  <c r="Z182" i="110"/>
  <c r="U177" i="110"/>
  <c r="W204" i="110"/>
  <c r="T181" i="110"/>
  <c r="W194" i="110"/>
  <c r="V170" i="110"/>
  <c r="V179" i="110"/>
  <c r="AB181" i="110"/>
  <c r="X179" i="110"/>
  <c r="Z188" i="110"/>
  <c r="AA179" i="110"/>
  <c r="AA204" i="110"/>
  <c r="S181" i="110"/>
  <c r="V190" i="110"/>
  <c r="Z204" i="110"/>
  <c r="R195" i="110"/>
  <c r="T174" i="110"/>
  <c r="X192" i="110"/>
  <c r="AB182" i="110"/>
  <c r="U185" i="110"/>
  <c r="S185" i="110"/>
  <c r="S176" i="110"/>
  <c r="S194" i="110"/>
  <c r="AB174" i="110"/>
  <c r="Y176" i="110"/>
  <c r="V194" i="110"/>
  <c r="W185" i="110"/>
  <c r="R188" i="110"/>
  <c r="AB189" i="110"/>
  <c r="U188" i="110"/>
  <c r="Z172" i="110"/>
  <c r="AA177" i="110"/>
  <c r="AA195" i="110"/>
  <c r="T177" i="110"/>
  <c r="U204" i="110"/>
  <c r="T190" i="110"/>
  <c r="Y188" i="110"/>
  <c r="X188" i="110"/>
  <c r="Z181" i="110"/>
  <c r="U170" i="110"/>
  <c r="W200" i="110"/>
  <c r="T185" i="110"/>
  <c r="W195" i="110"/>
  <c r="V171" i="110"/>
  <c r="V180" i="110"/>
  <c r="AB185" i="110"/>
  <c r="X180" i="110"/>
  <c r="Z190" i="110"/>
  <c r="AA180" i="110"/>
  <c r="AA181" i="110"/>
  <c r="S190" i="110"/>
  <c r="Y189" i="110"/>
  <c r="W191" i="110"/>
  <c r="V175" i="110"/>
  <c r="X184" i="110"/>
  <c r="U186" i="110"/>
  <c r="S186" i="110"/>
  <c r="S177" i="110"/>
  <c r="S195" i="110"/>
  <c r="AB173" i="110"/>
  <c r="Y177" i="110"/>
  <c r="V195" i="110"/>
  <c r="W186" i="110"/>
  <c r="R189" i="110"/>
  <c r="AB191" i="110"/>
  <c r="U190" i="110"/>
  <c r="Z176" i="110"/>
  <c r="AA170" i="110"/>
  <c r="AA188" i="110"/>
  <c r="T171" i="110"/>
  <c r="R204" i="110"/>
  <c r="T192" i="110"/>
  <c r="Y190" i="110"/>
  <c r="X189" i="110"/>
  <c r="Z185" i="110"/>
  <c r="U171" i="110"/>
  <c r="T186" i="110"/>
  <c r="W188" i="110"/>
  <c r="V172" i="110"/>
  <c r="V181" i="110"/>
  <c r="AB180" i="110"/>
  <c r="X181" i="110"/>
  <c r="Z192" i="110"/>
  <c r="AB188" i="110"/>
  <c r="Z170" i="110"/>
  <c r="AA191" i="110"/>
  <c r="Z186" i="110"/>
  <c r="U179" i="110"/>
  <c r="S179" i="110"/>
  <c r="S170" i="110"/>
  <c r="S188" i="110"/>
  <c r="AB172" i="110"/>
  <c r="Y170" i="110"/>
  <c r="V188" i="110"/>
  <c r="W179" i="110"/>
  <c r="R191" i="110"/>
  <c r="AB193" i="110"/>
  <c r="U192" i="110"/>
  <c r="Z171" i="110"/>
  <c r="AA171" i="110"/>
  <c r="AA189" i="110"/>
  <c r="T175" i="110"/>
  <c r="R200" i="110"/>
  <c r="T194" i="110"/>
  <c r="Y192" i="110"/>
  <c r="X190" i="110"/>
  <c r="Z180" i="110"/>
  <c r="U172" i="110"/>
  <c r="T180" i="110"/>
  <c r="W189" i="110"/>
  <c r="V173" i="110"/>
  <c r="V182" i="110"/>
  <c r="AB184" i="110"/>
  <c r="X182" i="110"/>
  <c r="Z194" i="110"/>
  <c r="AA182" i="110"/>
  <c r="U181" i="110"/>
  <c r="AB171" i="110"/>
  <c r="AA173" i="110"/>
  <c r="Z191" i="110"/>
  <c r="U180" i="110"/>
  <c r="S180" i="110"/>
  <c r="S171" i="110"/>
  <c r="S189" i="110"/>
  <c r="AB176" i="110"/>
  <c r="Y171" i="110"/>
  <c r="V189" i="110"/>
  <c r="W180" i="110"/>
  <c r="R193" i="110"/>
  <c r="AB195" i="110"/>
  <c r="U194" i="110"/>
  <c r="Z175" i="110"/>
  <c r="AA172" i="110"/>
  <c r="AA190" i="110"/>
  <c r="T170" i="110"/>
  <c r="S204" i="110"/>
  <c r="T188" i="110"/>
  <c r="Y194" i="110"/>
  <c r="X191" i="110"/>
  <c r="Z184" i="110"/>
  <c r="U173" i="110"/>
  <c r="T184" i="110"/>
  <c r="W190" i="110"/>
  <c r="V174" i="110"/>
  <c r="V183" i="110"/>
  <c r="AB186" i="110"/>
  <c r="X183" i="110"/>
  <c r="Z193" i="110"/>
  <c r="AA183" i="110"/>
  <c r="AA200" i="110"/>
  <c r="T189" i="110"/>
  <c r="T179" i="110"/>
  <c r="Y186" i="110"/>
  <c r="Y179" i="110"/>
  <c r="Y180" i="110"/>
  <c r="AB204" i="110"/>
  <c r="Y200" i="110"/>
  <c r="T200" i="110"/>
  <c r="Y181" i="110"/>
  <c r="AB200" i="110"/>
  <c r="Y204" i="110"/>
  <c r="T204" i="110"/>
  <c r="Y182" i="110"/>
  <c r="Y183" i="110"/>
  <c r="Y185" i="110"/>
  <c r="Y184" i="110"/>
  <c r="J197" i="110"/>
  <c r="J199" i="110"/>
  <c r="J203" i="110"/>
  <c r="J202" i="110"/>
  <c r="J201" i="110"/>
  <c r="J198" i="110"/>
  <c r="CF404" i="110"/>
  <c r="X129" i="112" s="1"/>
  <c r="X129" i="142" s="1"/>
  <c r="CI402" i="110"/>
  <c r="CI398" i="110"/>
  <c r="BZ397" i="110"/>
  <c r="CJ399" i="110"/>
  <c r="CE398" i="110"/>
  <c r="CE400" i="110"/>
  <c r="W129" i="111" s="1"/>
  <c r="W129" i="141" s="1"/>
  <c r="CA399" i="110"/>
  <c r="CC400" i="110"/>
  <c r="U129" i="111" s="1"/>
  <c r="U129" i="141" s="1"/>
  <c r="CH404" i="110"/>
  <c r="Z129" i="112" s="1"/>
  <c r="CI399" i="110"/>
  <c r="CB404" i="110"/>
  <c r="T129" i="112" s="1"/>
  <c r="T129" i="142" s="1"/>
  <c r="CH403" i="110"/>
  <c r="CF398" i="110"/>
  <c r="BZ403" i="110"/>
  <c r="CC399" i="110"/>
  <c r="CB398" i="110"/>
  <c r="CH401" i="110"/>
  <c r="CJ404" i="110"/>
  <c r="AB129" i="112" s="1"/>
  <c r="AB129" i="142" s="1"/>
  <c r="BZ400" i="110"/>
  <c r="R129" i="111" s="1"/>
  <c r="R129" i="141" s="1"/>
  <c r="CB401" i="110"/>
  <c r="CA404" i="110"/>
  <c r="S129" i="112" s="1"/>
  <c r="S129" i="142" s="1"/>
  <c r="CA401" i="110"/>
  <c r="CD403" i="110"/>
  <c r="CH400" i="110"/>
  <c r="Z129" i="111" s="1"/>
  <c r="Z129" i="141" s="1"/>
  <c r="CC402" i="110"/>
  <c r="CF403" i="110"/>
  <c r="CH402" i="110"/>
  <c r="CA397" i="110"/>
  <c r="CI401" i="110"/>
  <c r="CD399" i="110"/>
  <c r="CI404" i="110"/>
  <c r="AA129" i="112" s="1"/>
  <c r="AA129" i="142" s="1"/>
  <c r="CC398" i="110"/>
  <c r="BZ401" i="110"/>
  <c r="CA400" i="110"/>
  <c r="S129" i="111" s="1"/>
  <c r="S129" i="141" s="1"/>
  <c r="CH398" i="110"/>
  <c r="CE401" i="110"/>
  <c r="CD404" i="110"/>
  <c r="V129" i="112" s="1"/>
  <c r="V129" i="142" s="1"/>
  <c r="CI397" i="110"/>
  <c r="CE399" i="110"/>
  <c r="CC404" i="110"/>
  <c r="U129" i="112" s="1"/>
  <c r="U129" i="142" s="1"/>
  <c r="BZ402" i="110"/>
  <c r="CA402" i="110"/>
  <c r="BZ399" i="110"/>
  <c r="CJ401" i="110"/>
  <c r="CI403" i="110"/>
  <c r="CJ402" i="110"/>
  <c r="CH397" i="110"/>
  <c r="CF399" i="110"/>
  <c r="CJ398" i="110"/>
  <c r="CJ400" i="110"/>
  <c r="AB129" i="111" s="1"/>
  <c r="AB129" i="141" s="1"/>
  <c r="CA403" i="110"/>
  <c r="CF402" i="110"/>
  <c r="CA398" i="110"/>
  <c r="CE402" i="110"/>
  <c r="CD400" i="110"/>
  <c r="V129" i="111" s="1"/>
  <c r="V129" i="141" s="1"/>
  <c r="CE397" i="110"/>
  <c r="CJ403" i="110"/>
  <c r="CC403" i="110"/>
  <c r="CG401" i="110"/>
  <c r="CF397" i="110"/>
  <c r="CI400" i="110"/>
  <c r="AA129" i="111" s="1"/>
  <c r="AA129" i="141" s="1"/>
  <c r="CD402" i="110"/>
  <c r="CJ397" i="110"/>
  <c r="CD401" i="110"/>
  <c r="CE404" i="110"/>
  <c r="W129" i="112" s="1"/>
  <c r="W129" i="142" s="1"/>
  <c r="CC401" i="110"/>
  <c r="CB400" i="110"/>
  <c r="T129" i="111" s="1"/>
  <c r="T129" i="141" s="1"/>
  <c r="CD398" i="110"/>
  <c r="CF401" i="110"/>
  <c r="CD397" i="110"/>
  <c r="CC397" i="110"/>
  <c r="CB402" i="110"/>
  <c r="CE403" i="110"/>
  <c r="CB399" i="110"/>
  <c r="CH399" i="110"/>
  <c r="BZ404" i="110"/>
  <c r="R129" i="112" s="1"/>
  <c r="CB397" i="110"/>
  <c r="CF400" i="110"/>
  <c r="X129" i="111" s="1"/>
  <c r="X129" i="141" s="1"/>
  <c r="CG399" i="110"/>
  <c r="CB403" i="110"/>
  <c r="BZ398" i="110"/>
  <c r="CG398" i="110"/>
  <c r="CG400" i="110"/>
  <c r="Y129" i="111" s="1"/>
  <c r="Y129" i="141" s="1"/>
  <c r="CG397" i="110"/>
  <c r="CG402" i="110"/>
  <c r="CG404" i="110"/>
  <c r="Y129" i="112" s="1"/>
  <c r="Y129" i="142" s="1"/>
  <c r="CG403" i="110"/>
  <c r="K197" i="110"/>
  <c r="K198" i="110"/>
  <c r="K199" i="110"/>
  <c r="K201" i="110"/>
  <c r="K202" i="110"/>
  <c r="K203" i="110"/>
  <c r="CI382" i="110"/>
  <c r="CE378" i="110"/>
  <c r="BZ377" i="110"/>
  <c r="CI378" i="110"/>
  <c r="CF384" i="110"/>
  <c r="X127" i="112" s="1"/>
  <c r="X127" i="142" s="1"/>
  <c r="CE380" i="110"/>
  <c r="W127" i="111" s="1"/>
  <c r="W127" i="141" s="1"/>
  <c r="CJ379" i="110"/>
  <c r="CI379" i="110"/>
  <c r="CD383" i="110"/>
  <c r="CE379" i="110"/>
  <c r="CA381" i="110"/>
  <c r="CH380" i="110"/>
  <c r="Z127" i="111" s="1"/>
  <c r="Z127" i="141" s="1"/>
  <c r="CB379" i="110"/>
  <c r="CC382" i="110"/>
  <c r="CF383" i="110"/>
  <c r="CA377" i="110"/>
  <c r="CI381" i="110"/>
  <c r="CD379" i="110"/>
  <c r="CF381" i="110"/>
  <c r="CJ382" i="110"/>
  <c r="BZ381" i="110"/>
  <c r="CA380" i="110"/>
  <c r="S127" i="111" s="1"/>
  <c r="S127" i="141" s="1"/>
  <c r="CH378" i="110"/>
  <c r="CD384" i="110"/>
  <c r="V127" i="112" s="1"/>
  <c r="V127" i="142" s="1"/>
  <c r="CD380" i="110"/>
  <c r="V127" i="111" s="1"/>
  <c r="V127" i="141" s="1"/>
  <c r="CI377" i="110"/>
  <c r="CC384" i="110"/>
  <c r="U127" i="112" s="1"/>
  <c r="U127" i="142" s="1"/>
  <c r="BZ382" i="110"/>
  <c r="CA382" i="110"/>
  <c r="BZ379" i="110"/>
  <c r="CH377" i="110"/>
  <c r="CF380" i="110"/>
  <c r="X127" i="111" s="1"/>
  <c r="X127" i="141" s="1"/>
  <c r="CF379" i="110"/>
  <c r="CJ378" i="110"/>
  <c r="CJ380" i="110"/>
  <c r="AB127" i="111" s="1"/>
  <c r="AB127" i="141" s="1"/>
  <c r="CF377" i="110"/>
  <c r="CD382" i="110"/>
  <c r="CA378" i="110"/>
  <c r="CE382" i="110"/>
  <c r="CC381" i="110"/>
  <c r="CE383" i="110"/>
  <c r="CA383" i="110"/>
  <c r="CE377" i="110"/>
  <c r="CJ383" i="110"/>
  <c r="CH381" i="110"/>
  <c r="CG381" i="110"/>
  <c r="CI380" i="110"/>
  <c r="AA127" i="111" s="1"/>
  <c r="AA127" i="141" s="1"/>
  <c r="CD378" i="110"/>
  <c r="CJ377" i="110"/>
  <c r="CE384" i="110"/>
  <c r="W127" i="112" s="1"/>
  <c r="W127" i="142" s="1"/>
  <c r="CF382" i="110"/>
  <c r="CD377" i="110"/>
  <c r="CC377" i="110"/>
  <c r="CB384" i="110"/>
  <c r="T127" i="112" s="1"/>
  <c r="CG379" i="110"/>
  <c r="BZ384" i="110"/>
  <c r="R127" i="112" s="1"/>
  <c r="R127" i="142" s="1"/>
  <c r="CB383" i="110"/>
  <c r="CC378" i="110"/>
  <c r="BZ378" i="110"/>
  <c r="CC380" i="110"/>
  <c r="U127" i="111" s="1"/>
  <c r="U127" i="141" s="1"/>
  <c r="CB380" i="110"/>
  <c r="T127" i="111" s="1"/>
  <c r="T127" i="141" s="1"/>
  <c r="CH384" i="110"/>
  <c r="Z127" i="112" s="1"/>
  <c r="Z127" i="142" s="1"/>
  <c r="CB378" i="110"/>
  <c r="CH379" i="110"/>
  <c r="CD381" i="110"/>
  <c r="BZ383" i="110"/>
  <c r="CJ384" i="110"/>
  <c r="AB127" i="112" s="1"/>
  <c r="CI384" i="110"/>
  <c r="AA127" i="112" s="1"/>
  <c r="AA127" i="142" s="1"/>
  <c r="CB377" i="110"/>
  <c r="CF378" i="110"/>
  <c r="CH383" i="110"/>
  <c r="CH382" i="110"/>
  <c r="CI383" i="110"/>
  <c r="BZ380" i="110"/>
  <c r="R127" i="111" s="1"/>
  <c r="R127" i="141" s="1"/>
  <c r="CC383" i="110"/>
  <c r="CB381" i="110"/>
  <c r="CA384" i="110"/>
  <c r="S127" i="112" s="1"/>
  <c r="S127" i="142" s="1"/>
  <c r="CA379" i="110"/>
  <c r="CB382" i="110"/>
  <c r="CC379" i="110"/>
  <c r="CJ381" i="110"/>
  <c r="CE381" i="110"/>
  <c r="CG383" i="110"/>
  <c r="CG378" i="110"/>
  <c r="CG384" i="110"/>
  <c r="Y127" i="112" s="1"/>
  <c r="Y127" i="142" s="1"/>
  <c r="CG380" i="110"/>
  <c r="Y127" i="111" s="1"/>
  <c r="Y127" i="141" s="1"/>
  <c r="CG377" i="110"/>
  <c r="CG382" i="110"/>
  <c r="L198" i="110"/>
  <c r="L201" i="110"/>
  <c r="L197" i="110"/>
  <c r="L199" i="110"/>
  <c r="L202" i="110"/>
  <c r="L203" i="110"/>
  <c r="G197" i="110"/>
  <c r="G198" i="110"/>
  <c r="G199" i="110"/>
  <c r="G201" i="110"/>
  <c r="G203" i="110"/>
  <c r="G202" i="110"/>
  <c r="H197" i="110"/>
  <c r="H198" i="110"/>
  <c r="H199" i="110"/>
  <c r="H201" i="110"/>
  <c r="H202" i="110"/>
  <c r="H203" i="110"/>
  <c r="E197" i="110"/>
  <c r="E199" i="110"/>
  <c r="E202" i="110"/>
  <c r="E203" i="110"/>
  <c r="E201" i="110"/>
  <c r="E198" i="110"/>
  <c r="BZ337" i="110"/>
  <c r="CI338" i="110"/>
  <c r="CE340" i="110"/>
  <c r="W131" i="111" s="1"/>
  <c r="W131" i="141" s="1"/>
  <c r="CJ339" i="110"/>
  <c r="CF344" i="110"/>
  <c r="X131" i="112" s="1"/>
  <c r="X131" i="142" s="1"/>
  <c r="CI342" i="110"/>
  <c r="CE338" i="110"/>
  <c r="CC340" i="110"/>
  <c r="U131" i="111" s="1"/>
  <c r="U131" i="141" s="1"/>
  <c r="CE339" i="110"/>
  <c r="CC344" i="110"/>
  <c r="U131" i="112" s="1"/>
  <c r="U131" i="142" s="1"/>
  <c r="CB344" i="110"/>
  <c r="T131" i="112" s="1"/>
  <c r="T131" i="142" s="1"/>
  <c r="CF337" i="110"/>
  <c r="CB343" i="110"/>
  <c r="CA338" i="110"/>
  <c r="CC341" i="110"/>
  <c r="CE343" i="110"/>
  <c r="CA343" i="110"/>
  <c r="CJ343" i="110"/>
  <c r="CB337" i="110"/>
  <c r="CF339" i="110"/>
  <c r="CG341" i="110"/>
  <c r="CI340" i="110"/>
  <c r="AA131" i="111" s="1"/>
  <c r="AA131" i="141" s="1"/>
  <c r="CC337" i="110"/>
  <c r="CD342" i="110"/>
  <c r="CD338" i="110"/>
  <c r="CJ337" i="110"/>
  <c r="CF342" i="110"/>
  <c r="BZ338" i="110"/>
  <c r="CH339" i="110"/>
  <c r="CD340" i="110"/>
  <c r="V131" i="111" s="1"/>
  <c r="V131" i="141" s="1"/>
  <c r="CJ340" i="110"/>
  <c r="AB131" i="111" s="1"/>
  <c r="AB131" i="141" s="1"/>
  <c r="CB340" i="110"/>
  <c r="T131" i="111" s="1"/>
  <c r="T131" i="141" s="1"/>
  <c r="BZ343" i="110"/>
  <c r="CB338" i="110"/>
  <c r="CH341" i="110"/>
  <c r="CD337" i="110"/>
  <c r="CJ344" i="110"/>
  <c r="AB131" i="112" s="1"/>
  <c r="AB131" i="142" s="1"/>
  <c r="CA344" i="110"/>
  <c r="S131" i="112" s="1"/>
  <c r="S131" i="142" s="1"/>
  <c r="CD344" i="110"/>
  <c r="V131" i="112" s="1"/>
  <c r="V131" i="142" s="1"/>
  <c r="CA340" i="110"/>
  <c r="S131" i="111" s="1"/>
  <c r="S131" i="141" s="1"/>
  <c r="CA341" i="110"/>
  <c r="CG339" i="110"/>
  <c r="CC342" i="110"/>
  <c r="BZ344" i="110"/>
  <c r="R131" i="112" s="1"/>
  <c r="R131" i="142" s="1"/>
  <c r="CD339" i="110"/>
  <c r="CC338" i="110"/>
  <c r="CI343" i="110"/>
  <c r="CI337" i="110"/>
  <c r="CA339" i="110"/>
  <c r="CB342" i="110"/>
  <c r="CJ341" i="110"/>
  <c r="CH344" i="110"/>
  <c r="Z131" i="112" s="1"/>
  <c r="Z131" i="142" s="1"/>
  <c r="CI339" i="110"/>
  <c r="CD343" i="110"/>
  <c r="CB339" i="110"/>
  <c r="CH343" i="110"/>
  <c r="CF338" i="110"/>
  <c r="CE342" i="110"/>
  <c r="CH342" i="110"/>
  <c r="CI344" i="110"/>
  <c r="AA131" i="112" s="1"/>
  <c r="AA131" i="142" s="1"/>
  <c r="CC339" i="110"/>
  <c r="CE337" i="110"/>
  <c r="BZ340" i="110"/>
  <c r="R131" i="111" s="1"/>
  <c r="R131" i="141" s="1"/>
  <c r="CC343" i="110"/>
  <c r="CB341" i="110"/>
  <c r="CE341" i="110"/>
  <c r="CH340" i="110"/>
  <c r="Z131" i="111" s="1"/>
  <c r="Z131" i="141" s="1"/>
  <c r="CA342" i="110"/>
  <c r="CD341" i="110"/>
  <c r="CJ342" i="110"/>
  <c r="CF340" i="110"/>
  <c r="X131" i="111" s="1"/>
  <c r="X131" i="141" s="1"/>
  <c r="CE344" i="110"/>
  <c r="W131" i="112" s="1"/>
  <c r="W131" i="142" s="1"/>
  <c r="CI341" i="110"/>
  <c r="CF341" i="110"/>
  <c r="BZ342" i="110"/>
  <c r="CH338" i="110"/>
  <c r="CH337" i="110"/>
  <c r="CF343" i="110"/>
  <c r="CA337" i="110"/>
  <c r="BZ339" i="110"/>
  <c r="BZ341" i="110"/>
  <c r="CJ338" i="110"/>
  <c r="CG338" i="110"/>
  <c r="CG342" i="110"/>
  <c r="CG344" i="110"/>
  <c r="Y131" i="112" s="1"/>
  <c r="Y131" i="142" s="1"/>
  <c r="CG340" i="110"/>
  <c r="Y131" i="111" s="1"/>
  <c r="Y131" i="141" s="1"/>
  <c r="CG337" i="110"/>
  <c r="CG343" i="110"/>
  <c r="F197" i="110"/>
  <c r="F198" i="110"/>
  <c r="F199" i="110"/>
  <c r="F201" i="110"/>
  <c r="F202" i="110"/>
  <c r="F203" i="110"/>
  <c r="BZ357" i="110"/>
  <c r="CE360" i="110"/>
  <c r="W128" i="111" s="1"/>
  <c r="W128" i="141" s="1"/>
  <c r="CI358" i="110"/>
  <c r="CF364" i="110"/>
  <c r="X128" i="112" s="1"/>
  <c r="X128" i="142" s="1"/>
  <c r="CI362" i="110"/>
  <c r="CJ359" i="110"/>
  <c r="CE358" i="110"/>
  <c r="CH364" i="110"/>
  <c r="Z128" i="112" s="1"/>
  <c r="Z128" i="142" s="1"/>
  <c r="CH360" i="110"/>
  <c r="Z128" i="111" s="1"/>
  <c r="Z128" i="141" s="1"/>
  <c r="CI357" i="110"/>
  <c r="CB360" i="110"/>
  <c r="T128" i="111" s="1"/>
  <c r="T128" i="141" s="1"/>
  <c r="CC364" i="110"/>
  <c r="U128" i="112" s="1"/>
  <c r="U128" i="142" s="1"/>
  <c r="BZ362" i="110"/>
  <c r="CD361" i="110"/>
  <c r="CA362" i="110"/>
  <c r="BZ359" i="110"/>
  <c r="BZ358" i="110"/>
  <c r="CH357" i="110"/>
  <c r="CF360" i="110"/>
  <c r="X128" i="111" s="1"/>
  <c r="X128" i="141" s="1"/>
  <c r="CF359" i="110"/>
  <c r="CJ358" i="110"/>
  <c r="CJ360" i="110"/>
  <c r="AB128" i="111" s="1"/>
  <c r="AB128" i="141" s="1"/>
  <c r="CC358" i="110"/>
  <c r="CF357" i="110"/>
  <c r="CE359" i="110"/>
  <c r="CB364" i="110"/>
  <c r="T128" i="112" s="1"/>
  <c r="T128" i="142" s="1"/>
  <c r="CA358" i="110"/>
  <c r="CE362" i="110"/>
  <c r="CC361" i="110"/>
  <c r="CE363" i="110"/>
  <c r="CF361" i="110"/>
  <c r="CA363" i="110"/>
  <c r="CE357" i="110"/>
  <c r="CJ363" i="110"/>
  <c r="CA364" i="110"/>
  <c r="S128" i="112" s="1"/>
  <c r="CG361" i="110"/>
  <c r="CI360" i="110"/>
  <c r="AA128" i="111" s="1"/>
  <c r="AA128" i="141" s="1"/>
  <c r="CD358" i="110"/>
  <c r="CJ357" i="110"/>
  <c r="CE364" i="110"/>
  <c r="W128" i="112" s="1"/>
  <c r="W128" i="142" s="1"/>
  <c r="CF362" i="110"/>
  <c r="CD360" i="110"/>
  <c r="V128" i="111" s="1"/>
  <c r="V128" i="141" s="1"/>
  <c r="CA360" i="110"/>
  <c r="S128" i="111" s="1"/>
  <c r="S128" i="141" s="1"/>
  <c r="CD357" i="110"/>
  <c r="CD362" i="110"/>
  <c r="BZ363" i="110"/>
  <c r="CB358" i="110"/>
  <c r="CH361" i="110"/>
  <c r="CA361" i="110"/>
  <c r="CC357" i="110"/>
  <c r="CG359" i="110"/>
  <c r="BZ364" i="110"/>
  <c r="R128" i="112" s="1"/>
  <c r="R128" i="142" s="1"/>
  <c r="CB363" i="110"/>
  <c r="CC360" i="110"/>
  <c r="U128" i="111" s="1"/>
  <c r="U128" i="141" s="1"/>
  <c r="CA359" i="110"/>
  <c r="CB362" i="110"/>
  <c r="CJ361" i="110"/>
  <c r="CI363" i="110"/>
  <c r="CB357" i="110"/>
  <c r="CH359" i="110"/>
  <c r="CJ364" i="110"/>
  <c r="AB128" i="112" s="1"/>
  <c r="AB128" i="142" s="1"/>
  <c r="CI359" i="110"/>
  <c r="CD363" i="110"/>
  <c r="CD359" i="110"/>
  <c r="CC359" i="110"/>
  <c r="BZ361" i="110"/>
  <c r="CB359" i="110"/>
  <c r="CJ362" i="110"/>
  <c r="BZ360" i="110"/>
  <c r="R128" i="111" s="1"/>
  <c r="R128" i="141" s="1"/>
  <c r="CF358" i="110"/>
  <c r="CI361" i="110"/>
  <c r="CD364" i="110"/>
  <c r="V128" i="112" s="1"/>
  <c r="V128" i="142" s="1"/>
  <c r="CH358" i="110"/>
  <c r="CI364" i="110"/>
  <c r="AA128" i="112" s="1"/>
  <c r="CC362" i="110"/>
  <c r="CH363" i="110"/>
  <c r="CB361" i="110"/>
  <c r="CH362" i="110"/>
  <c r="CF363" i="110"/>
  <c r="CA357" i="110"/>
  <c r="CC363" i="110"/>
  <c r="CE361" i="110"/>
  <c r="CG363" i="110"/>
  <c r="CG364" i="110"/>
  <c r="Y128" i="112" s="1"/>
  <c r="Y128" i="142" s="1"/>
  <c r="CG360" i="110"/>
  <c r="Y128" i="111" s="1"/>
  <c r="Y128" i="141" s="1"/>
  <c r="CG357" i="110"/>
  <c r="CG358" i="110"/>
  <c r="CG362" i="110"/>
  <c r="C39" i="133"/>
  <c r="E19" i="133"/>
  <c r="E54" i="133"/>
  <c r="E24" i="133"/>
  <c r="C34" i="133"/>
  <c r="E59" i="133"/>
  <c r="E34" i="133"/>
  <c r="C44" i="133"/>
  <c r="C74" i="133"/>
  <c r="E39" i="133"/>
  <c r="E69" i="133"/>
  <c r="C79" i="133"/>
  <c r="E44" i="133"/>
  <c r="E74" i="133"/>
  <c r="E9" i="133"/>
  <c r="E49" i="133"/>
  <c r="C54" i="133"/>
  <c r="E79" i="133"/>
  <c r="K93" i="133"/>
  <c r="K98" i="133" s="1"/>
  <c r="J93" i="133"/>
  <c r="J98" i="133" s="1"/>
  <c r="I29" i="133"/>
  <c r="B54" i="133"/>
  <c r="J54" i="133"/>
  <c r="B9" i="133"/>
  <c r="J9" i="133"/>
  <c r="B79" i="133"/>
  <c r="J79" i="133"/>
  <c r="I84" i="133"/>
  <c r="B39" i="133"/>
  <c r="J39" i="133"/>
  <c r="J84" i="133"/>
  <c r="I39" i="133"/>
  <c r="I59" i="133"/>
  <c r="J29" i="133"/>
  <c r="I14" i="133"/>
  <c r="F24" i="133"/>
  <c r="C29" i="133"/>
  <c r="B44" i="133"/>
  <c r="J44" i="133"/>
  <c r="G49" i="133"/>
  <c r="F64" i="133"/>
  <c r="C69" i="133"/>
  <c r="C84" i="133"/>
  <c r="I93" i="133"/>
  <c r="I98" i="133" s="1"/>
  <c r="B29" i="133"/>
  <c r="I44" i="133"/>
  <c r="J69" i="133"/>
  <c r="B14" i="133"/>
  <c r="J14" i="133"/>
  <c r="I19" i="133"/>
  <c r="I34" i="133"/>
  <c r="F39" i="133"/>
  <c r="B59" i="133"/>
  <c r="J59" i="133"/>
  <c r="I74" i="133"/>
  <c r="F79" i="133"/>
  <c r="G84" i="133"/>
  <c r="C14" i="133"/>
  <c r="B19" i="133"/>
  <c r="J19" i="133"/>
  <c r="B34" i="133"/>
  <c r="J34" i="133"/>
  <c r="C59" i="133"/>
  <c r="B74" i="133"/>
  <c r="J74" i="133"/>
  <c r="C19" i="133"/>
  <c r="I24" i="133"/>
  <c r="B49" i="133"/>
  <c r="J49" i="133"/>
  <c r="I64" i="133"/>
  <c r="F69" i="133"/>
  <c r="F84" i="133"/>
  <c r="L93" i="133"/>
  <c r="L98" i="133" s="1"/>
  <c r="B69" i="133"/>
  <c r="I9" i="133"/>
  <c r="D19" i="133"/>
  <c r="B24" i="133"/>
  <c r="J24" i="133"/>
  <c r="G29" i="133"/>
  <c r="D34" i="133"/>
  <c r="F44" i="133"/>
  <c r="C49" i="133"/>
  <c r="B64" i="133"/>
  <c r="J64" i="133"/>
  <c r="G69" i="133"/>
  <c r="D74" i="133"/>
  <c r="I79" i="133"/>
  <c r="BA180" i="110"/>
  <c r="BA184" i="110"/>
  <c r="BA181" i="110"/>
  <c r="BA182" i="110"/>
  <c r="BA186" i="110"/>
  <c r="BA185" i="110"/>
  <c r="BE208" i="110"/>
  <c r="BB202" i="110"/>
  <c r="BA195" i="110"/>
  <c r="BE180" i="110"/>
  <c r="BD181" i="110"/>
  <c r="AW196" i="110"/>
  <c r="AX198" i="110"/>
  <c r="BD211" i="110"/>
  <c r="AZ198" i="110"/>
  <c r="AY189" i="110"/>
  <c r="BA207" i="110"/>
  <c r="BA198" i="110"/>
  <c r="BE204" i="110"/>
  <c r="BF199" i="110"/>
  <c r="AW198" i="110"/>
  <c r="BC200" i="110"/>
  <c r="BB180" i="110"/>
  <c r="AW209" i="110"/>
  <c r="BG212" i="110"/>
  <c r="AY209" i="110"/>
  <c r="BC186" i="110"/>
  <c r="AZ211" i="110"/>
  <c r="AZ191" i="110"/>
  <c r="BB209" i="110"/>
  <c r="AZ182" i="110"/>
  <c r="BF180" i="110"/>
  <c r="AX191" i="110"/>
  <c r="AW211" i="110"/>
  <c r="AZ185" i="110"/>
  <c r="AX184" i="110"/>
  <c r="BG209" i="110"/>
  <c r="AZ209" i="110"/>
  <c r="BB207" i="110"/>
  <c r="BE212" i="110"/>
  <c r="BB203" i="110"/>
  <c r="BG203" i="110"/>
  <c r="BA196" i="110"/>
  <c r="BE182" i="110"/>
  <c r="BD180" i="110"/>
  <c r="AW195" i="110"/>
  <c r="AX200" i="110"/>
  <c r="BD207" i="110"/>
  <c r="AW182" i="110"/>
  <c r="R247" i="110" s="1"/>
  <c r="AX182" i="110"/>
  <c r="S247" i="110" s="1"/>
  <c r="AZ199" i="110"/>
  <c r="AY190" i="110"/>
  <c r="BA208" i="110"/>
  <c r="BA199" i="110"/>
  <c r="BE200" i="110"/>
  <c r="BF203" i="110"/>
  <c r="AW202" i="110"/>
  <c r="BC204" i="110"/>
  <c r="BB181" i="110"/>
  <c r="AW213" i="110"/>
  <c r="BG182" i="110"/>
  <c r="AY213" i="110"/>
  <c r="AZ212" i="110"/>
  <c r="AZ192" i="110"/>
  <c r="BF184" i="110"/>
  <c r="AX192" i="110"/>
  <c r="AX212" i="110"/>
  <c r="AY208" i="110"/>
  <c r="BD182" i="110"/>
  <c r="BF207" i="110"/>
  <c r="AZ204" i="110"/>
  <c r="BB185" i="110"/>
  <c r="AZ189" i="110"/>
  <c r="BF181" i="110"/>
  <c r="BB204" i="110"/>
  <c r="BG198" i="110"/>
  <c r="BA189" i="110"/>
  <c r="BE181" i="110"/>
  <c r="BD184" i="110"/>
  <c r="AW189" i="110"/>
  <c r="BD209" i="110"/>
  <c r="BF208" i="110"/>
  <c r="AW180" i="110"/>
  <c r="AZ200" i="110"/>
  <c r="AY191" i="110"/>
  <c r="BA209" i="110"/>
  <c r="BA200" i="110"/>
  <c r="BE202" i="110"/>
  <c r="BF200" i="110"/>
  <c r="AX208" i="110"/>
  <c r="AW199" i="110"/>
  <c r="BC198" i="110"/>
  <c r="BB182" i="110"/>
  <c r="AW207" i="110"/>
  <c r="BG181" i="110"/>
  <c r="BG208" i="110"/>
  <c r="AY212" i="110"/>
  <c r="BC212" i="110"/>
  <c r="AZ213" i="110"/>
  <c r="AZ193" i="110"/>
  <c r="BB211" i="110"/>
  <c r="AZ184" i="110"/>
  <c r="AX196" i="110"/>
  <c r="BC202" i="110"/>
  <c r="BG199" i="110"/>
  <c r="BA213" i="110"/>
  <c r="BC184" i="110"/>
  <c r="BG202" i="110"/>
  <c r="BA190" i="110"/>
  <c r="BE184" i="110"/>
  <c r="BD185" i="110"/>
  <c r="AW190" i="110"/>
  <c r="BD213" i="110"/>
  <c r="BF212" i="110"/>
  <c r="AW184" i="110"/>
  <c r="R249" i="110" s="1"/>
  <c r="AX181" i="110"/>
  <c r="S246" i="110" s="1"/>
  <c r="AY192" i="110"/>
  <c r="BE198" i="110"/>
  <c r="BF204" i="110"/>
  <c r="BC181" i="110"/>
  <c r="BE211" i="110"/>
  <c r="BA193" i="110"/>
  <c r="BD208" i="110"/>
  <c r="AW204" i="110"/>
  <c r="BG185" i="110"/>
  <c r="AZ180" i="110"/>
  <c r="BE213" i="110"/>
  <c r="BB198" i="110"/>
  <c r="BG200" i="110"/>
  <c r="BA191" i="110"/>
  <c r="BE185" i="110"/>
  <c r="BD186" i="110"/>
  <c r="AW191" i="110"/>
  <c r="AX199" i="110"/>
  <c r="BF209" i="110"/>
  <c r="AW185" i="110"/>
  <c r="R250" i="110" s="1"/>
  <c r="AX186" i="110"/>
  <c r="S251" i="110" s="1"/>
  <c r="AZ202" i="110"/>
  <c r="AY196" i="110"/>
  <c r="BA211" i="110"/>
  <c r="BA202" i="110"/>
  <c r="BE199" i="110"/>
  <c r="BF198" i="110"/>
  <c r="AX207" i="110"/>
  <c r="AW208" i="110"/>
  <c r="BG180" i="110"/>
  <c r="BG207" i="110"/>
  <c r="BC209" i="110"/>
  <c r="BC182" i="110"/>
  <c r="AZ207" i="110"/>
  <c r="AZ195" i="110"/>
  <c r="BB213" i="110"/>
  <c r="AZ186" i="110"/>
  <c r="BF186" i="110"/>
  <c r="AX193" i="110"/>
  <c r="AZ208" i="110"/>
  <c r="AZ196" i="110"/>
  <c r="BF185" i="110"/>
  <c r="AX195" i="110"/>
  <c r="BB200" i="110"/>
  <c r="BA204" i="110"/>
  <c r="AX211" i="110"/>
  <c r="AY207" i="110"/>
  <c r="BE209" i="110"/>
  <c r="BB199" i="110"/>
  <c r="BG204" i="110"/>
  <c r="BA192" i="110"/>
  <c r="BE186" i="110"/>
  <c r="AW192" i="110"/>
  <c r="AX203" i="110"/>
  <c r="BF213" i="110"/>
  <c r="AW186" i="110"/>
  <c r="R251" i="110" s="1"/>
  <c r="AX185" i="110"/>
  <c r="AZ203" i="110"/>
  <c r="AY193" i="110"/>
  <c r="BA212" i="110"/>
  <c r="BA203" i="110"/>
  <c r="BE203" i="110"/>
  <c r="BF202" i="110"/>
  <c r="AX209" i="110"/>
  <c r="BC199" i="110"/>
  <c r="BB186" i="110"/>
  <c r="AW212" i="110"/>
  <c r="BG184" i="110"/>
  <c r="BG211" i="110"/>
  <c r="BC213" i="110"/>
  <c r="BC180" i="110"/>
  <c r="BE207" i="110"/>
  <c r="BA194" i="110"/>
  <c r="AW194" i="110"/>
  <c r="AX204" i="110"/>
  <c r="BD212" i="110"/>
  <c r="BF211" i="110"/>
  <c r="AW181" i="110"/>
  <c r="AX180" i="110"/>
  <c r="S245" i="110" s="1"/>
  <c r="AY194" i="110"/>
  <c r="AX213" i="110"/>
  <c r="AW200" i="110"/>
  <c r="BC203" i="110"/>
  <c r="BB184" i="110"/>
  <c r="BG186" i="110"/>
  <c r="BG213" i="110"/>
  <c r="AY211" i="110"/>
  <c r="BC211" i="110"/>
  <c r="BC185" i="110"/>
  <c r="AZ190" i="110"/>
  <c r="BB208" i="110"/>
  <c r="AZ181" i="110"/>
  <c r="BF182" i="110"/>
  <c r="AX190" i="110"/>
  <c r="AW203" i="110"/>
  <c r="BC208" i="110"/>
  <c r="AZ194" i="110"/>
  <c r="BB212" i="110"/>
  <c r="AX194" i="110"/>
  <c r="AW193" i="110"/>
  <c r="AX202" i="110"/>
  <c r="AY195" i="110"/>
  <c r="BC207" i="110"/>
  <c r="AX189" i="110"/>
  <c r="BG190" i="110"/>
  <c r="BF196" i="110"/>
  <c r="AY198" i="110"/>
  <c r="BE195" i="110"/>
  <c r="BD199" i="110"/>
  <c r="BD192" i="110"/>
  <c r="BC196" i="110"/>
  <c r="AY182" i="110"/>
  <c r="BB193" i="110"/>
  <c r="BG196" i="110"/>
  <c r="AY186" i="110"/>
  <c r="BG191" i="110"/>
  <c r="BF192" i="110"/>
  <c r="AY202" i="110"/>
  <c r="BE193" i="110"/>
  <c r="BD203" i="110"/>
  <c r="BD196" i="110"/>
  <c r="BC189" i="110"/>
  <c r="AY181" i="110"/>
  <c r="BB194" i="110"/>
  <c r="BE194" i="110"/>
  <c r="BG193" i="110"/>
  <c r="BF194" i="110"/>
  <c r="AY200" i="110"/>
  <c r="BE189" i="110"/>
  <c r="BD202" i="110"/>
  <c r="BD194" i="110"/>
  <c r="BC195" i="110"/>
  <c r="BB195" i="110"/>
  <c r="BF190" i="110"/>
  <c r="BD190" i="110"/>
  <c r="BC190" i="110"/>
  <c r="BG195" i="110"/>
  <c r="BF195" i="110"/>
  <c r="AY204" i="110"/>
  <c r="BE190" i="110"/>
  <c r="BD198" i="110"/>
  <c r="BD193" i="110"/>
  <c r="BC193" i="110"/>
  <c r="AY180" i="110"/>
  <c r="BB196" i="110"/>
  <c r="BD189" i="110"/>
  <c r="AY185" i="110"/>
  <c r="BB191" i="110"/>
  <c r="BG189" i="110"/>
  <c r="BF189" i="110"/>
  <c r="AY203" i="110"/>
  <c r="BE191" i="110"/>
  <c r="BD200" i="110"/>
  <c r="BD195" i="110"/>
  <c r="BC192" i="110"/>
  <c r="AY184" i="110"/>
  <c r="BB189" i="110"/>
  <c r="BG194" i="110"/>
  <c r="BB190" i="110"/>
  <c r="BG192" i="110"/>
  <c r="BF193" i="110"/>
  <c r="BE196" i="110"/>
  <c r="BD191" i="110"/>
  <c r="BC191" i="110"/>
  <c r="BB192" i="110"/>
  <c r="AY199" i="110"/>
  <c r="BD204" i="110"/>
  <c r="BC194" i="110"/>
  <c r="BF191" i="110"/>
  <c r="BE192" i="110"/>
  <c r="K5" i="36"/>
  <c r="K113" i="36" s="1"/>
  <c r="E124" i="34"/>
  <c r="E6" i="110" s="1"/>
  <c r="E40" i="110" s="1"/>
  <c r="M124" i="34"/>
  <c r="M10" i="36" s="1"/>
  <c r="D124" i="34"/>
  <c r="D6" i="110" s="1"/>
  <c r="D40" i="110" s="1"/>
  <c r="L124" i="34"/>
  <c r="L6" i="110" s="1"/>
  <c r="L40" i="110" s="1"/>
  <c r="D126" i="34"/>
  <c r="AI41" i="110" s="1"/>
  <c r="E126" i="34"/>
  <c r="C8" i="35"/>
  <c r="C14" i="35" s="1"/>
  <c r="AI36" i="110"/>
  <c r="D8" i="35"/>
  <c r="AD8" i="35" s="1"/>
  <c r="E116" i="34"/>
  <c r="AJ36" i="110" s="1"/>
  <c r="G14" i="36"/>
  <c r="O9" i="110"/>
  <c r="O43" i="110" s="1"/>
  <c r="K134" i="34"/>
  <c r="K20" i="36" s="1"/>
  <c r="K128" i="36" s="1"/>
  <c r="E136" i="34"/>
  <c r="E12" i="110" s="1"/>
  <c r="M136" i="34"/>
  <c r="M12" i="110" s="1"/>
  <c r="M46" i="110" s="1"/>
  <c r="N134" i="34"/>
  <c r="N11" i="110" s="1"/>
  <c r="N45" i="110" s="1"/>
  <c r="G134" i="34"/>
  <c r="G11" i="110" s="1"/>
  <c r="Q136" i="34"/>
  <c r="Q22" i="36" s="1"/>
  <c r="D119" i="34"/>
  <c r="D5" i="110" s="1"/>
  <c r="D39" i="110" s="1"/>
  <c r="L5" i="110"/>
  <c r="L39" i="110" s="1"/>
  <c r="F124" i="34"/>
  <c r="F6" i="110" s="1"/>
  <c r="F40" i="110" s="1"/>
  <c r="F134" i="34"/>
  <c r="F11" i="110" s="1"/>
  <c r="F45" i="110" s="1"/>
  <c r="P136" i="34"/>
  <c r="P22" i="36" s="1"/>
  <c r="E10" i="110"/>
  <c r="O134" i="34"/>
  <c r="O11" i="110" s="1"/>
  <c r="O45" i="110" s="1"/>
  <c r="G124" i="34"/>
  <c r="G10" i="36" s="1"/>
  <c r="O124" i="34"/>
  <c r="O6" i="110" s="1"/>
  <c r="O40" i="110" s="1"/>
  <c r="H124" i="34"/>
  <c r="H6" i="110" s="1"/>
  <c r="H40" i="110" s="1"/>
  <c r="P124" i="34"/>
  <c r="P6" i="110" s="1"/>
  <c r="P40" i="110" s="1"/>
  <c r="H136" i="34"/>
  <c r="H22" i="36" s="1"/>
  <c r="I136" i="34"/>
  <c r="I12" i="110" s="1"/>
  <c r="I124" i="34"/>
  <c r="I10" i="36" s="1"/>
  <c r="Q124" i="34"/>
  <c r="Q10" i="36" s="1"/>
  <c r="K10" i="36"/>
  <c r="K6" i="110"/>
  <c r="K40" i="110" s="1"/>
  <c r="K10" i="110"/>
  <c r="M11" i="110"/>
  <c r="M45" i="110" s="1"/>
  <c r="M20" i="36"/>
  <c r="M128" i="36" s="1"/>
  <c r="Q14" i="36"/>
  <c r="Q9" i="110"/>
  <c r="Q43" i="110" s="1"/>
  <c r="G12" i="110"/>
  <c r="G22" i="36"/>
  <c r="I14" i="36"/>
  <c r="I9" i="110"/>
  <c r="I43" i="110" s="1"/>
  <c r="E11" i="110"/>
  <c r="E20" i="36"/>
  <c r="E128" i="36" s="1"/>
  <c r="D84" i="34"/>
  <c r="D138" i="34" s="1"/>
  <c r="E84" i="34"/>
  <c r="E138" i="34" s="1"/>
  <c r="K42" i="83"/>
  <c r="K53" i="83"/>
  <c r="J134" i="34"/>
  <c r="L136" i="34"/>
  <c r="N124" i="34"/>
  <c r="L134" i="34"/>
  <c r="F136" i="34"/>
  <c r="N136" i="34"/>
  <c r="H134" i="34"/>
  <c r="P134" i="34"/>
  <c r="J136" i="34"/>
  <c r="I134" i="34"/>
  <c r="Q134" i="34"/>
  <c r="K136" i="34"/>
  <c r="F93" i="36"/>
  <c r="F84" i="36" s="1"/>
  <c r="D93" i="36"/>
  <c r="H93" i="36"/>
  <c r="H103" i="36" s="1"/>
  <c r="K93" i="36"/>
  <c r="K103" i="36" s="1"/>
  <c r="I93" i="36"/>
  <c r="I103" i="36" s="1"/>
  <c r="J93" i="36"/>
  <c r="J103" i="36" s="1"/>
  <c r="L93" i="36"/>
  <c r="L84" i="36" s="1"/>
  <c r="E93" i="36"/>
  <c r="E103" i="36" s="1"/>
  <c r="K66" i="36"/>
  <c r="D66" i="36"/>
  <c r="L66" i="36"/>
  <c r="E66" i="36"/>
  <c r="F66" i="36"/>
  <c r="G66" i="36"/>
  <c r="H66" i="36"/>
  <c r="H76" i="36" s="1"/>
  <c r="I66" i="36"/>
  <c r="I76" i="36" s="1"/>
  <c r="G84" i="36"/>
  <c r="P3814" i="53"/>
  <c r="P3820" i="53" s="1"/>
  <c r="J50" i="110"/>
  <c r="I116" i="34"/>
  <c r="AN36" i="110" s="1"/>
  <c r="Q116" i="34"/>
  <c r="AV36" i="110" s="1"/>
  <c r="K126" i="34"/>
  <c r="AP41" i="110" s="1"/>
  <c r="K8" i="35"/>
  <c r="AK8" i="35" s="1"/>
  <c r="J116" i="34"/>
  <c r="AO36" i="110" s="1"/>
  <c r="L126" i="34"/>
  <c r="AQ41" i="110" s="1"/>
  <c r="L8" i="35"/>
  <c r="AL8" i="35" s="1"/>
  <c r="K116" i="34"/>
  <c r="AP36" i="110" s="1"/>
  <c r="M126" i="34"/>
  <c r="AR41" i="110" s="1"/>
  <c r="M8" i="35"/>
  <c r="L116" i="34"/>
  <c r="AQ36" i="110" s="1"/>
  <c r="F126" i="34"/>
  <c r="AK41" i="110" s="1"/>
  <c r="N126" i="34"/>
  <c r="AS41" i="110" s="1"/>
  <c r="J138" i="34"/>
  <c r="AO48" i="110" s="1"/>
  <c r="F8" i="35"/>
  <c r="N8" i="35"/>
  <c r="AN8" i="35" s="1"/>
  <c r="M116" i="34"/>
  <c r="AR36" i="110" s="1"/>
  <c r="G126" i="34"/>
  <c r="AL41" i="110" s="1"/>
  <c r="O126" i="34"/>
  <c r="AT41" i="110" s="1"/>
  <c r="K138" i="34"/>
  <c r="AP48" i="110" s="1"/>
  <c r="G8" i="35"/>
  <c r="AG8" i="35" s="1"/>
  <c r="O8" i="35"/>
  <c r="AO8" i="35" s="1"/>
  <c r="F116" i="34"/>
  <c r="AK36" i="110" s="1"/>
  <c r="N116" i="34"/>
  <c r="AS36" i="110" s="1"/>
  <c r="H126" i="34"/>
  <c r="AM41" i="110" s="1"/>
  <c r="P126" i="34"/>
  <c r="AU41" i="110" s="1"/>
  <c r="L138" i="34"/>
  <c r="AQ48" i="110" s="1"/>
  <c r="H8" i="35"/>
  <c r="AH8" i="35" s="1"/>
  <c r="P8" i="35"/>
  <c r="AP8" i="35" s="1"/>
  <c r="G116" i="34"/>
  <c r="AL36" i="110" s="1"/>
  <c r="O116" i="34"/>
  <c r="AT36" i="110" s="1"/>
  <c r="AN37" i="110"/>
  <c r="AV37" i="110"/>
  <c r="I126" i="34"/>
  <c r="AN41" i="110" s="1"/>
  <c r="Q126" i="34"/>
  <c r="AV41" i="110" s="1"/>
  <c r="M138" i="34"/>
  <c r="AR48" i="110" s="1"/>
  <c r="I8" i="35"/>
  <c r="AI8" i="35" s="1"/>
  <c r="N139" i="34"/>
  <c r="AS49" i="110" s="1"/>
  <c r="H116" i="34"/>
  <c r="AM36" i="110" s="1"/>
  <c r="AM89" i="110" s="1"/>
  <c r="P116" i="34"/>
  <c r="AU36" i="110" s="1"/>
  <c r="J126" i="34"/>
  <c r="AO41" i="110" s="1"/>
  <c r="J8" i="35"/>
  <c r="AJ8" i="35" s="1"/>
  <c r="F84" i="34"/>
  <c r="N84" i="34"/>
  <c r="D162" i="36"/>
  <c r="D50" i="110"/>
  <c r="L162" i="36"/>
  <c r="L16" i="110"/>
  <c r="L50" i="110" s="1"/>
  <c r="J76" i="36"/>
  <c r="D134" i="36"/>
  <c r="L134" i="36"/>
  <c r="G84" i="34"/>
  <c r="O84" i="34"/>
  <c r="E162" i="36"/>
  <c r="E134" i="36"/>
  <c r="H84" i="34"/>
  <c r="P84" i="34"/>
  <c r="F162" i="36"/>
  <c r="F16" i="110"/>
  <c r="F50" i="110" s="1"/>
  <c r="F134" i="36"/>
  <c r="I84" i="34"/>
  <c r="Q84" i="34"/>
  <c r="G162" i="36"/>
  <c r="G16" i="110"/>
  <c r="G50" i="110" s="1"/>
  <c r="G103" i="36"/>
  <c r="G134" i="36"/>
  <c r="E16" i="110"/>
  <c r="E50" i="110" s="1"/>
  <c r="H16" i="110"/>
  <c r="H50" i="110" s="1"/>
  <c r="H162" i="36"/>
  <c r="H134" i="36"/>
  <c r="I134" i="36"/>
  <c r="J134" i="36"/>
  <c r="I162" i="36"/>
  <c r="K16" i="110"/>
  <c r="K50" i="110" s="1"/>
  <c r="K162" i="36"/>
  <c r="K134" i="36"/>
  <c r="J162" i="36"/>
  <c r="D203" i="110"/>
  <c r="D201" i="110"/>
  <c r="D199" i="110"/>
  <c r="D197" i="110"/>
  <c r="D202" i="110"/>
  <c r="D198" i="110"/>
  <c r="P3819" i="53"/>
  <c r="P3828" i="53"/>
  <c r="P3821" i="53"/>
  <c r="H3814" i="53"/>
  <c r="H3819" i="53" s="1"/>
  <c r="P3822" i="53"/>
  <c r="P3823" i="53"/>
  <c r="P3825" i="53"/>
  <c r="P3832" i="53"/>
  <c r="P3824" i="53"/>
  <c r="P3826" i="53"/>
  <c r="D3814" i="53"/>
  <c r="L3814" i="53"/>
  <c r="L3818" i="53" s="1"/>
  <c r="L3821" i="53"/>
  <c r="D3826" i="53"/>
  <c r="D3830" i="53"/>
  <c r="P3818" i="53"/>
  <c r="P3827" i="53"/>
  <c r="J3814" i="53"/>
  <c r="J3817" i="53" s="1"/>
  <c r="R3814" i="53"/>
  <c r="R3818" i="53" s="1"/>
  <c r="J3822" i="53"/>
  <c r="J3823" i="53"/>
  <c r="J3825" i="53"/>
  <c r="J3826" i="53"/>
  <c r="J3827" i="53"/>
  <c r="R3827" i="53"/>
  <c r="J3828" i="53"/>
  <c r="J3829" i="53"/>
  <c r="J3830" i="53"/>
  <c r="J3831" i="53"/>
  <c r="P3829" i="53"/>
  <c r="P3831" i="53"/>
  <c r="P3817" i="53"/>
  <c r="C3814" i="53"/>
  <c r="C3821" i="53" s="1"/>
  <c r="K3814" i="53"/>
  <c r="K3818" i="53" s="1"/>
  <c r="E3814" i="53"/>
  <c r="E3830" i="53" s="1"/>
  <c r="M3814" i="53"/>
  <c r="M3818" i="53" s="1"/>
  <c r="F3814" i="53"/>
  <c r="F3821" i="53" s="1"/>
  <c r="N3814" i="53"/>
  <c r="N3818" i="53" s="1"/>
  <c r="F3822" i="53"/>
  <c r="N3822" i="53"/>
  <c r="F3827" i="53"/>
  <c r="F3828" i="53"/>
  <c r="F3831" i="53"/>
  <c r="P3830" i="53"/>
  <c r="G3814" i="53"/>
  <c r="G3821" i="53" s="1"/>
  <c r="O3814" i="53"/>
  <c r="O3819" i="53" s="1"/>
  <c r="O3818" i="53"/>
  <c r="I3814" i="53"/>
  <c r="I3831" i="53" s="1"/>
  <c r="Q3814" i="53"/>
  <c r="Q3831" i="53" s="1"/>
  <c r="Q3821" i="53"/>
  <c r="I3813" i="52"/>
  <c r="Q3813" i="52"/>
  <c r="I3817" i="52"/>
  <c r="Q3817" i="52"/>
  <c r="I3819" i="52"/>
  <c r="J3816" i="52"/>
  <c r="J3813" i="52"/>
  <c r="R3813" i="52"/>
  <c r="J3817" i="52"/>
  <c r="R3817" i="52"/>
  <c r="J3819" i="52"/>
  <c r="R3819" i="52"/>
  <c r="C3813" i="52"/>
  <c r="C3817" i="52" s="1"/>
  <c r="K3816" i="52"/>
  <c r="K3813" i="52"/>
  <c r="K3817" i="52"/>
  <c r="K3819" i="52"/>
  <c r="D3813" i="52"/>
  <c r="D3817" i="52" s="1"/>
  <c r="L3816" i="52"/>
  <c r="L3813" i="52"/>
  <c r="L3817" i="52" s="1"/>
  <c r="L3819" i="52"/>
  <c r="E3813" i="52"/>
  <c r="E3816" i="52"/>
  <c r="M3813" i="52"/>
  <c r="E3817" i="52"/>
  <c r="E3820" i="52"/>
  <c r="M3820" i="52"/>
  <c r="E3821" i="52"/>
  <c r="M3821" i="52"/>
  <c r="E3822" i="52"/>
  <c r="E3825" i="52"/>
  <c r="M3825" i="52"/>
  <c r="E3826" i="52"/>
  <c r="M3826" i="52"/>
  <c r="E3827" i="52"/>
  <c r="E3828" i="52"/>
  <c r="E3829" i="52"/>
  <c r="M3829" i="52"/>
  <c r="E3830" i="52"/>
  <c r="M3830" i="52"/>
  <c r="E3818" i="52"/>
  <c r="M3818" i="52"/>
  <c r="F3813" i="52"/>
  <c r="N3813" i="52"/>
  <c r="F3817" i="52"/>
  <c r="N3817" i="52"/>
  <c r="F3819" i="52"/>
  <c r="N3819" i="52"/>
  <c r="F3821" i="52"/>
  <c r="N3821" i="52"/>
  <c r="F3822" i="52"/>
  <c r="N3822" i="52"/>
  <c r="F3824" i="52"/>
  <c r="N3824" i="52"/>
  <c r="F3825" i="52"/>
  <c r="F3826" i="52"/>
  <c r="N3826" i="52"/>
  <c r="F3827" i="52"/>
  <c r="N3827" i="52"/>
  <c r="F3828" i="52"/>
  <c r="N3828" i="52"/>
  <c r="F3829" i="52"/>
  <c r="F3830" i="52"/>
  <c r="N3830" i="52"/>
  <c r="G3813" i="52"/>
  <c r="O3813" i="52"/>
  <c r="O3817" i="52" s="1"/>
  <c r="G3817" i="52"/>
  <c r="H3813" i="52"/>
  <c r="H3819" i="52" s="1"/>
  <c r="P3816" i="52"/>
  <c r="P3813" i="52"/>
  <c r="P3817" i="52" s="1"/>
  <c r="H3817" i="52"/>
  <c r="I3820" i="52"/>
  <c r="Q3820" i="52"/>
  <c r="I3821" i="52"/>
  <c r="Q3821" i="52"/>
  <c r="I3822" i="52"/>
  <c r="Q3822" i="52"/>
  <c r="I3824" i="52"/>
  <c r="Q3824" i="52"/>
  <c r="I3825" i="52"/>
  <c r="Q3825" i="52"/>
  <c r="I3826" i="52"/>
  <c r="Q3826" i="52"/>
  <c r="I3827" i="52"/>
  <c r="Q3827" i="52"/>
  <c r="I3828" i="52"/>
  <c r="Q3828" i="52"/>
  <c r="I3829" i="52"/>
  <c r="Q3829" i="52"/>
  <c r="I3830" i="52"/>
  <c r="Q3830" i="52"/>
  <c r="I3818" i="52"/>
  <c r="Q3818" i="52"/>
  <c r="J3820" i="52"/>
  <c r="R3820" i="52"/>
  <c r="J3821" i="52"/>
  <c r="R3821" i="52"/>
  <c r="J3822" i="52"/>
  <c r="R3822" i="52"/>
  <c r="J3824" i="52"/>
  <c r="R3824" i="52"/>
  <c r="J3825" i="52"/>
  <c r="R3825" i="52"/>
  <c r="J3826" i="52"/>
  <c r="R3826" i="52"/>
  <c r="J3827" i="52"/>
  <c r="R3827" i="52"/>
  <c r="J3828" i="52"/>
  <c r="R3828" i="52"/>
  <c r="J3829" i="52"/>
  <c r="R3829" i="52"/>
  <c r="J3830" i="52"/>
  <c r="R3830" i="52"/>
  <c r="J3818" i="52"/>
  <c r="R3818" i="52"/>
  <c r="C3820" i="52"/>
  <c r="K3820" i="52"/>
  <c r="C3821" i="52"/>
  <c r="K3821" i="52"/>
  <c r="C3822" i="52"/>
  <c r="K3822" i="52"/>
  <c r="C3824" i="52"/>
  <c r="K3824" i="52"/>
  <c r="C3825" i="52"/>
  <c r="K3825" i="52"/>
  <c r="C3826" i="52"/>
  <c r="K3826" i="52"/>
  <c r="C3827" i="52"/>
  <c r="K3827" i="52"/>
  <c r="C3828" i="52"/>
  <c r="K3828" i="52"/>
  <c r="C3829" i="52"/>
  <c r="K3829" i="52"/>
  <c r="C3830" i="52"/>
  <c r="K3830" i="52"/>
  <c r="C3818" i="52"/>
  <c r="K3818" i="52"/>
  <c r="D3820" i="52"/>
  <c r="L3820" i="52"/>
  <c r="D3821" i="52"/>
  <c r="L3821" i="52"/>
  <c r="D3822" i="52"/>
  <c r="L3822" i="52"/>
  <c r="D3824" i="52"/>
  <c r="L3824" i="52"/>
  <c r="D3825" i="52"/>
  <c r="L3825" i="52"/>
  <c r="D3826" i="52"/>
  <c r="L3826" i="52"/>
  <c r="D3827" i="52"/>
  <c r="L3827" i="52"/>
  <c r="D3828" i="52"/>
  <c r="L3828" i="52"/>
  <c r="D3829" i="52"/>
  <c r="L3829" i="52"/>
  <c r="D3830" i="52"/>
  <c r="L3830" i="52"/>
  <c r="D3818" i="52"/>
  <c r="L3818" i="52"/>
  <c r="F3818" i="52"/>
  <c r="N3818" i="52"/>
  <c r="G3820" i="52"/>
  <c r="O3820" i="52"/>
  <c r="G3821" i="52"/>
  <c r="O3821" i="52"/>
  <c r="G3822" i="52"/>
  <c r="O3822" i="52"/>
  <c r="G3824" i="52"/>
  <c r="O3824" i="52"/>
  <c r="G3825" i="52"/>
  <c r="O3825" i="52"/>
  <c r="G3826" i="52"/>
  <c r="O3826" i="52"/>
  <c r="G3827" i="52"/>
  <c r="O3827" i="52"/>
  <c r="G3828" i="52"/>
  <c r="O3828" i="52"/>
  <c r="G3829" i="52"/>
  <c r="O3829" i="52"/>
  <c r="G3830" i="52"/>
  <c r="O3830" i="52"/>
  <c r="G3818" i="52"/>
  <c r="O3818" i="52"/>
  <c r="H3820" i="52"/>
  <c r="P3820" i="52"/>
  <c r="H3821" i="52"/>
  <c r="P3821" i="52"/>
  <c r="H3822" i="52"/>
  <c r="P3822" i="52"/>
  <c r="H3824" i="52"/>
  <c r="P3824" i="52"/>
  <c r="H3825" i="52"/>
  <c r="P3825" i="52"/>
  <c r="H3826" i="52"/>
  <c r="P3826" i="52"/>
  <c r="H3827" i="52"/>
  <c r="P3827" i="52"/>
  <c r="H3828" i="52"/>
  <c r="P3828" i="52"/>
  <c r="H3829" i="52"/>
  <c r="P3829" i="52"/>
  <c r="H3830" i="52"/>
  <c r="P3830" i="52"/>
  <c r="H3818" i="52"/>
  <c r="P3818" i="52"/>
  <c r="F28" i="56"/>
  <c r="N28" i="56"/>
  <c r="F29" i="56"/>
  <c r="N29" i="56"/>
  <c r="H26" i="56"/>
  <c r="P26" i="56"/>
  <c r="H27" i="56"/>
  <c r="P27" i="56"/>
  <c r="H28" i="56"/>
  <c r="P28" i="56"/>
  <c r="H29" i="56"/>
  <c r="P29" i="56"/>
  <c r="I27" i="56"/>
  <c r="Q27" i="56"/>
  <c r="I28" i="56"/>
  <c r="Q28" i="56"/>
  <c r="I29" i="56"/>
  <c r="Q29" i="56"/>
  <c r="J27" i="56"/>
  <c r="R27" i="56"/>
  <c r="J28" i="56"/>
  <c r="R28" i="56"/>
  <c r="J29" i="56"/>
  <c r="R29" i="56"/>
  <c r="C28" i="56"/>
  <c r="K28" i="56"/>
  <c r="C29" i="56"/>
  <c r="K29" i="56"/>
  <c r="D26" i="56"/>
  <c r="D27" i="56"/>
  <c r="D28" i="56"/>
  <c r="L28" i="56"/>
  <c r="D29" i="56"/>
  <c r="E28" i="56"/>
  <c r="E94" i="133"/>
  <c r="G94" i="133"/>
  <c r="B94" i="133"/>
  <c r="H93" i="133"/>
  <c r="H98" i="133" s="1"/>
  <c r="H96" i="133"/>
  <c r="P93" i="133"/>
  <c r="P98" i="133" s="1"/>
  <c r="P96" i="133"/>
  <c r="D98" i="133"/>
  <c r="D94" i="133"/>
  <c r="H79" i="133"/>
  <c r="F93" i="133"/>
  <c r="F98" i="133" s="1"/>
  <c r="N93" i="133"/>
  <c r="N98" i="133" s="1"/>
  <c r="G93" i="133"/>
  <c r="G98" i="133" s="1"/>
  <c r="O93" i="133"/>
  <c r="O98" i="133" s="1"/>
  <c r="I96" i="133"/>
  <c r="B96" i="133"/>
  <c r="J96" i="133"/>
  <c r="C96" i="133"/>
  <c r="K96" i="133"/>
  <c r="D96" i="133"/>
  <c r="L96" i="133"/>
  <c r="E96" i="133"/>
  <c r="M96" i="133"/>
  <c r="E6" i="22" l="1"/>
  <c r="F6" i="22"/>
  <c r="D42" i="83"/>
  <c r="D53" i="83"/>
  <c r="G105" i="34"/>
  <c r="G131" i="34" s="1"/>
  <c r="G17" i="36" s="1"/>
  <c r="G139" i="34"/>
  <c r="G15" i="110" s="1"/>
  <c r="I5" i="22"/>
  <c r="H17" i="35" s="1"/>
  <c r="Q5" i="22"/>
  <c r="P17" i="35" s="1"/>
  <c r="Y5" i="22"/>
  <c r="M5" i="22"/>
  <c r="N5" i="22"/>
  <c r="G5" i="22"/>
  <c r="F17" i="35" s="1"/>
  <c r="H5" i="22"/>
  <c r="G17" i="35" s="1"/>
  <c r="X5" i="22"/>
  <c r="W17" i="35" s="1"/>
  <c r="W21" i="35" s="1"/>
  <c r="J5" i="22"/>
  <c r="I17" i="35" s="1"/>
  <c r="R5" i="22"/>
  <c r="Q17" i="35" s="1"/>
  <c r="Q21" i="35" s="1"/>
  <c r="Z5" i="22"/>
  <c r="E5" i="22"/>
  <c r="D17" i="35" s="1"/>
  <c r="F5" i="22"/>
  <c r="W5" i="22"/>
  <c r="V17" i="35" s="1"/>
  <c r="V21" i="35" s="1"/>
  <c r="K5" i="22"/>
  <c r="J17" i="35" s="1"/>
  <c r="S5" i="22"/>
  <c r="R17" i="35" s="1"/>
  <c r="R21" i="35" s="1"/>
  <c r="AA5" i="22"/>
  <c r="Z17" i="35" s="1"/>
  <c r="Z21" i="35" s="1"/>
  <c r="U5" i="22"/>
  <c r="T17" i="35" s="1"/>
  <c r="T21" i="35" s="1"/>
  <c r="V5" i="22"/>
  <c r="O5" i="22"/>
  <c r="N17" i="35" s="1"/>
  <c r="P5" i="22"/>
  <c r="L5" i="22"/>
  <c r="K17" i="35" s="1"/>
  <c r="T5" i="22"/>
  <c r="S17" i="35" s="1"/>
  <c r="S21" i="35" s="1"/>
  <c r="AB5" i="22"/>
  <c r="AA17" i="35" s="1"/>
  <c r="AA21" i="35" s="1"/>
  <c r="D3" i="22"/>
  <c r="L6" i="22"/>
  <c r="AK17" i="35" s="1"/>
  <c r="T6" i="22"/>
  <c r="AB6" i="22"/>
  <c r="BA17" i="35" s="1"/>
  <c r="BA21" i="35" s="1"/>
  <c r="X6" i="22"/>
  <c r="I6" i="22"/>
  <c r="Z6" i="22"/>
  <c r="AY17" i="35" s="1"/>
  <c r="AY21" i="35" s="1"/>
  <c r="K6" i="22"/>
  <c r="AJ17" i="35" s="1"/>
  <c r="AA6" i="22"/>
  <c r="AZ17" i="35" s="1"/>
  <c r="AZ21" i="35" s="1"/>
  <c r="M6" i="22"/>
  <c r="AL17" i="35" s="1"/>
  <c r="U6" i="22"/>
  <c r="AD17" i="35"/>
  <c r="J6" i="22"/>
  <c r="AI17" i="35" s="1"/>
  <c r="N6" i="22"/>
  <c r="AM17" i="35" s="1"/>
  <c r="V6" i="22"/>
  <c r="AU17" i="35" s="1"/>
  <c r="AU21" i="35" s="1"/>
  <c r="P6" i="22"/>
  <c r="AO17" i="35" s="1"/>
  <c r="Q6" i="22"/>
  <c r="AP17" i="35" s="1"/>
  <c r="R6" i="22"/>
  <c r="S6" i="22"/>
  <c r="AR17" i="35" s="1"/>
  <c r="AR21" i="35" s="1"/>
  <c r="G6" i="22"/>
  <c r="O6" i="22"/>
  <c r="AN17" i="35" s="1"/>
  <c r="W6" i="22"/>
  <c r="AV17" i="35" s="1"/>
  <c r="AV21" i="35" s="1"/>
  <c r="H6" i="22"/>
  <c r="AG17" i="35" s="1"/>
  <c r="Y6" i="22"/>
  <c r="AX17" i="35" s="1"/>
  <c r="AX21" i="35" s="1"/>
  <c r="D123" i="36"/>
  <c r="D153" i="36"/>
  <c r="D84" i="36"/>
  <c r="D103" i="36"/>
  <c r="AH17" i="35"/>
  <c r="AF17" i="35"/>
  <c r="AQ17" i="35"/>
  <c r="AQ21" i="35" s="1"/>
  <c r="AW17" i="35"/>
  <c r="AW21" i="35" s="1"/>
  <c r="AS17" i="35"/>
  <c r="AS21" i="35" s="1"/>
  <c r="AT17" i="35"/>
  <c r="AT21" i="35" s="1"/>
  <c r="Y17" i="35"/>
  <c r="Y21" i="35" s="1"/>
  <c r="O17" i="35"/>
  <c r="U17" i="35"/>
  <c r="U21" i="35" s="1"/>
  <c r="M17" i="35"/>
  <c r="X17" i="35"/>
  <c r="X21" i="35" s="1"/>
  <c r="E17" i="35"/>
  <c r="L17" i="35"/>
  <c r="N7" i="36"/>
  <c r="N142" i="36" s="1"/>
  <c r="E7" i="110"/>
  <c r="E41" i="110" s="1"/>
  <c r="AJ41" i="110"/>
  <c r="AB125" i="142"/>
  <c r="AB132" i="112"/>
  <c r="AB132" i="142" s="1"/>
  <c r="S250" i="110"/>
  <c r="S249" i="110"/>
  <c r="D12" i="110"/>
  <c r="D46" i="110" s="1"/>
  <c r="J6" i="110"/>
  <c r="J40" i="110" s="1"/>
  <c r="I5" i="36"/>
  <c r="I113" i="36" s="1"/>
  <c r="Q5" i="110"/>
  <c r="Q39" i="110" s="1"/>
  <c r="R245" i="110"/>
  <c r="R246" i="110"/>
  <c r="O22" i="36"/>
  <c r="O130" i="36" s="1"/>
  <c r="H5" i="36"/>
  <c r="H113" i="36" s="1"/>
  <c r="R237" i="110"/>
  <c r="E3" i="36"/>
  <c r="P5" i="36"/>
  <c r="P141" i="36" s="1"/>
  <c r="AT192" i="36"/>
  <c r="T86" i="112" s="1"/>
  <c r="T86" i="142" s="1"/>
  <c r="AT199" i="36"/>
  <c r="T93" i="112" s="1"/>
  <c r="T93" i="142" s="1"/>
  <c r="AT196" i="36"/>
  <c r="T90" i="112" s="1"/>
  <c r="T90" i="142" s="1"/>
  <c r="AT194" i="36"/>
  <c r="T88" i="112" s="1"/>
  <c r="T88" i="142" s="1"/>
  <c r="AT185" i="36"/>
  <c r="AT189" i="36"/>
  <c r="T83" i="112" s="1"/>
  <c r="T83" i="142" s="1"/>
  <c r="AT188" i="36"/>
  <c r="T82" i="112" s="1"/>
  <c r="T82" i="142" s="1"/>
  <c r="AT186" i="36"/>
  <c r="T80" i="112" s="1"/>
  <c r="T80" i="142" s="1"/>
  <c r="AT190" i="36"/>
  <c r="T84" i="112" s="1"/>
  <c r="T84" i="142" s="1"/>
  <c r="AT191" i="36"/>
  <c r="T85" i="112" s="1"/>
  <c r="T85" i="142" s="1"/>
  <c r="AT197" i="36"/>
  <c r="T91" i="112" s="1"/>
  <c r="T91" i="142" s="1"/>
  <c r="AT198" i="36"/>
  <c r="T92" i="112" s="1"/>
  <c r="T92" i="142" s="1"/>
  <c r="AT195" i="36"/>
  <c r="T89" i="112" s="1"/>
  <c r="T89" i="142" s="1"/>
  <c r="AT193" i="36"/>
  <c r="T87" i="112" s="1"/>
  <c r="T87" i="142" s="1"/>
  <c r="AT187" i="36"/>
  <c r="T81" i="112" s="1"/>
  <c r="T81" i="142" s="1"/>
  <c r="BA191" i="36"/>
  <c r="AA85" i="112" s="1"/>
  <c r="AA85" i="142" s="1"/>
  <c r="BA199" i="36"/>
  <c r="AA93" i="112" s="1"/>
  <c r="AA93" i="142" s="1"/>
  <c r="BA192" i="36"/>
  <c r="AA86" i="112" s="1"/>
  <c r="AA86" i="142" s="1"/>
  <c r="BA187" i="36"/>
  <c r="AA81" i="112" s="1"/>
  <c r="AA81" i="142" s="1"/>
  <c r="BA189" i="36"/>
  <c r="AA83" i="112" s="1"/>
  <c r="AA83" i="142" s="1"/>
  <c r="BA193" i="36"/>
  <c r="AA87" i="112" s="1"/>
  <c r="AA87" i="142" s="1"/>
  <c r="BA198" i="36"/>
  <c r="AA92" i="112" s="1"/>
  <c r="AA92" i="142" s="1"/>
  <c r="BA185" i="36"/>
  <c r="BA194" i="36"/>
  <c r="AA88" i="112" s="1"/>
  <c r="AA88" i="142" s="1"/>
  <c r="BA190" i="36"/>
  <c r="AA84" i="112" s="1"/>
  <c r="AA84" i="142" s="1"/>
  <c r="BA186" i="36"/>
  <c r="AA80" i="112" s="1"/>
  <c r="AA80" i="142" s="1"/>
  <c r="BA195" i="36"/>
  <c r="AA89" i="112" s="1"/>
  <c r="AA89" i="142" s="1"/>
  <c r="BA197" i="36"/>
  <c r="AA91" i="112" s="1"/>
  <c r="AA91" i="142" s="1"/>
  <c r="BA188" i="36"/>
  <c r="AA82" i="112" s="1"/>
  <c r="AA82" i="142" s="1"/>
  <c r="BA196" i="36"/>
  <c r="AA90" i="112" s="1"/>
  <c r="AA90" i="142" s="1"/>
  <c r="R233" i="110"/>
  <c r="S132" i="112"/>
  <c r="S132" i="142" s="1"/>
  <c r="S128" i="142"/>
  <c r="Y125" i="142"/>
  <c r="Y132" i="112"/>
  <c r="Y132" i="142" s="1"/>
  <c r="X125" i="142"/>
  <c r="X132" i="112"/>
  <c r="X132" i="142" s="1"/>
  <c r="AZ192" i="36"/>
  <c r="Z86" i="112" s="1"/>
  <c r="Z86" i="142" s="1"/>
  <c r="AZ185" i="36"/>
  <c r="AZ193" i="36"/>
  <c r="Z87" i="112" s="1"/>
  <c r="Z87" i="142" s="1"/>
  <c r="AZ186" i="36"/>
  <c r="Z80" i="112" s="1"/>
  <c r="Z80" i="142" s="1"/>
  <c r="AZ194" i="36"/>
  <c r="Z88" i="112" s="1"/>
  <c r="Z88" i="142" s="1"/>
  <c r="AZ190" i="36"/>
  <c r="Z84" i="112" s="1"/>
  <c r="Z84" i="142" s="1"/>
  <c r="AZ187" i="36"/>
  <c r="Z81" i="112" s="1"/>
  <c r="Z81" i="142" s="1"/>
  <c r="AZ195" i="36"/>
  <c r="Z89" i="112" s="1"/>
  <c r="Z89" i="142" s="1"/>
  <c r="AZ191" i="36"/>
  <c r="Z85" i="112" s="1"/>
  <c r="Z85" i="142" s="1"/>
  <c r="AZ188" i="36"/>
  <c r="Z82" i="112" s="1"/>
  <c r="Z82" i="142" s="1"/>
  <c r="AZ196" i="36"/>
  <c r="Z90" i="112" s="1"/>
  <c r="Z90" i="142" s="1"/>
  <c r="AZ189" i="36"/>
  <c r="Z83" i="112" s="1"/>
  <c r="Z83" i="142" s="1"/>
  <c r="AZ197" i="36"/>
  <c r="Z91" i="112" s="1"/>
  <c r="Z91" i="142" s="1"/>
  <c r="AZ198" i="36"/>
  <c r="Z92" i="112" s="1"/>
  <c r="Z92" i="142" s="1"/>
  <c r="AZ199" i="36"/>
  <c r="Z93" i="112" s="1"/>
  <c r="Z93" i="142" s="1"/>
  <c r="AR189" i="36"/>
  <c r="R83" i="112" s="1"/>
  <c r="R83" i="142" s="1"/>
  <c r="AR197" i="36"/>
  <c r="R91" i="112" s="1"/>
  <c r="R91" i="142" s="1"/>
  <c r="AR190" i="36"/>
  <c r="R84" i="112" s="1"/>
  <c r="R84" i="142" s="1"/>
  <c r="AR198" i="36"/>
  <c r="R92" i="112" s="1"/>
  <c r="R92" i="142" s="1"/>
  <c r="AR191" i="36"/>
  <c r="R85" i="112" s="1"/>
  <c r="R85" i="142" s="1"/>
  <c r="AR199" i="36"/>
  <c r="R93" i="112" s="1"/>
  <c r="R93" i="142" s="1"/>
  <c r="AR195" i="36"/>
  <c r="R89" i="112" s="1"/>
  <c r="R89" i="142" s="1"/>
  <c r="AR192" i="36"/>
  <c r="R86" i="112" s="1"/>
  <c r="R86" i="142" s="1"/>
  <c r="AR196" i="36"/>
  <c r="R90" i="112" s="1"/>
  <c r="R90" i="142" s="1"/>
  <c r="AR185" i="36"/>
  <c r="AR193" i="36"/>
  <c r="R87" i="112" s="1"/>
  <c r="R87" i="142" s="1"/>
  <c r="AR187" i="36"/>
  <c r="R81" i="112" s="1"/>
  <c r="R81" i="142" s="1"/>
  <c r="AR186" i="36"/>
  <c r="R80" i="112" s="1"/>
  <c r="R80" i="142" s="1"/>
  <c r="AR194" i="36"/>
  <c r="R88" i="112" s="1"/>
  <c r="R88" i="142" s="1"/>
  <c r="AR188" i="36"/>
  <c r="R82" i="112" s="1"/>
  <c r="R82" i="142" s="1"/>
  <c r="AA132" i="112"/>
  <c r="AA132" i="142" s="1"/>
  <c r="AA128" i="142"/>
  <c r="W132" i="112"/>
  <c r="W132" i="142" s="1"/>
  <c r="W125" i="142"/>
  <c r="AY190" i="36"/>
  <c r="Y84" i="112" s="1"/>
  <c r="Y84" i="142" s="1"/>
  <c r="AY198" i="36"/>
  <c r="Y92" i="112" s="1"/>
  <c r="Y92" i="142" s="1"/>
  <c r="AY191" i="36"/>
  <c r="Y85" i="112" s="1"/>
  <c r="Y85" i="142" s="1"/>
  <c r="AY199" i="36"/>
  <c r="Y93" i="112" s="1"/>
  <c r="Y93" i="142" s="1"/>
  <c r="AY197" i="36"/>
  <c r="Y91" i="112" s="1"/>
  <c r="Y91" i="142" s="1"/>
  <c r="AY192" i="36"/>
  <c r="Y86" i="112" s="1"/>
  <c r="Y86" i="142" s="1"/>
  <c r="AY185" i="36"/>
  <c r="AY188" i="36"/>
  <c r="Y82" i="112" s="1"/>
  <c r="Y82" i="142" s="1"/>
  <c r="AY193" i="36"/>
  <c r="Y87" i="112" s="1"/>
  <c r="Y87" i="142" s="1"/>
  <c r="AY187" i="36"/>
  <c r="Y81" i="112" s="1"/>
  <c r="Y81" i="142" s="1"/>
  <c r="AY189" i="36"/>
  <c r="Y83" i="112" s="1"/>
  <c r="Y83" i="142" s="1"/>
  <c r="AY194" i="36"/>
  <c r="Y88" i="112" s="1"/>
  <c r="Y88" i="142" s="1"/>
  <c r="AY186" i="36"/>
  <c r="Y80" i="112" s="1"/>
  <c r="Y80" i="142" s="1"/>
  <c r="AY196" i="36"/>
  <c r="Y90" i="112" s="1"/>
  <c r="Y90" i="142" s="1"/>
  <c r="AY195" i="36"/>
  <c r="Y89" i="112" s="1"/>
  <c r="Y89" i="142" s="1"/>
  <c r="BB186" i="36"/>
  <c r="AB80" i="112" s="1"/>
  <c r="AB80" i="142" s="1"/>
  <c r="BB192" i="36"/>
  <c r="AB86" i="112" s="1"/>
  <c r="AB86" i="142" s="1"/>
  <c r="BB195" i="36"/>
  <c r="AB89" i="112" s="1"/>
  <c r="AB89" i="142" s="1"/>
  <c r="BB188" i="36"/>
  <c r="AB82" i="112" s="1"/>
  <c r="AB82" i="142" s="1"/>
  <c r="BB191" i="36"/>
  <c r="AB85" i="112" s="1"/>
  <c r="AB85" i="142" s="1"/>
  <c r="BB190" i="36"/>
  <c r="AB84" i="112" s="1"/>
  <c r="AB84" i="142" s="1"/>
  <c r="BB185" i="36"/>
  <c r="BB193" i="36"/>
  <c r="AB87" i="112" s="1"/>
  <c r="AB87" i="142" s="1"/>
  <c r="BB196" i="36"/>
  <c r="AB90" i="112" s="1"/>
  <c r="AB90" i="142" s="1"/>
  <c r="BB187" i="36"/>
  <c r="AB81" i="112" s="1"/>
  <c r="AB81" i="142" s="1"/>
  <c r="BB197" i="36"/>
  <c r="AB91" i="112" s="1"/>
  <c r="AB91" i="142" s="1"/>
  <c r="BB199" i="36"/>
  <c r="AB93" i="112" s="1"/>
  <c r="AB93" i="142" s="1"/>
  <c r="BB189" i="36"/>
  <c r="AB83" i="112" s="1"/>
  <c r="AB83" i="142" s="1"/>
  <c r="BB198" i="36"/>
  <c r="AB92" i="112" s="1"/>
  <c r="AB92" i="142" s="1"/>
  <c r="BB194" i="36"/>
  <c r="AB88" i="112" s="1"/>
  <c r="AB88" i="142" s="1"/>
  <c r="R132" i="112"/>
  <c r="R132" i="142" s="1"/>
  <c r="R129" i="142"/>
  <c r="AX189" i="36"/>
  <c r="X83" i="112" s="1"/>
  <c r="X83" i="142" s="1"/>
  <c r="AX197" i="36"/>
  <c r="X91" i="112" s="1"/>
  <c r="X91" i="142" s="1"/>
  <c r="AX190" i="36"/>
  <c r="X84" i="112" s="1"/>
  <c r="X84" i="142" s="1"/>
  <c r="AX186" i="36"/>
  <c r="X80" i="112" s="1"/>
  <c r="X80" i="142" s="1"/>
  <c r="AX191" i="36"/>
  <c r="X85" i="112" s="1"/>
  <c r="X85" i="142" s="1"/>
  <c r="AX185" i="36"/>
  <c r="AX195" i="36"/>
  <c r="X89" i="112" s="1"/>
  <c r="X89" i="142" s="1"/>
  <c r="AX196" i="36"/>
  <c r="X90" i="112" s="1"/>
  <c r="X90" i="142" s="1"/>
  <c r="AX192" i="36"/>
  <c r="X86" i="112" s="1"/>
  <c r="X86" i="142" s="1"/>
  <c r="AX187" i="36"/>
  <c r="X81" i="112" s="1"/>
  <c r="X81" i="142" s="1"/>
  <c r="AX193" i="36"/>
  <c r="X87" i="112" s="1"/>
  <c r="X87" i="142" s="1"/>
  <c r="AX199" i="36"/>
  <c r="X93" i="112" s="1"/>
  <c r="X93" i="142" s="1"/>
  <c r="AX194" i="36"/>
  <c r="X88" i="112" s="1"/>
  <c r="X88" i="142" s="1"/>
  <c r="AX198" i="36"/>
  <c r="X92" i="112" s="1"/>
  <c r="X92" i="142" s="1"/>
  <c r="AX188" i="36"/>
  <c r="X82" i="112" s="1"/>
  <c r="X82" i="142" s="1"/>
  <c r="AS189" i="36"/>
  <c r="S83" i="112" s="1"/>
  <c r="S83" i="142" s="1"/>
  <c r="AS197" i="36"/>
  <c r="S91" i="112" s="1"/>
  <c r="S91" i="142" s="1"/>
  <c r="AS187" i="36"/>
  <c r="S81" i="112" s="1"/>
  <c r="S81" i="142" s="1"/>
  <c r="AS196" i="36"/>
  <c r="S90" i="112" s="1"/>
  <c r="S90" i="142" s="1"/>
  <c r="AS190" i="36"/>
  <c r="S84" i="112" s="1"/>
  <c r="S84" i="142" s="1"/>
  <c r="AS198" i="36"/>
  <c r="S92" i="112" s="1"/>
  <c r="S92" i="142" s="1"/>
  <c r="AS191" i="36"/>
  <c r="S85" i="112" s="1"/>
  <c r="S85" i="142" s="1"/>
  <c r="AS199" i="36"/>
  <c r="S93" i="112" s="1"/>
  <c r="S93" i="142" s="1"/>
  <c r="AS192" i="36"/>
  <c r="S86" i="112" s="1"/>
  <c r="S86" i="142" s="1"/>
  <c r="AS195" i="36"/>
  <c r="S89" i="112" s="1"/>
  <c r="S89" i="142" s="1"/>
  <c r="AS185" i="36"/>
  <c r="AS193" i="36"/>
  <c r="S87" i="112" s="1"/>
  <c r="S87" i="142" s="1"/>
  <c r="AS188" i="36"/>
  <c r="S82" i="112" s="1"/>
  <c r="S82" i="142" s="1"/>
  <c r="AS186" i="36"/>
  <c r="S80" i="112" s="1"/>
  <c r="S80" i="142" s="1"/>
  <c r="AS194" i="36"/>
  <c r="S88" i="112" s="1"/>
  <c r="S88" i="142" s="1"/>
  <c r="T132" i="112"/>
  <c r="T132" i="142" s="1"/>
  <c r="T127" i="142"/>
  <c r="AW189" i="36"/>
  <c r="W83" i="112" s="1"/>
  <c r="W83" i="142" s="1"/>
  <c r="AW197" i="36"/>
  <c r="W91" i="112" s="1"/>
  <c r="W91" i="142" s="1"/>
  <c r="AW196" i="36"/>
  <c r="W90" i="112" s="1"/>
  <c r="W90" i="142" s="1"/>
  <c r="AW190" i="36"/>
  <c r="W84" i="112" s="1"/>
  <c r="W84" i="142" s="1"/>
  <c r="AW198" i="36"/>
  <c r="W92" i="112" s="1"/>
  <c r="W92" i="142" s="1"/>
  <c r="AW191" i="36"/>
  <c r="W85" i="112" s="1"/>
  <c r="W85" i="142" s="1"/>
  <c r="AW199" i="36"/>
  <c r="W93" i="112" s="1"/>
  <c r="W93" i="142" s="1"/>
  <c r="AW192" i="36"/>
  <c r="W86" i="112" s="1"/>
  <c r="W86" i="142" s="1"/>
  <c r="AW186" i="36"/>
  <c r="W80" i="112" s="1"/>
  <c r="W80" i="142" s="1"/>
  <c r="AW193" i="36"/>
  <c r="W87" i="112" s="1"/>
  <c r="W87" i="142" s="1"/>
  <c r="AW185" i="36"/>
  <c r="AW188" i="36"/>
  <c r="W82" i="112" s="1"/>
  <c r="W82" i="142" s="1"/>
  <c r="AW194" i="36"/>
  <c r="W88" i="112" s="1"/>
  <c r="W88" i="142" s="1"/>
  <c r="AW187" i="36"/>
  <c r="W81" i="112" s="1"/>
  <c r="W81" i="142" s="1"/>
  <c r="AW195" i="36"/>
  <c r="W89" i="112" s="1"/>
  <c r="W89" i="142" s="1"/>
  <c r="U125" i="142"/>
  <c r="U132" i="112"/>
  <c r="U132" i="142" s="1"/>
  <c r="V132" i="112"/>
  <c r="V132" i="142" s="1"/>
  <c r="V125" i="142"/>
  <c r="AV192" i="36"/>
  <c r="V86" i="112" s="1"/>
  <c r="V86" i="142" s="1"/>
  <c r="AV186" i="36"/>
  <c r="V80" i="112" s="1"/>
  <c r="V80" i="142" s="1"/>
  <c r="AV191" i="36"/>
  <c r="V85" i="112" s="1"/>
  <c r="V85" i="142" s="1"/>
  <c r="AV193" i="36"/>
  <c r="V87" i="112" s="1"/>
  <c r="V87" i="142" s="1"/>
  <c r="AV185" i="36"/>
  <c r="AV194" i="36"/>
  <c r="V88" i="112" s="1"/>
  <c r="V88" i="142" s="1"/>
  <c r="AV187" i="36"/>
  <c r="V81" i="112" s="1"/>
  <c r="V81" i="142" s="1"/>
  <c r="AV190" i="36"/>
  <c r="V84" i="112" s="1"/>
  <c r="V84" i="142" s="1"/>
  <c r="AV195" i="36"/>
  <c r="V89" i="112" s="1"/>
  <c r="V89" i="142" s="1"/>
  <c r="AV198" i="36"/>
  <c r="V92" i="112" s="1"/>
  <c r="V92" i="142" s="1"/>
  <c r="AV188" i="36"/>
  <c r="V82" i="112" s="1"/>
  <c r="V82" i="142" s="1"/>
  <c r="AV196" i="36"/>
  <c r="V90" i="112" s="1"/>
  <c r="V90" i="142" s="1"/>
  <c r="AV199" i="36"/>
  <c r="V93" i="112" s="1"/>
  <c r="V93" i="142" s="1"/>
  <c r="AV189" i="36"/>
  <c r="V83" i="112" s="1"/>
  <c r="V83" i="142" s="1"/>
  <c r="AV197" i="36"/>
  <c r="V91" i="112" s="1"/>
  <c r="V91" i="142" s="1"/>
  <c r="AB127" i="142"/>
  <c r="Z132" i="112"/>
  <c r="Z132" i="142" s="1"/>
  <c r="Z129" i="142"/>
  <c r="AU185" i="36"/>
  <c r="AU199" i="36"/>
  <c r="U93" i="112" s="1"/>
  <c r="U93" i="142" s="1"/>
  <c r="AU186" i="36"/>
  <c r="U80" i="112" s="1"/>
  <c r="U80" i="142" s="1"/>
  <c r="AU188" i="36"/>
  <c r="U82" i="112" s="1"/>
  <c r="U82" i="142" s="1"/>
  <c r="AU187" i="36"/>
  <c r="U81" i="112" s="1"/>
  <c r="U81" i="142" s="1"/>
  <c r="AU194" i="36"/>
  <c r="U88" i="112" s="1"/>
  <c r="U88" i="142" s="1"/>
  <c r="AU197" i="36"/>
  <c r="U91" i="112" s="1"/>
  <c r="U91" i="142" s="1"/>
  <c r="AU192" i="36"/>
  <c r="U86" i="112" s="1"/>
  <c r="U86" i="142" s="1"/>
  <c r="AU195" i="36"/>
  <c r="U89" i="112" s="1"/>
  <c r="U89" i="142" s="1"/>
  <c r="AU198" i="36"/>
  <c r="U92" i="112" s="1"/>
  <c r="U92" i="142" s="1"/>
  <c r="AU190" i="36"/>
  <c r="U84" i="112" s="1"/>
  <c r="U84" i="142" s="1"/>
  <c r="AU193" i="36"/>
  <c r="U87" i="112" s="1"/>
  <c r="U87" i="142" s="1"/>
  <c r="AU191" i="36"/>
  <c r="U85" i="112" s="1"/>
  <c r="U85" i="142" s="1"/>
  <c r="AU189" i="36"/>
  <c r="U83" i="112" s="1"/>
  <c r="U83" i="142" s="1"/>
  <c r="AU196" i="36"/>
  <c r="U90" i="112" s="1"/>
  <c r="U90" i="142" s="1"/>
  <c r="K5" i="110"/>
  <c r="K39" i="110" s="1"/>
  <c r="S236" i="110"/>
  <c r="P109" i="34"/>
  <c r="P135" i="34" s="1"/>
  <c r="P21" i="36" s="1"/>
  <c r="P99" i="34"/>
  <c r="P125" i="34" s="1"/>
  <c r="P11" i="36" s="1"/>
  <c r="P95" i="34"/>
  <c r="P121" i="34" s="1"/>
  <c r="O109" i="34"/>
  <c r="O135" i="34" s="1"/>
  <c r="O21" i="36" s="1"/>
  <c r="O99" i="34"/>
  <c r="O125" i="34" s="1"/>
  <c r="O11" i="36" s="1"/>
  <c r="O95" i="34"/>
  <c r="O121" i="34" s="1"/>
  <c r="H109" i="34"/>
  <c r="H99" i="34"/>
  <c r="H125" i="34" s="1"/>
  <c r="H11" i="36" s="1"/>
  <c r="H147" i="36" s="1"/>
  <c r="H95" i="34"/>
  <c r="H121" i="34" s="1"/>
  <c r="Q109" i="34"/>
  <c r="Q135" i="34" s="1"/>
  <c r="Q21" i="36" s="1"/>
  <c r="Q99" i="34"/>
  <c r="Q125" i="34" s="1"/>
  <c r="Q11" i="36" s="1"/>
  <c r="Q95" i="34"/>
  <c r="Q121" i="34" s="1"/>
  <c r="M99" i="34"/>
  <c r="M125" i="34" s="1"/>
  <c r="M11" i="36" s="1"/>
  <c r="M95" i="34"/>
  <c r="M121" i="34" s="1"/>
  <c r="M109" i="34"/>
  <c r="M135" i="34" s="1"/>
  <c r="M21" i="36" s="1"/>
  <c r="I109" i="34"/>
  <c r="I135" i="34" s="1"/>
  <c r="I21" i="36" s="1"/>
  <c r="I99" i="34"/>
  <c r="I125" i="34" s="1"/>
  <c r="I11" i="36" s="1"/>
  <c r="I95" i="34"/>
  <c r="I121" i="34" s="1"/>
  <c r="L99" i="34"/>
  <c r="L125" i="34" s="1"/>
  <c r="L11" i="36" s="1"/>
  <c r="L95" i="34"/>
  <c r="L121" i="34" s="1"/>
  <c r="L109" i="34"/>
  <c r="L135" i="34" s="1"/>
  <c r="L21" i="36" s="1"/>
  <c r="G109" i="34"/>
  <c r="G135" i="34" s="1"/>
  <c r="G21" i="36" s="1"/>
  <c r="G99" i="34"/>
  <c r="G125" i="34" s="1"/>
  <c r="G11" i="36" s="1"/>
  <c r="G95" i="34"/>
  <c r="G121" i="34" s="1"/>
  <c r="F109" i="34"/>
  <c r="F135" i="34" s="1"/>
  <c r="F21" i="36" s="1"/>
  <c r="F99" i="34"/>
  <c r="F125" i="34" s="1"/>
  <c r="F11" i="36" s="1"/>
  <c r="F95" i="34"/>
  <c r="F121" i="34" s="1"/>
  <c r="R231" i="110"/>
  <c r="R230" i="110"/>
  <c r="R252" i="110"/>
  <c r="R229" i="110"/>
  <c r="AA248" i="110"/>
  <c r="S242" i="110"/>
  <c r="R232" i="110"/>
  <c r="S243" i="110"/>
  <c r="S252" i="110"/>
  <c r="T248" i="110"/>
  <c r="S248" i="110"/>
  <c r="R248" i="110"/>
  <c r="W63" i="112"/>
  <c r="W63" i="142" s="1"/>
  <c r="W67" i="112"/>
  <c r="W67" i="142" s="1"/>
  <c r="W71" i="112"/>
  <c r="W71" i="142" s="1"/>
  <c r="W60" i="112"/>
  <c r="W60" i="142" s="1"/>
  <c r="W68" i="112"/>
  <c r="W68" i="142" s="1"/>
  <c r="W62" i="112"/>
  <c r="W62" i="142" s="1"/>
  <c r="W66" i="112"/>
  <c r="W66" i="142" s="1"/>
  <c r="W70" i="112"/>
  <c r="W70" i="142" s="1"/>
  <c r="W74" i="112"/>
  <c r="W74" i="142" s="1"/>
  <c r="W61" i="112"/>
  <c r="W61" i="142" s="1"/>
  <c r="W65" i="112"/>
  <c r="W65" i="142" s="1"/>
  <c r="W69" i="112"/>
  <c r="W69" i="142" s="1"/>
  <c r="W73" i="112"/>
  <c r="W73" i="142" s="1"/>
  <c r="V60" i="112"/>
  <c r="V60" i="142" s="1"/>
  <c r="V61" i="112"/>
  <c r="V61" i="142" s="1"/>
  <c r="V62" i="112"/>
  <c r="V62" i="142" s="1"/>
  <c r="V63" i="112"/>
  <c r="V63" i="142" s="1"/>
  <c r="V65" i="112"/>
  <c r="V65" i="142" s="1"/>
  <c r="V66" i="112"/>
  <c r="V66" i="142" s="1"/>
  <c r="V67" i="112"/>
  <c r="V67" i="142" s="1"/>
  <c r="V68" i="112"/>
  <c r="V68" i="142" s="1"/>
  <c r="V69" i="112"/>
  <c r="V69" i="142" s="1"/>
  <c r="V70" i="112"/>
  <c r="V70" i="142" s="1"/>
  <c r="V71" i="112"/>
  <c r="V71" i="142" s="1"/>
  <c r="V73" i="112"/>
  <c r="V73" i="142" s="1"/>
  <c r="V74" i="112"/>
  <c r="V74" i="142" s="1"/>
  <c r="U60" i="112"/>
  <c r="U60" i="142" s="1"/>
  <c r="U61" i="112"/>
  <c r="U61" i="142" s="1"/>
  <c r="U62" i="112"/>
  <c r="U62" i="142" s="1"/>
  <c r="U63" i="112"/>
  <c r="U63" i="142" s="1"/>
  <c r="U65" i="112"/>
  <c r="U65" i="142" s="1"/>
  <c r="U66" i="112"/>
  <c r="U66" i="142" s="1"/>
  <c r="U67" i="112"/>
  <c r="U67" i="142" s="1"/>
  <c r="U68" i="112"/>
  <c r="U68" i="142" s="1"/>
  <c r="U69" i="112"/>
  <c r="U69" i="142" s="1"/>
  <c r="U70" i="112"/>
  <c r="U70" i="142" s="1"/>
  <c r="U71" i="112"/>
  <c r="U71" i="142" s="1"/>
  <c r="U73" i="112"/>
  <c r="U73" i="142" s="1"/>
  <c r="U74" i="112"/>
  <c r="U74" i="142" s="1"/>
  <c r="AB60" i="112"/>
  <c r="AB60" i="142" s="1"/>
  <c r="AB61" i="112"/>
  <c r="AB61" i="142" s="1"/>
  <c r="AB62" i="112"/>
  <c r="AB62" i="142" s="1"/>
  <c r="AB63" i="112"/>
  <c r="AB63" i="142" s="1"/>
  <c r="AB65" i="112"/>
  <c r="AB65" i="142" s="1"/>
  <c r="AB66" i="112"/>
  <c r="AB66" i="142" s="1"/>
  <c r="AB67" i="112"/>
  <c r="AB67" i="142" s="1"/>
  <c r="AB68" i="112"/>
  <c r="AB68" i="142" s="1"/>
  <c r="AB69" i="112"/>
  <c r="AB69" i="142" s="1"/>
  <c r="AB70" i="112"/>
  <c r="AB70" i="142" s="1"/>
  <c r="AB71" i="112"/>
  <c r="AB71" i="142" s="1"/>
  <c r="AB73" i="112"/>
  <c r="AB73" i="142" s="1"/>
  <c r="AB74" i="112"/>
  <c r="AB74" i="142" s="1"/>
  <c r="T60" i="112"/>
  <c r="T60" i="142" s="1"/>
  <c r="T61" i="112"/>
  <c r="T61" i="142" s="1"/>
  <c r="T62" i="112"/>
  <c r="T62" i="142" s="1"/>
  <c r="T63" i="112"/>
  <c r="T63" i="142" s="1"/>
  <c r="T65" i="112"/>
  <c r="T65" i="142" s="1"/>
  <c r="T66" i="112"/>
  <c r="T66" i="142" s="1"/>
  <c r="T67" i="112"/>
  <c r="T67" i="142" s="1"/>
  <c r="T68" i="112"/>
  <c r="T68" i="142" s="1"/>
  <c r="T69" i="112"/>
  <c r="T69" i="142" s="1"/>
  <c r="T70" i="112"/>
  <c r="T70" i="142" s="1"/>
  <c r="T71" i="112"/>
  <c r="T71" i="142" s="1"/>
  <c r="T73" i="112"/>
  <c r="T73" i="142" s="1"/>
  <c r="T74" i="112"/>
  <c r="T74" i="142" s="1"/>
  <c r="X69" i="112"/>
  <c r="X69" i="142" s="1"/>
  <c r="X73" i="112"/>
  <c r="X73" i="142" s="1"/>
  <c r="X63" i="112"/>
  <c r="X63" i="142" s="1"/>
  <c r="X67" i="112"/>
  <c r="X67" i="142" s="1"/>
  <c r="X71" i="112"/>
  <c r="X71" i="142" s="1"/>
  <c r="X60" i="112"/>
  <c r="X60" i="142" s="1"/>
  <c r="X68" i="112"/>
  <c r="X68" i="142" s="1"/>
  <c r="X62" i="112"/>
  <c r="X62" i="142" s="1"/>
  <c r="X66" i="112"/>
  <c r="X66" i="142" s="1"/>
  <c r="X70" i="112"/>
  <c r="X70" i="142" s="1"/>
  <c r="X74" i="112"/>
  <c r="X74" i="142" s="1"/>
  <c r="X61" i="112"/>
  <c r="X61" i="142" s="1"/>
  <c r="X65" i="112"/>
  <c r="X65" i="142" s="1"/>
  <c r="AA60" i="112"/>
  <c r="AA60" i="142" s="1"/>
  <c r="AA61" i="112"/>
  <c r="AA61" i="142" s="1"/>
  <c r="AA62" i="112"/>
  <c r="AA62" i="142" s="1"/>
  <c r="AA63" i="112"/>
  <c r="AA63" i="142" s="1"/>
  <c r="AA65" i="112"/>
  <c r="AA65" i="142" s="1"/>
  <c r="AA66" i="112"/>
  <c r="AA66" i="142" s="1"/>
  <c r="AA67" i="112"/>
  <c r="AA67" i="142" s="1"/>
  <c r="AA68" i="112"/>
  <c r="AA68" i="142" s="1"/>
  <c r="AA69" i="112"/>
  <c r="AA69" i="142" s="1"/>
  <c r="AA70" i="112"/>
  <c r="AA70" i="142" s="1"/>
  <c r="AA71" i="112"/>
  <c r="AA71" i="142" s="1"/>
  <c r="AA73" i="112"/>
  <c r="AA73" i="142" s="1"/>
  <c r="AA74" i="112"/>
  <c r="AA74" i="142" s="1"/>
  <c r="S60" i="112"/>
  <c r="S60" i="142" s="1"/>
  <c r="S61" i="112"/>
  <c r="S61" i="142" s="1"/>
  <c r="S62" i="112"/>
  <c r="S62" i="142" s="1"/>
  <c r="S63" i="112"/>
  <c r="S63" i="142" s="1"/>
  <c r="S65" i="112"/>
  <c r="S65" i="142" s="1"/>
  <c r="S66" i="112"/>
  <c r="S66" i="142" s="1"/>
  <c r="S67" i="112"/>
  <c r="S67" i="142" s="1"/>
  <c r="S68" i="112"/>
  <c r="S68" i="142" s="1"/>
  <c r="S69" i="112"/>
  <c r="S69" i="142" s="1"/>
  <c r="S70" i="112"/>
  <c r="S70" i="142" s="1"/>
  <c r="S71" i="112"/>
  <c r="S71" i="142" s="1"/>
  <c r="S73" i="112"/>
  <c r="S73" i="142" s="1"/>
  <c r="S74" i="112"/>
  <c r="S74" i="142" s="1"/>
  <c r="Z60" i="112"/>
  <c r="Z60" i="142" s="1"/>
  <c r="Z61" i="112"/>
  <c r="Z61" i="142" s="1"/>
  <c r="Z62" i="112"/>
  <c r="Z62" i="142" s="1"/>
  <c r="Z63" i="112"/>
  <c r="Z63" i="142" s="1"/>
  <c r="Z65" i="112"/>
  <c r="Z65" i="142" s="1"/>
  <c r="Z66" i="112"/>
  <c r="Z66" i="142" s="1"/>
  <c r="Z67" i="112"/>
  <c r="Z67" i="142" s="1"/>
  <c r="Z68" i="112"/>
  <c r="Z68" i="142" s="1"/>
  <c r="Z69" i="112"/>
  <c r="Z69" i="142" s="1"/>
  <c r="Z70" i="112"/>
  <c r="Z70" i="142" s="1"/>
  <c r="Z71" i="112"/>
  <c r="Z71" i="142" s="1"/>
  <c r="Z73" i="112"/>
  <c r="Z73" i="142" s="1"/>
  <c r="Z74" i="112"/>
  <c r="Z74" i="142" s="1"/>
  <c r="R60" i="112"/>
  <c r="R60" i="142" s="1"/>
  <c r="R61" i="112"/>
  <c r="R61" i="142" s="1"/>
  <c r="R62" i="112"/>
  <c r="R62" i="142" s="1"/>
  <c r="R63" i="112"/>
  <c r="R63" i="142" s="1"/>
  <c r="R65" i="112"/>
  <c r="R65" i="142" s="1"/>
  <c r="R66" i="112"/>
  <c r="R66" i="142" s="1"/>
  <c r="R67" i="112"/>
  <c r="R67" i="142" s="1"/>
  <c r="R68" i="112"/>
  <c r="R68" i="142" s="1"/>
  <c r="R69" i="112"/>
  <c r="R69" i="142" s="1"/>
  <c r="R70" i="112"/>
  <c r="R70" i="142" s="1"/>
  <c r="R71" i="112"/>
  <c r="R71" i="142" s="1"/>
  <c r="R73" i="112"/>
  <c r="R73" i="142" s="1"/>
  <c r="R74" i="112"/>
  <c r="R74" i="142" s="1"/>
  <c r="Y60" i="112"/>
  <c r="Y60" i="142" s="1"/>
  <c r="Y61" i="112"/>
  <c r="Y61" i="142" s="1"/>
  <c r="Y62" i="112"/>
  <c r="Y62" i="142" s="1"/>
  <c r="Y63" i="112"/>
  <c r="Y63" i="142" s="1"/>
  <c r="Y65" i="112"/>
  <c r="Y65" i="142" s="1"/>
  <c r="Y66" i="112"/>
  <c r="Y66" i="142" s="1"/>
  <c r="Y67" i="112"/>
  <c r="Y67" i="142" s="1"/>
  <c r="Y68" i="112"/>
  <c r="Y68" i="142" s="1"/>
  <c r="Y69" i="112"/>
  <c r="Y69" i="142" s="1"/>
  <c r="Y70" i="112"/>
  <c r="Y70" i="142" s="1"/>
  <c r="Y71" i="112"/>
  <c r="Y71" i="142" s="1"/>
  <c r="Y73" i="112"/>
  <c r="Y73" i="142" s="1"/>
  <c r="Y74" i="112"/>
  <c r="Y74" i="142" s="1"/>
  <c r="R238" i="110"/>
  <c r="S238" i="110"/>
  <c r="R242" i="110"/>
  <c r="R227" i="110"/>
  <c r="M139" i="34"/>
  <c r="AR49" i="110" s="1"/>
  <c r="AL49" i="110"/>
  <c r="L139" i="34"/>
  <c r="AQ49" i="110" s="1"/>
  <c r="O139" i="34"/>
  <c r="AT49" i="110" s="1"/>
  <c r="I139" i="34"/>
  <c r="AN49" i="110" s="1"/>
  <c r="P139" i="34"/>
  <c r="AU49" i="110" s="1"/>
  <c r="H139" i="34"/>
  <c r="F139" i="34"/>
  <c r="AK49" i="110" s="1"/>
  <c r="N152" i="36"/>
  <c r="N124" i="36"/>
  <c r="N157" i="36"/>
  <c r="N129" i="36"/>
  <c r="N147" i="36"/>
  <c r="N119" i="36"/>
  <c r="AF8" i="35"/>
  <c r="F14" i="35"/>
  <c r="F21" i="35" s="1"/>
  <c r="R120" i="36"/>
  <c r="S120" i="36"/>
  <c r="T120" i="36"/>
  <c r="U120" i="36"/>
  <c r="V120" i="36"/>
  <c r="W120" i="36"/>
  <c r="X120" i="36"/>
  <c r="Y120" i="36"/>
  <c r="Z120" i="36"/>
  <c r="AA120" i="36"/>
  <c r="AB120" i="36"/>
  <c r="D76" i="36"/>
  <c r="D57" i="36"/>
  <c r="AM8" i="35"/>
  <c r="M14" i="35"/>
  <c r="Q139" i="34"/>
  <c r="AV49" i="110" s="1"/>
  <c r="D14" i="35"/>
  <c r="D21" i="35" s="1"/>
  <c r="E3" i="110"/>
  <c r="E37" i="110" s="1"/>
  <c r="E54" i="110" s="1"/>
  <c r="S237" i="110"/>
  <c r="E10" i="36"/>
  <c r="E146" i="36" s="1"/>
  <c r="S240" i="110"/>
  <c r="R236" i="110"/>
  <c r="S239" i="110"/>
  <c r="S233" i="110"/>
  <c r="S229" i="110"/>
  <c r="BE329" i="110"/>
  <c r="AO107" i="110"/>
  <c r="AO90" i="110"/>
  <c r="BD329" i="110"/>
  <c r="BD411" i="110" s="1"/>
  <c r="R243" i="110"/>
  <c r="BD331" i="110"/>
  <c r="AT90" i="110"/>
  <c r="AT107" i="110"/>
  <c r="AL107" i="110"/>
  <c r="AL90" i="110"/>
  <c r="AS107" i="110"/>
  <c r="AS90" i="110"/>
  <c r="AU107" i="110"/>
  <c r="AU90" i="110"/>
  <c r="AK90" i="110"/>
  <c r="AK107" i="110"/>
  <c r="AM107" i="110"/>
  <c r="AM90" i="110"/>
  <c r="AV90" i="110"/>
  <c r="AV107" i="110"/>
  <c r="AN90" i="110"/>
  <c r="AN107" i="110"/>
  <c r="AQ90" i="110"/>
  <c r="AQ107" i="110"/>
  <c r="AJ107" i="110"/>
  <c r="AJ90" i="110"/>
  <c r="AR107" i="110"/>
  <c r="AR90" i="110"/>
  <c r="D10" i="36"/>
  <c r="D118" i="36" s="1"/>
  <c r="AW327" i="110"/>
  <c r="S234" i="110"/>
  <c r="BA327" i="110"/>
  <c r="BA331" i="110"/>
  <c r="S227" i="110"/>
  <c r="BB324" i="110"/>
  <c r="BB333" i="110"/>
  <c r="BA332" i="110"/>
  <c r="AZ329" i="110"/>
  <c r="D3" i="36"/>
  <c r="AI37" i="110"/>
  <c r="AP107" i="110"/>
  <c r="BD320" i="110"/>
  <c r="S241" i="110"/>
  <c r="S231" i="110"/>
  <c r="AX320" i="110"/>
  <c r="S230" i="110"/>
  <c r="R234" i="110"/>
  <c r="AM106" i="110"/>
  <c r="AT106" i="110"/>
  <c r="AT89" i="110"/>
  <c r="AO106" i="110"/>
  <c r="AO89" i="110"/>
  <c r="AJ106" i="110"/>
  <c r="AJ89" i="110"/>
  <c r="AP89" i="110"/>
  <c r="AP174" i="110" s="1"/>
  <c r="AP106" i="110"/>
  <c r="AU89" i="110"/>
  <c r="AU106" i="110"/>
  <c r="AV89" i="110"/>
  <c r="AV106" i="110"/>
  <c r="AK89" i="110"/>
  <c r="AK106" i="110"/>
  <c r="AR89" i="110"/>
  <c r="AR106" i="110"/>
  <c r="AI89" i="110"/>
  <c r="AI106" i="110"/>
  <c r="AQ89" i="110"/>
  <c r="AQ106" i="110"/>
  <c r="AS89" i="110"/>
  <c r="AS106" i="110"/>
  <c r="AL89" i="110"/>
  <c r="AL106" i="110"/>
  <c r="AN106" i="110"/>
  <c r="AN89" i="110"/>
  <c r="BE324" i="110"/>
  <c r="AY331" i="110"/>
  <c r="BD332" i="110"/>
  <c r="AV330" i="110"/>
  <c r="AV320" i="110"/>
  <c r="S228" i="110"/>
  <c r="AW328" i="110"/>
  <c r="AW410" i="110" s="1"/>
  <c r="BE333" i="110"/>
  <c r="BE406" i="110" s="1"/>
  <c r="AZ328" i="110"/>
  <c r="AZ332" i="110"/>
  <c r="BF324" i="110"/>
  <c r="BA330" i="110"/>
  <c r="BE331" i="110"/>
  <c r="BC327" i="110"/>
  <c r="R241" i="110"/>
  <c r="BF320" i="110"/>
  <c r="AV324" i="110"/>
  <c r="BF333" i="110"/>
  <c r="BD333" i="110"/>
  <c r="BC329" i="110"/>
  <c r="AV331" i="110"/>
  <c r="Y232" i="110"/>
  <c r="AB233" i="110"/>
  <c r="S232" i="110"/>
  <c r="AA233" i="110"/>
  <c r="R228" i="110"/>
  <c r="U251" i="110"/>
  <c r="V246" i="110"/>
  <c r="X245" i="110"/>
  <c r="Y246" i="110"/>
  <c r="Z247" i="110"/>
  <c r="X251" i="110"/>
  <c r="AB250" i="110"/>
  <c r="Y245" i="110"/>
  <c r="T251" i="110"/>
  <c r="BE327" i="110"/>
  <c r="AV334" i="110"/>
  <c r="AZ334" i="110"/>
  <c r="BA320" i="110"/>
  <c r="BF327" i="110"/>
  <c r="BE328" i="110"/>
  <c r="BE332" i="110"/>
  <c r="AY328" i="110"/>
  <c r="AX330" i="110"/>
  <c r="AW320" i="110"/>
  <c r="AY332" i="110"/>
  <c r="BB320" i="110"/>
  <c r="BC320" i="110"/>
  <c r="AZ330" i="110"/>
  <c r="AY320" i="110"/>
  <c r="BA334" i="110"/>
  <c r="AY334" i="110"/>
  <c r="BD330" i="110"/>
  <c r="BB330" i="110"/>
  <c r="AW334" i="110"/>
  <c r="BC324" i="110"/>
  <c r="AZ320" i="110"/>
  <c r="AX334" i="110"/>
  <c r="BE330" i="110"/>
  <c r="BC334" i="110"/>
  <c r="BF334" i="110"/>
  <c r="BF330" i="110"/>
  <c r="AY324" i="110"/>
  <c r="BD324" i="110"/>
  <c r="BC330" i="110"/>
  <c r="AW330" i="110"/>
  <c r="AY330" i="110"/>
  <c r="BD334" i="110"/>
  <c r="BB334" i="110"/>
  <c r="BE334" i="110"/>
  <c r="AW324" i="110"/>
  <c r="BA324" i="110"/>
  <c r="BF329" i="110"/>
  <c r="AY333" i="110"/>
  <c r="BD327" i="110"/>
  <c r="BB327" i="110"/>
  <c r="R239" i="110"/>
  <c r="BA328" i="110"/>
  <c r="BB331" i="110"/>
  <c r="AA238" i="110"/>
  <c r="W237" i="110"/>
  <c r="V236" i="110"/>
  <c r="AA239" i="110"/>
  <c r="BE320" i="110"/>
  <c r="W236" i="110"/>
  <c r="V243" i="110"/>
  <c r="AZ324" i="110"/>
  <c r="X236" i="110"/>
  <c r="U236" i="110"/>
  <c r="V238" i="110"/>
  <c r="T243" i="110"/>
  <c r="AX324" i="110"/>
  <c r="R240" i="110"/>
  <c r="BD328" i="110"/>
  <c r="BA333" i="110"/>
  <c r="AX329" i="110"/>
  <c r="AA132" i="111"/>
  <c r="AA132" i="141" s="1"/>
  <c r="BC318" i="110"/>
  <c r="Y219" i="110"/>
  <c r="BC321" i="110"/>
  <c r="Y222" i="110"/>
  <c r="BF332" i="110"/>
  <c r="BB328" i="110"/>
  <c r="AZ331" i="110"/>
  <c r="Y233" i="110"/>
  <c r="Y248" i="110"/>
  <c r="AA231" i="110"/>
  <c r="U221" i="110"/>
  <c r="BE319" i="110"/>
  <c r="AA220" i="110"/>
  <c r="BF323" i="110"/>
  <c r="AB224" i="110"/>
  <c r="U229" i="110"/>
  <c r="T228" i="110"/>
  <c r="AA237" i="110"/>
  <c r="BC317" i="110"/>
  <c r="Y218" i="110"/>
  <c r="BD317" i="110"/>
  <c r="Z218" i="110"/>
  <c r="T234" i="110"/>
  <c r="AA236" i="110"/>
  <c r="Y225" i="110"/>
  <c r="W239" i="110"/>
  <c r="V228" i="110"/>
  <c r="Y236" i="110"/>
  <c r="AB237" i="110"/>
  <c r="W242" i="110"/>
  <c r="U248" i="110"/>
  <c r="V248" i="110"/>
  <c r="U232" i="110"/>
  <c r="Z231" i="110"/>
  <c r="U243" i="110"/>
  <c r="BF317" i="110"/>
  <c r="AB218" i="110"/>
  <c r="U241" i="110"/>
  <c r="Z243" i="110"/>
  <c r="Z227" i="110"/>
  <c r="U237" i="110"/>
  <c r="BF322" i="110"/>
  <c r="AB223" i="110"/>
  <c r="W221" i="110"/>
  <c r="X225" i="110"/>
  <c r="BB322" i="110"/>
  <c r="X223" i="110"/>
  <c r="Z251" i="110"/>
  <c r="AA246" i="110"/>
  <c r="V250" i="110"/>
  <c r="W246" i="110"/>
  <c r="AB245" i="110"/>
  <c r="Z249" i="110"/>
  <c r="AX322" i="110"/>
  <c r="T223" i="110"/>
  <c r="W250" i="110"/>
  <c r="BB332" i="110"/>
  <c r="BC331" i="110"/>
  <c r="BC328" i="110"/>
  <c r="AX333" i="110"/>
  <c r="AX331" i="110"/>
  <c r="AW331" i="110"/>
  <c r="AZ327" i="110"/>
  <c r="AY329" i="110"/>
  <c r="AX327" i="110"/>
  <c r="Y231" i="110"/>
  <c r="AB252" i="110"/>
  <c r="Z241" i="110"/>
  <c r="Z232" i="110"/>
  <c r="BD322" i="110"/>
  <c r="Z223" i="110"/>
  <c r="AA230" i="110"/>
  <c r="AY319" i="110"/>
  <c r="U220" i="110"/>
  <c r="BE318" i="110"/>
  <c r="AA219" i="110"/>
  <c r="BF319" i="110"/>
  <c r="AB220" i="110"/>
  <c r="AB236" i="110"/>
  <c r="AY318" i="110"/>
  <c r="U219" i="110"/>
  <c r="BE317" i="110"/>
  <c r="AA218" i="110"/>
  <c r="AB221" i="110"/>
  <c r="Y237" i="110"/>
  <c r="AZ318" i="110"/>
  <c r="V219" i="110"/>
  <c r="T238" i="110"/>
  <c r="U233" i="110"/>
  <c r="AA252" i="110"/>
  <c r="T229" i="110"/>
  <c r="T221" i="110"/>
  <c r="W232" i="110"/>
  <c r="AY321" i="110"/>
  <c r="U222" i="110"/>
  <c r="X242" i="110"/>
  <c r="AB240" i="110"/>
  <c r="W229" i="110"/>
  <c r="X233" i="110"/>
  <c r="X241" i="110"/>
  <c r="AB238" i="110"/>
  <c r="BB319" i="110"/>
  <c r="X220" i="110"/>
  <c r="BA318" i="110"/>
  <c r="W219" i="110"/>
  <c r="T249" i="110"/>
  <c r="V245" i="110"/>
  <c r="T247" i="110"/>
  <c r="Z245" i="110"/>
  <c r="X250" i="110"/>
  <c r="T250" i="110"/>
  <c r="U246" i="110"/>
  <c r="AA250" i="110"/>
  <c r="Z132" i="111"/>
  <c r="Z132" i="141" s="1"/>
  <c r="T132" i="111"/>
  <c r="T132" i="141" s="1"/>
  <c r="BD321" i="110"/>
  <c r="Z222" i="110"/>
  <c r="Y230" i="110"/>
  <c r="Y228" i="110"/>
  <c r="X231" i="110"/>
  <c r="X239" i="110"/>
  <c r="U242" i="110"/>
  <c r="Z242" i="110"/>
  <c r="Z228" i="110"/>
  <c r="BD318" i="110"/>
  <c r="Z219" i="110"/>
  <c r="Z240" i="110"/>
  <c r="Z233" i="110"/>
  <c r="BD323" i="110"/>
  <c r="Z224" i="110"/>
  <c r="W243" i="110"/>
  <c r="U252" i="110"/>
  <c r="W233" i="110"/>
  <c r="AB230" i="110"/>
  <c r="AA227" i="110"/>
  <c r="W252" i="110"/>
  <c r="AA242" i="110"/>
  <c r="V241" i="110"/>
  <c r="Z237" i="110"/>
  <c r="Y241" i="110"/>
  <c r="BC319" i="110"/>
  <c r="Y220" i="110"/>
  <c r="AB227" i="110"/>
  <c r="Y239" i="110"/>
  <c r="BB317" i="110"/>
  <c r="X218" i="110"/>
  <c r="Y251" i="110"/>
  <c r="AA245" i="110"/>
  <c r="W249" i="110"/>
  <c r="V251" i="110"/>
  <c r="AB247" i="110"/>
  <c r="Z246" i="110"/>
  <c r="X247" i="110"/>
  <c r="R132" i="111"/>
  <c r="R132" i="141" s="1"/>
  <c r="U132" i="111"/>
  <c r="U132" i="141" s="1"/>
  <c r="T232" i="110"/>
  <c r="AZ322" i="110"/>
  <c r="V223" i="110"/>
  <c r="AZ317" i="110"/>
  <c r="V218" i="110"/>
  <c r="AY323" i="110"/>
  <c r="U224" i="110"/>
  <c r="Y221" i="110"/>
  <c r="BA323" i="110"/>
  <c r="W224" i="110"/>
  <c r="BA329" i="110"/>
  <c r="AW333" i="110"/>
  <c r="AV333" i="110"/>
  <c r="AZ333" i="110"/>
  <c r="T252" i="110"/>
  <c r="Y227" i="110"/>
  <c r="AB234" i="110"/>
  <c r="Y242" i="110"/>
  <c r="AB243" i="110"/>
  <c r="X230" i="110"/>
  <c r="X238" i="110"/>
  <c r="U240" i="110"/>
  <c r="X229" i="110"/>
  <c r="X237" i="110"/>
  <c r="U238" i="110"/>
  <c r="AA229" i="110"/>
  <c r="T233" i="110"/>
  <c r="T225" i="110"/>
  <c r="V242" i="110"/>
  <c r="X240" i="110"/>
  <c r="Z236" i="110"/>
  <c r="U225" i="110"/>
  <c r="BE323" i="110"/>
  <c r="AA224" i="110"/>
  <c r="BC322" i="110"/>
  <c r="Y223" i="110"/>
  <c r="AB231" i="110"/>
  <c r="T241" i="110"/>
  <c r="V252" i="110"/>
  <c r="V233" i="110"/>
  <c r="T239" i="110"/>
  <c r="X248" i="110"/>
  <c r="W225" i="110"/>
  <c r="BA322" i="110"/>
  <c r="W223" i="110"/>
  <c r="X246" i="110"/>
  <c r="T246" i="110"/>
  <c r="U247" i="110"/>
  <c r="T245" i="110"/>
  <c r="U249" i="110"/>
  <c r="AA251" i="110"/>
  <c r="Z221" i="110"/>
  <c r="BA317" i="110"/>
  <c r="W218" i="110"/>
  <c r="BC333" i="110"/>
  <c r="BF331" i="110"/>
  <c r="AW332" i="110"/>
  <c r="AV332" i="110"/>
  <c r="AV329" i="110"/>
  <c r="AX328" i="110"/>
  <c r="Y252" i="110"/>
  <c r="Y234" i="110"/>
  <c r="V231" i="110"/>
  <c r="T236" i="110"/>
  <c r="U228" i="110"/>
  <c r="AB232" i="110"/>
  <c r="Y240" i="110"/>
  <c r="AB241" i="110"/>
  <c r="AB228" i="110"/>
  <c r="Y238" i="110"/>
  <c r="AB239" i="110"/>
  <c r="AA228" i="110"/>
  <c r="W248" i="110"/>
  <c r="AA243" i="110"/>
  <c r="BC323" i="110"/>
  <c r="Y224" i="110"/>
  <c r="AX321" i="110"/>
  <c r="T222" i="110"/>
  <c r="X227" i="110"/>
  <c r="Z230" i="110"/>
  <c r="Z225" i="110"/>
  <c r="AB225" i="110"/>
  <c r="V225" i="110"/>
  <c r="AX319" i="110"/>
  <c r="T220" i="110"/>
  <c r="X252" i="110"/>
  <c r="U231" i="110"/>
  <c r="AA234" i="110"/>
  <c r="AZ323" i="110"/>
  <c r="V224" i="110"/>
  <c r="AX323" i="110"/>
  <c r="T224" i="110"/>
  <c r="Z248" i="110"/>
  <c r="U230" i="110"/>
  <c r="BA319" i="110"/>
  <c r="W220" i="110"/>
  <c r="BA321" i="110"/>
  <c r="W222" i="110"/>
  <c r="BB323" i="110"/>
  <c r="X224" i="110"/>
  <c r="BB321" i="110"/>
  <c r="X222" i="110"/>
  <c r="AB246" i="110"/>
  <c r="Z250" i="110"/>
  <c r="Y250" i="110"/>
  <c r="W247" i="110"/>
  <c r="X249" i="110"/>
  <c r="V247" i="110"/>
  <c r="Y132" i="111"/>
  <c r="Y132" i="141" s="1"/>
  <c r="AB132" i="111"/>
  <c r="AB132" i="141" s="1"/>
  <c r="S132" i="111"/>
  <c r="S132" i="141" s="1"/>
  <c r="W132" i="111"/>
  <c r="W132" i="141" s="1"/>
  <c r="BF318" i="110"/>
  <c r="AB219" i="110"/>
  <c r="AY322" i="110"/>
  <c r="U223" i="110"/>
  <c r="AX332" i="110"/>
  <c r="AW329" i="110"/>
  <c r="AB248" i="110"/>
  <c r="T227" i="110"/>
  <c r="AZ321" i="110"/>
  <c r="V222" i="110"/>
  <c r="W228" i="110"/>
  <c r="Z239" i="110"/>
  <c r="V230" i="110"/>
  <c r="T242" i="110"/>
  <c r="U227" i="110"/>
  <c r="V229" i="110"/>
  <c r="T240" i="110"/>
  <c r="U234" i="110"/>
  <c r="Z238" i="110"/>
  <c r="AY317" i="110"/>
  <c r="U218" i="110"/>
  <c r="AA225" i="110"/>
  <c r="BF321" i="110"/>
  <c r="AB222" i="110"/>
  <c r="AB229" i="110"/>
  <c r="X243" i="110"/>
  <c r="U239" i="110"/>
  <c r="W241" i="110"/>
  <c r="AA241" i="110"/>
  <c r="W231" i="110"/>
  <c r="AA232" i="110"/>
  <c r="X234" i="110"/>
  <c r="W240" i="110"/>
  <c r="AA240" i="110"/>
  <c r="W230" i="110"/>
  <c r="X221" i="110"/>
  <c r="BB318" i="110"/>
  <c r="X219" i="110"/>
  <c r="AA249" i="110"/>
  <c r="Y249" i="110"/>
  <c r="AA247" i="110"/>
  <c r="W251" i="110"/>
  <c r="U245" i="110"/>
  <c r="AB251" i="110"/>
  <c r="Y247" i="110"/>
  <c r="X132" i="111"/>
  <c r="X132" i="141" s="1"/>
  <c r="AX318" i="110"/>
  <c r="T219" i="110"/>
  <c r="BB329" i="110"/>
  <c r="BC332" i="110"/>
  <c r="BF328" i="110"/>
  <c r="AV328" i="110"/>
  <c r="AV327" i="110"/>
  <c r="AY327" i="110"/>
  <c r="Y229" i="110"/>
  <c r="T237" i="110"/>
  <c r="W238" i="110"/>
  <c r="AX317" i="110"/>
  <c r="T218" i="110"/>
  <c r="V237" i="110"/>
  <c r="AA221" i="110"/>
  <c r="V221" i="110"/>
  <c r="W227" i="110"/>
  <c r="Z234" i="110"/>
  <c r="AZ319" i="110"/>
  <c r="V220" i="110"/>
  <c r="W234" i="110"/>
  <c r="X232" i="110"/>
  <c r="X228" i="110"/>
  <c r="Z229" i="110"/>
  <c r="BD319" i="110"/>
  <c r="Z220" i="110"/>
  <c r="Z252" i="110"/>
  <c r="V227" i="110"/>
  <c r="Y243" i="110"/>
  <c r="AB242" i="110"/>
  <c r="T230" i="110"/>
  <c r="BE322" i="110"/>
  <c r="AA223" i="110"/>
  <c r="V240" i="110"/>
  <c r="V232" i="110"/>
  <c r="V234" i="110"/>
  <c r="T231" i="110"/>
  <c r="BE321" i="110"/>
  <c r="AA222" i="110"/>
  <c r="V239" i="110"/>
  <c r="AB249" i="110"/>
  <c r="U250" i="110"/>
  <c r="V249" i="110"/>
  <c r="W245" i="110"/>
  <c r="V132" i="111"/>
  <c r="V132" i="141" s="1"/>
  <c r="K94" i="133"/>
  <c r="J94" i="133"/>
  <c r="H94" i="133"/>
  <c r="L94" i="133"/>
  <c r="M94" i="133"/>
  <c r="P94" i="133"/>
  <c r="I94" i="133"/>
  <c r="O94" i="133"/>
  <c r="S221" i="110"/>
  <c r="R220" i="110"/>
  <c r="AV319" i="110"/>
  <c r="S225" i="110"/>
  <c r="S223" i="110"/>
  <c r="AW322" i="110"/>
  <c r="S222" i="110"/>
  <c r="AW321" i="110"/>
  <c r="R224" i="110"/>
  <c r="AV323" i="110"/>
  <c r="R218" i="110"/>
  <c r="AV317" i="110"/>
  <c r="S218" i="110"/>
  <c r="AW317" i="110"/>
  <c r="R219" i="110"/>
  <c r="AV318" i="110"/>
  <c r="R223" i="110"/>
  <c r="AV322" i="110"/>
  <c r="S220" i="110"/>
  <c r="AW319" i="110"/>
  <c r="S219" i="110"/>
  <c r="AW318" i="110"/>
  <c r="R222" i="110"/>
  <c r="AV321" i="110"/>
  <c r="R225" i="110"/>
  <c r="S224" i="110"/>
  <c r="AW323" i="110"/>
  <c r="R221" i="110"/>
  <c r="AV111" i="110"/>
  <c r="AV94" i="110"/>
  <c r="AR111" i="110"/>
  <c r="AR94" i="110"/>
  <c r="AT111" i="110"/>
  <c r="AT94" i="110"/>
  <c r="AS111" i="110"/>
  <c r="AS94" i="110"/>
  <c r="AU111" i="110"/>
  <c r="AU94" i="110"/>
  <c r="L10" i="36"/>
  <c r="L118" i="36" s="1"/>
  <c r="J5" i="110"/>
  <c r="J39" i="110" s="1"/>
  <c r="M6" i="110"/>
  <c r="M40" i="110" s="1"/>
  <c r="L10" i="110"/>
  <c r="L44" i="110" s="1"/>
  <c r="D3" i="110"/>
  <c r="D37" i="110" s="1"/>
  <c r="D54" i="110" s="1"/>
  <c r="D12" i="36"/>
  <c r="D120" i="36" s="1"/>
  <c r="D2" i="110"/>
  <c r="D36" i="110" s="1"/>
  <c r="D7" i="110"/>
  <c r="D41" i="110" s="1"/>
  <c r="E2" i="36"/>
  <c r="E2" i="110"/>
  <c r="E36" i="110" s="1"/>
  <c r="E12" i="36"/>
  <c r="D113" i="34"/>
  <c r="J113" i="34"/>
  <c r="J105" i="34" s="1"/>
  <c r="J131" i="34" s="1"/>
  <c r="J17" i="36" s="1"/>
  <c r="D2" i="36"/>
  <c r="AC8" i="35"/>
  <c r="E14" i="110"/>
  <c r="E48" i="110" s="1"/>
  <c r="AI48" i="110"/>
  <c r="E123" i="36"/>
  <c r="K113" i="34"/>
  <c r="K105" i="34" s="1"/>
  <c r="K131" i="34" s="1"/>
  <c r="K17" i="36" s="1"/>
  <c r="E22" i="36"/>
  <c r="E130" i="36" s="1"/>
  <c r="K11" i="110"/>
  <c r="K45" i="110" s="1"/>
  <c r="P12" i="110"/>
  <c r="P46" i="110" s="1"/>
  <c r="M10" i="110"/>
  <c r="M44" i="110" s="1"/>
  <c r="G9" i="110"/>
  <c r="G43" i="110" s="1"/>
  <c r="F20" i="36"/>
  <c r="F128" i="36" s="1"/>
  <c r="O14" i="36"/>
  <c r="O150" i="36" s="1"/>
  <c r="G20" i="36"/>
  <c r="G128" i="36" s="1"/>
  <c r="Q10" i="110"/>
  <c r="Q44" i="110" s="1"/>
  <c r="Q12" i="110"/>
  <c r="Q46" i="110" s="1"/>
  <c r="K14" i="36"/>
  <c r="K122" i="36" s="1"/>
  <c r="H12" i="110"/>
  <c r="H46" i="110" s="1"/>
  <c r="F5" i="36"/>
  <c r="F113" i="36" s="1"/>
  <c r="I10" i="110"/>
  <c r="I44" i="110" s="1"/>
  <c r="I22" i="36"/>
  <c r="I158" i="36" s="1"/>
  <c r="O10" i="36"/>
  <c r="O146" i="36" s="1"/>
  <c r="L5" i="36"/>
  <c r="N20" i="36"/>
  <c r="N128" i="36" s="1"/>
  <c r="D5" i="36"/>
  <c r="M22" i="36"/>
  <c r="M158" i="36" s="1"/>
  <c r="J9" i="110"/>
  <c r="J43" i="110" s="1"/>
  <c r="G6" i="110"/>
  <c r="G40" i="110" s="1"/>
  <c r="M5" i="110"/>
  <c r="M39" i="110" s="1"/>
  <c r="Q6" i="110"/>
  <c r="Q40" i="110" s="1"/>
  <c r="I6" i="110"/>
  <c r="I40" i="110" s="1"/>
  <c r="G5" i="36"/>
  <c r="G113" i="36" s="1"/>
  <c r="O5" i="110"/>
  <c r="O39" i="110" s="1"/>
  <c r="H10" i="36"/>
  <c r="H146" i="36" s="1"/>
  <c r="E5" i="36"/>
  <c r="E141" i="36" s="1"/>
  <c r="D10" i="110"/>
  <c r="D44" i="110" s="1"/>
  <c r="O20" i="36"/>
  <c r="O128" i="36" s="1"/>
  <c r="P10" i="36"/>
  <c r="P146" i="36" s="1"/>
  <c r="F10" i="36"/>
  <c r="F118" i="36" s="1"/>
  <c r="N5" i="36"/>
  <c r="N113" i="36" s="1"/>
  <c r="N15" i="110"/>
  <c r="N49" i="110" s="1"/>
  <c r="N25" i="36"/>
  <c r="Q158" i="36"/>
  <c r="Q130" i="36"/>
  <c r="L24" i="36"/>
  <c r="L14" i="110"/>
  <c r="F2" i="110"/>
  <c r="F36" i="110" s="1"/>
  <c r="F2" i="36"/>
  <c r="G3" i="110"/>
  <c r="G37" i="110" s="1"/>
  <c r="G54" i="110" s="1"/>
  <c r="G3" i="36"/>
  <c r="F3" i="110"/>
  <c r="F37" i="110" s="1"/>
  <c r="F54" i="110" s="1"/>
  <c r="F3" i="36"/>
  <c r="J2" i="110"/>
  <c r="J36" i="110" s="1"/>
  <c r="J2" i="36"/>
  <c r="Q20" i="36"/>
  <c r="Q128" i="36" s="1"/>
  <c r="Q11" i="110"/>
  <c r="Q45" i="110" s="1"/>
  <c r="E46" i="110"/>
  <c r="J22" i="36"/>
  <c r="J158" i="36" s="1"/>
  <c r="J12" i="110"/>
  <c r="J46" i="110" s="1"/>
  <c r="H14" i="36"/>
  <c r="H122" i="36" s="1"/>
  <c r="H9" i="110"/>
  <c r="H43" i="110" s="1"/>
  <c r="E45" i="110"/>
  <c r="J20" i="36"/>
  <c r="J128" i="36" s="1"/>
  <c r="J11" i="110"/>
  <c r="J45" i="110" s="1"/>
  <c r="G45" i="110"/>
  <c r="L20" i="36"/>
  <c r="L128" i="36" s="1"/>
  <c r="L11" i="110"/>
  <c r="L45" i="110" s="1"/>
  <c r="M156" i="36"/>
  <c r="M14" i="110"/>
  <c r="M48" i="110" s="1"/>
  <c r="M24" i="36"/>
  <c r="H3" i="110"/>
  <c r="H37" i="110" s="1"/>
  <c r="H54" i="110" s="1"/>
  <c r="H3" i="36"/>
  <c r="K43" i="110"/>
  <c r="P14" i="36"/>
  <c r="P9" i="110"/>
  <c r="P43" i="110" s="1"/>
  <c r="M2" i="110"/>
  <c r="M36" i="110" s="1"/>
  <c r="M2" i="36"/>
  <c r="L2" i="110"/>
  <c r="L36" i="110" s="1"/>
  <c r="L2" i="36"/>
  <c r="I20" i="36"/>
  <c r="I128" i="36" s="1"/>
  <c r="I11" i="110"/>
  <c r="I45" i="110" s="1"/>
  <c r="P20" i="36"/>
  <c r="P128" i="36" s="1"/>
  <c r="P11" i="110"/>
  <c r="P45" i="110" s="1"/>
  <c r="N6" i="110"/>
  <c r="N40" i="110" s="1"/>
  <c r="N10" i="36"/>
  <c r="K44" i="110"/>
  <c r="P10" i="110"/>
  <c r="P44" i="110" s="1"/>
  <c r="L14" i="36"/>
  <c r="L150" i="36" s="1"/>
  <c r="L9" i="110"/>
  <c r="L43" i="110" s="1"/>
  <c r="G2" i="110"/>
  <c r="G36" i="110" s="1"/>
  <c r="G2" i="36"/>
  <c r="M3" i="110"/>
  <c r="M37" i="110" s="1"/>
  <c r="M54" i="110" s="1"/>
  <c r="M3" i="36"/>
  <c r="K2" i="110"/>
  <c r="K36" i="110" s="1"/>
  <c r="K2" i="36"/>
  <c r="D9" i="110"/>
  <c r="D43" i="110" s="1"/>
  <c r="D14" i="36"/>
  <c r="D150" i="36" s="1"/>
  <c r="J3" i="36"/>
  <c r="J3" i="110"/>
  <c r="J37" i="110" s="1"/>
  <c r="J54" i="110" s="1"/>
  <c r="K24" i="36"/>
  <c r="K14" i="110"/>
  <c r="J14" i="110"/>
  <c r="J24" i="36"/>
  <c r="O10" i="110"/>
  <c r="O44" i="110" s="1"/>
  <c r="H20" i="36"/>
  <c r="H128" i="36" s="1"/>
  <c r="H11" i="110"/>
  <c r="H45" i="110" s="1"/>
  <c r="H123" i="36"/>
  <c r="H10" i="110"/>
  <c r="H44" i="110" s="1"/>
  <c r="O2" i="110"/>
  <c r="O36" i="110" s="1"/>
  <c r="O2" i="36"/>
  <c r="E9" i="110"/>
  <c r="E43" i="110" s="1"/>
  <c r="E14" i="36"/>
  <c r="E122" i="36" s="1"/>
  <c r="Q141" i="36"/>
  <c r="Q113" i="36"/>
  <c r="M113" i="36"/>
  <c r="M141" i="36"/>
  <c r="N2" i="110"/>
  <c r="N36" i="110" s="1"/>
  <c r="N2" i="36"/>
  <c r="N3" i="110"/>
  <c r="N37" i="110" s="1"/>
  <c r="N54" i="110" s="1"/>
  <c r="N3" i="36"/>
  <c r="L3" i="36"/>
  <c r="L3" i="110"/>
  <c r="L37" i="110" s="1"/>
  <c r="L54" i="110" s="1"/>
  <c r="P2" i="110"/>
  <c r="P36" i="110" s="1"/>
  <c r="P2" i="36"/>
  <c r="Q3" i="36"/>
  <c r="Q3" i="110"/>
  <c r="Q37" i="110" s="1"/>
  <c r="Q54" i="110" s="1"/>
  <c r="K3" i="36"/>
  <c r="K3" i="110"/>
  <c r="K37" i="110" s="1"/>
  <c r="K54" i="110" s="1"/>
  <c r="G10" i="110"/>
  <c r="G44" i="110" s="1"/>
  <c r="G151" i="36"/>
  <c r="N10" i="110"/>
  <c r="N44" i="110" s="1"/>
  <c r="N12" i="110"/>
  <c r="N46" i="110" s="1"/>
  <c r="N22" i="36"/>
  <c r="N9" i="110"/>
  <c r="N43" i="110" s="1"/>
  <c r="N14" i="36"/>
  <c r="Q118" i="36"/>
  <c r="Q146" i="36"/>
  <c r="P130" i="36"/>
  <c r="P158" i="36"/>
  <c r="Q150" i="36"/>
  <c r="Q122" i="36"/>
  <c r="M118" i="36"/>
  <c r="M146" i="36"/>
  <c r="P3" i="110"/>
  <c r="P37" i="110" s="1"/>
  <c r="P54" i="110" s="1"/>
  <c r="P3" i="36"/>
  <c r="I2" i="110"/>
  <c r="I36" i="110" s="1"/>
  <c r="I2" i="36"/>
  <c r="E44" i="110"/>
  <c r="J151" i="36"/>
  <c r="J10" i="110"/>
  <c r="J44" i="110" s="1"/>
  <c r="O3" i="110"/>
  <c r="O37" i="110" s="1"/>
  <c r="O54" i="110" s="1"/>
  <c r="O3" i="36"/>
  <c r="K22" i="36"/>
  <c r="K130" i="36" s="1"/>
  <c r="K12" i="110"/>
  <c r="K46" i="110" s="1"/>
  <c r="G46" i="110"/>
  <c r="L22" i="36"/>
  <c r="L130" i="36" s="1"/>
  <c r="L12" i="110"/>
  <c r="L46" i="110" s="1"/>
  <c r="O141" i="36"/>
  <c r="O113" i="36"/>
  <c r="H2" i="110"/>
  <c r="H36" i="110" s="1"/>
  <c r="H2" i="36"/>
  <c r="I3" i="36"/>
  <c r="I3" i="110"/>
  <c r="I37" i="110" s="1"/>
  <c r="I54" i="110" s="1"/>
  <c r="Q2" i="110"/>
  <c r="Q36" i="110" s="1"/>
  <c r="Q2" i="36"/>
  <c r="M9" i="110"/>
  <c r="M43" i="110" s="1"/>
  <c r="M14" i="36"/>
  <c r="F10" i="110"/>
  <c r="F44" i="110" s="1"/>
  <c r="F151" i="36"/>
  <c r="F12" i="110"/>
  <c r="F46" i="110" s="1"/>
  <c r="F22" i="36"/>
  <c r="F158" i="36" s="1"/>
  <c r="F9" i="110"/>
  <c r="F43" i="110" s="1"/>
  <c r="F14" i="36"/>
  <c r="F150" i="36" s="1"/>
  <c r="Q151" i="36"/>
  <c r="Q123" i="36"/>
  <c r="M123" i="36"/>
  <c r="M151" i="36"/>
  <c r="P7" i="110"/>
  <c r="P41" i="110" s="1"/>
  <c r="P12" i="36"/>
  <c r="H12" i="36"/>
  <c r="H7" i="110"/>
  <c r="H41" i="110" s="1"/>
  <c r="M12" i="36"/>
  <c r="M7" i="110"/>
  <c r="M41" i="110" s="1"/>
  <c r="AO111" i="110"/>
  <c r="O7" i="110"/>
  <c r="O41" i="110" s="1"/>
  <c r="O12" i="36"/>
  <c r="AN94" i="110"/>
  <c r="N7" i="110"/>
  <c r="N41" i="110" s="1"/>
  <c r="N12" i="36"/>
  <c r="G7" i="110"/>
  <c r="G41" i="110" s="1"/>
  <c r="G12" i="36"/>
  <c r="F7" i="110"/>
  <c r="F41" i="110" s="1"/>
  <c r="F12" i="36"/>
  <c r="AL111" i="110"/>
  <c r="L12" i="36"/>
  <c r="L7" i="110"/>
  <c r="L41" i="110" s="1"/>
  <c r="J12" i="36"/>
  <c r="J7" i="110"/>
  <c r="J41" i="110" s="1"/>
  <c r="Q12" i="36"/>
  <c r="Q7" i="110"/>
  <c r="Q41" i="110" s="1"/>
  <c r="K12" i="36"/>
  <c r="K7" i="110"/>
  <c r="K41" i="110" s="1"/>
  <c r="I12" i="36"/>
  <c r="I7" i="110"/>
  <c r="I41" i="110" s="1"/>
  <c r="D14" i="110"/>
  <c r="D24" i="36"/>
  <c r="AC14" i="35"/>
  <c r="L101" i="34"/>
  <c r="E113" i="34"/>
  <c r="E105" i="34" s="1"/>
  <c r="E131" i="34" s="1"/>
  <c r="E17" i="36" s="1"/>
  <c r="I42" i="83"/>
  <c r="I53" i="83"/>
  <c r="P42" i="83"/>
  <c r="P53" i="83"/>
  <c r="P101" i="34"/>
  <c r="P127" i="34" s="1"/>
  <c r="AU42" i="110" s="1"/>
  <c r="H53" i="83"/>
  <c r="H42" i="83"/>
  <c r="O42" i="83"/>
  <c r="O53" i="83"/>
  <c r="O101" i="34"/>
  <c r="O127" i="34" s="1"/>
  <c r="AT42" i="110" s="1"/>
  <c r="K111" i="34"/>
  <c r="K137" i="34" s="1"/>
  <c r="AP47" i="110" s="1"/>
  <c r="G53" i="83"/>
  <c r="G42" i="83"/>
  <c r="M53" i="83"/>
  <c r="E53" i="83"/>
  <c r="N42" i="83"/>
  <c r="N53" i="83"/>
  <c r="N101" i="34"/>
  <c r="N127" i="34" s="1"/>
  <c r="AS42" i="110" s="1"/>
  <c r="K92" i="34"/>
  <c r="K118" i="34" s="1"/>
  <c r="AP38" i="110" s="1"/>
  <c r="Q42" i="83"/>
  <c r="Q53" i="83"/>
  <c r="Q101" i="34"/>
  <c r="Q127" i="34" s="1"/>
  <c r="AV42" i="110" s="1"/>
  <c r="J42" i="83"/>
  <c r="J53" i="83"/>
  <c r="F53" i="83"/>
  <c r="D101" i="34"/>
  <c r="D127" i="34" s="1"/>
  <c r="AI42" i="110" s="1"/>
  <c r="AM42" i="110"/>
  <c r="I101" i="34"/>
  <c r="I127" i="34" s="1"/>
  <c r="AN42" i="110" s="1"/>
  <c r="K101" i="34"/>
  <c r="K127" i="34" s="1"/>
  <c r="AP42" i="110" s="1"/>
  <c r="J101" i="34"/>
  <c r="J127" i="34" s="1"/>
  <c r="AO42" i="110" s="1"/>
  <c r="G101" i="34"/>
  <c r="G127" i="34" s="1"/>
  <c r="AL42" i="110" s="1"/>
  <c r="F101" i="34"/>
  <c r="F127" i="34" s="1"/>
  <c r="E156" i="36"/>
  <c r="I46" i="110"/>
  <c r="E76" i="36"/>
  <c r="J84" i="36"/>
  <c r="K84" i="36"/>
  <c r="H84" i="36"/>
  <c r="H57" i="36"/>
  <c r="F103" i="36"/>
  <c r="E57" i="36"/>
  <c r="L103" i="36"/>
  <c r="I57" i="36"/>
  <c r="I84" i="36"/>
  <c r="E84" i="36"/>
  <c r="G76" i="36"/>
  <c r="G57" i="36"/>
  <c r="F76" i="36"/>
  <c r="F57" i="36"/>
  <c r="L76" i="36"/>
  <c r="L57" i="36"/>
  <c r="K76" i="36"/>
  <c r="K57" i="36"/>
  <c r="N3831" i="53"/>
  <c r="F3818" i="53"/>
  <c r="C3828" i="53"/>
  <c r="R3821" i="53"/>
  <c r="C3823" i="53"/>
  <c r="J3821" i="53"/>
  <c r="N3830" i="53"/>
  <c r="C3822" i="53"/>
  <c r="F3830" i="53"/>
  <c r="C3818" i="53"/>
  <c r="O3821" i="53"/>
  <c r="N3827" i="53"/>
  <c r="J3820" i="53"/>
  <c r="J3818" i="53"/>
  <c r="F3826" i="53"/>
  <c r="E3821" i="53"/>
  <c r="O3827" i="53"/>
  <c r="O3831" i="53"/>
  <c r="O3830" i="53"/>
  <c r="O3826" i="53"/>
  <c r="O3823" i="53"/>
  <c r="C3830" i="53"/>
  <c r="O3822" i="53"/>
  <c r="K3828" i="53"/>
  <c r="L3830" i="53"/>
  <c r="Q3826" i="53"/>
  <c r="E3826" i="53"/>
  <c r="K3829" i="53"/>
  <c r="C3825" i="53"/>
  <c r="K3819" i="53"/>
  <c r="I3826" i="53"/>
  <c r="O3825" i="53"/>
  <c r="O3817" i="53"/>
  <c r="N3826" i="53"/>
  <c r="M3821" i="53"/>
  <c r="C3829" i="53"/>
  <c r="K3823" i="53"/>
  <c r="C3819" i="53"/>
  <c r="R3822" i="53"/>
  <c r="K3822" i="53"/>
  <c r="K3827" i="53"/>
  <c r="H3828" i="53"/>
  <c r="O3829" i="53"/>
  <c r="O3820" i="53"/>
  <c r="N3821" i="53"/>
  <c r="M3830" i="53"/>
  <c r="K3831" i="53"/>
  <c r="C3827" i="53"/>
  <c r="K3821" i="53"/>
  <c r="C3817" i="53"/>
  <c r="R3826" i="53"/>
  <c r="L3826" i="53"/>
  <c r="H3826" i="53"/>
  <c r="O3828" i="53"/>
  <c r="K3830" i="53"/>
  <c r="K3826" i="53"/>
  <c r="K3820" i="53"/>
  <c r="R3831" i="53"/>
  <c r="M3826" i="53"/>
  <c r="K3825" i="53"/>
  <c r="C3820" i="53"/>
  <c r="H3816" i="52"/>
  <c r="G3831" i="52"/>
  <c r="G3823" i="52"/>
  <c r="N3831" i="52"/>
  <c r="N3823" i="52"/>
  <c r="M3831" i="52"/>
  <c r="M3823" i="52"/>
  <c r="D3816" i="52"/>
  <c r="Q3829" i="53"/>
  <c r="Q3825" i="53"/>
  <c r="Q3820" i="53"/>
  <c r="I3832" i="53"/>
  <c r="I3824" i="53"/>
  <c r="N3832" i="53"/>
  <c r="N3824" i="53"/>
  <c r="M3829" i="53"/>
  <c r="M3825" i="53"/>
  <c r="M3820" i="53"/>
  <c r="E3832" i="53"/>
  <c r="E3824" i="53"/>
  <c r="R3832" i="53"/>
  <c r="R3824" i="53"/>
  <c r="L3829" i="53"/>
  <c r="L3825" i="53"/>
  <c r="L3820" i="53"/>
  <c r="D3832" i="53"/>
  <c r="D3824" i="53"/>
  <c r="R3829" i="53"/>
  <c r="I3830" i="53"/>
  <c r="H3832" i="53"/>
  <c r="H3824" i="53"/>
  <c r="Q138" i="34"/>
  <c r="AV48" i="110" s="1"/>
  <c r="H130" i="36"/>
  <c r="H158" i="36"/>
  <c r="D151" i="36"/>
  <c r="J118" i="36"/>
  <c r="J146" i="36"/>
  <c r="H14" i="35"/>
  <c r="O14" i="35"/>
  <c r="P3819" i="52"/>
  <c r="G3816" i="52"/>
  <c r="N3816" i="52"/>
  <c r="C3819" i="52"/>
  <c r="Q3831" i="52"/>
  <c r="Q3823" i="52"/>
  <c r="I3829" i="53"/>
  <c r="I3825" i="53"/>
  <c r="I3820" i="53"/>
  <c r="I3817" i="53"/>
  <c r="G3828" i="53"/>
  <c r="G3823" i="53"/>
  <c r="G3819" i="53"/>
  <c r="N3817" i="53"/>
  <c r="E3829" i="53"/>
  <c r="E3825" i="53"/>
  <c r="E3820" i="53"/>
  <c r="E3817" i="53"/>
  <c r="R3830" i="53"/>
  <c r="R3817" i="53"/>
  <c r="D3829" i="53"/>
  <c r="D3825" i="53"/>
  <c r="D3820" i="53"/>
  <c r="D3817" i="53"/>
  <c r="H3825" i="53"/>
  <c r="H3817" i="53"/>
  <c r="I138" i="34"/>
  <c r="AN48" i="110" s="1"/>
  <c r="G146" i="36"/>
  <c r="G118" i="36"/>
  <c r="L14" i="35"/>
  <c r="F94" i="133"/>
  <c r="O3819" i="52"/>
  <c r="N3829" i="52"/>
  <c r="N3825" i="52"/>
  <c r="N3820" i="52"/>
  <c r="F3831" i="52"/>
  <c r="F3823" i="52"/>
  <c r="E3831" i="52"/>
  <c r="E3823" i="52"/>
  <c r="D3819" i="52"/>
  <c r="Q3816" i="52"/>
  <c r="Q3828" i="53"/>
  <c r="Q3823" i="53"/>
  <c r="Q3819" i="53"/>
  <c r="N3829" i="53"/>
  <c r="N3825" i="53"/>
  <c r="N3820" i="53"/>
  <c r="F3832" i="53"/>
  <c r="F3824" i="53"/>
  <c r="M3828" i="53"/>
  <c r="M3823" i="53"/>
  <c r="M3819" i="53"/>
  <c r="R3825" i="53"/>
  <c r="R3820" i="53"/>
  <c r="J3832" i="53"/>
  <c r="J3824" i="53"/>
  <c r="L3828" i="53"/>
  <c r="L3823" i="53"/>
  <c r="L3819" i="53"/>
  <c r="H3823" i="53"/>
  <c r="P138" i="34"/>
  <c r="AU48" i="110" s="1"/>
  <c r="J122" i="36"/>
  <c r="J150" i="36"/>
  <c r="G150" i="36"/>
  <c r="G122" i="36"/>
  <c r="J113" i="36"/>
  <c r="J141" i="36"/>
  <c r="G3819" i="52"/>
  <c r="F3820" i="52"/>
  <c r="F3816" i="52"/>
  <c r="M3828" i="52"/>
  <c r="M3824" i="52"/>
  <c r="M3819" i="52"/>
  <c r="R3831" i="52"/>
  <c r="R3823" i="52"/>
  <c r="I3831" i="52"/>
  <c r="I3823" i="52"/>
  <c r="I3828" i="53"/>
  <c r="I3823" i="53"/>
  <c r="I3819" i="53"/>
  <c r="G3831" i="53"/>
  <c r="G3827" i="53"/>
  <c r="G3822" i="53"/>
  <c r="G3818" i="53"/>
  <c r="F3829" i="53"/>
  <c r="F3825" i="53"/>
  <c r="F3820" i="53"/>
  <c r="F3817" i="53"/>
  <c r="E3828" i="53"/>
  <c r="E3823" i="53"/>
  <c r="E3819" i="53"/>
  <c r="K3824" i="53"/>
  <c r="K3832" i="53"/>
  <c r="D3828" i="53"/>
  <c r="D3823" i="53"/>
  <c r="D3819" i="53"/>
  <c r="H3831" i="53"/>
  <c r="H3822" i="53"/>
  <c r="H138" i="34"/>
  <c r="AM48" i="110" s="1"/>
  <c r="K118" i="36"/>
  <c r="K146" i="36"/>
  <c r="G130" i="36"/>
  <c r="G158" i="36"/>
  <c r="I122" i="36"/>
  <c r="I150" i="36"/>
  <c r="G14" i="35"/>
  <c r="N14" i="35"/>
  <c r="N21" i="35" s="1"/>
  <c r="E14" i="35"/>
  <c r="E3824" i="52"/>
  <c r="E3819" i="52"/>
  <c r="K3831" i="52"/>
  <c r="K3823" i="52"/>
  <c r="R3816" i="52"/>
  <c r="I3816" i="52"/>
  <c r="Q3827" i="53"/>
  <c r="Q3822" i="53"/>
  <c r="Q3818" i="53"/>
  <c r="O3832" i="53"/>
  <c r="O3824" i="53"/>
  <c r="N3828" i="53"/>
  <c r="N3823" i="53"/>
  <c r="N3819" i="53"/>
  <c r="M3831" i="53"/>
  <c r="M3827" i="53"/>
  <c r="M3822" i="53"/>
  <c r="C3826" i="53"/>
  <c r="K3817" i="53"/>
  <c r="R3828" i="53"/>
  <c r="R3823" i="53"/>
  <c r="R3819" i="53"/>
  <c r="L3831" i="53"/>
  <c r="L3827" i="53"/>
  <c r="L3822" i="53"/>
  <c r="H3830" i="53"/>
  <c r="H3821" i="53"/>
  <c r="J14" i="35"/>
  <c r="J21" i="35" s="1"/>
  <c r="P3831" i="52"/>
  <c r="P3823" i="52"/>
  <c r="M3827" i="52"/>
  <c r="M3822" i="52"/>
  <c r="M3817" i="52"/>
  <c r="L3831" i="52"/>
  <c r="L3823" i="52"/>
  <c r="J3831" i="52"/>
  <c r="J3823" i="52"/>
  <c r="Q3819" i="52"/>
  <c r="I3827" i="53"/>
  <c r="I3822" i="53"/>
  <c r="I3818" i="53"/>
  <c r="G3830" i="53"/>
  <c r="G3826" i="53"/>
  <c r="F3823" i="53"/>
  <c r="F3819" i="53"/>
  <c r="E3831" i="53"/>
  <c r="E3827" i="53"/>
  <c r="E3822" i="53"/>
  <c r="E3818" i="53"/>
  <c r="C3824" i="53"/>
  <c r="C3832" i="53"/>
  <c r="J3819" i="53"/>
  <c r="D3831" i="53"/>
  <c r="D3827" i="53"/>
  <c r="D3822" i="53"/>
  <c r="D3818" i="53"/>
  <c r="C3831" i="53"/>
  <c r="H3829" i="53"/>
  <c r="H3820" i="53"/>
  <c r="N138" i="34"/>
  <c r="AS48" i="110" s="1"/>
  <c r="I14" i="35"/>
  <c r="P14" i="35"/>
  <c r="K141" i="36"/>
  <c r="N94" i="133"/>
  <c r="O3831" i="52"/>
  <c r="O3823" i="52"/>
  <c r="C3831" i="52"/>
  <c r="C3823" i="52"/>
  <c r="Q3832" i="53"/>
  <c r="Q3824" i="53"/>
  <c r="G3824" i="53"/>
  <c r="G3832" i="53"/>
  <c r="M3832" i="53"/>
  <c r="M3824" i="53"/>
  <c r="L3832" i="53"/>
  <c r="L3824" i="53"/>
  <c r="O138" i="34"/>
  <c r="AT48" i="110" s="1"/>
  <c r="F138" i="34"/>
  <c r="AK48" i="110" s="1"/>
  <c r="L123" i="36"/>
  <c r="L151" i="36"/>
  <c r="I151" i="36"/>
  <c r="I123" i="36"/>
  <c r="D158" i="36"/>
  <c r="D130" i="36"/>
  <c r="K14" i="35"/>
  <c r="K21" i="35" s="1"/>
  <c r="H3831" i="52"/>
  <c r="H3823" i="52"/>
  <c r="O3816" i="52"/>
  <c r="M3816" i="52"/>
  <c r="D3831" i="52"/>
  <c r="D3823" i="52"/>
  <c r="C3816" i="52"/>
  <c r="Q3830" i="53"/>
  <c r="I3821" i="53"/>
  <c r="Q3817" i="53"/>
  <c r="G3829" i="53"/>
  <c r="G3825" i="53"/>
  <c r="G3820" i="53"/>
  <c r="G3817" i="53"/>
  <c r="M3817" i="53"/>
  <c r="D3821" i="53"/>
  <c r="L3817" i="53"/>
  <c r="H3827" i="53"/>
  <c r="H3818" i="53"/>
  <c r="G138" i="34"/>
  <c r="AL48" i="110" s="1"/>
  <c r="I146" i="36"/>
  <c r="I118" i="36"/>
  <c r="G21" i="35" l="1"/>
  <c r="M21" i="35"/>
  <c r="O21" i="35"/>
  <c r="L21" i="35"/>
  <c r="E21" i="35"/>
  <c r="E22" i="35" s="1"/>
  <c r="P21" i="35"/>
  <c r="I21" i="35"/>
  <c r="H21" i="35"/>
  <c r="D5" i="22"/>
  <c r="C17" i="35" s="1"/>
  <c r="C21" i="35" s="1"/>
  <c r="AC17" i="35"/>
  <c r="AC21" i="35" s="1"/>
  <c r="N114" i="36"/>
  <c r="CA434" i="110"/>
  <c r="I141" i="36"/>
  <c r="AI214" i="36" s="1"/>
  <c r="L141" i="36"/>
  <c r="AL215" i="36" s="1"/>
  <c r="L113" i="36"/>
  <c r="K218" i="36"/>
  <c r="K109" i="111" s="1"/>
  <c r="K109" i="141" s="1"/>
  <c r="K221" i="36"/>
  <c r="K112" i="111" s="1"/>
  <c r="K112" i="141" s="1"/>
  <c r="AQ218" i="36"/>
  <c r="AK42" i="110"/>
  <c r="AK112" i="110" s="1"/>
  <c r="F13" i="36"/>
  <c r="O7" i="36"/>
  <c r="O142" i="36" s="1"/>
  <c r="L7" i="36"/>
  <c r="L142" i="36" s="1"/>
  <c r="Q7" i="36"/>
  <c r="Q142" i="36" s="1"/>
  <c r="F7" i="36"/>
  <c r="F114" i="36" s="1"/>
  <c r="P7" i="36"/>
  <c r="P142" i="36" s="1"/>
  <c r="H7" i="36"/>
  <c r="H114" i="36" s="1"/>
  <c r="M7" i="36"/>
  <c r="M142" i="36" s="1"/>
  <c r="I7" i="36"/>
  <c r="I114" i="36" s="1"/>
  <c r="G7" i="36"/>
  <c r="G142" i="36" s="1"/>
  <c r="H135" i="34"/>
  <c r="H21" i="36" s="1"/>
  <c r="H157" i="36" s="1"/>
  <c r="AM49" i="110"/>
  <c r="H25" i="36"/>
  <c r="H133" i="36" s="1"/>
  <c r="AJ218" i="36"/>
  <c r="AJ207" i="36"/>
  <c r="AJ215" i="36"/>
  <c r="AJ214" i="36"/>
  <c r="AJ221" i="36"/>
  <c r="AJ213" i="36"/>
  <c r="AJ220" i="36"/>
  <c r="AJ212" i="36"/>
  <c r="AJ219" i="36"/>
  <c r="AJ211" i="36"/>
  <c r="AJ210" i="36"/>
  <c r="AJ209" i="36"/>
  <c r="AJ217" i="36"/>
  <c r="AJ208" i="36"/>
  <c r="AJ216" i="36"/>
  <c r="AM209" i="36"/>
  <c r="AM219" i="36"/>
  <c r="AM210" i="36"/>
  <c r="AM214" i="36"/>
  <c r="AM218" i="36"/>
  <c r="AM211" i="36"/>
  <c r="AM215" i="36"/>
  <c r="AM207" i="36"/>
  <c r="AM212" i="36"/>
  <c r="AM216" i="36"/>
  <c r="AM208" i="36"/>
  <c r="AM221" i="36"/>
  <c r="AM213" i="36"/>
  <c r="AM217" i="36"/>
  <c r="AM220" i="36"/>
  <c r="AQ207" i="36"/>
  <c r="AQ212" i="36"/>
  <c r="AQ216" i="36"/>
  <c r="AQ208" i="36"/>
  <c r="AQ221" i="36"/>
  <c r="AQ213" i="36"/>
  <c r="AQ217" i="36"/>
  <c r="AQ220" i="36"/>
  <c r="AQ209" i="36"/>
  <c r="AQ219" i="36"/>
  <c r="AQ210" i="36"/>
  <c r="AQ214" i="36"/>
  <c r="AQ211" i="36"/>
  <c r="AQ215" i="36"/>
  <c r="H219" i="36"/>
  <c r="H110" i="111" s="1"/>
  <c r="H110" i="141" s="1"/>
  <c r="H220" i="36"/>
  <c r="H111" i="111" s="1"/>
  <c r="H111" i="141" s="1"/>
  <c r="H221" i="36"/>
  <c r="H112" i="111" s="1"/>
  <c r="H112" i="141" s="1"/>
  <c r="H207" i="36"/>
  <c r="H215" i="36"/>
  <c r="H106" i="111" s="1"/>
  <c r="H106" i="141" s="1"/>
  <c r="H210" i="36"/>
  <c r="H101" i="111" s="1"/>
  <c r="H101" i="141" s="1"/>
  <c r="H209" i="36"/>
  <c r="H100" i="111" s="1"/>
  <c r="H100" i="141" s="1"/>
  <c r="H216" i="36"/>
  <c r="H107" i="111" s="1"/>
  <c r="H107" i="141" s="1"/>
  <c r="H214" i="36"/>
  <c r="H105" i="111" s="1"/>
  <c r="H105" i="141" s="1"/>
  <c r="H211" i="36"/>
  <c r="H102" i="111" s="1"/>
  <c r="H102" i="141" s="1"/>
  <c r="H213" i="36"/>
  <c r="H104" i="111" s="1"/>
  <c r="H104" i="141" s="1"/>
  <c r="H212" i="36"/>
  <c r="H103" i="111" s="1"/>
  <c r="H103" i="141" s="1"/>
  <c r="H218" i="36"/>
  <c r="H109" i="111" s="1"/>
  <c r="H109" i="141" s="1"/>
  <c r="H217" i="36"/>
  <c r="H108" i="111" s="1"/>
  <c r="H108" i="141" s="1"/>
  <c r="H208" i="36"/>
  <c r="H99" i="111" s="1"/>
  <c r="H99" i="141" s="1"/>
  <c r="Q213" i="36"/>
  <c r="Q104" i="111" s="1"/>
  <c r="Q104" i="141" s="1"/>
  <c r="Q221" i="36"/>
  <c r="Q112" i="111" s="1"/>
  <c r="Q112" i="141" s="1"/>
  <c r="Q211" i="36"/>
  <c r="Q102" i="111" s="1"/>
  <c r="Q102" i="141" s="1"/>
  <c r="Q212" i="36"/>
  <c r="Q103" i="111" s="1"/>
  <c r="Q103" i="141" s="1"/>
  <c r="Q214" i="36"/>
  <c r="Q105" i="111" s="1"/>
  <c r="Q105" i="141" s="1"/>
  <c r="Q219" i="36"/>
  <c r="Q110" i="111" s="1"/>
  <c r="Q110" i="141" s="1"/>
  <c r="Q207" i="36"/>
  <c r="Q215" i="36"/>
  <c r="Q106" i="111" s="1"/>
  <c r="Q106" i="141" s="1"/>
  <c r="Q217" i="36"/>
  <c r="Q108" i="111" s="1"/>
  <c r="Q108" i="141" s="1"/>
  <c r="Q218" i="36"/>
  <c r="Q109" i="111" s="1"/>
  <c r="Q109" i="141" s="1"/>
  <c r="Q220" i="36"/>
  <c r="Q111" i="111" s="1"/>
  <c r="Q111" i="141" s="1"/>
  <c r="Q208" i="36"/>
  <c r="Q99" i="111" s="1"/>
  <c r="Q99" i="141" s="1"/>
  <c r="Q216" i="36"/>
  <c r="Q107" i="111" s="1"/>
  <c r="Q107" i="141" s="1"/>
  <c r="Q210" i="36"/>
  <c r="Q101" i="111" s="1"/>
  <c r="Q101" i="141" s="1"/>
  <c r="Q209" i="36"/>
  <c r="Q100" i="111" s="1"/>
  <c r="Q100" i="141" s="1"/>
  <c r="I208" i="36"/>
  <c r="I99" i="111" s="1"/>
  <c r="I99" i="141" s="1"/>
  <c r="I216" i="36"/>
  <c r="I107" i="111" s="1"/>
  <c r="I107" i="141" s="1"/>
  <c r="I218" i="36"/>
  <c r="I109" i="111" s="1"/>
  <c r="I109" i="141" s="1"/>
  <c r="I219" i="36"/>
  <c r="I110" i="111" s="1"/>
  <c r="I110" i="141" s="1"/>
  <c r="I220" i="36"/>
  <c r="I111" i="111" s="1"/>
  <c r="I111" i="141" s="1"/>
  <c r="I221" i="36"/>
  <c r="I112" i="111" s="1"/>
  <c r="I112" i="141" s="1"/>
  <c r="I207" i="36"/>
  <c r="I215" i="36"/>
  <c r="I106" i="111" s="1"/>
  <c r="I106" i="141" s="1"/>
  <c r="I211" i="36"/>
  <c r="I102" i="111" s="1"/>
  <c r="I102" i="141" s="1"/>
  <c r="I214" i="36"/>
  <c r="I105" i="111" s="1"/>
  <c r="I105" i="141" s="1"/>
  <c r="I210" i="36"/>
  <c r="I101" i="111" s="1"/>
  <c r="I101" i="141" s="1"/>
  <c r="I217" i="36"/>
  <c r="I108" i="111" s="1"/>
  <c r="I108" i="141" s="1"/>
  <c r="I213" i="36"/>
  <c r="I104" i="111" s="1"/>
  <c r="I104" i="141" s="1"/>
  <c r="I209" i="36"/>
  <c r="I100" i="111" s="1"/>
  <c r="I100" i="141" s="1"/>
  <c r="I212" i="36"/>
  <c r="I103" i="111" s="1"/>
  <c r="I103" i="141" s="1"/>
  <c r="K207" i="36"/>
  <c r="K98" i="111" s="1"/>
  <c r="K98" i="141" s="1"/>
  <c r="K215" i="36"/>
  <c r="K106" i="111" s="1"/>
  <c r="K106" i="141" s="1"/>
  <c r="K211" i="36"/>
  <c r="K102" i="111" s="1"/>
  <c r="K102" i="141" s="1"/>
  <c r="K208" i="36"/>
  <c r="K99" i="111" s="1"/>
  <c r="K99" i="141" s="1"/>
  <c r="K216" i="36"/>
  <c r="K107" i="111" s="1"/>
  <c r="K107" i="141" s="1"/>
  <c r="K214" i="36"/>
  <c r="K105" i="111" s="1"/>
  <c r="K105" i="141" s="1"/>
  <c r="K209" i="36"/>
  <c r="K100" i="111" s="1"/>
  <c r="K100" i="141" s="1"/>
  <c r="K217" i="36"/>
  <c r="K108" i="111" s="1"/>
  <c r="K108" i="141" s="1"/>
  <c r="K212" i="36"/>
  <c r="K103" i="111" s="1"/>
  <c r="K103" i="141" s="1"/>
  <c r="K219" i="36"/>
  <c r="K110" i="111" s="1"/>
  <c r="K110" i="141" s="1"/>
  <c r="K220" i="36"/>
  <c r="K111" i="111" s="1"/>
  <c r="K111" i="141" s="1"/>
  <c r="K210" i="36"/>
  <c r="K213" i="36"/>
  <c r="K104" i="111" s="1"/>
  <c r="K104" i="141" s="1"/>
  <c r="D141" i="36"/>
  <c r="D113" i="36"/>
  <c r="O158" i="36"/>
  <c r="H141" i="36"/>
  <c r="P113" i="36"/>
  <c r="X187" i="36"/>
  <c r="X81" i="111" s="1"/>
  <c r="X81" i="141" s="1"/>
  <c r="X195" i="36"/>
  <c r="X89" i="111" s="1"/>
  <c r="X89" i="141" s="1"/>
  <c r="X186" i="36"/>
  <c r="X80" i="111" s="1"/>
  <c r="X80" i="141" s="1"/>
  <c r="X188" i="36"/>
  <c r="X82" i="111" s="1"/>
  <c r="X82" i="141" s="1"/>
  <c r="X196" i="36"/>
  <c r="X90" i="111" s="1"/>
  <c r="X90" i="141" s="1"/>
  <c r="X189" i="36"/>
  <c r="X83" i="111" s="1"/>
  <c r="X83" i="141" s="1"/>
  <c r="X197" i="36"/>
  <c r="X91" i="111" s="1"/>
  <c r="X91" i="141" s="1"/>
  <c r="X194" i="36"/>
  <c r="X88" i="111" s="1"/>
  <c r="X88" i="141" s="1"/>
  <c r="X190" i="36"/>
  <c r="X84" i="111" s="1"/>
  <c r="X84" i="141" s="1"/>
  <c r="X198" i="36"/>
  <c r="X92" i="111" s="1"/>
  <c r="X92" i="141" s="1"/>
  <c r="X191" i="36"/>
  <c r="X85" i="111" s="1"/>
  <c r="X85" i="141" s="1"/>
  <c r="X199" i="36"/>
  <c r="X93" i="111" s="1"/>
  <c r="X93" i="141" s="1"/>
  <c r="X192" i="36"/>
  <c r="X86" i="111" s="1"/>
  <c r="X86" i="141" s="1"/>
  <c r="X185" i="36"/>
  <c r="X193" i="36"/>
  <c r="X87" i="111" s="1"/>
  <c r="X87" i="141" s="1"/>
  <c r="W192" i="36"/>
  <c r="W86" i="111" s="1"/>
  <c r="W86" i="141" s="1"/>
  <c r="W199" i="36"/>
  <c r="W93" i="111" s="1"/>
  <c r="W93" i="141" s="1"/>
  <c r="W185" i="36"/>
  <c r="W193" i="36"/>
  <c r="W87" i="111" s="1"/>
  <c r="W87" i="141" s="1"/>
  <c r="W186" i="36"/>
  <c r="W80" i="111" s="1"/>
  <c r="W80" i="141" s="1"/>
  <c r="W194" i="36"/>
  <c r="W88" i="111" s="1"/>
  <c r="W88" i="141" s="1"/>
  <c r="W187" i="36"/>
  <c r="W81" i="111" s="1"/>
  <c r="W81" i="141" s="1"/>
  <c r="W195" i="36"/>
  <c r="W89" i="111" s="1"/>
  <c r="W89" i="141" s="1"/>
  <c r="W188" i="36"/>
  <c r="W82" i="111" s="1"/>
  <c r="W82" i="141" s="1"/>
  <c r="W196" i="36"/>
  <c r="W90" i="111" s="1"/>
  <c r="W90" i="141" s="1"/>
  <c r="W191" i="36"/>
  <c r="W85" i="111" s="1"/>
  <c r="W85" i="141" s="1"/>
  <c r="W189" i="36"/>
  <c r="W83" i="111" s="1"/>
  <c r="W83" i="141" s="1"/>
  <c r="W197" i="36"/>
  <c r="W91" i="111" s="1"/>
  <c r="W91" i="141" s="1"/>
  <c r="W190" i="36"/>
  <c r="W84" i="111" s="1"/>
  <c r="W84" i="141" s="1"/>
  <c r="W198" i="36"/>
  <c r="W92" i="111" s="1"/>
  <c r="W92" i="141" s="1"/>
  <c r="V191" i="36"/>
  <c r="V85" i="111" s="1"/>
  <c r="V85" i="141" s="1"/>
  <c r="V199" i="36"/>
  <c r="V93" i="111" s="1"/>
  <c r="V93" i="141" s="1"/>
  <c r="V192" i="36"/>
  <c r="V86" i="111" s="1"/>
  <c r="V86" i="141" s="1"/>
  <c r="V198" i="36"/>
  <c r="V92" i="111" s="1"/>
  <c r="V92" i="141" s="1"/>
  <c r="V185" i="36"/>
  <c r="V193" i="36"/>
  <c r="V87" i="111" s="1"/>
  <c r="V87" i="141" s="1"/>
  <c r="V190" i="36"/>
  <c r="V84" i="111" s="1"/>
  <c r="V84" i="141" s="1"/>
  <c r="V186" i="36"/>
  <c r="V80" i="111" s="1"/>
  <c r="V80" i="141" s="1"/>
  <c r="V194" i="36"/>
  <c r="V88" i="111" s="1"/>
  <c r="V88" i="141" s="1"/>
  <c r="V187" i="36"/>
  <c r="V81" i="111" s="1"/>
  <c r="V81" i="141" s="1"/>
  <c r="V195" i="36"/>
  <c r="V89" i="111" s="1"/>
  <c r="V89" i="141" s="1"/>
  <c r="V188" i="36"/>
  <c r="V82" i="111" s="1"/>
  <c r="V82" i="141" s="1"/>
  <c r="V196" i="36"/>
  <c r="V90" i="111" s="1"/>
  <c r="V90" i="141" s="1"/>
  <c r="V189" i="36"/>
  <c r="V83" i="111" s="1"/>
  <c r="V83" i="141" s="1"/>
  <c r="V197" i="36"/>
  <c r="V91" i="111" s="1"/>
  <c r="V91" i="141" s="1"/>
  <c r="U186" i="36"/>
  <c r="U80" i="111" s="1"/>
  <c r="U80" i="141" s="1"/>
  <c r="U194" i="36"/>
  <c r="U88" i="111" s="1"/>
  <c r="U88" i="141" s="1"/>
  <c r="U187" i="36"/>
  <c r="U81" i="111" s="1"/>
  <c r="U81" i="141" s="1"/>
  <c r="U195" i="36"/>
  <c r="U89" i="111" s="1"/>
  <c r="U89" i="141" s="1"/>
  <c r="U188" i="36"/>
  <c r="U82" i="111" s="1"/>
  <c r="U82" i="141" s="1"/>
  <c r="U196" i="36"/>
  <c r="U90" i="111" s="1"/>
  <c r="U90" i="141" s="1"/>
  <c r="U189" i="36"/>
  <c r="U83" i="111" s="1"/>
  <c r="U83" i="141" s="1"/>
  <c r="U197" i="36"/>
  <c r="U91" i="111" s="1"/>
  <c r="U91" i="141" s="1"/>
  <c r="U193" i="36"/>
  <c r="U87" i="111" s="1"/>
  <c r="U87" i="141" s="1"/>
  <c r="U190" i="36"/>
  <c r="U84" i="111" s="1"/>
  <c r="U84" i="141" s="1"/>
  <c r="U198" i="36"/>
  <c r="U92" i="111" s="1"/>
  <c r="U92" i="141" s="1"/>
  <c r="U191" i="36"/>
  <c r="U85" i="111" s="1"/>
  <c r="U85" i="141" s="1"/>
  <c r="U199" i="36"/>
  <c r="U93" i="111" s="1"/>
  <c r="U93" i="141" s="1"/>
  <c r="U185" i="36"/>
  <c r="U192" i="36"/>
  <c r="U86" i="111" s="1"/>
  <c r="U86" i="141" s="1"/>
  <c r="Y185" i="36"/>
  <c r="Y187" i="36"/>
  <c r="Y81" i="111" s="1"/>
  <c r="Y81" i="141" s="1"/>
  <c r="Y190" i="36"/>
  <c r="Y84" i="111" s="1"/>
  <c r="Y84" i="141" s="1"/>
  <c r="Y198" i="36"/>
  <c r="Y92" i="111" s="1"/>
  <c r="Y92" i="141" s="1"/>
  <c r="Y193" i="36"/>
  <c r="Y87" i="111" s="1"/>
  <c r="Y87" i="141" s="1"/>
  <c r="Y186" i="36"/>
  <c r="Y80" i="111" s="1"/>
  <c r="Y80" i="141" s="1"/>
  <c r="Y197" i="36"/>
  <c r="Y91" i="111" s="1"/>
  <c r="Y91" i="141" s="1"/>
  <c r="Y188" i="36"/>
  <c r="Y82" i="111" s="1"/>
  <c r="Y82" i="141" s="1"/>
  <c r="Y189" i="36"/>
  <c r="Y83" i="111" s="1"/>
  <c r="Y83" i="141" s="1"/>
  <c r="Y194" i="36"/>
  <c r="Y88" i="111" s="1"/>
  <c r="Y88" i="141" s="1"/>
  <c r="Y191" i="36"/>
  <c r="Y85" i="111" s="1"/>
  <c r="Y85" i="141" s="1"/>
  <c r="Y195" i="36"/>
  <c r="Y89" i="111" s="1"/>
  <c r="Y89" i="141" s="1"/>
  <c r="Y199" i="36"/>
  <c r="Y93" i="111" s="1"/>
  <c r="Y93" i="141" s="1"/>
  <c r="Y192" i="36"/>
  <c r="Y86" i="111" s="1"/>
  <c r="Y86" i="141" s="1"/>
  <c r="Y196" i="36"/>
  <c r="Y90" i="111" s="1"/>
  <c r="Y90" i="141" s="1"/>
  <c r="AB187" i="36"/>
  <c r="AB81" i="111" s="1"/>
  <c r="AB81" i="141" s="1"/>
  <c r="AB195" i="36"/>
  <c r="AB89" i="111" s="1"/>
  <c r="AB89" i="141" s="1"/>
  <c r="AB197" i="36"/>
  <c r="AB91" i="111" s="1"/>
  <c r="AB91" i="141" s="1"/>
  <c r="AB188" i="36"/>
  <c r="AB82" i="111" s="1"/>
  <c r="AB82" i="141" s="1"/>
  <c r="AB196" i="36"/>
  <c r="AB90" i="111" s="1"/>
  <c r="AB90" i="141" s="1"/>
  <c r="AB189" i="36"/>
  <c r="AB83" i="111" s="1"/>
  <c r="AB83" i="141" s="1"/>
  <c r="AB198" i="36"/>
  <c r="AB92" i="111" s="1"/>
  <c r="AB92" i="141" s="1"/>
  <c r="AB191" i="36"/>
  <c r="AB85" i="111" s="1"/>
  <c r="AB85" i="141" s="1"/>
  <c r="AB190" i="36"/>
  <c r="AB84" i="111" s="1"/>
  <c r="AB84" i="141" s="1"/>
  <c r="AB199" i="36"/>
  <c r="AB93" i="111" s="1"/>
  <c r="AB93" i="141" s="1"/>
  <c r="AB186" i="36"/>
  <c r="AB80" i="111" s="1"/>
  <c r="AB80" i="141" s="1"/>
  <c r="AB194" i="36"/>
  <c r="AB88" i="111" s="1"/>
  <c r="AB88" i="141" s="1"/>
  <c r="AB192" i="36"/>
  <c r="AB86" i="111" s="1"/>
  <c r="AB86" i="141" s="1"/>
  <c r="AB185" i="36"/>
  <c r="AB193" i="36"/>
  <c r="AB87" i="111" s="1"/>
  <c r="AB87" i="141" s="1"/>
  <c r="T186" i="36"/>
  <c r="T80" i="111" s="1"/>
  <c r="T80" i="141" s="1"/>
  <c r="T194" i="36"/>
  <c r="T88" i="111" s="1"/>
  <c r="T88" i="141" s="1"/>
  <c r="T187" i="36"/>
  <c r="T81" i="111" s="1"/>
  <c r="T81" i="141" s="1"/>
  <c r="T195" i="36"/>
  <c r="T89" i="111" s="1"/>
  <c r="T89" i="141" s="1"/>
  <c r="T188" i="36"/>
  <c r="T82" i="111" s="1"/>
  <c r="T82" i="141" s="1"/>
  <c r="T196" i="36"/>
  <c r="T90" i="111" s="1"/>
  <c r="T90" i="141" s="1"/>
  <c r="T185" i="36"/>
  <c r="T189" i="36"/>
  <c r="T83" i="111" s="1"/>
  <c r="T83" i="141" s="1"/>
  <c r="T197" i="36"/>
  <c r="T91" i="111" s="1"/>
  <c r="T91" i="141" s="1"/>
  <c r="T190" i="36"/>
  <c r="T84" i="111" s="1"/>
  <c r="T84" i="141" s="1"/>
  <c r="T199" i="36"/>
  <c r="T93" i="111" s="1"/>
  <c r="T93" i="141" s="1"/>
  <c r="T191" i="36"/>
  <c r="T85" i="111" s="1"/>
  <c r="T85" i="141" s="1"/>
  <c r="T198" i="36"/>
  <c r="T92" i="111" s="1"/>
  <c r="T92" i="141" s="1"/>
  <c r="T192" i="36"/>
  <c r="T86" i="111" s="1"/>
  <c r="T86" i="141" s="1"/>
  <c r="T193" i="36"/>
  <c r="T87" i="111" s="1"/>
  <c r="T87" i="141" s="1"/>
  <c r="AA188" i="36"/>
  <c r="AA82" i="111" s="1"/>
  <c r="AA82" i="141" s="1"/>
  <c r="AA196" i="36"/>
  <c r="AA90" i="111" s="1"/>
  <c r="AA90" i="141" s="1"/>
  <c r="AA189" i="36"/>
  <c r="AA83" i="111" s="1"/>
  <c r="AA83" i="141" s="1"/>
  <c r="AA197" i="36"/>
  <c r="AA91" i="111" s="1"/>
  <c r="AA91" i="141" s="1"/>
  <c r="AA187" i="36"/>
  <c r="AA81" i="111" s="1"/>
  <c r="AA81" i="141" s="1"/>
  <c r="AA190" i="36"/>
  <c r="AA84" i="111" s="1"/>
  <c r="AA84" i="141" s="1"/>
  <c r="AA198" i="36"/>
  <c r="AA92" i="111" s="1"/>
  <c r="AA92" i="141" s="1"/>
  <c r="AA191" i="36"/>
  <c r="AA85" i="111" s="1"/>
  <c r="AA85" i="141" s="1"/>
  <c r="AA199" i="36"/>
  <c r="AA93" i="111" s="1"/>
  <c r="AA93" i="141" s="1"/>
  <c r="AA192" i="36"/>
  <c r="AA86" i="111" s="1"/>
  <c r="AA86" i="141" s="1"/>
  <c r="AA195" i="36"/>
  <c r="AA89" i="111" s="1"/>
  <c r="AA89" i="141" s="1"/>
  <c r="AA185" i="36"/>
  <c r="AA193" i="36"/>
  <c r="AA87" i="111" s="1"/>
  <c r="AA87" i="141" s="1"/>
  <c r="AA186" i="36"/>
  <c r="AA80" i="111" s="1"/>
  <c r="AA80" i="141" s="1"/>
  <c r="AA194" i="36"/>
  <c r="AA88" i="111" s="1"/>
  <c r="AA88" i="141" s="1"/>
  <c r="S189" i="36"/>
  <c r="S83" i="111" s="1"/>
  <c r="S83" i="141" s="1"/>
  <c r="S197" i="36"/>
  <c r="S91" i="111" s="1"/>
  <c r="S91" i="141" s="1"/>
  <c r="S188" i="36"/>
  <c r="S82" i="111" s="1"/>
  <c r="S82" i="141" s="1"/>
  <c r="S190" i="36"/>
  <c r="S84" i="111" s="1"/>
  <c r="S84" i="141" s="1"/>
  <c r="S198" i="36"/>
  <c r="S92" i="111" s="1"/>
  <c r="S92" i="141" s="1"/>
  <c r="S191" i="36"/>
  <c r="S85" i="111" s="1"/>
  <c r="S85" i="141" s="1"/>
  <c r="S199" i="36"/>
  <c r="S93" i="111" s="1"/>
  <c r="S93" i="141" s="1"/>
  <c r="S192" i="36"/>
  <c r="S86" i="111" s="1"/>
  <c r="S86" i="141" s="1"/>
  <c r="S185" i="36"/>
  <c r="S193" i="36"/>
  <c r="S87" i="111" s="1"/>
  <c r="S87" i="141" s="1"/>
  <c r="S186" i="36"/>
  <c r="S80" i="111" s="1"/>
  <c r="S80" i="141" s="1"/>
  <c r="S194" i="36"/>
  <c r="S88" i="111" s="1"/>
  <c r="S88" i="141" s="1"/>
  <c r="S196" i="36"/>
  <c r="S90" i="111" s="1"/>
  <c r="S90" i="141" s="1"/>
  <c r="S187" i="36"/>
  <c r="S81" i="111" s="1"/>
  <c r="S81" i="141" s="1"/>
  <c r="S195" i="36"/>
  <c r="S89" i="111" s="1"/>
  <c r="S89" i="141" s="1"/>
  <c r="Z187" i="36"/>
  <c r="Z81" i="111" s="1"/>
  <c r="Z81" i="141" s="1"/>
  <c r="Z194" i="36"/>
  <c r="Z88" i="111" s="1"/>
  <c r="Z88" i="141" s="1"/>
  <c r="Z195" i="36"/>
  <c r="Z89" i="111" s="1"/>
  <c r="Z89" i="141" s="1"/>
  <c r="Z188" i="36"/>
  <c r="Z82" i="111" s="1"/>
  <c r="Z82" i="141" s="1"/>
  <c r="Z191" i="36"/>
  <c r="Z85" i="111" s="1"/>
  <c r="Z85" i="141" s="1"/>
  <c r="Z196" i="36"/>
  <c r="Z90" i="111" s="1"/>
  <c r="Z90" i="141" s="1"/>
  <c r="Z190" i="36"/>
  <c r="Z84" i="111" s="1"/>
  <c r="Z84" i="141" s="1"/>
  <c r="Z198" i="36"/>
  <c r="Z92" i="111" s="1"/>
  <c r="Z92" i="141" s="1"/>
  <c r="Z186" i="36"/>
  <c r="Z80" i="111" s="1"/>
  <c r="Z80" i="141" s="1"/>
  <c r="Z189" i="36"/>
  <c r="Z83" i="111" s="1"/>
  <c r="Z83" i="141" s="1"/>
  <c r="Z185" i="36"/>
  <c r="Z197" i="36"/>
  <c r="Z91" i="111" s="1"/>
  <c r="Z91" i="141" s="1"/>
  <c r="Z193" i="36"/>
  <c r="Z87" i="111" s="1"/>
  <c r="Z87" i="141" s="1"/>
  <c r="Z192" i="36"/>
  <c r="Z86" i="111" s="1"/>
  <c r="Z86" i="141" s="1"/>
  <c r="Z199" i="36"/>
  <c r="Z93" i="111" s="1"/>
  <c r="Z93" i="141" s="1"/>
  <c r="R188" i="36"/>
  <c r="R82" i="111" s="1"/>
  <c r="R82" i="141" s="1"/>
  <c r="R187" i="36"/>
  <c r="R81" i="111" s="1"/>
  <c r="R81" i="141" s="1"/>
  <c r="R196" i="36"/>
  <c r="R90" i="111" s="1"/>
  <c r="R90" i="141" s="1"/>
  <c r="R195" i="36"/>
  <c r="R89" i="111" s="1"/>
  <c r="R89" i="141" s="1"/>
  <c r="R198" i="36"/>
  <c r="R92" i="111" s="1"/>
  <c r="R92" i="141" s="1"/>
  <c r="R190" i="36"/>
  <c r="R84" i="111" s="1"/>
  <c r="R84" i="141" s="1"/>
  <c r="R194" i="36"/>
  <c r="R88" i="111" s="1"/>
  <c r="R88" i="141" s="1"/>
  <c r="R193" i="36"/>
  <c r="R87" i="111" s="1"/>
  <c r="R87" i="141" s="1"/>
  <c r="R199" i="36"/>
  <c r="R93" i="111" s="1"/>
  <c r="R93" i="141" s="1"/>
  <c r="R197" i="36"/>
  <c r="R91" i="111" s="1"/>
  <c r="R91" i="141" s="1"/>
  <c r="R189" i="36"/>
  <c r="R83" i="111" s="1"/>
  <c r="R83" i="141" s="1"/>
  <c r="R191" i="36"/>
  <c r="R85" i="111" s="1"/>
  <c r="R85" i="141" s="1"/>
  <c r="R185" i="36"/>
  <c r="R186" i="36"/>
  <c r="R80" i="111" s="1"/>
  <c r="R80" i="141" s="1"/>
  <c r="R192" i="36"/>
  <c r="R86" i="111" s="1"/>
  <c r="R86" i="141" s="1"/>
  <c r="AD14" i="35"/>
  <c r="P118" i="36"/>
  <c r="V79" i="112"/>
  <c r="V79" i="142" s="1"/>
  <c r="AV200" i="36"/>
  <c r="V94" i="112" s="1"/>
  <c r="V94" i="142" s="1"/>
  <c r="AZ200" i="36"/>
  <c r="Z94" i="112" s="1"/>
  <c r="Z94" i="142" s="1"/>
  <c r="Z79" i="112"/>
  <c r="Z79" i="142" s="1"/>
  <c r="BA200" i="36"/>
  <c r="AA94" i="112" s="1"/>
  <c r="AA94" i="142" s="1"/>
  <c r="AA79" i="112"/>
  <c r="AA79" i="142" s="1"/>
  <c r="AU200" i="36"/>
  <c r="U94" i="112" s="1"/>
  <c r="U94" i="142" s="1"/>
  <c r="U79" i="112"/>
  <c r="U79" i="142" s="1"/>
  <c r="Y79" i="112"/>
  <c r="Y79" i="142" s="1"/>
  <c r="AY200" i="36"/>
  <c r="Y94" i="112" s="1"/>
  <c r="Y94" i="142" s="1"/>
  <c r="AR200" i="36"/>
  <c r="R94" i="112" s="1"/>
  <c r="R94" i="142" s="1"/>
  <c r="R79" i="112"/>
  <c r="R79" i="142" s="1"/>
  <c r="X79" i="112"/>
  <c r="X79" i="142" s="1"/>
  <c r="AX200" i="36"/>
  <c r="X94" i="112" s="1"/>
  <c r="X94" i="142" s="1"/>
  <c r="AB79" i="112"/>
  <c r="AB79" i="142" s="1"/>
  <c r="BB200" i="36"/>
  <c r="AB94" i="112" s="1"/>
  <c r="AB94" i="142" s="1"/>
  <c r="AT200" i="36"/>
  <c r="T94" i="112" s="1"/>
  <c r="T94" i="142" s="1"/>
  <c r="T79" i="112"/>
  <c r="T79" i="142" s="1"/>
  <c r="E118" i="36"/>
  <c r="D110" i="36"/>
  <c r="D138" i="36"/>
  <c r="W79" i="112"/>
  <c r="W79" i="142" s="1"/>
  <c r="AW200" i="36"/>
  <c r="W94" i="112" s="1"/>
  <c r="W94" i="142" s="1"/>
  <c r="S79" i="112"/>
  <c r="S79" i="142" s="1"/>
  <c r="AS200" i="36"/>
  <c r="S94" i="112" s="1"/>
  <c r="S94" i="142" s="1"/>
  <c r="I25" i="36"/>
  <c r="I161" i="36" s="1"/>
  <c r="G25" i="36"/>
  <c r="G133" i="36" s="1"/>
  <c r="G49" i="110"/>
  <c r="L25" i="36"/>
  <c r="L133" i="36" s="1"/>
  <c r="L15" i="110"/>
  <c r="L49" i="110" s="1"/>
  <c r="F15" i="110"/>
  <c r="F49" i="110" s="1"/>
  <c r="M25" i="36"/>
  <c r="M133" i="36" s="1"/>
  <c r="M15" i="110"/>
  <c r="M49" i="110" s="1"/>
  <c r="AH14" i="35"/>
  <c r="P25" i="36"/>
  <c r="P133" i="36" s="1"/>
  <c r="F25" i="36"/>
  <c r="F133" i="36" s="1"/>
  <c r="Q25" i="36"/>
  <c r="Q161" i="36" s="1"/>
  <c r="O15" i="110"/>
  <c r="O49" i="110" s="1"/>
  <c r="P15" i="110"/>
  <c r="P49" i="110" s="1"/>
  <c r="O25" i="36"/>
  <c r="O133" i="36" s="1"/>
  <c r="I15" i="110"/>
  <c r="I49" i="110" s="1"/>
  <c r="H15" i="110"/>
  <c r="H49" i="110" s="1"/>
  <c r="Q15" i="110"/>
  <c r="Q49" i="110" s="1"/>
  <c r="K95" i="34"/>
  <c r="K121" i="34" s="1"/>
  <c r="K109" i="34"/>
  <c r="K135" i="34" s="1"/>
  <c r="K21" i="36" s="1"/>
  <c r="K99" i="34"/>
  <c r="K125" i="34" s="1"/>
  <c r="K11" i="36" s="1"/>
  <c r="J109" i="34"/>
  <c r="J135" i="34" s="1"/>
  <c r="J21" i="36" s="1"/>
  <c r="J99" i="34"/>
  <c r="J125" i="34" s="1"/>
  <c r="J11" i="36" s="1"/>
  <c r="J95" i="34"/>
  <c r="J121" i="34" s="1"/>
  <c r="D105" i="34"/>
  <c r="D131" i="34" s="1"/>
  <c r="D17" i="36" s="1"/>
  <c r="D99" i="34"/>
  <c r="D125" i="34" s="1"/>
  <c r="D11" i="36" s="1"/>
  <c r="D95" i="34"/>
  <c r="D121" i="34" s="1"/>
  <c r="D7" i="36" s="1"/>
  <c r="D109" i="34"/>
  <c r="D135" i="34" s="1"/>
  <c r="D21" i="36" s="1"/>
  <c r="E99" i="34"/>
  <c r="E125" i="34" s="1"/>
  <c r="E11" i="36" s="1"/>
  <c r="E95" i="34"/>
  <c r="E121" i="34" s="1"/>
  <c r="E7" i="36" s="1"/>
  <c r="E109" i="34"/>
  <c r="E135" i="34" s="1"/>
  <c r="E21" i="36" s="1"/>
  <c r="CE434" i="110"/>
  <c r="BZ434" i="110"/>
  <c r="CB434" i="110"/>
  <c r="CD434" i="110"/>
  <c r="AW401" i="110"/>
  <c r="CH434" i="110"/>
  <c r="CG434" i="110"/>
  <c r="CI434" i="110"/>
  <c r="CC434" i="110"/>
  <c r="CF434" i="110"/>
  <c r="CJ434" i="110"/>
  <c r="E139" i="34"/>
  <c r="AJ49" i="110" s="1"/>
  <c r="N133" i="36"/>
  <c r="N161" i="36"/>
  <c r="AN173" i="36" s="1"/>
  <c r="K139" i="34"/>
  <c r="AP49" i="110" s="1"/>
  <c r="J139" i="34"/>
  <c r="AO49" i="110" s="1"/>
  <c r="AB74" i="111"/>
  <c r="AB74" i="141" s="1"/>
  <c r="AB73" i="111"/>
  <c r="AB73" i="141" s="1"/>
  <c r="AB72" i="111"/>
  <c r="AB72" i="141" s="1"/>
  <c r="AB71" i="111"/>
  <c r="AB71" i="141" s="1"/>
  <c r="AB70" i="111"/>
  <c r="AB70" i="141" s="1"/>
  <c r="AB69" i="111"/>
  <c r="AB69" i="141" s="1"/>
  <c r="AB68" i="111"/>
  <c r="AB68" i="141" s="1"/>
  <c r="AB67" i="111"/>
  <c r="AB67" i="141" s="1"/>
  <c r="AB66" i="111"/>
  <c r="AB66" i="141" s="1"/>
  <c r="AB65" i="111"/>
  <c r="AB65" i="141" s="1"/>
  <c r="AB64" i="111"/>
  <c r="AB64" i="141" s="1"/>
  <c r="AB63" i="111"/>
  <c r="AB63" i="141" s="1"/>
  <c r="AB62" i="111"/>
  <c r="AB62" i="141" s="1"/>
  <c r="AB61" i="111"/>
  <c r="AB61" i="141" s="1"/>
  <c r="AA74" i="111"/>
  <c r="AA74" i="141" s="1"/>
  <c r="AA73" i="111"/>
  <c r="AA73" i="141" s="1"/>
  <c r="AA72" i="111"/>
  <c r="AA72" i="141" s="1"/>
  <c r="AA71" i="111"/>
  <c r="AA71" i="141" s="1"/>
  <c r="AA70" i="111"/>
  <c r="AA70" i="141" s="1"/>
  <c r="AA69" i="111"/>
  <c r="AA69" i="141" s="1"/>
  <c r="AA68" i="111"/>
  <c r="AA68" i="141" s="1"/>
  <c r="AA67" i="111"/>
  <c r="AA67" i="141" s="1"/>
  <c r="AA66" i="111"/>
  <c r="AA66" i="141" s="1"/>
  <c r="AA65" i="111"/>
  <c r="AA65" i="141" s="1"/>
  <c r="AA64" i="111"/>
  <c r="AA64" i="141" s="1"/>
  <c r="AA63" i="111"/>
  <c r="AA63" i="141" s="1"/>
  <c r="AA62" i="111"/>
  <c r="AA62" i="141" s="1"/>
  <c r="AA61" i="111"/>
  <c r="AA61" i="141" s="1"/>
  <c r="Z74" i="111"/>
  <c r="Z74" i="141" s="1"/>
  <c r="Z73" i="111"/>
  <c r="Z73" i="141" s="1"/>
  <c r="Z72" i="111"/>
  <c r="Z72" i="141" s="1"/>
  <c r="Z71" i="111"/>
  <c r="Z71" i="141" s="1"/>
  <c r="Z70" i="111"/>
  <c r="Z70" i="141" s="1"/>
  <c r="Z69" i="111"/>
  <c r="Z69" i="141" s="1"/>
  <c r="Z68" i="111"/>
  <c r="Z68" i="141" s="1"/>
  <c r="Z67" i="111"/>
  <c r="Z67" i="141" s="1"/>
  <c r="Z66" i="111"/>
  <c r="Z66" i="141" s="1"/>
  <c r="Z65" i="111"/>
  <c r="Z65" i="141" s="1"/>
  <c r="Z64" i="111"/>
  <c r="Z64" i="141" s="1"/>
  <c r="Z63" i="111"/>
  <c r="Z63" i="141" s="1"/>
  <c r="Z62" i="111"/>
  <c r="Z62" i="141" s="1"/>
  <c r="Z61" i="111"/>
  <c r="Z61" i="141" s="1"/>
  <c r="Y74" i="111"/>
  <c r="Y74" i="141" s="1"/>
  <c r="Y73" i="111"/>
  <c r="Y73" i="141" s="1"/>
  <c r="Y72" i="111"/>
  <c r="Y72" i="141" s="1"/>
  <c r="Y71" i="111"/>
  <c r="Y71" i="141" s="1"/>
  <c r="Y70" i="111"/>
  <c r="Y70" i="141" s="1"/>
  <c r="Y69" i="111"/>
  <c r="Y69" i="141" s="1"/>
  <c r="Y68" i="111"/>
  <c r="Y68" i="141" s="1"/>
  <c r="Y67" i="111"/>
  <c r="Y67" i="141" s="1"/>
  <c r="Y66" i="111"/>
  <c r="Y66" i="141" s="1"/>
  <c r="Y65" i="111"/>
  <c r="Y65" i="141" s="1"/>
  <c r="Y64" i="111"/>
  <c r="Y64" i="141" s="1"/>
  <c r="Y63" i="111"/>
  <c r="Y63" i="141" s="1"/>
  <c r="Y62" i="111"/>
  <c r="Y62" i="141" s="1"/>
  <c r="Y61" i="111"/>
  <c r="Y61" i="141" s="1"/>
  <c r="X74" i="111"/>
  <c r="X74" i="141" s="1"/>
  <c r="X73" i="111"/>
  <c r="X73" i="141" s="1"/>
  <c r="X72" i="111"/>
  <c r="X72" i="141" s="1"/>
  <c r="X71" i="111"/>
  <c r="X71" i="141" s="1"/>
  <c r="X70" i="111"/>
  <c r="X70" i="141" s="1"/>
  <c r="X69" i="111"/>
  <c r="X69" i="141" s="1"/>
  <c r="X68" i="111"/>
  <c r="X68" i="141" s="1"/>
  <c r="X67" i="111"/>
  <c r="X67" i="141" s="1"/>
  <c r="X66" i="111"/>
  <c r="X66" i="141" s="1"/>
  <c r="X65" i="111"/>
  <c r="X65" i="141" s="1"/>
  <c r="X64" i="111"/>
  <c r="X64" i="141" s="1"/>
  <c r="X63" i="111"/>
  <c r="X63" i="141" s="1"/>
  <c r="X62" i="111"/>
  <c r="X62" i="141" s="1"/>
  <c r="X61" i="111"/>
  <c r="X61" i="141" s="1"/>
  <c r="W74" i="111"/>
  <c r="W74" i="141" s="1"/>
  <c r="W73" i="111"/>
  <c r="W73" i="141" s="1"/>
  <c r="W72" i="111"/>
  <c r="W72" i="141" s="1"/>
  <c r="W71" i="111"/>
  <c r="W71" i="141" s="1"/>
  <c r="W70" i="111"/>
  <c r="W70" i="141" s="1"/>
  <c r="W69" i="111"/>
  <c r="W69" i="141" s="1"/>
  <c r="W68" i="111"/>
  <c r="W68" i="141" s="1"/>
  <c r="W67" i="111"/>
  <c r="W67" i="141" s="1"/>
  <c r="W66" i="111"/>
  <c r="W66" i="141" s="1"/>
  <c r="W65" i="111"/>
  <c r="W65" i="141" s="1"/>
  <c r="W64" i="111"/>
  <c r="W64" i="141" s="1"/>
  <c r="W63" i="111"/>
  <c r="W63" i="141" s="1"/>
  <c r="W62" i="111"/>
  <c r="W62" i="141" s="1"/>
  <c r="W61" i="111"/>
  <c r="W61" i="141" s="1"/>
  <c r="V74" i="111"/>
  <c r="V74" i="141" s="1"/>
  <c r="V73" i="111"/>
  <c r="V73" i="141" s="1"/>
  <c r="V72" i="111"/>
  <c r="V72" i="141" s="1"/>
  <c r="V71" i="111"/>
  <c r="V71" i="141" s="1"/>
  <c r="V70" i="111"/>
  <c r="V70" i="141" s="1"/>
  <c r="V69" i="111"/>
  <c r="V69" i="141" s="1"/>
  <c r="V68" i="111"/>
  <c r="V68" i="141" s="1"/>
  <c r="V67" i="111"/>
  <c r="V67" i="141" s="1"/>
  <c r="V66" i="111"/>
  <c r="V66" i="141" s="1"/>
  <c r="V65" i="111"/>
  <c r="V65" i="141" s="1"/>
  <c r="V64" i="111"/>
  <c r="V64" i="141" s="1"/>
  <c r="V63" i="111"/>
  <c r="V63" i="141" s="1"/>
  <c r="V62" i="111"/>
  <c r="V62" i="141" s="1"/>
  <c r="V61" i="111"/>
  <c r="V61" i="141" s="1"/>
  <c r="U74" i="111"/>
  <c r="U74" i="141" s="1"/>
  <c r="U73" i="111"/>
  <c r="U73" i="141" s="1"/>
  <c r="U72" i="111"/>
  <c r="U72" i="141" s="1"/>
  <c r="U71" i="111"/>
  <c r="U71" i="141" s="1"/>
  <c r="U70" i="111"/>
  <c r="U70" i="141" s="1"/>
  <c r="U69" i="111"/>
  <c r="U69" i="141" s="1"/>
  <c r="U68" i="111"/>
  <c r="U68" i="141" s="1"/>
  <c r="U67" i="111"/>
  <c r="U67" i="141" s="1"/>
  <c r="U66" i="111"/>
  <c r="U66" i="141" s="1"/>
  <c r="U65" i="111"/>
  <c r="U65" i="141" s="1"/>
  <c r="U64" i="111"/>
  <c r="U64" i="141" s="1"/>
  <c r="U63" i="111"/>
  <c r="U63" i="141" s="1"/>
  <c r="U62" i="111"/>
  <c r="U62" i="141" s="1"/>
  <c r="U61" i="111"/>
  <c r="U61" i="141" s="1"/>
  <c r="T74" i="111"/>
  <c r="T74" i="141" s="1"/>
  <c r="T73" i="111"/>
  <c r="T73" i="141" s="1"/>
  <c r="T72" i="111"/>
  <c r="T72" i="141" s="1"/>
  <c r="T71" i="111"/>
  <c r="T71" i="141" s="1"/>
  <c r="T70" i="111"/>
  <c r="T70" i="141" s="1"/>
  <c r="T69" i="111"/>
  <c r="T69" i="141" s="1"/>
  <c r="T68" i="111"/>
  <c r="T68" i="141" s="1"/>
  <c r="T67" i="111"/>
  <c r="T67" i="141" s="1"/>
  <c r="T66" i="111"/>
  <c r="T66" i="141" s="1"/>
  <c r="T65" i="111"/>
  <c r="T65" i="141" s="1"/>
  <c r="T64" i="111"/>
  <c r="T64" i="141" s="1"/>
  <c r="T63" i="111"/>
  <c r="T63" i="141" s="1"/>
  <c r="T62" i="111"/>
  <c r="T62" i="141" s="1"/>
  <c r="T61" i="111"/>
  <c r="T61" i="141" s="1"/>
  <c r="S74" i="111"/>
  <c r="S74" i="141" s="1"/>
  <c r="S73" i="111"/>
  <c r="S73" i="141" s="1"/>
  <c r="S72" i="111"/>
  <c r="S72" i="141" s="1"/>
  <c r="S71" i="111"/>
  <c r="S71" i="141" s="1"/>
  <c r="S70" i="111"/>
  <c r="S70" i="141" s="1"/>
  <c r="S69" i="111"/>
  <c r="S69" i="141" s="1"/>
  <c r="S68" i="111"/>
  <c r="S68" i="141" s="1"/>
  <c r="S67" i="111"/>
  <c r="S67" i="141" s="1"/>
  <c r="S66" i="111"/>
  <c r="S66" i="141" s="1"/>
  <c r="S65" i="111"/>
  <c r="S65" i="141" s="1"/>
  <c r="S64" i="111"/>
  <c r="S64" i="141" s="1"/>
  <c r="S63" i="111"/>
  <c r="S63" i="141" s="1"/>
  <c r="S62" i="111"/>
  <c r="S62" i="141" s="1"/>
  <c r="S61" i="111"/>
  <c r="S61" i="141" s="1"/>
  <c r="R74" i="111"/>
  <c r="R74" i="141" s="1"/>
  <c r="R73" i="111"/>
  <c r="R73" i="141" s="1"/>
  <c r="R72" i="111"/>
  <c r="R72" i="141" s="1"/>
  <c r="R71" i="111"/>
  <c r="R71" i="141" s="1"/>
  <c r="R70" i="111"/>
  <c r="R70" i="141" s="1"/>
  <c r="R69" i="111"/>
  <c r="R69" i="141" s="1"/>
  <c r="R68" i="111"/>
  <c r="R68" i="141" s="1"/>
  <c r="R67" i="111"/>
  <c r="R67" i="141" s="1"/>
  <c r="R66" i="111"/>
  <c r="R66" i="141" s="1"/>
  <c r="R65" i="111"/>
  <c r="R65" i="141" s="1"/>
  <c r="R64" i="111"/>
  <c r="R64" i="141" s="1"/>
  <c r="R63" i="111"/>
  <c r="R63" i="141" s="1"/>
  <c r="R62" i="111"/>
  <c r="R62" i="141" s="1"/>
  <c r="R61" i="111"/>
  <c r="R61" i="141" s="1"/>
  <c r="F152" i="36"/>
  <c r="F124" i="36"/>
  <c r="F157" i="36"/>
  <c r="F129" i="36"/>
  <c r="F147" i="36"/>
  <c r="F119" i="36"/>
  <c r="H152" i="36"/>
  <c r="H124" i="36"/>
  <c r="H119" i="36"/>
  <c r="P152" i="36"/>
  <c r="P124" i="36"/>
  <c r="P157" i="36"/>
  <c r="P129" i="36"/>
  <c r="P147" i="36"/>
  <c r="P119" i="36"/>
  <c r="I152" i="36"/>
  <c r="I124" i="36"/>
  <c r="I157" i="36"/>
  <c r="I129" i="36"/>
  <c r="I147" i="36"/>
  <c r="I119" i="36"/>
  <c r="Q152" i="36"/>
  <c r="Q124" i="36"/>
  <c r="Q157" i="36"/>
  <c r="Q129" i="36"/>
  <c r="Q147" i="36"/>
  <c r="Q119" i="36"/>
  <c r="O152" i="36"/>
  <c r="O124" i="36"/>
  <c r="O157" i="36"/>
  <c r="O129" i="36"/>
  <c r="O147" i="36"/>
  <c r="O119" i="36"/>
  <c r="L152" i="36"/>
  <c r="L124" i="36"/>
  <c r="L157" i="36"/>
  <c r="L129" i="36"/>
  <c r="L147" i="36"/>
  <c r="L119" i="36"/>
  <c r="G152" i="36"/>
  <c r="G124" i="36"/>
  <c r="G157" i="36"/>
  <c r="G129" i="36"/>
  <c r="G147" i="36"/>
  <c r="G119" i="36"/>
  <c r="M152" i="36"/>
  <c r="M124" i="36"/>
  <c r="M157" i="36"/>
  <c r="M129" i="36"/>
  <c r="M147" i="36"/>
  <c r="M119" i="36"/>
  <c r="R138" i="36"/>
  <c r="S138" i="36"/>
  <c r="T138" i="36"/>
  <c r="U138" i="36"/>
  <c r="V138" i="36"/>
  <c r="W138" i="36"/>
  <c r="X138" i="36"/>
  <c r="Y138" i="36"/>
  <c r="Z138" i="36"/>
  <c r="AA138" i="36"/>
  <c r="AB138" i="36"/>
  <c r="AB135" i="36"/>
  <c r="AA135" i="36"/>
  <c r="Z135" i="36"/>
  <c r="Y135" i="36"/>
  <c r="X135" i="36"/>
  <c r="W135" i="36"/>
  <c r="V135" i="36"/>
  <c r="U135" i="36"/>
  <c r="T135" i="36"/>
  <c r="S135" i="36"/>
  <c r="R135" i="36"/>
  <c r="R64" i="112"/>
  <c r="R64" i="142" s="1"/>
  <c r="S64" i="112"/>
  <c r="S64" i="142" s="1"/>
  <c r="T64" i="112"/>
  <c r="T64" i="142" s="1"/>
  <c r="U64" i="112"/>
  <c r="U64" i="142" s="1"/>
  <c r="V64" i="112"/>
  <c r="V64" i="142" s="1"/>
  <c r="W64" i="112"/>
  <c r="W64" i="142" s="1"/>
  <c r="X64" i="112"/>
  <c r="X64" i="142" s="1"/>
  <c r="Y64" i="112"/>
  <c r="Y64" i="142" s="1"/>
  <c r="Z64" i="112"/>
  <c r="Z64" i="142" s="1"/>
  <c r="AA64" i="112"/>
  <c r="AA64" i="142" s="1"/>
  <c r="AB64" i="112"/>
  <c r="AB64" i="142" s="1"/>
  <c r="AL149" i="110"/>
  <c r="AL145" i="110"/>
  <c r="AO149" i="110"/>
  <c r="AO145" i="110"/>
  <c r="AU149" i="110"/>
  <c r="AU145" i="110"/>
  <c r="AS149" i="110"/>
  <c r="AS145" i="110"/>
  <c r="AT149" i="110"/>
  <c r="AT145" i="110"/>
  <c r="AR149" i="110"/>
  <c r="AR145" i="110"/>
  <c r="AV149" i="110"/>
  <c r="AV145" i="110"/>
  <c r="CA473" i="110"/>
  <c r="CA493" i="110"/>
  <c r="BZ471" i="110"/>
  <c r="BZ491" i="110"/>
  <c r="CA468" i="110"/>
  <c r="CA488" i="110"/>
  <c r="CA469" i="110"/>
  <c r="CA489" i="110"/>
  <c r="BZ472" i="110"/>
  <c r="BZ492" i="110"/>
  <c r="BZ468" i="110"/>
  <c r="BZ488" i="110"/>
  <c r="CA467" i="110"/>
  <c r="CA487" i="110"/>
  <c r="BZ467" i="110"/>
  <c r="BZ487" i="110"/>
  <c r="BZ473" i="110"/>
  <c r="BZ493" i="110"/>
  <c r="CA471" i="110"/>
  <c r="CA491" i="110"/>
  <c r="CA472" i="110"/>
  <c r="CA492" i="110"/>
  <c r="BZ469" i="110"/>
  <c r="BZ489" i="110"/>
  <c r="CI471" i="110"/>
  <c r="CI491" i="110"/>
  <c r="CI472" i="110"/>
  <c r="CI492" i="110"/>
  <c r="CH469" i="110"/>
  <c r="CH489" i="110"/>
  <c r="CD469" i="110"/>
  <c r="CD489" i="110"/>
  <c r="CB467" i="110"/>
  <c r="CB487" i="110"/>
  <c r="CB468" i="110"/>
  <c r="CB488" i="110"/>
  <c r="CF468" i="110"/>
  <c r="CF488" i="110"/>
  <c r="CJ471" i="110"/>
  <c r="CJ491" i="110"/>
  <c r="CC467" i="110"/>
  <c r="CC487" i="110"/>
  <c r="CD471" i="110"/>
  <c r="CD491" i="110"/>
  <c r="CC472" i="110"/>
  <c r="CC492" i="110"/>
  <c r="CJ468" i="110"/>
  <c r="CJ488" i="110"/>
  <c r="CF471" i="110"/>
  <c r="CF491" i="110"/>
  <c r="CF473" i="110"/>
  <c r="CF493" i="110"/>
  <c r="CE471" i="110"/>
  <c r="CE491" i="110"/>
  <c r="CE469" i="110"/>
  <c r="CE489" i="110"/>
  <c r="CB473" i="110"/>
  <c r="CB493" i="110"/>
  <c r="CD473" i="110"/>
  <c r="CD493" i="110"/>
  <c r="CB469" i="110"/>
  <c r="CB489" i="110"/>
  <c r="CB471" i="110"/>
  <c r="CB491" i="110"/>
  <c r="CG473" i="110"/>
  <c r="CG493" i="110"/>
  <c r="CE467" i="110"/>
  <c r="CE487" i="110"/>
  <c r="CE472" i="110"/>
  <c r="CE492" i="110"/>
  <c r="CG472" i="110"/>
  <c r="CG492" i="110"/>
  <c r="CI473" i="110"/>
  <c r="CI493" i="110"/>
  <c r="CE453" i="110"/>
  <c r="CE473" i="110"/>
  <c r="CE493" i="110"/>
  <c r="CC473" i="110"/>
  <c r="CC493" i="110"/>
  <c r="CD467" i="110"/>
  <c r="CD487" i="110"/>
  <c r="CD472" i="110"/>
  <c r="CD492" i="110"/>
  <c r="CF467" i="110"/>
  <c r="CF487" i="110"/>
  <c r="CG469" i="110"/>
  <c r="CG489" i="110"/>
  <c r="CH473" i="110"/>
  <c r="CH493" i="110"/>
  <c r="CH468" i="110"/>
  <c r="CH488" i="110"/>
  <c r="CH471" i="110"/>
  <c r="CH491" i="110"/>
  <c r="CE468" i="110"/>
  <c r="CE488" i="110"/>
  <c r="CF469" i="110"/>
  <c r="CF489" i="110"/>
  <c r="CC471" i="110"/>
  <c r="CC491" i="110"/>
  <c r="CD468" i="110"/>
  <c r="CD488" i="110"/>
  <c r="CI467" i="110"/>
  <c r="CI487" i="110"/>
  <c r="CC468" i="110"/>
  <c r="CC488" i="110"/>
  <c r="CJ469" i="110"/>
  <c r="CJ489" i="110"/>
  <c r="CI468" i="110"/>
  <c r="CI488" i="110"/>
  <c r="CC469" i="110"/>
  <c r="CC489" i="110"/>
  <c r="CH472" i="110"/>
  <c r="CH492" i="110"/>
  <c r="CB472" i="110"/>
  <c r="CB492" i="110"/>
  <c r="CF472" i="110"/>
  <c r="CF492" i="110"/>
  <c r="CJ472" i="110"/>
  <c r="CJ492" i="110"/>
  <c r="CJ467" i="110"/>
  <c r="CJ487" i="110"/>
  <c r="CH467" i="110"/>
  <c r="CH487" i="110"/>
  <c r="CG447" i="110"/>
  <c r="CG467" i="110"/>
  <c r="CG487" i="110"/>
  <c r="CJ473" i="110"/>
  <c r="CJ493" i="110"/>
  <c r="CI469" i="110"/>
  <c r="CI489" i="110"/>
  <c r="CG471" i="110"/>
  <c r="CG491" i="110"/>
  <c r="CG468" i="110"/>
  <c r="CG488" i="110"/>
  <c r="CB494" i="110"/>
  <c r="T149" i="112" s="1"/>
  <c r="T149" i="142" s="1"/>
  <c r="CB474" i="110"/>
  <c r="T141" i="112" s="1"/>
  <c r="T141" i="142" s="1"/>
  <c r="CD494" i="110"/>
  <c r="V149" i="112" s="1"/>
  <c r="V149" i="142" s="1"/>
  <c r="CD474" i="110"/>
  <c r="V141" i="112" s="1"/>
  <c r="V141" i="142" s="1"/>
  <c r="CI470" i="110"/>
  <c r="AA141" i="111" s="1"/>
  <c r="AA141" i="141" s="1"/>
  <c r="CI490" i="110"/>
  <c r="AA149" i="111" s="1"/>
  <c r="AA149" i="141" s="1"/>
  <c r="CE494" i="110"/>
  <c r="W149" i="112" s="1"/>
  <c r="W149" i="142" s="1"/>
  <c r="CE474" i="110"/>
  <c r="W141" i="112" s="1"/>
  <c r="W141" i="142" s="1"/>
  <c r="S273" i="110"/>
  <c r="CA494" i="110"/>
  <c r="S149" i="112" s="1"/>
  <c r="S149" i="142" s="1"/>
  <c r="CA474" i="110"/>
  <c r="S141" i="112" s="1"/>
  <c r="S141" i="142" s="1"/>
  <c r="CH494" i="110"/>
  <c r="Z149" i="112" s="1"/>
  <c r="Z149" i="142" s="1"/>
  <c r="CH474" i="110"/>
  <c r="Z141" i="112" s="1"/>
  <c r="Z141" i="142" s="1"/>
  <c r="CC494" i="110"/>
  <c r="U149" i="112" s="1"/>
  <c r="U149" i="142" s="1"/>
  <c r="CC474" i="110"/>
  <c r="U141" i="112" s="1"/>
  <c r="U141" i="142" s="1"/>
  <c r="CD470" i="110"/>
  <c r="V141" i="111" s="1"/>
  <c r="V141" i="141" s="1"/>
  <c r="CD490" i="110"/>
  <c r="V149" i="111" s="1"/>
  <c r="V149" i="141" s="1"/>
  <c r="CG494" i="110"/>
  <c r="Y149" i="112" s="1"/>
  <c r="Y149" i="142" s="1"/>
  <c r="CG474" i="110"/>
  <c r="Y141" i="112" s="1"/>
  <c r="Y141" i="142" s="1"/>
  <c r="CC470" i="110"/>
  <c r="U141" i="111" s="1"/>
  <c r="U141" i="141" s="1"/>
  <c r="CC490" i="110"/>
  <c r="U149" i="111" s="1"/>
  <c r="U149" i="141" s="1"/>
  <c r="CG470" i="110"/>
  <c r="Y141" i="111" s="1"/>
  <c r="Y141" i="141" s="1"/>
  <c r="CG490" i="110"/>
  <c r="Y149" i="111" s="1"/>
  <c r="Y149" i="141" s="1"/>
  <c r="CF470" i="110"/>
  <c r="X141" i="111" s="1"/>
  <c r="X141" i="141" s="1"/>
  <c r="CF490" i="110"/>
  <c r="X149" i="111" s="1"/>
  <c r="X149" i="141" s="1"/>
  <c r="CA470" i="110"/>
  <c r="S141" i="111" s="1"/>
  <c r="S141" i="141" s="1"/>
  <c r="CA490" i="110"/>
  <c r="S149" i="111" s="1"/>
  <c r="S149" i="141" s="1"/>
  <c r="CE470" i="110"/>
  <c r="W141" i="111" s="1"/>
  <c r="W141" i="141" s="1"/>
  <c r="CE490" i="110"/>
  <c r="W149" i="111" s="1"/>
  <c r="W149" i="141" s="1"/>
  <c r="BZ494" i="110"/>
  <c r="R149" i="112" s="1"/>
  <c r="R149" i="142" s="1"/>
  <c r="BZ474" i="110"/>
  <c r="R141" i="112" s="1"/>
  <c r="R141" i="142" s="1"/>
  <c r="CJ470" i="110"/>
  <c r="AB141" i="111" s="1"/>
  <c r="AB141" i="141" s="1"/>
  <c r="CJ490" i="110"/>
  <c r="AB149" i="111" s="1"/>
  <c r="AB149" i="141" s="1"/>
  <c r="CJ494" i="110"/>
  <c r="AB149" i="112" s="1"/>
  <c r="AB149" i="142" s="1"/>
  <c r="CJ474" i="110"/>
  <c r="AB141" i="112" s="1"/>
  <c r="AB141" i="142" s="1"/>
  <c r="BZ470" i="110"/>
  <c r="R141" i="111" s="1"/>
  <c r="R141" i="141" s="1"/>
  <c r="BZ490" i="110"/>
  <c r="R149" i="111" s="1"/>
  <c r="R149" i="141" s="1"/>
  <c r="CI494" i="110"/>
  <c r="AA149" i="112" s="1"/>
  <c r="AA149" i="142" s="1"/>
  <c r="CI474" i="110"/>
  <c r="AA141" i="112" s="1"/>
  <c r="AA141" i="142" s="1"/>
  <c r="AN178" i="110"/>
  <c r="AN174" i="110"/>
  <c r="AN131" i="110"/>
  <c r="AN127" i="110"/>
  <c r="AL131" i="110"/>
  <c r="AL127" i="110"/>
  <c r="AL178" i="110"/>
  <c r="AL174" i="110"/>
  <c r="AS131" i="110"/>
  <c r="AS127" i="110"/>
  <c r="AS178" i="110"/>
  <c r="AS174" i="110"/>
  <c r="AQ131" i="110"/>
  <c r="AQ127" i="110"/>
  <c r="AQ178" i="110"/>
  <c r="AQ174" i="110"/>
  <c r="AR131" i="110"/>
  <c r="AR127" i="110"/>
  <c r="AR178" i="110"/>
  <c r="AR174" i="110"/>
  <c r="AK131" i="110"/>
  <c r="AK127" i="110"/>
  <c r="AK178" i="110"/>
  <c r="AK174" i="110"/>
  <c r="AV131" i="110"/>
  <c r="AV127" i="110"/>
  <c r="AV178" i="110"/>
  <c r="AV174" i="110"/>
  <c r="AU131" i="110"/>
  <c r="AU127" i="110"/>
  <c r="AU178" i="110"/>
  <c r="AU174" i="110"/>
  <c r="AP131" i="110"/>
  <c r="AP127" i="110"/>
  <c r="AP178" i="110"/>
  <c r="AJ178" i="110"/>
  <c r="AJ174" i="110"/>
  <c r="AJ131" i="110"/>
  <c r="AJ127" i="110"/>
  <c r="AO178" i="110"/>
  <c r="AO174" i="110"/>
  <c r="AO131" i="110"/>
  <c r="AO127" i="110"/>
  <c r="AT178" i="110"/>
  <c r="AT174" i="110"/>
  <c r="AT131" i="110"/>
  <c r="AT127" i="110"/>
  <c r="AM131" i="110"/>
  <c r="AM127" i="110"/>
  <c r="AM178" i="110"/>
  <c r="AM174" i="110"/>
  <c r="CB470" i="110"/>
  <c r="T141" i="111" s="1"/>
  <c r="T141" i="141" s="1"/>
  <c r="CB490" i="110"/>
  <c r="T149" i="111" s="1"/>
  <c r="T149" i="141" s="1"/>
  <c r="CH470" i="110"/>
  <c r="Z141" i="111" s="1"/>
  <c r="Z141" i="141" s="1"/>
  <c r="CH490" i="110"/>
  <c r="Z149" i="111" s="1"/>
  <c r="Z149" i="141" s="1"/>
  <c r="CF494" i="110"/>
  <c r="X149" i="112" s="1"/>
  <c r="X149" i="142" s="1"/>
  <c r="CF474" i="110"/>
  <c r="X141" i="112" s="1"/>
  <c r="X141" i="142" s="1"/>
  <c r="BE407" i="110"/>
  <c r="AA139" i="112" s="1"/>
  <c r="AA139" i="142" s="1"/>
  <c r="BD407" i="110"/>
  <c r="Z139" i="112" s="1"/>
  <c r="Z139" i="142" s="1"/>
  <c r="AY407" i="110"/>
  <c r="U139" i="112" s="1"/>
  <c r="U139" i="142" s="1"/>
  <c r="BA407" i="110"/>
  <c r="W139" i="112" s="1"/>
  <c r="W139" i="142" s="1"/>
  <c r="BF403" i="110"/>
  <c r="AB139" i="111" s="1"/>
  <c r="AB139" i="141" s="1"/>
  <c r="BA403" i="110"/>
  <c r="W139" i="111" s="1"/>
  <c r="W139" i="141" s="1"/>
  <c r="AX402" i="110"/>
  <c r="BA406" i="110"/>
  <c r="BD401" i="110"/>
  <c r="BB404" i="110"/>
  <c r="BA401" i="110"/>
  <c r="BB400" i="110"/>
  <c r="BD400" i="110"/>
  <c r="AY406" i="110"/>
  <c r="BF402" i="110"/>
  <c r="AY405" i="110"/>
  <c r="AY401" i="110"/>
  <c r="BE405" i="110"/>
  <c r="BE401" i="110"/>
  <c r="BF400" i="110"/>
  <c r="BE400" i="110"/>
  <c r="AV404" i="110"/>
  <c r="BC402" i="110"/>
  <c r="BD406" i="110"/>
  <c r="BF406" i="110"/>
  <c r="BC400" i="110"/>
  <c r="BE413" i="110"/>
  <c r="AZ414" i="110"/>
  <c r="AZ401" i="110"/>
  <c r="BE415" i="110"/>
  <c r="BD405" i="110"/>
  <c r="AY404" i="110"/>
  <c r="AZ402" i="110"/>
  <c r="BA405" i="110"/>
  <c r="BB406" i="110"/>
  <c r="BA404" i="110"/>
  <c r="BA400" i="110"/>
  <c r="AW400" i="110"/>
  <c r="BD404" i="110"/>
  <c r="BD402" i="110"/>
  <c r="BE402" i="110"/>
  <c r="D139" i="34"/>
  <c r="AI49" i="110" s="1"/>
  <c r="CH448" i="110"/>
  <c r="CH450" i="110"/>
  <c r="Z145" i="111" s="1"/>
  <c r="Z145" i="141" s="1"/>
  <c r="BC409" i="110"/>
  <c r="CC452" i="110"/>
  <c r="AY423" i="110"/>
  <c r="AY414" i="110"/>
  <c r="CE448" i="110"/>
  <c r="BA412" i="110"/>
  <c r="W140" i="111" s="1"/>
  <c r="W140" i="141" s="1"/>
  <c r="R269" i="110"/>
  <c r="BA413" i="110"/>
  <c r="AV413" i="110"/>
  <c r="L146" i="36"/>
  <c r="BE404" i="110"/>
  <c r="CI449" i="110"/>
  <c r="BE411" i="110"/>
  <c r="BF409" i="110"/>
  <c r="AY416" i="110"/>
  <c r="U140" i="112" s="1"/>
  <c r="U140" i="142" s="1"/>
  <c r="BB424" i="110"/>
  <c r="BE409" i="110"/>
  <c r="CJ447" i="110"/>
  <c r="BB415" i="110"/>
  <c r="CF454" i="110"/>
  <c r="X145" i="112" s="1"/>
  <c r="X145" i="142" s="1"/>
  <c r="CH449" i="110"/>
  <c r="BE424" i="110"/>
  <c r="BD413" i="110"/>
  <c r="CH451" i="110"/>
  <c r="CH453" i="110"/>
  <c r="AZ411" i="110"/>
  <c r="R262" i="110"/>
  <c r="AY419" i="110"/>
  <c r="AY410" i="110"/>
  <c r="BD414" i="110"/>
  <c r="BD415" i="110"/>
  <c r="AA258" i="110"/>
  <c r="BD409" i="110"/>
  <c r="S262" i="110"/>
  <c r="CC448" i="110"/>
  <c r="CH447" i="110"/>
  <c r="CE451" i="110"/>
  <c r="CI450" i="110"/>
  <c r="AA145" i="111" s="1"/>
  <c r="AA145" i="141" s="1"/>
  <c r="R258" i="110"/>
  <c r="BA409" i="110"/>
  <c r="BC411" i="110"/>
  <c r="S269" i="110"/>
  <c r="CG449" i="110"/>
  <c r="BE418" i="110"/>
  <c r="R273" i="110"/>
  <c r="BB409" i="110"/>
  <c r="BD416" i="110"/>
  <c r="Z140" i="112" s="1"/>
  <c r="Z140" i="142" s="1"/>
  <c r="CH454" i="110"/>
  <c r="Z145" i="112" s="1"/>
  <c r="Z145" i="142" s="1"/>
  <c r="BE422" i="110"/>
  <c r="BD412" i="110"/>
  <c r="Z140" i="111" s="1"/>
  <c r="Z140" i="141" s="1"/>
  <c r="CE450" i="110"/>
  <c r="W145" i="111" s="1"/>
  <c r="W145" i="141" s="1"/>
  <c r="D146" i="36"/>
  <c r="AZ405" i="110"/>
  <c r="CI453" i="110"/>
  <c r="BA423" i="110"/>
  <c r="CE452" i="110"/>
  <c r="AW409" i="110"/>
  <c r="AY413" i="110"/>
  <c r="S258" i="110"/>
  <c r="CD449" i="110"/>
  <c r="BA414" i="110"/>
  <c r="AI90" i="110"/>
  <c r="AI107" i="110"/>
  <c r="BE412" i="110"/>
  <c r="AA140" i="111" s="1"/>
  <c r="AA140" i="141" s="1"/>
  <c r="BE403" i="110"/>
  <c r="AA139" i="111" s="1"/>
  <c r="AA139" i="141" s="1"/>
  <c r="BA416" i="110"/>
  <c r="W140" i="112" s="1"/>
  <c r="W140" i="142" s="1"/>
  <c r="BA425" i="110"/>
  <c r="BF421" i="110"/>
  <c r="CE454" i="110"/>
  <c r="W145" i="112" s="1"/>
  <c r="W145" i="142" s="1"/>
  <c r="BA421" i="110"/>
  <c r="CD448" i="110"/>
  <c r="AZ410" i="110"/>
  <c r="Y258" i="110"/>
  <c r="CJ449" i="110"/>
  <c r="BE410" i="110"/>
  <c r="BF411" i="110"/>
  <c r="X258" i="110"/>
  <c r="CI448" i="110"/>
  <c r="BF415" i="110"/>
  <c r="AP108" i="110"/>
  <c r="AP91" i="110"/>
  <c r="BF424" i="110"/>
  <c r="BF420" i="110"/>
  <c r="AY415" i="110"/>
  <c r="CF453" i="110"/>
  <c r="BE414" i="110"/>
  <c r="BB416" i="110"/>
  <c r="X140" i="112" s="1"/>
  <c r="X140" i="142" s="1"/>
  <c r="CI452" i="110"/>
  <c r="BB407" i="110"/>
  <c r="X139" i="112" s="1"/>
  <c r="X139" i="142" s="1"/>
  <c r="AL130" i="110"/>
  <c r="AL129" i="110"/>
  <c r="AL128" i="110"/>
  <c r="AL126" i="110"/>
  <c r="AL125" i="110"/>
  <c r="AL124" i="110"/>
  <c r="AS130" i="110"/>
  <c r="AS129" i="110"/>
  <c r="AS128" i="110"/>
  <c r="AS126" i="110"/>
  <c r="AS125" i="110"/>
  <c r="AS124" i="110"/>
  <c r="AN175" i="110"/>
  <c r="AN177" i="110"/>
  <c r="AN173" i="110"/>
  <c r="AN176" i="110"/>
  <c r="AN172" i="110"/>
  <c r="AN171" i="110"/>
  <c r="AT172" i="110"/>
  <c r="AT171" i="110"/>
  <c r="AT177" i="110"/>
  <c r="AT176" i="110"/>
  <c r="AT175" i="110"/>
  <c r="AT173" i="110"/>
  <c r="BD403" i="110"/>
  <c r="Z139" i="111" s="1"/>
  <c r="Z139" i="141" s="1"/>
  <c r="CJ450" i="110"/>
  <c r="AB145" i="111" s="1"/>
  <c r="AB145" i="141" s="1"/>
  <c r="AR175" i="110"/>
  <c r="AR173" i="110"/>
  <c r="AR172" i="110"/>
  <c r="AR171" i="110"/>
  <c r="AR177" i="110"/>
  <c r="AR176" i="110"/>
  <c r="BF412" i="110"/>
  <c r="AB140" i="111" s="1"/>
  <c r="AB140" i="141" s="1"/>
  <c r="AO124" i="110"/>
  <c r="AO130" i="110"/>
  <c r="AO129" i="110"/>
  <c r="AO128" i="110"/>
  <c r="AO126" i="110"/>
  <c r="AO125" i="110"/>
  <c r="AR130" i="110"/>
  <c r="AR129" i="110"/>
  <c r="AR128" i="110"/>
  <c r="AR126" i="110"/>
  <c r="AR125" i="110"/>
  <c r="AR124" i="110"/>
  <c r="BD420" i="110"/>
  <c r="CI454" i="110"/>
  <c r="AA145" i="112" s="1"/>
  <c r="AA145" i="142" s="1"/>
  <c r="BE425" i="110"/>
  <c r="BA410" i="110"/>
  <c r="AU171" i="110"/>
  <c r="AU175" i="110"/>
  <c r="AU176" i="110"/>
  <c r="AU177" i="110"/>
  <c r="AU173" i="110"/>
  <c r="AU172" i="110"/>
  <c r="AV177" i="110"/>
  <c r="AV175" i="110"/>
  <c r="AV176" i="110"/>
  <c r="AV173" i="110"/>
  <c r="AV172" i="110"/>
  <c r="AV171" i="110"/>
  <c r="BE416" i="110"/>
  <c r="AA140" i="112" s="1"/>
  <c r="AA140" i="142" s="1"/>
  <c r="BC418" i="110"/>
  <c r="BD422" i="110"/>
  <c r="CJ453" i="110"/>
  <c r="AU130" i="110"/>
  <c r="AU129" i="110"/>
  <c r="AU128" i="110"/>
  <c r="AU126" i="110"/>
  <c r="AU125" i="110"/>
  <c r="AU124" i="110"/>
  <c r="AV130" i="110"/>
  <c r="AV129" i="110"/>
  <c r="AV128" i="110"/>
  <c r="AV126" i="110"/>
  <c r="AV125" i="110"/>
  <c r="AV124" i="110"/>
  <c r="BD421" i="110"/>
  <c r="BD410" i="110"/>
  <c r="BF418" i="110"/>
  <c r="AT130" i="110"/>
  <c r="AT129" i="110"/>
  <c r="AT128" i="110"/>
  <c r="AT126" i="110"/>
  <c r="AT125" i="110"/>
  <c r="AT124" i="110"/>
  <c r="AS173" i="110"/>
  <c r="AS172" i="110"/>
  <c r="AS171" i="110"/>
  <c r="AS177" i="110"/>
  <c r="AS176" i="110"/>
  <c r="AS175" i="110"/>
  <c r="AI14" i="35"/>
  <c r="AI21" i="35" s="1"/>
  <c r="BA415" i="110"/>
  <c r="CI447" i="110"/>
  <c r="BA424" i="110"/>
  <c r="AE14" i="35"/>
  <c r="CI451" i="110"/>
  <c r="BE419" i="110"/>
  <c r="BB413" i="110"/>
  <c r="BD419" i="110"/>
  <c r="AM14" i="35"/>
  <c r="AM21" i="35" s="1"/>
  <c r="AF14" i="35"/>
  <c r="AF21" i="35" s="1"/>
  <c r="AG14" i="35"/>
  <c r="G29" i="35"/>
  <c r="AZ419" i="110"/>
  <c r="BA422" i="110"/>
  <c r="AX411" i="110"/>
  <c r="BE420" i="110"/>
  <c r="AA262" i="110"/>
  <c r="V258" i="110"/>
  <c r="AW406" i="110"/>
  <c r="AW415" i="110"/>
  <c r="CB387" i="110"/>
  <c r="CB367" i="110"/>
  <c r="CB347" i="110"/>
  <c r="CB427" i="110"/>
  <c r="CB407" i="110"/>
  <c r="AX382" i="110"/>
  <c r="AX391" i="110"/>
  <c r="AX355" i="110"/>
  <c r="AX337" i="110"/>
  <c r="T277" i="110" s="1"/>
  <c r="AX364" i="110"/>
  <c r="AX346" i="110"/>
  <c r="AX373" i="110"/>
  <c r="CB408" i="110"/>
  <c r="CB388" i="110"/>
  <c r="CB368" i="110"/>
  <c r="CB348" i="110"/>
  <c r="CB428" i="110"/>
  <c r="AX392" i="110"/>
  <c r="AX383" i="110"/>
  <c r="AX374" i="110"/>
  <c r="AX338" i="110"/>
  <c r="T278" i="110" s="1"/>
  <c r="AX356" i="110"/>
  <c r="AX347" i="110"/>
  <c r="AX365" i="110"/>
  <c r="CE369" i="110"/>
  <c r="CE349" i="110"/>
  <c r="CE429" i="110"/>
  <c r="CE409" i="110"/>
  <c r="CE389" i="110"/>
  <c r="BA384" i="110"/>
  <c r="BA393" i="110"/>
  <c r="BA339" i="110"/>
  <c r="W279" i="110" s="1"/>
  <c r="BA375" i="110"/>
  <c r="BA366" i="110"/>
  <c r="BA357" i="110"/>
  <c r="BA348" i="110"/>
  <c r="Z262" i="110"/>
  <c r="AV402" i="110"/>
  <c r="AV411" i="110"/>
  <c r="BC406" i="110"/>
  <c r="BC415" i="110"/>
  <c r="CG453" i="110"/>
  <c r="BC424" i="110"/>
  <c r="W273" i="110"/>
  <c r="CE414" i="110"/>
  <c r="W148" i="112" s="1"/>
  <c r="W148" i="142" s="1"/>
  <c r="CE394" i="110"/>
  <c r="W146" i="112" s="1"/>
  <c r="W146" i="142" s="1"/>
  <c r="CE374" i="110"/>
  <c r="W147" i="112" s="1"/>
  <c r="W147" i="142" s="1"/>
  <c r="CE354" i="110"/>
  <c r="W150" i="112" s="1"/>
  <c r="W150" i="142" s="1"/>
  <c r="BA389" i="110"/>
  <c r="BA398" i="110"/>
  <c r="BA371" i="110"/>
  <c r="BA344" i="110"/>
  <c r="BA362" i="110"/>
  <c r="BA353" i="110"/>
  <c r="BA380" i="110"/>
  <c r="CG392" i="110"/>
  <c r="CG352" i="110"/>
  <c r="CG432" i="110"/>
  <c r="CG372" i="110"/>
  <c r="CG412" i="110"/>
  <c r="BC396" i="110"/>
  <c r="BC387" i="110"/>
  <c r="BC342" i="110"/>
  <c r="Y282" i="110" s="1"/>
  <c r="BC378" i="110"/>
  <c r="BC351" i="110"/>
  <c r="BC369" i="110"/>
  <c r="BC360" i="110"/>
  <c r="T262" i="110"/>
  <c r="AV406" i="110"/>
  <c r="AV415" i="110"/>
  <c r="Y269" i="110"/>
  <c r="CG390" i="110"/>
  <c r="Y146" i="111" s="1"/>
  <c r="Y146" i="141" s="1"/>
  <c r="CG410" i="110"/>
  <c r="Y148" i="111" s="1"/>
  <c r="Y148" i="141" s="1"/>
  <c r="CG430" i="110"/>
  <c r="Y144" i="111" s="1"/>
  <c r="Y144" i="141" s="1"/>
  <c r="CG350" i="110"/>
  <c r="Y150" i="111" s="1"/>
  <c r="Y150" i="141" s="1"/>
  <c r="CG370" i="110"/>
  <c r="Y147" i="111" s="1"/>
  <c r="Y147" i="141" s="1"/>
  <c r="BC385" i="110"/>
  <c r="BC394" i="110"/>
  <c r="BC376" i="110"/>
  <c r="BC358" i="110"/>
  <c r="BC367" i="110"/>
  <c r="BC340" i="110"/>
  <c r="BC349" i="110"/>
  <c r="CF429" i="110"/>
  <c r="CF409" i="110"/>
  <c r="CF389" i="110"/>
  <c r="CF349" i="110"/>
  <c r="CF369" i="110"/>
  <c r="BB384" i="110"/>
  <c r="BB393" i="110"/>
  <c r="BB339" i="110"/>
  <c r="X279" i="110" s="1"/>
  <c r="BB348" i="110"/>
  <c r="BB375" i="110"/>
  <c r="BB357" i="110"/>
  <c r="BB366" i="110"/>
  <c r="CC411" i="110"/>
  <c r="CC391" i="110"/>
  <c r="CC371" i="110"/>
  <c r="CC351" i="110"/>
  <c r="CC431" i="110"/>
  <c r="AY386" i="110"/>
  <c r="AY395" i="110"/>
  <c r="AY368" i="110"/>
  <c r="AY341" i="110"/>
  <c r="U281" i="110" s="1"/>
  <c r="AY377" i="110"/>
  <c r="AY359" i="110"/>
  <c r="AY350" i="110"/>
  <c r="CC408" i="110"/>
  <c r="CC388" i="110"/>
  <c r="CC368" i="110"/>
  <c r="CC348" i="110"/>
  <c r="CC428" i="110"/>
  <c r="AY383" i="110"/>
  <c r="AY392" i="110"/>
  <c r="AY338" i="110"/>
  <c r="U278" i="110" s="1"/>
  <c r="AY356" i="110"/>
  <c r="AY347" i="110"/>
  <c r="AY365" i="110"/>
  <c r="AY374" i="110"/>
  <c r="AY402" i="110"/>
  <c r="AY411" i="110"/>
  <c r="CC449" i="110"/>
  <c r="AY420" i="110"/>
  <c r="BC404" i="110"/>
  <c r="BC413" i="110"/>
  <c r="CG451" i="110"/>
  <c r="BC422" i="110"/>
  <c r="CB352" i="110"/>
  <c r="CB412" i="110"/>
  <c r="CB432" i="110"/>
  <c r="CB372" i="110"/>
  <c r="CB392" i="110"/>
  <c r="AX387" i="110"/>
  <c r="AX396" i="110"/>
  <c r="AX369" i="110"/>
  <c r="AX351" i="110"/>
  <c r="AX342" i="110"/>
  <c r="T282" i="110" s="1"/>
  <c r="AX360" i="110"/>
  <c r="AX378" i="110"/>
  <c r="CF412" i="110"/>
  <c r="CF392" i="110"/>
  <c r="CF372" i="110"/>
  <c r="CF352" i="110"/>
  <c r="CF432" i="110"/>
  <c r="BB396" i="110"/>
  <c r="BB387" i="110"/>
  <c r="BB351" i="110"/>
  <c r="BB360" i="110"/>
  <c r="BB369" i="110"/>
  <c r="BB342" i="110"/>
  <c r="X282" i="110" s="1"/>
  <c r="BB378" i="110"/>
  <c r="Y273" i="110"/>
  <c r="CG374" i="110"/>
  <c r="Y147" i="112" s="1"/>
  <c r="Y147" i="142" s="1"/>
  <c r="CG414" i="110"/>
  <c r="Y148" i="112" s="1"/>
  <c r="Y148" i="142" s="1"/>
  <c r="CG394" i="110"/>
  <c r="Y146" i="112" s="1"/>
  <c r="Y146" i="142" s="1"/>
  <c r="CG354" i="110"/>
  <c r="Y150" i="112" s="1"/>
  <c r="Y150" i="142" s="1"/>
  <c r="BC398" i="110"/>
  <c r="BC389" i="110"/>
  <c r="BC371" i="110"/>
  <c r="BC344" i="110"/>
  <c r="BC353" i="110"/>
  <c r="BC362" i="110"/>
  <c r="BC380" i="110"/>
  <c r="BC403" i="110"/>
  <c r="Y139" i="111" s="1"/>
  <c r="Y139" i="141" s="1"/>
  <c r="BC412" i="110"/>
  <c r="Y140" i="111" s="1"/>
  <c r="Y140" i="141" s="1"/>
  <c r="CG450" i="110"/>
  <c r="Y145" i="111" s="1"/>
  <c r="Y145" i="141" s="1"/>
  <c r="BC421" i="110"/>
  <c r="CC451" i="110"/>
  <c r="CF411" i="110"/>
  <c r="CF391" i="110"/>
  <c r="CF371" i="110"/>
  <c r="CF431" i="110"/>
  <c r="CF351" i="110"/>
  <c r="BB386" i="110"/>
  <c r="BB395" i="110"/>
  <c r="BB377" i="110"/>
  <c r="BB350" i="110"/>
  <c r="BB359" i="110"/>
  <c r="BB341" i="110"/>
  <c r="X281" i="110" s="1"/>
  <c r="BB368" i="110"/>
  <c r="T258" i="110"/>
  <c r="X273" i="110"/>
  <c r="CF354" i="110"/>
  <c r="X150" i="112" s="1"/>
  <c r="X150" i="142" s="1"/>
  <c r="CF414" i="110"/>
  <c r="X148" i="112" s="1"/>
  <c r="X148" i="142" s="1"/>
  <c r="CF394" i="110"/>
  <c r="X146" i="112" s="1"/>
  <c r="X146" i="142" s="1"/>
  <c r="CF374" i="110"/>
  <c r="X147" i="112" s="1"/>
  <c r="X147" i="142" s="1"/>
  <c r="BB389" i="110"/>
  <c r="BB398" i="110"/>
  <c r="BB380" i="110"/>
  <c r="BB344" i="110"/>
  <c r="BB371" i="110"/>
  <c r="BB362" i="110"/>
  <c r="BB353" i="110"/>
  <c r="CH369" i="110"/>
  <c r="CH349" i="110"/>
  <c r="CH429" i="110"/>
  <c r="CH389" i="110"/>
  <c r="CH409" i="110"/>
  <c r="BD384" i="110"/>
  <c r="BD393" i="110"/>
  <c r="BD339" i="110"/>
  <c r="Z279" i="110" s="1"/>
  <c r="BD375" i="110"/>
  <c r="BD348" i="110"/>
  <c r="BD366" i="110"/>
  <c r="BD357" i="110"/>
  <c r="BC405" i="110"/>
  <c r="BC414" i="110"/>
  <c r="CG452" i="110"/>
  <c r="BC423" i="110"/>
  <c r="CD431" i="110"/>
  <c r="CD411" i="110"/>
  <c r="CD391" i="110"/>
  <c r="CD371" i="110"/>
  <c r="CD351" i="110"/>
  <c r="AZ386" i="110"/>
  <c r="AZ395" i="110"/>
  <c r="AZ368" i="110"/>
  <c r="AZ359" i="110"/>
  <c r="AZ350" i="110"/>
  <c r="AZ341" i="110"/>
  <c r="V281" i="110" s="1"/>
  <c r="AZ377" i="110"/>
  <c r="Z273" i="110"/>
  <c r="CH394" i="110"/>
  <c r="Z146" i="112" s="1"/>
  <c r="Z146" i="142" s="1"/>
  <c r="CH354" i="110"/>
  <c r="Z150" i="112" s="1"/>
  <c r="Z150" i="142" s="1"/>
  <c r="CH414" i="110"/>
  <c r="Z148" i="112" s="1"/>
  <c r="Z148" i="142" s="1"/>
  <c r="CH374" i="110"/>
  <c r="Z147" i="112" s="1"/>
  <c r="Z147" i="142" s="1"/>
  <c r="BD389" i="110"/>
  <c r="BD398" i="110"/>
  <c r="BD371" i="110"/>
  <c r="BD344" i="110"/>
  <c r="BD362" i="110"/>
  <c r="BD380" i="110"/>
  <c r="BD353" i="110"/>
  <c r="AV405" i="110"/>
  <c r="AV414" i="110"/>
  <c r="T273" i="110"/>
  <c r="CB374" i="110"/>
  <c r="T147" i="112" s="1"/>
  <c r="T147" i="142" s="1"/>
  <c r="CB354" i="110"/>
  <c r="T150" i="112" s="1"/>
  <c r="T150" i="142" s="1"/>
  <c r="CB414" i="110"/>
  <c r="T148" i="112" s="1"/>
  <c r="T148" i="142" s="1"/>
  <c r="CB394" i="110"/>
  <c r="T146" i="112" s="1"/>
  <c r="T146" i="142" s="1"/>
  <c r="AX389" i="110"/>
  <c r="AX398" i="110"/>
  <c r="AX371" i="110"/>
  <c r="AX353" i="110"/>
  <c r="AX380" i="110"/>
  <c r="AX362" i="110"/>
  <c r="AX344" i="110"/>
  <c r="AW407" i="110"/>
  <c r="S139" i="112" s="1"/>
  <c r="S139" i="142" s="1"/>
  <c r="AW416" i="110"/>
  <c r="S140" i="112" s="1"/>
  <c r="S140" i="142" s="1"/>
  <c r="CD408" i="110"/>
  <c r="CD388" i="110"/>
  <c r="CD368" i="110"/>
  <c r="CD348" i="110"/>
  <c r="CD428" i="110"/>
  <c r="AZ392" i="110"/>
  <c r="AZ383" i="110"/>
  <c r="AZ374" i="110"/>
  <c r="AZ356" i="110"/>
  <c r="AZ365" i="110"/>
  <c r="AZ338" i="110"/>
  <c r="V278" i="110" s="1"/>
  <c r="AZ347" i="110"/>
  <c r="AZ400" i="110"/>
  <c r="AZ409" i="110"/>
  <c r="CD447" i="110"/>
  <c r="AZ418" i="110"/>
  <c r="BD425" i="110"/>
  <c r="X262" i="110"/>
  <c r="BB401" i="110"/>
  <c r="BB410" i="110"/>
  <c r="CF448" i="110"/>
  <c r="BB419" i="110"/>
  <c r="AY422" i="110"/>
  <c r="BB425" i="110"/>
  <c r="AX405" i="110"/>
  <c r="AX414" i="110"/>
  <c r="CB452" i="110"/>
  <c r="AX423" i="110"/>
  <c r="AX406" i="110"/>
  <c r="AX415" i="110"/>
  <c r="CB453" i="110"/>
  <c r="AX424" i="110"/>
  <c r="V269" i="110"/>
  <c r="CD370" i="110"/>
  <c r="V147" i="111" s="1"/>
  <c r="V147" i="141" s="1"/>
  <c r="CD350" i="110"/>
  <c r="V150" i="111" s="1"/>
  <c r="V150" i="141" s="1"/>
  <c r="CD430" i="110"/>
  <c r="V144" i="111" s="1"/>
  <c r="V144" i="141" s="1"/>
  <c r="CD410" i="110"/>
  <c r="V148" i="111" s="1"/>
  <c r="V148" i="141" s="1"/>
  <c r="CD390" i="110"/>
  <c r="V146" i="111" s="1"/>
  <c r="V146" i="141" s="1"/>
  <c r="AZ385" i="110"/>
  <c r="AZ394" i="110"/>
  <c r="AZ358" i="110"/>
  <c r="AZ376" i="110"/>
  <c r="AZ349" i="110"/>
  <c r="AZ340" i="110"/>
  <c r="AZ367" i="110"/>
  <c r="CF368" i="110"/>
  <c r="CF428" i="110"/>
  <c r="CF408" i="110"/>
  <c r="CF388" i="110"/>
  <c r="CF348" i="110"/>
  <c r="BB392" i="110"/>
  <c r="BB383" i="110"/>
  <c r="BB356" i="110"/>
  <c r="BB338" i="110"/>
  <c r="X278" i="110" s="1"/>
  <c r="BB374" i="110"/>
  <c r="BB347" i="110"/>
  <c r="BB365" i="110"/>
  <c r="BE421" i="110"/>
  <c r="CB369" i="110"/>
  <c r="CB349" i="110"/>
  <c r="CB429" i="110"/>
  <c r="CB409" i="110"/>
  <c r="CB389" i="110"/>
  <c r="AX384" i="110"/>
  <c r="AX393" i="110"/>
  <c r="AX375" i="110"/>
  <c r="AX357" i="110"/>
  <c r="AX348" i="110"/>
  <c r="AX366" i="110"/>
  <c r="AX339" i="110"/>
  <c r="T279" i="110" s="1"/>
  <c r="CE367" i="110"/>
  <c r="CE347" i="110"/>
  <c r="CE427" i="110"/>
  <c r="CE407" i="110"/>
  <c r="CE387" i="110"/>
  <c r="BA382" i="110"/>
  <c r="BA391" i="110"/>
  <c r="BA364" i="110"/>
  <c r="BA355" i="110"/>
  <c r="BA346" i="110"/>
  <c r="BA373" i="110"/>
  <c r="BA337" i="110"/>
  <c r="W277" i="110" s="1"/>
  <c r="U262" i="110"/>
  <c r="AZ403" i="110"/>
  <c r="V139" i="111" s="1"/>
  <c r="V139" i="141" s="1"/>
  <c r="AZ412" i="110"/>
  <c r="V140" i="111" s="1"/>
  <c r="V140" i="141" s="1"/>
  <c r="CD450" i="110"/>
  <c r="V145" i="111" s="1"/>
  <c r="V145" i="141" s="1"/>
  <c r="AZ421" i="110"/>
  <c r="BA402" i="110"/>
  <c r="BA411" i="110"/>
  <c r="CE449" i="110"/>
  <c r="BA420" i="110"/>
  <c r="CF427" i="110"/>
  <c r="CF407" i="110"/>
  <c r="CF387" i="110"/>
  <c r="CF347" i="110"/>
  <c r="CF367" i="110"/>
  <c r="BB382" i="110"/>
  <c r="BB391" i="110"/>
  <c r="BB373" i="110"/>
  <c r="BB364" i="110"/>
  <c r="BB337" i="110"/>
  <c r="X277" i="110" s="1"/>
  <c r="BB355" i="110"/>
  <c r="BB346" i="110"/>
  <c r="CH353" i="110"/>
  <c r="CH413" i="110"/>
  <c r="CH373" i="110"/>
  <c r="CH393" i="110"/>
  <c r="CH433" i="110"/>
  <c r="BD388" i="110"/>
  <c r="BD397" i="110"/>
  <c r="BD343" i="110"/>
  <c r="Z283" i="110" s="1"/>
  <c r="BD379" i="110"/>
  <c r="BD361" i="110"/>
  <c r="BD370" i="110"/>
  <c r="BD352" i="110"/>
  <c r="BC407" i="110"/>
  <c r="Y139" i="112" s="1"/>
  <c r="Y139" i="142" s="1"/>
  <c r="BC416" i="110"/>
  <c r="Y140" i="112" s="1"/>
  <c r="Y140" i="142" s="1"/>
  <c r="BC425" i="110"/>
  <c r="CG454" i="110"/>
  <c r="Y145" i="112" s="1"/>
  <c r="Y145" i="142" s="1"/>
  <c r="T269" i="110"/>
  <c r="CB350" i="110"/>
  <c r="T150" i="111" s="1"/>
  <c r="T150" i="141" s="1"/>
  <c r="CB430" i="110"/>
  <c r="T144" i="111" s="1"/>
  <c r="T144" i="141" s="1"/>
  <c r="CB410" i="110"/>
  <c r="T148" i="111" s="1"/>
  <c r="T148" i="141" s="1"/>
  <c r="CB390" i="110"/>
  <c r="T146" i="111" s="1"/>
  <c r="T146" i="141" s="1"/>
  <c r="CB370" i="110"/>
  <c r="T147" i="111" s="1"/>
  <c r="T147" i="141" s="1"/>
  <c r="AX385" i="110"/>
  <c r="AX394" i="110"/>
  <c r="AX367" i="110"/>
  <c r="AX340" i="110"/>
  <c r="AX376" i="110"/>
  <c r="AX358" i="110"/>
  <c r="AX349" i="110"/>
  <c r="AB258" i="110"/>
  <c r="CJ409" i="110"/>
  <c r="CJ389" i="110"/>
  <c r="CJ369" i="110"/>
  <c r="CJ349" i="110"/>
  <c r="CJ429" i="110"/>
  <c r="BF384" i="110"/>
  <c r="BF393" i="110"/>
  <c r="BF375" i="110"/>
  <c r="BF357" i="110"/>
  <c r="BF348" i="110"/>
  <c r="BF339" i="110"/>
  <c r="AB279" i="110" s="1"/>
  <c r="BF366" i="110"/>
  <c r="BB418" i="110"/>
  <c r="BC420" i="110"/>
  <c r="W258" i="110"/>
  <c r="CJ353" i="110"/>
  <c r="CJ413" i="110"/>
  <c r="CJ433" i="110"/>
  <c r="CJ393" i="110"/>
  <c r="CJ373" i="110"/>
  <c r="BF388" i="110"/>
  <c r="BF397" i="110"/>
  <c r="BF379" i="110"/>
  <c r="BF361" i="110"/>
  <c r="BF370" i="110"/>
  <c r="BF343" i="110"/>
  <c r="AB283" i="110" s="1"/>
  <c r="BF352" i="110"/>
  <c r="AV407" i="110"/>
  <c r="R139" i="112" s="1"/>
  <c r="R139" i="142" s="1"/>
  <c r="AV416" i="110"/>
  <c r="R140" i="112" s="1"/>
  <c r="R140" i="142" s="1"/>
  <c r="CF451" i="110"/>
  <c r="AW405" i="110"/>
  <c r="AW414" i="110"/>
  <c r="CI431" i="110"/>
  <c r="CI411" i="110"/>
  <c r="CI371" i="110"/>
  <c r="CI351" i="110"/>
  <c r="CI391" i="110"/>
  <c r="BE395" i="110"/>
  <c r="BE386" i="110"/>
  <c r="BE341" i="110"/>
  <c r="AA281" i="110" s="1"/>
  <c r="BE359" i="110"/>
  <c r="BE350" i="110"/>
  <c r="BE377" i="110"/>
  <c r="BE368" i="110"/>
  <c r="AZ407" i="110"/>
  <c r="V139" i="112" s="1"/>
  <c r="V139" i="142" s="1"/>
  <c r="AZ416" i="110"/>
  <c r="V140" i="112" s="1"/>
  <c r="V140" i="142" s="1"/>
  <c r="AZ425" i="110"/>
  <c r="CD454" i="110"/>
  <c r="V145" i="112" s="1"/>
  <c r="V145" i="142" s="1"/>
  <c r="BF410" i="110"/>
  <c r="BF401" i="110"/>
  <c r="BF419" i="110"/>
  <c r="CJ448" i="110"/>
  <c r="AA273" i="110"/>
  <c r="CI374" i="110"/>
  <c r="AA147" i="112" s="1"/>
  <c r="AA147" i="142" s="1"/>
  <c r="CI354" i="110"/>
  <c r="AA150" i="112" s="1"/>
  <c r="AA150" i="142" s="1"/>
  <c r="CI394" i="110"/>
  <c r="AA146" i="112" s="1"/>
  <c r="AA146" i="142" s="1"/>
  <c r="CI414" i="110"/>
  <c r="AA148" i="112" s="1"/>
  <c r="AA148" i="142" s="1"/>
  <c r="BE389" i="110"/>
  <c r="BE398" i="110"/>
  <c r="BE371" i="110"/>
  <c r="BE362" i="110"/>
  <c r="BE353" i="110"/>
  <c r="BE380" i="110"/>
  <c r="BE344" i="110"/>
  <c r="AW402" i="110"/>
  <c r="AW411" i="110"/>
  <c r="CC432" i="110"/>
  <c r="CC412" i="110"/>
  <c r="CC392" i="110"/>
  <c r="CC372" i="110"/>
  <c r="CC352" i="110"/>
  <c r="AY387" i="110"/>
  <c r="AY396" i="110"/>
  <c r="AY378" i="110"/>
  <c r="AY342" i="110"/>
  <c r="U282" i="110" s="1"/>
  <c r="AY351" i="110"/>
  <c r="AY360" i="110"/>
  <c r="AY369" i="110"/>
  <c r="CF353" i="110"/>
  <c r="CF433" i="110"/>
  <c r="CF413" i="110"/>
  <c r="CF393" i="110"/>
  <c r="CF373" i="110"/>
  <c r="BB388" i="110"/>
  <c r="BB397" i="110"/>
  <c r="BB379" i="110"/>
  <c r="BB352" i="110"/>
  <c r="BB343" i="110"/>
  <c r="X283" i="110" s="1"/>
  <c r="BB370" i="110"/>
  <c r="BB361" i="110"/>
  <c r="CB353" i="110"/>
  <c r="CB413" i="110"/>
  <c r="CB433" i="110"/>
  <c r="CB393" i="110"/>
  <c r="CB373" i="110"/>
  <c r="AX388" i="110"/>
  <c r="AX397" i="110"/>
  <c r="AX379" i="110"/>
  <c r="AX370" i="110"/>
  <c r="AX343" i="110"/>
  <c r="T283" i="110" s="1"/>
  <c r="AX352" i="110"/>
  <c r="AX361" i="110"/>
  <c r="V262" i="110"/>
  <c r="Z258" i="110"/>
  <c r="U273" i="110"/>
  <c r="CC354" i="110"/>
  <c r="U150" i="112" s="1"/>
  <c r="U150" i="142" s="1"/>
  <c r="CC414" i="110"/>
  <c r="U148" i="112" s="1"/>
  <c r="U148" i="142" s="1"/>
  <c r="CC394" i="110"/>
  <c r="U146" i="112" s="1"/>
  <c r="U146" i="142" s="1"/>
  <c r="CC374" i="110"/>
  <c r="U147" i="112" s="1"/>
  <c r="U147" i="142" s="1"/>
  <c r="AY389" i="110"/>
  <c r="AY398" i="110"/>
  <c r="AY362" i="110"/>
  <c r="AY371" i="110"/>
  <c r="AY344" i="110"/>
  <c r="AY353" i="110"/>
  <c r="AY380" i="110"/>
  <c r="BB403" i="110"/>
  <c r="X139" i="111" s="1"/>
  <c r="X139" i="141" s="1"/>
  <c r="BB412" i="110"/>
  <c r="X140" i="111" s="1"/>
  <c r="X140" i="141" s="1"/>
  <c r="CF450" i="110"/>
  <c r="X145" i="111" s="1"/>
  <c r="X145" i="141" s="1"/>
  <c r="BB421" i="110"/>
  <c r="CD367" i="110"/>
  <c r="CD347" i="110"/>
  <c r="CD427" i="110"/>
  <c r="CD407" i="110"/>
  <c r="CD387" i="110"/>
  <c r="AZ382" i="110"/>
  <c r="AZ391" i="110"/>
  <c r="AZ373" i="110"/>
  <c r="AZ355" i="110"/>
  <c r="AZ337" i="110"/>
  <c r="V277" i="110" s="1"/>
  <c r="AZ364" i="110"/>
  <c r="AZ346" i="110"/>
  <c r="AB269" i="110"/>
  <c r="CJ430" i="110"/>
  <c r="AB144" i="111" s="1"/>
  <c r="AB144" i="141" s="1"/>
  <c r="CJ390" i="110"/>
  <c r="AB146" i="111" s="1"/>
  <c r="AB146" i="141" s="1"/>
  <c r="CJ370" i="110"/>
  <c r="AB147" i="111" s="1"/>
  <c r="AB147" i="141" s="1"/>
  <c r="CJ350" i="110"/>
  <c r="AB150" i="111" s="1"/>
  <c r="AB150" i="141" s="1"/>
  <c r="CJ410" i="110"/>
  <c r="AB148" i="111" s="1"/>
  <c r="AB148" i="141" s="1"/>
  <c r="BF394" i="110"/>
  <c r="BF385" i="110"/>
  <c r="BF367" i="110"/>
  <c r="BF349" i="110"/>
  <c r="BF376" i="110"/>
  <c r="BF358" i="110"/>
  <c r="BF340" i="110"/>
  <c r="CF447" i="110"/>
  <c r="W269" i="110"/>
  <c r="CE350" i="110"/>
  <c r="W150" i="111" s="1"/>
  <c r="W150" i="141" s="1"/>
  <c r="CE430" i="110"/>
  <c r="W144" i="111" s="1"/>
  <c r="W144" i="141" s="1"/>
  <c r="CE410" i="110"/>
  <c r="W148" i="111" s="1"/>
  <c r="W148" i="141" s="1"/>
  <c r="CE390" i="110"/>
  <c r="W146" i="111" s="1"/>
  <c r="W146" i="141" s="1"/>
  <c r="CE370" i="110"/>
  <c r="W147" i="111" s="1"/>
  <c r="W147" i="141" s="1"/>
  <c r="BA385" i="110"/>
  <c r="BA394" i="110"/>
  <c r="BA349" i="110"/>
  <c r="BA367" i="110"/>
  <c r="BA358" i="110"/>
  <c r="BA376" i="110"/>
  <c r="BA340" i="110"/>
  <c r="CJ407" i="110"/>
  <c r="CJ387" i="110"/>
  <c r="CJ367" i="110"/>
  <c r="CJ347" i="110"/>
  <c r="CJ427" i="110"/>
  <c r="BF391" i="110"/>
  <c r="BF382" i="110"/>
  <c r="BF373" i="110"/>
  <c r="BF346" i="110"/>
  <c r="BF355" i="110"/>
  <c r="BF337" i="110"/>
  <c r="AB277" i="110" s="1"/>
  <c r="BF364" i="110"/>
  <c r="CH367" i="110"/>
  <c r="CH347" i="110"/>
  <c r="CH427" i="110"/>
  <c r="CH387" i="110"/>
  <c r="CH407" i="110"/>
  <c r="BD391" i="110"/>
  <c r="BD382" i="110"/>
  <c r="BD364" i="110"/>
  <c r="BD346" i="110"/>
  <c r="BD355" i="110"/>
  <c r="BD337" i="110"/>
  <c r="Z277" i="110" s="1"/>
  <c r="BD373" i="110"/>
  <c r="AW403" i="110"/>
  <c r="S139" i="111" s="1"/>
  <c r="S139" i="141" s="1"/>
  <c r="AW412" i="110"/>
  <c r="S140" i="111" s="1"/>
  <c r="S140" i="141" s="1"/>
  <c r="AY425" i="110"/>
  <c r="BA419" i="110"/>
  <c r="CI352" i="110"/>
  <c r="CI392" i="110"/>
  <c r="CI412" i="110"/>
  <c r="CI432" i="110"/>
  <c r="CI372" i="110"/>
  <c r="BE387" i="110"/>
  <c r="BE396" i="110"/>
  <c r="BE342" i="110"/>
  <c r="AA282" i="110" s="1"/>
  <c r="BE369" i="110"/>
  <c r="BE378" i="110"/>
  <c r="BE351" i="110"/>
  <c r="BE360" i="110"/>
  <c r="CC413" i="110"/>
  <c r="CC393" i="110"/>
  <c r="CC373" i="110"/>
  <c r="CC353" i="110"/>
  <c r="CC433" i="110"/>
  <c r="AY388" i="110"/>
  <c r="AY397" i="110"/>
  <c r="AY352" i="110"/>
  <c r="AY379" i="110"/>
  <c r="AY370" i="110"/>
  <c r="AY343" i="110"/>
  <c r="U283" i="110" s="1"/>
  <c r="AY361" i="110"/>
  <c r="CH372" i="110"/>
  <c r="CH392" i="110"/>
  <c r="CH432" i="110"/>
  <c r="CH352" i="110"/>
  <c r="CH412" i="110"/>
  <c r="BD387" i="110"/>
  <c r="BD396" i="110"/>
  <c r="BD378" i="110"/>
  <c r="BD360" i="110"/>
  <c r="BD351" i="110"/>
  <c r="BD369" i="110"/>
  <c r="BD342" i="110"/>
  <c r="Z282" i="110" s="1"/>
  <c r="AA269" i="110"/>
  <c r="CI350" i="110"/>
  <c r="AA150" i="111" s="1"/>
  <c r="AA150" i="141" s="1"/>
  <c r="CI430" i="110"/>
  <c r="AA144" i="111" s="1"/>
  <c r="AA144" i="141" s="1"/>
  <c r="CI390" i="110"/>
  <c r="AA146" i="111" s="1"/>
  <c r="AA146" i="141" s="1"/>
  <c r="CI410" i="110"/>
  <c r="AA148" i="111" s="1"/>
  <c r="AA148" i="141" s="1"/>
  <c r="CI370" i="110"/>
  <c r="AA147" i="111" s="1"/>
  <c r="AA147" i="141" s="1"/>
  <c r="BE385" i="110"/>
  <c r="BE394" i="110"/>
  <c r="BE349" i="110"/>
  <c r="BE376" i="110"/>
  <c r="BE340" i="110"/>
  <c r="BE367" i="110"/>
  <c r="BE358" i="110"/>
  <c r="AY400" i="110"/>
  <c r="AY409" i="110"/>
  <c r="AY418" i="110"/>
  <c r="CC447" i="110"/>
  <c r="BD423" i="110"/>
  <c r="X269" i="110"/>
  <c r="CF370" i="110"/>
  <c r="X147" i="111" s="1"/>
  <c r="X147" i="141" s="1"/>
  <c r="CF430" i="110"/>
  <c r="X144" i="111" s="1"/>
  <c r="X144" i="141" s="1"/>
  <c r="CF410" i="110"/>
  <c r="X148" i="111" s="1"/>
  <c r="X148" i="141" s="1"/>
  <c r="CF390" i="110"/>
  <c r="X146" i="111" s="1"/>
  <c r="X146" i="141" s="1"/>
  <c r="CF350" i="110"/>
  <c r="X150" i="111" s="1"/>
  <c r="X150" i="141" s="1"/>
  <c r="BB394" i="110"/>
  <c r="BB385" i="110"/>
  <c r="BB340" i="110"/>
  <c r="BB349" i="110"/>
  <c r="BB358" i="110"/>
  <c r="BB376" i="110"/>
  <c r="BB367" i="110"/>
  <c r="AX407" i="110"/>
  <c r="T139" i="112" s="1"/>
  <c r="T139" i="142" s="1"/>
  <c r="AX416" i="110"/>
  <c r="T140" i="112" s="1"/>
  <c r="T140" i="142" s="1"/>
  <c r="CB454" i="110"/>
  <c r="T145" i="112" s="1"/>
  <c r="T145" i="142" s="1"/>
  <c r="AX425" i="110"/>
  <c r="V273" i="110"/>
  <c r="CD414" i="110"/>
  <c r="V148" i="112" s="1"/>
  <c r="V148" i="142" s="1"/>
  <c r="CD394" i="110"/>
  <c r="V146" i="112" s="1"/>
  <c r="V146" i="142" s="1"/>
  <c r="CD374" i="110"/>
  <c r="V147" i="112" s="1"/>
  <c r="V147" i="142" s="1"/>
  <c r="CD354" i="110"/>
  <c r="V150" i="112" s="1"/>
  <c r="V150" i="142" s="1"/>
  <c r="AZ389" i="110"/>
  <c r="AZ398" i="110"/>
  <c r="AZ371" i="110"/>
  <c r="AZ344" i="110"/>
  <c r="AZ353" i="110"/>
  <c r="AZ380" i="110"/>
  <c r="AZ362" i="110"/>
  <c r="CB431" i="110"/>
  <c r="CB391" i="110"/>
  <c r="CB371" i="110"/>
  <c r="CB351" i="110"/>
  <c r="CB411" i="110"/>
  <c r="AX386" i="110"/>
  <c r="AX395" i="110"/>
  <c r="AX350" i="110"/>
  <c r="AX341" i="110"/>
  <c r="T281" i="110" s="1"/>
  <c r="AX359" i="110"/>
  <c r="AX377" i="110"/>
  <c r="AX368" i="110"/>
  <c r="Z269" i="110"/>
  <c r="CH430" i="110"/>
  <c r="Z144" i="111" s="1"/>
  <c r="Z144" i="141" s="1"/>
  <c r="CH410" i="110"/>
  <c r="Z148" i="111" s="1"/>
  <c r="Z148" i="141" s="1"/>
  <c r="CH370" i="110"/>
  <c r="Z147" i="111" s="1"/>
  <c r="Z147" i="141" s="1"/>
  <c r="CH390" i="110"/>
  <c r="Z146" i="111" s="1"/>
  <c r="Z146" i="141" s="1"/>
  <c r="CH350" i="110"/>
  <c r="Z150" i="111" s="1"/>
  <c r="Z150" i="141" s="1"/>
  <c r="BD385" i="110"/>
  <c r="BD394" i="110"/>
  <c r="BD358" i="110"/>
  <c r="BD340" i="110"/>
  <c r="BD367" i="110"/>
  <c r="BD376" i="110"/>
  <c r="BD349" i="110"/>
  <c r="CH371" i="110"/>
  <c r="CH431" i="110"/>
  <c r="CH391" i="110"/>
  <c r="CH351" i="110"/>
  <c r="CH411" i="110"/>
  <c r="BD386" i="110"/>
  <c r="BD395" i="110"/>
  <c r="BD368" i="110"/>
  <c r="BD341" i="110"/>
  <c r="Z281" i="110" s="1"/>
  <c r="BD377" i="110"/>
  <c r="BD359" i="110"/>
  <c r="BD350" i="110"/>
  <c r="CI388" i="110"/>
  <c r="CI368" i="110"/>
  <c r="CI348" i="110"/>
  <c r="CI408" i="110"/>
  <c r="CI428" i="110"/>
  <c r="BE383" i="110"/>
  <c r="BE392" i="110"/>
  <c r="BE374" i="110"/>
  <c r="BE356" i="110"/>
  <c r="BE338" i="110"/>
  <c r="AA278" i="110" s="1"/>
  <c r="BE365" i="110"/>
  <c r="BE347" i="110"/>
  <c r="BA418" i="110"/>
  <c r="BB405" i="110"/>
  <c r="BB414" i="110"/>
  <c r="CF452" i="110"/>
  <c r="BB423" i="110"/>
  <c r="CI369" i="110"/>
  <c r="CI349" i="110"/>
  <c r="CI409" i="110"/>
  <c r="CI429" i="110"/>
  <c r="CI389" i="110"/>
  <c r="BE384" i="110"/>
  <c r="BE393" i="110"/>
  <c r="BE348" i="110"/>
  <c r="BE366" i="110"/>
  <c r="BE357" i="110"/>
  <c r="BE339" i="110"/>
  <c r="AA279" i="110" s="1"/>
  <c r="BE375" i="110"/>
  <c r="AX403" i="110"/>
  <c r="T139" i="111" s="1"/>
  <c r="T139" i="141" s="1"/>
  <c r="AX412" i="110"/>
  <c r="T140" i="111" s="1"/>
  <c r="T140" i="141" s="1"/>
  <c r="CB450" i="110"/>
  <c r="T145" i="111" s="1"/>
  <c r="T145" i="141" s="1"/>
  <c r="AX421" i="110"/>
  <c r="BD418" i="110"/>
  <c r="CG411" i="110"/>
  <c r="CG391" i="110"/>
  <c r="CG351" i="110"/>
  <c r="CG431" i="110"/>
  <c r="CG371" i="110"/>
  <c r="BC386" i="110"/>
  <c r="BC395" i="110"/>
  <c r="BC377" i="110"/>
  <c r="BC341" i="110"/>
  <c r="Y281" i="110" s="1"/>
  <c r="BC368" i="110"/>
  <c r="BC359" i="110"/>
  <c r="BC350" i="110"/>
  <c r="CC454" i="110"/>
  <c r="U145" i="112" s="1"/>
  <c r="U145" i="142" s="1"/>
  <c r="AV400" i="110"/>
  <c r="AV409" i="110"/>
  <c r="CH452" i="110"/>
  <c r="BB402" i="110"/>
  <c r="BB411" i="110"/>
  <c r="CF449" i="110"/>
  <c r="BB420" i="110"/>
  <c r="CC427" i="110"/>
  <c r="CC407" i="110"/>
  <c r="CC387" i="110"/>
  <c r="CC367" i="110"/>
  <c r="CC347" i="110"/>
  <c r="AY382" i="110"/>
  <c r="AY391" i="110"/>
  <c r="AY355" i="110"/>
  <c r="AY346" i="110"/>
  <c r="AY373" i="110"/>
  <c r="AY364" i="110"/>
  <c r="AY337" i="110"/>
  <c r="U277" i="110" s="1"/>
  <c r="AY424" i="110"/>
  <c r="CJ368" i="110"/>
  <c r="CJ348" i="110"/>
  <c r="CJ428" i="110"/>
  <c r="CJ408" i="110"/>
  <c r="CJ388" i="110"/>
  <c r="BF392" i="110"/>
  <c r="BF383" i="110"/>
  <c r="BF338" i="110"/>
  <c r="AB278" i="110" s="1"/>
  <c r="BF347" i="110"/>
  <c r="BF365" i="110"/>
  <c r="BF356" i="110"/>
  <c r="BF374" i="110"/>
  <c r="CE411" i="110"/>
  <c r="CE391" i="110"/>
  <c r="CE371" i="110"/>
  <c r="CE351" i="110"/>
  <c r="CE431" i="110"/>
  <c r="BA386" i="110"/>
  <c r="BA395" i="110"/>
  <c r="BA359" i="110"/>
  <c r="BA377" i="110"/>
  <c r="BA368" i="110"/>
  <c r="BA341" i="110"/>
  <c r="W281" i="110" s="1"/>
  <c r="BA350" i="110"/>
  <c r="CD413" i="110"/>
  <c r="CD393" i="110"/>
  <c r="CD373" i="110"/>
  <c r="CD353" i="110"/>
  <c r="CD433" i="110"/>
  <c r="AZ388" i="110"/>
  <c r="AZ397" i="110"/>
  <c r="AZ352" i="110"/>
  <c r="AZ361" i="110"/>
  <c r="AZ343" i="110"/>
  <c r="V283" i="110" s="1"/>
  <c r="AZ370" i="110"/>
  <c r="AZ379" i="110"/>
  <c r="AB262" i="110"/>
  <c r="AX401" i="110"/>
  <c r="AX410" i="110"/>
  <c r="CB448" i="110"/>
  <c r="AX419" i="110"/>
  <c r="AX420" i="110"/>
  <c r="CE412" i="110"/>
  <c r="CE392" i="110"/>
  <c r="CE372" i="110"/>
  <c r="CE352" i="110"/>
  <c r="CE432" i="110"/>
  <c r="BA387" i="110"/>
  <c r="BA396" i="110"/>
  <c r="BA378" i="110"/>
  <c r="BA351" i="110"/>
  <c r="BA369" i="110"/>
  <c r="BA360" i="110"/>
  <c r="BA342" i="110"/>
  <c r="W282" i="110" s="1"/>
  <c r="BF407" i="110"/>
  <c r="AB139" i="112" s="1"/>
  <c r="AB139" i="142" s="1"/>
  <c r="BF416" i="110"/>
  <c r="AB140" i="112" s="1"/>
  <c r="AB140" i="142" s="1"/>
  <c r="CJ454" i="110"/>
  <c r="AB145" i="112" s="1"/>
  <c r="AB145" i="142" s="1"/>
  <c r="BF425" i="110"/>
  <c r="CE393" i="110"/>
  <c r="CE373" i="110"/>
  <c r="CE353" i="110"/>
  <c r="CE433" i="110"/>
  <c r="CE413" i="110"/>
  <c r="BA388" i="110"/>
  <c r="BA397" i="110"/>
  <c r="BA361" i="110"/>
  <c r="BA379" i="110"/>
  <c r="BA352" i="110"/>
  <c r="BA343" i="110"/>
  <c r="W283" i="110" s="1"/>
  <c r="BA370" i="110"/>
  <c r="CD412" i="110"/>
  <c r="CD392" i="110"/>
  <c r="CD372" i="110"/>
  <c r="CD352" i="110"/>
  <c r="CD432" i="110"/>
  <c r="AZ387" i="110"/>
  <c r="AZ396" i="110"/>
  <c r="AZ378" i="110"/>
  <c r="AZ369" i="110"/>
  <c r="AZ342" i="110"/>
  <c r="V282" i="110" s="1"/>
  <c r="AZ351" i="110"/>
  <c r="AZ360" i="110"/>
  <c r="AZ423" i="110"/>
  <c r="CE388" i="110"/>
  <c r="CE368" i="110"/>
  <c r="CE348" i="110"/>
  <c r="CE428" i="110"/>
  <c r="CE408" i="110"/>
  <c r="BA392" i="110"/>
  <c r="BA383" i="110"/>
  <c r="BA356" i="110"/>
  <c r="BA338" i="110"/>
  <c r="W278" i="110" s="1"/>
  <c r="BA347" i="110"/>
  <c r="BA374" i="110"/>
  <c r="BA365" i="110"/>
  <c r="CI407" i="110"/>
  <c r="CI427" i="110"/>
  <c r="CI387" i="110"/>
  <c r="CI367" i="110"/>
  <c r="CI347" i="110"/>
  <c r="BE382" i="110"/>
  <c r="BE391" i="110"/>
  <c r="BE373" i="110"/>
  <c r="BE364" i="110"/>
  <c r="BE346" i="110"/>
  <c r="BE355" i="110"/>
  <c r="BE337" i="110"/>
  <c r="AA277" i="110" s="1"/>
  <c r="AW404" i="110"/>
  <c r="AW413" i="110"/>
  <c r="CE447" i="110"/>
  <c r="CJ432" i="110"/>
  <c r="CJ392" i="110"/>
  <c r="CJ372" i="110"/>
  <c r="CJ352" i="110"/>
  <c r="CJ412" i="110"/>
  <c r="BF396" i="110"/>
  <c r="BF387" i="110"/>
  <c r="BF360" i="110"/>
  <c r="BF369" i="110"/>
  <c r="BF342" i="110"/>
  <c r="AB282" i="110" s="1"/>
  <c r="BF378" i="110"/>
  <c r="BF351" i="110"/>
  <c r="CG347" i="110"/>
  <c r="CG427" i="110"/>
  <c r="CG407" i="110"/>
  <c r="CG367" i="110"/>
  <c r="CG387" i="110"/>
  <c r="BC382" i="110"/>
  <c r="BC391" i="110"/>
  <c r="BC364" i="110"/>
  <c r="BC373" i="110"/>
  <c r="BC337" i="110"/>
  <c r="Y277" i="110" s="1"/>
  <c r="BC355" i="110"/>
  <c r="BC346" i="110"/>
  <c r="U258" i="110"/>
  <c r="AZ404" i="110"/>
  <c r="AZ413" i="110"/>
  <c r="CD451" i="110"/>
  <c r="AZ422" i="110"/>
  <c r="BF405" i="110"/>
  <c r="BF414" i="110"/>
  <c r="BF423" i="110"/>
  <c r="CJ452" i="110"/>
  <c r="CJ351" i="110"/>
  <c r="CJ411" i="110"/>
  <c r="CJ431" i="110"/>
  <c r="CJ391" i="110"/>
  <c r="CJ371" i="110"/>
  <c r="BF386" i="110"/>
  <c r="BF395" i="110"/>
  <c r="BF368" i="110"/>
  <c r="BF341" i="110"/>
  <c r="AB281" i="110" s="1"/>
  <c r="BF350" i="110"/>
  <c r="BF359" i="110"/>
  <c r="BF377" i="110"/>
  <c r="CI433" i="110"/>
  <c r="CI373" i="110"/>
  <c r="CI353" i="110"/>
  <c r="CI393" i="110"/>
  <c r="CI413" i="110"/>
  <c r="BE388" i="110"/>
  <c r="BE397" i="110"/>
  <c r="BE361" i="110"/>
  <c r="BE352" i="110"/>
  <c r="BE379" i="110"/>
  <c r="BE343" i="110"/>
  <c r="AA283" i="110" s="1"/>
  <c r="BE370" i="110"/>
  <c r="BB422" i="110"/>
  <c r="CD409" i="110"/>
  <c r="CD389" i="110"/>
  <c r="CD369" i="110"/>
  <c r="CD349" i="110"/>
  <c r="CD429" i="110"/>
  <c r="AZ393" i="110"/>
  <c r="AZ384" i="110"/>
  <c r="AZ366" i="110"/>
  <c r="AZ357" i="110"/>
  <c r="AZ348" i="110"/>
  <c r="AZ375" i="110"/>
  <c r="AZ339" i="110"/>
  <c r="V279" i="110" s="1"/>
  <c r="AV401" i="110"/>
  <c r="AV410" i="110"/>
  <c r="CC453" i="110"/>
  <c r="AZ420" i="110"/>
  <c r="CJ374" i="110"/>
  <c r="AB147" i="112" s="1"/>
  <c r="AB147" i="142" s="1"/>
  <c r="CJ354" i="110"/>
  <c r="AB150" i="112" s="1"/>
  <c r="AB150" i="142" s="1"/>
  <c r="CJ414" i="110"/>
  <c r="AB148" i="112" s="1"/>
  <c r="AB148" i="142" s="1"/>
  <c r="CJ394" i="110"/>
  <c r="AB146" i="112" s="1"/>
  <c r="AB146" i="142" s="1"/>
  <c r="BF389" i="110"/>
  <c r="AB273" i="110"/>
  <c r="BF398" i="110"/>
  <c r="BF362" i="110"/>
  <c r="BF380" i="110"/>
  <c r="BF353" i="110"/>
  <c r="BF371" i="110"/>
  <c r="BF344" i="110"/>
  <c r="CG393" i="110"/>
  <c r="CG353" i="110"/>
  <c r="CG373" i="110"/>
  <c r="CG433" i="110"/>
  <c r="CG413" i="110"/>
  <c r="BC388" i="110"/>
  <c r="BC397" i="110"/>
  <c r="BC379" i="110"/>
  <c r="BC370" i="110"/>
  <c r="BC361" i="110"/>
  <c r="BC352" i="110"/>
  <c r="BC343" i="110"/>
  <c r="Y283" i="110" s="1"/>
  <c r="AY403" i="110"/>
  <c r="U139" i="111" s="1"/>
  <c r="U139" i="141" s="1"/>
  <c r="AY412" i="110"/>
  <c r="U140" i="111" s="1"/>
  <c r="U140" i="141" s="1"/>
  <c r="CC450" i="110"/>
  <c r="U145" i="111" s="1"/>
  <c r="U145" i="141" s="1"/>
  <c r="AY421" i="110"/>
  <c r="BF404" i="110"/>
  <c r="BF413" i="110"/>
  <c r="CJ451" i="110"/>
  <c r="BF422" i="110"/>
  <c r="CB449" i="110"/>
  <c r="W262" i="110"/>
  <c r="AZ406" i="110"/>
  <c r="AZ415" i="110"/>
  <c r="AZ424" i="110"/>
  <c r="CD453" i="110"/>
  <c r="BE423" i="110"/>
  <c r="CG349" i="110"/>
  <c r="CG429" i="110"/>
  <c r="CG409" i="110"/>
  <c r="CG369" i="110"/>
  <c r="CG389" i="110"/>
  <c r="BC384" i="110"/>
  <c r="BC393" i="110"/>
  <c r="BC366" i="110"/>
  <c r="BC348" i="110"/>
  <c r="BC375" i="110"/>
  <c r="BC339" i="110"/>
  <c r="Y279" i="110" s="1"/>
  <c r="BC357" i="110"/>
  <c r="CH348" i="110"/>
  <c r="CH428" i="110"/>
  <c r="CH388" i="110"/>
  <c r="CH408" i="110"/>
  <c r="CH368" i="110"/>
  <c r="BD392" i="110"/>
  <c r="BD383" i="110"/>
  <c r="BD347" i="110"/>
  <c r="BD374" i="110"/>
  <c r="BD338" i="110"/>
  <c r="Z278" i="110" s="1"/>
  <c r="BD365" i="110"/>
  <c r="BD356" i="110"/>
  <c r="BD424" i="110"/>
  <c r="CD452" i="110"/>
  <c r="CC349" i="110"/>
  <c r="CC429" i="110"/>
  <c r="CC409" i="110"/>
  <c r="CC389" i="110"/>
  <c r="CC369" i="110"/>
  <c r="AY393" i="110"/>
  <c r="AY384" i="110"/>
  <c r="AY375" i="110"/>
  <c r="AY339" i="110"/>
  <c r="U279" i="110" s="1"/>
  <c r="AY357" i="110"/>
  <c r="AY348" i="110"/>
  <c r="AY366" i="110"/>
  <c r="AX400" i="110"/>
  <c r="AX409" i="110"/>
  <c r="CB447" i="110"/>
  <c r="AX418" i="110"/>
  <c r="AX404" i="110"/>
  <c r="AX413" i="110"/>
  <c r="CB451" i="110"/>
  <c r="AX422" i="110"/>
  <c r="BC401" i="110"/>
  <c r="BC410" i="110"/>
  <c r="BC419" i="110"/>
  <c r="CG448" i="110"/>
  <c r="Y262" i="110"/>
  <c r="U269" i="110"/>
  <c r="CC430" i="110"/>
  <c r="U144" i="111" s="1"/>
  <c r="U144" i="141" s="1"/>
  <c r="CC410" i="110"/>
  <c r="U148" i="111" s="1"/>
  <c r="U148" i="141" s="1"/>
  <c r="CC390" i="110"/>
  <c r="U146" i="111" s="1"/>
  <c r="U146" i="141" s="1"/>
  <c r="CC370" i="110"/>
  <c r="U147" i="111" s="1"/>
  <c r="U147" i="141" s="1"/>
  <c r="CC350" i="110"/>
  <c r="U150" i="111" s="1"/>
  <c r="U150" i="141" s="1"/>
  <c r="AY385" i="110"/>
  <c r="AY394" i="110"/>
  <c r="AY358" i="110"/>
  <c r="AY376" i="110"/>
  <c r="AY367" i="110"/>
  <c r="AY340" i="110"/>
  <c r="AY349" i="110"/>
  <c r="AV403" i="110"/>
  <c r="R139" i="111" s="1"/>
  <c r="R139" i="141" s="1"/>
  <c r="AV412" i="110"/>
  <c r="R140" i="111" s="1"/>
  <c r="R140" i="141" s="1"/>
  <c r="CG348" i="110"/>
  <c r="CG428" i="110"/>
  <c r="CG408" i="110"/>
  <c r="CG368" i="110"/>
  <c r="CG388" i="110"/>
  <c r="BC392" i="110"/>
  <c r="BC383" i="110"/>
  <c r="BC374" i="110"/>
  <c r="BC356" i="110"/>
  <c r="BC347" i="110"/>
  <c r="BC365" i="110"/>
  <c r="BC338" i="110"/>
  <c r="Y278" i="110" s="1"/>
  <c r="BZ370" i="110"/>
  <c r="R147" i="111" s="1"/>
  <c r="R147" i="141" s="1"/>
  <c r="BZ350" i="110"/>
  <c r="R150" i="111" s="1"/>
  <c r="R150" i="141" s="1"/>
  <c r="BZ430" i="110"/>
  <c r="R144" i="111" s="1"/>
  <c r="R144" i="141" s="1"/>
  <c r="BZ390" i="110"/>
  <c r="R146" i="111" s="1"/>
  <c r="R146" i="141" s="1"/>
  <c r="BZ410" i="110"/>
  <c r="R148" i="111" s="1"/>
  <c r="R148" i="141" s="1"/>
  <c r="BZ450" i="110"/>
  <c r="R145" i="111" s="1"/>
  <c r="R145" i="141" s="1"/>
  <c r="CA372" i="110"/>
  <c r="CA352" i="110"/>
  <c r="CA392" i="110"/>
  <c r="CA452" i="110"/>
  <c r="CA432" i="110"/>
  <c r="CA412" i="110"/>
  <c r="CA388" i="110"/>
  <c r="CA368" i="110"/>
  <c r="CA348" i="110"/>
  <c r="CA408" i="110"/>
  <c r="CA448" i="110"/>
  <c r="CA428" i="110"/>
  <c r="CA387" i="110"/>
  <c r="CA367" i="110"/>
  <c r="CA347" i="110"/>
  <c r="CA407" i="110"/>
  <c r="CA427" i="110"/>
  <c r="CA447" i="110"/>
  <c r="CA373" i="110"/>
  <c r="CA353" i="110"/>
  <c r="CA393" i="110"/>
  <c r="CA413" i="110"/>
  <c r="CA453" i="110"/>
  <c r="CA433" i="110"/>
  <c r="CA389" i="110"/>
  <c r="CA369" i="110"/>
  <c r="CA349" i="110"/>
  <c r="CA409" i="110"/>
  <c r="CA429" i="110"/>
  <c r="CA449" i="110"/>
  <c r="BZ367" i="110"/>
  <c r="BZ347" i="110"/>
  <c r="BZ427" i="110"/>
  <c r="BZ387" i="110"/>
  <c r="BZ447" i="110"/>
  <c r="BZ407" i="110"/>
  <c r="CA374" i="110"/>
  <c r="S147" i="112" s="1"/>
  <c r="S147" i="142" s="1"/>
  <c r="CA354" i="110"/>
  <c r="S150" i="112" s="1"/>
  <c r="S150" i="142" s="1"/>
  <c r="CA394" i="110"/>
  <c r="S146" i="112" s="1"/>
  <c r="S146" i="142" s="1"/>
  <c r="CA414" i="110"/>
  <c r="S148" i="112" s="1"/>
  <c r="S148" i="142" s="1"/>
  <c r="CA454" i="110"/>
  <c r="S145" i="112" s="1"/>
  <c r="S145" i="142" s="1"/>
  <c r="BZ354" i="110"/>
  <c r="R150" i="112" s="1"/>
  <c r="R150" i="142" s="1"/>
  <c r="BZ414" i="110"/>
  <c r="R148" i="112" s="1"/>
  <c r="R148" i="142" s="1"/>
  <c r="BZ374" i="110"/>
  <c r="R147" i="112" s="1"/>
  <c r="R147" i="142" s="1"/>
  <c r="BZ394" i="110"/>
  <c r="R146" i="112" s="1"/>
  <c r="R146" i="142" s="1"/>
  <c r="BZ454" i="110"/>
  <c r="R145" i="112" s="1"/>
  <c r="R145" i="142" s="1"/>
  <c r="BZ352" i="110"/>
  <c r="BZ412" i="110"/>
  <c r="BZ372" i="110"/>
  <c r="BZ452" i="110"/>
  <c r="BZ432" i="110"/>
  <c r="BZ392" i="110"/>
  <c r="BZ353" i="110"/>
  <c r="BZ413" i="110"/>
  <c r="BZ373" i="110"/>
  <c r="BZ393" i="110"/>
  <c r="BZ453" i="110"/>
  <c r="BZ433" i="110"/>
  <c r="BZ369" i="110"/>
  <c r="BZ349" i="110"/>
  <c r="BZ429" i="110"/>
  <c r="BZ389" i="110"/>
  <c r="BZ409" i="110"/>
  <c r="BZ449" i="110"/>
  <c r="BZ351" i="110"/>
  <c r="BZ411" i="110"/>
  <c r="BZ371" i="110"/>
  <c r="BZ451" i="110"/>
  <c r="BZ431" i="110"/>
  <c r="BZ391" i="110"/>
  <c r="BZ368" i="110"/>
  <c r="BZ348" i="110"/>
  <c r="BZ428" i="110"/>
  <c r="BZ388" i="110"/>
  <c r="BZ448" i="110"/>
  <c r="BZ408" i="110"/>
  <c r="CA371" i="110"/>
  <c r="CA351" i="110"/>
  <c r="CA391" i="110"/>
  <c r="CA451" i="110"/>
  <c r="CA411" i="110"/>
  <c r="CA431" i="110"/>
  <c r="CA390" i="110"/>
  <c r="S146" i="111" s="1"/>
  <c r="S146" i="141" s="1"/>
  <c r="CA370" i="110"/>
  <c r="S147" i="111" s="1"/>
  <c r="S147" i="141" s="1"/>
  <c r="CA350" i="110"/>
  <c r="S150" i="111" s="1"/>
  <c r="S150" i="141" s="1"/>
  <c r="CA410" i="110"/>
  <c r="S148" i="111" s="1"/>
  <c r="S148" i="141" s="1"/>
  <c r="CA430" i="110"/>
  <c r="S144" i="111" s="1"/>
  <c r="S144" i="141" s="1"/>
  <c r="CA450" i="110"/>
  <c r="S145" i="111" s="1"/>
  <c r="S145" i="141" s="1"/>
  <c r="AW342" i="110"/>
  <c r="S282" i="110" s="1"/>
  <c r="AW351" i="110"/>
  <c r="AW360" i="110"/>
  <c r="AW369" i="110"/>
  <c r="AW378" i="110"/>
  <c r="AW387" i="110"/>
  <c r="AW396" i="110"/>
  <c r="AW423" i="110"/>
  <c r="AV340" i="110"/>
  <c r="AV349" i="110"/>
  <c r="AV358" i="110"/>
  <c r="AV367" i="110"/>
  <c r="AV376" i="110"/>
  <c r="AV385" i="110"/>
  <c r="AV394" i="110"/>
  <c r="AV421" i="110"/>
  <c r="AW343" i="110"/>
  <c r="S283" i="110" s="1"/>
  <c r="AW352" i="110"/>
  <c r="AW361" i="110"/>
  <c r="AW370" i="110"/>
  <c r="AW379" i="110"/>
  <c r="AW388" i="110"/>
  <c r="AW397" i="110"/>
  <c r="AW424" i="110"/>
  <c r="AW339" i="110"/>
  <c r="S279" i="110" s="1"/>
  <c r="AW348" i="110"/>
  <c r="AW357" i="110"/>
  <c r="AW366" i="110"/>
  <c r="AW375" i="110"/>
  <c r="AW384" i="110"/>
  <c r="AW393" i="110"/>
  <c r="AW420" i="110"/>
  <c r="AV337" i="110"/>
  <c r="R277" i="110" s="1"/>
  <c r="AV346" i="110"/>
  <c r="AV355" i="110"/>
  <c r="AV364" i="110"/>
  <c r="AV373" i="110"/>
  <c r="AV382" i="110"/>
  <c r="AV391" i="110"/>
  <c r="AV418" i="110"/>
  <c r="AW344" i="110"/>
  <c r="AW353" i="110"/>
  <c r="AW362" i="110"/>
  <c r="AW371" i="110"/>
  <c r="AW380" i="110"/>
  <c r="AW389" i="110"/>
  <c r="AW398" i="110"/>
  <c r="AW425" i="110"/>
  <c r="AW338" i="110"/>
  <c r="S278" i="110" s="1"/>
  <c r="AW347" i="110"/>
  <c r="AW356" i="110"/>
  <c r="AW365" i="110"/>
  <c r="AW374" i="110"/>
  <c r="AW383" i="110"/>
  <c r="AW392" i="110"/>
  <c r="AW419" i="110"/>
  <c r="AV344" i="110"/>
  <c r="AV353" i="110"/>
  <c r="AV362" i="110"/>
  <c r="AV371" i="110"/>
  <c r="AV380" i="110"/>
  <c r="AV389" i="110"/>
  <c r="AV398" i="110"/>
  <c r="AV425" i="110"/>
  <c r="AV342" i="110"/>
  <c r="R282" i="110" s="1"/>
  <c r="AV351" i="110"/>
  <c r="AV360" i="110"/>
  <c r="AV369" i="110"/>
  <c r="AV378" i="110"/>
  <c r="AV387" i="110"/>
  <c r="AV396" i="110"/>
  <c r="AV423" i="110"/>
  <c r="AV343" i="110"/>
  <c r="R283" i="110" s="1"/>
  <c r="AV352" i="110"/>
  <c r="AV361" i="110"/>
  <c r="AV370" i="110"/>
  <c r="AV379" i="110"/>
  <c r="AV388" i="110"/>
  <c r="AV397" i="110"/>
  <c r="AV424" i="110"/>
  <c r="AV339" i="110"/>
  <c r="R279" i="110" s="1"/>
  <c r="AV348" i="110"/>
  <c r="AV357" i="110"/>
  <c r="AV366" i="110"/>
  <c r="AV375" i="110"/>
  <c r="AV384" i="110"/>
  <c r="AV393" i="110"/>
  <c r="AV420" i="110"/>
  <c r="AW337" i="110"/>
  <c r="S277" i="110" s="1"/>
  <c r="AW346" i="110"/>
  <c r="AW355" i="110"/>
  <c r="AW364" i="110"/>
  <c r="AW373" i="110"/>
  <c r="AW382" i="110"/>
  <c r="AW391" i="110"/>
  <c r="AW418" i="110"/>
  <c r="AV341" i="110"/>
  <c r="R281" i="110" s="1"/>
  <c r="AV350" i="110"/>
  <c r="AV359" i="110"/>
  <c r="AV368" i="110"/>
  <c r="AV377" i="110"/>
  <c r="AV386" i="110"/>
  <c r="AV395" i="110"/>
  <c r="AV422" i="110"/>
  <c r="AV338" i="110"/>
  <c r="R278" i="110" s="1"/>
  <c r="AV347" i="110"/>
  <c r="AV356" i="110"/>
  <c r="AV365" i="110"/>
  <c r="AV374" i="110"/>
  <c r="AV383" i="110"/>
  <c r="AV392" i="110"/>
  <c r="AV419" i="110"/>
  <c r="AW341" i="110"/>
  <c r="S281" i="110" s="1"/>
  <c r="AW350" i="110"/>
  <c r="AW359" i="110"/>
  <c r="AW368" i="110"/>
  <c r="AW377" i="110"/>
  <c r="AW386" i="110"/>
  <c r="AW395" i="110"/>
  <c r="AW422" i="110"/>
  <c r="AW340" i="110"/>
  <c r="AW349" i="110"/>
  <c r="AW358" i="110"/>
  <c r="AW367" i="110"/>
  <c r="AW376" i="110"/>
  <c r="AW385" i="110"/>
  <c r="AW394" i="110"/>
  <c r="AW421" i="110"/>
  <c r="AS143" i="110"/>
  <c r="AS147" i="110"/>
  <c r="AS142" i="110"/>
  <c r="AS146" i="110"/>
  <c r="AS148" i="110"/>
  <c r="AS144" i="110"/>
  <c r="AT112" i="110"/>
  <c r="AT95" i="110"/>
  <c r="AU112" i="110"/>
  <c r="AU95" i="110"/>
  <c r="AT189" i="110"/>
  <c r="AT190" i="110"/>
  <c r="AT191" i="110"/>
  <c r="AT192" i="110"/>
  <c r="AT193" i="110"/>
  <c r="AT194" i="110"/>
  <c r="AT195" i="110"/>
  <c r="AT196" i="110"/>
  <c r="AV95" i="110"/>
  <c r="AV112" i="110"/>
  <c r="AS189" i="110"/>
  <c r="AS190" i="110"/>
  <c r="AS191" i="110"/>
  <c r="AS192" i="110"/>
  <c r="AS193" i="110"/>
  <c r="AS194" i="110"/>
  <c r="AS195" i="110"/>
  <c r="AS196" i="110"/>
  <c r="Q58" i="110"/>
  <c r="Q111" i="110"/>
  <c r="P58" i="110"/>
  <c r="P111" i="110"/>
  <c r="AT144" i="110"/>
  <c r="AT148" i="110"/>
  <c r="AT143" i="110"/>
  <c r="AT147" i="110"/>
  <c r="AT142" i="110"/>
  <c r="AT146" i="110"/>
  <c r="O58" i="110"/>
  <c r="O111" i="110"/>
  <c r="AR189" i="110"/>
  <c r="AR190" i="110"/>
  <c r="AR191" i="110"/>
  <c r="AR192" i="110"/>
  <c r="AR193" i="110"/>
  <c r="AR194" i="110"/>
  <c r="AR195" i="110"/>
  <c r="AR196" i="110"/>
  <c r="N58" i="110"/>
  <c r="N111" i="110"/>
  <c r="Q53" i="110"/>
  <c r="Q71" i="110" s="1"/>
  <c r="P53" i="110"/>
  <c r="P71" i="110" s="1"/>
  <c r="N53" i="110"/>
  <c r="N71" i="110" s="1"/>
  <c r="AR142" i="110"/>
  <c r="AR143" i="110"/>
  <c r="AR144" i="110"/>
  <c r="AR146" i="110"/>
  <c r="AR147" i="110"/>
  <c r="AR148" i="110"/>
  <c r="AS112" i="110"/>
  <c r="AS95" i="110"/>
  <c r="M58" i="110"/>
  <c r="M111" i="110"/>
  <c r="AU194" i="110"/>
  <c r="AU195" i="110"/>
  <c r="AU193" i="110"/>
  <c r="AU190" i="110"/>
  <c r="AU191" i="110"/>
  <c r="AU196" i="110"/>
  <c r="AU189" i="110"/>
  <c r="AU192" i="110"/>
  <c r="AV193" i="110"/>
  <c r="AV195" i="110"/>
  <c r="AV189" i="110"/>
  <c r="AV190" i="110"/>
  <c r="AV191" i="110"/>
  <c r="AV192" i="110"/>
  <c r="AV196" i="110"/>
  <c r="AV194" i="110"/>
  <c r="O53" i="110"/>
  <c r="O71" i="110" s="1"/>
  <c r="M53" i="110"/>
  <c r="M71" i="110" s="1"/>
  <c r="AU142" i="110"/>
  <c r="AU143" i="110"/>
  <c r="AU144" i="110"/>
  <c r="AU146" i="110"/>
  <c r="AU147" i="110"/>
  <c r="AU148" i="110"/>
  <c r="AV142" i="110"/>
  <c r="AV143" i="110"/>
  <c r="AV144" i="110"/>
  <c r="AV146" i="110"/>
  <c r="AV147" i="110"/>
  <c r="AV148" i="110"/>
  <c r="I130" i="36"/>
  <c r="L156" i="36"/>
  <c r="F156" i="36"/>
  <c r="N141" i="36"/>
  <c r="H151" i="36"/>
  <c r="M101" i="34"/>
  <c r="M127" i="34" s="1"/>
  <c r="AR42" i="110" s="1"/>
  <c r="AJ48" i="110"/>
  <c r="F141" i="36"/>
  <c r="M42" i="83"/>
  <c r="E24" i="36"/>
  <c r="E160" i="36" s="1"/>
  <c r="O122" i="36"/>
  <c r="H150" i="36"/>
  <c r="O118" i="36"/>
  <c r="N156" i="36"/>
  <c r="F123" i="36"/>
  <c r="H118" i="36"/>
  <c r="L158" i="36"/>
  <c r="I156" i="36"/>
  <c r="M130" i="36"/>
  <c r="E113" i="36"/>
  <c r="G141" i="36"/>
  <c r="K158" i="36"/>
  <c r="AL94" i="110"/>
  <c r="J156" i="36"/>
  <c r="F146" i="36"/>
  <c r="O156" i="36"/>
  <c r="L122" i="36"/>
  <c r="G123" i="36"/>
  <c r="G214" i="36" s="1"/>
  <c r="G105" i="111" s="1"/>
  <c r="G105" i="141" s="1"/>
  <c r="H156" i="36"/>
  <c r="AN111" i="110"/>
  <c r="E150" i="36"/>
  <c r="Q138" i="36"/>
  <c r="Q110" i="36"/>
  <c r="O138" i="36"/>
  <c r="O110" i="36"/>
  <c r="O151" i="36"/>
  <c r="AO213" i="36" s="1"/>
  <c r="O123" i="36"/>
  <c r="P111" i="36"/>
  <c r="P139" i="36"/>
  <c r="G14" i="110"/>
  <c r="G48" i="110" s="1"/>
  <c r="G24" i="36"/>
  <c r="G160" i="36" s="1"/>
  <c r="N14" i="110"/>
  <c r="N48" i="110" s="1"/>
  <c r="N24" i="36"/>
  <c r="N122" i="36"/>
  <c r="N150" i="36"/>
  <c r="Q156" i="36"/>
  <c r="Q14" i="110"/>
  <c r="Q48" i="110" s="1"/>
  <c r="Q24" i="36"/>
  <c r="F14" i="110"/>
  <c r="F48" i="110" s="1"/>
  <c r="F24" i="36"/>
  <c r="F132" i="36" s="1"/>
  <c r="H14" i="110"/>
  <c r="H48" i="110" s="1"/>
  <c r="H24" i="36"/>
  <c r="H160" i="36" s="1"/>
  <c r="P14" i="110"/>
  <c r="P48" i="110" s="1"/>
  <c r="P24" i="36"/>
  <c r="F122" i="36"/>
  <c r="Q111" i="36"/>
  <c r="Q139" i="36"/>
  <c r="M139" i="36"/>
  <c r="M111" i="36"/>
  <c r="P156" i="36"/>
  <c r="M110" i="36"/>
  <c r="M138" i="36"/>
  <c r="N118" i="36"/>
  <c r="N146" i="36"/>
  <c r="D122" i="36"/>
  <c r="O14" i="110"/>
  <c r="O48" i="110" s="1"/>
  <c r="O24" i="36"/>
  <c r="I14" i="110"/>
  <c r="I48" i="110" s="1"/>
  <c r="I24" i="36"/>
  <c r="N158" i="36"/>
  <c r="N130" i="36"/>
  <c r="N139" i="36"/>
  <c r="N111" i="36"/>
  <c r="M160" i="36"/>
  <c r="M132" i="36"/>
  <c r="N110" i="36"/>
  <c r="N138" i="36"/>
  <c r="J130" i="36"/>
  <c r="P138" i="36"/>
  <c r="P110" i="36"/>
  <c r="M122" i="36"/>
  <c r="M150" i="36"/>
  <c r="O139" i="36"/>
  <c r="O111" i="36"/>
  <c r="N151" i="36"/>
  <c r="N123" i="36"/>
  <c r="P123" i="36"/>
  <c r="P151" i="36"/>
  <c r="AP212" i="36" s="1"/>
  <c r="P122" i="36"/>
  <c r="P150" i="36"/>
  <c r="AO112" i="110"/>
  <c r="O8" i="110"/>
  <c r="O42" i="110" s="1"/>
  <c r="O59" i="110" s="1"/>
  <c r="O13" i="36"/>
  <c r="O149" i="36" s="1"/>
  <c r="F8" i="110"/>
  <c r="F42" i="110" s="1"/>
  <c r="F59" i="110" s="1"/>
  <c r="F121" i="36"/>
  <c r="N8" i="110"/>
  <c r="N42" i="110" s="1"/>
  <c r="N59" i="110" s="1"/>
  <c r="N13" i="36"/>
  <c r="N121" i="36" s="1"/>
  <c r="K8" i="110"/>
  <c r="K42" i="110" s="1"/>
  <c r="K59" i="110" s="1"/>
  <c r="K13" i="36"/>
  <c r="K121" i="36" s="1"/>
  <c r="P8" i="110"/>
  <c r="P42" i="110" s="1"/>
  <c r="P59" i="110" s="1"/>
  <c r="P13" i="36"/>
  <c r="G8" i="110"/>
  <c r="G13" i="36"/>
  <c r="I8" i="110"/>
  <c r="I42" i="110" s="1"/>
  <c r="I59" i="110" s="1"/>
  <c r="I13" i="36"/>
  <c r="I121" i="36" s="1"/>
  <c r="Q8" i="110"/>
  <c r="Q42" i="110" s="1"/>
  <c r="Q59" i="110" s="1"/>
  <c r="Q13" i="36"/>
  <c r="J13" i="36"/>
  <c r="J149" i="36" s="1"/>
  <c r="J8" i="110"/>
  <c r="J42" i="110" s="1"/>
  <c r="J59" i="110" s="1"/>
  <c r="H8" i="110"/>
  <c r="H42" i="110" s="1"/>
  <c r="H59" i="110" s="1"/>
  <c r="H13" i="36"/>
  <c r="H121" i="36" s="1"/>
  <c r="D13" i="36"/>
  <c r="D8" i="110"/>
  <c r="D42" i="110" s="1"/>
  <c r="D59" i="110" s="1"/>
  <c r="K4" i="110"/>
  <c r="K4" i="36"/>
  <c r="M120" i="36"/>
  <c r="M148" i="36"/>
  <c r="N148" i="36"/>
  <c r="N120" i="36"/>
  <c r="AO94" i="110"/>
  <c r="Q120" i="36"/>
  <c r="Q148" i="36"/>
  <c r="O148" i="36"/>
  <c r="O120" i="36"/>
  <c r="P120" i="36"/>
  <c r="P148" i="36"/>
  <c r="K23" i="36"/>
  <c r="K13" i="110"/>
  <c r="L53" i="83"/>
  <c r="AO95" i="110"/>
  <c r="K150" i="36"/>
  <c r="L42" i="83"/>
  <c r="L92" i="34" s="1"/>
  <c r="L118" i="34" s="1"/>
  <c r="AQ38" i="110" s="1"/>
  <c r="AI112" i="110"/>
  <c r="K151" i="36"/>
  <c r="AK215" i="36" s="1"/>
  <c r="J123" i="36"/>
  <c r="J216" i="36" s="1"/>
  <c r="J107" i="111" s="1"/>
  <c r="J107" i="141" s="1"/>
  <c r="E158" i="36"/>
  <c r="AL14" i="35"/>
  <c r="AL21" i="35" s="1"/>
  <c r="AP14" i="35"/>
  <c r="AP21" i="35" s="1"/>
  <c r="AN14" i="35"/>
  <c r="AN21" i="35" s="1"/>
  <c r="AO14" i="35"/>
  <c r="AO21" i="35" s="1"/>
  <c r="AJ14" i="35"/>
  <c r="AJ21" i="35" s="1"/>
  <c r="AK14" i="35"/>
  <c r="AK21" i="35" s="1"/>
  <c r="L127" i="34"/>
  <c r="AQ42" i="110" s="1"/>
  <c r="AM112" i="110"/>
  <c r="F92" i="34"/>
  <c r="F118" i="34" s="1"/>
  <c r="AK38" i="110" s="1"/>
  <c r="G92" i="34"/>
  <c r="G118" i="34" s="1"/>
  <c r="AL38" i="110" s="1"/>
  <c r="P111" i="34"/>
  <c r="P137" i="34" s="1"/>
  <c r="AU47" i="110" s="1"/>
  <c r="G111" i="34"/>
  <c r="G137" i="34" s="1"/>
  <c r="AL47" i="110" s="1"/>
  <c r="O92" i="34"/>
  <c r="O118" i="34" s="1"/>
  <c r="AT38" i="110" s="1"/>
  <c r="J111" i="34"/>
  <c r="J137" i="34" s="1"/>
  <c r="AO47" i="110" s="1"/>
  <c r="H92" i="34"/>
  <c r="H118" i="34" s="1"/>
  <c r="AM38" i="110" s="1"/>
  <c r="P92" i="34"/>
  <c r="P118" i="34" s="1"/>
  <c r="AU38" i="110" s="1"/>
  <c r="AP112" i="110"/>
  <c r="J92" i="34"/>
  <c r="J118" i="34" s="1"/>
  <c r="AO38" i="110" s="1"/>
  <c r="M111" i="34"/>
  <c r="M137" i="34" s="1"/>
  <c r="AR47" i="110" s="1"/>
  <c r="H111" i="34"/>
  <c r="H137" i="34" s="1"/>
  <c r="AM47" i="110" s="1"/>
  <c r="Q111" i="34"/>
  <c r="Q137" i="34" s="1"/>
  <c r="AV47" i="110" s="1"/>
  <c r="N111" i="34"/>
  <c r="N137" i="34" s="1"/>
  <c r="AS47" i="110" s="1"/>
  <c r="I111" i="34"/>
  <c r="I137" i="34" s="1"/>
  <c r="AN47" i="110" s="1"/>
  <c r="D92" i="34"/>
  <c r="Q92" i="34"/>
  <c r="Q118" i="34" s="1"/>
  <c r="AV38" i="110" s="1"/>
  <c r="N92" i="34"/>
  <c r="N118" i="34" s="1"/>
  <c r="AS38" i="110" s="1"/>
  <c r="E111" i="34"/>
  <c r="E137" i="34" s="1"/>
  <c r="AJ47" i="110" s="1"/>
  <c r="I92" i="34"/>
  <c r="I118" i="34" s="1"/>
  <c r="AN38" i="110" s="1"/>
  <c r="F111" i="34"/>
  <c r="D111" i="34"/>
  <c r="D137" i="34" s="1"/>
  <c r="AI47" i="110" s="1"/>
  <c r="E92" i="34"/>
  <c r="E118" i="34" s="1"/>
  <c r="AJ38" i="110" s="1"/>
  <c r="O111" i="34"/>
  <c r="O137" i="34" s="1"/>
  <c r="AT47" i="110" s="1"/>
  <c r="E101" i="34"/>
  <c r="E127" i="34" s="1"/>
  <c r="AJ42" i="110" s="1"/>
  <c r="AJ112" i="110" s="1"/>
  <c r="G156" i="36"/>
  <c r="F130" i="36"/>
  <c r="K156" i="36"/>
  <c r="D156" i="36"/>
  <c r="E151" i="36"/>
  <c r="AE207" i="36" s="1"/>
  <c r="G138" i="36"/>
  <c r="H138" i="36"/>
  <c r="L138" i="36"/>
  <c r="I138" i="36"/>
  <c r="K138" i="36"/>
  <c r="E138" i="36"/>
  <c r="F138" i="36"/>
  <c r="G111" i="36"/>
  <c r="G139" i="36"/>
  <c r="K111" i="110"/>
  <c r="K58" i="110"/>
  <c r="F111" i="36"/>
  <c r="F139" i="36"/>
  <c r="L111" i="36"/>
  <c r="L139" i="36"/>
  <c r="E120" i="36"/>
  <c r="E148" i="36"/>
  <c r="J110" i="36"/>
  <c r="J138" i="36"/>
  <c r="I110" i="36"/>
  <c r="AP111" i="110"/>
  <c r="AP94" i="110"/>
  <c r="L120" i="36"/>
  <c r="L148" i="36"/>
  <c r="E110" i="36"/>
  <c r="E111" i="110"/>
  <c r="E58" i="110"/>
  <c r="D48" i="110"/>
  <c r="F110" i="36"/>
  <c r="J53" i="110"/>
  <c r="J71" i="110" s="1"/>
  <c r="I53" i="110"/>
  <c r="I71" i="110" s="1"/>
  <c r="AQ111" i="110"/>
  <c r="AQ94" i="110"/>
  <c r="L110" i="36"/>
  <c r="AN196" i="110"/>
  <c r="AN194" i="110"/>
  <c r="AN193" i="110"/>
  <c r="AN192" i="110"/>
  <c r="AN191" i="110"/>
  <c r="AN190" i="110"/>
  <c r="AN189" i="110"/>
  <c r="AN195" i="110"/>
  <c r="L111" i="110"/>
  <c r="L58" i="110"/>
  <c r="J148" i="36"/>
  <c r="J120" i="36"/>
  <c r="K48" i="110"/>
  <c r="E53" i="110"/>
  <c r="E71" i="110" s="1"/>
  <c r="F53" i="110"/>
  <c r="F71" i="110" s="1"/>
  <c r="H148" i="36"/>
  <c r="H120" i="36"/>
  <c r="AK111" i="110"/>
  <c r="AK94" i="110"/>
  <c r="L53" i="110"/>
  <c r="L71" i="110" s="1"/>
  <c r="J111" i="110"/>
  <c r="J58" i="110"/>
  <c r="H111" i="110"/>
  <c r="H58" i="110"/>
  <c r="H139" i="36"/>
  <c r="H111" i="36"/>
  <c r="H110" i="36"/>
  <c r="AJ111" i="110"/>
  <c r="AJ94" i="110"/>
  <c r="K110" i="36"/>
  <c r="AL148" i="110"/>
  <c r="AL147" i="110"/>
  <c r="AL146" i="110"/>
  <c r="AL144" i="110"/>
  <c r="AL143" i="110"/>
  <c r="AL142" i="110"/>
  <c r="J139" i="36"/>
  <c r="J111" i="36"/>
  <c r="L48" i="110"/>
  <c r="AM111" i="110"/>
  <c r="AM94" i="110"/>
  <c r="E111" i="36"/>
  <c r="E139" i="36"/>
  <c r="G110" i="36"/>
  <c r="D148" i="36"/>
  <c r="H53" i="110"/>
  <c r="H71" i="110" s="1"/>
  <c r="D111" i="36"/>
  <c r="D139" i="36"/>
  <c r="I139" i="36"/>
  <c r="I111" i="36"/>
  <c r="K53" i="110"/>
  <c r="K71" i="110" s="1"/>
  <c r="G120" i="36"/>
  <c r="G148" i="36"/>
  <c r="AI111" i="110"/>
  <c r="AI94" i="110"/>
  <c r="AI171" i="110" s="1"/>
  <c r="D53" i="110"/>
  <c r="D71" i="110" s="1"/>
  <c r="G53" i="110"/>
  <c r="G71" i="110" s="1"/>
  <c r="D111" i="110"/>
  <c r="D58" i="110"/>
  <c r="I148" i="36"/>
  <c r="I120" i="36"/>
  <c r="F120" i="36"/>
  <c r="F148" i="36"/>
  <c r="AO148" i="110"/>
  <c r="AO147" i="110"/>
  <c r="AO146" i="110"/>
  <c r="AO144" i="110"/>
  <c r="AO143" i="110"/>
  <c r="AO142" i="110"/>
  <c r="K139" i="36"/>
  <c r="K111" i="36"/>
  <c r="G111" i="110"/>
  <c r="G58" i="110"/>
  <c r="J48" i="110"/>
  <c r="I111" i="110"/>
  <c r="I58" i="110"/>
  <c r="F111" i="110"/>
  <c r="F58" i="110"/>
  <c r="F94" i="110" s="1"/>
  <c r="AN112" i="110"/>
  <c r="AN95" i="110"/>
  <c r="K148" i="36"/>
  <c r="K120" i="36"/>
  <c r="AH21" i="35" l="1"/>
  <c r="AH29" i="35" s="1"/>
  <c r="I44" i="112" s="1"/>
  <c r="AG21" i="35"/>
  <c r="AG26" i="35" s="1"/>
  <c r="AD21" i="35"/>
  <c r="AD26" i="35" s="1"/>
  <c r="E41" i="112" s="1"/>
  <c r="E41" i="142" s="1"/>
  <c r="L114" i="36"/>
  <c r="L168" i="36" s="1"/>
  <c r="I142" i="36"/>
  <c r="AI173" i="36" s="1"/>
  <c r="AL211" i="36"/>
  <c r="L102" i="142" s="1"/>
  <c r="G114" i="36"/>
  <c r="G179" i="36" s="1"/>
  <c r="G72" i="111" s="1"/>
  <c r="O114" i="36"/>
  <c r="O173" i="36" s="1"/>
  <c r="AL213" i="36"/>
  <c r="L104" i="142" s="1"/>
  <c r="Q114" i="36"/>
  <c r="H142" i="36"/>
  <c r="AL219" i="36"/>
  <c r="L110" i="112" s="1"/>
  <c r="AL217" i="36"/>
  <c r="L108" i="112" s="1"/>
  <c r="AI207" i="36"/>
  <c r="I98" i="142" s="1"/>
  <c r="AI218" i="36"/>
  <c r="I109" i="142" s="1"/>
  <c r="AI219" i="36"/>
  <c r="I110" i="142" s="1"/>
  <c r="AI210" i="36"/>
  <c r="I101" i="142" s="1"/>
  <c r="AI215" i="36"/>
  <c r="I106" i="112" s="1"/>
  <c r="AI211" i="36"/>
  <c r="I102" i="142" s="1"/>
  <c r="AI216" i="36"/>
  <c r="I107" i="112" s="1"/>
  <c r="AI212" i="36"/>
  <c r="I103" i="142" s="1"/>
  <c r="AI208" i="36"/>
  <c r="I99" i="142" s="1"/>
  <c r="AI220" i="36"/>
  <c r="I111" i="142" s="1"/>
  <c r="AI217" i="36"/>
  <c r="I108" i="142" s="1"/>
  <c r="AI213" i="36"/>
  <c r="I104" i="142" s="1"/>
  <c r="AI209" i="36"/>
  <c r="I100" i="142" s="1"/>
  <c r="AI221" i="36"/>
  <c r="I112" i="142" s="1"/>
  <c r="M114" i="36"/>
  <c r="M173" i="36" s="1"/>
  <c r="P114" i="36"/>
  <c r="P173" i="36" s="1"/>
  <c r="AL208" i="36"/>
  <c r="L99" i="142" s="1"/>
  <c r="AL220" i="36"/>
  <c r="L111" i="142" s="1"/>
  <c r="AL216" i="36"/>
  <c r="L107" i="142" s="1"/>
  <c r="AL214" i="36"/>
  <c r="L105" i="112" s="1"/>
  <c r="AL212" i="36"/>
  <c r="L103" i="142" s="1"/>
  <c r="AL210" i="36"/>
  <c r="L101" i="112" s="1"/>
  <c r="AL207" i="36"/>
  <c r="L98" i="112" s="1"/>
  <c r="AL221" i="36"/>
  <c r="L112" i="142" s="1"/>
  <c r="AL218" i="36"/>
  <c r="L109" i="142" s="1"/>
  <c r="AL209" i="36"/>
  <c r="L100" i="142" s="1"/>
  <c r="H216" i="110"/>
  <c r="L218" i="36"/>
  <c r="L109" i="111" s="1"/>
  <c r="L109" i="141" s="1"/>
  <c r="H212" i="110"/>
  <c r="G216" i="110"/>
  <c r="I212" i="110"/>
  <c r="F142" i="36"/>
  <c r="J218" i="36"/>
  <c r="J109" i="111" s="1"/>
  <c r="J109" i="141" s="1"/>
  <c r="N218" i="36"/>
  <c r="N109" i="111" s="1"/>
  <c r="N109" i="141" s="1"/>
  <c r="J7" i="36"/>
  <c r="J114" i="36" s="1"/>
  <c r="F137" i="34"/>
  <c r="F13" i="110" s="1"/>
  <c r="F47" i="110" s="1"/>
  <c r="F64" i="110" s="1"/>
  <c r="O207" i="36"/>
  <c r="O98" i="111" s="1"/>
  <c r="O98" i="141" s="1"/>
  <c r="H129" i="36"/>
  <c r="K7" i="36"/>
  <c r="K142" i="36" s="1"/>
  <c r="M215" i="36"/>
  <c r="M106" i="111" s="1"/>
  <c r="M106" i="141" s="1"/>
  <c r="M217" i="36"/>
  <c r="M108" i="111" s="1"/>
  <c r="M108" i="141" s="1"/>
  <c r="F219" i="36"/>
  <c r="F110" i="111" s="1"/>
  <c r="F110" i="141" s="1"/>
  <c r="O104" i="142"/>
  <c r="O104" i="112"/>
  <c r="E98" i="142"/>
  <c r="E98" i="112"/>
  <c r="P103" i="142"/>
  <c r="P103" i="112"/>
  <c r="K106" i="142"/>
  <c r="K106" i="112"/>
  <c r="AP210" i="36"/>
  <c r="Q106" i="142"/>
  <c r="Q106" i="112"/>
  <c r="Q108" i="142"/>
  <c r="Q108" i="112"/>
  <c r="AE219" i="36"/>
  <c r="AE216" i="36"/>
  <c r="M104" i="142"/>
  <c r="M104" i="112"/>
  <c r="M109" i="142"/>
  <c r="M109" i="112"/>
  <c r="J100" i="142"/>
  <c r="J100" i="112"/>
  <c r="J105" i="142"/>
  <c r="J105" i="112"/>
  <c r="AK217" i="36"/>
  <c r="AK211" i="36"/>
  <c r="AO215" i="36"/>
  <c r="AO208" i="36"/>
  <c r="AH213" i="36"/>
  <c r="AH220" i="36"/>
  <c r="AH212" i="36"/>
  <c r="AH219" i="36"/>
  <c r="AH211" i="36"/>
  <c r="AH210" i="36"/>
  <c r="AH218" i="36"/>
  <c r="AH209" i="36"/>
  <c r="AH217" i="36"/>
  <c r="AH208" i="36"/>
  <c r="AH216" i="36"/>
  <c r="AH207" i="36"/>
  <c r="AH215" i="36"/>
  <c r="AH214" i="36"/>
  <c r="AH221" i="36"/>
  <c r="AP207" i="36"/>
  <c r="AP221" i="36"/>
  <c r="Q102" i="142"/>
  <c r="Q102" i="112"/>
  <c r="Q104" i="142"/>
  <c r="Q104" i="112"/>
  <c r="AE212" i="36"/>
  <c r="AE208" i="36"/>
  <c r="M112" i="142"/>
  <c r="M112" i="112"/>
  <c r="M105" i="142"/>
  <c r="M105" i="112"/>
  <c r="J101" i="142"/>
  <c r="J101" i="112"/>
  <c r="J106" i="142"/>
  <c r="J106" i="112"/>
  <c r="AK213" i="36"/>
  <c r="AK210" i="36"/>
  <c r="I105" i="142"/>
  <c r="I105" i="112"/>
  <c r="AO211" i="36"/>
  <c r="AP218" i="36"/>
  <c r="AP209" i="36"/>
  <c r="Q109" i="112"/>
  <c r="Q109" i="142"/>
  <c r="Q112" i="142"/>
  <c r="Q112" i="112"/>
  <c r="AE220" i="36"/>
  <c r="AE217" i="36"/>
  <c r="M99" i="142"/>
  <c r="M99" i="112"/>
  <c r="M101" i="142"/>
  <c r="M101" i="112"/>
  <c r="J102" i="142"/>
  <c r="J102" i="112"/>
  <c r="J98" i="142"/>
  <c r="J98" i="112"/>
  <c r="AK208" i="36"/>
  <c r="AK221" i="36"/>
  <c r="AO218" i="36"/>
  <c r="AO221" i="36"/>
  <c r="L106" i="142"/>
  <c r="L106" i="112"/>
  <c r="AF211" i="36"/>
  <c r="AF210" i="36"/>
  <c r="AF218" i="36"/>
  <c r="AF209" i="36"/>
  <c r="AF217" i="36"/>
  <c r="AF208" i="36"/>
  <c r="AF216" i="36"/>
  <c r="AF207" i="36"/>
  <c r="AF215" i="36"/>
  <c r="AF214" i="36"/>
  <c r="AF221" i="36"/>
  <c r="AF213" i="36"/>
  <c r="AF220" i="36"/>
  <c r="AF212" i="36"/>
  <c r="AF219" i="36"/>
  <c r="AP215" i="36"/>
  <c r="AP217" i="36"/>
  <c r="Q105" i="142"/>
  <c r="Q105" i="112"/>
  <c r="Q99" i="142"/>
  <c r="Q99" i="112"/>
  <c r="AE213" i="36"/>
  <c r="AE209" i="36"/>
  <c r="M107" i="142"/>
  <c r="M107" i="112"/>
  <c r="M110" i="142"/>
  <c r="M110" i="112"/>
  <c r="J110" i="142"/>
  <c r="J110" i="112"/>
  <c r="J109" i="112"/>
  <c r="J109" i="142"/>
  <c r="AK216" i="36"/>
  <c r="AO216" i="36"/>
  <c r="AO214" i="36"/>
  <c r="AD209" i="36"/>
  <c r="AD217" i="36"/>
  <c r="AD208" i="36"/>
  <c r="AD216" i="36"/>
  <c r="AD207" i="36"/>
  <c r="AD215" i="36"/>
  <c r="AD214" i="36"/>
  <c r="AD221" i="36"/>
  <c r="AD213" i="36"/>
  <c r="AD220" i="36"/>
  <c r="AD212" i="36"/>
  <c r="AD219" i="36"/>
  <c r="AD211" i="36"/>
  <c r="AD210" i="36"/>
  <c r="AD218" i="36"/>
  <c r="AP211" i="36"/>
  <c r="AP213" i="36"/>
  <c r="Q101" i="142"/>
  <c r="Q101" i="112"/>
  <c r="Q107" i="142"/>
  <c r="Q107" i="112"/>
  <c r="AE221" i="36"/>
  <c r="AE218" i="36"/>
  <c r="M103" i="142"/>
  <c r="M103" i="112"/>
  <c r="M100" i="142"/>
  <c r="M100" i="112"/>
  <c r="J103" i="142"/>
  <c r="J103" i="112"/>
  <c r="AK220" i="36"/>
  <c r="AK212" i="36"/>
  <c r="AO212" i="36"/>
  <c r="AO210" i="36"/>
  <c r="AG212" i="36"/>
  <c r="AG219" i="36"/>
  <c r="AG211" i="36"/>
  <c r="AG210" i="36"/>
  <c r="AG218" i="36"/>
  <c r="AG209" i="36"/>
  <c r="AG217" i="36"/>
  <c r="AG208" i="36"/>
  <c r="AG216" i="36"/>
  <c r="AG207" i="36"/>
  <c r="AG215" i="36"/>
  <c r="AG214" i="36"/>
  <c r="AG221" i="36"/>
  <c r="AG213" i="36"/>
  <c r="AG220" i="36"/>
  <c r="AP219" i="36"/>
  <c r="AP208" i="36"/>
  <c r="Q110" i="142"/>
  <c r="Q110" i="112"/>
  <c r="Q103" i="142"/>
  <c r="Q103" i="112"/>
  <c r="AE214" i="36"/>
  <c r="AE210" i="36"/>
  <c r="M98" i="142"/>
  <c r="M98" i="112"/>
  <c r="J107" i="142"/>
  <c r="J107" i="112"/>
  <c r="J111" i="142"/>
  <c r="J111" i="112"/>
  <c r="AK214" i="36"/>
  <c r="AK207" i="36"/>
  <c r="AO219" i="36"/>
  <c r="AO209" i="36"/>
  <c r="AP220" i="36"/>
  <c r="AP216" i="36"/>
  <c r="Q100" i="142"/>
  <c r="Q100" i="112"/>
  <c r="Q98" i="142"/>
  <c r="Q98" i="112"/>
  <c r="AE215" i="36"/>
  <c r="M111" i="142"/>
  <c r="M111" i="112"/>
  <c r="M106" i="142"/>
  <c r="M106" i="112"/>
  <c r="J99" i="142"/>
  <c r="J99" i="112"/>
  <c r="J104" i="142"/>
  <c r="J104" i="112"/>
  <c r="AK219" i="36"/>
  <c r="AK218" i="36"/>
  <c r="AO207" i="36"/>
  <c r="AO217" i="36"/>
  <c r="AN213" i="36"/>
  <c r="AN217" i="36"/>
  <c r="AN218" i="36"/>
  <c r="AN209" i="36"/>
  <c r="AN210" i="36"/>
  <c r="AN214" i="36"/>
  <c r="AN211" i="36"/>
  <c r="AN215" i="36"/>
  <c r="AN207" i="36"/>
  <c r="AN221" i="36"/>
  <c r="AN212" i="36"/>
  <c r="AN216" i="36"/>
  <c r="AN220" i="36"/>
  <c r="AN208" i="36"/>
  <c r="AN219" i="36"/>
  <c r="AP214" i="36"/>
  <c r="Q111" i="142"/>
  <c r="Q111" i="112"/>
  <c r="AE211" i="36"/>
  <c r="M108" i="142"/>
  <c r="M108" i="112"/>
  <c r="M102" i="142"/>
  <c r="M102" i="112"/>
  <c r="J108" i="112"/>
  <c r="J108" i="142"/>
  <c r="J112" i="142"/>
  <c r="J112" i="112"/>
  <c r="AK209" i="36"/>
  <c r="AO220" i="36"/>
  <c r="K29" i="142"/>
  <c r="H25" i="142"/>
  <c r="K32" i="142"/>
  <c r="K36" i="142"/>
  <c r="K37" i="142"/>
  <c r="K27" i="142"/>
  <c r="K26" i="142"/>
  <c r="K23" i="142"/>
  <c r="H34" i="142"/>
  <c r="K34" i="142"/>
  <c r="J27" i="142"/>
  <c r="J28" i="142"/>
  <c r="J30" i="142"/>
  <c r="J34" i="142"/>
  <c r="J32" i="142"/>
  <c r="J26" i="142"/>
  <c r="J24" i="142"/>
  <c r="E29" i="142"/>
  <c r="K22" i="142"/>
  <c r="F36" i="142"/>
  <c r="G33" i="142"/>
  <c r="J35" i="142"/>
  <c r="E32" i="142"/>
  <c r="E23" i="142"/>
  <c r="F23" i="142"/>
  <c r="F34" i="142"/>
  <c r="K31" i="142"/>
  <c r="F27" i="142"/>
  <c r="G36" i="142"/>
  <c r="L24" i="142"/>
  <c r="L25" i="142"/>
  <c r="F33" i="142"/>
  <c r="F31" i="142"/>
  <c r="I26" i="142"/>
  <c r="I32" i="142"/>
  <c r="I25" i="142"/>
  <c r="D35" i="142"/>
  <c r="D34" i="142"/>
  <c r="D33" i="142"/>
  <c r="L29" i="142"/>
  <c r="I23" i="142"/>
  <c r="D25" i="142"/>
  <c r="E24" i="142"/>
  <c r="G28" i="142"/>
  <c r="L31" i="142"/>
  <c r="L23" i="142"/>
  <c r="F30" i="142"/>
  <c r="I29" i="142"/>
  <c r="I27" i="142"/>
  <c r="J36" i="142"/>
  <c r="J31" i="142"/>
  <c r="F24" i="142"/>
  <c r="D23" i="142"/>
  <c r="D36" i="142"/>
  <c r="E35" i="142"/>
  <c r="E36" i="142"/>
  <c r="L30" i="142"/>
  <c r="J22" i="142"/>
  <c r="D32" i="142"/>
  <c r="L33" i="142"/>
  <c r="D30" i="142"/>
  <c r="E26" i="142"/>
  <c r="G24" i="142"/>
  <c r="L27" i="142"/>
  <c r="F25" i="142"/>
  <c r="F26" i="142"/>
  <c r="I30" i="142"/>
  <c r="I28" i="142"/>
  <c r="K30" i="142"/>
  <c r="D24" i="142"/>
  <c r="D27" i="142"/>
  <c r="E28" i="142"/>
  <c r="E33" i="142"/>
  <c r="I34" i="142"/>
  <c r="E22" i="142"/>
  <c r="I31" i="142"/>
  <c r="I33" i="142"/>
  <c r="G25" i="142"/>
  <c r="G22" i="142"/>
  <c r="L26" i="142"/>
  <c r="L28" i="142"/>
  <c r="L22" i="142"/>
  <c r="F32" i="142"/>
  <c r="I35" i="142"/>
  <c r="G30" i="142"/>
  <c r="J23" i="142"/>
  <c r="K24" i="142"/>
  <c r="D26" i="142"/>
  <c r="K25" i="142"/>
  <c r="E27" i="142"/>
  <c r="E30" i="142"/>
  <c r="E31" i="142"/>
  <c r="G27" i="142"/>
  <c r="G31" i="142"/>
  <c r="L36" i="142"/>
  <c r="L35" i="142"/>
  <c r="F35" i="142"/>
  <c r="I22" i="142"/>
  <c r="D29" i="142"/>
  <c r="D28" i="142"/>
  <c r="G23" i="142"/>
  <c r="F22" i="142"/>
  <c r="J33" i="142"/>
  <c r="G32" i="142"/>
  <c r="G29" i="142"/>
  <c r="G26" i="142"/>
  <c r="G35" i="142"/>
  <c r="G34" i="142"/>
  <c r="L32" i="142"/>
  <c r="L34" i="142"/>
  <c r="F28" i="142"/>
  <c r="F29" i="142"/>
  <c r="E25" i="142"/>
  <c r="I24" i="142"/>
  <c r="I36" i="142"/>
  <c r="J25" i="142"/>
  <c r="K33" i="142"/>
  <c r="D31" i="142"/>
  <c r="D22" i="142"/>
  <c r="K28" i="142"/>
  <c r="K35" i="142"/>
  <c r="G37" i="142"/>
  <c r="L37" i="142"/>
  <c r="I37" i="142"/>
  <c r="J37" i="142"/>
  <c r="D32" i="35"/>
  <c r="E47" i="111" s="1"/>
  <c r="E47" i="141" s="1"/>
  <c r="D36" i="35"/>
  <c r="E51" i="111" s="1"/>
  <c r="E51" i="141" s="1"/>
  <c r="D40" i="35"/>
  <c r="E55" i="111" s="1"/>
  <c r="E55" i="141" s="1"/>
  <c r="D35" i="35"/>
  <c r="E50" i="111" s="1"/>
  <c r="E50" i="141" s="1"/>
  <c r="D26" i="35"/>
  <c r="D28" i="35"/>
  <c r="E43" i="111" s="1"/>
  <c r="E43" i="141" s="1"/>
  <c r="D31" i="35"/>
  <c r="E46" i="111" s="1"/>
  <c r="E46" i="141" s="1"/>
  <c r="D34" i="35"/>
  <c r="E49" i="111" s="1"/>
  <c r="E49" i="141" s="1"/>
  <c r="D39" i="35"/>
  <c r="E54" i="111" s="1"/>
  <c r="E54" i="141" s="1"/>
  <c r="D29" i="35"/>
  <c r="E44" i="111" s="1"/>
  <c r="E44" i="141" s="1"/>
  <c r="D33" i="35"/>
  <c r="E48" i="111" s="1"/>
  <c r="E48" i="141" s="1"/>
  <c r="D37" i="35"/>
  <c r="E52" i="111" s="1"/>
  <c r="E52" i="141" s="1"/>
  <c r="D38" i="35"/>
  <c r="E53" i="111" s="1"/>
  <c r="E53" i="141" s="1"/>
  <c r="D30" i="35"/>
  <c r="E45" i="111" s="1"/>
  <c r="E45" i="141" s="1"/>
  <c r="D27" i="35"/>
  <c r="E42" i="111" s="1"/>
  <c r="E42" i="141" s="1"/>
  <c r="AC22" i="35"/>
  <c r="L26" i="35"/>
  <c r="M41" i="111" s="1"/>
  <c r="M41" i="141" s="1"/>
  <c r="C22" i="35"/>
  <c r="P22" i="35"/>
  <c r="N22" i="35"/>
  <c r="O33" i="35"/>
  <c r="P48" i="111" s="1"/>
  <c r="P48" i="141" s="1"/>
  <c r="M32" i="35"/>
  <c r="N47" i="111" s="1"/>
  <c r="N47" i="141" s="1"/>
  <c r="K39" i="35"/>
  <c r="L54" i="111" s="1"/>
  <c r="L54" i="141" s="1"/>
  <c r="M221" i="36"/>
  <c r="M112" i="111" s="1"/>
  <c r="M112" i="141" s="1"/>
  <c r="M209" i="36"/>
  <c r="M100" i="111" s="1"/>
  <c r="M100" i="141" s="1"/>
  <c r="M219" i="36"/>
  <c r="M110" i="111" s="1"/>
  <c r="M110" i="141" s="1"/>
  <c r="M207" i="36"/>
  <c r="M98" i="111" s="1"/>
  <c r="M98" i="141" s="1"/>
  <c r="M211" i="36"/>
  <c r="M102" i="111" s="1"/>
  <c r="M102" i="141" s="1"/>
  <c r="M213" i="36"/>
  <c r="M104" i="111" s="1"/>
  <c r="M104" i="141" s="1"/>
  <c r="M214" i="36"/>
  <c r="M105" i="111" s="1"/>
  <c r="M105" i="141" s="1"/>
  <c r="M216" i="36"/>
  <c r="M107" i="111" s="1"/>
  <c r="M107" i="141" s="1"/>
  <c r="M218" i="36"/>
  <c r="M220" i="36"/>
  <c r="M111" i="111" s="1"/>
  <c r="M111" i="141" s="1"/>
  <c r="M210" i="36"/>
  <c r="M101" i="111" s="1"/>
  <c r="M101" i="141" s="1"/>
  <c r="M212" i="36"/>
  <c r="M103" i="111" s="1"/>
  <c r="M103" i="141" s="1"/>
  <c r="M208" i="36"/>
  <c r="M99" i="111" s="1"/>
  <c r="M99" i="141" s="1"/>
  <c r="J210" i="36"/>
  <c r="J101" i="111" s="1"/>
  <c r="J101" i="141" s="1"/>
  <c r="J215" i="36"/>
  <c r="J106" i="111" s="1"/>
  <c r="J106" i="141" s="1"/>
  <c r="O219" i="36"/>
  <c r="O110" i="111" s="1"/>
  <c r="O110" i="141" s="1"/>
  <c r="J208" i="36"/>
  <c r="J99" i="111" s="1"/>
  <c r="J99" i="141" s="1"/>
  <c r="G220" i="36"/>
  <c r="G111" i="111" s="1"/>
  <c r="G111" i="141" s="1"/>
  <c r="AQ222" i="36"/>
  <c r="O220" i="36"/>
  <c r="O111" i="111" s="1"/>
  <c r="O111" i="141" s="1"/>
  <c r="J209" i="36"/>
  <c r="J100" i="111" s="1"/>
  <c r="J100" i="141" s="1"/>
  <c r="G207" i="36"/>
  <c r="G98" i="111" s="1"/>
  <c r="G98" i="141" s="1"/>
  <c r="O209" i="36"/>
  <c r="O100" i="111" s="1"/>
  <c r="O100" i="141" s="1"/>
  <c r="G218" i="36"/>
  <c r="G109" i="111" s="1"/>
  <c r="G109" i="141" s="1"/>
  <c r="L210" i="36"/>
  <c r="L101" i="111" s="1"/>
  <c r="L101" i="141" s="1"/>
  <c r="L216" i="36"/>
  <c r="L107" i="111" s="1"/>
  <c r="L107" i="141" s="1"/>
  <c r="L217" i="36"/>
  <c r="L108" i="111" s="1"/>
  <c r="L108" i="141" s="1"/>
  <c r="L211" i="36"/>
  <c r="L102" i="111" s="1"/>
  <c r="L102" i="141" s="1"/>
  <c r="L219" i="36"/>
  <c r="L110" i="111" s="1"/>
  <c r="L110" i="141" s="1"/>
  <c r="L207" i="36"/>
  <c r="L212" i="36"/>
  <c r="L103" i="111" s="1"/>
  <c r="L103" i="141" s="1"/>
  <c r="L220" i="36"/>
  <c r="L111" i="111" s="1"/>
  <c r="L111" i="141" s="1"/>
  <c r="L215" i="36"/>
  <c r="L106" i="111" s="1"/>
  <c r="L106" i="141" s="1"/>
  <c r="L208" i="36"/>
  <c r="L99" i="111" s="1"/>
  <c r="L99" i="141" s="1"/>
  <c r="L213" i="36"/>
  <c r="L104" i="111" s="1"/>
  <c r="L104" i="141" s="1"/>
  <c r="L221" i="36"/>
  <c r="L112" i="111" s="1"/>
  <c r="L112" i="141" s="1"/>
  <c r="L214" i="36"/>
  <c r="L105" i="111" s="1"/>
  <c r="L105" i="141" s="1"/>
  <c r="L209" i="36"/>
  <c r="L100" i="111" s="1"/>
  <c r="L100" i="141" s="1"/>
  <c r="I98" i="111"/>
  <c r="I98" i="141" s="1"/>
  <c r="I222" i="36"/>
  <c r="I113" i="111" s="1"/>
  <c r="I113" i="141" s="1"/>
  <c r="N212" i="36"/>
  <c r="N103" i="111" s="1"/>
  <c r="N103" i="141" s="1"/>
  <c r="N210" i="36"/>
  <c r="N101" i="111" s="1"/>
  <c r="N101" i="141" s="1"/>
  <c r="F207" i="36"/>
  <c r="F216" i="36"/>
  <c r="F107" i="111" s="1"/>
  <c r="F107" i="141" s="1"/>
  <c r="AN178" i="36"/>
  <c r="AN171" i="36"/>
  <c r="AQ177" i="36"/>
  <c r="AQ168" i="36"/>
  <c r="AQ170" i="36"/>
  <c r="AQ172" i="36"/>
  <c r="AQ174" i="36"/>
  <c r="AQ178" i="36"/>
  <c r="AQ179" i="36"/>
  <c r="AQ180" i="36"/>
  <c r="AQ181" i="36"/>
  <c r="AQ167" i="36"/>
  <c r="AQ169" i="36"/>
  <c r="AQ173" i="36"/>
  <c r="AQ176" i="36"/>
  <c r="AQ171" i="36"/>
  <c r="AQ175" i="36"/>
  <c r="N215" i="36"/>
  <c r="N106" i="111" s="1"/>
  <c r="N106" i="141" s="1"/>
  <c r="N217" i="36"/>
  <c r="N108" i="111" s="1"/>
  <c r="N108" i="141" s="1"/>
  <c r="F217" i="36"/>
  <c r="F108" i="111" s="1"/>
  <c r="F108" i="141" s="1"/>
  <c r="F212" i="36"/>
  <c r="F103" i="111" s="1"/>
  <c r="F103" i="141" s="1"/>
  <c r="O213" i="36"/>
  <c r="O104" i="111" s="1"/>
  <c r="O104" i="141" s="1"/>
  <c r="O217" i="36"/>
  <c r="O108" i="111" s="1"/>
  <c r="O108" i="141" s="1"/>
  <c r="AN177" i="36"/>
  <c r="AN169" i="36"/>
  <c r="J213" i="36"/>
  <c r="J104" i="111" s="1"/>
  <c r="J104" i="141" s="1"/>
  <c r="J217" i="36"/>
  <c r="J108" i="111" s="1"/>
  <c r="J108" i="141" s="1"/>
  <c r="G215" i="36"/>
  <c r="G106" i="111" s="1"/>
  <c r="G106" i="141" s="1"/>
  <c r="G208" i="36"/>
  <c r="G99" i="111" s="1"/>
  <c r="G99" i="141" s="1"/>
  <c r="D211" i="36"/>
  <c r="D102" i="111" s="1"/>
  <c r="D102" i="141" s="1"/>
  <c r="D221" i="36"/>
  <c r="D112" i="111" s="1"/>
  <c r="D112" i="141" s="1"/>
  <c r="D212" i="36"/>
  <c r="D103" i="111" s="1"/>
  <c r="D103" i="141" s="1"/>
  <c r="D210" i="36"/>
  <c r="D101" i="111" s="1"/>
  <c r="D101" i="141" s="1"/>
  <c r="D218" i="36"/>
  <c r="D109" i="111" s="1"/>
  <c r="D109" i="141" s="1"/>
  <c r="D220" i="36"/>
  <c r="D111" i="111" s="1"/>
  <c r="D111" i="141" s="1"/>
  <c r="D215" i="36"/>
  <c r="D106" i="111" s="1"/>
  <c r="D106" i="141" s="1"/>
  <c r="D209" i="36"/>
  <c r="D100" i="111" s="1"/>
  <c r="D100" i="141" s="1"/>
  <c r="D217" i="36"/>
  <c r="D108" i="111" s="1"/>
  <c r="D108" i="141" s="1"/>
  <c r="D207" i="36"/>
  <c r="D214" i="36"/>
  <c r="D105" i="111" s="1"/>
  <c r="D105" i="141" s="1"/>
  <c r="D208" i="36"/>
  <c r="D99" i="111" s="1"/>
  <c r="D99" i="141" s="1"/>
  <c r="D216" i="36"/>
  <c r="D107" i="111" s="1"/>
  <c r="D107" i="141" s="1"/>
  <c r="D213" i="36"/>
  <c r="D104" i="111" s="1"/>
  <c r="D104" i="141" s="1"/>
  <c r="D219" i="36"/>
  <c r="D110" i="111" s="1"/>
  <c r="D110" i="141" s="1"/>
  <c r="F209" i="36"/>
  <c r="F100" i="111" s="1"/>
  <c r="F100" i="141" s="1"/>
  <c r="AN167" i="36"/>
  <c r="N167" i="36"/>
  <c r="N168" i="36"/>
  <c r="N169" i="36"/>
  <c r="N170" i="36"/>
  <c r="N171" i="36"/>
  <c r="N172" i="36"/>
  <c r="N173" i="36"/>
  <c r="N174" i="36"/>
  <c r="N175" i="36"/>
  <c r="N176" i="36"/>
  <c r="N177" i="36"/>
  <c r="N180" i="36"/>
  <c r="N178" i="36"/>
  <c r="N181" i="36"/>
  <c r="N179" i="36"/>
  <c r="N213" i="36"/>
  <c r="N104" i="111" s="1"/>
  <c r="N104" i="141" s="1"/>
  <c r="N220" i="36"/>
  <c r="N111" i="111" s="1"/>
  <c r="N111" i="141" s="1"/>
  <c r="F218" i="36"/>
  <c r="F109" i="111" s="1"/>
  <c r="F109" i="141" s="1"/>
  <c r="F213" i="36"/>
  <c r="F104" i="111" s="1"/>
  <c r="F104" i="141" s="1"/>
  <c r="O211" i="36"/>
  <c r="O102" i="111" s="1"/>
  <c r="O102" i="141" s="1"/>
  <c r="O212" i="36"/>
  <c r="O103" i="111" s="1"/>
  <c r="O103" i="141" s="1"/>
  <c r="AN172" i="36"/>
  <c r="AN181" i="36"/>
  <c r="J207" i="36"/>
  <c r="G211" i="36"/>
  <c r="G213" i="36"/>
  <c r="G104" i="111" s="1"/>
  <c r="G104" i="141" s="1"/>
  <c r="N209" i="36"/>
  <c r="N100" i="111" s="1"/>
  <c r="N100" i="141" s="1"/>
  <c r="F220" i="36"/>
  <c r="F111" i="111" s="1"/>
  <c r="F111" i="141" s="1"/>
  <c r="AN174" i="36"/>
  <c r="E212" i="36"/>
  <c r="E103" i="111" s="1"/>
  <c r="E103" i="141" s="1"/>
  <c r="E216" i="36"/>
  <c r="E107" i="111" s="1"/>
  <c r="E107" i="141" s="1"/>
  <c r="E220" i="36"/>
  <c r="E111" i="111" s="1"/>
  <c r="E111" i="141" s="1"/>
  <c r="E214" i="36"/>
  <c r="E105" i="111" s="1"/>
  <c r="E105" i="141" s="1"/>
  <c r="E211" i="36"/>
  <c r="E102" i="111" s="1"/>
  <c r="E102" i="141" s="1"/>
  <c r="E221" i="36"/>
  <c r="E112" i="111" s="1"/>
  <c r="E112" i="141" s="1"/>
  <c r="E213" i="36"/>
  <c r="E104" i="111" s="1"/>
  <c r="E104" i="141" s="1"/>
  <c r="E210" i="36"/>
  <c r="E101" i="111" s="1"/>
  <c r="E101" i="141" s="1"/>
  <c r="E218" i="36"/>
  <c r="E109" i="111" s="1"/>
  <c r="E109" i="141" s="1"/>
  <c r="E219" i="36"/>
  <c r="E110" i="111" s="1"/>
  <c r="E110" i="141" s="1"/>
  <c r="E209" i="36"/>
  <c r="E100" i="111" s="1"/>
  <c r="E100" i="141" s="1"/>
  <c r="E217" i="36"/>
  <c r="E108" i="111" s="1"/>
  <c r="E108" i="141" s="1"/>
  <c r="E207" i="36"/>
  <c r="E208" i="36"/>
  <c r="E99" i="111" s="1"/>
  <c r="E99" i="141" s="1"/>
  <c r="E215" i="36"/>
  <c r="E106" i="111" s="1"/>
  <c r="E106" i="141" s="1"/>
  <c r="N219" i="36"/>
  <c r="N110" i="111" s="1"/>
  <c r="N110" i="141" s="1"/>
  <c r="N216" i="36"/>
  <c r="N107" i="111" s="1"/>
  <c r="N107" i="141" s="1"/>
  <c r="F210" i="36"/>
  <c r="F101" i="111" s="1"/>
  <c r="F101" i="141" s="1"/>
  <c r="Q222" i="36"/>
  <c r="Q113" i="111" s="1"/>
  <c r="Q113" i="141" s="1"/>
  <c r="Q98" i="111"/>
  <c r="Q98" i="141" s="1"/>
  <c r="O221" i="36"/>
  <c r="O112" i="111" s="1"/>
  <c r="O112" i="141" s="1"/>
  <c r="O216" i="36"/>
  <c r="O107" i="111" s="1"/>
  <c r="O107" i="141" s="1"/>
  <c r="AN170" i="36"/>
  <c r="AN180" i="36"/>
  <c r="J221" i="36"/>
  <c r="J112" i="111" s="1"/>
  <c r="J112" i="141" s="1"/>
  <c r="G219" i="36"/>
  <c r="G110" i="111" s="1"/>
  <c r="G110" i="141" s="1"/>
  <c r="G221" i="36"/>
  <c r="G112" i="111" s="1"/>
  <c r="G112" i="141" s="1"/>
  <c r="P214" i="36"/>
  <c r="P105" i="111" s="1"/>
  <c r="P105" i="141" s="1"/>
  <c r="P211" i="36"/>
  <c r="P102" i="111" s="1"/>
  <c r="P102" i="141" s="1"/>
  <c r="P219" i="36"/>
  <c r="P110" i="111" s="1"/>
  <c r="P110" i="141" s="1"/>
  <c r="P207" i="36"/>
  <c r="P215" i="36"/>
  <c r="P106" i="111" s="1"/>
  <c r="P106" i="141" s="1"/>
  <c r="P212" i="36"/>
  <c r="P103" i="111" s="1"/>
  <c r="P103" i="141" s="1"/>
  <c r="P221" i="36"/>
  <c r="P112" i="111" s="1"/>
  <c r="P112" i="141" s="1"/>
  <c r="P208" i="36"/>
  <c r="P99" i="111" s="1"/>
  <c r="P99" i="141" s="1"/>
  <c r="P216" i="36"/>
  <c r="P107" i="111" s="1"/>
  <c r="P107" i="141" s="1"/>
  <c r="P209" i="36"/>
  <c r="P100" i="111" s="1"/>
  <c r="P100" i="141" s="1"/>
  <c r="P217" i="36"/>
  <c r="P108" i="111" s="1"/>
  <c r="P108" i="141" s="1"/>
  <c r="P213" i="36"/>
  <c r="P104" i="111" s="1"/>
  <c r="P104" i="141" s="1"/>
  <c r="P210" i="36"/>
  <c r="P101" i="111" s="1"/>
  <c r="P101" i="141" s="1"/>
  <c r="P218" i="36"/>
  <c r="P109" i="111" s="1"/>
  <c r="P109" i="141" s="1"/>
  <c r="P220" i="36"/>
  <c r="P111" i="111" s="1"/>
  <c r="P111" i="141" s="1"/>
  <c r="N214" i="36"/>
  <c r="N105" i="111" s="1"/>
  <c r="N105" i="141" s="1"/>
  <c r="K222" i="36"/>
  <c r="K113" i="111" s="1"/>
  <c r="K113" i="141" s="1"/>
  <c r="K101" i="111"/>
  <c r="K101" i="141" s="1"/>
  <c r="AM222" i="36"/>
  <c r="N211" i="36"/>
  <c r="N102" i="111" s="1"/>
  <c r="N102" i="141" s="1"/>
  <c r="N208" i="36"/>
  <c r="N99" i="111" s="1"/>
  <c r="N99" i="141" s="1"/>
  <c r="F214" i="36"/>
  <c r="F105" i="111" s="1"/>
  <c r="F105" i="141" s="1"/>
  <c r="F211" i="36"/>
  <c r="F102" i="111" s="1"/>
  <c r="F102" i="141" s="1"/>
  <c r="O218" i="36"/>
  <c r="O109" i="111" s="1"/>
  <c r="O109" i="141" s="1"/>
  <c r="O208" i="36"/>
  <c r="O99" i="111" s="1"/>
  <c r="O99" i="141" s="1"/>
  <c r="AN176" i="36"/>
  <c r="AN179" i="36"/>
  <c r="J211" i="36"/>
  <c r="J102" i="111" s="1"/>
  <c r="J102" i="141" s="1"/>
  <c r="J220" i="36"/>
  <c r="J111" i="111" s="1"/>
  <c r="J111" i="141" s="1"/>
  <c r="H98" i="111"/>
  <c r="H98" i="141" s="1"/>
  <c r="H222" i="36"/>
  <c r="H113" i="111" s="1"/>
  <c r="H113" i="141" s="1"/>
  <c r="G216" i="36"/>
  <c r="G107" i="111" s="1"/>
  <c r="G107" i="141" s="1"/>
  <c r="G217" i="36"/>
  <c r="G108" i="111" s="1"/>
  <c r="G108" i="141" s="1"/>
  <c r="F167" i="36"/>
  <c r="F168" i="36"/>
  <c r="F169" i="36"/>
  <c r="F170" i="36"/>
  <c r="F171" i="36"/>
  <c r="F172" i="36"/>
  <c r="F173" i="36"/>
  <c r="F174" i="36"/>
  <c r="F175" i="36"/>
  <c r="F176" i="36"/>
  <c r="F177" i="36"/>
  <c r="F180" i="36"/>
  <c r="F181" i="36"/>
  <c r="F178" i="36"/>
  <c r="F179" i="36"/>
  <c r="L167" i="36"/>
  <c r="L175" i="36"/>
  <c r="L169" i="36"/>
  <c r="L171" i="36"/>
  <c r="L172" i="36"/>
  <c r="L173" i="36"/>
  <c r="L178" i="36"/>
  <c r="N207" i="36"/>
  <c r="F221" i="36"/>
  <c r="F112" i="111" s="1"/>
  <c r="F112" i="141" s="1"/>
  <c r="F215" i="36"/>
  <c r="F106" i="111" s="1"/>
  <c r="F106" i="141" s="1"/>
  <c r="O210" i="36"/>
  <c r="O101" i="111" s="1"/>
  <c r="O101" i="141" s="1"/>
  <c r="O215" i="36"/>
  <c r="O106" i="111" s="1"/>
  <c r="O106" i="141" s="1"/>
  <c r="AN175" i="36"/>
  <c r="J212" i="36"/>
  <c r="J103" i="111" s="1"/>
  <c r="J103" i="141" s="1"/>
  <c r="J219" i="36"/>
  <c r="J110" i="111" s="1"/>
  <c r="J110" i="141" s="1"/>
  <c r="G209" i="36"/>
  <c r="G100" i="111" s="1"/>
  <c r="G100" i="141" s="1"/>
  <c r="G210" i="36"/>
  <c r="G101" i="111" s="1"/>
  <c r="G101" i="141" s="1"/>
  <c r="AJ222" i="36"/>
  <c r="N221" i="36"/>
  <c r="N112" i="111" s="1"/>
  <c r="N112" i="141" s="1"/>
  <c r="F208" i="36"/>
  <c r="F99" i="111" s="1"/>
  <c r="F99" i="141" s="1"/>
  <c r="O214" i="36"/>
  <c r="O105" i="111" s="1"/>
  <c r="O105" i="141" s="1"/>
  <c r="AN168" i="36"/>
  <c r="J214" i="36"/>
  <c r="J105" i="111" s="1"/>
  <c r="J105" i="141" s="1"/>
  <c r="G212" i="36"/>
  <c r="G103" i="111" s="1"/>
  <c r="G103" i="141" s="1"/>
  <c r="G161" i="36"/>
  <c r="AG170" i="36" s="1"/>
  <c r="I133" i="36"/>
  <c r="T200" i="36"/>
  <c r="T94" i="111" s="1"/>
  <c r="T94" i="141" s="1"/>
  <c r="T79" i="111"/>
  <c r="T79" i="141" s="1"/>
  <c r="U79" i="111"/>
  <c r="U79" i="141" s="1"/>
  <c r="U200" i="36"/>
  <c r="U94" i="111" s="1"/>
  <c r="U94" i="141" s="1"/>
  <c r="Z79" i="111"/>
  <c r="Z79" i="141" s="1"/>
  <c r="Z200" i="36"/>
  <c r="Z94" i="111" s="1"/>
  <c r="Z94" i="141" s="1"/>
  <c r="V79" i="111"/>
  <c r="V79" i="141" s="1"/>
  <c r="V200" i="36"/>
  <c r="V94" i="111" s="1"/>
  <c r="V94" i="141" s="1"/>
  <c r="W79" i="111"/>
  <c r="W79" i="141" s="1"/>
  <c r="W200" i="36"/>
  <c r="W94" i="111" s="1"/>
  <c r="W94" i="141" s="1"/>
  <c r="Y79" i="111"/>
  <c r="Y79" i="141" s="1"/>
  <c r="Y200" i="36"/>
  <c r="Y94" i="111" s="1"/>
  <c r="Y94" i="141" s="1"/>
  <c r="AB200" i="36"/>
  <c r="AB94" i="111" s="1"/>
  <c r="AB94" i="141" s="1"/>
  <c r="AB79" i="111"/>
  <c r="AB79" i="141" s="1"/>
  <c r="S79" i="111"/>
  <c r="S79" i="141" s="1"/>
  <c r="S200" i="36"/>
  <c r="S94" i="111" s="1"/>
  <c r="S94" i="141" s="1"/>
  <c r="AA200" i="36"/>
  <c r="AA94" i="111" s="1"/>
  <c r="AA94" i="141" s="1"/>
  <c r="AA79" i="111"/>
  <c r="AA79" i="141" s="1"/>
  <c r="X79" i="111"/>
  <c r="X79" i="141" s="1"/>
  <c r="X200" i="36"/>
  <c r="X94" i="111" s="1"/>
  <c r="X94" i="141" s="1"/>
  <c r="R79" i="111"/>
  <c r="R79" i="141" s="1"/>
  <c r="R200" i="36"/>
  <c r="R94" i="111" s="1"/>
  <c r="R94" i="141" s="1"/>
  <c r="E37" i="142"/>
  <c r="J15" i="110"/>
  <c r="J49" i="110" s="1"/>
  <c r="L161" i="36"/>
  <c r="M161" i="36"/>
  <c r="AM171" i="36" s="1"/>
  <c r="O212" i="110"/>
  <c r="E212" i="110"/>
  <c r="O216" i="110"/>
  <c r="E216" i="110"/>
  <c r="J216" i="110"/>
  <c r="I216" i="110"/>
  <c r="Q133" i="36"/>
  <c r="P161" i="36"/>
  <c r="F161" i="36"/>
  <c r="D15" i="110"/>
  <c r="D49" i="110" s="1"/>
  <c r="AH34" i="35"/>
  <c r="AH31" i="35"/>
  <c r="AH39" i="35"/>
  <c r="AH28" i="35"/>
  <c r="AH27" i="35"/>
  <c r="AH32" i="35"/>
  <c r="AH30" i="35"/>
  <c r="AH38" i="35"/>
  <c r="AH41" i="35"/>
  <c r="AH26" i="35"/>
  <c r="AH33" i="35"/>
  <c r="AH40" i="35"/>
  <c r="AH35" i="35"/>
  <c r="AH36" i="35"/>
  <c r="AH37" i="35"/>
  <c r="O161" i="36"/>
  <c r="K25" i="36"/>
  <c r="K133" i="36" s="1"/>
  <c r="K15" i="110"/>
  <c r="K49" i="110" s="1"/>
  <c r="H161" i="36"/>
  <c r="E15" i="110"/>
  <c r="E49" i="110" s="1"/>
  <c r="E25" i="36"/>
  <c r="E133" i="36" s="1"/>
  <c r="J25" i="36"/>
  <c r="J133" i="36" s="1"/>
  <c r="D25" i="36"/>
  <c r="D161" i="36" s="1"/>
  <c r="J212" i="110"/>
  <c r="AL27" i="35"/>
  <c r="M42" i="112" s="1"/>
  <c r="M42" i="142" s="1"/>
  <c r="AL31" i="35"/>
  <c r="M46" i="112" s="1"/>
  <c r="M46" i="142" s="1"/>
  <c r="AL35" i="35"/>
  <c r="M50" i="112" s="1"/>
  <c r="M50" i="142" s="1"/>
  <c r="AL39" i="35"/>
  <c r="M54" i="112" s="1"/>
  <c r="M54" i="142" s="1"/>
  <c r="AL28" i="35"/>
  <c r="M43" i="112" s="1"/>
  <c r="M43" i="142" s="1"/>
  <c r="AL32" i="35"/>
  <c r="M47" i="112" s="1"/>
  <c r="M47" i="142" s="1"/>
  <c r="AL36" i="35"/>
  <c r="M51" i="112" s="1"/>
  <c r="M51" i="142" s="1"/>
  <c r="AL40" i="35"/>
  <c r="M55" i="112" s="1"/>
  <c r="M55" i="142" s="1"/>
  <c r="AL29" i="35"/>
  <c r="M44" i="112" s="1"/>
  <c r="M44" i="142" s="1"/>
  <c r="AL33" i="35"/>
  <c r="M48" i="112" s="1"/>
  <c r="M48" i="142" s="1"/>
  <c r="AL37" i="35"/>
  <c r="M52" i="112" s="1"/>
  <c r="M52" i="142" s="1"/>
  <c r="AL41" i="35"/>
  <c r="AL26" i="35"/>
  <c r="M41" i="112" s="1"/>
  <c r="M41" i="142" s="1"/>
  <c r="AL38" i="35"/>
  <c r="M53" i="112" s="1"/>
  <c r="M53" i="142" s="1"/>
  <c r="AL30" i="35"/>
  <c r="M45" i="112" s="1"/>
  <c r="M45" i="142" s="1"/>
  <c r="AL34" i="35"/>
  <c r="M49" i="112" s="1"/>
  <c r="M49" i="142" s="1"/>
  <c r="AK29" i="35"/>
  <c r="L44" i="112" s="1"/>
  <c r="L44" i="142" s="1"/>
  <c r="AK33" i="35"/>
  <c r="L48" i="112" s="1"/>
  <c r="L48" i="142" s="1"/>
  <c r="AK31" i="35"/>
  <c r="L46" i="112" s="1"/>
  <c r="L46" i="142" s="1"/>
  <c r="AK39" i="35"/>
  <c r="L54" i="112" s="1"/>
  <c r="L54" i="142" s="1"/>
  <c r="AK28" i="35"/>
  <c r="L43" i="112" s="1"/>
  <c r="L43" i="142" s="1"/>
  <c r="AK32" i="35"/>
  <c r="L47" i="112" s="1"/>
  <c r="L47" i="142" s="1"/>
  <c r="AK36" i="35"/>
  <c r="L51" i="112" s="1"/>
  <c r="L51" i="142" s="1"/>
  <c r="AK40" i="35"/>
  <c r="L55" i="112" s="1"/>
  <c r="L55" i="142" s="1"/>
  <c r="AK37" i="35"/>
  <c r="L52" i="112" s="1"/>
  <c r="L52" i="142" s="1"/>
  <c r="AK41" i="35"/>
  <c r="AK26" i="35"/>
  <c r="AK30" i="35"/>
  <c r="L45" i="112" s="1"/>
  <c r="L45" i="142" s="1"/>
  <c r="AK34" i="35"/>
  <c r="L49" i="112" s="1"/>
  <c r="L49" i="142" s="1"/>
  <c r="AK38" i="35"/>
  <c r="L53" i="112" s="1"/>
  <c r="L53" i="142" s="1"/>
  <c r="AK27" i="35"/>
  <c r="L42" i="112" s="1"/>
  <c r="L42" i="142" s="1"/>
  <c r="AK35" i="35"/>
  <c r="L50" i="112" s="1"/>
  <c r="L50" i="142" s="1"/>
  <c r="AJ28" i="35"/>
  <c r="K43" i="112" s="1"/>
  <c r="K43" i="142" s="1"/>
  <c r="AJ32" i="35"/>
  <c r="K47" i="112" s="1"/>
  <c r="K47" i="142" s="1"/>
  <c r="AJ36" i="35"/>
  <c r="K51" i="112" s="1"/>
  <c r="K51" i="142" s="1"/>
  <c r="AJ40" i="35"/>
  <c r="K55" i="112" s="1"/>
  <c r="K55" i="142" s="1"/>
  <c r="AJ29" i="35"/>
  <c r="K44" i="112" s="1"/>
  <c r="K44" i="142" s="1"/>
  <c r="AJ33" i="35"/>
  <c r="K48" i="112" s="1"/>
  <c r="K48" i="142" s="1"/>
  <c r="AJ37" i="35"/>
  <c r="K52" i="112" s="1"/>
  <c r="K52" i="142" s="1"/>
  <c r="AJ41" i="35"/>
  <c r="AJ26" i="35"/>
  <c r="AJ30" i="35"/>
  <c r="K45" i="112" s="1"/>
  <c r="K45" i="142" s="1"/>
  <c r="AJ34" i="35"/>
  <c r="K49" i="112" s="1"/>
  <c r="K49" i="142" s="1"/>
  <c r="AJ38" i="35"/>
  <c r="K53" i="112" s="1"/>
  <c r="K53" i="142" s="1"/>
  <c r="AJ27" i="35"/>
  <c r="K42" i="112" s="1"/>
  <c r="K42" i="142" s="1"/>
  <c r="AJ39" i="35"/>
  <c r="K54" i="112" s="1"/>
  <c r="K54" i="142" s="1"/>
  <c r="AJ31" i="35"/>
  <c r="K46" i="112" s="1"/>
  <c r="K46" i="142" s="1"/>
  <c r="AJ35" i="35"/>
  <c r="K50" i="112" s="1"/>
  <c r="K50" i="142" s="1"/>
  <c r="AG27" i="35"/>
  <c r="H42" i="112" s="1"/>
  <c r="H42" i="142" s="1"/>
  <c r="AG35" i="35"/>
  <c r="H50" i="112" s="1"/>
  <c r="H50" i="142" s="1"/>
  <c r="AG36" i="35"/>
  <c r="H51" i="112" s="1"/>
  <c r="H51" i="142" s="1"/>
  <c r="AG30" i="35"/>
  <c r="H45" i="112" s="1"/>
  <c r="H45" i="142" s="1"/>
  <c r="AG38" i="35"/>
  <c r="H53" i="112" s="1"/>
  <c r="H53" i="142" s="1"/>
  <c r="AG33" i="35"/>
  <c r="H48" i="112" s="1"/>
  <c r="H48" i="142" s="1"/>
  <c r="AG41" i="35"/>
  <c r="AG28" i="35"/>
  <c r="H43" i="112" s="1"/>
  <c r="H43" i="142" s="1"/>
  <c r="AG31" i="35"/>
  <c r="H46" i="112" s="1"/>
  <c r="H46" i="142" s="1"/>
  <c r="AG39" i="35"/>
  <c r="H54" i="112" s="1"/>
  <c r="H54" i="142" s="1"/>
  <c r="AG29" i="35"/>
  <c r="H44" i="112" s="1"/>
  <c r="H44" i="142" s="1"/>
  <c r="AG40" i="35"/>
  <c r="H55" i="112" s="1"/>
  <c r="H55" i="142" s="1"/>
  <c r="AG34" i="35"/>
  <c r="H49" i="112" s="1"/>
  <c r="H49" i="142" s="1"/>
  <c r="AG37" i="35"/>
  <c r="H52" i="112" s="1"/>
  <c r="H52" i="142" s="1"/>
  <c r="AG32" i="35"/>
  <c r="H47" i="112" s="1"/>
  <c r="H47" i="142" s="1"/>
  <c r="AO27" i="35"/>
  <c r="P42" i="112" s="1"/>
  <c r="P42" i="142" s="1"/>
  <c r="AO35" i="35"/>
  <c r="P50" i="112" s="1"/>
  <c r="P50" i="142" s="1"/>
  <c r="AO29" i="35"/>
  <c r="P44" i="112" s="1"/>
  <c r="P44" i="142" s="1"/>
  <c r="AO37" i="35"/>
  <c r="P52" i="112" s="1"/>
  <c r="P52" i="142" s="1"/>
  <c r="AO41" i="35"/>
  <c r="AO26" i="35"/>
  <c r="P41" i="112" s="1"/>
  <c r="P41" i="142" s="1"/>
  <c r="AO30" i="35"/>
  <c r="P45" i="112" s="1"/>
  <c r="P45" i="142" s="1"/>
  <c r="AO34" i="35"/>
  <c r="P49" i="112" s="1"/>
  <c r="P49" i="142" s="1"/>
  <c r="AO38" i="35"/>
  <c r="P53" i="112" s="1"/>
  <c r="P53" i="142" s="1"/>
  <c r="AO31" i="35"/>
  <c r="P46" i="112" s="1"/>
  <c r="P46" i="142" s="1"/>
  <c r="AO39" i="35"/>
  <c r="P54" i="112" s="1"/>
  <c r="P54" i="142" s="1"/>
  <c r="AO28" i="35"/>
  <c r="P43" i="112" s="1"/>
  <c r="P43" i="142" s="1"/>
  <c r="AO32" i="35"/>
  <c r="P47" i="112" s="1"/>
  <c r="P47" i="142" s="1"/>
  <c r="AO36" i="35"/>
  <c r="P51" i="112" s="1"/>
  <c r="P51" i="142" s="1"/>
  <c r="AO40" i="35"/>
  <c r="P55" i="112" s="1"/>
  <c r="P55" i="142" s="1"/>
  <c r="AO33" i="35"/>
  <c r="P48" i="112" s="1"/>
  <c r="P48" i="142" s="1"/>
  <c r="AE33" i="35"/>
  <c r="F48" i="112" s="1"/>
  <c r="F48" i="142" s="1"/>
  <c r="AE41" i="35"/>
  <c r="AE26" i="35"/>
  <c r="AE28" i="35"/>
  <c r="F43" i="112" s="1"/>
  <c r="F43" i="142" s="1"/>
  <c r="AE36" i="35"/>
  <c r="F51" i="112" s="1"/>
  <c r="F51" i="142" s="1"/>
  <c r="AE31" i="35"/>
  <c r="F46" i="112" s="1"/>
  <c r="F46" i="142" s="1"/>
  <c r="AE39" i="35"/>
  <c r="F54" i="112" s="1"/>
  <c r="F54" i="142" s="1"/>
  <c r="AE34" i="35"/>
  <c r="F49" i="112" s="1"/>
  <c r="F49" i="142" s="1"/>
  <c r="AE38" i="35"/>
  <c r="F53" i="112" s="1"/>
  <c r="F53" i="142" s="1"/>
  <c r="AE29" i="35"/>
  <c r="F44" i="112" s="1"/>
  <c r="F44" i="142" s="1"/>
  <c r="AE37" i="35"/>
  <c r="F52" i="112" s="1"/>
  <c r="F52" i="142" s="1"/>
  <c r="AE35" i="35"/>
  <c r="F50" i="112" s="1"/>
  <c r="F50" i="142" s="1"/>
  <c r="AE30" i="35"/>
  <c r="F45" i="112" s="1"/>
  <c r="F45" i="142" s="1"/>
  <c r="AE32" i="35"/>
  <c r="F47" i="112" s="1"/>
  <c r="F47" i="142" s="1"/>
  <c r="AE40" i="35"/>
  <c r="F55" i="112" s="1"/>
  <c r="F55" i="142" s="1"/>
  <c r="AE27" i="35"/>
  <c r="F42" i="112" s="1"/>
  <c r="F42" i="142" s="1"/>
  <c r="AI30" i="35"/>
  <c r="J45" i="112" s="1"/>
  <c r="J45" i="142" s="1"/>
  <c r="AI34" i="35"/>
  <c r="J49" i="112" s="1"/>
  <c r="J49" i="142" s="1"/>
  <c r="AI38" i="35"/>
  <c r="J53" i="112" s="1"/>
  <c r="J53" i="142" s="1"/>
  <c r="AI28" i="35"/>
  <c r="J43" i="112" s="1"/>
  <c r="J43" i="142" s="1"/>
  <c r="AI29" i="35"/>
  <c r="J44" i="112" s="1"/>
  <c r="J44" i="142" s="1"/>
  <c r="AI33" i="35"/>
  <c r="J48" i="112" s="1"/>
  <c r="J48" i="142" s="1"/>
  <c r="AI37" i="35"/>
  <c r="J52" i="112" s="1"/>
  <c r="J52" i="142" s="1"/>
  <c r="AI41" i="35"/>
  <c r="AI26" i="35"/>
  <c r="AI36" i="35"/>
  <c r="J51" i="112" s="1"/>
  <c r="J51" i="142" s="1"/>
  <c r="AI27" i="35"/>
  <c r="J42" i="112" s="1"/>
  <c r="J42" i="142" s="1"/>
  <c r="AI31" i="35"/>
  <c r="J46" i="112" s="1"/>
  <c r="J46" i="142" s="1"/>
  <c r="AI35" i="35"/>
  <c r="J50" i="112" s="1"/>
  <c r="J50" i="142" s="1"/>
  <c r="AI39" i="35"/>
  <c r="J54" i="112" s="1"/>
  <c r="J54" i="142" s="1"/>
  <c r="AI32" i="35"/>
  <c r="J47" i="112" s="1"/>
  <c r="J47" i="142" s="1"/>
  <c r="AI40" i="35"/>
  <c r="J55" i="112" s="1"/>
  <c r="J55" i="142" s="1"/>
  <c r="AN26" i="35"/>
  <c r="O41" i="112" s="1"/>
  <c r="O41" i="142" s="1"/>
  <c r="AN30" i="35"/>
  <c r="O45" i="112" s="1"/>
  <c r="O45" i="142" s="1"/>
  <c r="AN34" i="35"/>
  <c r="O49" i="112" s="1"/>
  <c r="O49" i="142" s="1"/>
  <c r="AN38" i="35"/>
  <c r="O53" i="112" s="1"/>
  <c r="O53" i="142" s="1"/>
  <c r="AN27" i="35"/>
  <c r="O42" i="112" s="1"/>
  <c r="O42" i="142" s="1"/>
  <c r="AN31" i="35"/>
  <c r="O46" i="112" s="1"/>
  <c r="O46" i="142" s="1"/>
  <c r="AN35" i="35"/>
  <c r="O50" i="112" s="1"/>
  <c r="O50" i="142" s="1"/>
  <c r="AN39" i="35"/>
  <c r="O54" i="112" s="1"/>
  <c r="O54" i="142" s="1"/>
  <c r="AN28" i="35"/>
  <c r="O43" i="112" s="1"/>
  <c r="O43" i="142" s="1"/>
  <c r="AN32" i="35"/>
  <c r="O47" i="112" s="1"/>
  <c r="O47" i="142" s="1"/>
  <c r="AN36" i="35"/>
  <c r="O51" i="112" s="1"/>
  <c r="O51" i="142" s="1"/>
  <c r="AN40" i="35"/>
  <c r="O55" i="112" s="1"/>
  <c r="O55" i="142" s="1"/>
  <c r="AN37" i="35"/>
  <c r="O52" i="112" s="1"/>
  <c r="O52" i="142" s="1"/>
  <c r="AN29" i="35"/>
  <c r="O44" i="112" s="1"/>
  <c r="O44" i="142" s="1"/>
  <c r="AN33" i="35"/>
  <c r="O48" i="112" s="1"/>
  <c r="O48" i="142" s="1"/>
  <c r="AN41" i="35"/>
  <c r="AF30" i="35"/>
  <c r="G45" i="112" s="1"/>
  <c r="G45" i="142" s="1"/>
  <c r="AF38" i="35"/>
  <c r="G53" i="112" s="1"/>
  <c r="G53" i="142" s="1"/>
  <c r="AF31" i="35"/>
  <c r="G46" i="112" s="1"/>
  <c r="G46" i="142" s="1"/>
  <c r="AF35" i="35"/>
  <c r="G50" i="112" s="1"/>
  <c r="G50" i="142" s="1"/>
  <c r="AF33" i="35"/>
  <c r="G48" i="112" s="1"/>
  <c r="G48" i="142" s="1"/>
  <c r="AF41" i="35"/>
  <c r="AF28" i="35"/>
  <c r="G43" i="112" s="1"/>
  <c r="G43" i="142" s="1"/>
  <c r="AF36" i="35"/>
  <c r="G51" i="112" s="1"/>
  <c r="G51" i="142" s="1"/>
  <c r="AF39" i="35"/>
  <c r="G54" i="112" s="1"/>
  <c r="G54" i="142" s="1"/>
  <c r="AF27" i="35"/>
  <c r="G42" i="112" s="1"/>
  <c r="G42" i="142" s="1"/>
  <c r="AF26" i="35"/>
  <c r="AF34" i="35"/>
  <c r="G49" i="112" s="1"/>
  <c r="G49" i="142" s="1"/>
  <c r="AF40" i="35"/>
  <c r="G55" i="112" s="1"/>
  <c r="G55" i="142" s="1"/>
  <c r="AF29" i="35"/>
  <c r="G44" i="112" s="1"/>
  <c r="G44" i="142" s="1"/>
  <c r="AF37" i="35"/>
  <c r="G52" i="112" s="1"/>
  <c r="G52" i="142" s="1"/>
  <c r="AF32" i="35"/>
  <c r="G47" i="112" s="1"/>
  <c r="G47" i="142" s="1"/>
  <c r="AP29" i="35"/>
  <c r="Q44" i="112" s="1"/>
  <c r="Q44" i="142" s="1"/>
  <c r="AP33" i="35"/>
  <c r="Q48" i="112" s="1"/>
  <c r="Q48" i="142" s="1"/>
  <c r="AP37" i="35"/>
  <c r="Q52" i="112" s="1"/>
  <c r="Q52" i="142" s="1"/>
  <c r="AP41" i="35"/>
  <c r="AP26" i="35"/>
  <c r="Q41" i="112" s="1"/>
  <c r="Q41" i="142" s="1"/>
  <c r="AP30" i="35"/>
  <c r="Q45" i="112" s="1"/>
  <c r="Q45" i="142" s="1"/>
  <c r="AP34" i="35"/>
  <c r="Q49" i="112" s="1"/>
  <c r="Q49" i="142" s="1"/>
  <c r="AP38" i="35"/>
  <c r="Q53" i="112" s="1"/>
  <c r="Q53" i="142" s="1"/>
  <c r="AP27" i="35"/>
  <c r="Q42" i="112" s="1"/>
  <c r="Q42" i="142" s="1"/>
  <c r="AP31" i="35"/>
  <c r="Q46" i="112" s="1"/>
  <c r="Q46" i="142" s="1"/>
  <c r="AP35" i="35"/>
  <c r="Q50" i="112" s="1"/>
  <c r="Q50" i="142" s="1"/>
  <c r="AP39" i="35"/>
  <c r="Q54" i="112" s="1"/>
  <c r="Q54" i="142" s="1"/>
  <c r="AP36" i="35"/>
  <c r="Q51" i="112" s="1"/>
  <c r="Q51" i="142" s="1"/>
  <c r="AP28" i="35"/>
  <c r="Q43" i="112" s="1"/>
  <c r="Q43" i="142" s="1"/>
  <c r="AP32" i="35"/>
  <c r="Q47" i="112" s="1"/>
  <c r="Q47" i="142" s="1"/>
  <c r="AP40" i="35"/>
  <c r="Q55" i="112" s="1"/>
  <c r="Q55" i="142" s="1"/>
  <c r="AM28" i="35"/>
  <c r="N43" i="112" s="1"/>
  <c r="N43" i="142" s="1"/>
  <c r="AM32" i="35"/>
  <c r="N47" i="112" s="1"/>
  <c r="N47" i="142" s="1"/>
  <c r="AM34" i="35"/>
  <c r="N49" i="112" s="1"/>
  <c r="N49" i="142" s="1"/>
  <c r="AM27" i="35"/>
  <c r="N42" i="112" s="1"/>
  <c r="N42" i="142" s="1"/>
  <c r="AM31" i="35"/>
  <c r="N46" i="112" s="1"/>
  <c r="N46" i="142" s="1"/>
  <c r="AM35" i="35"/>
  <c r="N50" i="112" s="1"/>
  <c r="N50" i="142" s="1"/>
  <c r="AM39" i="35"/>
  <c r="N54" i="112" s="1"/>
  <c r="N54" i="142" s="1"/>
  <c r="AM36" i="35"/>
  <c r="N51" i="112" s="1"/>
  <c r="N51" i="142" s="1"/>
  <c r="AM40" i="35"/>
  <c r="N55" i="112" s="1"/>
  <c r="N55" i="142" s="1"/>
  <c r="AM26" i="35"/>
  <c r="N41" i="112" s="1"/>
  <c r="N41" i="142" s="1"/>
  <c r="AM30" i="35"/>
  <c r="N45" i="112" s="1"/>
  <c r="N45" i="142" s="1"/>
  <c r="AM29" i="35"/>
  <c r="N44" i="112" s="1"/>
  <c r="N44" i="142" s="1"/>
  <c r="AM33" i="35"/>
  <c r="N48" i="112" s="1"/>
  <c r="N48" i="142" s="1"/>
  <c r="AM37" i="35"/>
  <c r="N52" i="112" s="1"/>
  <c r="N52" i="142" s="1"/>
  <c r="AM41" i="35"/>
  <c r="AM38" i="35"/>
  <c r="N53" i="112" s="1"/>
  <c r="N53" i="142" s="1"/>
  <c r="D11" i="110"/>
  <c r="D45" i="110" s="1"/>
  <c r="D157" i="36"/>
  <c r="D129" i="36"/>
  <c r="D142" i="36"/>
  <c r="D114" i="36"/>
  <c r="D147" i="36"/>
  <c r="D119" i="36"/>
  <c r="J152" i="36"/>
  <c r="J124" i="36"/>
  <c r="J157" i="36"/>
  <c r="J129" i="36"/>
  <c r="J147" i="36"/>
  <c r="J119" i="36"/>
  <c r="K152" i="36"/>
  <c r="K124" i="36"/>
  <c r="K157" i="36"/>
  <c r="K129" i="36"/>
  <c r="K147" i="36"/>
  <c r="K119" i="36"/>
  <c r="E152" i="36"/>
  <c r="E124" i="36"/>
  <c r="E157" i="36"/>
  <c r="E129" i="36"/>
  <c r="E142" i="36"/>
  <c r="E114" i="36"/>
  <c r="E147" i="36"/>
  <c r="E119" i="36"/>
  <c r="R60" i="111"/>
  <c r="R60" i="141" s="1"/>
  <c r="R182" i="36"/>
  <c r="S60" i="111"/>
  <c r="S60" i="141" s="1"/>
  <c r="S182" i="36"/>
  <c r="T60" i="111"/>
  <c r="T60" i="141" s="1"/>
  <c r="T182" i="36"/>
  <c r="U60" i="111"/>
  <c r="U60" i="141" s="1"/>
  <c r="U182" i="36"/>
  <c r="V60" i="111"/>
  <c r="V60" i="141" s="1"/>
  <c r="V182" i="36"/>
  <c r="W60" i="111"/>
  <c r="W60" i="141" s="1"/>
  <c r="W182" i="36"/>
  <c r="X60" i="111"/>
  <c r="X60" i="141" s="1"/>
  <c r="X182" i="36"/>
  <c r="Y60" i="111"/>
  <c r="Y60" i="141" s="1"/>
  <c r="Y182" i="36"/>
  <c r="Z60" i="111"/>
  <c r="Z60" i="141" s="1"/>
  <c r="Z182" i="36"/>
  <c r="AA60" i="111"/>
  <c r="AA60" i="141" s="1"/>
  <c r="AA182" i="36"/>
  <c r="AB60" i="111"/>
  <c r="AB60" i="141" s="1"/>
  <c r="AB182" i="36"/>
  <c r="AB163" i="36"/>
  <c r="AA163" i="36"/>
  <c r="Z163" i="36"/>
  <c r="Y163" i="36"/>
  <c r="X163" i="36"/>
  <c r="W163" i="36"/>
  <c r="V163" i="36"/>
  <c r="U163" i="36"/>
  <c r="T163" i="36"/>
  <c r="S163" i="36"/>
  <c r="R163" i="36"/>
  <c r="AN205" i="110"/>
  <c r="AN201" i="110"/>
  <c r="AN158" i="110"/>
  <c r="AN154" i="110"/>
  <c r="AI149" i="110"/>
  <c r="AI145" i="110"/>
  <c r="AM149" i="110"/>
  <c r="AM145" i="110"/>
  <c r="AJ149" i="110"/>
  <c r="AJ145" i="110"/>
  <c r="AK149" i="110"/>
  <c r="AK145" i="110"/>
  <c r="AQ149" i="110"/>
  <c r="AQ145" i="110"/>
  <c r="AP149" i="110"/>
  <c r="AP145" i="110"/>
  <c r="AJ158" i="110"/>
  <c r="AJ154" i="110"/>
  <c r="D118" i="34"/>
  <c r="AI38" i="110" s="1"/>
  <c r="AI91" i="110" s="1"/>
  <c r="AP158" i="110"/>
  <c r="AP154" i="110"/>
  <c r="AM158" i="110"/>
  <c r="AM154" i="110"/>
  <c r="AI158" i="110"/>
  <c r="AI154" i="110"/>
  <c r="AO199" i="110"/>
  <c r="AO205" i="110"/>
  <c r="AO201" i="110"/>
  <c r="AK156" i="110"/>
  <c r="AK158" i="110"/>
  <c r="AK154" i="110"/>
  <c r="AO153" i="110"/>
  <c r="AO158" i="110"/>
  <c r="AO154" i="110"/>
  <c r="AN149" i="110"/>
  <c r="AN145" i="110"/>
  <c r="AS205" i="110"/>
  <c r="AS201" i="110"/>
  <c r="AS158" i="110"/>
  <c r="AS154" i="110"/>
  <c r="AV158" i="110"/>
  <c r="AV154" i="110"/>
  <c r="AV205" i="110"/>
  <c r="AV201" i="110"/>
  <c r="AU205" i="110"/>
  <c r="AU201" i="110"/>
  <c r="AU158" i="110"/>
  <c r="AU154" i="110"/>
  <c r="AT205" i="110"/>
  <c r="AT201" i="110"/>
  <c r="AT158" i="110"/>
  <c r="AT154" i="110"/>
  <c r="R144" i="112"/>
  <c r="S144" i="112"/>
  <c r="AB144" i="112"/>
  <c r="V144" i="112"/>
  <c r="U144" i="112"/>
  <c r="U144" i="142" s="1"/>
  <c r="AA144" i="112"/>
  <c r="T144" i="112"/>
  <c r="Z144" i="112"/>
  <c r="X144" i="112"/>
  <c r="Y144" i="112"/>
  <c r="W144" i="112"/>
  <c r="AB151" i="111"/>
  <c r="AB151" i="141" s="1"/>
  <c r="AP187" i="110"/>
  <c r="AP183" i="110"/>
  <c r="AP140" i="110"/>
  <c r="AP136" i="110"/>
  <c r="AI131" i="110"/>
  <c r="AI127" i="110"/>
  <c r="AI178" i="110"/>
  <c r="AI174" i="110"/>
  <c r="W151" i="111"/>
  <c r="W151" i="141" s="1"/>
  <c r="K212" i="110"/>
  <c r="K216" i="110"/>
  <c r="P212" i="110"/>
  <c r="P216" i="110"/>
  <c r="Q212" i="110"/>
  <c r="Q216" i="110"/>
  <c r="F212" i="110"/>
  <c r="F216" i="110"/>
  <c r="M212" i="110"/>
  <c r="M216" i="110"/>
  <c r="L212" i="110"/>
  <c r="L216" i="110"/>
  <c r="N212" i="110"/>
  <c r="N216" i="110"/>
  <c r="G212" i="110"/>
  <c r="F24" i="141"/>
  <c r="D31" i="141"/>
  <c r="D23" i="141"/>
  <c r="AA151" i="111"/>
  <c r="AA151" i="141" s="1"/>
  <c r="AM22" i="35"/>
  <c r="Z151" i="111"/>
  <c r="Z151" i="141" s="1"/>
  <c r="AT91" i="110"/>
  <c r="AT108" i="110"/>
  <c r="AQ108" i="110"/>
  <c r="AQ91" i="110"/>
  <c r="AO108" i="110"/>
  <c r="AO91" i="110"/>
  <c r="AJ108" i="110"/>
  <c r="AJ91" i="110"/>
  <c r="AL91" i="110"/>
  <c r="AL108" i="110"/>
  <c r="AK91" i="110"/>
  <c r="AK108" i="110"/>
  <c r="AU91" i="110"/>
  <c r="AU108" i="110"/>
  <c r="AS108" i="110"/>
  <c r="AS91" i="110"/>
  <c r="AN91" i="110"/>
  <c r="AN108" i="110"/>
  <c r="AV108" i="110"/>
  <c r="AV91" i="110"/>
  <c r="AM108" i="110"/>
  <c r="AM91" i="110"/>
  <c r="AN124" i="110"/>
  <c r="AN130" i="110"/>
  <c r="AN129" i="110"/>
  <c r="AN128" i="110"/>
  <c r="AN126" i="110"/>
  <c r="AN125" i="110"/>
  <c r="AM124" i="110"/>
  <c r="AM130" i="110"/>
  <c r="AM129" i="110"/>
  <c r="AM128" i="110"/>
  <c r="AM126" i="110"/>
  <c r="AM125" i="110"/>
  <c r="AJ175" i="110"/>
  <c r="AJ173" i="110"/>
  <c r="AJ172" i="110"/>
  <c r="AJ171" i="110"/>
  <c r="AJ177" i="110"/>
  <c r="AJ176" i="110"/>
  <c r="AQ128" i="110"/>
  <c r="AQ124" i="110"/>
  <c r="AQ129" i="110"/>
  <c r="AQ125" i="110"/>
  <c r="AQ126" i="110"/>
  <c r="AQ130" i="110"/>
  <c r="AP177" i="110"/>
  <c r="AP176" i="110"/>
  <c r="AP175" i="110"/>
  <c r="AP171" i="110"/>
  <c r="AP173" i="110"/>
  <c r="AP172" i="110"/>
  <c r="AI129" i="110"/>
  <c r="AI124" i="110"/>
  <c r="AI128" i="110"/>
  <c r="AI126" i="110"/>
  <c r="AI125" i="110"/>
  <c r="AI130" i="110"/>
  <c r="AJ130" i="110"/>
  <c r="AJ129" i="110"/>
  <c r="AJ128" i="110"/>
  <c r="AJ126" i="110"/>
  <c r="AJ125" i="110"/>
  <c r="AJ124" i="110"/>
  <c r="AP130" i="110"/>
  <c r="AP129" i="110"/>
  <c r="AP128" i="110"/>
  <c r="AP126" i="110"/>
  <c r="AP125" i="110"/>
  <c r="AP124" i="110"/>
  <c r="AK173" i="110"/>
  <c r="AK172" i="110"/>
  <c r="AK171" i="110"/>
  <c r="AK177" i="110"/>
  <c r="AK176" i="110"/>
  <c r="AK175" i="110"/>
  <c r="AM171" i="110"/>
  <c r="AM175" i="110"/>
  <c r="AM177" i="110"/>
  <c r="AM176" i="110"/>
  <c r="AM173" i="110"/>
  <c r="AM172" i="110"/>
  <c r="AQ176" i="110"/>
  <c r="AQ175" i="110"/>
  <c r="AQ171" i="110"/>
  <c r="AQ173" i="110"/>
  <c r="AQ172" i="110"/>
  <c r="AQ177" i="110"/>
  <c r="AI176" i="110"/>
  <c r="AI175" i="110"/>
  <c r="AI173" i="110"/>
  <c r="AI172" i="110"/>
  <c r="AI177" i="110"/>
  <c r="AK130" i="110"/>
  <c r="AK129" i="110"/>
  <c r="AK128" i="110"/>
  <c r="AK126" i="110"/>
  <c r="AK125" i="110"/>
  <c r="AK124" i="110"/>
  <c r="AO195" i="110"/>
  <c r="AO173" i="110"/>
  <c r="AO172" i="110"/>
  <c r="AO177" i="110"/>
  <c r="AO176" i="110"/>
  <c r="AO175" i="110"/>
  <c r="AO171" i="110"/>
  <c r="AL190" i="110"/>
  <c r="AL172" i="110"/>
  <c r="AL176" i="110"/>
  <c r="AL171" i="110"/>
  <c r="AL177" i="110"/>
  <c r="AL175" i="110"/>
  <c r="AL173" i="110"/>
  <c r="T280" i="110"/>
  <c r="X151" i="111"/>
  <c r="X151" i="141" s="1"/>
  <c r="AB284" i="110"/>
  <c r="U151" i="111"/>
  <c r="U151" i="141" s="1"/>
  <c r="L124" i="110"/>
  <c r="L209" i="110" s="1"/>
  <c r="L128" i="110"/>
  <c r="L213" i="110" s="1"/>
  <c r="L126" i="110"/>
  <c r="L211" i="110" s="1"/>
  <c r="L130" i="110"/>
  <c r="L215" i="110" s="1"/>
  <c r="L125" i="110"/>
  <c r="L210" i="110" s="1"/>
  <c r="L129" i="110"/>
  <c r="L214" i="110" s="1"/>
  <c r="L127" i="110"/>
  <c r="L131" i="110"/>
  <c r="I124" i="110"/>
  <c r="I209" i="110" s="1"/>
  <c r="I125" i="110"/>
  <c r="I210" i="110" s="1"/>
  <c r="I126" i="110"/>
  <c r="I211" i="110" s="1"/>
  <c r="I127" i="110"/>
  <c r="I128" i="110"/>
  <c r="I213" i="110" s="1"/>
  <c r="I129" i="110"/>
  <c r="I214" i="110" s="1"/>
  <c r="I130" i="110"/>
  <c r="I215" i="110" s="1"/>
  <c r="I131" i="110"/>
  <c r="P124" i="110"/>
  <c r="P209" i="110" s="1"/>
  <c r="P255" i="110" s="1"/>
  <c r="P125" i="110"/>
  <c r="P210" i="110" s="1"/>
  <c r="P256" i="110" s="1"/>
  <c r="P126" i="110"/>
  <c r="P211" i="110" s="1"/>
  <c r="P257" i="110" s="1"/>
  <c r="P127" i="110"/>
  <c r="P128" i="110"/>
  <c r="P213" i="110" s="1"/>
  <c r="P259" i="110" s="1"/>
  <c r="P129" i="110"/>
  <c r="P214" i="110" s="1"/>
  <c r="P260" i="110" s="1"/>
  <c r="P130" i="110"/>
  <c r="P215" i="110" s="1"/>
  <c r="P261" i="110" s="1"/>
  <c r="P131" i="110"/>
  <c r="M124" i="110"/>
  <c r="M209" i="110" s="1"/>
  <c r="M255" i="110" s="1"/>
  <c r="M125" i="110"/>
  <c r="M210" i="110" s="1"/>
  <c r="M256" i="110" s="1"/>
  <c r="M126" i="110"/>
  <c r="M211" i="110" s="1"/>
  <c r="M257" i="110" s="1"/>
  <c r="M127" i="110"/>
  <c r="M128" i="110"/>
  <c r="M213" i="110" s="1"/>
  <c r="M259" i="110" s="1"/>
  <c r="M129" i="110"/>
  <c r="M214" i="110" s="1"/>
  <c r="M260" i="110" s="1"/>
  <c r="M130" i="110"/>
  <c r="M215" i="110" s="1"/>
  <c r="M261" i="110" s="1"/>
  <c r="M131" i="110"/>
  <c r="Q124" i="110"/>
  <c r="Q209" i="110" s="1"/>
  <c r="Q255" i="110" s="1"/>
  <c r="Q125" i="110"/>
  <c r="Q210" i="110" s="1"/>
  <c r="Q256" i="110" s="1"/>
  <c r="Q126" i="110"/>
  <c r="Q211" i="110" s="1"/>
  <c r="Q257" i="110" s="1"/>
  <c r="Q127" i="110"/>
  <c r="Q128" i="110"/>
  <c r="Q213" i="110" s="1"/>
  <c r="Q259" i="110" s="1"/>
  <c r="Q129" i="110"/>
  <c r="Q214" i="110" s="1"/>
  <c r="Q260" i="110" s="1"/>
  <c r="Q130" i="110"/>
  <c r="Q215" i="110" s="1"/>
  <c r="Q261" i="110" s="1"/>
  <c r="Q131" i="110"/>
  <c r="O124" i="110"/>
  <c r="O209" i="110" s="1"/>
  <c r="O255" i="110" s="1"/>
  <c r="O125" i="110"/>
  <c r="O210" i="110" s="1"/>
  <c r="O256" i="110" s="1"/>
  <c r="O126" i="110"/>
  <c r="O211" i="110" s="1"/>
  <c r="O257" i="110" s="1"/>
  <c r="O127" i="110"/>
  <c r="O128" i="110"/>
  <c r="O213" i="110" s="1"/>
  <c r="O259" i="110" s="1"/>
  <c r="O129" i="110"/>
  <c r="O214" i="110" s="1"/>
  <c r="O260" i="110" s="1"/>
  <c r="O130" i="110"/>
  <c r="O215" i="110" s="1"/>
  <c r="O261" i="110" s="1"/>
  <c r="O131" i="110"/>
  <c r="Z280" i="110"/>
  <c r="Z284" i="110"/>
  <c r="G124" i="110"/>
  <c r="G209" i="110" s="1"/>
  <c r="G125" i="110"/>
  <c r="G210" i="110" s="1"/>
  <c r="G126" i="110"/>
  <c r="G211" i="110" s="1"/>
  <c r="G127" i="110"/>
  <c r="G128" i="110"/>
  <c r="G213" i="110" s="1"/>
  <c r="G129" i="110"/>
  <c r="G214" i="110" s="1"/>
  <c r="G130" i="110"/>
  <c r="G215" i="110" s="1"/>
  <c r="G131" i="110"/>
  <c r="T151" i="111"/>
  <c r="T151" i="141" s="1"/>
  <c r="AB280" i="110"/>
  <c r="U284" i="110"/>
  <c r="Y284" i="110"/>
  <c r="D127" i="110"/>
  <c r="D131" i="110"/>
  <c r="F127" i="110"/>
  <c r="F131" i="110"/>
  <c r="F126" i="110"/>
  <c r="F211" i="110" s="1"/>
  <c r="F130" i="110"/>
  <c r="F215" i="110" s="1"/>
  <c r="F124" i="110"/>
  <c r="F209" i="110" s="1"/>
  <c r="F128" i="110"/>
  <c r="F213" i="110" s="1"/>
  <c r="F125" i="110"/>
  <c r="F210" i="110" s="1"/>
  <c r="F129" i="110"/>
  <c r="F214" i="110" s="1"/>
  <c r="V284" i="110"/>
  <c r="W280" i="110"/>
  <c r="V151" i="111"/>
  <c r="V151" i="141" s="1"/>
  <c r="X284" i="110"/>
  <c r="W284" i="110"/>
  <c r="K124" i="110"/>
  <c r="K209" i="110" s="1"/>
  <c r="K125" i="110"/>
  <c r="K210" i="110" s="1"/>
  <c r="K126" i="110"/>
  <c r="K211" i="110" s="1"/>
  <c r="K127" i="110"/>
  <c r="K128" i="110"/>
  <c r="K213" i="110" s="1"/>
  <c r="K129" i="110"/>
  <c r="K214" i="110" s="1"/>
  <c r="K130" i="110"/>
  <c r="K215" i="110" s="1"/>
  <c r="K131" i="110"/>
  <c r="J124" i="110"/>
  <c r="J209" i="110" s="1"/>
  <c r="J125" i="110"/>
  <c r="J210" i="110" s="1"/>
  <c r="J126" i="110"/>
  <c r="J211" i="110" s="1"/>
  <c r="J127" i="110"/>
  <c r="J128" i="110"/>
  <c r="J213" i="110" s="1"/>
  <c r="J129" i="110"/>
  <c r="J214" i="110" s="1"/>
  <c r="J130" i="110"/>
  <c r="J215" i="110" s="1"/>
  <c r="J131" i="110"/>
  <c r="U280" i="110"/>
  <c r="X280" i="110"/>
  <c r="AA284" i="110"/>
  <c r="V280" i="110"/>
  <c r="Y280" i="110"/>
  <c r="E124" i="110"/>
  <c r="E209" i="110" s="1"/>
  <c r="E125" i="110"/>
  <c r="E210" i="110" s="1"/>
  <c r="E126" i="110"/>
  <c r="E211" i="110" s="1"/>
  <c r="E127" i="110"/>
  <c r="E128" i="110"/>
  <c r="E213" i="110" s="1"/>
  <c r="E129" i="110"/>
  <c r="E214" i="110" s="1"/>
  <c r="E130" i="110"/>
  <c r="E215" i="110" s="1"/>
  <c r="E131" i="110"/>
  <c r="H124" i="110"/>
  <c r="H209" i="110" s="1"/>
  <c r="H125" i="110"/>
  <c r="H210" i="110" s="1"/>
  <c r="H126" i="110"/>
  <c r="H211" i="110" s="1"/>
  <c r="H127" i="110"/>
  <c r="H128" i="110"/>
  <c r="H213" i="110" s="1"/>
  <c r="H129" i="110"/>
  <c r="H214" i="110" s="1"/>
  <c r="H130" i="110"/>
  <c r="H215" i="110" s="1"/>
  <c r="H131" i="110"/>
  <c r="N124" i="110"/>
  <c r="N209" i="110" s="1"/>
  <c r="N255" i="110" s="1"/>
  <c r="N128" i="110"/>
  <c r="N213" i="110" s="1"/>
  <c r="N259" i="110" s="1"/>
  <c r="N127" i="110"/>
  <c r="N131" i="110"/>
  <c r="N130" i="110"/>
  <c r="N215" i="110" s="1"/>
  <c r="N261" i="110" s="1"/>
  <c r="N125" i="110"/>
  <c r="N210" i="110" s="1"/>
  <c r="N256" i="110" s="1"/>
  <c r="N129" i="110"/>
  <c r="N214" i="110" s="1"/>
  <c r="N260" i="110" s="1"/>
  <c r="N126" i="110"/>
  <c r="N211" i="110" s="1"/>
  <c r="N257" i="110" s="1"/>
  <c r="AA280" i="110"/>
  <c r="T284" i="110"/>
  <c r="Y151" i="111"/>
  <c r="Y151" i="141" s="1"/>
  <c r="S280" i="110"/>
  <c r="R284" i="110"/>
  <c r="S284" i="110"/>
  <c r="R280" i="110"/>
  <c r="S151" i="111"/>
  <c r="S151" i="141" s="1"/>
  <c r="R151" i="111"/>
  <c r="R151" i="141" s="1"/>
  <c r="AR117" i="110"/>
  <c r="AR100" i="110"/>
  <c r="M76" i="110"/>
  <c r="M94" i="110"/>
  <c r="Q76" i="110"/>
  <c r="Q94" i="110"/>
  <c r="AS117" i="110"/>
  <c r="AS100" i="110"/>
  <c r="AT100" i="110"/>
  <c r="AT117" i="110"/>
  <c r="AV100" i="110"/>
  <c r="AV117" i="110"/>
  <c r="AS198" i="110"/>
  <c r="AS199" i="110"/>
  <c r="AS200" i="110"/>
  <c r="AS202" i="110"/>
  <c r="AS203" i="110"/>
  <c r="AS204" i="110"/>
  <c r="AV151" i="110"/>
  <c r="AV152" i="110"/>
  <c r="AV153" i="110"/>
  <c r="AV155" i="110"/>
  <c r="AV156" i="110"/>
  <c r="AV157" i="110"/>
  <c r="AU100" i="110"/>
  <c r="AU117" i="110"/>
  <c r="N112" i="110"/>
  <c r="AS152" i="110"/>
  <c r="AS156" i="110"/>
  <c r="AS151" i="110"/>
  <c r="AS155" i="110"/>
  <c r="AS153" i="110"/>
  <c r="AS157" i="110"/>
  <c r="N76" i="110"/>
  <c r="N94" i="110"/>
  <c r="AU199" i="110"/>
  <c r="AU203" i="110"/>
  <c r="AU200" i="110"/>
  <c r="AU204" i="110"/>
  <c r="AU198" i="110"/>
  <c r="AU202" i="110"/>
  <c r="AL191" i="110"/>
  <c r="O76" i="110"/>
  <c r="O94" i="110"/>
  <c r="AU151" i="110"/>
  <c r="AU152" i="110"/>
  <c r="AU153" i="110"/>
  <c r="AU155" i="110"/>
  <c r="AU156" i="110"/>
  <c r="AU157" i="110"/>
  <c r="AR112" i="110"/>
  <c r="AR95" i="110"/>
  <c r="AV198" i="110"/>
  <c r="AV202" i="110"/>
  <c r="AV200" i="110"/>
  <c r="AV204" i="110"/>
  <c r="AV203" i="110"/>
  <c r="AV199" i="110"/>
  <c r="AL192" i="110"/>
  <c r="Q112" i="110"/>
  <c r="P112" i="110"/>
  <c r="AT198" i="110"/>
  <c r="AT199" i="110"/>
  <c r="AT200" i="110"/>
  <c r="AT202" i="110"/>
  <c r="AT203" i="110"/>
  <c r="AT204" i="110"/>
  <c r="O112" i="110"/>
  <c r="P76" i="110"/>
  <c r="P94" i="110"/>
  <c r="AT153" i="110"/>
  <c r="AT157" i="110"/>
  <c r="AT152" i="110"/>
  <c r="AT156" i="110"/>
  <c r="AT151" i="110"/>
  <c r="AT155" i="110"/>
  <c r="M92" i="34"/>
  <c r="M118" i="34" s="1"/>
  <c r="AR38" i="110" s="1"/>
  <c r="M8" i="110"/>
  <c r="M42" i="110" s="1"/>
  <c r="M59" i="110" s="1"/>
  <c r="M13" i="36"/>
  <c r="M121" i="36" s="1"/>
  <c r="F160" i="36"/>
  <c r="AN142" i="110"/>
  <c r="E132" i="36"/>
  <c r="AN143" i="110"/>
  <c r="AN144" i="110"/>
  <c r="AN146" i="110"/>
  <c r="AN147" i="110"/>
  <c r="AN148" i="110"/>
  <c r="AL194" i="110"/>
  <c r="AL196" i="110"/>
  <c r="AL193" i="110"/>
  <c r="AL195" i="110"/>
  <c r="AO155" i="110"/>
  <c r="AL189" i="110"/>
  <c r="AO156" i="110"/>
  <c r="H132" i="36"/>
  <c r="AK157" i="110"/>
  <c r="AK151" i="110"/>
  <c r="L111" i="34"/>
  <c r="L137" i="34" s="1"/>
  <c r="AO189" i="110"/>
  <c r="AJ95" i="110"/>
  <c r="AP95" i="110"/>
  <c r="F149" i="36"/>
  <c r="AM95" i="110"/>
  <c r="J95" i="110"/>
  <c r="J112" i="110"/>
  <c r="AO190" i="110"/>
  <c r="AO191" i="110"/>
  <c r="AO192" i="110"/>
  <c r="AO193" i="110"/>
  <c r="AO194" i="110"/>
  <c r="AO196" i="110"/>
  <c r="H95" i="110"/>
  <c r="H112" i="110"/>
  <c r="AO157" i="110"/>
  <c r="AK152" i="110"/>
  <c r="AK153" i="110"/>
  <c r="G132" i="36"/>
  <c r="AO151" i="110"/>
  <c r="AK155" i="110"/>
  <c r="AO152" i="110"/>
  <c r="AO203" i="110"/>
  <c r="Q160" i="36"/>
  <c r="Q132" i="36"/>
  <c r="N160" i="36"/>
  <c r="N132" i="36"/>
  <c r="P132" i="36"/>
  <c r="P160" i="36"/>
  <c r="O160" i="36"/>
  <c r="O132" i="36"/>
  <c r="AO202" i="110"/>
  <c r="I77" i="110"/>
  <c r="I112" i="110"/>
  <c r="D95" i="110"/>
  <c r="D112" i="110"/>
  <c r="K95" i="110"/>
  <c r="K112" i="110"/>
  <c r="L4" i="110"/>
  <c r="L38" i="110" s="1"/>
  <c r="L55" i="110" s="1"/>
  <c r="L4" i="36"/>
  <c r="E8" i="110"/>
  <c r="E42" i="110" s="1"/>
  <c r="E59" i="110" s="1"/>
  <c r="E13" i="36"/>
  <c r="E121" i="36" s="1"/>
  <c r="L13" i="36"/>
  <c r="L149" i="36" s="1"/>
  <c r="L8" i="110"/>
  <c r="L42" i="110" s="1"/>
  <c r="L59" i="110" s="1"/>
  <c r="P149" i="36"/>
  <c r="P121" i="36"/>
  <c r="E4" i="36"/>
  <c r="E4" i="110"/>
  <c r="E38" i="110" s="1"/>
  <c r="E55" i="110" s="1"/>
  <c r="O4" i="110"/>
  <c r="O38" i="110" s="1"/>
  <c r="O55" i="110" s="1"/>
  <c r="O4" i="36"/>
  <c r="AK95" i="110"/>
  <c r="Q4" i="110"/>
  <c r="Q38" i="110" s="1"/>
  <c r="Q55" i="110" s="1"/>
  <c r="Q4" i="36"/>
  <c r="J4" i="110"/>
  <c r="J38" i="110" s="1"/>
  <c r="J55" i="110" s="1"/>
  <c r="J4" i="36"/>
  <c r="P4" i="110"/>
  <c r="P38" i="110" s="1"/>
  <c r="P55" i="110" s="1"/>
  <c r="P4" i="36"/>
  <c r="G4" i="110"/>
  <c r="G38" i="110" s="1"/>
  <c r="G55" i="110" s="1"/>
  <c r="G4" i="36"/>
  <c r="O121" i="36"/>
  <c r="F4" i="110"/>
  <c r="F38" i="110" s="1"/>
  <c r="F55" i="110" s="1"/>
  <c r="F91" i="110" s="1"/>
  <c r="F4" i="36"/>
  <c r="F112" i="36" s="1"/>
  <c r="I4" i="110"/>
  <c r="I38" i="110" s="1"/>
  <c r="I55" i="110" s="1"/>
  <c r="I4" i="36"/>
  <c r="N4" i="110"/>
  <c r="N38" i="110" s="1"/>
  <c r="N55" i="110" s="1"/>
  <c r="N4" i="36"/>
  <c r="N112" i="36" s="1"/>
  <c r="H4" i="110"/>
  <c r="H38" i="110" s="1"/>
  <c r="H55" i="110" s="1"/>
  <c r="H4" i="36"/>
  <c r="Q121" i="36"/>
  <c r="Q149" i="36"/>
  <c r="N149" i="36"/>
  <c r="P23" i="36"/>
  <c r="P13" i="110"/>
  <c r="P47" i="110" s="1"/>
  <c r="F35" i="35"/>
  <c r="G50" i="111" s="1"/>
  <c r="G50" i="141" s="1"/>
  <c r="F32" i="35"/>
  <c r="G47" i="111" s="1"/>
  <c r="G47" i="141" s="1"/>
  <c r="F26" i="35"/>
  <c r="F39" i="35"/>
  <c r="G54" i="111" s="1"/>
  <c r="G54" i="141" s="1"/>
  <c r="F36" i="35"/>
  <c r="G51" i="111" s="1"/>
  <c r="G51" i="141" s="1"/>
  <c r="F38" i="35"/>
  <c r="G53" i="111" s="1"/>
  <c r="G53" i="141" s="1"/>
  <c r="F31" i="35"/>
  <c r="G46" i="111" s="1"/>
  <c r="G46" i="141" s="1"/>
  <c r="F30" i="35"/>
  <c r="G45" i="111" s="1"/>
  <c r="G45" i="141" s="1"/>
  <c r="F40" i="35"/>
  <c r="G55" i="111" s="1"/>
  <c r="G55" i="141" s="1"/>
  <c r="F34" i="35"/>
  <c r="G49" i="111" s="1"/>
  <c r="G49" i="141" s="1"/>
  <c r="F29" i="35"/>
  <c r="G44" i="111" s="1"/>
  <c r="G44" i="141" s="1"/>
  <c r="F33" i="35"/>
  <c r="G48" i="111" s="1"/>
  <c r="G48" i="141" s="1"/>
  <c r="F27" i="35"/>
  <c r="G42" i="111" s="1"/>
  <c r="G42" i="141" s="1"/>
  <c r="F37" i="35"/>
  <c r="G52" i="111" s="1"/>
  <c r="G52" i="141" s="1"/>
  <c r="F28" i="35"/>
  <c r="G43" i="111" s="1"/>
  <c r="G43" i="141" s="1"/>
  <c r="N23" i="36"/>
  <c r="N13" i="110"/>
  <c r="N47" i="110" s="1"/>
  <c r="D13" i="110"/>
  <c r="D47" i="110" s="1"/>
  <c r="D64" i="110" s="1"/>
  <c r="D23" i="36"/>
  <c r="E13" i="110"/>
  <c r="E47" i="110" s="1"/>
  <c r="E64" i="110" s="1"/>
  <c r="E23" i="36"/>
  <c r="Q23" i="36"/>
  <c r="Q13" i="110"/>
  <c r="Q47" i="110" s="1"/>
  <c r="G23" i="36"/>
  <c r="G13" i="110"/>
  <c r="G47" i="110" s="1"/>
  <c r="G64" i="110" s="1"/>
  <c r="J23" i="36"/>
  <c r="J13" i="110"/>
  <c r="J47" i="110" s="1"/>
  <c r="J64" i="110" s="1"/>
  <c r="H30" i="35"/>
  <c r="I45" i="111" s="1"/>
  <c r="I45" i="141" s="1"/>
  <c r="H32" i="35"/>
  <c r="I47" i="111" s="1"/>
  <c r="I47" i="141" s="1"/>
  <c r="H26" i="35"/>
  <c r="H39" i="35"/>
  <c r="I54" i="111" s="1"/>
  <c r="I54" i="141" s="1"/>
  <c r="H29" i="35"/>
  <c r="I44" i="111" s="1"/>
  <c r="I44" i="141" s="1"/>
  <c r="H36" i="35"/>
  <c r="I51" i="111" s="1"/>
  <c r="I51" i="141" s="1"/>
  <c r="H28" i="35"/>
  <c r="I43" i="111" s="1"/>
  <c r="I43" i="141" s="1"/>
  <c r="H40" i="35"/>
  <c r="I55" i="111" s="1"/>
  <c r="I55" i="141" s="1"/>
  <c r="H34" i="35"/>
  <c r="I49" i="111" s="1"/>
  <c r="I49" i="141" s="1"/>
  <c r="H27" i="35"/>
  <c r="I42" i="111" s="1"/>
  <c r="I42" i="141" s="1"/>
  <c r="H33" i="35"/>
  <c r="I48" i="111" s="1"/>
  <c r="I48" i="141" s="1"/>
  <c r="H37" i="35"/>
  <c r="I52" i="111" s="1"/>
  <c r="I52" i="141" s="1"/>
  <c r="H35" i="35"/>
  <c r="I50" i="111" s="1"/>
  <c r="I50" i="141" s="1"/>
  <c r="H31" i="35"/>
  <c r="I46" i="111" s="1"/>
  <c r="I46" i="141" s="1"/>
  <c r="H38" i="35"/>
  <c r="I53" i="111" s="1"/>
  <c r="I53" i="141" s="1"/>
  <c r="O23" i="36"/>
  <c r="O159" i="36" s="1"/>
  <c r="O13" i="110"/>
  <c r="O47" i="110" s="1"/>
  <c r="H23" i="36"/>
  <c r="H13" i="110"/>
  <c r="H47" i="110" s="1"/>
  <c r="H64" i="110" s="1"/>
  <c r="M13" i="110"/>
  <c r="M47" i="110" s="1"/>
  <c r="M23" i="36"/>
  <c r="M131" i="36" s="1"/>
  <c r="I28" i="35"/>
  <c r="J43" i="111" s="1"/>
  <c r="J43" i="141" s="1"/>
  <c r="I37" i="35"/>
  <c r="J52" i="111" s="1"/>
  <c r="J52" i="141" s="1"/>
  <c r="I33" i="35"/>
  <c r="J48" i="111" s="1"/>
  <c r="J48" i="141" s="1"/>
  <c r="I35" i="35"/>
  <c r="J50" i="111" s="1"/>
  <c r="J50" i="141" s="1"/>
  <c r="I36" i="35"/>
  <c r="J51" i="111" s="1"/>
  <c r="J51" i="141" s="1"/>
  <c r="I26" i="35"/>
  <c r="I39" i="35"/>
  <c r="J54" i="111" s="1"/>
  <c r="J54" i="141" s="1"/>
  <c r="I34" i="35"/>
  <c r="J49" i="111" s="1"/>
  <c r="J49" i="141" s="1"/>
  <c r="I30" i="35"/>
  <c r="J45" i="111" s="1"/>
  <c r="J45" i="141" s="1"/>
  <c r="I40" i="35"/>
  <c r="J55" i="111" s="1"/>
  <c r="J55" i="141" s="1"/>
  <c r="I27" i="35"/>
  <c r="J42" i="111" s="1"/>
  <c r="J42" i="141" s="1"/>
  <c r="I38" i="35"/>
  <c r="J53" i="111" s="1"/>
  <c r="J53" i="141" s="1"/>
  <c r="I31" i="35"/>
  <c r="J46" i="111" s="1"/>
  <c r="J46" i="141" s="1"/>
  <c r="I29" i="35"/>
  <c r="J44" i="111" s="1"/>
  <c r="J44" i="141" s="1"/>
  <c r="I32" i="35"/>
  <c r="J47" i="111" s="1"/>
  <c r="J47" i="141" s="1"/>
  <c r="I13" i="110"/>
  <c r="I47" i="110" s="1"/>
  <c r="I64" i="110" s="1"/>
  <c r="I23" i="36"/>
  <c r="G30" i="35"/>
  <c r="H45" i="111" s="1"/>
  <c r="H45" i="141" s="1"/>
  <c r="G27" i="35"/>
  <c r="H42" i="111" s="1"/>
  <c r="H42" i="141" s="1"/>
  <c r="G32" i="35"/>
  <c r="H47" i="111" s="1"/>
  <c r="H47" i="141" s="1"/>
  <c r="G39" i="35"/>
  <c r="H54" i="111" s="1"/>
  <c r="H54" i="141" s="1"/>
  <c r="G26" i="35"/>
  <c r="H44" i="111"/>
  <c r="H44" i="141" s="1"/>
  <c r="G36" i="35"/>
  <c r="H51" i="111" s="1"/>
  <c r="H51" i="141" s="1"/>
  <c r="G28" i="35"/>
  <c r="H43" i="111" s="1"/>
  <c r="H43" i="141" s="1"/>
  <c r="G38" i="35"/>
  <c r="H53" i="111" s="1"/>
  <c r="H53" i="141" s="1"/>
  <c r="G34" i="35"/>
  <c r="H49" i="111" s="1"/>
  <c r="H49" i="141" s="1"/>
  <c r="G40" i="35"/>
  <c r="H55" i="111" s="1"/>
  <c r="H55" i="141" s="1"/>
  <c r="G31" i="35"/>
  <c r="H46" i="111" s="1"/>
  <c r="H46" i="141" s="1"/>
  <c r="G33" i="35"/>
  <c r="H48" i="111" s="1"/>
  <c r="H48" i="141" s="1"/>
  <c r="G37" i="35"/>
  <c r="H52" i="111" s="1"/>
  <c r="H52" i="141" s="1"/>
  <c r="G35" i="35"/>
  <c r="H50" i="111" s="1"/>
  <c r="H50" i="141" s="1"/>
  <c r="J32" i="35"/>
  <c r="K47" i="111" s="1"/>
  <c r="K47" i="141" s="1"/>
  <c r="J37" i="35"/>
  <c r="K52" i="111" s="1"/>
  <c r="K52" i="141" s="1"/>
  <c r="J35" i="35"/>
  <c r="K50" i="111" s="1"/>
  <c r="K50" i="141" s="1"/>
  <c r="J26" i="35"/>
  <c r="J38" i="35"/>
  <c r="K53" i="111" s="1"/>
  <c r="K53" i="141" s="1"/>
  <c r="J27" i="35"/>
  <c r="K42" i="111" s="1"/>
  <c r="K42" i="141" s="1"/>
  <c r="J36" i="35"/>
  <c r="K51" i="111" s="1"/>
  <c r="K51" i="141" s="1"/>
  <c r="J31" i="35"/>
  <c r="K46" i="111" s="1"/>
  <c r="K46" i="141" s="1"/>
  <c r="J40" i="35"/>
  <c r="K55" i="111" s="1"/>
  <c r="K55" i="141" s="1"/>
  <c r="J29" i="35"/>
  <c r="K44" i="111" s="1"/>
  <c r="K44" i="141" s="1"/>
  <c r="J34" i="35"/>
  <c r="K49" i="111" s="1"/>
  <c r="K49" i="141" s="1"/>
  <c r="J28" i="35"/>
  <c r="K43" i="111" s="1"/>
  <c r="K43" i="141" s="1"/>
  <c r="J30" i="35"/>
  <c r="K45" i="111" s="1"/>
  <c r="K45" i="141" s="1"/>
  <c r="J33" i="35"/>
  <c r="K48" i="111" s="1"/>
  <c r="K48" i="141" s="1"/>
  <c r="J39" i="35"/>
  <c r="K54" i="111" s="1"/>
  <c r="K54" i="141" s="1"/>
  <c r="E28" i="35"/>
  <c r="F43" i="111" s="1"/>
  <c r="F43" i="141" s="1"/>
  <c r="E34" i="35"/>
  <c r="F49" i="111" s="1"/>
  <c r="F49" i="141" s="1"/>
  <c r="E26" i="35"/>
  <c r="E32" i="35"/>
  <c r="F47" i="111" s="1"/>
  <c r="F47" i="141" s="1"/>
  <c r="E37" i="35"/>
  <c r="F52" i="111" s="1"/>
  <c r="F52" i="141" s="1"/>
  <c r="E40" i="35"/>
  <c r="F55" i="111" s="1"/>
  <c r="F55" i="141" s="1"/>
  <c r="E31" i="35"/>
  <c r="F46" i="111" s="1"/>
  <c r="F46" i="141" s="1"/>
  <c r="E29" i="35"/>
  <c r="F44" i="111" s="1"/>
  <c r="F44" i="141" s="1"/>
  <c r="E27" i="35"/>
  <c r="F42" i="111" s="1"/>
  <c r="F42" i="141" s="1"/>
  <c r="E36" i="35"/>
  <c r="F51" i="111" s="1"/>
  <c r="F51" i="141" s="1"/>
  <c r="E38" i="35"/>
  <c r="F53" i="111" s="1"/>
  <c r="F53" i="141" s="1"/>
  <c r="E30" i="35"/>
  <c r="F45" i="111" s="1"/>
  <c r="F45" i="141" s="1"/>
  <c r="E39" i="35"/>
  <c r="F54" i="111" s="1"/>
  <c r="F54" i="141" s="1"/>
  <c r="E35" i="35"/>
  <c r="F50" i="111" s="1"/>
  <c r="F50" i="141" s="1"/>
  <c r="E33" i="35"/>
  <c r="F48" i="111" s="1"/>
  <c r="F48" i="141" s="1"/>
  <c r="AO204" i="110"/>
  <c r="AO200" i="110"/>
  <c r="AO198" i="110"/>
  <c r="AI95" i="110"/>
  <c r="AI201" i="110" s="1"/>
  <c r="F112" i="110"/>
  <c r="K149" i="36"/>
  <c r="I149" i="36"/>
  <c r="AP22" i="35"/>
  <c r="AL22" i="35"/>
  <c r="AO22" i="35"/>
  <c r="AN22" i="35"/>
  <c r="G42" i="110"/>
  <c r="G59" i="110" s="1"/>
  <c r="D149" i="36"/>
  <c r="D121" i="36"/>
  <c r="J121" i="36"/>
  <c r="K38" i="110"/>
  <c r="K55" i="110" s="1"/>
  <c r="AQ112" i="110"/>
  <c r="AQ95" i="110"/>
  <c r="H149" i="36"/>
  <c r="K47" i="110"/>
  <c r="K64" i="110" s="1"/>
  <c r="AI195" i="110"/>
  <c r="AI196" i="110"/>
  <c r="AI194" i="110"/>
  <c r="AI193" i="110"/>
  <c r="AI192" i="110"/>
  <c r="AI191" i="110"/>
  <c r="AI190" i="110"/>
  <c r="AI189" i="110"/>
  <c r="AJ148" i="110"/>
  <c r="AJ147" i="110"/>
  <c r="AJ146" i="110"/>
  <c r="AJ144" i="110"/>
  <c r="AJ143" i="110"/>
  <c r="AJ142" i="110"/>
  <c r="AE22" i="35"/>
  <c r="L94" i="110"/>
  <c r="L76" i="110"/>
  <c r="AQ195" i="110"/>
  <c r="AQ196" i="110"/>
  <c r="AQ194" i="110"/>
  <c r="AQ193" i="110"/>
  <c r="AQ192" i="110"/>
  <c r="AQ191" i="110"/>
  <c r="AQ190" i="110"/>
  <c r="AQ189" i="110"/>
  <c r="AI157" i="110"/>
  <c r="AI156" i="110"/>
  <c r="AI155" i="110"/>
  <c r="AI153" i="110"/>
  <c r="AI152" i="110"/>
  <c r="AI151" i="110"/>
  <c r="F22" i="35"/>
  <c r="I22" i="35"/>
  <c r="AF22" i="35"/>
  <c r="AN204" i="110"/>
  <c r="AN203" i="110"/>
  <c r="AN202" i="110"/>
  <c r="AN200" i="110"/>
  <c r="AN199" i="110"/>
  <c r="AN198" i="110"/>
  <c r="J160" i="36"/>
  <c r="J132" i="36"/>
  <c r="AM196" i="110"/>
  <c r="AM194" i="110"/>
  <c r="AM193" i="110"/>
  <c r="AM192" i="110"/>
  <c r="AM191" i="110"/>
  <c r="AM190" i="110"/>
  <c r="AM189" i="110"/>
  <c r="AM195" i="110"/>
  <c r="AG22" i="35"/>
  <c r="K132" i="36"/>
  <c r="K160" i="36"/>
  <c r="AI22" i="35"/>
  <c r="AP196" i="110"/>
  <c r="AP194" i="110"/>
  <c r="AP193" i="110"/>
  <c r="AP192" i="110"/>
  <c r="AP191" i="110"/>
  <c r="AP190" i="110"/>
  <c r="AP189" i="110"/>
  <c r="AP195" i="110"/>
  <c r="G22" i="35"/>
  <c r="AK22" i="35"/>
  <c r="AQ148" i="110"/>
  <c r="AQ147" i="110"/>
  <c r="AQ146" i="110"/>
  <c r="AQ144" i="110"/>
  <c r="AQ143" i="110"/>
  <c r="AQ142" i="110"/>
  <c r="AN157" i="110"/>
  <c r="AN156" i="110"/>
  <c r="AN155" i="110"/>
  <c r="AN153" i="110"/>
  <c r="AN152" i="110"/>
  <c r="AN151" i="110"/>
  <c r="G94" i="110"/>
  <c r="G76" i="110"/>
  <c r="G136" i="110" s="1"/>
  <c r="D94" i="110"/>
  <c r="D76" i="110"/>
  <c r="F95" i="110"/>
  <c r="F182" i="110" s="1"/>
  <c r="F77" i="110"/>
  <c r="AM148" i="110"/>
  <c r="AM147" i="110"/>
  <c r="AM146" i="110"/>
  <c r="AM144" i="110"/>
  <c r="AM143" i="110"/>
  <c r="AM142" i="110"/>
  <c r="D47" i="111"/>
  <c r="D47" i="141" s="1"/>
  <c r="D46" i="111"/>
  <c r="D46" i="141" s="1"/>
  <c r="D45" i="111"/>
  <c r="D45" i="141" s="1"/>
  <c r="D44" i="111"/>
  <c r="D44" i="141" s="1"/>
  <c r="D43" i="111"/>
  <c r="D43" i="141" s="1"/>
  <c r="D42" i="111"/>
  <c r="D42" i="141" s="1"/>
  <c r="D55" i="111"/>
  <c r="D55" i="141" s="1"/>
  <c r="D54" i="111"/>
  <c r="D54" i="141" s="1"/>
  <c r="D53" i="111"/>
  <c r="D53" i="141" s="1"/>
  <c r="D52" i="111"/>
  <c r="D52" i="141" s="1"/>
  <c r="D51" i="111"/>
  <c r="D51" i="141" s="1"/>
  <c r="D50" i="111"/>
  <c r="D50" i="141" s="1"/>
  <c r="D49" i="111"/>
  <c r="D49" i="141" s="1"/>
  <c r="D48" i="111"/>
  <c r="D48" i="141" s="1"/>
  <c r="AP148" i="110"/>
  <c r="AP147" i="110"/>
  <c r="AP146" i="110"/>
  <c r="AP144" i="110"/>
  <c r="AP143" i="110"/>
  <c r="AP142" i="110"/>
  <c r="K76" i="110"/>
  <c r="K94" i="110"/>
  <c r="D130" i="110"/>
  <c r="D215" i="110" s="1"/>
  <c r="D129" i="110"/>
  <c r="D214" i="110" s="1"/>
  <c r="D128" i="110"/>
  <c r="D213" i="110" s="1"/>
  <c r="D126" i="110"/>
  <c r="D211" i="110" s="1"/>
  <c r="D125" i="110"/>
  <c r="D210" i="110" s="1"/>
  <c r="D124" i="110"/>
  <c r="D209" i="110" s="1"/>
  <c r="H76" i="110"/>
  <c r="H94" i="110"/>
  <c r="F76" i="110"/>
  <c r="AK184" i="110"/>
  <c r="AK181" i="110"/>
  <c r="AK186" i="110"/>
  <c r="AK180" i="110"/>
  <c r="AK185" i="110"/>
  <c r="AK182" i="110"/>
  <c r="AK195" i="110"/>
  <c r="AK196" i="110"/>
  <c r="AK194" i="110"/>
  <c r="AK193" i="110"/>
  <c r="AK192" i="110"/>
  <c r="AK191" i="110"/>
  <c r="AK190" i="110"/>
  <c r="AK189" i="110"/>
  <c r="D52" i="112"/>
  <c r="D52" i="142" s="1"/>
  <c r="D55" i="112"/>
  <c r="D55" i="142" s="1"/>
  <c r="D48" i="112"/>
  <c r="D48" i="142" s="1"/>
  <c r="D51" i="112"/>
  <c r="D51" i="142" s="1"/>
  <c r="D44" i="112"/>
  <c r="D44" i="142" s="1"/>
  <c r="D47" i="112"/>
  <c r="D47" i="142" s="1"/>
  <c r="D43" i="112"/>
  <c r="D43" i="142" s="1"/>
  <c r="D50" i="112"/>
  <c r="D50" i="142" s="1"/>
  <c r="D54" i="112"/>
  <c r="D54" i="142" s="1"/>
  <c r="D53" i="112"/>
  <c r="D53" i="142" s="1"/>
  <c r="D46" i="112"/>
  <c r="D46" i="142" s="1"/>
  <c r="D49" i="112"/>
  <c r="D49" i="142" s="1"/>
  <c r="D42" i="112"/>
  <c r="D42" i="142" s="1"/>
  <c r="D45" i="112"/>
  <c r="D45" i="142" s="1"/>
  <c r="D132" i="36"/>
  <c r="D160" i="36"/>
  <c r="D22" i="35"/>
  <c r="L132" i="36"/>
  <c r="L160" i="36"/>
  <c r="AJ195" i="110"/>
  <c r="AJ196" i="110"/>
  <c r="AJ194" i="110"/>
  <c r="AJ193" i="110"/>
  <c r="AJ192" i="110"/>
  <c r="AJ191" i="110"/>
  <c r="AJ190" i="110"/>
  <c r="AJ189" i="110"/>
  <c r="AJ157" i="110"/>
  <c r="AJ156" i="110"/>
  <c r="AJ155" i="110"/>
  <c r="AJ153" i="110"/>
  <c r="AJ152" i="110"/>
  <c r="AJ151" i="110"/>
  <c r="AK148" i="110"/>
  <c r="AK147" i="110"/>
  <c r="AK146" i="110"/>
  <c r="AK144" i="110"/>
  <c r="AK143" i="110"/>
  <c r="AK142" i="110"/>
  <c r="I160" i="36"/>
  <c r="I132" i="36"/>
  <c r="J76" i="110"/>
  <c r="J94" i="110"/>
  <c r="AM157" i="110"/>
  <c r="AM156" i="110"/>
  <c r="AM155" i="110"/>
  <c r="AM153" i="110"/>
  <c r="AM152" i="110"/>
  <c r="AM151" i="110"/>
  <c r="H22" i="35"/>
  <c r="J22" i="35"/>
  <c r="AP157" i="110"/>
  <c r="AP156" i="110"/>
  <c r="AP155" i="110"/>
  <c r="AP153" i="110"/>
  <c r="AP152" i="110"/>
  <c r="AP151" i="110"/>
  <c r="AJ22" i="35"/>
  <c r="I76" i="110"/>
  <c r="I94" i="110"/>
  <c r="AI148" i="110"/>
  <c r="AI147" i="110"/>
  <c r="AI146" i="110"/>
  <c r="AI144" i="110"/>
  <c r="AI143" i="110"/>
  <c r="AI142" i="110"/>
  <c r="E94" i="110"/>
  <c r="E76" i="110"/>
  <c r="AD35" i="35" l="1"/>
  <c r="E50" i="112" s="1"/>
  <c r="E50" i="142" s="1"/>
  <c r="AD38" i="35"/>
  <c r="E53" i="112" s="1"/>
  <c r="E53" i="142" s="1"/>
  <c r="AD28" i="35"/>
  <c r="E43" i="112" s="1"/>
  <c r="E43" i="142" s="1"/>
  <c r="AD29" i="35"/>
  <c r="E44" i="112" s="1"/>
  <c r="E44" i="142" s="1"/>
  <c r="AD37" i="35"/>
  <c r="E52" i="112" s="1"/>
  <c r="E52" i="142" s="1"/>
  <c r="AD31" i="35"/>
  <c r="E46" i="112" s="1"/>
  <c r="E46" i="142" s="1"/>
  <c r="AD41" i="35"/>
  <c r="AD33" i="35"/>
  <c r="E48" i="112" s="1"/>
  <c r="E48" i="142" s="1"/>
  <c r="AD40" i="35"/>
  <c r="E55" i="112" s="1"/>
  <c r="E55" i="142" s="1"/>
  <c r="AD30" i="35"/>
  <c r="E45" i="112" s="1"/>
  <c r="E45" i="142" s="1"/>
  <c r="AD27" i="35"/>
  <c r="E42" i="112" s="1"/>
  <c r="E42" i="142" s="1"/>
  <c r="AD36" i="35"/>
  <c r="E51" i="112" s="1"/>
  <c r="E51" i="142" s="1"/>
  <c r="AD32" i="35"/>
  <c r="E47" i="112" s="1"/>
  <c r="E47" i="142" s="1"/>
  <c r="AD22" i="35"/>
  <c r="AD39" i="35"/>
  <c r="E54" i="112" s="1"/>
  <c r="E54" i="142" s="1"/>
  <c r="AD34" i="35"/>
  <c r="E49" i="112" s="1"/>
  <c r="E49" i="142" s="1"/>
  <c r="L174" i="36"/>
  <c r="L181" i="36"/>
  <c r="L180" i="36"/>
  <c r="L170" i="36"/>
  <c r="L177" i="36"/>
  <c r="L176" i="36"/>
  <c r="L179" i="36"/>
  <c r="AI177" i="36"/>
  <c r="G181" i="36"/>
  <c r="G176" i="36"/>
  <c r="G175" i="36"/>
  <c r="G172" i="36"/>
  <c r="G168" i="36"/>
  <c r="O177" i="36"/>
  <c r="G167" i="36"/>
  <c r="O174" i="36"/>
  <c r="O172" i="36"/>
  <c r="AI168" i="36"/>
  <c r="AI170" i="36"/>
  <c r="AI175" i="36"/>
  <c r="AI174" i="36"/>
  <c r="AI171" i="36"/>
  <c r="AI179" i="36"/>
  <c r="AI169" i="36"/>
  <c r="AI172" i="36"/>
  <c r="AI167" i="36"/>
  <c r="AI181" i="36"/>
  <c r="AI176" i="36"/>
  <c r="AI180" i="36"/>
  <c r="AI178" i="36"/>
  <c r="O176" i="36"/>
  <c r="O167" i="36"/>
  <c r="O175" i="36"/>
  <c r="O181" i="36"/>
  <c r="O171" i="36"/>
  <c r="O180" i="36"/>
  <c r="O170" i="36"/>
  <c r="O179" i="36"/>
  <c r="O169" i="36"/>
  <c r="O178" i="36"/>
  <c r="O168" i="36"/>
  <c r="L104" i="112"/>
  <c r="G174" i="36"/>
  <c r="G173" i="36"/>
  <c r="G180" i="36"/>
  <c r="G171" i="36"/>
  <c r="G178" i="36"/>
  <c r="G170" i="36"/>
  <c r="G177" i="36"/>
  <c r="G169" i="36"/>
  <c r="L102" i="112"/>
  <c r="O40" i="35"/>
  <c r="P55" i="111" s="1"/>
  <c r="P55" i="141" s="1"/>
  <c r="P181" i="36"/>
  <c r="P180" i="36"/>
  <c r="P178" i="36"/>
  <c r="P176" i="36"/>
  <c r="P172" i="36"/>
  <c r="P171" i="36"/>
  <c r="P169" i="36"/>
  <c r="N33" i="35"/>
  <c r="O48" i="111" s="1"/>
  <c r="O48" i="141" s="1"/>
  <c r="P168" i="36"/>
  <c r="L108" i="142"/>
  <c r="P179" i="36"/>
  <c r="P170" i="36"/>
  <c r="P175" i="36"/>
  <c r="P167" i="36"/>
  <c r="P174" i="36"/>
  <c r="P177" i="36"/>
  <c r="M180" i="36"/>
  <c r="L110" i="142"/>
  <c r="L30" i="35"/>
  <c r="M45" i="111" s="1"/>
  <c r="M45" i="141" s="1"/>
  <c r="L32" i="35"/>
  <c r="M47" i="111" s="1"/>
  <c r="M47" i="141" s="1"/>
  <c r="L37" i="35"/>
  <c r="M52" i="111" s="1"/>
  <c r="M52" i="141" s="1"/>
  <c r="L39" i="35"/>
  <c r="M54" i="111" s="1"/>
  <c r="M54" i="141" s="1"/>
  <c r="P37" i="35"/>
  <c r="Q52" i="111" s="1"/>
  <c r="Q52" i="141" s="1"/>
  <c r="L36" i="35"/>
  <c r="M51" i="111" s="1"/>
  <c r="M51" i="141" s="1"/>
  <c r="L38" i="35"/>
  <c r="M53" i="111" s="1"/>
  <c r="M53" i="141" s="1"/>
  <c r="P34" i="35"/>
  <c r="Q49" i="111" s="1"/>
  <c r="Q49" i="141" s="1"/>
  <c r="P32" i="35"/>
  <c r="Q47" i="111" s="1"/>
  <c r="Q47" i="141" s="1"/>
  <c r="P36" i="35"/>
  <c r="Q51" i="111" s="1"/>
  <c r="Q51" i="141" s="1"/>
  <c r="I98" i="112"/>
  <c r="N29" i="35"/>
  <c r="O44" i="111" s="1"/>
  <c r="O44" i="141" s="1"/>
  <c r="I110" i="112"/>
  <c r="J142" i="36"/>
  <c r="I106" i="142"/>
  <c r="L105" i="142"/>
  <c r="I104" i="112"/>
  <c r="I101" i="112"/>
  <c r="M181" i="36"/>
  <c r="M177" i="36"/>
  <c r="M169" i="36"/>
  <c r="M171" i="36"/>
  <c r="M176" i="36"/>
  <c r="M179" i="36"/>
  <c r="M168" i="36"/>
  <c r="M172" i="36"/>
  <c r="M175" i="36"/>
  <c r="M170" i="36"/>
  <c r="M167" i="36"/>
  <c r="M178" i="36"/>
  <c r="M174" i="36"/>
  <c r="I109" i="112"/>
  <c r="I100" i="112"/>
  <c r="I102" i="112"/>
  <c r="I107" i="142"/>
  <c r="I112" i="112"/>
  <c r="L99" i="112"/>
  <c r="I111" i="112"/>
  <c r="L111" i="112"/>
  <c r="I99" i="112"/>
  <c r="I103" i="112"/>
  <c r="L100" i="112"/>
  <c r="L109" i="112"/>
  <c r="AI222" i="36"/>
  <c r="I113" i="142" s="1"/>
  <c r="I108" i="112"/>
  <c r="L107" i="112"/>
  <c r="L112" i="112"/>
  <c r="L101" i="142"/>
  <c r="L103" i="112"/>
  <c r="AL222" i="36"/>
  <c r="L113" i="142" s="1"/>
  <c r="L98" i="142"/>
  <c r="F145" i="110"/>
  <c r="M109" i="111"/>
  <c r="M109" i="141" s="1"/>
  <c r="H179" i="36"/>
  <c r="M22" i="35"/>
  <c r="M33" i="35"/>
  <c r="N48" i="111" s="1"/>
  <c r="N48" i="141" s="1"/>
  <c r="M37" i="35"/>
  <c r="N52" i="111" s="1"/>
  <c r="N52" i="141" s="1"/>
  <c r="M29" i="35"/>
  <c r="N44" i="111" s="1"/>
  <c r="N44" i="141" s="1"/>
  <c r="M31" i="35"/>
  <c r="N46" i="111" s="1"/>
  <c r="N46" i="141" s="1"/>
  <c r="K29" i="35"/>
  <c r="L44" i="111" s="1"/>
  <c r="L44" i="141" s="1"/>
  <c r="K34" i="35"/>
  <c r="L49" i="111" s="1"/>
  <c r="L49" i="141" s="1"/>
  <c r="K40" i="35"/>
  <c r="L55" i="111" s="1"/>
  <c r="L55" i="141" s="1"/>
  <c r="M30" i="35"/>
  <c r="N45" i="111" s="1"/>
  <c r="N45" i="141" s="1"/>
  <c r="M26" i="35"/>
  <c r="N41" i="111" s="1"/>
  <c r="N41" i="141" s="1"/>
  <c r="K36" i="35"/>
  <c r="L51" i="111" s="1"/>
  <c r="L51" i="141" s="1"/>
  <c r="K38" i="35"/>
  <c r="L53" i="111" s="1"/>
  <c r="L53" i="141" s="1"/>
  <c r="M39" i="35"/>
  <c r="N54" i="111" s="1"/>
  <c r="N54" i="141" s="1"/>
  <c r="M38" i="35"/>
  <c r="N53" i="111" s="1"/>
  <c r="N53" i="141" s="1"/>
  <c r="K30" i="35"/>
  <c r="L45" i="111" s="1"/>
  <c r="L45" i="141" s="1"/>
  <c r="K31" i="35"/>
  <c r="L46" i="111" s="1"/>
  <c r="L46" i="141" s="1"/>
  <c r="K37" i="35"/>
  <c r="L52" i="111" s="1"/>
  <c r="L52" i="141" s="1"/>
  <c r="K27" i="35"/>
  <c r="L42" i="111" s="1"/>
  <c r="L42" i="141" s="1"/>
  <c r="M27" i="35"/>
  <c r="N42" i="111" s="1"/>
  <c r="N42" i="141" s="1"/>
  <c r="M34" i="35"/>
  <c r="N49" i="111" s="1"/>
  <c r="N49" i="141" s="1"/>
  <c r="K33" i="35"/>
  <c r="L48" i="111" s="1"/>
  <c r="L48" i="141" s="1"/>
  <c r="K26" i="35"/>
  <c r="L41" i="111" s="1"/>
  <c r="L41" i="141" s="1"/>
  <c r="M28" i="35"/>
  <c r="N43" i="111" s="1"/>
  <c r="N43" i="141" s="1"/>
  <c r="M40" i="35"/>
  <c r="N55" i="111" s="1"/>
  <c r="N55" i="141" s="1"/>
  <c r="K35" i="35"/>
  <c r="L50" i="111" s="1"/>
  <c r="L50" i="141" s="1"/>
  <c r="K32" i="35"/>
  <c r="L47" i="111" s="1"/>
  <c r="L47" i="141" s="1"/>
  <c r="M36" i="35"/>
  <c r="N51" i="111" s="1"/>
  <c r="N51" i="141" s="1"/>
  <c r="K22" i="35"/>
  <c r="K28" i="35"/>
  <c r="L43" i="111" s="1"/>
  <c r="L43" i="141" s="1"/>
  <c r="M35" i="35"/>
  <c r="N50" i="111" s="1"/>
  <c r="N50" i="141" s="1"/>
  <c r="H178" i="36"/>
  <c r="F23" i="36"/>
  <c r="F131" i="36" s="1"/>
  <c r="AK47" i="110"/>
  <c r="AK117" i="110" s="1"/>
  <c r="AK165" i="110" s="1"/>
  <c r="O27" i="35"/>
  <c r="P42" i="111" s="1"/>
  <c r="P42" i="141" s="1"/>
  <c r="P38" i="35"/>
  <c r="Q53" i="111" s="1"/>
  <c r="Q53" i="141" s="1"/>
  <c r="H171" i="36"/>
  <c r="H170" i="36"/>
  <c r="N35" i="35"/>
  <c r="O50" i="111" s="1"/>
  <c r="O50" i="141" s="1"/>
  <c r="L40" i="35"/>
  <c r="M55" i="111" s="1"/>
  <c r="M55" i="141" s="1"/>
  <c r="H177" i="36"/>
  <c r="H169" i="36"/>
  <c r="N28" i="35"/>
  <c r="O43" i="111" s="1"/>
  <c r="O43" i="141" s="1"/>
  <c r="L35" i="35"/>
  <c r="M50" i="111" s="1"/>
  <c r="M50" i="141" s="1"/>
  <c r="P31" i="35"/>
  <c r="Q46" i="111" s="1"/>
  <c r="Q46" i="141" s="1"/>
  <c r="P29" i="35"/>
  <c r="Q44" i="111" s="1"/>
  <c r="Q44" i="141" s="1"/>
  <c r="N32" i="35"/>
  <c r="O47" i="111" s="1"/>
  <c r="O47" i="141" s="1"/>
  <c r="N27" i="35"/>
  <c r="O42" i="111" s="1"/>
  <c r="O42" i="141" s="1"/>
  <c r="L34" i="35"/>
  <c r="M49" i="111" s="1"/>
  <c r="M49" i="141" s="1"/>
  <c r="L27" i="35"/>
  <c r="M42" i="111" s="1"/>
  <c r="M42" i="141" s="1"/>
  <c r="P28" i="35"/>
  <c r="Q43" i="111" s="1"/>
  <c r="Q43" i="141" s="1"/>
  <c r="P39" i="35"/>
  <c r="Q54" i="111" s="1"/>
  <c r="Q54" i="141" s="1"/>
  <c r="H176" i="36"/>
  <c r="H168" i="36"/>
  <c r="N39" i="35"/>
  <c r="O54" i="111" s="1"/>
  <c r="O54" i="141" s="1"/>
  <c r="N40" i="35"/>
  <c r="O55" i="111" s="1"/>
  <c r="O55" i="141" s="1"/>
  <c r="N36" i="35"/>
  <c r="O51" i="111" s="1"/>
  <c r="O51" i="141" s="1"/>
  <c r="N37" i="35"/>
  <c r="O52" i="111" s="1"/>
  <c r="O52" i="141" s="1"/>
  <c r="L33" i="35"/>
  <c r="M48" i="111" s="1"/>
  <c r="M48" i="141" s="1"/>
  <c r="L31" i="35"/>
  <c r="M46" i="111" s="1"/>
  <c r="M46" i="141" s="1"/>
  <c r="P33" i="35"/>
  <c r="Q48" i="111" s="1"/>
  <c r="Q48" i="141" s="1"/>
  <c r="P40" i="35"/>
  <c r="Q55" i="111" s="1"/>
  <c r="Q55" i="141" s="1"/>
  <c r="K114" i="36"/>
  <c r="K169" i="36" s="1"/>
  <c r="H174" i="36"/>
  <c r="H175" i="36"/>
  <c r="N34" i="35"/>
  <c r="O49" i="111" s="1"/>
  <c r="O49" i="141" s="1"/>
  <c r="N31" i="35"/>
  <c r="O46" i="111" s="1"/>
  <c r="O46" i="141" s="1"/>
  <c r="L29" i="35"/>
  <c r="M44" i="111" s="1"/>
  <c r="M44" i="141" s="1"/>
  <c r="L28" i="35"/>
  <c r="M43" i="111" s="1"/>
  <c r="M43" i="141" s="1"/>
  <c r="P27" i="35"/>
  <c r="Q42" i="111" s="1"/>
  <c r="Q42" i="141" s="1"/>
  <c r="P26" i="35"/>
  <c r="Q41" i="111" s="1"/>
  <c r="Q41" i="141" s="1"/>
  <c r="H181" i="36"/>
  <c r="H173" i="36"/>
  <c r="N30" i="35"/>
  <c r="O45" i="111" s="1"/>
  <c r="O45" i="141" s="1"/>
  <c r="N26" i="35"/>
  <c r="O41" i="111" s="1"/>
  <c r="O41" i="141" s="1"/>
  <c r="H167" i="36"/>
  <c r="L22" i="35"/>
  <c r="N38" i="35"/>
  <c r="O53" i="111" s="1"/>
  <c r="O53" i="141" s="1"/>
  <c r="P35" i="35"/>
  <c r="Q50" i="111" s="1"/>
  <c r="Q50" i="141" s="1"/>
  <c r="P30" i="35"/>
  <c r="Q45" i="111" s="1"/>
  <c r="Q45" i="141" s="1"/>
  <c r="H180" i="36"/>
  <c r="H172" i="36"/>
  <c r="O35" i="35"/>
  <c r="P50" i="111" s="1"/>
  <c r="P50" i="141" s="1"/>
  <c r="O31" i="35"/>
  <c r="P46" i="111" s="1"/>
  <c r="P46" i="141" s="1"/>
  <c r="O34" i="35"/>
  <c r="P49" i="111" s="1"/>
  <c r="P49" i="141" s="1"/>
  <c r="O37" i="35"/>
  <c r="P52" i="111" s="1"/>
  <c r="P52" i="141" s="1"/>
  <c r="O26" i="35"/>
  <c r="P41" i="111" s="1"/>
  <c r="P41" i="141" s="1"/>
  <c r="O28" i="35"/>
  <c r="P43" i="111" s="1"/>
  <c r="P43" i="141" s="1"/>
  <c r="O36" i="35"/>
  <c r="P51" i="111" s="1"/>
  <c r="P51" i="141" s="1"/>
  <c r="O29" i="35"/>
  <c r="P44" i="111" s="1"/>
  <c r="P44" i="141" s="1"/>
  <c r="O38" i="35"/>
  <c r="P53" i="111" s="1"/>
  <c r="P53" i="141" s="1"/>
  <c r="O32" i="35"/>
  <c r="P47" i="111" s="1"/>
  <c r="P47" i="141" s="1"/>
  <c r="O30" i="35"/>
  <c r="P45" i="111" s="1"/>
  <c r="P45" i="141" s="1"/>
  <c r="O22" i="35"/>
  <c r="O39" i="35"/>
  <c r="P54" i="111" s="1"/>
  <c r="P54" i="141" s="1"/>
  <c r="F136" i="110"/>
  <c r="F140" i="110"/>
  <c r="K100" i="142"/>
  <c r="K100" i="112"/>
  <c r="N107" i="142"/>
  <c r="N107" i="112"/>
  <c r="N100" i="142"/>
  <c r="N100" i="112"/>
  <c r="O108" i="142"/>
  <c r="O108" i="112"/>
  <c r="E106" i="142"/>
  <c r="E106" i="112"/>
  <c r="P110" i="142"/>
  <c r="P110" i="112"/>
  <c r="G99" i="142"/>
  <c r="G99" i="112"/>
  <c r="P104" i="142"/>
  <c r="P104" i="112"/>
  <c r="D104" i="142"/>
  <c r="D104" i="112"/>
  <c r="D100" i="112"/>
  <c r="D100" i="142"/>
  <c r="F112" i="112"/>
  <c r="F112" i="142"/>
  <c r="F109" i="142"/>
  <c r="F109" i="112"/>
  <c r="O109" i="142"/>
  <c r="O109" i="112"/>
  <c r="E99" i="142"/>
  <c r="E99" i="112"/>
  <c r="H112" i="142"/>
  <c r="H112" i="112"/>
  <c r="H109" i="112"/>
  <c r="H109" i="142"/>
  <c r="K108" i="142"/>
  <c r="K108" i="112"/>
  <c r="E102" i="142"/>
  <c r="E102" i="112"/>
  <c r="N103" i="142"/>
  <c r="N103" i="112"/>
  <c r="N109" i="142"/>
  <c r="N109" i="112"/>
  <c r="O98" i="142"/>
  <c r="O98" i="112"/>
  <c r="K98" i="142"/>
  <c r="K98" i="112"/>
  <c r="E101" i="142"/>
  <c r="E101" i="112"/>
  <c r="G111" i="142"/>
  <c r="G111" i="112"/>
  <c r="G108" i="112"/>
  <c r="G108" i="142"/>
  <c r="P102" i="142"/>
  <c r="P102" i="112"/>
  <c r="D112" i="112"/>
  <c r="D112" i="142"/>
  <c r="F105" i="142"/>
  <c r="F105" i="112"/>
  <c r="F101" i="112"/>
  <c r="F101" i="142"/>
  <c r="O102" i="142"/>
  <c r="O102" i="112"/>
  <c r="E103" i="142"/>
  <c r="E103" i="112"/>
  <c r="H105" i="142"/>
  <c r="H105" i="112"/>
  <c r="H101" i="142"/>
  <c r="H101" i="112"/>
  <c r="O99" i="142"/>
  <c r="O99" i="112"/>
  <c r="E107" i="142"/>
  <c r="E107" i="112"/>
  <c r="N112" i="142"/>
  <c r="N112" i="112"/>
  <c r="N108" i="142"/>
  <c r="N108" i="112"/>
  <c r="K105" i="142"/>
  <c r="K105" i="112"/>
  <c r="E105" i="142"/>
  <c r="E105" i="112"/>
  <c r="G104" i="142"/>
  <c r="G104" i="112"/>
  <c r="G100" i="142"/>
  <c r="G100" i="112"/>
  <c r="K103" i="142"/>
  <c r="K103" i="112"/>
  <c r="E109" i="112"/>
  <c r="E109" i="142"/>
  <c r="D109" i="112"/>
  <c r="D109" i="142"/>
  <c r="D105" i="112"/>
  <c r="D105" i="142"/>
  <c r="P108" i="142"/>
  <c r="P108" i="112"/>
  <c r="F106" i="142"/>
  <c r="F106" i="112"/>
  <c r="F102" i="142"/>
  <c r="F102" i="112"/>
  <c r="H106" i="142"/>
  <c r="H106" i="112"/>
  <c r="H102" i="142"/>
  <c r="H102" i="112"/>
  <c r="O106" i="142"/>
  <c r="O106" i="112"/>
  <c r="E110" i="142"/>
  <c r="E110" i="112"/>
  <c r="O111" i="142"/>
  <c r="O111" i="112"/>
  <c r="N98" i="142"/>
  <c r="N98" i="112"/>
  <c r="N104" i="142"/>
  <c r="N104" i="112"/>
  <c r="O100" i="142"/>
  <c r="O100" i="112"/>
  <c r="G112" i="142"/>
  <c r="G112" i="112"/>
  <c r="G109" i="112"/>
  <c r="G109" i="142"/>
  <c r="K111" i="142"/>
  <c r="K111" i="112"/>
  <c r="E112" i="142"/>
  <c r="E112" i="112"/>
  <c r="D101" i="142"/>
  <c r="D101" i="112"/>
  <c r="D106" i="112"/>
  <c r="D106" i="142"/>
  <c r="K107" i="142"/>
  <c r="K107" i="112"/>
  <c r="P106" i="142"/>
  <c r="P106" i="112"/>
  <c r="F98" i="142"/>
  <c r="F98" i="112"/>
  <c r="K112" i="142"/>
  <c r="K112" i="112"/>
  <c r="P100" i="142"/>
  <c r="P100" i="112"/>
  <c r="H98" i="142"/>
  <c r="H98" i="112"/>
  <c r="H110" i="142"/>
  <c r="H110" i="112"/>
  <c r="P105" i="142"/>
  <c r="P105" i="112"/>
  <c r="N106" i="142"/>
  <c r="N106" i="112"/>
  <c r="O110" i="112"/>
  <c r="O110" i="142"/>
  <c r="G105" i="142"/>
  <c r="G105" i="112"/>
  <c r="G101" i="142"/>
  <c r="G101" i="112"/>
  <c r="O101" i="142"/>
  <c r="O101" i="112"/>
  <c r="D102" i="142"/>
  <c r="D102" i="112"/>
  <c r="D98" i="142"/>
  <c r="D98" i="112"/>
  <c r="E100" i="112"/>
  <c r="E100" i="142"/>
  <c r="F110" i="142"/>
  <c r="F110" i="112"/>
  <c r="F107" i="142"/>
  <c r="F107" i="112"/>
  <c r="K99" i="142"/>
  <c r="K99" i="112"/>
  <c r="P109" i="142"/>
  <c r="P109" i="112"/>
  <c r="H107" i="112"/>
  <c r="H107" i="142"/>
  <c r="H103" i="142"/>
  <c r="H103" i="112"/>
  <c r="N110" i="142"/>
  <c r="N110" i="112"/>
  <c r="N102" i="142"/>
  <c r="N102" i="112"/>
  <c r="P107" i="142"/>
  <c r="P107" i="112"/>
  <c r="G106" i="142"/>
  <c r="G106" i="112"/>
  <c r="G102" i="142"/>
  <c r="G102" i="112"/>
  <c r="O103" i="142"/>
  <c r="O103" i="112"/>
  <c r="D110" i="142"/>
  <c r="D110" i="112"/>
  <c r="D107" i="142"/>
  <c r="D107" i="112"/>
  <c r="O105" i="142"/>
  <c r="O105" i="112"/>
  <c r="E104" i="142"/>
  <c r="E104" i="112"/>
  <c r="F103" i="142"/>
  <c r="F103" i="112"/>
  <c r="F99" i="142"/>
  <c r="F99" i="112"/>
  <c r="E108" i="142"/>
  <c r="E108" i="112"/>
  <c r="H99" i="142"/>
  <c r="H99" i="112"/>
  <c r="H111" i="142"/>
  <c r="H111" i="112"/>
  <c r="N99" i="142"/>
  <c r="N99" i="112"/>
  <c r="N105" i="142"/>
  <c r="N105" i="112"/>
  <c r="K109" i="142"/>
  <c r="K109" i="112"/>
  <c r="P111" i="142"/>
  <c r="P111" i="112"/>
  <c r="G98" i="142"/>
  <c r="G98" i="112"/>
  <c r="G110" i="112"/>
  <c r="G110" i="142"/>
  <c r="D103" i="112"/>
  <c r="D103" i="142"/>
  <c r="D99" i="142"/>
  <c r="D99" i="112"/>
  <c r="O107" i="142"/>
  <c r="O107" i="112"/>
  <c r="F111" i="142"/>
  <c r="F111" i="112"/>
  <c r="F108" i="142"/>
  <c r="F108" i="112"/>
  <c r="E111" i="112"/>
  <c r="E111" i="142"/>
  <c r="K101" i="142"/>
  <c r="K101" i="112"/>
  <c r="P112" i="142"/>
  <c r="P112" i="112"/>
  <c r="H108" i="142"/>
  <c r="H108" i="112"/>
  <c r="H104" i="142"/>
  <c r="H104" i="112"/>
  <c r="N111" i="142"/>
  <c r="N111" i="112"/>
  <c r="N101" i="142"/>
  <c r="N101" i="112"/>
  <c r="K110" i="142"/>
  <c r="K110" i="112"/>
  <c r="P99" i="142"/>
  <c r="P99" i="112"/>
  <c r="G107" i="142"/>
  <c r="G107" i="112"/>
  <c r="G103" i="142"/>
  <c r="G103" i="112"/>
  <c r="D111" i="142"/>
  <c r="D111" i="112"/>
  <c r="D108" i="142"/>
  <c r="D108" i="112"/>
  <c r="F104" i="142"/>
  <c r="F104" i="112"/>
  <c r="F100" i="142"/>
  <c r="F100" i="112"/>
  <c r="O112" i="142"/>
  <c r="O112" i="112"/>
  <c r="K104" i="142"/>
  <c r="K104" i="112"/>
  <c r="P98" i="142"/>
  <c r="P98" i="112"/>
  <c r="H100" i="142"/>
  <c r="H100" i="112"/>
  <c r="K102" i="142"/>
  <c r="K102" i="112"/>
  <c r="P101" i="142"/>
  <c r="P101" i="112"/>
  <c r="H37" i="142"/>
  <c r="F30" i="141"/>
  <c r="E36" i="141"/>
  <c r="D27" i="141"/>
  <c r="F23" i="141"/>
  <c r="D34" i="141"/>
  <c r="D28" i="141"/>
  <c r="D35" i="141"/>
  <c r="D32" i="141"/>
  <c r="D30" i="141"/>
  <c r="D29" i="141"/>
  <c r="D24" i="141"/>
  <c r="D36" i="141"/>
  <c r="D26" i="141"/>
  <c r="D25" i="141"/>
  <c r="D33" i="141"/>
  <c r="H26" i="142"/>
  <c r="H33" i="142"/>
  <c r="E34" i="142"/>
  <c r="H36" i="142"/>
  <c r="H22" i="142"/>
  <c r="H28" i="142"/>
  <c r="H23" i="142"/>
  <c r="H31" i="142"/>
  <c r="H32" i="142"/>
  <c r="H35" i="142"/>
  <c r="H27" i="142"/>
  <c r="H30" i="142"/>
  <c r="H24" i="142"/>
  <c r="H29" i="142"/>
  <c r="J113" i="142"/>
  <c r="J113" i="112"/>
  <c r="Q113" i="112"/>
  <c r="Q113" i="142"/>
  <c r="M113" i="142"/>
  <c r="M113" i="112"/>
  <c r="F37" i="142"/>
  <c r="D37" i="142"/>
  <c r="AU39" i="35"/>
  <c r="V54" i="112" s="1"/>
  <c r="V54" i="142" s="1"/>
  <c r="AU29" i="35"/>
  <c r="V44" i="112" s="1"/>
  <c r="V44" i="142" s="1"/>
  <c r="AU34" i="35"/>
  <c r="V49" i="112" s="1"/>
  <c r="V49" i="142" s="1"/>
  <c r="AU41" i="35"/>
  <c r="V56" i="112" s="1"/>
  <c r="V56" i="142" s="1"/>
  <c r="AU38" i="35"/>
  <c r="V53" i="112" s="1"/>
  <c r="V53" i="142" s="1"/>
  <c r="AU40" i="35"/>
  <c r="V55" i="112" s="1"/>
  <c r="V55" i="142" s="1"/>
  <c r="AU28" i="35"/>
  <c r="V43" i="112" s="1"/>
  <c r="V43" i="142" s="1"/>
  <c r="AU37" i="35"/>
  <c r="V52" i="112" s="1"/>
  <c r="V52" i="142" s="1"/>
  <c r="AU32" i="35"/>
  <c r="V47" i="112" s="1"/>
  <c r="V47" i="142" s="1"/>
  <c r="AU35" i="35"/>
  <c r="V50" i="112" s="1"/>
  <c r="V50" i="142" s="1"/>
  <c r="AU36" i="35"/>
  <c r="V51" i="112" s="1"/>
  <c r="V51" i="142" s="1"/>
  <c r="AU27" i="35"/>
  <c r="V42" i="112" s="1"/>
  <c r="V42" i="142" s="1"/>
  <c r="AU26" i="35"/>
  <c r="V41" i="112" s="1"/>
  <c r="V41" i="142" s="1"/>
  <c r="AU33" i="35"/>
  <c r="V48" i="112" s="1"/>
  <c r="V48" i="142" s="1"/>
  <c r="AU30" i="35"/>
  <c r="V45" i="112" s="1"/>
  <c r="V45" i="142" s="1"/>
  <c r="AU31" i="35"/>
  <c r="V46" i="112" s="1"/>
  <c r="V46" i="142" s="1"/>
  <c r="AU22" i="35"/>
  <c r="V28" i="35"/>
  <c r="W43" i="111" s="1"/>
  <c r="W43" i="141" s="1"/>
  <c r="V39" i="35"/>
  <c r="W54" i="111" s="1"/>
  <c r="W54" i="141" s="1"/>
  <c r="V29" i="35"/>
  <c r="W44" i="111" s="1"/>
  <c r="W44" i="141" s="1"/>
  <c r="V33" i="35"/>
  <c r="W48" i="111" s="1"/>
  <c r="W48" i="141" s="1"/>
  <c r="V38" i="35"/>
  <c r="W53" i="111" s="1"/>
  <c r="W53" i="141" s="1"/>
  <c r="V37" i="35"/>
  <c r="W52" i="111" s="1"/>
  <c r="W52" i="141" s="1"/>
  <c r="V35" i="35"/>
  <c r="W50" i="111" s="1"/>
  <c r="W50" i="141" s="1"/>
  <c r="V22" i="35"/>
  <c r="V26" i="35"/>
  <c r="V40" i="35"/>
  <c r="W55" i="111" s="1"/>
  <c r="W55" i="141" s="1"/>
  <c r="V32" i="35"/>
  <c r="W47" i="111" s="1"/>
  <c r="W47" i="141" s="1"/>
  <c r="V36" i="35"/>
  <c r="W51" i="111" s="1"/>
  <c r="W51" i="141" s="1"/>
  <c r="V27" i="35"/>
  <c r="W42" i="111" s="1"/>
  <c r="W42" i="141" s="1"/>
  <c r="V30" i="35"/>
  <c r="W45" i="111" s="1"/>
  <c r="W45" i="141" s="1"/>
  <c r="V31" i="35"/>
  <c r="W46" i="111" s="1"/>
  <c r="W46" i="141" s="1"/>
  <c r="V34" i="35"/>
  <c r="W49" i="111" s="1"/>
  <c r="W49" i="141" s="1"/>
  <c r="R36" i="35"/>
  <c r="S51" i="111" s="1"/>
  <c r="S51" i="141" s="1"/>
  <c r="R31" i="35"/>
  <c r="S46" i="111" s="1"/>
  <c r="S46" i="141" s="1"/>
  <c r="R22" i="35"/>
  <c r="R30" i="35"/>
  <c r="S45" i="111" s="1"/>
  <c r="S45" i="141" s="1"/>
  <c r="R28" i="35"/>
  <c r="S43" i="111" s="1"/>
  <c r="S43" i="141" s="1"/>
  <c r="R40" i="35"/>
  <c r="S55" i="111" s="1"/>
  <c r="S55" i="141" s="1"/>
  <c r="R33" i="35"/>
  <c r="S48" i="111" s="1"/>
  <c r="S48" i="141" s="1"/>
  <c r="R38" i="35"/>
  <c r="S53" i="111" s="1"/>
  <c r="S53" i="141" s="1"/>
  <c r="R26" i="35"/>
  <c r="R29" i="35"/>
  <c r="S44" i="111" s="1"/>
  <c r="S44" i="141" s="1"/>
  <c r="R35" i="35"/>
  <c r="S50" i="111" s="1"/>
  <c r="S50" i="141" s="1"/>
  <c r="R39" i="35"/>
  <c r="S54" i="111" s="1"/>
  <c r="S54" i="141" s="1"/>
  <c r="R27" i="35"/>
  <c r="S42" i="111" s="1"/>
  <c r="S42" i="141" s="1"/>
  <c r="R37" i="35"/>
  <c r="S52" i="111" s="1"/>
  <c r="S52" i="141" s="1"/>
  <c r="R32" i="35"/>
  <c r="S47" i="111" s="1"/>
  <c r="S47" i="141" s="1"/>
  <c r="R34" i="35"/>
  <c r="S49" i="111" s="1"/>
  <c r="S49" i="141" s="1"/>
  <c r="AX22" i="35"/>
  <c r="AX33" i="35"/>
  <c r="Y48" i="112" s="1"/>
  <c r="Y48" i="142" s="1"/>
  <c r="AX38" i="35"/>
  <c r="Y53" i="112" s="1"/>
  <c r="Y53" i="142" s="1"/>
  <c r="AX31" i="35"/>
  <c r="Y46" i="112" s="1"/>
  <c r="Y46" i="142" s="1"/>
  <c r="AX36" i="35"/>
  <c r="Y51" i="112" s="1"/>
  <c r="Y51" i="142" s="1"/>
  <c r="AX37" i="35"/>
  <c r="Y52" i="112" s="1"/>
  <c r="Y52" i="142" s="1"/>
  <c r="AX32" i="35"/>
  <c r="Y47" i="112" s="1"/>
  <c r="Y47" i="142" s="1"/>
  <c r="AX35" i="35"/>
  <c r="Y50" i="112" s="1"/>
  <c r="Y50" i="142" s="1"/>
  <c r="AX29" i="35"/>
  <c r="Y44" i="112" s="1"/>
  <c r="Y44" i="142" s="1"/>
  <c r="AX30" i="35"/>
  <c r="Y45" i="112" s="1"/>
  <c r="Y45" i="142" s="1"/>
  <c r="AX27" i="35"/>
  <c r="Y42" i="112" s="1"/>
  <c r="Y42" i="142" s="1"/>
  <c r="AX26" i="35"/>
  <c r="Y41" i="112" s="1"/>
  <c r="Y41" i="142" s="1"/>
  <c r="AX40" i="35"/>
  <c r="Y55" i="112" s="1"/>
  <c r="Y55" i="142" s="1"/>
  <c r="AX34" i="35"/>
  <c r="Y49" i="112" s="1"/>
  <c r="Y49" i="142" s="1"/>
  <c r="AX41" i="35"/>
  <c r="Y56" i="112" s="1"/>
  <c r="Y56" i="142" s="1"/>
  <c r="AX28" i="35"/>
  <c r="Y43" i="112" s="1"/>
  <c r="Y43" i="142" s="1"/>
  <c r="AX39" i="35"/>
  <c r="Y54" i="112" s="1"/>
  <c r="Y54" i="142" s="1"/>
  <c r="AZ29" i="35"/>
  <c r="AA44" i="112" s="1"/>
  <c r="AA44" i="142" s="1"/>
  <c r="AZ27" i="35"/>
  <c r="AA42" i="112" s="1"/>
  <c r="AA42" i="142" s="1"/>
  <c r="AZ38" i="35"/>
  <c r="AA53" i="112" s="1"/>
  <c r="AA53" i="142" s="1"/>
  <c r="AZ33" i="35"/>
  <c r="AA48" i="112" s="1"/>
  <c r="AA48" i="142" s="1"/>
  <c r="AZ31" i="35"/>
  <c r="AA46" i="112" s="1"/>
  <c r="AA46" i="142" s="1"/>
  <c r="AZ40" i="35"/>
  <c r="AA55" i="112" s="1"/>
  <c r="AA55" i="142" s="1"/>
  <c r="AZ37" i="35"/>
  <c r="AA52" i="112" s="1"/>
  <c r="AA52" i="142" s="1"/>
  <c r="AZ39" i="35"/>
  <c r="AA54" i="112" s="1"/>
  <c r="AA54" i="142" s="1"/>
  <c r="AZ36" i="35"/>
  <c r="AA51" i="112" s="1"/>
  <c r="AA51" i="142" s="1"/>
  <c r="AZ41" i="35"/>
  <c r="AA56" i="112" s="1"/>
  <c r="AA56" i="142" s="1"/>
  <c r="AZ35" i="35"/>
  <c r="AA50" i="112" s="1"/>
  <c r="AA50" i="142" s="1"/>
  <c r="AZ34" i="35"/>
  <c r="AA49" i="112" s="1"/>
  <c r="AA49" i="142" s="1"/>
  <c r="AZ28" i="35"/>
  <c r="AA43" i="112" s="1"/>
  <c r="AA43" i="142" s="1"/>
  <c r="AZ26" i="35"/>
  <c r="AA41" i="112" s="1"/>
  <c r="AA41" i="142" s="1"/>
  <c r="AZ22" i="35"/>
  <c r="AZ32" i="35"/>
  <c r="AA47" i="112" s="1"/>
  <c r="AA47" i="142" s="1"/>
  <c r="AZ30" i="35"/>
  <c r="AA45" i="112" s="1"/>
  <c r="AA45" i="142" s="1"/>
  <c r="S29" i="35"/>
  <c r="T44" i="111" s="1"/>
  <c r="T44" i="141" s="1"/>
  <c r="S39" i="35"/>
  <c r="T54" i="111" s="1"/>
  <c r="T54" i="141" s="1"/>
  <c r="S27" i="35"/>
  <c r="T42" i="111" s="1"/>
  <c r="T42" i="141" s="1"/>
  <c r="S32" i="35"/>
  <c r="T47" i="111" s="1"/>
  <c r="T47" i="141" s="1"/>
  <c r="S28" i="35"/>
  <c r="T43" i="111" s="1"/>
  <c r="T43" i="141" s="1"/>
  <c r="S36" i="35"/>
  <c r="T51" i="111" s="1"/>
  <c r="T51" i="141" s="1"/>
  <c r="S38" i="35"/>
  <c r="T53" i="111" s="1"/>
  <c r="T53" i="141" s="1"/>
  <c r="S33" i="35"/>
  <c r="T48" i="111" s="1"/>
  <c r="T48" i="141" s="1"/>
  <c r="S34" i="35"/>
  <c r="T49" i="111" s="1"/>
  <c r="T49" i="141" s="1"/>
  <c r="S31" i="35"/>
  <c r="T46" i="111" s="1"/>
  <c r="T46" i="141" s="1"/>
  <c r="S40" i="35"/>
  <c r="T55" i="111" s="1"/>
  <c r="T55" i="141" s="1"/>
  <c r="S22" i="35"/>
  <c r="S30" i="35"/>
  <c r="T45" i="111" s="1"/>
  <c r="T45" i="141" s="1"/>
  <c r="S37" i="35"/>
  <c r="T52" i="111" s="1"/>
  <c r="T52" i="141" s="1"/>
  <c r="S26" i="35"/>
  <c r="S35" i="35"/>
  <c r="T50" i="111" s="1"/>
  <c r="T50" i="141" s="1"/>
  <c r="T28" i="35"/>
  <c r="U43" i="111" s="1"/>
  <c r="U43" i="141" s="1"/>
  <c r="T33" i="35"/>
  <c r="U48" i="111" s="1"/>
  <c r="U48" i="141" s="1"/>
  <c r="T29" i="35"/>
  <c r="U44" i="111" s="1"/>
  <c r="U44" i="141" s="1"/>
  <c r="T36" i="35"/>
  <c r="U51" i="111" s="1"/>
  <c r="U51" i="141" s="1"/>
  <c r="T26" i="35"/>
  <c r="T39" i="35"/>
  <c r="U54" i="111" s="1"/>
  <c r="U54" i="141" s="1"/>
  <c r="T38" i="35"/>
  <c r="U53" i="111" s="1"/>
  <c r="U53" i="141" s="1"/>
  <c r="T35" i="35"/>
  <c r="U50" i="111" s="1"/>
  <c r="U50" i="141" s="1"/>
  <c r="T40" i="35"/>
  <c r="U55" i="111" s="1"/>
  <c r="U55" i="141" s="1"/>
  <c r="T32" i="35"/>
  <c r="U47" i="111" s="1"/>
  <c r="U47" i="141" s="1"/>
  <c r="T31" i="35"/>
  <c r="U46" i="111" s="1"/>
  <c r="U46" i="141" s="1"/>
  <c r="T34" i="35"/>
  <c r="U49" i="111" s="1"/>
  <c r="U49" i="141" s="1"/>
  <c r="T27" i="35"/>
  <c r="U42" i="111" s="1"/>
  <c r="U42" i="141" s="1"/>
  <c r="T37" i="35"/>
  <c r="U52" i="111" s="1"/>
  <c r="U52" i="141" s="1"/>
  <c r="T30" i="35"/>
  <c r="U45" i="111" s="1"/>
  <c r="U45" i="141" s="1"/>
  <c r="T22" i="35"/>
  <c r="AW34" i="35"/>
  <c r="X49" i="112" s="1"/>
  <c r="X49" i="142" s="1"/>
  <c r="AW31" i="35"/>
  <c r="X46" i="112" s="1"/>
  <c r="X46" i="142" s="1"/>
  <c r="AW41" i="35"/>
  <c r="X56" i="112" s="1"/>
  <c r="X56" i="142" s="1"/>
  <c r="AW32" i="35"/>
  <c r="X47" i="112" s="1"/>
  <c r="X47" i="142" s="1"/>
  <c r="AW30" i="35"/>
  <c r="X45" i="112" s="1"/>
  <c r="X45" i="142" s="1"/>
  <c r="AW39" i="35"/>
  <c r="X54" i="112" s="1"/>
  <c r="X54" i="142" s="1"/>
  <c r="AW36" i="35"/>
  <c r="X51" i="112" s="1"/>
  <c r="X51" i="142" s="1"/>
  <c r="AW28" i="35"/>
  <c r="X43" i="112" s="1"/>
  <c r="X43" i="142" s="1"/>
  <c r="AW27" i="35"/>
  <c r="X42" i="112" s="1"/>
  <c r="X42" i="142" s="1"/>
  <c r="AW37" i="35"/>
  <c r="X52" i="112" s="1"/>
  <c r="X52" i="142" s="1"/>
  <c r="AW40" i="35"/>
  <c r="X55" i="112" s="1"/>
  <c r="X55" i="142" s="1"/>
  <c r="AW38" i="35"/>
  <c r="X53" i="112" s="1"/>
  <c r="X53" i="142" s="1"/>
  <c r="AW22" i="35"/>
  <c r="AW33" i="35"/>
  <c r="X48" i="112" s="1"/>
  <c r="X48" i="142" s="1"/>
  <c r="AW26" i="35"/>
  <c r="X41" i="112" s="1"/>
  <c r="X41" i="142" s="1"/>
  <c r="AW29" i="35"/>
  <c r="X44" i="112" s="1"/>
  <c r="X44" i="142" s="1"/>
  <c r="AW35" i="35"/>
  <c r="X50" i="112" s="1"/>
  <c r="X50" i="142" s="1"/>
  <c r="Q26" i="35"/>
  <c r="Q27" i="35"/>
  <c r="R42" i="111" s="1"/>
  <c r="R42" i="141" s="1"/>
  <c r="Q34" i="35"/>
  <c r="R49" i="111" s="1"/>
  <c r="R49" i="141" s="1"/>
  <c r="Q29" i="35"/>
  <c r="R44" i="111" s="1"/>
  <c r="R44" i="141" s="1"/>
  <c r="Q38" i="35"/>
  <c r="R53" i="111" s="1"/>
  <c r="R53" i="141" s="1"/>
  <c r="Q33" i="35"/>
  <c r="R48" i="111" s="1"/>
  <c r="R48" i="141" s="1"/>
  <c r="Q35" i="35"/>
  <c r="R50" i="111" s="1"/>
  <c r="R50" i="141" s="1"/>
  <c r="Q30" i="35"/>
  <c r="R45" i="111" s="1"/>
  <c r="R45" i="141" s="1"/>
  <c r="Q28" i="35"/>
  <c r="R43" i="111" s="1"/>
  <c r="R43" i="141" s="1"/>
  <c r="Q39" i="35"/>
  <c r="R54" i="111" s="1"/>
  <c r="R54" i="141" s="1"/>
  <c r="Q22" i="35"/>
  <c r="Q36" i="35"/>
  <c r="R51" i="111" s="1"/>
  <c r="R51" i="141" s="1"/>
  <c r="Q37" i="35"/>
  <c r="R52" i="111" s="1"/>
  <c r="R52" i="141" s="1"/>
  <c r="Q31" i="35"/>
  <c r="R46" i="111" s="1"/>
  <c r="R46" i="141" s="1"/>
  <c r="Q32" i="35"/>
  <c r="R47" i="111" s="1"/>
  <c r="R47" i="141" s="1"/>
  <c r="Q40" i="35"/>
  <c r="R55" i="111" s="1"/>
  <c r="R55" i="141" s="1"/>
  <c r="AT28" i="35"/>
  <c r="U43" i="112" s="1"/>
  <c r="U43" i="142" s="1"/>
  <c r="AT30" i="35"/>
  <c r="U45" i="112" s="1"/>
  <c r="U45" i="142" s="1"/>
  <c r="AT32" i="35"/>
  <c r="U47" i="112" s="1"/>
  <c r="U47" i="142" s="1"/>
  <c r="AT34" i="35"/>
  <c r="U49" i="112" s="1"/>
  <c r="U49" i="142" s="1"/>
  <c r="AT37" i="35"/>
  <c r="U52" i="112" s="1"/>
  <c r="U52" i="142" s="1"/>
  <c r="AT36" i="35"/>
  <c r="U51" i="112" s="1"/>
  <c r="U51" i="142" s="1"/>
  <c r="AT26" i="35"/>
  <c r="U41" i="112" s="1"/>
  <c r="U41" i="142" s="1"/>
  <c r="AT40" i="35"/>
  <c r="U55" i="112" s="1"/>
  <c r="U55" i="142" s="1"/>
  <c r="AT38" i="35"/>
  <c r="U53" i="112" s="1"/>
  <c r="U53" i="142" s="1"/>
  <c r="AT27" i="35"/>
  <c r="U42" i="112" s="1"/>
  <c r="U42" i="142" s="1"/>
  <c r="AT29" i="35"/>
  <c r="U44" i="112" s="1"/>
  <c r="U44" i="142" s="1"/>
  <c r="AT22" i="35"/>
  <c r="AT39" i="35"/>
  <c r="U54" i="112" s="1"/>
  <c r="U54" i="142" s="1"/>
  <c r="AT31" i="35"/>
  <c r="U46" i="112" s="1"/>
  <c r="U46" i="142" s="1"/>
  <c r="AT33" i="35"/>
  <c r="U48" i="112" s="1"/>
  <c r="U48" i="142" s="1"/>
  <c r="AT35" i="35"/>
  <c r="U50" i="112" s="1"/>
  <c r="U50" i="142" s="1"/>
  <c r="AT41" i="35"/>
  <c r="U56" i="112" s="1"/>
  <c r="U56" i="142" s="1"/>
  <c r="Z32" i="35"/>
  <c r="AA47" i="111" s="1"/>
  <c r="AA47" i="141" s="1"/>
  <c r="Z33" i="35"/>
  <c r="AA48" i="111" s="1"/>
  <c r="AA48" i="141" s="1"/>
  <c r="Z38" i="35"/>
  <c r="AA53" i="111" s="1"/>
  <c r="AA53" i="141" s="1"/>
  <c r="Z22" i="35"/>
  <c r="Z36" i="35"/>
  <c r="AA51" i="111" s="1"/>
  <c r="AA51" i="141" s="1"/>
  <c r="Z37" i="35"/>
  <c r="AA52" i="111" s="1"/>
  <c r="AA52" i="141" s="1"/>
  <c r="Z35" i="35"/>
  <c r="AA50" i="111" s="1"/>
  <c r="AA50" i="141" s="1"/>
  <c r="Z31" i="35"/>
  <c r="AA46" i="111" s="1"/>
  <c r="AA46" i="141" s="1"/>
  <c r="Z29" i="35"/>
  <c r="AA44" i="111" s="1"/>
  <c r="AA44" i="141" s="1"/>
  <c r="Z39" i="35"/>
  <c r="AA54" i="111" s="1"/>
  <c r="AA54" i="141" s="1"/>
  <c r="Z26" i="35"/>
  <c r="Z40" i="35"/>
  <c r="AA55" i="111" s="1"/>
  <c r="AA55" i="141" s="1"/>
  <c r="Z30" i="35"/>
  <c r="AA45" i="111" s="1"/>
  <c r="AA45" i="141" s="1"/>
  <c r="Z28" i="35"/>
  <c r="AA43" i="111" s="1"/>
  <c r="AA43" i="141" s="1"/>
  <c r="Z27" i="35"/>
  <c r="AA42" i="111" s="1"/>
  <c r="AA42" i="141" s="1"/>
  <c r="Z34" i="35"/>
  <c r="AA49" i="111" s="1"/>
  <c r="AA49" i="141" s="1"/>
  <c r="AY22" i="35"/>
  <c r="AY32" i="35"/>
  <c r="Z47" i="112" s="1"/>
  <c r="Z47" i="142" s="1"/>
  <c r="AY41" i="35"/>
  <c r="Z56" i="112" s="1"/>
  <c r="Z56" i="142" s="1"/>
  <c r="AY36" i="35"/>
  <c r="Z51" i="112" s="1"/>
  <c r="Z51" i="142" s="1"/>
  <c r="AY39" i="35"/>
  <c r="Z54" i="112" s="1"/>
  <c r="Z54" i="142" s="1"/>
  <c r="AY29" i="35"/>
  <c r="Z44" i="112" s="1"/>
  <c r="Z44" i="142" s="1"/>
  <c r="AY33" i="35"/>
  <c r="Z48" i="112" s="1"/>
  <c r="Z48" i="142" s="1"/>
  <c r="AY34" i="35"/>
  <c r="Z49" i="112" s="1"/>
  <c r="Z49" i="142" s="1"/>
  <c r="AY27" i="35"/>
  <c r="Z42" i="112" s="1"/>
  <c r="Z42" i="142" s="1"/>
  <c r="AY31" i="35"/>
  <c r="Z46" i="112" s="1"/>
  <c r="Z46" i="142" s="1"/>
  <c r="AY28" i="35"/>
  <c r="Z43" i="112" s="1"/>
  <c r="Z43" i="142" s="1"/>
  <c r="AY40" i="35"/>
  <c r="Z55" i="112" s="1"/>
  <c r="Z55" i="142" s="1"/>
  <c r="AY30" i="35"/>
  <c r="Z45" i="112" s="1"/>
  <c r="Z45" i="142" s="1"/>
  <c r="AY37" i="35"/>
  <c r="Z52" i="112" s="1"/>
  <c r="Z52" i="142" s="1"/>
  <c r="AY26" i="35"/>
  <c r="Z41" i="112" s="1"/>
  <c r="Z41" i="142" s="1"/>
  <c r="AY35" i="35"/>
  <c r="Z50" i="112" s="1"/>
  <c r="Z50" i="142" s="1"/>
  <c r="AY38" i="35"/>
  <c r="Z53" i="112" s="1"/>
  <c r="Z53" i="142" s="1"/>
  <c r="AR29" i="35"/>
  <c r="S44" i="112" s="1"/>
  <c r="S44" i="142" s="1"/>
  <c r="AR35" i="35"/>
  <c r="S50" i="112" s="1"/>
  <c r="S50" i="142" s="1"/>
  <c r="AR34" i="35"/>
  <c r="S49" i="112" s="1"/>
  <c r="S49" i="142" s="1"/>
  <c r="AR22" i="35"/>
  <c r="AR33" i="35"/>
  <c r="S48" i="112" s="1"/>
  <c r="S48" i="142" s="1"/>
  <c r="AR27" i="35"/>
  <c r="S42" i="112" s="1"/>
  <c r="S42" i="142" s="1"/>
  <c r="AR37" i="35"/>
  <c r="S52" i="112" s="1"/>
  <c r="S52" i="142" s="1"/>
  <c r="AR31" i="35"/>
  <c r="S46" i="112" s="1"/>
  <c r="S46" i="142" s="1"/>
  <c r="AR38" i="35"/>
  <c r="S53" i="112" s="1"/>
  <c r="S53" i="142" s="1"/>
  <c r="AR41" i="35"/>
  <c r="S56" i="112" s="1"/>
  <c r="S56" i="142" s="1"/>
  <c r="AR39" i="35"/>
  <c r="S54" i="112" s="1"/>
  <c r="S54" i="142" s="1"/>
  <c r="AR40" i="35"/>
  <c r="S55" i="112" s="1"/>
  <c r="S55" i="142" s="1"/>
  <c r="AR28" i="35"/>
  <c r="S43" i="112" s="1"/>
  <c r="S43" i="142" s="1"/>
  <c r="AR26" i="35"/>
  <c r="S41" i="112" s="1"/>
  <c r="S41" i="142" s="1"/>
  <c r="AR36" i="35"/>
  <c r="S51" i="112" s="1"/>
  <c r="S51" i="142" s="1"/>
  <c r="AR32" i="35"/>
  <c r="S47" i="112" s="1"/>
  <c r="S47" i="142" s="1"/>
  <c r="AR30" i="35"/>
  <c r="S45" i="112" s="1"/>
  <c r="S45" i="142" s="1"/>
  <c r="W31" i="35"/>
  <c r="X46" i="111" s="1"/>
  <c r="X46" i="141" s="1"/>
  <c r="W29" i="35"/>
  <c r="X44" i="111" s="1"/>
  <c r="X44" i="141" s="1"/>
  <c r="W37" i="35"/>
  <c r="X52" i="111" s="1"/>
  <c r="X52" i="141" s="1"/>
  <c r="W40" i="35"/>
  <c r="X55" i="111" s="1"/>
  <c r="X55" i="141" s="1"/>
  <c r="W35" i="35"/>
  <c r="X50" i="111" s="1"/>
  <c r="X50" i="141" s="1"/>
  <c r="W26" i="35"/>
  <c r="W34" i="35"/>
  <c r="X49" i="111" s="1"/>
  <c r="X49" i="141" s="1"/>
  <c r="W39" i="35"/>
  <c r="X54" i="111" s="1"/>
  <c r="X54" i="141" s="1"/>
  <c r="W33" i="35"/>
  <c r="X48" i="111" s="1"/>
  <c r="X48" i="141" s="1"/>
  <c r="W36" i="35"/>
  <c r="X51" i="111" s="1"/>
  <c r="X51" i="141" s="1"/>
  <c r="W38" i="35"/>
  <c r="X53" i="111" s="1"/>
  <c r="X53" i="141" s="1"/>
  <c r="W22" i="35"/>
  <c r="W28" i="35"/>
  <c r="X43" i="111" s="1"/>
  <c r="X43" i="141" s="1"/>
  <c r="W30" i="35"/>
  <c r="X45" i="111" s="1"/>
  <c r="X45" i="141" s="1"/>
  <c r="W32" i="35"/>
  <c r="X47" i="111" s="1"/>
  <c r="X47" i="141" s="1"/>
  <c r="W27" i="35"/>
  <c r="X42" i="111" s="1"/>
  <c r="X42" i="141" s="1"/>
  <c r="AQ40" i="35"/>
  <c r="R55" i="112" s="1"/>
  <c r="R55" i="142" s="1"/>
  <c r="AQ30" i="35"/>
  <c r="R45" i="112" s="1"/>
  <c r="R45" i="142" s="1"/>
  <c r="AQ36" i="35"/>
  <c r="R51" i="112" s="1"/>
  <c r="R51" i="142" s="1"/>
  <c r="AQ35" i="35"/>
  <c r="R50" i="112" s="1"/>
  <c r="R50" i="142" s="1"/>
  <c r="AQ37" i="35"/>
  <c r="R52" i="112" s="1"/>
  <c r="R52" i="142" s="1"/>
  <c r="AQ38" i="35"/>
  <c r="R53" i="112" s="1"/>
  <c r="R53" i="142" s="1"/>
  <c r="AQ26" i="35"/>
  <c r="R41" i="112" s="1"/>
  <c r="R41" i="142" s="1"/>
  <c r="AQ27" i="35"/>
  <c r="R42" i="112" s="1"/>
  <c r="R42" i="142" s="1"/>
  <c r="AQ34" i="35"/>
  <c r="R49" i="112" s="1"/>
  <c r="R49" i="142" s="1"/>
  <c r="AQ29" i="35"/>
  <c r="R44" i="112" s="1"/>
  <c r="R44" i="142" s="1"/>
  <c r="AQ32" i="35"/>
  <c r="R47" i="112" s="1"/>
  <c r="R47" i="142" s="1"/>
  <c r="AQ39" i="35"/>
  <c r="R54" i="112" s="1"/>
  <c r="R54" i="142" s="1"/>
  <c r="AQ28" i="35"/>
  <c r="R43" i="112" s="1"/>
  <c r="R43" i="142" s="1"/>
  <c r="AQ41" i="35"/>
  <c r="R56" i="112" s="1"/>
  <c r="R56" i="142" s="1"/>
  <c r="AQ22" i="35"/>
  <c r="AQ31" i="35"/>
  <c r="R46" i="112" s="1"/>
  <c r="R46" i="142" s="1"/>
  <c r="AQ33" i="35"/>
  <c r="R48" i="112" s="1"/>
  <c r="R48" i="142" s="1"/>
  <c r="X37" i="35"/>
  <c r="Y52" i="111" s="1"/>
  <c r="Y52" i="141" s="1"/>
  <c r="X27" i="35"/>
  <c r="Y42" i="111" s="1"/>
  <c r="Y42" i="141" s="1"/>
  <c r="X33" i="35"/>
  <c r="Y48" i="111" s="1"/>
  <c r="Y48" i="141" s="1"/>
  <c r="X38" i="35"/>
  <c r="Y53" i="111" s="1"/>
  <c r="Y53" i="141" s="1"/>
  <c r="X26" i="35"/>
  <c r="X31" i="35"/>
  <c r="Y46" i="111" s="1"/>
  <c r="Y46" i="141" s="1"/>
  <c r="X40" i="35"/>
  <c r="Y55" i="111" s="1"/>
  <c r="Y55" i="141" s="1"/>
  <c r="X32" i="35"/>
  <c r="Y47" i="111" s="1"/>
  <c r="Y47" i="141" s="1"/>
  <c r="X22" i="35"/>
  <c r="X35" i="35"/>
  <c r="Y50" i="111" s="1"/>
  <c r="Y50" i="141" s="1"/>
  <c r="X30" i="35"/>
  <c r="Y45" i="111" s="1"/>
  <c r="Y45" i="141" s="1"/>
  <c r="X34" i="35"/>
  <c r="Y49" i="111" s="1"/>
  <c r="Y49" i="141" s="1"/>
  <c r="X36" i="35"/>
  <c r="Y51" i="111" s="1"/>
  <c r="Y51" i="141" s="1"/>
  <c r="X39" i="35"/>
  <c r="Y54" i="111" s="1"/>
  <c r="Y54" i="141" s="1"/>
  <c r="X28" i="35"/>
  <c r="Y43" i="111" s="1"/>
  <c r="Y43" i="141" s="1"/>
  <c r="X29" i="35"/>
  <c r="Y44" i="111" s="1"/>
  <c r="Y44" i="141" s="1"/>
  <c r="AA27" i="35"/>
  <c r="AB42" i="111" s="1"/>
  <c r="AB42" i="141" s="1"/>
  <c r="AA33" i="35"/>
  <c r="AB48" i="111" s="1"/>
  <c r="AB48" i="141" s="1"/>
  <c r="AA38" i="35"/>
  <c r="AB53" i="111" s="1"/>
  <c r="AB53" i="141" s="1"/>
  <c r="AA37" i="35"/>
  <c r="AB52" i="111" s="1"/>
  <c r="AB52" i="141" s="1"/>
  <c r="AA29" i="35"/>
  <c r="AB44" i="111" s="1"/>
  <c r="AB44" i="141" s="1"/>
  <c r="AA39" i="35"/>
  <c r="AB54" i="111" s="1"/>
  <c r="AB54" i="141" s="1"/>
  <c r="AA32" i="35"/>
  <c r="AB47" i="111" s="1"/>
  <c r="AB47" i="141" s="1"/>
  <c r="AA30" i="35"/>
  <c r="AB45" i="111" s="1"/>
  <c r="AB45" i="141" s="1"/>
  <c r="AA28" i="35"/>
  <c r="AB43" i="111" s="1"/>
  <c r="AB43" i="141" s="1"/>
  <c r="AA34" i="35"/>
  <c r="AB49" i="111" s="1"/>
  <c r="AB49" i="141" s="1"/>
  <c r="AA31" i="35"/>
  <c r="AB46" i="111" s="1"/>
  <c r="AB46" i="141" s="1"/>
  <c r="AA40" i="35"/>
  <c r="AB55" i="111" s="1"/>
  <c r="AB55" i="141" s="1"/>
  <c r="AA22" i="35"/>
  <c r="AA36" i="35"/>
  <c r="AB51" i="111" s="1"/>
  <c r="AB51" i="141" s="1"/>
  <c r="AA35" i="35"/>
  <c r="AB50" i="111" s="1"/>
  <c r="AB50" i="141" s="1"/>
  <c r="AA26" i="35"/>
  <c r="AV34" i="35"/>
  <c r="W49" i="112" s="1"/>
  <c r="W49" i="142" s="1"/>
  <c r="AV39" i="35"/>
  <c r="W54" i="112" s="1"/>
  <c r="W54" i="142" s="1"/>
  <c r="AV38" i="35"/>
  <c r="W53" i="112" s="1"/>
  <c r="W53" i="142" s="1"/>
  <c r="AV41" i="35"/>
  <c r="W56" i="112" s="1"/>
  <c r="W56" i="142" s="1"/>
  <c r="AV22" i="35"/>
  <c r="AV35" i="35"/>
  <c r="W50" i="112" s="1"/>
  <c r="W50" i="142" s="1"/>
  <c r="AV36" i="35"/>
  <c r="W51" i="112" s="1"/>
  <c r="W51" i="142" s="1"/>
  <c r="AV32" i="35"/>
  <c r="W47" i="112" s="1"/>
  <c r="W47" i="142" s="1"/>
  <c r="AV33" i="35"/>
  <c r="W48" i="112" s="1"/>
  <c r="W48" i="142" s="1"/>
  <c r="AV30" i="35"/>
  <c r="W45" i="112" s="1"/>
  <c r="W45" i="142" s="1"/>
  <c r="AV31" i="35"/>
  <c r="W46" i="112" s="1"/>
  <c r="W46" i="142" s="1"/>
  <c r="AV28" i="35"/>
  <c r="W43" i="112" s="1"/>
  <c r="W43" i="142" s="1"/>
  <c r="AV29" i="35"/>
  <c r="W44" i="112" s="1"/>
  <c r="W44" i="142" s="1"/>
  <c r="AV26" i="35"/>
  <c r="W41" i="112" s="1"/>
  <c r="W41" i="142" s="1"/>
  <c r="AV27" i="35"/>
  <c r="W42" i="112" s="1"/>
  <c r="W42" i="142" s="1"/>
  <c r="AV37" i="35"/>
  <c r="W52" i="112" s="1"/>
  <c r="W52" i="142" s="1"/>
  <c r="AV40" i="35"/>
  <c r="W55" i="112" s="1"/>
  <c r="W55" i="142" s="1"/>
  <c r="U39" i="35"/>
  <c r="V54" i="111" s="1"/>
  <c r="V54" i="141" s="1"/>
  <c r="U27" i="35"/>
  <c r="V42" i="111" s="1"/>
  <c r="V42" i="141" s="1"/>
  <c r="U32" i="35"/>
  <c r="V47" i="111" s="1"/>
  <c r="V47" i="141" s="1"/>
  <c r="U28" i="35"/>
  <c r="V43" i="111" s="1"/>
  <c r="V43" i="141" s="1"/>
  <c r="U33" i="35"/>
  <c r="V48" i="111" s="1"/>
  <c r="V48" i="141" s="1"/>
  <c r="U35" i="35"/>
  <c r="V50" i="111" s="1"/>
  <c r="V50" i="141" s="1"/>
  <c r="U36" i="35"/>
  <c r="V51" i="111" s="1"/>
  <c r="V51" i="141" s="1"/>
  <c r="U34" i="35"/>
  <c r="V49" i="111" s="1"/>
  <c r="V49" i="141" s="1"/>
  <c r="U22" i="35"/>
  <c r="U37" i="35"/>
  <c r="V52" i="111" s="1"/>
  <c r="V52" i="141" s="1"/>
  <c r="U40" i="35"/>
  <c r="V55" i="111" s="1"/>
  <c r="V55" i="141" s="1"/>
  <c r="U26" i="35"/>
  <c r="U38" i="35"/>
  <c r="V53" i="111" s="1"/>
  <c r="V53" i="141" s="1"/>
  <c r="U31" i="35"/>
  <c r="V46" i="111" s="1"/>
  <c r="V46" i="141" s="1"/>
  <c r="U30" i="35"/>
  <c r="V45" i="111" s="1"/>
  <c r="V45" i="141" s="1"/>
  <c r="U29" i="35"/>
  <c r="V44" i="111" s="1"/>
  <c r="V44" i="141" s="1"/>
  <c r="BA40" i="35"/>
  <c r="AB55" i="112" s="1"/>
  <c r="AB55" i="142" s="1"/>
  <c r="BA28" i="35"/>
  <c r="AB43" i="112" s="1"/>
  <c r="AB43" i="142" s="1"/>
  <c r="BA33" i="35"/>
  <c r="AB48" i="112" s="1"/>
  <c r="AB48" i="142" s="1"/>
  <c r="BA41" i="35"/>
  <c r="AB56" i="112" s="1"/>
  <c r="AB56" i="142" s="1"/>
  <c r="BA29" i="35"/>
  <c r="AB44" i="112" s="1"/>
  <c r="AB44" i="142" s="1"/>
  <c r="BA26" i="35"/>
  <c r="AB41" i="112" s="1"/>
  <c r="AB41" i="142" s="1"/>
  <c r="BA30" i="35"/>
  <c r="AB45" i="112" s="1"/>
  <c r="AB45" i="142" s="1"/>
  <c r="BA31" i="35"/>
  <c r="AB46" i="112" s="1"/>
  <c r="AB46" i="142" s="1"/>
  <c r="BA38" i="35"/>
  <c r="AB53" i="112" s="1"/>
  <c r="AB53" i="142" s="1"/>
  <c r="BA22" i="35"/>
  <c r="BA39" i="35"/>
  <c r="AB54" i="112" s="1"/>
  <c r="AB54" i="142" s="1"/>
  <c r="BA27" i="35"/>
  <c r="AB42" i="112" s="1"/>
  <c r="AB42" i="142" s="1"/>
  <c r="BA34" i="35"/>
  <c r="AB49" i="112" s="1"/>
  <c r="AB49" i="142" s="1"/>
  <c r="BA35" i="35"/>
  <c r="AB50" i="112" s="1"/>
  <c r="AB50" i="142" s="1"/>
  <c r="BA37" i="35"/>
  <c r="AB52" i="112" s="1"/>
  <c r="AB52" i="142" s="1"/>
  <c r="BA36" i="35"/>
  <c r="AB51" i="112" s="1"/>
  <c r="AB51" i="142" s="1"/>
  <c r="BA32" i="35"/>
  <c r="AB47" i="112" s="1"/>
  <c r="AB47" i="142" s="1"/>
  <c r="AS29" i="35"/>
  <c r="T44" i="112" s="1"/>
  <c r="T44" i="142" s="1"/>
  <c r="AS28" i="35"/>
  <c r="T43" i="112" s="1"/>
  <c r="T43" i="142" s="1"/>
  <c r="AS36" i="35"/>
  <c r="T51" i="112" s="1"/>
  <c r="T51" i="142" s="1"/>
  <c r="AS41" i="35"/>
  <c r="T56" i="112" s="1"/>
  <c r="T56" i="142" s="1"/>
  <c r="AS22" i="35"/>
  <c r="AS35" i="35"/>
  <c r="T50" i="112" s="1"/>
  <c r="T50" i="142" s="1"/>
  <c r="AS30" i="35"/>
  <c r="T45" i="112" s="1"/>
  <c r="T45" i="142" s="1"/>
  <c r="AS40" i="35"/>
  <c r="T55" i="112" s="1"/>
  <c r="T55" i="142" s="1"/>
  <c r="AS31" i="35"/>
  <c r="T46" i="112" s="1"/>
  <c r="T46" i="142" s="1"/>
  <c r="AS38" i="35"/>
  <c r="T53" i="112" s="1"/>
  <c r="T53" i="142" s="1"/>
  <c r="AS26" i="35"/>
  <c r="T41" i="112" s="1"/>
  <c r="T41" i="142" s="1"/>
  <c r="AS39" i="35"/>
  <c r="T54" i="112" s="1"/>
  <c r="T54" i="142" s="1"/>
  <c r="AS37" i="35"/>
  <c r="T52" i="112" s="1"/>
  <c r="T52" i="142" s="1"/>
  <c r="AS32" i="35"/>
  <c r="T47" i="112" s="1"/>
  <c r="T47" i="142" s="1"/>
  <c r="AS34" i="35"/>
  <c r="T49" i="112" s="1"/>
  <c r="T49" i="142" s="1"/>
  <c r="AS27" i="35"/>
  <c r="T42" i="112" s="1"/>
  <c r="T42" i="142" s="1"/>
  <c r="AS33" i="35"/>
  <c r="T48" i="112" s="1"/>
  <c r="T48" i="142" s="1"/>
  <c r="Y39" i="35"/>
  <c r="Z54" i="111" s="1"/>
  <c r="Z54" i="141" s="1"/>
  <c r="Y29" i="35"/>
  <c r="Z44" i="111" s="1"/>
  <c r="Z44" i="141" s="1"/>
  <c r="Y27" i="35"/>
  <c r="Z42" i="111" s="1"/>
  <c r="Z42" i="141" s="1"/>
  <c r="Y38" i="35"/>
  <c r="Z53" i="111" s="1"/>
  <c r="Z53" i="141" s="1"/>
  <c r="Y26" i="35"/>
  <c r="Y31" i="35"/>
  <c r="Z46" i="111" s="1"/>
  <c r="Z46" i="141" s="1"/>
  <c r="Y28" i="35"/>
  <c r="Z43" i="111" s="1"/>
  <c r="Z43" i="141" s="1"/>
  <c r="Y30" i="35"/>
  <c r="Z45" i="111" s="1"/>
  <c r="Z45" i="141" s="1"/>
  <c r="Y37" i="35"/>
  <c r="Z52" i="111" s="1"/>
  <c r="Z52" i="141" s="1"/>
  <c r="Y36" i="35"/>
  <c r="Z51" i="111" s="1"/>
  <c r="Z51" i="141" s="1"/>
  <c r="Y33" i="35"/>
  <c r="Z48" i="111" s="1"/>
  <c r="Z48" i="141" s="1"/>
  <c r="Y35" i="35"/>
  <c r="Z50" i="111" s="1"/>
  <c r="Z50" i="141" s="1"/>
  <c r="Y22" i="35"/>
  <c r="Y40" i="35"/>
  <c r="Z55" i="111" s="1"/>
  <c r="Z55" i="141" s="1"/>
  <c r="Y32" i="35"/>
  <c r="Z47" i="111" s="1"/>
  <c r="Z47" i="141" s="1"/>
  <c r="Y34" i="35"/>
  <c r="Z49" i="111" s="1"/>
  <c r="Z49" i="141" s="1"/>
  <c r="M222" i="36"/>
  <c r="AH170" i="36"/>
  <c r="AL178" i="36"/>
  <c r="AM176" i="36"/>
  <c r="AO222" i="36"/>
  <c r="AH181" i="36"/>
  <c r="AL172" i="36"/>
  <c r="AM170" i="36"/>
  <c r="AH171" i="36"/>
  <c r="AL170" i="36"/>
  <c r="AM168" i="36"/>
  <c r="AH167" i="36"/>
  <c r="AG171" i="36"/>
  <c r="AF177" i="36"/>
  <c r="AP169" i="36"/>
  <c r="AG169" i="36"/>
  <c r="AF169" i="36"/>
  <c r="AP181" i="36"/>
  <c r="AO177" i="36"/>
  <c r="AG168" i="36"/>
  <c r="AF168" i="36"/>
  <c r="AP170" i="36"/>
  <c r="AO171" i="36"/>
  <c r="AG180" i="36"/>
  <c r="AN222" i="36"/>
  <c r="AF180" i="36"/>
  <c r="AL180" i="36"/>
  <c r="AM178" i="36"/>
  <c r="J98" i="111"/>
  <c r="J98" i="141" s="1"/>
  <c r="J222" i="36"/>
  <c r="J113" i="111" s="1"/>
  <c r="J113" i="141" s="1"/>
  <c r="K168" i="36"/>
  <c r="AF176" i="36"/>
  <c r="AF181" i="36"/>
  <c r="AH168" i="36"/>
  <c r="AH169" i="36"/>
  <c r="AP167" i="36"/>
  <c r="AP168" i="36"/>
  <c r="AO174" i="36"/>
  <c r="AO169" i="36"/>
  <c r="AL179" i="36"/>
  <c r="AL171" i="36"/>
  <c r="AG176" i="36"/>
  <c r="AG181" i="36"/>
  <c r="AM177" i="36"/>
  <c r="AM169" i="36"/>
  <c r="AD222" i="36"/>
  <c r="AF167" i="36"/>
  <c r="AF178" i="36"/>
  <c r="AH180" i="36"/>
  <c r="AP176" i="36"/>
  <c r="AP180" i="36"/>
  <c r="AO170" i="36"/>
  <c r="AO181" i="36"/>
  <c r="AL177" i="36"/>
  <c r="AL169" i="36"/>
  <c r="AG167" i="36"/>
  <c r="AG178" i="36"/>
  <c r="AM175" i="36"/>
  <c r="AM167" i="36"/>
  <c r="N98" i="111"/>
  <c r="N98" i="141" s="1"/>
  <c r="N222" i="36"/>
  <c r="N113" i="111" s="1"/>
  <c r="N113" i="141" s="1"/>
  <c r="AO167" i="36"/>
  <c r="J167" i="36"/>
  <c r="J168" i="36"/>
  <c r="J169" i="36"/>
  <c r="J170" i="36"/>
  <c r="J171" i="36"/>
  <c r="J172" i="36"/>
  <c r="J173" i="36"/>
  <c r="J174" i="36"/>
  <c r="J175" i="36"/>
  <c r="J176" i="36"/>
  <c r="J178" i="36"/>
  <c r="J179" i="36"/>
  <c r="J180" i="36"/>
  <c r="J181" i="36"/>
  <c r="J177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72" i="111" s="1"/>
  <c r="I72" i="141" s="1"/>
  <c r="I180" i="36"/>
  <c r="I181" i="36"/>
  <c r="P98" i="111"/>
  <c r="P98" i="141" s="1"/>
  <c r="P222" i="36"/>
  <c r="P113" i="111" s="1"/>
  <c r="P113" i="141" s="1"/>
  <c r="AE222" i="36"/>
  <c r="AF179" i="36"/>
  <c r="AH179" i="36"/>
  <c r="AH178" i="36"/>
  <c r="AP177" i="36"/>
  <c r="AP179" i="36"/>
  <c r="AO168" i="36"/>
  <c r="AO180" i="36"/>
  <c r="AL176" i="36"/>
  <c r="AL168" i="36"/>
  <c r="AG179" i="36"/>
  <c r="AG177" i="36"/>
  <c r="AM174" i="36"/>
  <c r="F98" i="111"/>
  <c r="F98" i="141" s="1"/>
  <c r="F222" i="36"/>
  <c r="F113" i="111" s="1"/>
  <c r="F113" i="141" s="1"/>
  <c r="E168" i="36"/>
  <c r="E176" i="36"/>
  <c r="E169" i="36"/>
  <c r="E170" i="36"/>
  <c r="E177" i="36"/>
  <c r="E171" i="36"/>
  <c r="E172" i="36"/>
  <c r="E174" i="36"/>
  <c r="E181" i="36"/>
  <c r="E167" i="36"/>
  <c r="E178" i="36"/>
  <c r="E179" i="36"/>
  <c r="E173" i="36"/>
  <c r="E175" i="36"/>
  <c r="E180" i="36"/>
  <c r="AH222" i="36"/>
  <c r="AG222" i="36"/>
  <c r="AF222" i="36"/>
  <c r="AF175" i="36"/>
  <c r="AF174" i="36"/>
  <c r="AH176" i="36"/>
  <c r="AH177" i="36"/>
  <c r="AP175" i="36"/>
  <c r="AP178" i="36"/>
  <c r="AO176" i="36"/>
  <c r="AO179" i="36"/>
  <c r="AL175" i="36"/>
  <c r="AL167" i="36"/>
  <c r="AG174" i="36"/>
  <c r="AM181" i="36"/>
  <c r="AM173" i="36"/>
  <c r="E98" i="111"/>
  <c r="E98" i="141" s="1"/>
  <c r="E222" i="36"/>
  <c r="E113" i="111" s="1"/>
  <c r="E113" i="141" s="1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AP222" i="36"/>
  <c r="AF173" i="36"/>
  <c r="AF172" i="36"/>
  <c r="AH174" i="36"/>
  <c r="AH175" i="36"/>
  <c r="AP173" i="36"/>
  <c r="AP174" i="36"/>
  <c r="AO175" i="36"/>
  <c r="AO178" i="36"/>
  <c r="AL174" i="36"/>
  <c r="AG173" i="36"/>
  <c r="AG172" i="36"/>
  <c r="AM180" i="36"/>
  <c r="AM172" i="36"/>
  <c r="O222" i="36"/>
  <c r="O113" i="111" s="1"/>
  <c r="O113" i="141" s="1"/>
  <c r="AO172" i="36"/>
  <c r="G222" i="36"/>
  <c r="G113" i="111" s="1"/>
  <c r="G113" i="141" s="1"/>
  <c r="G102" i="111"/>
  <c r="G102" i="141" s="1"/>
  <c r="D98" i="111"/>
  <c r="D98" i="141" s="1"/>
  <c r="D222" i="36"/>
  <c r="D113" i="111" s="1"/>
  <c r="D113" i="141" s="1"/>
  <c r="AK222" i="36"/>
  <c r="AF171" i="36"/>
  <c r="AF170" i="36"/>
  <c r="AH172" i="36"/>
  <c r="AH173" i="36"/>
  <c r="AP171" i="36"/>
  <c r="AP172" i="36"/>
  <c r="AO173" i="36"/>
  <c r="AL181" i="36"/>
  <c r="AL173" i="36"/>
  <c r="AG175" i="36"/>
  <c r="AM179" i="36"/>
  <c r="L98" i="111"/>
  <c r="L98" i="141" s="1"/>
  <c r="L222" i="36"/>
  <c r="L113" i="111" s="1"/>
  <c r="E23" i="141"/>
  <c r="Y75" i="111"/>
  <c r="S75" i="111"/>
  <c r="AA75" i="111"/>
  <c r="U75" i="111"/>
  <c r="AB75" i="111"/>
  <c r="Z75" i="111"/>
  <c r="X75" i="111"/>
  <c r="V75" i="111"/>
  <c r="T75" i="111"/>
  <c r="R75" i="111"/>
  <c r="W75" i="111"/>
  <c r="X151" i="112"/>
  <c r="X144" i="142"/>
  <c r="R151" i="112"/>
  <c r="R144" i="142"/>
  <c r="Z151" i="112"/>
  <c r="Z144" i="142"/>
  <c r="T151" i="112"/>
  <c r="T144" i="142"/>
  <c r="S151" i="112"/>
  <c r="S144" i="142"/>
  <c r="AA151" i="112"/>
  <c r="AA144" i="142"/>
  <c r="Y151" i="112"/>
  <c r="Y144" i="142"/>
  <c r="V151" i="112"/>
  <c r="V144" i="142"/>
  <c r="W151" i="112"/>
  <c r="W144" i="142"/>
  <c r="AB151" i="112"/>
  <c r="AB144" i="142"/>
  <c r="E161" i="36"/>
  <c r="D133" i="36"/>
  <c r="J161" i="36"/>
  <c r="K161" i="36"/>
  <c r="D4" i="36"/>
  <c r="D112" i="36" s="1"/>
  <c r="AI108" i="110"/>
  <c r="AI136" i="110" s="1"/>
  <c r="D4" i="110"/>
  <c r="D38" i="110" s="1"/>
  <c r="D55" i="110" s="1"/>
  <c r="R293" i="110"/>
  <c r="X293" i="110"/>
  <c r="AA293" i="110"/>
  <c r="S293" i="110"/>
  <c r="Z293" i="110"/>
  <c r="V293" i="110"/>
  <c r="T293" i="110"/>
  <c r="W293" i="110"/>
  <c r="AB293" i="110"/>
  <c r="Y293" i="110"/>
  <c r="U293" i="110"/>
  <c r="U151" i="112"/>
  <c r="D152" i="36"/>
  <c r="AD176" i="36" s="1"/>
  <c r="D124" i="36"/>
  <c r="R72" i="112"/>
  <c r="AR182" i="36"/>
  <c r="S72" i="112"/>
  <c r="AS182" i="36"/>
  <c r="T72" i="112"/>
  <c r="AT182" i="36"/>
  <c r="U72" i="112"/>
  <c r="AU182" i="36"/>
  <c r="V72" i="112"/>
  <c r="AV182" i="36"/>
  <c r="W72" i="112"/>
  <c r="AW182" i="36"/>
  <c r="X72" i="112"/>
  <c r="AX182" i="36"/>
  <c r="Y72" i="112"/>
  <c r="AY182" i="36"/>
  <c r="Z72" i="112"/>
  <c r="AZ182" i="36"/>
  <c r="AA72" i="112"/>
  <c r="BA182" i="36"/>
  <c r="AB72" i="112"/>
  <c r="BB182" i="36"/>
  <c r="AQ204" i="110"/>
  <c r="AQ205" i="110"/>
  <c r="AQ201" i="110"/>
  <c r="AQ155" i="110"/>
  <c r="AQ158" i="110"/>
  <c r="AQ154" i="110"/>
  <c r="AI199" i="110"/>
  <c r="AI205" i="110"/>
  <c r="AK205" i="110"/>
  <c r="AK201" i="110"/>
  <c r="AM200" i="110"/>
  <c r="AM205" i="110"/>
  <c r="AM201" i="110"/>
  <c r="AP198" i="110"/>
  <c r="AP205" i="110"/>
  <c r="AP201" i="110"/>
  <c r="AJ200" i="110"/>
  <c r="AJ205" i="110"/>
  <c r="AJ201" i="110"/>
  <c r="AR205" i="110"/>
  <c r="AR201" i="110"/>
  <c r="AR158" i="110"/>
  <c r="AR154" i="110"/>
  <c r="AU167" i="110"/>
  <c r="AU163" i="110"/>
  <c r="AU214" i="110"/>
  <c r="AU210" i="110"/>
  <c r="AV167" i="110"/>
  <c r="AV163" i="110"/>
  <c r="AV214" i="110"/>
  <c r="AV210" i="110"/>
  <c r="AT167" i="110"/>
  <c r="AT163" i="110"/>
  <c r="AT214" i="110"/>
  <c r="AT210" i="110"/>
  <c r="AS214" i="110"/>
  <c r="AS210" i="110"/>
  <c r="AS167" i="110"/>
  <c r="AS163" i="110"/>
  <c r="AR214" i="110"/>
  <c r="AR210" i="110"/>
  <c r="AR167" i="110"/>
  <c r="AR163" i="110"/>
  <c r="AI187" i="110"/>
  <c r="AI183" i="110"/>
  <c r="AH22" i="35"/>
  <c r="AM187" i="110"/>
  <c r="AM183" i="110"/>
  <c r="AM140" i="110"/>
  <c r="AM136" i="110"/>
  <c r="AV187" i="110"/>
  <c r="AV183" i="110"/>
  <c r="AV140" i="110"/>
  <c r="AV136" i="110"/>
  <c r="AN140" i="110"/>
  <c r="AN136" i="110"/>
  <c r="AN187" i="110"/>
  <c r="AN183" i="110"/>
  <c r="AS187" i="110"/>
  <c r="AS183" i="110"/>
  <c r="AS140" i="110"/>
  <c r="AS136" i="110"/>
  <c r="AU140" i="110"/>
  <c r="AU136" i="110"/>
  <c r="AU187" i="110"/>
  <c r="AU183" i="110"/>
  <c r="AK140" i="110"/>
  <c r="AK136" i="110"/>
  <c r="AK187" i="110"/>
  <c r="AK183" i="110"/>
  <c r="AL140" i="110"/>
  <c r="AL136" i="110"/>
  <c r="AL187" i="110"/>
  <c r="AL183" i="110"/>
  <c r="AJ187" i="110"/>
  <c r="AJ183" i="110"/>
  <c r="AJ140" i="110"/>
  <c r="AJ136" i="110"/>
  <c r="AO187" i="110"/>
  <c r="AO183" i="110"/>
  <c r="AO140" i="110"/>
  <c r="AO136" i="110"/>
  <c r="AQ187" i="110"/>
  <c r="AQ183" i="110"/>
  <c r="AQ140" i="110"/>
  <c r="AQ136" i="110"/>
  <c r="AT140" i="110"/>
  <c r="AT136" i="110"/>
  <c r="AT187" i="110"/>
  <c r="AT183" i="110"/>
  <c r="D212" i="110"/>
  <c r="D216" i="110"/>
  <c r="D22" i="141"/>
  <c r="I54" i="112"/>
  <c r="I54" i="142" s="1"/>
  <c r="I48" i="112"/>
  <c r="I48" i="142" s="1"/>
  <c r="I51" i="112"/>
  <c r="I51" i="142" s="1"/>
  <c r="I44" i="142"/>
  <c r="I49" i="112"/>
  <c r="I49" i="142" s="1"/>
  <c r="I47" i="112"/>
  <c r="I47" i="142" s="1"/>
  <c r="I41" i="112"/>
  <c r="I41" i="142" s="1"/>
  <c r="I46" i="112"/>
  <c r="I46" i="142" s="1"/>
  <c r="I50" i="112"/>
  <c r="I50" i="142" s="1"/>
  <c r="I55" i="112"/>
  <c r="I55" i="142" s="1"/>
  <c r="I42" i="112"/>
  <c r="I42" i="142" s="1"/>
  <c r="I53" i="112"/>
  <c r="I53" i="142" s="1"/>
  <c r="I43" i="112"/>
  <c r="I43" i="142" s="1"/>
  <c r="M4" i="110"/>
  <c r="M38" i="110" s="1"/>
  <c r="M55" i="110" s="1"/>
  <c r="I45" i="112"/>
  <c r="I45" i="142" s="1"/>
  <c r="I52" i="112"/>
  <c r="I52" i="142" s="1"/>
  <c r="M4" i="36"/>
  <c r="M140" i="36" s="1"/>
  <c r="N56" i="112"/>
  <c r="N56" i="142" s="1"/>
  <c r="M149" i="36"/>
  <c r="AR91" i="110"/>
  <c r="AR108" i="110"/>
  <c r="K170" i="110"/>
  <c r="K171" i="110"/>
  <c r="K172" i="110"/>
  <c r="K173" i="110"/>
  <c r="K174" i="110"/>
  <c r="K175" i="110"/>
  <c r="K176" i="110"/>
  <c r="K177" i="110"/>
  <c r="F179" i="110"/>
  <c r="F180" i="110"/>
  <c r="F181" i="110"/>
  <c r="F183" i="110"/>
  <c r="F184" i="110"/>
  <c r="F185" i="110"/>
  <c r="F186" i="110"/>
  <c r="P108" i="110"/>
  <c r="K160" i="110"/>
  <c r="K161" i="110"/>
  <c r="K162" i="110"/>
  <c r="K164" i="110"/>
  <c r="K165" i="110"/>
  <c r="K166" i="110"/>
  <c r="K179" i="110"/>
  <c r="K180" i="110"/>
  <c r="K181" i="110"/>
  <c r="K182" i="110"/>
  <c r="K183" i="110"/>
  <c r="K184" i="110"/>
  <c r="K185" i="110"/>
  <c r="K186" i="110"/>
  <c r="J170" i="110"/>
  <c r="J174" i="110"/>
  <c r="J173" i="110"/>
  <c r="J177" i="110"/>
  <c r="J172" i="110"/>
  <c r="J176" i="110"/>
  <c r="J171" i="110"/>
  <c r="J175" i="110"/>
  <c r="K108" i="110"/>
  <c r="J162" i="110"/>
  <c r="J164" i="110"/>
  <c r="J165" i="110"/>
  <c r="J166" i="110"/>
  <c r="J160" i="110"/>
  <c r="J161" i="110"/>
  <c r="G108" i="110"/>
  <c r="Q160" i="110"/>
  <c r="Q161" i="110"/>
  <c r="Q162" i="110"/>
  <c r="Q166" i="110"/>
  <c r="Q164" i="110"/>
  <c r="Q165" i="110"/>
  <c r="M133" i="110"/>
  <c r="M134" i="110"/>
  <c r="M135" i="110"/>
  <c r="M136" i="110"/>
  <c r="M137" i="110"/>
  <c r="M138" i="110"/>
  <c r="M139" i="110"/>
  <c r="M140" i="110"/>
  <c r="O165" i="110"/>
  <c r="O166" i="110"/>
  <c r="O160" i="110"/>
  <c r="O164" i="110"/>
  <c r="O161" i="110"/>
  <c r="O162" i="110"/>
  <c r="E133" i="110"/>
  <c r="E134" i="110"/>
  <c r="E135" i="110"/>
  <c r="E136" i="110"/>
  <c r="E137" i="110"/>
  <c r="E138" i="110"/>
  <c r="E139" i="110"/>
  <c r="E140" i="110"/>
  <c r="G133" i="110"/>
  <c r="G134" i="110"/>
  <c r="G135" i="110"/>
  <c r="G137" i="110"/>
  <c r="G138" i="110"/>
  <c r="G139" i="110"/>
  <c r="G140" i="110"/>
  <c r="J133" i="110"/>
  <c r="J134" i="110"/>
  <c r="J135" i="110"/>
  <c r="J136" i="110"/>
  <c r="J137" i="110"/>
  <c r="J140" i="110"/>
  <c r="J139" i="110"/>
  <c r="J138" i="110"/>
  <c r="F142" i="110"/>
  <c r="F143" i="110"/>
  <c r="F144" i="110"/>
  <c r="F146" i="110"/>
  <c r="F147" i="110"/>
  <c r="F148" i="110"/>
  <c r="F149" i="110"/>
  <c r="I108" i="110"/>
  <c r="L108" i="110"/>
  <c r="H108" i="110"/>
  <c r="E170" i="110"/>
  <c r="E171" i="110"/>
  <c r="E172" i="110"/>
  <c r="E173" i="110"/>
  <c r="E174" i="110"/>
  <c r="E175" i="110"/>
  <c r="E176" i="110"/>
  <c r="E177" i="110"/>
  <c r="I170" i="110"/>
  <c r="I171" i="110"/>
  <c r="I172" i="110"/>
  <c r="I173" i="110"/>
  <c r="I174" i="110"/>
  <c r="I175" i="110"/>
  <c r="I176" i="110"/>
  <c r="I177" i="110"/>
  <c r="F135" i="110"/>
  <c r="F139" i="110"/>
  <c r="F138" i="110"/>
  <c r="F137" i="110"/>
  <c r="F133" i="110"/>
  <c r="F134" i="110"/>
  <c r="G170" i="110"/>
  <c r="G171" i="110"/>
  <c r="G172" i="110"/>
  <c r="G173" i="110"/>
  <c r="G174" i="110"/>
  <c r="G175" i="110"/>
  <c r="G176" i="110"/>
  <c r="G177" i="110"/>
  <c r="L133" i="110"/>
  <c r="L137" i="110"/>
  <c r="L139" i="110"/>
  <c r="L140" i="110"/>
  <c r="L135" i="110"/>
  <c r="L134" i="110"/>
  <c r="L136" i="110"/>
  <c r="L138" i="110"/>
  <c r="H165" i="110"/>
  <c r="H166" i="110"/>
  <c r="H160" i="110"/>
  <c r="H161" i="110"/>
  <c r="H162" i="110"/>
  <c r="H164" i="110"/>
  <c r="J108" i="110"/>
  <c r="O108" i="110"/>
  <c r="P133" i="110"/>
  <c r="P134" i="110"/>
  <c r="P135" i="110"/>
  <c r="P136" i="110"/>
  <c r="P137" i="110"/>
  <c r="P139" i="110"/>
  <c r="P140" i="110"/>
  <c r="P138" i="110"/>
  <c r="E108" i="110"/>
  <c r="P170" i="110"/>
  <c r="P171" i="110"/>
  <c r="P172" i="110"/>
  <c r="P173" i="110"/>
  <c r="P174" i="110"/>
  <c r="P175" i="110"/>
  <c r="P176" i="110"/>
  <c r="P177" i="110"/>
  <c r="I133" i="110"/>
  <c r="I134" i="110"/>
  <c r="I135" i="110"/>
  <c r="I136" i="110"/>
  <c r="I137" i="110"/>
  <c r="I138" i="110"/>
  <c r="I139" i="110"/>
  <c r="I140" i="110"/>
  <c r="F170" i="110"/>
  <c r="F171" i="110"/>
  <c r="F172" i="110"/>
  <c r="F173" i="110"/>
  <c r="F174" i="110"/>
  <c r="F175" i="110"/>
  <c r="F176" i="110"/>
  <c r="F177" i="110"/>
  <c r="L170" i="110"/>
  <c r="L174" i="110"/>
  <c r="L173" i="110"/>
  <c r="L177" i="110"/>
  <c r="L176" i="110"/>
  <c r="L171" i="110"/>
  <c r="L172" i="110"/>
  <c r="L175" i="110"/>
  <c r="N108" i="110"/>
  <c r="F108" i="110"/>
  <c r="D186" i="110"/>
  <c r="D182" i="110"/>
  <c r="H179" i="110"/>
  <c r="H180" i="110"/>
  <c r="H181" i="110"/>
  <c r="H182" i="110"/>
  <c r="H183" i="110"/>
  <c r="H184" i="110"/>
  <c r="H185" i="110"/>
  <c r="H186" i="110"/>
  <c r="J179" i="110"/>
  <c r="J183" i="110"/>
  <c r="J182" i="110"/>
  <c r="J181" i="110"/>
  <c r="J185" i="110"/>
  <c r="J186" i="110"/>
  <c r="J180" i="110"/>
  <c r="J184" i="110"/>
  <c r="N170" i="110"/>
  <c r="N171" i="110"/>
  <c r="N172" i="110"/>
  <c r="N173" i="110"/>
  <c r="N174" i="110"/>
  <c r="N175" i="110"/>
  <c r="N176" i="110"/>
  <c r="N177" i="110"/>
  <c r="Q170" i="110"/>
  <c r="Q171" i="110"/>
  <c r="Q172" i="110"/>
  <c r="Q173" i="110"/>
  <c r="Q174" i="110"/>
  <c r="Q175" i="110"/>
  <c r="Q176" i="110"/>
  <c r="Q177" i="110"/>
  <c r="P160" i="110"/>
  <c r="P166" i="110"/>
  <c r="P161" i="110"/>
  <c r="P162" i="110"/>
  <c r="P164" i="110"/>
  <c r="P165" i="110"/>
  <c r="K133" i="110"/>
  <c r="K134" i="110"/>
  <c r="K135" i="110"/>
  <c r="K136" i="110"/>
  <c r="K137" i="110"/>
  <c r="K139" i="110"/>
  <c r="K138" i="110"/>
  <c r="K140" i="110"/>
  <c r="H170" i="110"/>
  <c r="H171" i="110"/>
  <c r="H172" i="110"/>
  <c r="H173" i="110"/>
  <c r="H174" i="110"/>
  <c r="H175" i="110"/>
  <c r="H176" i="110"/>
  <c r="H177" i="110"/>
  <c r="D140" i="110"/>
  <c r="D136" i="110"/>
  <c r="Q108" i="110"/>
  <c r="I165" i="110"/>
  <c r="I166" i="110"/>
  <c r="I160" i="110"/>
  <c r="I164" i="110"/>
  <c r="I161" i="110"/>
  <c r="I162" i="110"/>
  <c r="O170" i="110"/>
  <c r="O171" i="110"/>
  <c r="O172" i="110"/>
  <c r="O173" i="110"/>
  <c r="O174" i="110"/>
  <c r="O175" i="110"/>
  <c r="O176" i="110"/>
  <c r="O177" i="110"/>
  <c r="N138" i="110"/>
  <c r="N133" i="110"/>
  <c r="N137" i="110"/>
  <c r="N136" i="110"/>
  <c r="N140" i="110"/>
  <c r="N135" i="110"/>
  <c r="N139" i="110"/>
  <c r="N134" i="110"/>
  <c r="Q133" i="110"/>
  <c r="Q134" i="110"/>
  <c r="Q135" i="110"/>
  <c r="Q136" i="110"/>
  <c r="Q137" i="110"/>
  <c r="Q138" i="110"/>
  <c r="Q139" i="110"/>
  <c r="Q140" i="110"/>
  <c r="E165" i="110"/>
  <c r="E160" i="110"/>
  <c r="E166" i="110"/>
  <c r="E162" i="110"/>
  <c r="E164" i="110"/>
  <c r="E161" i="110"/>
  <c r="G164" i="110"/>
  <c r="G160" i="110"/>
  <c r="G161" i="110"/>
  <c r="G162" i="110"/>
  <c r="G165" i="110"/>
  <c r="G166" i="110"/>
  <c r="H133" i="110"/>
  <c r="H134" i="110"/>
  <c r="H135" i="110"/>
  <c r="H136" i="110"/>
  <c r="H137" i="110"/>
  <c r="H140" i="110"/>
  <c r="H138" i="110"/>
  <c r="H139" i="110"/>
  <c r="D177" i="110"/>
  <c r="D173" i="110"/>
  <c r="F162" i="110"/>
  <c r="F164" i="110"/>
  <c r="F166" i="110"/>
  <c r="F161" i="110"/>
  <c r="F165" i="110"/>
  <c r="F160" i="110"/>
  <c r="N162" i="110"/>
  <c r="N164" i="110"/>
  <c r="N165" i="110"/>
  <c r="N166" i="110"/>
  <c r="N161" i="110"/>
  <c r="N160" i="110"/>
  <c r="M164" i="110"/>
  <c r="M165" i="110"/>
  <c r="M162" i="110"/>
  <c r="M166" i="110"/>
  <c r="M160" i="110"/>
  <c r="M161" i="110"/>
  <c r="I142" i="110"/>
  <c r="I143" i="110"/>
  <c r="I144" i="110"/>
  <c r="I145" i="110"/>
  <c r="I146" i="110"/>
  <c r="I147" i="110"/>
  <c r="I148" i="110"/>
  <c r="I149" i="110"/>
  <c r="O133" i="110"/>
  <c r="O134" i="110"/>
  <c r="O135" i="110"/>
  <c r="O136" i="110"/>
  <c r="O138" i="110"/>
  <c r="O139" i="110"/>
  <c r="O140" i="110"/>
  <c r="O137" i="110"/>
  <c r="M170" i="110"/>
  <c r="M171" i="110"/>
  <c r="M172" i="110"/>
  <c r="M173" i="110"/>
  <c r="M174" i="110"/>
  <c r="M175" i="110"/>
  <c r="M176" i="110"/>
  <c r="M177" i="110"/>
  <c r="O77" i="110"/>
  <c r="O95" i="110"/>
  <c r="AV160" i="110"/>
  <c r="AV161" i="110"/>
  <c r="AV162" i="110"/>
  <c r="AV166" i="110"/>
  <c r="AV164" i="110"/>
  <c r="AV165" i="110"/>
  <c r="M64" i="110"/>
  <c r="M117" i="110"/>
  <c r="AR151" i="110"/>
  <c r="AR152" i="110"/>
  <c r="AR153" i="110"/>
  <c r="AR155" i="110"/>
  <c r="AR156" i="110"/>
  <c r="AR157" i="110"/>
  <c r="AS133" i="110"/>
  <c r="AS134" i="110"/>
  <c r="AS135" i="110"/>
  <c r="AS137" i="110"/>
  <c r="AS138" i="110"/>
  <c r="AS139" i="110"/>
  <c r="N64" i="110"/>
  <c r="N117" i="110"/>
  <c r="P77" i="110"/>
  <c r="P95" i="110"/>
  <c r="AT180" i="110"/>
  <c r="AT181" i="110"/>
  <c r="AT182" i="110"/>
  <c r="AT184" i="110"/>
  <c r="AT186" i="110"/>
  <c r="AT185" i="110"/>
  <c r="N77" i="110"/>
  <c r="N95" i="110"/>
  <c r="AV207" i="110"/>
  <c r="AV211" i="110"/>
  <c r="AV209" i="110"/>
  <c r="AV213" i="110"/>
  <c r="AV212" i="110"/>
  <c r="AV208" i="110"/>
  <c r="P64" i="110"/>
  <c r="P117" i="110"/>
  <c r="M112" i="110"/>
  <c r="AT133" i="110"/>
  <c r="AT134" i="110"/>
  <c r="AT135" i="110"/>
  <c r="AT137" i="110"/>
  <c r="AT138" i="110"/>
  <c r="AT139" i="110"/>
  <c r="AU160" i="110"/>
  <c r="AU161" i="110"/>
  <c r="AU162" i="110"/>
  <c r="AU164" i="110"/>
  <c r="AU166" i="110"/>
  <c r="AU165" i="110"/>
  <c r="AT162" i="110"/>
  <c r="AT161" i="110"/>
  <c r="AT160" i="110"/>
  <c r="AT164" i="110"/>
  <c r="AT165" i="110"/>
  <c r="AT166" i="110"/>
  <c r="AR207" i="110"/>
  <c r="AR208" i="110"/>
  <c r="AR209" i="110"/>
  <c r="AR211" i="110"/>
  <c r="AR212" i="110"/>
  <c r="AR213" i="110"/>
  <c r="Q64" i="110"/>
  <c r="Q117" i="110"/>
  <c r="AU298" i="110" s="1"/>
  <c r="AS180" i="110"/>
  <c r="AS181" i="110"/>
  <c r="AS182" i="110"/>
  <c r="AS184" i="110"/>
  <c r="AS185" i="110"/>
  <c r="AS186" i="110"/>
  <c r="Q77" i="110"/>
  <c r="Q95" i="110"/>
  <c r="AU208" i="110"/>
  <c r="AU212" i="110"/>
  <c r="AU209" i="110"/>
  <c r="AU213" i="110"/>
  <c r="AU207" i="110"/>
  <c r="AU211" i="110"/>
  <c r="AT207" i="110"/>
  <c r="AT208" i="110"/>
  <c r="AT209" i="110"/>
  <c r="AT211" i="110"/>
  <c r="AT212" i="110"/>
  <c r="AT213" i="110"/>
  <c r="AR160" i="110"/>
  <c r="AR161" i="110"/>
  <c r="AR162" i="110"/>
  <c r="AR164" i="110"/>
  <c r="AR165" i="110"/>
  <c r="AR166" i="110"/>
  <c r="AR133" i="110"/>
  <c r="AR134" i="110"/>
  <c r="AR135" i="110"/>
  <c r="AR137" i="110"/>
  <c r="AR138" i="110"/>
  <c r="AR139" i="110"/>
  <c r="AU181" i="110"/>
  <c r="AU182" i="110"/>
  <c r="AU180" i="110"/>
  <c r="AU184" i="110"/>
  <c r="AU185" i="110"/>
  <c r="AU186" i="110"/>
  <c r="AS207" i="110"/>
  <c r="AS208" i="110"/>
  <c r="AS209" i="110"/>
  <c r="AS211" i="110"/>
  <c r="AS212" i="110"/>
  <c r="AS213" i="110"/>
  <c r="AV135" i="110"/>
  <c r="AV139" i="110"/>
  <c r="AV133" i="110"/>
  <c r="AV137" i="110"/>
  <c r="AV134" i="110"/>
  <c r="AV138" i="110"/>
  <c r="O64" i="110"/>
  <c r="O117" i="110"/>
  <c r="AR198" i="110"/>
  <c r="AR199" i="110"/>
  <c r="AR200" i="110"/>
  <c r="AR202" i="110"/>
  <c r="AR203" i="110"/>
  <c r="AR204" i="110"/>
  <c r="AR180" i="110"/>
  <c r="AR181" i="110"/>
  <c r="AR182" i="110"/>
  <c r="AR184" i="110"/>
  <c r="AR185" i="110"/>
  <c r="AR186" i="110"/>
  <c r="AU133" i="110"/>
  <c r="AU135" i="110"/>
  <c r="AU137" i="110"/>
  <c r="AU139" i="110"/>
  <c r="AU134" i="110"/>
  <c r="AU138" i="110"/>
  <c r="AS161" i="110"/>
  <c r="AS160" i="110"/>
  <c r="AS164" i="110"/>
  <c r="AS165" i="110"/>
  <c r="AS166" i="110"/>
  <c r="AS162" i="110"/>
  <c r="AV180" i="110"/>
  <c r="AV184" i="110"/>
  <c r="AV185" i="110"/>
  <c r="AV186" i="110"/>
  <c r="AV182" i="110"/>
  <c r="AV181" i="110"/>
  <c r="L23" i="36"/>
  <c r="L159" i="36" s="1"/>
  <c r="AQ47" i="110"/>
  <c r="AQ100" i="110" s="1"/>
  <c r="E112" i="110"/>
  <c r="E95" i="110"/>
  <c r="AJ198" i="110"/>
  <c r="L95" i="110"/>
  <c r="AJ203" i="110"/>
  <c r="AJ204" i="110"/>
  <c r="AJ199" i="110"/>
  <c r="AJ202" i="110"/>
  <c r="L13" i="110"/>
  <c r="L47" i="110" s="1"/>
  <c r="L64" i="110" s="1"/>
  <c r="AK133" i="110"/>
  <c r="AM203" i="110"/>
  <c r="AP202" i="110"/>
  <c r="AP199" i="110"/>
  <c r="AM204" i="110"/>
  <c r="AP203" i="110"/>
  <c r="L112" i="110"/>
  <c r="AP204" i="110"/>
  <c r="AM202" i="110"/>
  <c r="AP200" i="110"/>
  <c r="J77" i="110"/>
  <c r="K77" i="110"/>
  <c r="AM199" i="110"/>
  <c r="I95" i="110"/>
  <c r="I182" i="110" s="1"/>
  <c r="E149" i="36"/>
  <c r="AM198" i="110"/>
  <c r="D77" i="110"/>
  <c r="AQ153" i="110"/>
  <c r="H77" i="110"/>
  <c r="AQ156" i="110"/>
  <c r="AQ157" i="110"/>
  <c r="AK204" i="110"/>
  <c r="AI200" i="110"/>
  <c r="L121" i="36"/>
  <c r="AK199" i="110"/>
  <c r="N140" i="36"/>
  <c r="F140" i="36"/>
  <c r="AK198" i="110"/>
  <c r="AK203" i="110"/>
  <c r="O140" i="36"/>
  <c r="O112" i="36"/>
  <c r="AK200" i="110"/>
  <c r="Q112" i="36"/>
  <c r="Q140" i="36"/>
  <c r="AK202" i="110"/>
  <c r="P112" i="36"/>
  <c r="P140" i="36"/>
  <c r="O131" i="36"/>
  <c r="F117" i="110"/>
  <c r="M159" i="36"/>
  <c r="N159" i="36"/>
  <c r="N131" i="36"/>
  <c r="Q131" i="36"/>
  <c r="Q159" i="36"/>
  <c r="P159" i="36"/>
  <c r="P131" i="36"/>
  <c r="AI204" i="110"/>
  <c r="AK134" i="110"/>
  <c r="AI202" i="110"/>
  <c r="AK135" i="110"/>
  <c r="AI203" i="110"/>
  <c r="AK137" i="110"/>
  <c r="AK138" i="110"/>
  <c r="AK139" i="110"/>
  <c r="AI198" i="110"/>
  <c r="AQ198" i="110"/>
  <c r="AQ202" i="110"/>
  <c r="AQ199" i="110"/>
  <c r="AQ200" i="110"/>
  <c r="Q56" i="112"/>
  <c r="Q56" i="142" s="1"/>
  <c r="AQ151" i="110"/>
  <c r="AQ152" i="110"/>
  <c r="O56" i="112"/>
  <c r="O56" i="142" s="1"/>
  <c r="M56" i="112"/>
  <c r="M56" i="142" s="1"/>
  <c r="E56" i="112"/>
  <c r="AQ203" i="110"/>
  <c r="P56" i="112"/>
  <c r="P56" i="142" s="1"/>
  <c r="AL112" i="110"/>
  <c r="AL95" i="110"/>
  <c r="G121" i="36"/>
  <c r="G149" i="36"/>
  <c r="G112" i="110"/>
  <c r="AJ117" i="110"/>
  <c r="AJ100" i="110"/>
  <c r="H159" i="36"/>
  <c r="H131" i="36"/>
  <c r="K131" i="36"/>
  <c r="K159" i="36"/>
  <c r="I131" i="36"/>
  <c r="I159" i="36"/>
  <c r="J140" i="36"/>
  <c r="J112" i="36"/>
  <c r="J131" i="36"/>
  <c r="J159" i="36"/>
  <c r="D117" i="110"/>
  <c r="K117" i="110"/>
  <c r="I117" i="110"/>
  <c r="H117" i="110"/>
  <c r="I112" i="36"/>
  <c r="I140" i="36"/>
  <c r="J117" i="110"/>
  <c r="E159" i="36"/>
  <c r="E131" i="36"/>
  <c r="AN117" i="110"/>
  <c r="AN100" i="110"/>
  <c r="AM117" i="110"/>
  <c r="AM100" i="110"/>
  <c r="AO117" i="110"/>
  <c r="AO100" i="110"/>
  <c r="E112" i="36"/>
  <c r="E140" i="36"/>
  <c r="D166" i="110"/>
  <c r="D164" i="110"/>
  <c r="D161" i="110"/>
  <c r="D160" i="110"/>
  <c r="D165" i="110"/>
  <c r="D162" i="110"/>
  <c r="E117" i="110"/>
  <c r="G140" i="36"/>
  <c r="G112" i="36"/>
  <c r="H112" i="36"/>
  <c r="H140" i="36"/>
  <c r="K140" i="36"/>
  <c r="K112" i="36"/>
  <c r="L112" i="36"/>
  <c r="L140" i="36"/>
  <c r="G159" i="36"/>
  <c r="G131" i="36"/>
  <c r="D159" i="36"/>
  <c r="D131" i="36"/>
  <c r="G117" i="110"/>
  <c r="AP117" i="110"/>
  <c r="AP100" i="110"/>
  <c r="AI117" i="110"/>
  <c r="AI100" i="110"/>
  <c r="AL100" i="110"/>
  <c r="AL117" i="110"/>
  <c r="I41" i="111"/>
  <c r="I41" i="141" s="1"/>
  <c r="H41" i="35"/>
  <c r="I56" i="111" s="1"/>
  <c r="I56" i="141" s="1"/>
  <c r="H41" i="111"/>
  <c r="H41" i="141" s="1"/>
  <c r="G41" i="35"/>
  <c r="H56" i="111" s="1"/>
  <c r="H56" i="141" s="1"/>
  <c r="K41" i="112"/>
  <c r="K41" i="142" s="1"/>
  <c r="K56" i="112"/>
  <c r="K56" i="142" s="1"/>
  <c r="E41" i="111"/>
  <c r="E41" i="141" s="1"/>
  <c r="D41" i="35"/>
  <c r="E56" i="111" s="1"/>
  <c r="L56" i="112"/>
  <c r="L56" i="142" s="1"/>
  <c r="L41" i="112"/>
  <c r="L41" i="142" s="1"/>
  <c r="E41" i="35"/>
  <c r="F56" i="111" s="1"/>
  <c r="F41" i="111"/>
  <c r="F41" i="141" s="1"/>
  <c r="D56" i="112"/>
  <c r="D56" i="142" s="1"/>
  <c r="D41" i="111"/>
  <c r="D41" i="141" s="1"/>
  <c r="D56" i="111"/>
  <c r="D56" i="141" s="1"/>
  <c r="J41" i="112"/>
  <c r="J41" i="142" s="1"/>
  <c r="J56" i="112"/>
  <c r="J56" i="142" s="1"/>
  <c r="J41" i="111"/>
  <c r="J41" i="141" s="1"/>
  <c r="I41" i="35"/>
  <c r="J56" i="111" s="1"/>
  <c r="J56" i="141" s="1"/>
  <c r="G41" i="111"/>
  <c r="G41" i="141" s="1"/>
  <c r="F41" i="35"/>
  <c r="G56" i="111" s="1"/>
  <c r="F41" i="112"/>
  <c r="F41" i="142" s="1"/>
  <c r="F56" i="112"/>
  <c r="H56" i="112"/>
  <c r="H56" i="142" s="1"/>
  <c r="H41" i="112"/>
  <c r="H41" i="142" s="1"/>
  <c r="D179" i="110"/>
  <c r="D185" i="110"/>
  <c r="D184" i="110"/>
  <c r="D183" i="110"/>
  <c r="D181" i="110"/>
  <c r="D180" i="110"/>
  <c r="D139" i="110"/>
  <c r="D138" i="110"/>
  <c r="D137" i="110"/>
  <c r="D135" i="110"/>
  <c r="D134" i="110"/>
  <c r="D133" i="110"/>
  <c r="G56" i="112"/>
  <c r="G41" i="112"/>
  <c r="G41" i="142" s="1"/>
  <c r="K41" i="111"/>
  <c r="K41" i="141" s="1"/>
  <c r="J41" i="35"/>
  <c r="K56" i="111" s="1"/>
  <c r="K56" i="141" s="1"/>
  <c r="D176" i="110"/>
  <c r="D175" i="110"/>
  <c r="D174" i="110"/>
  <c r="D172" i="110"/>
  <c r="D170" i="110"/>
  <c r="D171" i="110"/>
  <c r="F159" i="36" l="1"/>
  <c r="AF191" i="36" s="1"/>
  <c r="F85" i="112" s="1"/>
  <c r="F85" i="142" s="1"/>
  <c r="K172" i="36"/>
  <c r="K181" i="36"/>
  <c r="K74" i="111" s="1"/>
  <c r="K74" i="141" s="1"/>
  <c r="K176" i="36"/>
  <c r="K69" i="111" s="1"/>
  <c r="K69" i="141" s="1"/>
  <c r="L113" i="112"/>
  <c r="I113" i="112"/>
  <c r="AK164" i="110"/>
  <c r="AJ311" i="110" s="1"/>
  <c r="J196" i="36"/>
  <c r="J90" i="111" s="1"/>
  <c r="J90" i="141" s="1"/>
  <c r="I230" i="110"/>
  <c r="AK100" i="110"/>
  <c r="H196" i="36"/>
  <c r="H90" i="111" s="1"/>
  <c r="H90" i="141" s="1"/>
  <c r="AK300" i="110"/>
  <c r="AJ300" i="110"/>
  <c r="M113" i="111"/>
  <c r="M113" i="141" s="1"/>
  <c r="K41" i="35"/>
  <c r="L56" i="111" s="1"/>
  <c r="L56" i="141" s="1"/>
  <c r="M41" i="35"/>
  <c r="N56" i="111" s="1"/>
  <c r="N56" i="141" s="1"/>
  <c r="L113" i="141"/>
  <c r="G56" i="142"/>
  <c r="G56" i="141"/>
  <c r="F161" i="142" a="1"/>
  <c r="AK166" i="110"/>
  <c r="AJ313" i="110" s="1"/>
  <c r="AK162" i="110"/>
  <c r="AJ309" i="110" s="1"/>
  <c r="AK167" i="110"/>
  <c r="AJ314" i="110" s="1"/>
  <c r="AK163" i="110"/>
  <c r="AJ310" i="110" s="1"/>
  <c r="AK160" i="110"/>
  <c r="AJ307" i="110" s="1"/>
  <c r="AK161" i="110"/>
  <c r="AJ308" i="110" s="1"/>
  <c r="X151" i="142"/>
  <c r="AB151" i="142"/>
  <c r="AA151" i="142"/>
  <c r="R151" i="142"/>
  <c r="S151" i="142"/>
  <c r="U151" i="142"/>
  <c r="V151" i="142"/>
  <c r="T151" i="142"/>
  <c r="Y151" i="142"/>
  <c r="Z151" i="142"/>
  <c r="W151" i="142"/>
  <c r="K175" i="36"/>
  <c r="K68" i="111" s="1"/>
  <c r="K68" i="141" s="1"/>
  <c r="K179" i="36"/>
  <c r="K72" i="111" s="1"/>
  <c r="K72" i="141" s="1"/>
  <c r="K178" i="36"/>
  <c r="K171" i="36"/>
  <c r="K64" i="111" s="1"/>
  <c r="K64" i="141" s="1"/>
  <c r="K180" i="36"/>
  <c r="K73" i="111" s="1"/>
  <c r="K73" i="141" s="1"/>
  <c r="K167" i="36"/>
  <c r="K60" i="111" s="1"/>
  <c r="K60" i="141" s="1"/>
  <c r="K173" i="36"/>
  <c r="K66" i="111" s="1"/>
  <c r="K66" i="141" s="1"/>
  <c r="K177" i="36"/>
  <c r="K70" i="111" s="1"/>
  <c r="K70" i="141" s="1"/>
  <c r="K170" i="36"/>
  <c r="K63" i="111" s="1"/>
  <c r="K63" i="141" s="1"/>
  <c r="K174" i="36"/>
  <c r="K67" i="111" s="1"/>
  <c r="K67" i="141" s="1"/>
  <c r="O41" i="35"/>
  <c r="P56" i="111" s="1"/>
  <c r="P56" i="141" s="1"/>
  <c r="N41" i="35"/>
  <c r="O56" i="111" s="1"/>
  <c r="O56" i="141" s="1"/>
  <c r="L41" i="35"/>
  <c r="M56" i="111" s="1"/>
  <c r="M56" i="141" s="1"/>
  <c r="P41" i="35"/>
  <c r="Q56" i="111" s="1"/>
  <c r="Q56" i="141" s="1"/>
  <c r="T72" i="142"/>
  <c r="Z72" i="142"/>
  <c r="V72" i="142"/>
  <c r="R72" i="142"/>
  <c r="Y72" i="142"/>
  <c r="U72" i="142"/>
  <c r="X72" i="142"/>
  <c r="AB72" i="142"/>
  <c r="AA72" i="142"/>
  <c r="W72" i="142"/>
  <c r="S72" i="142"/>
  <c r="H31" i="141"/>
  <c r="H32" i="141"/>
  <c r="H26" i="141"/>
  <c r="H23" i="141"/>
  <c r="H27" i="141"/>
  <c r="H34" i="141"/>
  <c r="G34" i="141"/>
  <c r="E25" i="141"/>
  <c r="L26" i="141"/>
  <c r="J28" i="141"/>
  <c r="J22" i="141"/>
  <c r="L23" i="141"/>
  <c r="J23" i="141"/>
  <c r="E29" i="141"/>
  <c r="E22" i="141"/>
  <c r="E31" i="141"/>
  <c r="K27" i="141"/>
  <c r="K26" i="141"/>
  <c r="K30" i="141"/>
  <c r="K34" i="141"/>
  <c r="K32" i="141"/>
  <c r="K36" i="141"/>
  <c r="K25" i="141"/>
  <c r="K29" i="141"/>
  <c r="K28" i="141"/>
  <c r="K23" i="141"/>
  <c r="K31" i="141"/>
  <c r="K33" i="141"/>
  <c r="K24" i="141"/>
  <c r="K35" i="141"/>
  <c r="L33" i="141"/>
  <c r="I22" i="141"/>
  <c r="I25" i="141"/>
  <c r="E34" i="141"/>
  <c r="L30" i="141"/>
  <c r="I28" i="141"/>
  <c r="I26" i="141"/>
  <c r="L28" i="141"/>
  <c r="L25" i="141"/>
  <c r="I23" i="141"/>
  <c r="I33" i="141"/>
  <c r="L35" i="141"/>
  <c r="I30" i="141"/>
  <c r="I27" i="141"/>
  <c r="L29" i="141"/>
  <c r="L31" i="141"/>
  <c r="I24" i="141"/>
  <c r="I34" i="141"/>
  <c r="J31" i="141"/>
  <c r="F25" i="141"/>
  <c r="F35" i="141"/>
  <c r="F31" i="141"/>
  <c r="F28" i="141"/>
  <c r="F34" i="141"/>
  <c r="F27" i="141"/>
  <c r="F33" i="141"/>
  <c r="F36" i="141"/>
  <c r="F26" i="141"/>
  <c r="F29" i="141"/>
  <c r="F32" i="141"/>
  <c r="L32" i="141"/>
  <c r="L36" i="141"/>
  <c r="I29" i="141"/>
  <c r="I31" i="141"/>
  <c r="H36" i="141"/>
  <c r="E30" i="141"/>
  <c r="I36" i="141"/>
  <c r="I35" i="141"/>
  <c r="J29" i="141"/>
  <c r="J34" i="141"/>
  <c r="E28" i="141"/>
  <c r="L27" i="141"/>
  <c r="I32" i="141"/>
  <c r="H29" i="141"/>
  <c r="J24" i="141"/>
  <c r="H33" i="141"/>
  <c r="E32" i="141"/>
  <c r="L34" i="141"/>
  <c r="H30" i="141"/>
  <c r="J35" i="141"/>
  <c r="J27" i="141"/>
  <c r="J36" i="141"/>
  <c r="H24" i="141"/>
  <c r="J32" i="141"/>
  <c r="E27" i="141"/>
  <c r="H28" i="141"/>
  <c r="J33" i="141"/>
  <c r="E26" i="141"/>
  <c r="J26" i="141"/>
  <c r="H25" i="141"/>
  <c r="H35" i="141"/>
  <c r="J30" i="141"/>
  <c r="J25" i="141"/>
  <c r="E24" i="141"/>
  <c r="H113" i="142"/>
  <c r="H113" i="112"/>
  <c r="G113" i="142"/>
  <c r="G113" i="112"/>
  <c r="D113" i="142"/>
  <c r="D113" i="112"/>
  <c r="F113" i="142"/>
  <c r="F113" i="112"/>
  <c r="E113" i="142"/>
  <c r="E113" i="112"/>
  <c r="N113" i="112"/>
  <c r="N113" i="142"/>
  <c r="P113" i="112"/>
  <c r="P113" i="142"/>
  <c r="K113" i="112"/>
  <c r="K113" i="142"/>
  <c r="O113" i="112"/>
  <c r="O113" i="142"/>
  <c r="T41" i="111"/>
  <c r="T41" i="141" s="1"/>
  <c r="S41" i="35"/>
  <c r="T56" i="111" s="1"/>
  <c r="T56" i="141" s="1"/>
  <c r="AB41" i="111"/>
  <c r="AB41" i="141" s="1"/>
  <c r="AA41" i="35"/>
  <c r="AB56" i="111" s="1"/>
  <c r="AB56" i="141" s="1"/>
  <c r="AA41" i="111"/>
  <c r="AA41" i="141" s="1"/>
  <c r="Z41" i="35"/>
  <c r="AA56" i="111" s="1"/>
  <c r="AA56" i="141" s="1"/>
  <c r="U41" i="111"/>
  <c r="U41" i="141" s="1"/>
  <c r="T41" i="35"/>
  <c r="U56" i="111" s="1"/>
  <c r="U56" i="141" s="1"/>
  <c r="V41" i="111"/>
  <c r="V41" i="141" s="1"/>
  <c r="U41" i="35"/>
  <c r="V56" i="111" s="1"/>
  <c r="V56" i="141" s="1"/>
  <c r="Z41" i="111"/>
  <c r="Z41" i="141" s="1"/>
  <c r="Y41" i="35"/>
  <c r="Z56" i="111" s="1"/>
  <c r="Z56" i="141" s="1"/>
  <c r="Y41" i="111"/>
  <c r="Y41" i="141" s="1"/>
  <c r="X41" i="35"/>
  <c r="Y56" i="111" s="1"/>
  <c r="Y56" i="141" s="1"/>
  <c r="S41" i="111"/>
  <c r="S41" i="141" s="1"/>
  <c r="R41" i="35"/>
  <c r="S56" i="111" s="1"/>
  <c r="S56" i="141" s="1"/>
  <c r="W41" i="111"/>
  <c r="W41" i="141" s="1"/>
  <c r="V41" i="35"/>
  <c r="W56" i="111" s="1"/>
  <c r="W56" i="141" s="1"/>
  <c r="X41" i="111"/>
  <c r="X41" i="141" s="1"/>
  <c r="W41" i="35"/>
  <c r="X56" i="111" s="1"/>
  <c r="X56" i="141" s="1"/>
  <c r="R41" i="111"/>
  <c r="R41" i="141" s="1"/>
  <c r="Q41" i="35"/>
  <c r="R56" i="111" s="1"/>
  <c r="R56" i="141" s="1"/>
  <c r="D185" i="36"/>
  <c r="AJ179" i="36"/>
  <c r="J72" i="112" s="1"/>
  <c r="AE178" i="36"/>
  <c r="AJ174" i="36"/>
  <c r="J67" i="112" s="1"/>
  <c r="J67" i="142" s="1"/>
  <c r="AE172" i="36"/>
  <c r="E65" i="112" s="1"/>
  <c r="E65" i="142" s="1"/>
  <c r="AJ172" i="36"/>
  <c r="J65" i="112" s="1"/>
  <c r="J65" i="142" s="1"/>
  <c r="AE170" i="36"/>
  <c r="E63" i="112" s="1"/>
  <c r="E63" i="142" s="1"/>
  <c r="AK181" i="36"/>
  <c r="K74" i="112" s="1"/>
  <c r="K74" i="142" s="1"/>
  <c r="AD181" i="36"/>
  <c r="D74" i="112" s="1"/>
  <c r="D74" i="142" s="1"/>
  <c r="AK180" i="36"/>
  <c r="K73" i="112" s="1"/>
  <c r="K73" i="142" s="1"/>
  <c r="AD172" i="36"/>
  <c r="D65" i="112" s="1"/>
  <c r="D65" i="142" s="1"/>
  <c r="AK173" i="36"/>
  <c r="K66" i="112" s="1"/>
  <c r="K66" i="142" s="1"/>
  <c r="AD171" i="36"/>
  <c r="D64" i="112" s="1"/>
  <c r="D64" i="142" s="1"/>
  <c r="AK171" i="36"/>
  <c r="K64" i="112" s="1"/>
  <c r="K64" i="142" s="1"/>
  <c r="AD168" i="36"/>
  <c r="D61" i="112" s="1"/>
  <c r="D61" i="142" s="1"/>
  <c r="AE180" i="36"/>
  <c r="E73" i="112" s="1"/>
  <c r="E73" i="142" s="1"/>
  <c r="AD179" i="36"/>
  <c r="D72" i="112" s="1"/>
  <c r="D72" i="142" s="1"/>
  <c r="AJ181" i="36"/>
  <c r="J74" i="112" s="1"/>
  <c r="J74" i="142" s="1"/>
  <c r="AJ173" i="36"/>
  <c r="J66" i="112" s="1"/>
  <c r="J66" i="142" s="1"/>
  <c r="AK178" i="36"/>
  <c r="AK172" i="36"/>
  <c r="K65" i="112" s="1"/>
  <c r="K65" i="142" s="1"/>
  <c r="AE179" i="36"/>
  <c r="E72" i="112" s="1"/>
  <c r="E72" i="142" s="1"/>
  <c r="AE171" i="36"/>
  <c r="E64" i="112" s="1"/>
  <c r="E64" i="142" s="1"/>
  <c r="AD167" i="36"/>
  <c r="D60" i="112" s="1"/>
  <c r="D60" i="142" s="1"/>
  <c r="AD178" i="36"/>
  <c r="AJ178" i="36"/>
  <c r="AJ171" i="36"/>
  <c r="J64" i="112" s="1"/>
  <c r="J64" i="142" s="1"/>
  <c r="AK177" i="36"/>
  <c r="K70" i="112" s="1"/>
  <c r="K70" i="142" s="1"/>
  <c r="AK170" i="36"/>
  <c r="K63" i="112" s="1"/>
  <c r="K63" i="142" s="1"/>
  <c r="AE177" i="36"/>
  <c r="E70" i="112" s="1"/>
  <c r="E70" i="142" s="1"/>
  <c r="AE169" i="36"/>
  <c r="E62" i="112" s="1"/>
  <c r="E62" i="142" s="1"/>
  <c r="AD175" i="36"/>
  <c r="D68" i="112" s="1"/>
  <c r="D68" i="142" s="1"/>
  <c r="AD170" i="36"/>
  <c r="D63" i="112" s="1"/>
  <c r="D63" i="142" s="1"/>
  <c r="AJ180" i="36"/>
  <c r="J73" i="112" s="1"/>
  <c r="J73" i="142" s="1"/>
  <c r="AJ170" i="36"/>
  <c r="J63" i="112" s="1"/>
  <c r="J63" i="142" s="1"/>
  <c r="AK176" i="36"/>
  <c r="K69" i="112" s="1"/>
  <c r="K69" i="142" s="1"/>
  <c r="AK169" i="36"/>
  <c r="K62" i="112" s="1"/>
  <c r="K62" i="142" s="1"/>
  <c r="AE176" i="36"/>
  <c r="E69" i="112" s="1"/>
  <c r="E69" i="142" s="1"/>
  <c r="AE168" i="36"/>
  <c r="E61" i="112" s="1"/>
  <c r="E61" i="142" s="1"/>
  <c r="D170" i="36"/>
  <c r="D63" i="111" s="1"/>
  <c r="D63" i="141" s="1"/>
  <c r="D178" i="36"/>
  <c r="D171" i="36"/>
  <c r="D64" i="111" s="1"/>
  <c r="D64" i="141" s="1"/>
  <c r="D179" i="36"/>
  <c r="D72" i="111" s="1"/>
  <c r="D72" i="141" s="1"/>
  <c r="D172" i="36"/>
  <c r="D65" i="111" s="1"/>
  <c r="D65" i="141" s="1"/>
  <c r="D180" i="36"/>
  <c r="D73" i="111" s="1"/>
  <c r="D73" i="141" s="1"/>
  <c r="D173" i="36"/>
  <c r="D66" i="111" s="1"/>
  <c r="D66" i="141" s="1"/>
  <c r="D181" i="36"/>
  <c r="D74" i="111" s="1"/>
  <c r="D74" i="141" s="1"/>
  <c r="D174" i="36"/>
  <c r="D67" i="111" s="1"/>
  <c r="D67" i="141" s="1"/>
  <c r="D175" i="36"/>
  <c r="D68" i="111" s="1"/>
  <c r="D68" i="141" s="1"/>
  <c r="D168" i="36"/>
  <c r="D61" i="111" s="1"/>
  <c r="D61" i="141" s="1"/>
  <c r="D176" i="36"/>
  <c r="D69" i="111" s="1"/>
  <c r="D69" i="141" s="1"/>
  <c r="D177" i="36"/>
  <c r="D70" i="111" s="1"/>
  <c r="D70" i="141" s="1"/>
  <c r="D169" i="36"/>
  <c r="D62" i="111" s="1"/>
  <c r="D62" i="141" s="1"/>
  <c r="D167" i="36"/>
  <c r="D60" i="111" s="1"/>
  <c r="D60" i="141" s="1"/>
  <c r="AD174" i="36"/>
  <c r="D67" i="112" s="1"/>
  <c r="D67" i="142" s="1"/>
  <c r="AD177" i="36"/>
  <c r="D70" i="112" s="1"/>
  <c r="D70" i="142" s="1"/>
  <c r="AJ177" i="36"/>
  <c r="J70" i="112" s="1"/>
  <c r="J70" i="142" s="1"/>
  <c r="AJ169" i="36"/>
  <c r="J62" i="112" s="1"/>
  <c r="J62" i="142" s="1"/>
  <c r="AK179" i="36"/>
  <c r="K72" i="112" s="1"/>
  <c r="K72" i="142" s="1"/>
  <c r="AK168" i="36"/>
  <c r="K61" i="112" s="1"/>
  <c r="K61" i="142" s="1"/>
  <c r="AE175" i="36"/>
  <c r="E68" i="112" s="1"/>
  <c r="E68" i="142" s="1"/>
  <c r="AE167" i="36"/>
  <c r="E60" i="112" s="1"/>
  <c r="E60" i="142" s="1"/>
  <c r="AD173" i="36"/>
  <c r="D66" i="112" s="1"/>
  <c r="D66" i="142" s="1"/>
  <c r="AD169" i="36"/>
  <c r="D62" i="112" s="1"/>
  <c r="D62" i="142" s="1"/>
  <c r="AJ176" i="36"/>
  <c r="J69" i="112" s="1"/>
  <c r="J69" i="142" s="1"/>
  <c r="AJ168" i="36"/>
  <c r="J61" i="112" s="1"/>
  <c r="J61" i="142" s="1"/>
  <c r="AK175" i="36"/>
  <c r="K68" i="112" s="1"/>
  <c r="K68" i="142" s="1"/>
  <c r="AK167" i="36"/>
  <c r="K60" i="112" s="1"/>
  <c r="K60" i="142" s="1"/>
  <c r="AE174" i="36"/>
  <c r="E67" i="112" s="1"/>
  <c r="E67" i="142" s="1"/>
  <c r="AD180" i="36"/>
  <c r="D73" i="112" s="1"/>
  <c r="D73" i="142" s="1"/>
  <c r="AJ175" i="36"/>
  <c r="J68" i="112" s="1"/>
  <c r="J68" i="142" s="1"/>
  <c r="AJ167" i="36"/>
  <c r="J60" i="112" s="1"/>
  <c r="J60" i="142" s="1"/>
  <c r="AK174" i="36"/>
  <c r="K67" i="112" s="1"/>
  <c r="K67" i="142" s="1"/>
  <c r="AE181" i="36"/>
  <c r="E74" i="112" s="1"/>
  <c r="E74" i="142" s="1"/>
  <c r="AE173" i="36"/>
  <c r="E66" i="112" s="1"/>
  <c r="E66" i="142" s="1"/>
  <c r="G22" i="141"/>
  <c r="AB297" i="110"/>
  <c r="AA297" i="110"/>
  <c r="S297" i="110"/>
  <c r="G31" i="141"/>
  <c r="Z297" i="110"/>
  <c r="G23" i="141"/>
  <c r="Y297" i="110"/>
  <c r="R297" i="110"/>
  <c r="X297" i="110"/>
  <c r="T297" i="110"/>
  <c r="W297" i="110"/>
  <c r="AU304" i="110"/>
  <c r="AM304" i="110"/>
  <c r="V297" i="110"/>
  <c r="AS304" i="110"/>
  <c r="AL304" i="110"/>
  <c r="AN304" i="110"/>
  <c r="AJ304" i="110"/>
  <c r="AT304" i="110"/>
  <c r="AR304" i="110"/>
  <c r="AO304" i="110"/>
  <c r="AI304" i="110"/>
  <c r="AK304" i="110"/>
  <c r="AO300" i="110"/>
  <c r="AR300" i="110"/>
  <c r="O185" i="36"/>
  <c r="O186" i="36"/>
  <c r="O80" i="111" s="1"/>
  <c r="O80" i="141" s="1"/>
  <c r="O187" i="36"/>
  <c r="O81" i="111" s="1"/>
  <c r="O81" i="141" s="1"/>
  <c r="O188" i="36"/>
  <c r="O82" i="111" s="1"/>
  <c r="O82" i="141" s="1"/>
  <c r="O189" i="36"/>
  <c r="O83" i="111" s="1"/>
  <c r="O83" i="141" s="1"/>
  <c r="O190" i="36"/>
  <c r="O84" i="111" s="1"/>
  <c r="O84" i="141" s="1"/>
  <c r="O191" i="36"/>
  <c r="O85" i="111" s="1"/>
  <c r="O85" i="141" s="1"/>
  <c r="O192" i="36"/>
  <c r="O86" i="111" s="1"/>
  <c r="O86" i="141" s="1"/>
  <c r="O193" i="36"/>
  <c r="O87" i="111" s="1"/>
  <c r="O87" i="141" s="1"/>
  <c r="O194" i="36"/>
  <c r="O88" i="111" s="1"/>
  <c r="O88" i="141" s="1"/>
  <c r="O195" i="36"/>
  <c r="O89" i="111" s="1"/>
  <c r="O89" i="141" s="1"/>
  <c r="O196" i="36"/>
  <c r="O90" i="111" s="1"/>
  <c r="O90" i="141" s="1"/>
  <c r="O197" i="36"/>
  <c r="O91" i="111" s="1"/>
  <c r="O91" i="141" s="1"/>
  <c r="O198" i="36"/>
  <c r="O92" i="111" s="1"/>
  <c r="O92" i="141" s="1"/>
  <c r="O199" i="36"/>
  <c r="O93" i="111" s="1"/>
  <c r="O93" i="141" s="1"/>
  <c r="E185" i="36"/>
  <c r="E186" i="36"/>
  <c r="E80" i="111" s="1"/>
  <c r="E80" i="141" s="1"/>
  <c r="E187" i="36"/>
  <c r="E81" i="111" s="1"/>
  <c r="E81" i="141" s="1"/>
  <c r="E188" i="36"/>
  <c r="E82" i="111" s="1"/>
  <c r="E82" i="141" s="1"/>
  <c r="E189" i="36"/>
  <c r="E83" i="111" s="1"/>
  <c r="E83" i="141" s="1"/>
  <c r="E190" i="36"/>
  <c r="E84" i="111" s="1"/>
  <c r="E84" i="141" s="1"/>
  <c r="E191" i="36"/>
  <c r="E85" i="111" s="1"/>
  <c r="E85" i="141" s="1"/>
  <c r="E192" i="36"/>
  <c r="E86" i="111" s="1"/>
  <c r="E86" i="141" s="1"/>
  <c r="E193" i="36"/>
  <c r="E87" i="111" s="1"/>
  <c r="E87" i="141" s="1"/>
  <c r="E194" i="36"/>
  <c r="E88" i="111" s="1"/>
  <c r="E88" i="141" s="1"/>
  <c r="E195" i="36"/>
  <c r="E89" i="111" s="1"/>
  <c r="E89" i="141" s="1"/>
  <c r="E196" i="36"/>
  <c r="E90" i="111" s="1"/>
  <c r="E90" i="141" s="1"/>
  <c r="E197" i="36"/>
  <c r="E91" i="111" s="1"/>
  <c r="E91" i="141" s="1"/>
  <c r="E198" i="36"/>
  <c r="E92" i="111" s="1"/>
  <c r="E92" i="141" s="1"/>
  <c r="E199" i="36"/>
  <c r="E93" i="111" s="1"/>
  <c r="E93" i="141" s="1"/>
  <c r="AT300" i="110"/>
  <c r="K185" i="36"/>
  <c r="K186" i="36"/>
  <c r="K80" i="111" s="1"/>
  <c r="K80" i="141" s="1"/>
  <c r="K187" i="36"/>
  <c r="K81" i="111" s="1"/>
  <c r="K81" i="141" s="1"/>
  <c r="K188" i="36"/>
  <c r="K82" i="111" s="1"/>
  <c r="K82" i="141" s="1"/>
  <c r="K189" i="36"/>
  <c r="K83" i="111" s="1"/>
  <c r="K83" i="141" s="1"/>
  <c r="K190" i="36"/>
  <c r="K84" i="111" s="1"/>
  <c r="K84" i="141" s="1"/>
  <c r="K191" i="36"/>
  <c r="K85" i="111" s="1"/>
  <c r="K85" i="141" s="1"/>
  <c r="K192" i="36"/>
  <c r="K86" i="111" s="1"/>
  <c r="K86" i="141" s="1"/>
  <c r="K193" i="36"/>
  <c r="K87" i="111" s="1"/>
  <c r="K87" i="141" s="1"/>
  <c r="K194" i="36"/>
  <c r="K88" i="111" s="1"/>
  <c r="K88" i="141" s="1"/>
  <c r="K195" i="36"/>
  <c r="K89" i="111" s="1"/>
  <c r="K89" i="141" s="1"/>
  <c r="K196" i="36"/>
  <c r="K90" i="111" s="1"/>
  <c r="K90" i="141" s="1"/>
  <c r="K197" i="36"/>
  <c r="K91" i="111" s="1"/>
  <c r="K91" i="141" s="1"/>
  <c r="K198" i="36"/>
  <c r="K92" i="111" s="1"/>
  <c r="K92" i="141" s="1"/>
  <c r="K199" i="36"/>
  <c r="K93" i="111" s="1"/>
  <c r="K93" i="141" s="1"/>
  <c r="J185" i="36"/>
  <c r="J193" i="36"/>
  <c r="J87" i="111" s="1"/>
  <c r="J87" i="141" s="1"/>
  <c r="J198" i="36"/>
  <c r="J92" i="111" s="1"/>
  <c r="J92" i="141" s="1"/>
  <c r="J188" i="36"/>
  <c r="J82" i="111" s="1"/>
  <c r="J82" i="141" s="1"/>
  <c r="J191" i="36"/>
  <c r="J85" i="111" s="1"/>
  <c r="J85" i="141" s="1"/>
  <c r="J189" i="36"/>
  <c r="J83" i="111" s="1"/>
  <c r="J83" i="141" s="1"/>
  <c r="J186" i="36"/>
  <c r="J80" i="111" s="1"/>
  <c r="J80" i="141" s="1"/>
  <c r="J194" i="36"/>
  <c r="J88" i="111" s="1"/>
  <c r="J88" i="141" s="1"/>
  <c r="J197" i="36"/>
  <c r="J91" i="111" s="1"/>
  <c r="J91" i="141" s="1"/>
  <c r="J192" i="36"/>
  <c r="J86" i="111" s="1"/>
  <c r="J86" i="141" s="1"/>
  <c r="J187" i="36"/>
  <c r="J81" i="111" s="1"/>
  <c r="J81" i="141" s="1"/>
  <c r="J195" i="36"/>
  <c r="J89" i="111" s="1"/>
  <c r="J89" i="141" s="1"/>
  <c r="J199" i="36"/>
  <c r="J93" i="111" s="1"/>
  <c r="J93" i="141" s="1"/>
  <c r="J190" i="36"/>
  <c r="J84" i="111" s="1"/>
  <c r="J84" i="141" s="1"/>
  <c r="P185" i="36"/>
  <c r="P186" i="36"/>
  <c r="P80" i="111" s="1"/>
  <c r="P80" i="141" s="1"/>
  <c r="P187" i="36"/>
  <c r="P81" i="111" s="1"/>
  <c r="P81" i="141" s="1"/>
  <c r="P188" i="36"/>
  <c r="P82" i="111" s="1"/>
  <c r="P82" i="141" s="1"/>
  <c r="P189" i="36"/>
  <c r="P83" i="111" s="1"/>
  <c r="P83" i="141" s="1"/>
  <c r="P190" i="36"/>
  <c r="P84" i="111" s="1"/>
  <c r="P84" i="141" s="1"/>
  <c r="P191" i="36"/>
  <c r="P85" i="111" s="1"/>
  <c r="P85" i="141" s="1"/>
  <c r="P192" i="36"/>
  <c r="P86" i="111" s="1"/>
  <c r="P86" i="141" s="1"/>
  <c r="P193" i="36"/>
  <c r="P87" i="111" s="1"/>
  <c r="P87" i="141" s="1"/>
  <c r="P194" i="36"/>
  <c r="P88" i="111" s="1"/>
  <c r="P88" i="141" s="1"/>
  <c r="P195" i="36"/>
  <c r="P89" i="111" s="1"/>
  <c r="P89" i="141" s="1"/>
  <c r="P196" i="36"/>
  <c r="P90" i="111" s="1"/>
  <c r="P90" i="141" s="1"/>
  <c r="P197" i="36"/>
  <c r="P91" i="111" s="1"/>
  <c r="P91" i="141" s="1"/>
  <c r="P198" i="36"/>
  <c r="P92" i="111" s="1"/>
  <c r="P92" i="141" s="1"/>
  <c r="P199" i="36"/>
  <c r="P93" i="111" s="1"/>
  <c r="P93" i="141" s="1"/>
  <c r="AI300" i="110"/>
  <c r="I196" i="36"/>
  <c r="I90" i="111" s="1"/>
  <c r="I90" i="141" s="1"/>
  <c r="I188" i="36"/>
  <c r="I82" i="111" s="1"/>
  <c r="I82" i="141" s="1"/>
  <c r="I194" i="36"/>
  <c r="I88" i="111" s="1"/>
  <c r="I88" i="141" s="1"/>
  <c r="I195" i="36"/>
  <c r="I89" i="111" s="1"/>
  <c r="I89" i="141" s="1"/>
  <c r="I185" i="36"/>
  <c r="I187" i="36"/>
  <c r="I81" i="111" s="1"/>
  <c r="I81" i="141" s="1"/>
  <c r="I189" i="36"/>
  <c r="I83" i="111" s="1"/>
  <c r="I83" i="141" s="1"/>
  <c r="I190" i="36"/>
  <c r="I84" i="111" s="1"/>
  <c r="I84" i="141" s="1"/>
  <c r="I191" i="36"/>
  <c r="I85" i="111" s="1"/>
  <c r="I85" i="141" s="1"/>
  <c r="I192" i="36"/>
  <c r="I86" i="111" s="1"/>
  <c r="I86" i="141" s="1"/>
  <c r="I193" i="36"/>
  <c r="I87" i="111" s="1"/>
  <c r="I87" i="141" s="1"/>
  <c r="I197" i="36"/>
  <c r="I91" i="111" s="1"/>
  <c r="I91" i="141" s="1"/>
  <c r="I198" i="36"/>
  <c r="I92" i="111" s="1"/>
  <c r="I92" i="141" s="1"/>
  <c r="I186" i="36"/>
  <c r="I80" i="111" s="1"/>
  <c r="I80" i="141" s="1"/>
  <c r="I199" i="36"/>
  <c r="I93" i="111" s="1"/>
  <c r="I93" i="141" s="1"/>
  <c r="AS300" i="110"/>
  <c r="AL300" i="110"/>
  <c r="F185" i="36"/>
  <c r="F186" i="36"/>
  <c r="F80" i="111" s="1"/>
  <c r="F80" i="141" s="1"/>
  <c r="F187" i="36"/>
  <c r="F81" i="111" s="1"/>
  <c r="F81" i="141" s="1"/>
  <c r="F188" i="36"/>
  <c r="F82" i="111" s="1"/>
  <c r="F82" i="141" s="1"/>
  <c r="F189" i="36"/>
  <c r="F83" i="111" s="1"/>
  <c r="F83" i="141" s="1"/>
  <c r="F190" i="36"/>
  <c r="F84" i="111" s="1"/>
  <c r="F84" i="141" s="1"/>
  <c r="F191" i="36"/>
  <c r="F85" i="111" s="1"/>
  <c r="F85" i="141" s="1"/>
  <c r="F192" i="36"/>
  <c r="F86" i="111" s="1"/>
  <c r="F86" i="141" s="1"/>
  <c r="F193" i="36"/>
  <c r="F87" i="111" s="1"/>
  <c r="F87" i="141" s="1"/>
  <c r="F194" i="36"/>
  <c r="F88" i="111" s="1"/>
  <c r="F88" i="141" s="1"/>
  <c r="F195" i="36"/>
  <c r="F89" i="111" s="1"/>
  <c r="F89" i="141" s="1"/>
  <c r="F196" i="36"/>
  <c r="F90" i="111" s="1"/>
  <c r="F90" i="141" s="1"/>
  <c r="F197" i="36"/>
  <c r="F91" i="111" s="1"/>
  <c r="F91" i="141" s="1"/>
  <c r="F198" i="36"/>
  <c r="F92" i="111" s="1"/>
  <c r="F92" i="141" s="1"/>
  <c r="F199" i="36"/>
  <c r="F93" i="111" s="1"/>
  <c r="F93" i="141" s="1"/>
  <c r="AN300" i="110"/>
  <c r="D186" i="36"/>
  <c r="D80" i="111" s="1"/>
  <c r="D80" i="141" s="1"/>
  <c r="D194" i="36"/>
  <c r="D88" i="111" s="1"/>
  <c r="D88" i="141" s="1"/>
  <c r="D187" i="36"/>
  <c r="D81" i="111" s="1"/>
  <c r="D81" i="141" s="1"/>
  <c r="D195" i="36"/>
  <c r="D89" i="111" s="1"/>
  <c r="D89" i="141" s="1"/>
  <c r="D188" i="36"/>
  <c r="D82" i="111" s="1"/>
  <c r="D82" i="141" s="1"/>
  <c r="D196" i="36"/>
  <c r="D90" i="111" s="1"/>
  <c r="D90" i="141" s="1"/>
  <c r="D190" i="36"/>
  <c r="D84" i="111" s="1"/>
  <c r="D84" i="141" s="1"/>
  <c r="D189" i="36"/>
  <c r="D83" i="111" s="1"/>
  <c r="D83" i="141" s="1"/>
  <c r="D197" i="36"/>
  <c r="D91" i="111" s="1"/>
  <c r="D91" i="141" s="1"/>
  <c r="D198" i="36"/>
  <c r="D92" i="111" s="1"/>
  <c r="D92" i="141" s="1"/>
  <c r="D192" i="36"/>
  <c r="D86" i="111" s="1"/>
  <c r="D86" i="141" s="1"/>
  <c r="D193" i="36"/>
  <c r="D87" i="111" s="1"/>
  <c r="D87" i="141" s="1"/>
  <c r="D191" i="36"/>
  <c r="D85" i="111" s="1"/>
  <c r="D85" i="141" s="1"/>
  <c r="D199" i="36"/>
  <c r="D93" i="111" s="1"/>
  <c r="D93" i="141" s="1"/>
  <c r="H185" i="36"/>
  <c r="H186" i="36"/>
  <c r="H80" i="111" s="1"/>
  <c r="H80" i="141" s="1"/>
  <c r="H187" i="36"/>
  <c r="H81" i="111" s="1"/>
  <c r="H81" i="141" s="1"/>
  <c r="H188" i="36"/>
  <c r="H82" i="111" s="1"/>
  <c r="H82" i="141" s="1"/>
  <c r="H189" i="36"/>
  <c r="H83" i="111" s="1"/>
  <c r="H83" i="141" s="1"/>
  <c r="H190" i="36"/>
  <c r="H84" i="111" s="1"/>
  <c r="H84" i="141" s="1"/>
  <c r="H191" i="36"/>
  <c r="H85" i="111" s="1"/>
  <c r="H85" i="141" s="1"/>
  <c r="H192" i="36"/>
  <c r="H86" i="111" s="1"/>
  <c r="H86" i="141" s="1"/>
  <c r="H193" i="36"/>
  <c r="H87" i="111" s="1"/>
  <c r="H87" i="141" s="1"/>
  <c r="H194" i="36"/>
  <c r="H88" i="111" s="1"/>
  <c r="H88" i="141" s="1"/>
  <c r="H195" i="36"/>
  <c r="H89" i="111" s="1"/>
  <c r="H89" i="141" s="1"/>
  <c r="H197" i="36"/>
  <c r="H91" i="111" s="1"/>
  <c r="H91" i="141" s="1"/>
  <c r="H198" i="36"/>
  <c r="H92" i="111" s="1"/>
  <c r="H92" i="141" s="1"/>
  <c r="H199" i="36"/>
  <c r="H93" i="111" s="1"/>
  <c r="H93" i="141" s="1"/>
  <c r="Q199" i="36"/>
  <c r="Q93" i="111" s="1"/>
  <c r="Q93" i="141" s="1"/>
  <c r="Q185" i="36"/>
  <c r="Q196" i="36"/>
  <c r="Q90" i="111" s="1"/>
  <c r="Q90" i="141" s="1"/>
  <c r="Q198" i="36"/>
  <c r="Q92" i="111" s="1"/>
  <c r="Q92" i="141" s="1"/>
  <c r="Q186" i="36"/>
  <c r="Q80" i="111" s="1"/>
  <c r="Q80" i="141" s="1"/>
  <c r="Q188" i="36"/>
  <c r="Q82" i="111" s="1"/>
  <c r="Q82" i="141" s="1"/>
  <c r="Q194" i="36"/>
  <c r="Q88" i="111" s="1"/>
  <c r="Q88" i="141" s="1"/>
  <c r="Q195" i="36"/>
  <c r="Q89" i="111" s="1"/>
  <c r="Q89" i="141" s="1"/>
  <c r="Q187" i="36"/>
  <c r="Q81" i="111" s="1"/>
  <c r="Q81" i="141" s="1"/>
  <c r="Q189" i="36"/>
  <c r="Q83" i="111" s="1"/>
  <c r="Q83" i="141" s="1"/>
  <c r="Q190" i="36"/>
  <c r="Q84" i="111" s="1"/>
  <c r="Q84" i="141" s="1"/>
  <c r="Q191" i="36"/>
  <c r="Q85" i="111" s="1"/>
  <c r="Q85" i="141" s="1"/>
  <c r="Q192" i="36"/>
  <c r="Q86" i="111" s="1"/>
  <c r="Q86" i="141" s="1"/>
  <c r="Q193" i="36"/>
  <c r="Q87" i="111" s="1"/>
  <c r="Q87" i="141" s="1"/>
  <c r="Q197" i="36"/>
  <c r="Q91" i="111" s="1"/>
  <c r="Q91" i="141" s="1"/>
  <c r="AU300" i="110"/>
  <c r="AM300" i="110"/>
  <c r="G185" i="36"/>
  <c r="G186" i="36"/>
  <c r="G80" i="111" s="1"/>
  <c r="G80" i="141" s="1"/>
  <c r="G187" i="36"/>
  <c r="G81" i="111" s="1"/>
  <c r="G81" i="141" s="1"/>
  <c r="G188" i="36"/>
  <c r="G82" i="111" s="1"/>
  <c r="G82" i="141" s="1"/>
  <c r="G189" i="36"/>
  <c r="G83" i="111" s="1"/>
  <c r="G83" i="141" s="1"/>
  <c r="G190" i="36"/>
  <c r="G84" i="111" s="1"/>
  <c r="G84" i="141" s="1"/>
  <c r="G191" i="36"/>
  <c r="G85" i="111" s="1"/>
  <c r="G85" i="141" s="1"/>
  <c r="G192" i="36"/>
  <c r="G86" i="111" s="1"/>
  <c r="G86" i="141" s="1"/>
  <c r="G193" i="36"/>
  <c r="G87" i="111" s="1"/>
  <c r="G87" i="141" s="1"/>
  <c r="G194" i="36"/>
  <c r="G88" i="111" s="1"/>
  <c r="G88" i="141" s="1"/>
  <c r="G195" i="36"/>
  <c r="G89" i="111" s="1"/>
  <c r="G89" i="141" s="1"/>
  <c r="G196" i="36"/>
  <c r="G90" i="111" s="1"/>
  <c r="G90" i="141" s="1"/>
  <c r="G197" i="36"/>
  <c r="G91" i="111" s="1"/>
  <c r="G91" i="141" s="1"/>
  <c r="G198" i="36"/>
  <c r="G92" i="111" s="1"/>
  <c r="G92" i="141" s="1"/>
  <c r="G199" i="36"/>
  <c r="G93" i="111" s="1"/>
  <c r="G93" i="141" s="1"/>
  <c r="N185" i="36"/>
  <c r="N186" i="36"/>
  <c r="N80" i="111" s="1"/>
  <c r="N80" i="141" s="1"/>
  <c r="N187" i="36"/>
  <c r="N81" i="111" s="1"/>
  <c r="N81" i="141" s="1"/>
  <c r="N188" i="36"/>
  <c r="N82" i="111" s="1"/>
  <c r="N82" i="141" s="1"/>
  <c r="N189" i="36"/>
  <c r="N83" i="111" s="1"/>
  <c r="N83" i="141" s="1"/>
  <c r="N190" i="36"/>
  <c r="N84" i="111" s="1"/>
  <c r="N84" i="141" s="1"/>
  <c r="N191" i="36"/>
  <c r="N85" i="111" s="1"/>
  <c r="N85" i="141" s="1"/>
  <c r="N192" i="36"/>
  <c r="N86" i="111" s="1"/>
  <c r="N86" i="141" s="1"/>
  <c r="N193" i="36"/>
  <c r="N87" i="111" s="1"/>
  <c r="N87" i="141" s="1"/>
  <c r="N194" i="36"/>
  <c r="N88" i="111" s="1"/>
  <c r="N88" i="141" s="1"/>
  <c r="N195" i="36"/>
  <c r="N89" i="111" s="1"/>
  <c r="N89" i="141" s="1"/>
  <c r="N196" i="36"/>
  <c r="N90" i="111" s="1"/>
  <c r="N90" i="141" s="1"/>
  <c r="N197" i="36"/>
  <c r="N91" i="111" s="1"/>
  <c r="N91" i="141" s="1"/>
  <c r="N198" i="36"/>
  <c r="N92" i="111" s="1"/>
  <c r="N92" i="141" s="1"/>
  <c r="N199" i="36"/>
  <c r="N93" i="111" s="1"/>
  <c r="N93" i="141" s="1"/>
  <c r="D140" i="36"/>
  <c r="AD194" i="36" s="1"/>
  <c r="D88" i="112" s="1"/>
  <c r="D88" i="142" s="1"/>
  <c r="AI140" i="110"/>
  <c r="AS307" i="110"/>
  <c r="AK185" i="36"/>
  <c r="AK186" i="36"/>
  <c r="K80" i="112" s="1"/>
  <c r="K80" i="142" s="1"/>
  <c r="AK188" i="36"/>
  <c r="K82" i="112" s="1"/>
  <c r="K82" i="142" s="1"/>
  <c r="AK187" i="36"/>
  <c r="K81" i="112" s="1"/>
  <c r="K81" i="142" s="1"/>
  <c r="AK189" i="36"/>
  <c r="K83" i="112" s="1"/>
  <c r="K83" i="142" s="1"/>
  <c r="AK190" i="36"/>
  <c r="K84" i="112" s="1"/>
  <c r="K84" i="142" s="1"/>
  <c r="AK191" i="36"/>
  <c r="K85" i="112" s="1"/>
  <c r="K85" i="142" s="1"/>
  <c r="AK192" i="36"/>
  <c r="K86" i="112" s="1"/>
  <c r="K86" i="142" s="1"/>
  <c r="AK193" i="36"/>
  <c r="K87" i="112" s="1"/>
  <c r="K87" i="142" s="1"/>
  <c r="AK194" i="36"/>
  <c r="K88" i="112" s="1"/>
  <c r="K88" i="142" s="1"/>
  <c r="AK195" i="36"/>
  <c r="K89" i="112" s="1"/>
  <c r="K89" i="142" s="1"/>
  <c r="AK196" i="36"/>
  <c r="K90" i="112" s="1"/>
  <c r="K90" i="142" s="1"/>
  <c r="AK197" i="36"/>
  <c r="K91" i="112" s="1"/>
  <c r="K91" i="142" s="1"/>
  <c r="AK198" i="36"/>
  <c r="K92" i="112" s="1"/>
  <c r="K92" i="142" s="1"/>
  <c r="AK199" i="36"/>
  <c r="K93" i="112" s="1"/>
  <c r="K93" i="142" s="1"/>
  <c r="AH186" i="36"/>
  <c r="H80" i="112" s="1"/>
  <c r="H80" i="142" s="1"/>
  <c r="AH187" i="36"/>
  <c r="H81" i="112" s="1"/>
  <c r="H81" i="142" s="1"/>
  <c r="AH189" i="36"/>
  <c r="H83" i="112" s="1"/>
  <c r="H83" i="142" s="1"/>
  <c r="AH190" i="36"/>
  <c r="H84" i="112" s="1"/>
  <c r="H84" i="142" s="1"/>
  <c r="AH191" i="36"/>
  <c r="H85" i="112" s="1"/>
  <c r="H85" i="142" s="1"/>
  <c r="AH192" i="36"/>
  <c r="H86" i="112" s="1"/>
  <c r="H86" i="142" s="1"/>
  <c r="AH193" i="36"/>
  <c r="H87" i="112" s="1"/>
  <c r="H87" i="142" s="1"/>
  <c r="AH194" i="36"/>
  <c r="H88" i="112" s="1"/>
  <c r="H88" i="142" s="1"/>
  <c r="AH195" i="36"/>
  <c r="H89" i="112" s="1"/>
  <c r="H89" i="142" s="1"/>
  <c r="AH196" i="36"/>
  <c r="H90" i="112" s="1"/>
  <c r="H90" i="142" s="1"/>
  <c r="AH197" i="36"/>
  <c r="H91" i="112" s="1"/>
  <c r="H91" i="142" s="1"/>
  <c r="AH198" i="36"/>
  <c r="H92" i="112" s="1"/>
  <c r="H92" i="142" s="1"/>
  <c r="AH199" i="36"/>
  <c r="H93" i="112" s="1"/>
  <c r="H93" i="142" s="1"/>
  <c r="AH188" i="36"/>
  <c r="H82" i="112" s="1"/>
  <c r="H82" i="142" s="1"/>
  <c r="AH185" i="36"/>
  <c r="AP198" i="36"/>
  <c r="P92" i="112" s="1"/>
  <c r="P92" i="142" s="1"/>
  <c r="AP185" i="36"/>
  <c r="AP199" i="36"/>
  <c r="P93" i="112" s="1"/>
  <c r="P93" i="142" s="1"/>
  <c r="AP188" i="36"/>
  <c r="P82" i="112" s="1"/>
  <c r="P82" i="142" s="1"/>
  <c r="AP189" i="36"/>
  <c r="P83" i="112" s="1"/>
  <c r="P83" i="142" s="1"/>
  <c r="AP190" i="36"/>
  <c r="P84" i="112" s="1"/>
  <c r="P84" i="142" s="1"/>
  <c r="AP191" i="36"/>
  <c r="P85" i="112" s="1"/>
  <c r="P85" i="142" s="1"/>
  <c r="AP192" i="36"/>
  <c r="P86" i="112" s="1"/>
  <c r="P86" i="142" s="1"/>
  <c r="AP193" i="36"/>
  <c r="P87" i="112" s="1"/>
  <c r="P87" i="142" s="1"/>
  <c r="AP194" i="36"/>
  <c r="P88" i="112" s="1"/>
  <c r="P88" i="142" s="1"/>
  <c r="AP195" i="36"/>
  <c r="P89" i="112" s="1"/>
  <c r="P89" i="142" s="1"/>
  <c r="AP196" i="36"/>
  <c r="P90" i="112" s="1"/>
  <c r="P90" i="142" s="1"/>
  <c r="AP197" i="36"/>
  <c r="P91" i="112" s="1"/>
  <c r="P91" i="142" s="1"/>
  <c r="AP187" i="36"/>
  <c r="P81" i="112" s="1"/>
  <c r="P81" i="142" s="1"/>
  <c r="AP186" i="36"/>
  <c r="P80" i="112" s="1"/>
  <c r="P80" i="142" s="1"/>
  <c r="AO185" i="36"/>
  <c r="AO188" i="36"/>
  <c r="O82" i="112" s="1"/>
  <c r="O82" i="142" s="1"/>
  <c r="AO189" i="36"/>
  <c r="O83" i="112" s="1"/>
  <c r="O83" i="142" s="1"/>
  <c r="AO190" i="36"/>
  <c r="O84" i="112" s="1"/>
  <c r="O84" i="142" s="1"/>
  <c r="AO191" i="36"/>
  <c r="O85" i="112" s="1"/>
  <c r="O85" i="142" s="1"/>
  <c r="AO192" i="36"/>
  <c r="O86" i="112" s="1"/>
  <c r="O86" i="142" s="1"/>
  <c r="AO193" i="36"/>
  <c r="O87" i="112" s="1"/>
  <c r="O87" i="142" s="1"/>
  <c r="AO194" i="36"/>
  <c r="O88" i="112" s="1"/>
  <c r="O88" i="142" s="1"/>
  <c r="AO195" i="36"/>
  <c r="O89" i="112" s="1"/>
  <c r="O89" i="142" s="1"/>
  <c r="AO196" i="36"/>
  <c r="O90" i="112" s="1"/>
  <c r="O90" i="142" s="1"/>
  <c r="AO197" i="36"/>
  <c r="O91" i="112" s="1"/>
  <c r="O91" i="142" s="1"/>
  <c r="AO198" i="36"/>
  <c r="O92" i="112" s="1"/>
  <c r="O92" i="142" s="1"/>
  <c r="AO199" i="36"/>
  <c r="O93" i="112" s="1"/>
  <c r="O93" i="142" s="1"/>
  <c r="AO187" i="36"/>
  <c r="O81" i="112" s="1"/>
  <c r="O81" i="142" s="1"/>
  <c r="AO186" i="36"/>
  <c r="O80" i="112" s="1"/>
  <c r="O80" i="142" s="1"/>
  <c r="F56" i="141"/>
  <c r="AL185" i="36"/>
  <c r="AL186" i="36"/>
  <c r="L80" i="112" s="1"/>
  <c r="L80" i="142" s="1"/>
  <c r="AL194" i="36"/>
  <c r="L88" i="112" s="1"/>
  <c r="L88" i="142" s="1"/>
  <c r="AL196" i="36"/>
  <c r="L90" i="112" s="1"/>
  <c r="L90" i="142" s="1"/>
  <c r="AL191" i="36"/>
  <c r="L85" i="112" s="1"/>
  <c r="L85" i="142" s="1"/>
  <c r="AL190" i="36"/>
  <c r="L84" i="112" s="1"/>
  <c r="L84" i="142" s="1"/>
  <c r="AL195" i="36"/>
  <c r="L89" i="112" s="1"/>
  <c r="L89" i="142" s="1"/>
  <c r="AL188" i="36"/>
  <c r="L82" i="112" s="1"/>
  <c r="L82" i="142" s="1"/>
  <c r="AL192" i="36"/>
  <c r="L86" i="112" s="1"/>
  <c r="L86" i="142" s="1"/>
  <c r="AL193" i="36"/>
  <c r="L87" i="112" s="1"/>
  <c r="L87" i="142" s="1"/>
  <c r="AL199" i="36"/>
  <c r="L93" i="112" s="1"/>
  <c r="L93" i="142" s="1"/>
  <c r="AL187" i="36"/>
  <c r="L81" i="112" s="1"/>
  <c r="L81" i="142" s="1"/>
  <c r="AL189" i="36"/>
  <c r="L83" i="112" s="1"/>
  <c r="L83" i="142" s="1"/>
  <c r="AL198" i="36"/>
  <c r="L92" i="112" s="1"/>
  <c r="L92" i="142" s="1"/>
  <c r="AL197" i="36"/>
  <c r="L91" i="112" s="1"/>
  <c r="L91" i="142" s="1"/>
  <c r="AJ185" i="36"/>
  <c r="AJ186" i="36"/>
  <c r="J80" i="112" s="1"/>
  <c r="J80" i="142" s="1"/>
  <c r="AJ187" i="36"/>
  <c r="J81" i="112" s="1"/>
  <c r="J81" i="142" s="1"/>
  <c r="AJ189" i="36"/>
  <c r="J83" i="112" s="1"/>
  <c r="J83" i="142" s="1"/>
  <c r="AJ190" i="36"/>
  <c r="J84" i="112" s="1"/>
  <c r="J84" i="142" s="1"/>
  <c r="AJ191" i="36"/>
  <c r="J85" i="112" s="1"/>
  <c r="J85" i="142" s="1"/>
  <c r="AJ192" i="36"/>
  <c r="J86" i="112" s="1"/>
  <c r="J86" i="142" s="1"/>
  <c r="AJ193" i="36"/>
  <c r="J87" i="112" s="1"/>
  <c r="J87" i="142" s="1"/>
  <c r="AJ194" i="36"/>
  <c r="J88" i="112" s="1"/>
  <c r="J88" i="142" s="1"/>
  <c r="AJ195" i="36"/>
  <c r="J89" i="112" s="1"/>
  <c r="J89" i="142" s="1"/>
  <c r="AJ196" i="36"/>
  <c r="J90" i="112" s="1"/>
  <c r="J90" i="142" s="1"/>
  <c r="AJ197" i="36"/>
  <c r="J91" i="112" s="1"/>
  <c r="J91" i="142" s="1"/>
  <c r="AJ198" i="36"/>
  <c r="J92" i="112" s="1"/>
  <c r="J92" i="142" s="1"/>
  <c r="AJ199" i="36"/>
  <c r="J93" i="112" s="1"/>
  <c r="J93" i="142" s="1"/>
  <c r="AJ188" i="36"/>
  <c r="J82" i="112" s="1"/>
  <c r="J82" i="142" s="1"/>
  <c r="AE185" i="36"/>
  <c r="AE186" i="36"/>
  <c r="E80" i="112" s="1"/>
  <c r="E80" i="142" s="1"/>
  <c r="AE187" i="36"/>
  <c r="E81" i="112" s="1"/>
  <c r="E81" i="142" s="1"/>
  <c r="AE188" i="36"/>
  <c r="E82" i="112" s="1"/>
  <c r="E82" i="142" s="1"/>
  <c r="AE190" i="36"/>
  <c r="E84" i="112" s="1"/>
  <c r="E84" i="142" s="1"/>
  <c r="AE198" i="36"/>
  <c r="E92" i="112" s="1"/>
  <c r="E92" i="142" s="1"/>
  <c r="AE189" i="36"/>
  <c r="E83" i="112" s="1"/>
  <c r="E83" i="142" s="1"/>
  <c r="AE194" i="36"/>
  <c r="E88" i="112" s="1"/>
  <c r="E88" i="142" s="1"/>
  <c r="AE195" i="36"/>
  <c r="E89" i="112" s="1"/>
  <c r="E89" i="142" s="1"/>
  <c r="AE196" i="36"/>
  <c r="E90" i="112" s="1"/>
  <c r="E90" i="142" s="1"/>
  <c r="AE192" i="36"/>
  <c r="E86" i="112" s="1"/>
  <c r="E86" i="142" s="1"/>
  <c r="AE193" i="36"/>
  <c r="E87" i="112" s="1"/>
  <c r="E87" i="142" s="1"/>
  <c r="AE191" i="36"/>
  <c r="E85" i="112" s="1"/>
  <c r="E85" i="142" s="1"/>
  <c r="AE197" i="36"/>
  <c r="E91" i="112" s="1"/>
  <c r="E91" i="142" s="1"/>
  <c r="AE199" i="36"/>
  <c r="E93" i="112" s="1"/>
  <c r="E93" i="142" s="1"/>
  <c r="AF190" i="36"/>
  <c r="F84" i="112" s="1"/>
  <c r="F84" i="142" s="1"/>
  <c r="AF198" i="36"/>
  <c r="F92" i="112" s="1"/>
  <c r="F92" i="142" s="1"/>
  <c r="AM185" i="36"/>
  <c r="AM186" i="36"/>
  <c r="M80" i="112" s="1"/>
  <c r="M80" i="142" s="1"/>
  <c r="AM187" i="36"/>
  <c r="M81" i="112" s="1"/>
  <c r="M81" i="142" s="1"/>
  <c r="AM188" i="36"/>
  <c r="M82" i="112" s="1"/>
  <c r="M82" i="142" s="1"/>
  <c r="AM195" i="36"/>
  <c r="M89" i="112" s="1"/>
  <c r="M89" i="142" s="1"/>
  <c r="AM193" i="36"/>
  <c r="M87" i="112" s="1"/>
  <c r="M87" i="142" s="1"/>
  <c r="AM196" i="36"/>
  <c r="M90" i="112" s="1"/>
  <c r="M90" i="142" s="1"/>
  <c r="AM198" i="36"/>
  <c r="M92" i="112" s="1"/>
  <c r="M92" i="142" s="1"/>
  <c r="AM192" i="36"/>
  <c r="M86" i="112" s="1"/>
  <c r="M86" i="142" s="1"/>
  <c r="AM189" i="36"/>
  <c r="M83" i="112" s="1"/>
  <c r="M83" i="142" s="1"/>
  <c r="AM190" i="36"/>
  <c r="M84" i="112" s="1"/>
  <c r="M84" i="142" s="1"/>
  <c r="AM197" i="36"/>
  <c r="M91" i="112" s="1"/>
  <c r="M91" i="142" s="1"/>
  <c r="AM199" i="36"/>
  <c r="M93" i="112" s="1"/>
  <c r="M93" i="142" s="1"/>
  <c r="AM191" i="36"/>
  <c r="M85" i="112" s="1"/>
  <c r="M85" i="142" s="1"/>
  <c r="AM194" i="36"/>
  <c r="M88" i="112" s="1"/>
  <c r="M88" i="142" s="1"/>
  <c r="AI185" i="36"/>
  <c r="AI186" i="36"/>
  <c r="I80" i="112" s="1"/>
  <c r="I80" i="142" s="1"/>
  <c r="AI187" i="36"/>
  <c r="I81" i="112" s="1"/>
  <c r="I81" i="142" s="1"/>
  <c r="AI189" i="36"/>
  <c r="I83" i="112" s="1"/>
  <c r="I83" i="142" s="1"/>
  <c r="AI190" i="36"/>
  <c r="I84" i="112" s="1"/>
  <c r="I84" i="142" s="1"/>
  <c r="AI191" i="36"/>
  <c r="I85" i="112" s="1"/>
  <c r="I85" i="142" s="1"/>
  <c r="AI192" i="36"/>
  <c r="I86" i="112" s="1"/>
  <c r="I86" i="142" s="1"/>
  <c r="AI193" i="36"/>
  <c r="I87" i="112" s="1"/>
  <c r="I87" i="142" s="1"/>
  <c r="AI194" i="36"/>
  <c r="I88" i="112" s="1"/>
  <c r="I88" i="142" s="1"/>
  <c r="AI195" i="36"/>
  <c r="I89" i="112" s="1"/>
  <c r="I89" i="142" s="1"/>
  <c r="AI196" i="36"/>
  <c r="I90" i="112" s="1"/>
  <c r="I90" i="142" s="1"/>
  <c r="AI197" i="36"/>
  <c r="I91" i="112" s="1"/>
  <c r="I91" i="142" s="1"/>
  <c r="AI198" i="36"/>
  <c r="I92" i="112" s="1"/>
  <c r="I92" i="142" s="1"/>
  <c r="AI199" i="36"/>
  <c r="I93" i="112" s="1"/>
  <c r="I93" i="142" s="1"/>
  <c r="AI188" i="36"/>
  <c r="I82" i="112" s="1"/>
  <c r="I82" i="142" s="1"/>
  <c r="AG185" i="36"/>
  <c r="AG186" i="36"/>
  <c r="G80" i="112" s="1"/>
  <c r="G80" i="142" s="1"/>
  <c r="AG187" i="36"/>
  <c r="G81" i="112" s="1"/>
  <c r="G81" i="142" s="1"/>
  <c r="AG189" i="36"/>
  <c r="G83" i="112" s="1"/>
  <c r="G83" i="142" s="1"/>
  <c r="AG190" i="36"/>
  <c r="G84" i="112" s="1"/>
  <c r="G84" i="142" s="1"/>
  <c r="AG191" i="36"/>
  <c r="G85" i="112" s="1"/>
  <c r="G85" i="142" s="1"/>
  <c r="AG192" i="36"/>
  <c r="G86" i="112" s="1"/>
  <c r="G86" i="142" s="1"/>
  <c r="AG193" i="36"/>
  <c r="G87" i="112" s="1"/>
  <c r="G87" i="142" s="1"/>
  <c r="AG194" i="36"/>
  <c r="G88" i="112" s="1"/>
  <c r="G88" i="142" s="1"/>
  <c r="AG195" i="36"/>
  <c r="G89" i="112" s="1"/>
  <c r="G89" i="142" s="1"/>
  <c r="AG196" i="36"/>
  <c r="G90" i="112" s="1"/>
  <c r="G90" i="142" s="1"/>
  <c r="AG197" i="36"/>
  <c r="G91" i="112" s="1"/>
  <c r="G91" i="142" s="1"/>
  <c r="AG198" i="36"/>
  <c r="G92" i="112" s="1"/>
  <c r="G92" i="142" s="1"/>
  <c r="AG199" i="36"/>
  <c r="G93" i="112" s="1"/>
  <c r="G93" i="142" s="1"/>
  <c r="AG188" i="36"/>
  <c r="G82" i="112" s="1"/>
  <c r="G82" i="142" s="1"/>
  <c r="F56" i="142"/>
  <c r="AN188" i="36"/>
  <c r="N82" i="112" s="1"/>
  <c r="N82" i="142" s="1"/>
  <c r="AN189" i="36"/>
  <c r="N83" i="112" s="1"/>
  <c r="N83" i="142" s="1"/>
  <c r="AN190" i="36"/>
  <c r="N84" i="112" s="1"/>
  <c r="N84" i="142" s="1"/>
  <c r="AN191" i="36"/>
  <c r="N85" i="112" s="1"/>
  <c r="N85" i="142" s="1"/>
  <c r="AN192" i="36"/>
  <c r="N86" i="112" s="1"/>
  <c r="N86" i="142" s="1"/>
  <c r="AN193" i="36"/>
  <c r="N87" i="112" s="1"/>
  <c r="N87" i="142" s="1"/>
  <c r="AN194" i="36"/>
  <c r="N88" i="112" s="1"/>
  <c r="N88" i="142" s="1"/>
  <c r="AN195" i="36"/>
  <c r="N89" i="112" s="1"/>
  <c r="N89" i="142" s="1"/>
  <c r="AN196" i="36"/>
  <c r="N90" i="112" s="1"/>
  <c r="N90" i="142" s="1"/>
  <c r="AN197" i="36"/>
  <c r="N91" i="112" s="1"/>
  <c r="N91" i="142" s="1"/>
  <c r="AN198" i="36"/>
  <c r="N92" i="112" s="1"/>
  <c r="N92" i="142" s="1"/>
  <c r="AN199" i="36"/>
  <c r="N93" i="112" s="1"/>
  <c r="N93" i="142" s="1"/>
  <c r="AN185" i="36"/>
  <c r="AN186" i="36"/>
  <c r="N80" i="112" s="1"/>
  <c r="N80" i="142" s="1"/>
  <c r="AN187" i="36"/>
  <c r="N81" i="112" s="1"/>
  <c r="N81" i="142" s="1"/>
  <c r="AQ187" i="36"/>
  <c r="Q81" i="112" s="1"/>
  <c r="Q81" i="142" s="1"/>
  <c r="AQ185" i="36"/>
  <c r="AQ186" i="36"/>
  <c r="Q80" i="112" s="1"/>
  <c r="Q80" i="142" s="1"/>
  <c r="AQ188" i="36"/>
  <c r="Q82" i="112" s="1"/>
  <c r="Q82" i="142" s="1"/>
  <c r="AQ189" i="36"/>
  <c r="Q83" i="112" s="1"/>
  <c r="Q83" i="142" s="1"/>
  <c r="AQ190" i="36"/>
  <c r="Q84" i="112" s="1"/>
  <c r="Q84" i="142" s="1"/>
  <c r="AQ191" i="36"/>
  <c r="Q85" i="112" s="1"/>
  <c r="Q85" i="142" s="1"/>
  <c r="AQ192" i="36"/>
  <c r="Q86" i="112" s="1"/>
  <c r="Q86" i="142" s="1"/>
  <c r="AQ193" i="36"/>
  <c r="Q87" i="112" s="1"/>
  <c r="Q87" i="142" s="1"/>
  <c r="AQ194" i="36"/>
  <c r="Q88" i="112" s="1"/>
  <c r="Q88" i="142" s="1"/>
  <c r="AQ195" i="36"/>
  <c r="Q89" i="112" s="1"/>
  <c r="Q89" i="142" s="1"/>
  <c r="AQ196" i="36"/>
  <c r="Q90" i="112" s="1"/>
  <c r="Q90" i="142" s="1"/>
  <c r="AQ197" i="36"/>
  <c r="Q91" i="112" s="1"/>
  <c r="Q91" i="142" s="1"/>
  <c r="AQ198" i="36"/>
  <c r="Q92" i="112" s="1"/>
  <c r="Q92" i="142" s="1"/>
  <c r="AQ199" i="36"/>
  <c r="Q93" i="112" s="1"/>
  <c r="Q93" i="142" s="1"/>
  <c r="Z75" i="112"/>
  <c r="V75" i="112"/>
  <c r="R75" i="112"/>
  <c r="D69" i="112"/>
  <c r="D69" i="142" s="1"/>
  <c r="Y75" i="112"/>
  <c r="U75" i="112"/>
  <c r="AB75" i="112"/>
  <c r="X75" i="112"/>
  <c r="T75" i="112"/>
  <c r="AA75" i="112"/>
  <c r="W75" i="112"/>
  <c r="S75" i="112"/>
  <c r="V75" i="141"/>
  <c r="U75" i="141"/>
  <c r="W75" i="141"/>
  <c r="X75" i="141"/>
  <c r="AA75" i="141"/>
  <c r="R75" i="141"/>
  <c r="Z75" i="141"/>
  <c r="S75" i="141"/>
  <c r="T75" i="141"/>
  <c r="AB75" i="141"/>
  <c r="Y75" i="141"/>
  <c r="E56" i="142"/>
  <c r="E56" i="141"/>
  <c r="D108" i="110"/>
  <c r="AH304" i="110" s="1"/>
  <c r="AT310" i="110"/>
  <c r="AS333" i="110"/>
  <c r="AS406" i="110" s="1"/>
  <c r="F61" i="112"/>
  <c r="F61" i="142" s="1"/>
  <c r="F69" i="112"/>
  <c r="F69" i="142" s="1"/>
  <c r="F68" i="112"/>
  <c r="F68" i="142" s="1"/>
  <c r="F62" i="112"/>
  <c r="F62" i="142" s="1"/>
  <c r="F70" i="112"/>
  <c r="F70" i="142" s="1"/>
  <c r="F63" i="112"/>
  <c r="F63" i="142" s="1"/>
  <c r="F64" i="112"/>
  <c r="F64" i="142" s="1"/>
  <c r="F72" i="112"/>
  <c r="F72" i="142" s="1"/>
  <c r="F73" i="112"/>
  <c r="F73" i="142" s="1"/>
  <c r="F66" i="112"/>
  <c r="F66" i="142" s="1"/>
  <c r="F74" i="112"/>
  <c r="F74" i="142" s="1"/>
  <c r="F60" i="112"/>
  <c r="F60" i="142" s="1"/>
  <c r="F67" i="112"/>
  <c r="F67" i="142" s="1"/>
  <c r="I67" i="112"/>
  <c r="I67" i="142" s="1"/>
  <c r="I74" i="112"/>
  <c r="I74" i="142" s="1"/>
  <c r="I60" i="112"/>
  <c r="I60" i="142" s="1"/>
  <c r="I68" i="112"/>
  <c r="I68" i="142" s="1"/>
  <c r="I61" i="112"/>
  <c r="I61" i="142" s="1"/>
  <c r="I69" i="112"/>
  <c r="I69" i="142" s="1"/>
  <c r="I62" i="112"/>
  <c r="I62" i="142" s="1"/>
  <c r="I70" i="112"/>
  <c r="I70" i="142" s="1"/>
  <c r="I63" i="112"/>
  <c r="I63" i="142" s="1"/>
  <c r="I66" i="112"/>
  <c r="I66" i="142" s="1"/>
  <c r="I64" i="112"/>
  <c r="I64" i="142" s="1"/>
  <c r="I72" i="112"/>
  <c r="I65" i="112"/>
  <c r="I65" i="142" s="1"/>
  <c r="I73" i="112"/>
  <c r="I73" i="142" s="1"/>
  <c r="N61" i="112"/>
  <c r="N61" i="142" s="1"/>
  <c r="N69" i="112"/>
  <c r="N69" i="142" s="1"/>
  <c r="N68" i="112"/>
  <c r="N68" i="142" s="1"/>
  <c r="N62" i="112"/>
  <c r="N62" i="142" s="1"/>
  <c r="N70" i="112"/>
  <c r="N70" i="142" s="1"/>
  <c r="N63" i="112"/>
  <c r="N63" i="142" s="1"/>
  <c r="N71" i="112"/>
  <c r="N71" i="142" s="1"/>
  <c r="N64" i="112"/>
  <c r="N64" i="142" s="1"/>
  <c r="N72" i="112"/>
  <c r="N72" i="142" s="1"/>
  <c r="N65" i="112"/>
  <c r="N65" i="142" s="1"/>
  <c r="N73" i="112"/>
  <c r="N73" i="142" s="1"/>
  <c r="N60" i="112"/>
  <c r="N60" i="142" s="1"/>
  <c r="N66" i="112"/>
  <c r="N66" i="142" s="1"/>
  <c r="N74" i="112"/>
  <c r="N74" i="142" s="1"/>
  <c r="N67" i="112"/>
  <c r="N67" i="142" s="1"/>
  <c r="Q61" i="112"/>
  <c r="Q61" i="142" s="1"/>
  <c r="Q69" i="112"/>
  <c r="Q69" i="142" s="1"/>
  <c r="Q62" i="112"/>
  <c r="Q62" i="142" s="1"/>
  <c r="Q63" i="112"/>
  <c r="Q63" i="142" s="1"/>
  <c r="Q71" i="112"/>
  <c r="Q71" i="142" s="1"/>
  <c r="Q64" i="112"/>
  <c r="Q64" i="142" s="1"/>
  <c r="Q72" i="112"/>
  <c r="Q65" i="112"/>
  <c r="Q65" i="142" s="1"/>
  <c r="Q73" i="112"/>
  <c r="Q73" i="142" s="1"/>
  <c r="Q68" i="112"/>
  <c r="Q68" i="142" s="1"/>
  <c r="Q66" i="112"/>
  <c r="Q66" i="142" s="1"/>
  <c r="Q74" i="112"/>
  <c r="Q74" i="142" s="1"/>
  <c r="Q67" i="112"/>
  <c r="Q67" i="142" s="1"/>
  <c r="Q60" i="112"/>
  <c r="Q60" i="142" s="1"/>
  <c r="M61" i="112"/>
  <c r="M61" i="142" s="1"/>
  <c r="M69" i="112"/>
  <c r="M69" i="142" s="1"/>
  <c r="M62" i="112"/>
  <c r="M62" i="142" s="1"/>
  <c r="M70" i="112"/>
  <c r="M70" i="142" s="1"/>
  <c r="M68" i="112"/>
  <c r="M68" i="142" s="1"/>
  <c r="M63" i="112"/>
  <c r="M63" i="142" s="1"/>
  <c r="M71" i="112"/>
  <c r="M71" i="142" s="1"/>
  <c r="M64" i="112"/>
  <c r="M64" i="142" s="1"/>
  <c r="M72" i="112"/>
  <c r="M60" i="112"/>
  <c r="M60" i="142" s="1"/>
  <c r="M65" i="112"/>
  <c r="M65" i="142" s="1"/>
  <c r="M73" i="112"/>
  <c r="M73" i="142" s="1"/>
  <c r="M66" i="112"/>
  <c r="M66" i="142" s="1"/>
  <c r="M74" i="112"/>
  <c r="M74" i="142" s="1"/>
  <c r="M67" i="112"/>
  <c r="M67" i="142" s="1"/>
  <c r="H61" i="112"/>
  <c r="H61" i="142" s="1"/>
  <c r="H68" i="112"/>
  <c r="H68" i="142" s="1"/>
  <c r="H65" i="112"/>
  <c r="H65" i="142" s="1"/>
  <c r="H72" i="112"/>
  <c r="H72" i="142" s="1"/>
  <c r="H69" i="112"/>
  <c r="H69" i="142" s="1"/>
  <c r="H66" i="112"/>
  <c r="H66" i="142" s="1"/>
  <c r="H73" i="112"/>
  <c r="H73" i="142" s="1"/>
  <c r="H64" i="112"/>
  <c r="H64" i="142" s="1"/>
  <c r="H67" i="112"/>
  <c r="H67" i="142" s="1"/>
  <c r="H62" i="112"/>
  <c r="H62" i="142" s="1"/>
  <c r="H74" i="112"/>
  <c r="H74" i="142" s="1"/>
  <c r="H70" i="112"/>
  <c r="H70" i="142" s="1"/>
  <c r="H60" i="112"/>
  <c r="H60" i="142" s="1"/>
  <c r="H63" i="112"/>
  <c r="H63" i="142" s="1"/>
  <c r="P63" i="112"/>
  <c r="P63" i="142" s="1"/>
  <c r="P72" i="112"/>
  <c r="P72" i="142" s="1"/>
  <c r="P71" i="112"/>
  <c r="P71" i="142" s="1"/>
  <c r="P61" i="112"/>
  <c r="P61" i="142" s="1"/>
  <c r="P64" i="112"/>
  <c r="P64" i="142" s="1"/>
  <c r="P62" i="112"/>
  <c r="P62" i="142" s="1"/>
  <c r="P65" i="112"/>
  <c r="P65" i="142" s="1"/>
  <c r="P60" i="112"/>
  <c r="P60" i="142" s="1"/>
  <c r="P66" i="112"/>
  <c r="P66" i="142" s="1"/>
  <c r="P69" i="112"/>
  <c r="P69" i="142" s="1"/>
  <c r="P70" i="112"/>
  <c r="P70" i="142" s="1"/>
  <c r="P73" i="112"/>
  <c r="P73" i="142" s="1"/>
  <c r="P74" i="112"/>
  <c r="P74" i="142" s="1"/>
  <c r="P68" i="112"/>
  <c r="P68" i="142" s="1"/>
  <c r="P67" i="112"/>
  <c r="P67" i="142" s="1"/>
  <c r="O66" i="112"/>
  <c r="O66" i="142" s="1"/>
  <c r="O73" i="112"/>
  <c r="O73" i="142" s="1"/>
  <c r="O69" i="112"/>
  <c r="O69" i="142" s="1"/>
  <c r="O70" i="112"/>
  <c r="O70" i="142" s="1"/>
  <c r="O60" i="112"/>
  <c r="O60" i="142" s="1"/>
  <c r="O74" i="112"/>
  <c r="O74" i="142" s="1"/>
  <c r="O64" i="112"/>
  <c r="O64" i="142" s="1"/>
  <c r="O62" i="112"/>
  <c r="O62" i="142" s="1"/>
  <c r="O67" i="112"/>
  <c r="O67" i="142" s="1"/>
  <c r="O68" i="112"/>
  <c r="O68" i="142" s="1"/>
  <c r="O71" i="112"/>
  <c r="O71" i="142" s="1"/>
  <c r="O72" i="112"/>
  <c r="O72" i="142" s="1"/>
  <c r="O61" i="112"/>
  <c r="O61" i="142" s="1"/>
  <c r="O63" i="112"/>
  <c r="O63" i="142" s="1"/>
  <c r="O65" i="112"/>
  <c r="O65" i="142" s="1"/>
  <c r="L67" i="112"/>
  <c r="L67" i="142" s="1"/>
  <c r="L60" i="112"/>
  <c r="L60" i="142" s="1"/>
  <c r="L68" i="112"/>
  <c r="L68" i="142" s="1"/>
  <c r="L61" i="112"/>
  <c r="L61" i="142" s="1"/>
  <c r="L69" i="112"/>
  <c r="L69" i="142" s="1"/>
  <c r="L62" i="112"/>
  <c r="L62" i="142" s="1"/>
  <c r="L70" i="112"/>
  <c r="L70" i="142" s="1"/>
  <c r="L74" i="112"/>
  <c r="L74" i="142" s="1"/>
  <c r="L63" i="112"/>
  <c r="L63" i="142" s="1"/>
  <c r="L64" i="112"/>
  <c r="L64" i="142" s="1"/>
  <c r="L72" i="112"/>
  <c r="L65" i="112"/>
  <c r="L65" i="142" s="1"/>
  <c r="L73" i="112"/>
  <c r="L73" i="142" s="1"/>
  <c r="L66" i="112"/>
  <c r="L66" i="142" s="1"/>
  <c r="G65" i="112"/>
  <c r="G65" i="142" s="1"/>
  <c r="G66" i="112"/>
  <c r="G66" i="142" s="1"/>
  <c r="G69" i="112"/>
  <c r="G69" i="142" s="1"/>
  <c r="G63" i="112"/>
  <c r="G63" i="142" s="1"/>
  <c r="G73" i="112"/>
  <c r="G73" i="142" s="1"/>
  <c r="G67" i="112"/>
  <c r="G67" i="142" s="1"/>
  <c r="G62" i="112"/>
  <c r="G62" i="142" s="1"/>
  <c r="G60" i="112"/>
  <c r="G60" i="142" s="1"/>
  <c r="G70" i="112"/>
  <c r="G70" i="142" s="1"/>
  <c r="G61" i="112"/>
  <c r="G61" i="142" s="1"/>
  <c r="G64" i="112"/>
  <c r="G64" i="142" s="1"/>
  <c r="G74" i="112"/>
  <c r="G74" i="142" s="1"/>
  <c r="G68" i="112"/>
  <c r="G68" i="142" s="1"/>
  <c r="G72" i="112"/>
  <c r="G72" i="142" s="1"/>
  <c r="U297" i="110"/>
  <c r="K65" i="111"/>
  <c r="K65" i="141" s="1"/>
  <c r="K62" i="111"/>
  <c r="K62" i="141" s="1"/>
  <c r="K61" i="111"/>
  <c r="K61" i="141" s="1"/>
  <c r="H72" i="111"/>
  <c r="H72" i="141" s="1"/>
  <c r="H74" i="111"/>
  <c r="H74" i="141" s="1"/>
  <c r="H73" i="111"/>
  <c r="H73" i="141" s="1"/>
  <c r="H70" i="111"/>
  <c r="H70" i="141" s="1"/>
  <c r="H69" i="111"/>
  <c r="H69" i="141" s="1"/>
  <c r="H68" i="111"/>
  <c r="H68" i="141" s="1"/>
  <c r="H67" i="111"/>
  <c r="H67" i="141" s="1"/>
  <c r="H66" i="111"/>
  <c r="H66" i="141" s="1"/>
  <c r="H65" i="111"/>
  <c r="H65" i="141" s="1"/>
  <c r="H64" i="111"/>
  <c r="H64" i="141" s="1"/>
  <c r="H63" i="111"/>
  <c r="H63" i="141" s="1"/>
  <c r="H62" i="111"/>
  <c r="H62" i="141" s="1"/>
  <c r="H61" i="111"/>
  <c r="H61" i="141" s="1"/>
  <c r="H60" i="111"/>
  <c r="H60" i="141" s="1"/>
  <c r="E74" i="111"/>
  <c r="E74" i="141" s="1"/>
  <c r="E73" i="111"/>
  <c r="E73" i="141" s="1"/>
  <c r="E72" i="111"/>
  <c r="E72" i="141" s="1"/>
  <c r="E70" i="111"/>
  <c r="E70" i="141" s="1"/>
  <c r="E69" i="111"/>
  <c r="E69" i="141" s="1"/>
  <c r="E68" i="111"/>
  <c r="E68" i="141" s="1"/>
  <c r="E67" i="111"/>
  <c r="E67" i="141" s="1"/>
  <c r="E66" i="111"/>
  <c r="E66" i="141" s="1"/>
  <c r="E65" i="111"/>
  <c r="E65" i="141" s="1"/>
  <c r="E64" i="111"/>
  <c r="E64" i="141" s="1"/>
  <c r="E63" i="111"/>
  <c r="E63" i="141" s="1"/>
  <c r="E62" i="111"/>
  <c r="E62" i="141" s="1"/>
  <c r="E61" i="111"/>
  <c r="E61" i="141" s="1"/>
  <c r="E60" i="111"/>
  <c r="E60" i="141" s="1"/>
  <c r="I74" i="111"/>
  <c r="I74" i="141" s="1"/>
  <c r="I73" i="111"/>
  <c r="I73" i="141" s="1"/>
  <c r="I70" i="111"/>
  <c r="I70" i="141" s="1"/>
  <c r="I69" i="111"/>
  <c r="I69" i="141" s="1"/>
  <c r="I68" i="111"/>
  <c r="I68" i="141" s="1"/>
  <c r="I67" i="111"/>
  <c r="I67" i="141" s="1"/>
  <c r="I66" i="111"/>
  <c r="I66" i="141" s="1"/>
  <c r="I65" i="111"/>
  <c r="I65" i="141" s="1"/>
  <c r="I64" i="111"/>
  <c r="I64" i="141" s="1"/>
  <c r="I63" i="111"/>
  <c r="I63" i="141" s="1"/>
  <c r="I62" i="111"/>
  <c r="I62" i="141" s="1"/>
  <c r="I61" i="111"/>
  <c r="I61" i="141" s="1"/>
  <c r="I60" i="111"/>
  <c r="I60" i="141" s="1"/>
  <c r="J74" i="111"/>
  <c r="J74" i="141" s="1"/>
  <c r="J73" i="111"/>
  <c r="J73" i="141" s="1"/>
  <c r="J72" i="111"/>
  <c r="J72" i="141" s="1"/>
  <c r="J70" i="111"/>
  <c r="J70" i="141" s="1"/>
  <c r="J69" i="111"/>
  <c r="J69" i="141" s="1"/>
  <c r="J68" i="111"/>
  <c r="J68" i="141" s="1"/>
  <c r="J67" i="111"/>
  <c r="J67" i="141" s="1"/>
  <c r="J66" i="111"/>
  <c r="J66" i="141" s="1"/>
  <c r="J65" i="111"/>
  <c r="J65" i="141" s="1"/>
  <c r="J64" i="111"/>
  <c r="J64" i="141" s="1"/>
  <c r="J63" i="111"/>
  <c r="J63" i="141" s="1"/>
  <c r="J62" i="111"/>
  <c r="J62" i="141" s="1"/>
  <c r="J61" i="111"/>
  <c r="J61" i="141" s="1"/>
  <c r="J60" i="111"/>
  <c r="J60" i="141" s="1"/>
  <c r="P74" i="111"/>
  <c r="P74" i="141" s="1"/>
  <c r="P73" i="111"/>
  <c r="P73" i="141" s="1"/>
  <c r="P72" i="111"/>
  <c r="P72" i="141" s="1"/>
  <c r="P71" i="111"/>
  <c r="P71" i="141" s="1"/>
  <c r="P70" i="111"/>
  <c r="P70" i="141" s="1"/>
  <c r="P69" i="111"/>
  <c r="P69" i="141" s="1"/>
  <c r="P68" i="111"/>
  <c r="P68" i="141" s="1"/>
  <c r="P67" i="111"/>
  <c r="P67" i="141" s="1"/>
  <c r="P66" i="111"/>
  <c r="P66" i="141" s="1"/>
  <c r="P65" i="111"/>
  <c r="P65" i="141" s="1"/>
  <c r="P64" i="111"/>
  <c r="P64" i="141" s="1"/>
  <c r="P63" i="111"/>
  <c r="P63" i="141" s="1"/>
  <c r="P62" i="111"/>
  <c r="P62" i="141" s="1"/>
  <c r="P61" i="111"/>
  <c r="P61" i="141" s="1"/>
  <c r="P60" i="111"/>
  <c r="P60" i="141" s="1"/>
  <c r="Q70" i="112"/>
  <c r="Q70" i="142" s="1"/>
  <c r="Q74" i="111"/>
  <c r="Q74" i="141" s="1"/>
  <c r="Q73" i="111"/>
  <c r="Q73" i="141" s="1"/>
  <c r="Q72" i="111"/>
  <c r="Q72" i="141" s="1"/>
  <c r="Q71" i="111"/>
  <c r="Q71" i="141" s="1"/>
  <c r="Q70" i="111"/>
  <c r="Q70" i="141" s="1"/>
  <c r="Q69" i="111"/>
  <c r="Q69" i="141" s="1"/>
  <c r="Q68" i="111"/>
  <c r="Q68" i="141" s="1"/>
  <c r="Q67" i="111"/>
  <c r="Q67" i="141" s="1"/>
  <c r="Q66" i="111"/>
  <c r="Q66" i="141" s="1"/>
  <c r="Q65" i="111"/>
  <c r="Q65" i="141" s="1"/>
  <c r="Q64" i="111"/>
  <c r="Q64" i="141" s="1"/>
  <c r="Q63" i="111"/>
  <c r="Q63" i="141" s="1"/>
  <c r="Q62" i="111"/>
  <c r="Q62" i="141" s="1"/>
  <c r="Q61" i="111"/>
  <c r="Q61" i="141" s="1"/>
  <c r="Q60" i="111"/>
  <c r="Q60" i="141" s="1"/>
  <c r="O74" i="111"/>
  <c r="O74" i="141" s="1"/>
  <c r="O73" i="111"/>
  <c r="O73" i="141" s="1"/>
  <c r="O72" i="111"/>
  <c r="O72" i="141" s="1"/>
  <c r="O70" i="111"/>
  <c r="O70" i="141" s="1"/>
  <c r="O69" i="111"/>
  <c r="O69" i="141" s="1"/>
  <c r="O68" i="111"/>
  <c r="O68" i="141" s="1"/>
  <c r="O67" i="111"/>
  <c r="O67" i="141" s="1"/>
  <c r="O66" i="111"/>
  <c r="O66" i="141" s="1"/>
  <c r="O65" i="111"/>
  <c r="O65" i="141" s="1"/>
  <c r="O64" i="111"/>
  <c r="O64" i="141" s="1"/>
  <c r="O63" i="111"/>
  <c r="O63" i="141" s="1"/>
  <c r="O62" i="111"/>
  <c r="O62" i="141" s="1"/>
  <c r="O61" i="111"/>
  <c r="O61" i="141" s="1"/>
  <c r="O60" i="111"/>
  <c r="O60" i="141" s="1"/>
  <c r="F65" i="112"/>
  <c r="F65" i="142" s="1"/>
  <c r="F74" i="111"/>
  <c r="F74" i="141" s="1"/>
  <c r="F73" i="111"/>
  <c r="F73" i="141" s="1"/>
  <c r="F72" i="111"/>
  <c r="F72" i="141" s="1"/>
  <c r="F70" i="111"/>
  <c r="F70" i="141" s="1"/>
  <c r="F69" i="111"/>
  <c r="F69" i="141" s="1"/>
  <c r="F68" i="111"/>
  <c r="F68" i="141" s="1"/>
  <c r="F67" i="111"/>
  <c r="F67" i="141" s="1"/>
  <c r="F66" i="111"/>
  <c r="F66" i="141" s="1"/>
  <c r="F65" i="111"/>
  <c r="F65" i="141" s="1"/>
  <c r="F64" i="111"/>
  <c r="F64" i="141" s="1"/>
  <c r="F63" i="111"/>
  <c r="F63" i="141" s="1"/>
  <c r="F62" i="111"/>
  <c r="F62" i="141" s="1"/>
  <c r="F61" i="111"/>
  <c r="F61" i="141" s="1"/>
  <c r="F60" i="111"/>
  <c r="F60" i="141" s="1"/>
  <c r="N74" i="111"/>
  <c r="N74" i="141" s="1"/>
  <c r="N73" i="111"/>
  <c r="N73" i="141" s="1"/>
  <c r="N72" i="111"/>
  <c r="N72" i="141" s="1"/>
  <c r="N71" i="111"/>
  <c r="N71" i="141" s="1"/>
  <c r="N70" i="111"/>
  <c r="N70" i="141" s="1"/>
  <c r="N69" i="111"/>
  <c r="N69" i="141" s="1"/>
  <c r="N68" i="111"/>
  <c r="N68" i="141" s="1"/>
  <c r="N67" i="111"/>
  <c r="N67" i="141" s="1"/>
  <c r="N66" i="111"/>
  <c r="N66" i="141" s="1"/>
  <c r="N65" i="111"/>
  <c r="N65" i="141" s="1"/>
  <c r="N64" i="111"/>
  <c r="N64" i="141" s="1"/>
  <c r="N63" i="111"/>
  <c r="N63" i="141" s="1"/>
  <c r="N62" i="111"/>
  <c r="N62" i="141" s="1"/>
  <c r="N61" i="111"/>
  <c r="N61" i="141" s="1"/>
  <c r="N60" i="111"/>
  <c r="N60" i="141" s="1"/>
  <c r="G74" i="111"/>
  <c r="G74" i="141" s="1"/>
  <c r="G73" i="111"/>
  <c r="G73" i="141" s="1"/>
  <c r="G72" i="141"/>
  <c r="G70" i="111"/>
  <c r="G70" i="141" s="1"/>
  <c r="G69" i="111"/>
  <c r="G69" i="141" s="1"/>
  <c r="G68" i="111"/>
  <c r="G68" i="141" s="1"/>
  <c r="G67" i="111"/>
  <c r="G67" i="141" s="1"/>
  <c r="G66" i="111"/>
  <c r="G66" i="141" s="1"/>
  <c r="G65" i="111"/>
  <c r="G65" i="141" s="1"/>
  <c r="G64" i="111"/>
  <c r="G64" i="141" s="1"/>
  <c r="G63" i="111"/>
  <c r="G63" i="141" s="1"/>
  <c r="G62" i="111"/>
  <c r="G62" i="141" s="1"/>
  <c r="G61" i="111"/>
  <c r="G61" i="141" s="1"/>
  <c r="G60" i="111"/>
  <c r="G60" i="141" s="1"/>
  <c r="AL167" i="110"/>
  <c r="AL163" i="110"/>
  <c r="AL214" i="110"/>
  <c r="AL210" i="110"/>
  <c r="AI214" i="110"/>
  <c r="AH334" i="110" s="1"/>
  <c r="AI210" i="110"/>
  <c r="AH330" i="110" s="1"/>
  <c r="AI167" i="110"/>
  <c r="AI163" i="110"/>
  <c r="AH310" i="110" s="1"/>
  <c r="AP214" i="110"/>
  <c r="AO334" i="110" s="1"/>
  <c r="AP210" i="110"/>
  <c r="AO330" i="110" s="1"/>
  <c r="AP167" i="110"/>
  <c r="AO314" i="110" s="1"/>
  <c r="AP163" i="110"/>
  <c r="AO310" i="110" s="1"/>
  <c r="AO214" i="110"/>
  <c r="AN334" i="110" s="1"/>
  <c r="AO210" i="110"/>
  <c r="AN330" i="110" s="1"/>
  <c r="AO167" i="110"/>
  <c r="AN314" i="110" s="1"/>
  <c r="AO163" i="110"/>
  <c r="AN310" i="110" s="1"/>
  <c r="AM214" i="110"/>
  <c r="AL334" i="110" s="1"/>
  <c r="AM210" i="110"/>
  <c r="AL330" i="110" s="1"/>
  <c r="AM167" i="110"/>
  <c r="AL314" i="110" s="1"/>
  <c r="AM163" i="110"/>
  <c r="AL310" i="110" s="1"/>
  <c r="AN214" i="110"/>
  <c r="AM334" i="110" s="1"/>
  <c r="AN210" i="110"/>
  <c r="AM330" i="110" s="1"/>
  <c r="AM403" i="110" s="1"/>
  <c r="AN167" i="110"/>
  <c r="AM314" i="110" s="1"/>
  <c r="AN163" i="110"/>
  <c r="AM310" i="110" s="1"/>
  <c r="AJ214" i="110"/>
  <c r="AI334" i="110" s="1"/>
  <c r="AI407" i="110" s="1"/>
  <c r="AJ210" i="110"/>
  <c r="AI330" i="110" s="1"/>
  <c r="AJ167" i="110"/>
  <c r="AI314" i="110" s="1"/>
  <c r="AJ163" i="110"/>
  <c r="AI310" i="110" s="1"/>
  <c r="AL205" i="110"/>
  <c r="AL201" i="110"/>
  <c r="AL158" i="110"/>
  <c r="AL154" i="110"/>
  <c r="AQ214" i="110"/>
  <c r="AP334" i="110" s="1"/>
  <c r="AQ210" i="110"/>
  <c r="AP330" i="110" s="1"/>
  <c r="AR140" i="110"/>
  <c r="AQ314" i="110" s="1"/>
  <c r="AR136" i="110"/>
  <c r="AQ310" i="110" s="1"/>
  <c r="AR187" i="110"/>
  <c r="AQ334" i="110" s="1"/>
  <c r="AR183" i="110"/>
  <c r="AQ330" i="110" s="1"/>
  <c r="D135" i="36"/>
  <c r="L22" i="141"/>
  <c r="AU314" i="110"/>
  <c r="AU330" i="110"/>
  <c r="AU403" i="110" s="1"/>
  <c r="Q139" i="111" s="1"/>
  <c r="Q139" i="141" s="1"/>
  <c r="AR309" i="110"/>
  <c r="M108" i="110"/>
  <c r="AQ304" i="110" s="1"/>
  <c r="AT334" i="110"/>
  <c r="AS314" i="110"/>
  <c r="M219" i="110"/>
  <c r="M112" i="36"/>
  <c r="AR329" i="110"/>
  <c r="AR402" i="110" s="1"/>
  <c r="AS309" i="110"/>
  <c r="M220" i="110"/>
  <c r="AS331" i="110"/>
  <c r="AR333" i="110"/>
  <c r="AS329" i="110"/>
  <c r="AS402" i="110" s="1"/>
  <c r="AS312" i="110"/>
  <c r="AR313" i="110"/>
  <c r="AR332" i="110"/>
  <c r="AR405" i="110" s="1"/>
  <c r="P223" i="110"/>
  <c r="AT330" i="110"/>
  <c r="AR308" i="110"/>
  <c r="AS308" i="110"/>
  <c r="I56" i="112"/>
  <c r="I56" i="142" s="1"/>
  <c r="AR328" i="110"/>
  <c r="AR330" i="110"/>
  <c r="AS334" i="110"/>
  <c r="AS407" i="110" s="1"/>
  <c r="O139" i="112" s="1"/>
  <c r="O139" i="142" s="1"/>
  <c r="AR327" i="110"/>
  <c r="AR400" i="110" s="1"/>
  <c r="AR307" i="110"/>
  <c r="O250" i="110"/>
  <c r="M247" i="110"/>
  <c r="AR310" i="110"/>
  <c r="P249" i="110"/>
  <c r="AS310" i="110"/>
  <c r="P246" i="110"/>
  <c r="AS332" i="110"/>
  <c r="AT313" i="110"/>
  <c r="O246" i="110"/>
  <c r="Q247" i="110"/>
  <c r="AT314" i="110"/>
  <c r="O251" i="110"/>
  <c r="O249" i="110"/>
  <c r="AR311" i="110"/>
  <c r="P250" i="110"/>
  <c r="Q246" i="110"/>
  <c r="AR331" i="110"/>
  <c r="AT328" i="110"/>
  <c r="AU310" i="110"/>
  <c r="AU331" i="110"/>
  <c r="Q249" i="110"/>
  <c r="N245" i="110"/>
  <c r="P251" i="110"/>
  <c r="AU334" i="110"/>
  <c r="AT311" i="110"/>
  <c r="AU327" i="110"/>
  <c r="AS327" i="110"/>
  <c r="AU311" i="110"/>
  <c r="AR314" i="110"/>
  <c r="Q245" i="110"/>
  <c r="AS311" i="110"/>
  <c r="N247" i="110"/>
  <c r="AU313" i="110"/>
  <c r="Q251" i="110"/>
  <c r="AT331" i="110"/>
  <c r="AT309" i="110"/>
  <c r="AU328" i="110"/>
  <c r="N246" i="110"/>
  <c r="AQ308" i="110"/>
  <c r="P245" i="110"/>
  <c r="AR312" i="110"/>
  <c r="P247" i="110"/>
  <c r="M250" i="110"/>
  <c r="AT327" i="110"/>
  <c r="Q250" i="110"/>
  <c r="AR334" i="110"/>
  <c r="M249" i="110"/>
  <c r="AS330" i="110"/>
  <c r="AT333" i="110"/>
  <c r="AT307" i="110"/>
  <c r="AU308" i="110"/>
  <c r="M245" i="110"/>
  <c r="N250" i="110"/>
  <c r="AQ332" i="110"/>
  <c r="M251" i="110"/>
  <c r="N249" i="110"/>
  <c r="O247" i="110"/>
  <c r="M246" i="110"/>
  <c r="AS328" i="110"/>
  <c r="AT332" i="110"/>
  <c r="AT312" i="110"/>
  <c r="AU329" i="110"/>
  <c r="N251" i="110"/>
  <c r="AU312" i="110"/>
  <c r="M218" i="110"/>
  <c r="M225" i="110"/>
  <c r="AQ309" i="110"/>
  <c r="AU301" i="110"/>
  <c r="AU297" i="110"/>
  <c r="AS299" i="110"/>
  <c r="AR299" i="110"/>
  <c r="AS301" i="110"/>
  <c r="AR303" i="110"/>
  <c r="AQ331" i="110"/>
  <c r="AS302" i="110"/>
  <c r="J91" i="110"/>
  <c r="J73" i="110"/>
  <c r="L160" i="110"/>
  <c r="L161" i="110"/>
  <c r="L166" i="110"/>
  <c r="L162" i="110"/>
  <c r="L164" i="110"/>
  <c r="L165" i="110"/>
  <c r="K143" i="110"/>
  <c r="K228" i="110" s="1"/>
  <c r="K144" i="110"/>
  <c r="K229" i="110" s="1"/>
  <c r="K145" i="110"/>
  <c r="K230" i="110" s="1"/>
  <c r="K146" i="110"/>
  <c r="K231" i="110" s="1"/>
  <c r="K147" i="110"/>
  <c r="K232" i="110" s="1"/>
  <c r="K148" i="110"/>
  <c r="K233" i="110" s="1"/>
  <c r="K149" i="110"/>
  <c r="K234" i="110" s="1"/>
  <c r="K142" i="110"/>
  <c r="K227" i="110" s="1"/>
  <c r="AT299" i="110"/>
  <c r="AT301" i="110"/>
  <c r="P179" i="110"/>
  <c r="P180" i="110"/>
  <c r="P181" i="110"/>
  <c r="P182" i="110"/>
  <c r="P183" i="110"/>
  <c r="P184" i="110"/>
  <c r="P185" i="110"/>
  <c r="P186" i="110"/>
  <c r="I179" i="110"/>
  <c r="I227" i="110" s="1"/>
  <c r="I180" i="110"/>
  <c r="I228" i="110" s="1"/>
  <c r="I181" i="110"/>
  <c r="I229" i="110" s="1"/>
  <c r="I257" i="110" s="1"/>
  <c r="I183" i="110"/>
  <c r="I231" i="110" s="1"/>
  <c r="I184" i="110"/>
  <c r="I232" i="110" s="1"/>
  <c r="I185" i="110"/>
  <c r="I233" i="110" s="1"/>
  <c r="I186" i="110"/>
  <c r="I234" i="110" s="1"/>
  <c r="Q142" i="110"/>
  <c r="Q143" i="110"/>
  <c r="Q144" i="110"/>
  <c r="Q145" i="110"/>
  <c r="Q146" i="110"/>
  <c r="Q147" i="110"/>
  <c r="Q148" i="110"/>
  <c r="Q149" i="110"/>
  <c r="AQ311" i="110"/>
  <c r="O142" i="110"/>
  <c r="O143" i="110"/>
  <c r="O144" i="110"/>
  <c r="O145" i="110"/>
  <c r="O147" i="110"/>
  <c r="O146" i="110"/>
  <c r="O148" i="110"/>
  <c r="O149" i="110"/>
  <c r="F73" i="110"/>
  <c r="O91" i="110"/>
  <c r="O73" i="110"/>
  <c r="D91" i="110"/>
  <c r="D73" i="110"/>
  <c r="AT303" i="110"/>
  <c r="N142" i="110"/>
  <c r="N143" i="110"/>
  <c r="N144" i="110"/>
  <c r="N145" i="110"/>
  <c r="N146" i="110"/>
  <c r="N147" i="110"/>
  <c r="N148" i="110"/>
  <c r="N149" i="110"/>
  <c r="H143" i="110"/>
  <c r="H228" i="110" s="1"/>
  <c r="H144" i="110"/>
  <c r="H229" i="110" s="1"/>
  <c r="H145" i="110"/>
  <c r="H230" i="110" s="1"/>
  <c r="H146" i="110"/>
  <c r="H231" i="110" s="1"/>
  <c r="H147" i="110"/>
  <c r="H232" i="110" s="1"/>
  <c r="H148" i="110"/>
  <c r="H233" i="110" s="1"/>
  <c r="H149" i="110"/>
  <c r="H234" i="110" s="1"/>
  <c r="H142" i="110"/>
  <c r="H227" i="110" s="1"/>
  <c r="AQ333" i="110"/>
  <c r="AS303" i="110"/>
  <c r="AT308" i="110"/>
  <c r="AQ297" i="110"/>
  <c r="AQ298" i="110"/>
  <c r="AQ302" i="110"/>
  <c r="AQ299" i="110"/>
  <c r="AQ301" i="110"/>
  <c r="AQ303" i="110"/>
  <c r="N179" i="110"/>
  <c r="N180" i="110"/>
  <c r="N181" i="110"/>
  <c r="N182" i="110"/>
  <c r="N183" i="110"/>
  <c r="N184" i="110"/>
  <c r="N185" i="110"/>
  <c r="N186" i="110"/>
  <c r="AR302" i="110"/>
  <c r="L179" i="110"/>
  <c r="L183" i="110"/>
  <c r="L182" i="110"/>
  <c r="L184" i="110"/>
  <c r="L185" i="110"/>
  <c r="L181" i="110"/>
  <c r="L186" i="110"/>
  <c r="L180" i="110"/>
  <c r="AT329" i="110"/>
  <c r="O245" i="110"/>
  <c r="AU332" i="110"/>
  <c r="P142" i="110"/>
  <c r="P143" i="110"/>
  <c r="P144" i="110"/>
  <c r="P145" i="110"/>
  <c r="P146" i="110"/>
  <c r="P147" i="110"/>
  <c r="P148" i="110"/>
  <c r="P149" i="110"/>
  <c r="AQ307" i="110"/>
  <c r="AU309" i="110"/>
  <c r="E91" i="110"/>
  <c r="E73" i="110"/>
  <c r="AT298" i="110"/>
  <c r="M91" i="110"/>
  <c r="M73" i="110"/>
  <c r="K91" i="110"/>
  <c r="K73" i="110"/>
  <c r="Q91" i="110"/>
  <c r="Q73" i="110"/>
  <c r="N91" i="110"/>
  <c r="N73" i="110"/>
  <c r="G91" i="110"/>
  <c r="G73" i="110"/>
  <c r="J142" i="110"/>
  <c r="J227" i="110" s="1"/>
  <c r="J144" i="110"/>
  <c r="J229" i="110" s="1"/>
  <c r="J145" i="110"/>
  <c r="J230" i="110" s="1"/>
  <c r="J149" i="110"/>
  <c r="J234" i="110" s="1"/>
  <c r="J146" i="110"/>
  <c r="J231" i="110" s="1"/>
  <c r="J147" i="110"/>
  <c r="J232" i="110" s="1"/>
  <c r="J148" i="110"/>
  <c r="J233" i="110" s="1"/>
  <c r="J143" i="110"/>
  <c r="J228" i="110" s="1"/>
  <c r="AQ329" i="110"/>
  <c r="AS313" i="110"/>
  <c r="AU333" i="110"/>
  <c r="AU302" i="110"/>
  <c r="P91" i="110"/>
  <c r="P73" i="110"/>
  <c r="I91" i="110"/>
  <c r="I73" i="110"/>
  <c r="AT297" i="110"/>
  <c r="AT302" i="110"/>
  <c r="AQ328" i="110"/>
  <c r="AQ313" i="110"/>
  <c r="AU307" i="110"/>
  <c r="AR301" i="110"/>
  <c r="AU303" i="110"/>
  <c r="L91" i="110"/>
  <c r="L73" i="110"/>
  <c r="AR298" i="110"/>
  <c r="H91" i="110"/>
  <c r="H73" i="110"/>
  <c r="D148" i="110"/>
  <c r="D233" i="110" s="1"/>
  <c r="D145" i="110"/>
  <c r="D230" i="110" s="1"/>
  <c r="D149" i="110"/>
  <c r="D234" i="110" s="1"/>
  <c r="E179" i="110"/>
  <c r="E180" i="110"/>
  <c r="E181" i="110"/>
  <c r="E182" i="110"/>
  <c r="E183" i="110"/>
  <c r="E184" i="110"/>
  <c r="E185" i="110"/>
  <c r="E186" i="110"/>
  <c r="AQ327" i="110"/>
  <c r="Q179" i="110"/>
  <c r="Q180" i="110"/>
  <c r="Q181" i="110"/>
  <c r="Q182" i="110"/>
  <c r="Q183" i="110"/>
  <c r="Q184" i="110"/>
  <c r="Q185" i="110"/>
  <c r="Q186" i="110"/>
  <c r="AQ312" i="110"/>
  <c r="O179" i="110"/>
  <c r="O180" i="110"/>
  <c r="O181" i="110"/>
  <c r="O182" i="110"/>
  <c r="O183" i="110"/>
  <c r="O184" i="110"/>
  <c r="O185" i="110"/>
  <c r="O186" i="110"/>
  <c r="AR297" i="110"/>
  <c r="AS297" i="110"/>
  <c r="AS298" i="110"/>
  <c r="AU299" i="110"/>
  <c r="O220" i="110"/>
  <c r="N219" i="110"/>
  <c r="P220" i="110"/>
  <c r="P224" i="110"/>
  <c r="O221" i="110"/>
  <c r="N220" i="110"/>
  <c r="Q224" i="110"/>
  <c r="P225" i="110"/>
  <c r="M221" i="110"/>
  <c r="M222" i="110"/>
  <c r="Q219" i="110"/>
  <c r="O222" i="110"/>
  <c r="N221" i="110"/>
  <c r="P218" i="110"/>
  <c r="Q218" i="110"/>
  <c r="O223" i="110"/>
  <c r="N222" i="110"/>
  <c r="P219" i="110"/>
  <c r="Q220" i="110"/>
  <c r="O225" i="110"/>
  <c r="N224" i="110"/>
  <c r="M223" i="110"/>
  <c r="Q221" i="110"/>
  <c r="O224" i="110"/>
  <c r="N223" i="110"/>
  <c r="P221" i="110"/>
  <c r="M224" i="110"/>
  <c r="Q222" i="110"/>
  <c r="O218" i="110"/>
  <c r="N225" i="110"/>
  <c r="Q225" i="110"/>
  <c r="P222" i="110"/>
  <c r="Q223" i="110"/>
  <c r="O219" i="110"/>
  <c r="N218" i="110"/>
  <c r="M77" i="110"/>
  <c r="M95" i="110"/>
  <c r="N82" i="110"/>
  <c r="N100" i="110"/>
  <c r="D142" i="110"/>
  <c r="D227" i="110" s="1"/>
  <c r="O82" i="110"/>
  <c r="O100" i="110"/>
  <c r="P82" i="110"/>
  <c r="P100" i="110"/>
  <c r="M82" i="110"/>
  <c r="M100" i="110"/>
  <c r="Q82" i="110"/>
  <c r="Q100" i="110"/>
  <c r="L117" i="110"/>
  <c r="AP303" i="110" s="1"/>
  <c r="AQ117" i="110"/>
  <c r="L131" i="36"/>
  <c r="L185" i="36" s="1"/>
  <c r="AQ134" i="110"/>
  <c r="D143" i="110"/>
  <c r="D228" i="110" s="1"/>
  <c r="D144" i="110"/>
  <c r="D229" i="110" s="1"/>
  <c r="L77" i="110"/>
  <c r="F245" i="110"/>
  <c r="D147" i="110"/>
  <c r="D232" i="110" s="1"/>
  <c r="E77" i="110"/>
  <c r="D146" i="110"/>
  <c r="D231" i="110" s="1"/>
  <c r="F250" i="110"/>
  <c r="AL135" i="110"/>
  <c r="F247" i="110"/>
  <c r="AJ312" i="110"/>
  <c r="F246" i="110"/>
  <c r="AJ301" i="110"/>
  <c r="AJ298" i="110"/>
  <c r="AJ297" i="110"/>
  <c r="F251" i="110"/>
  <c r="AJ299" i="110"/>
  <c r="F249" i="110"/>
  <c r="AJ302" i="110"/>
  <c r="AJ303" i="110"/>
  <c r="F100" i="110"/>
  <c r="F82" i="110"/>
  <c r="Q135" i="36"/>
  <c r="N135" i="36"/>
  <c r="O163" i="36"/>
  <c r="P135" i="36"/>
  <c r="M163" i="36"/>
  <c r="Q163" i="36"/>
  <c r="N163" i="36"/>
  <c r="O135" i="36"/>
  <c r="F135" i="36"/>
  <c r="P163" i="36"/>
  <c r="K135" i="36"/>
  <c r="J135" i="36"/>
  <c r="L163" i="36"/>
  <c r="H135" i="36"/>
  <c r="G135" i="36"/>
  <c r="G163" i="36"/>
  <c r="E163" i="36"/>
  <c r="E135" i="36"/>
  <c r="I163" i="36"/>
  <c r="I135" i="36"/>
  <c r="G95" i="110"/>
  <c r="G77" i="110"/>
  <c r="AL204" i="110"/>
  <c r="AL203" i="110"/>
  <c r="AL198" i="110"/>
  <c r="AL200" i="110"/>
  <c r="AL202" i="110"/>
  <c r="AL199" i="110"/>
  <c r="AL157" i="110"/>
  <c r="AL156" i="110"/>
  <c r="AL155" i="110"/>
  <c r="AL153" i="110"/>
  <c r="AL152" i="110"/>
  <c r="AL151" i="110"/>
  <c r="AP207" i="110"/>
  <c r="AP213" i="110"/>
  <c r="AP211" i="110"/>
  <c r="AP209" i="110"/>
  <c r="AP212" i="110"/>
  <c r="AP208" i="110"/>
  <c r="AN137" i="110"/>
  <c r="AN139" i="110"/>
  <c r="AN134" i="110"/>
  <c r="AN133" i="110"/>
  <c r="AN138" i="110"/>
  <c r="AN135" i="110"/>
  <c r="E100" i="110"/>
  <c r="E82" i="110"/>
  <c r="AM207" i="110"/>
  <c r="AM213" i="110"/>
  <c r="AM212" i="110"/>
  <c r="AM211" i="110"/>
  <c r="AM209" i="110"/>
  <c r="AM208" i="110"/>
  <c r="AM184" i="110"/>
  <c r="AM182" i="110"/>
  <c r="AM181" i="110"/>
  <c r="AM186" i="110"/>
  <c r="AM180" i="110"/>
  <c r="AM185" i="110"/>
  <c r="H82" i="110"/>
  <c r="H100" i="110"/>
  <c r="I82" i="110"/>
  <c r="I100" i="110"/>
  <c r="D100" i="110"/>
  <c r="D82" i="110"/>
  <c r="AN186" i="110"/>
  <c r="AN185" i="110"/>
  <c r="AN184" i="110"/>
  <c r="AN182" i="110"/>
  <c r="AN181" i="110"/>
  <c r="AN180" i="110"/>
  <c r="AP166" i="110"/>
  <c r="AP165" i="110"/>
  <c r="AP162" i="110"/>
  <c r="AP161" i="110"/>
  <c r="AP164" i="110"/>
  <c r="AP160" i="110"/>
  <c r="AI303" i="110"/>
  <c r="AI302" i="110"/>
  <c r="AI299" i="110"/>
  <c r="AI297" i="110"/>
  <c r="AI301" i="110"/>
  <c r="AI298" i="110"/>
  <c r="AM162" i="110"/>
  <c r="AM161" i="110"/>
  <c r="AM160" i="110"/>
  <c r="AM166" i="110"/>
  <c r="AM165" i="110"/>
  <c r="AM164" i="110"/>
  <c r="AP135" i="110"/>
  <c r="AP134" i="110"/>
  <c r="AP133" i="110"/>
  <c r="AP139" i="110"/>
  <c r="AP138" i="110"/>
  <c r="AP137" i="110"/>
  <c r="H163" i="36"/>
  <c r="J163" i="36"/>
  <c r="AM133" i="110"/>
  <c r="AM139" i="110"/>
  <c r="AM134" i="110"/>
  <c r="AM137" i="110"/>
  <c r="AM138" i="110"/>
  <c r="AM135" i="110"/>
  <c r="AL162" i="110"/>
  <c r="AL164" i="110"/>
  <c r="AL161" i="110"/>
  <c r="AL160" i="110"/>
  <c r="AL166" i="110"/>
  <c r="AL165" i="110"/>
  <c r="AJ139" i="110"/>
  <c r="AJ138" i="110"/>
  <c r="AJ137" i="110"/>
  <c r="AJ135" i="110"/>
  <c r="AJ134" i="110"/>
  <c r="AJ133" i="110"/>
  <c r="AL211" i="110"/>
  <c r="AL213" i="110"/>
  <c r="AL209" i="110"/>
  <c r="AL208" i="110"/>
  <c r="AL207" i="110"/>
  <c r="AL212" i="110"/>
  <c r="G100" i="110"/>
  <c r="G82" i="110"/>
  <c r="AO185" i="110"/>
  <c r="AO184" i="110"/>
  <c r="AO182" i="110"/>
  <c r="AO181" i="110"/>
  <c r="AO180" i="110"/>
  <c r="AO186" i="110"/>
  <c r="AL182" i="110"/>
  <c r="AL180" i="110"/>
  <c r="AL186" i="110"/>
  <c r="AL185" i="110"/>
  <c r="AL184" i="110"/>
  <c r="AL181" i="110"/>
  <c r="AQ181" i="110"/>
  <c r="AQ180" i="110"/>
  <c r="AQ186" i="110"/>
  <c r="AQ185" i="110"/>
  <c r="AQ184" i="110"/>
  <c r="AQ182" i="110"/>
  <c r="AI138" i="110"/>
  <c r="AI139" i="110"/>
  <c r="AI137" i="110"/>
  <c r="AI135" i="110"/>
  <c r="AI134" i="110"/>
  <c r="AI133" i="110"/>
  <c r="AN209" i="110"/>
  <c r="AN208" i="110"/>
  <c r="AN213" i="110"/>
  <c r="AN207" i="110"/>
  <c r="AN212" i="110"/>
  <c r="AN211" i="110"/>
  <c r="J100" i="110"/>
  <c r="J82" i="110"/>
  <c r="AO301" i="110"/>
  <c r="AO299" i="110"/>
  <c r="AO298" i="110"/>
  <c r="AO297" i="110"/>
  <c r="AO303" i="110"/>
  <c r="AO302" i="110"/>
  <c r="AO209" i="110"/>
  <c r="AO208" i="110"/>
  <c r="AO212" i="110"/>
  <c r="AO211" i="110"/>
  <c r="AO213" i="110"/>
  <c r="AO207" i="110"/>
  <c r="AL303" i="110"/>
  <c r="AL302" i="110"/>
  <c r="AL301" i="110"/>
  <c r="AL299" i="110"/>
  <c r="AL298" i="110"/>
  <c r="AL297" i="110"/>
  <c r="AM299" i="110"/>
  <c r="AM302" i="110"/>
  <c r="AM303" i="110"/>
  <c r="AM298" i="110"/>
  <c r="AM297" i="110"/>
  <c r="AM301" i="110"/>
  <c r="AQ213" i="110"/>
  <c r="AQ212" i="110"/>
  <c r="AQ211" i="110"/>
  <c r="AQ209" i="110"/>
  <c r="AQ208" i="110"/>
  <c r="AQ207" i="110"/>
  <c r="AN303" i="110"/>
  <c r="AN302" i="110"/>
  <c r="AN299" i="110"/>
  <c r="AN297" i="110"/>
  <c r="AN301" i="110"/>
  <c r="AN298" i="110"/>
  <c r="AJ181" i="110"/>
  <c r="AJ180" i="110"/>
  <c r="AJ186" i="110"/>
  <c r="AJ185" i="110"/>
  <c r="AJ184" i="110"/>
  <c r="AJ182" i="110"/>
  <c r="AO135" i="110"/>
  <c r="AO134" i="110"/>
  <c r="AO133" i="110"/>
  <c r="AO139" i="110"/>
  <c r="AO138" i="110"/>
  <c r="AO137" i="110"/>
  <c r="AI182" i="110"/>
  <c r="AI181" i="110"/>
  <c r="AI186" i="110"/>
  <c r="AI185" i="110"/>
  <c r="AI184" i="110"/>
  <c r="AI180" i="110"/>
  <c r="AO162" i="110"/>
  <c r="AO161" i="110"/>
  <c r="AO160" i="110"/>
  <c r="AO166" i="110"/>
  <c r="AO164" i="110"/>
  <c r="AO165" i="110"/>
  <c r="K82" i="110"/>
  <c r="K100" i="110"/>
  <c r="AI208" i="110"/>
  <c r="AI207" i="110"/>
  <c r="AI212" i="110"/>
  <c r="AI211" i="110"/>
  <c r="AI213" i="110"/>
  <c r="AI209" i="110"/>
  <c r="AK298" i="110"/>
  <c r="AK297" i="110"/>
  <c r="AK303" i="110"/>
  <c r="AK302" i="110"/>
  <c r="AK301" i="110"/>
  <c r="AK299" i="110"/>
  <c r="AN165" i="110"/>
  <c r="AN164" i="110"/>
  <c r="AN161" i="110"/>
  <c r="AN160" i="110"/>
  <c r="AN166" i="110"/>
  <c r="AN162" i="110"/>
  <c r="AJ208" i="110"/>
  <c r="AJ207" i="110"/>
  <c r="AJ212" i="110"/>
  <c r="AJ211" i="110"/>
  <c r="AJ213" i="110"/>
  <c r="AJ209" i="110"/>
  <c r="AI162" i="110"/>
  <c r="AI161" i="110"/>
  <c r="AI160" i="110"/>
  <c r="AI166" i="110"/>
  <c r="AI164" i="110"/>
  <c r="AI165" i="110"/>
  <c r="K163" i="36"/>
  <c r="AP182" i="110"/>
  <c r="AP184" i="110"/>
  <c r="AP181" i="110"/>
  <c r="AP180" i="110"/>
  <c r="AP186" i="110"/>
  <c r="AP185" i="110"/>
  <c r="L82" i="110"/>
  <c r="L100" i="110"/>
  <c r="AH298" i="110"/>
  <c r="AH297" i="110"/>
  <c r="AH303" i="110"/>
  <c r="AH302" i="110"/>
  <c r="AH301" i="110"/>
  <c r="AH299" i="110"/>
  <c r="AJ160" i="110"/>
  <c r="AJ166" i="110"/>
  <c r="AJ164" i="110"/>
  <c r="AJ162" i="110"/>
  <c r="AJ161" i="110"/>
  <c r="AJ165" i="110"/>
  <c r="E223" i="110"/>
  <c r="E221" i="110"/>
  <c r="I220" i="110"/>
  <c r="J224" i="110"/>
  <c r="E224" i="110"/>
  <c r="J218" i="110"/>
  <c r="I218" i="110"/>
  <c r="E218" i="110"/>
  <c r="J219" i="110"/>
  <c r="E219" i="110"/>
  <c r="J220" i="110"/>
  <c r="E222" i="110"/>
  <c r="J223" i="110"/>
  <c r="J260" i="110" s="1"/>
  <c r="J225" i="110"/>
  <c r="I219" i="110"/>
  <c r="I221" i="110"/>
  <c r="E225" i="110"/>
  <c r="I224" i="110"/>
  <c r="J256" i="110"/>
  <c r="J255" i="110"/>
  <c r="J221" i="110"/>
  <c r="I225" i="110"/>
  <c r="J222" i="110"/>
  <c r="E220" i="110"/>
  <c r="I222" i="110"/>
  <c r="I223" i="110"/>
  <c r="D224" i="110"/>
  <c r="L223" i="110"/>
  <c r="G225" i="110"/>
  <c r="F229" i="110"/>
  <c r="K224" i="110"/>
  <c r="H221" i="110"/>
  <c r="F223" i="110"/>
  <c r="D225" i="110"/>
  <c r="L224" i="110"/>
  <c r="G218" i="110"/>
  <c r="G255" i="110" s="1"/>
  <c r="F230" i="110"/>
  <c r="K225" i="110"/>
  <c r="H222" i="110"/>
  <c r="H259" i="110" s="1"/>
  <c r="F224" i="110"/>
  <c r="D218" i="110"/>
  <c r="L225" i="110"/>
  <c r="G219" i="110"/>
  <c r="F231" i="110"/>
  <c r="K218" i="110"/>
  <c r="K255" i="110" s="1"/>
  <c r="H223" i="110"/>
  <c r="F225" i="110"/>
  <c r="D219" i="110"/>
  <c r="D256" i="110" s="1"/>
  <c r="L218" i="110"/>
  <c r="G220" i="110"/>
  <c r="G257" i="110" s="1"/>
  <c r="F232" i="110"/>
  <c r="K219" i="110"/>
  <c r="H224" i="110"/>
  <c r="H261" i="110" s="1"/>
  <c r="F218" i="110"/>
  <c r="D220" i="110"/>
  <c r="D257" i="110" s="1"/>
  <c r="L219" i="110"/>
  <c r="G221" i="110"/>
  <c r="F233" i="110"/>
  <c r="K220" i="110"/>
  <c r="K257" i="110" s="1"/>
  <c r="H225" i="110"/>
  <c r="F219" i="110"/>
  <c r="D221" i="110"/>
  <c r="L220" i="110"/>
  <c r="G222" i="110"/>
  <c r="G259" i="110" s="1"/>
  <c r="F234" i="110"/>
  <c r="K221" i="110"/>
  <c r="H218" i="110"/>
  <c r="H255" i="110" s="1"/>
  <c r="F220" i="110"/>
  <c r="F257" i="110" s="1"/>
  <c r="D222" i="110"/>
  <c r="L221" i="110"/>
  <c r="G223" i="110"/>
  <c r="F227" i="110"/>
  <c r="K222" i="110"/>
  <c r="K259" i="110" s="1"/>
  <c r="H219" i="110"/>
  <c r="H256" i="110" s="1"/>
  <c r="F221" i="110"/>
  <c r="D223" i="110"/>
  <c r="L222" i="110"/>
  <c r="L259" i="110" s="1"/>
  <c r="G224" i="110"/>
  <c r="F228" i="110"/>
  <c r="K223" i="110"/>
  <c r="H220" i="110"/>
  <c r="H257" i="110" s="1"/>
  <c r="F222" i="110"/>
  <c r="AF197" i="36" l="1"/>
  <c r="F91" i="112" s="1"/>
  <c r="F91" i="142" s="1"/>
  <c r="AF196" i="36"/>
  <c r="F90" i="112" s="1"/>
  <c r="F90" i="142" s="1"/>
  <c r="AF185" i="36"/>
  <c r="AF195" i="36"/>
  <c r="F89" i="112" s="1"/>
  <c r="F89" i="142" s="1"/>
  <c r="AF186" i="36"/>
  <c r="F80" i="112" s="1"/>
  <c r="F80" i="142" s="1"/>
  <c r="AF194" i="36"/>
  <c r="F88" i="112" s="1"/>
  <c r="F88" i="142" s="1"/>
  <c r="F163" i="36"/>
  <c r="AF187" i="36"/>
  <c r="F81" i="112" s="1"/>
  <c r="F81" i="142" s="1"/>
  <c r="AF193" i="36"/>
  <c r="F87" i="112" s="1"/>
  <c r="F87" i="142" s="1"/>
  <c r="AF188" i="36"/>
  <c r="F82" i="112" s="1"/>
  <c r="F82" i="142" s="1"/>
  <c r="AF192" i="36"/>
  <c r="F86" i="112" s="1"/>
  <c r="F86" i="142" s="1"/>
  <c r="AF189" i="36"/>
  <c r="F83" i="112" s="1"/>
  <c r="F83" i="142" s="1"/>
  <c r="AF199" i="36"/>
  <c r="F93" i="112" s="1"/>
  <c r="F93" i="142" s="1"/>
  <c r="AK330" i="110"/>
  <c r="AL290" i="110"/>
  <c r="AJ290" i="110"/>
  <c r="AK211" i="110"/>
  <c r="AJ331" i="110" s="1"/>
  <c r="AJ404" i="110" s="1"/>
  <c r="AK213" i="110"/>
  <c r="AJ333" i="110" s="1"/>
  <c r="AJ415" i="110" s="1"/>
  <c r="AK207" i="110"/>
  <c r="AJ327" i="110" s="1"/>
  <c r="AJ409" i="110" s="1"/>
  <c r="AK208" i="110"/>
  <c r="AJ328" i="110" s="1"/>
  <c r="AJ410" i="110" s="1"/>
  <c r="AK214" i="110"/>
  <c r="AJ334" i="110" s="1"/>
  <c r="AJ416" i="110" s="1"/>
  <c r="F140" i="112" s="1"/>
  <c r="F140" i="142" s="1"/>
  <c r="AK212" i="110"/>
  <c r="AJ332" i="110" s="1"/>
  <c r="AJ414" i="110" s="1"/>
  <c r="AK210" i="110"/>
  <c r="AJ330" i="110" s="1"/>
  <c r="AJ412" i="110" s="1"/>
  <c r="F140" i="111" s="1"/>
  <c r="F140" i="141" s="1"/>
  <c r="AK209" i="110"/>
  <c r="AJ329" i="110" s="1"/>
  <c r="AJ402" i="110" s="1"/>
  <c r="G145" i="110"/>
  <c r="AK294" i="110"/>
  <c r="AK290" i="110"/>
  <c r="AK310" i="110"/>
  <c r="J160" i="141" a="1"/>
  <c r="J160" i="141" s="1"/>
  <c r="J183" i="141" s="1"/>
  <c r="AA155" i="111"/>
  <c r="F161" i="142"/>
  <c r="W155" i="111"/>
  <c r="X155" i="111"/>
  <c r="Y155" i="111"/>
  <c r="S155" i="111"/>
  <c r="U155" i="111"/>
  <c r="AB155" i="111"/>
  <c r="Z155" i="111"/>
  <c r="V155" i="111"/>
  <c r="R155" i="111"/>
  <c r="T155" i="111"/>
  <c r="X155" i="141"/>
  <c r="Y155" i="141"/>
  <c r="W155" i="141"/>
  <c r="AB155" i="141"/>
  <c r="U155" i="141"/>
  <c r="T155" i="141"/>
  <c r="V155" i="141"/>
  <c r="S155" i="141"/>
  <c r="Z155" i="141"/>
  <c r="R155" i="141"/>
  <c r="AA155" i="141"/>
  <c r="G161" i="142" a="1"/>
  <c r="G161" i="142" s="1"/>
  <c r="G184" i="142" s="1"/>
  <c r="G160" i="141" a="1"/>
  <c r="J161" i="142" a="1"/>
  <c r="J161" i="142" s="1"/>
  <c r="J184" i="142" s="1"/>
  <c r="J72" i="142"/>
  <c r="M72" i="142"/>
  <c r="Q72" i="142"/>
  <c r="I72" i="142"/>
  <c r="L72" i="142"/>
  <c r="H22" i="141"/>
  <c r="L24" i="141"/>
  <c r="G26" i="141"/>
  <c r="G24" i="141"/>
  <c r="E35" i="141"/>
  <c r="G27" i="141"/>
  <c r="G25" i="141"/>
  <c r="G35" i="141"/>
  <c r="G30" i="141"/>
  <c r="G36" i="141"/>
  <c r="D37" i="141"/>
  <c r="G29" i="141"/>
  <c r="G28" i="141"/>
  <c r="E33" i="141"/>
  <c r="G32" i="141"/>
  <c r="AP304" i="110"/>
  <c r="D163" i="36"/>
  <c r="AP300" i="110"/>
  <c r="L192" i="36"/>
  <c r="L86" i="111" s="1"/>
  <c r="L86" i="141" s="1"/>
  <c r="L199" i="36"/>
  <c r="L93" i="111" s="1"/>
  <c r="L93" i="141" s="1"/>
  <c r="L191" i="36"/>
  <c r="L85" i="111" s="1"/>
  <c r="L85" i="141" s="1"/>
  <c r="M185" i="36"/>
  <c r="M186" i="36"/>
  <c r="M80" i="111" s="1"/>
  <c r="M80" i="141" s="1"/>
  <c r="M187" i="36"/>
  <c r="M81" i="111" s="1"/>
  <c r="M81" i="141" s="1"/>
  <c r="M188" i="36"/>
  <c r="M82" i="111" s="1"/>
  <c r="M82" i="141" s="1"/>
  <c r="M189" i="36"/>
  <c r="M83" i="111" s="1"/>
  <c r="M83" i="141" s="1"/>
  <c r="M190" i="36"/>
  <c r="M84" i="111" s="1"/>
  <c r="M84" i="141" s="1"/>
  <c r="M191" i="36"/>
  <c r="M85" i="111" s="1"/>
  <c r="M85" i="141" s="1"/>
  <c r="M192" i="36"/>
  <c r="M86" i="111" s="1"/>
  <c r="M86" i="141" s="1"/>
  <c r="M193" i="36"/>
  <c r="M87" i="111" s="1"/>
  <c r="M87" i="141" s="1"/>
  <c r="M194" i="36"/>
  <c r="M88" i="111" s="1"/>
  <c r="M88" i="141" s="1"/>
  <c r="M195" i="36"/>
  <c r="M89" i="111" s="1"/>
  <c r="M89" i="141" s="1"/>
  <c r="M196" i="36"/>
  <c r="M90" i="111" s="1"/>
  <c r="M90" i="141" s="1"/>
  <c r="M197" i="36"/>
  <c r="M91" i="111" s="1"/>
  <c r="M91" i="141" s="1"/>
  <c r="M198" i="36"/>
  <c r="M92" i="111" s="1"/>
  <c r="M92" i="141" s="1"/>
  <c r="M199" i="36"/>
  <c r="M93" i="111" s="1"/>
  <c r="M93" i="141" s="1"/>
  <c r="L198" i="36"/>
  <c r="L92" i="111" s="1"/>
  <c r="L92" i="141" s="1"/>
  <c r="L190" i="36"/>
  <c r="L84" i="111" s="1"/>
  <c r="L84" i="141" s="1"/>
  <c r="L197" i="36"/>
  <c r="L91" i="111" s="1"/>
  <c r="L91" i="141" s="1"/>
  <c r="L189" i="36"/>
  <c r="L83" i="111" s="1"/>
  <c r="L83" i="141" s="1"/>
  <c r="AH300" i="110"/>
  <c r="L196" i="36"/>
  <c r="L90" i="111" s="1"/>
  <c r="L90" i="141" s="1"/>
  <c r="L188" i="36"/>
  <c r="L82" i="111" s="1"/>
  <c r="L82" i="141" s="1"/>
  <c r="L195" i="36"/>
  <c r="L89" i="111" s="1"/>
  <c r="L89" i="141" s="1"/>
  <c r="L187" i="36"/>
  <c r="L81" i="111" s="1"/>
  <c r="L81" i="141" s="1"/>
  <c r="AQ300" i="110"/>
  <c r="L194" i="36"/>
  <c r="L88" i="111" s="1"/>
  <c r="L88" i="141" s="1"/>
  <c r="L186" i="36"/>
  <c r="L80" i="111" s="1"/>
  <c r="L80" i="141" s="1"/>
  <c r="L193" i="36"/>
  <c r="L87" i="111" s="1"/>
  <c r="L87" i="141" s="1"/>
  <c r="AD189" i="36"/>
  <c r="D83" i="112" s="1"/>
  <c r="D83" i="142" s="1"/>
  <c r="AD199" i="36"/>
  <c r="D93" i="112" s="1"/>
  <c r="D93" i="142" s="1"/>
  <c r="AD188" i="36"/>
  <c r="D82" i="112" s="1"/>
  <c r="D82" i="142" s="1"/>
  <c r="AD192" i="36"/>
  <c r="D86" i="112" s="1"/>
  <c r="D86" i="142" s="1"/>
  <c r="AD197" i="36"/>
  <c r="D91" i="112" s="1"/>
  <c r="D91" i="142" s="1"/>
  <c r="AD193" i="36"/>
  <c r="D87" i="112" s="1"/>
  <c r="D87" i="142" s="1"/>
  <c r="AD196" i="36"/>
  <c r="D90" i="112" s="1"/>
  <c r="D90" i="142" s="1"/>
  <c r="AD191" i="36"/>
  <c r="D85" i="112" s="1"/>
  <c r="D85" i="142" s="1"/>
  <c r="AD186" i="36"/>
  <c r="D80" i="112" s="1"/>
  <c r="D80" i="142" s="1"/>
  <c r="AD198" i="36"/>
  <c r="D92" i="112" s="1"/>
  <c r="D92" i="142" s="1"/>
  <c r="AD195" i="36"/>
  <c r="D89" i="112" s="1"/>
  <c r="D89" i="142" s="1"/>
  <c r="AD190" i="36"/>
  <c r="D84" i="112" s="1"/>
  <c r="D84" i="142" s="1"/>
  <c r="AD187" i="36"/>
  <c r="D81" i="112" s="1"/>
  <c r="D81" i="142" s="1"/>
  <c r="AD185" i="36"/>
  <c r="D79" i="112" s="1"/>
  <c r="D79" i="142" s="1"/>
  <c r="AH314" i="110"/>
  <c r="Y75" i="142"/>
  <c r="Z75" i="142"/>
  <c r="T75" i="142"/>
  <c r="V75" i="142"/>
  <c r="S75" i="142"/>
  <c r="X75" i="142"/>
  <c r="AA75" i="142"/>
  <c r="L79" i="111"/>
  <c r="L79" i="141" s="1"/>
  <c r="G79" i="112"/>
  <c r="G79" i="142" s="1"/>
  <c r="AG200" i="36"/>
  <c r="G94" i="112" s="1"/>
  <c r="G94" i="142" s="1"/>
  <c r="E79" i="112"/>
  <c r="E79" i="142" s="1"/>
  <c r="AE200" i="36"/>
  <c r="E94" i="112" s="1"/>
  <c r="D79" i="111"/>
  <c r="D79" i="141" s="1"/>
  <c r="D200" i="36"/>
  <c r="D94" i="111" s="1"/>
  <c r="D94" i="141" s="1"/>
  <c r="J79" i="111"/>
  <c r="J79" i="141" s="1"/>
  <c r="J200" i="36"/>
  <c r="J94" i="111" s="1"/>
  <c r="J94" i="141" s="1"/>
  <c r="O79" i="111"/>
  <c r="O79" i="141" s="1"/>
  <c r="O200" i="36"/>
  <c r="O94" i="111" s="1"/>
  <c r="O94" i="141" s="1"/>
  <c r="AF200" i="36"/>
  <c r="F94" i="112" s="1"/>
  <c r="F79" i="112"/>
  <c r="F79" i="142" s="1"/>
  <c r="P79" i="112"/>
  <c r="P79" i="142" s="1"/>
  <c r="AP200" i="36"/>
  <c r="P94" i="112" s="1"/>
  <c r="P94" i="142" s="1"/>
  <c r="G79" i="111"/>
  <c r="G79" i="141" s="1"/>
  <c r="G200" i="36"/>
  <c r="G94" i="111" s="1"/>
  <c r="G94" i="141" s="1"/>
  <c r="Q79" i="112"/>
  <c r="Q79" i="142" s="1"/>
  <c r="AQ200" i="36"/>
  <c r="Q94" i="112" s="1"/>
  <c r="Q94" i="142" s="1"/>
  <c r="M79" i="112"/>
  <c r="M79" i="142" s="1"/>
  <c r="AM200" i="36"/>
  <c r="M94" i="112" s="1"/>
  <c r="M94" i="142" s="1"/>
  <c r="Q79" i="111"/>
  <c r="Q79" i="141" s="1"/>
  <c r="Q200" i="36"/>
  <c r="Q94" i="111" s="1"/>
  <c r="Q94" i="141" s="1"/>
  <c r="H79" i="112"/>
  <c r="H79" i="142" s="1"/>
  <c r="AH200" i="36"/>
  <c r="H94" i="112" s="1"/>
  <c r="H94" i="142" s="1"/>
  <c r="H79" i="111"/>
  <c r="H79" i="141" s="1"/>
  <c r="H200" i="36"/>
  <c r="H94" i="111" s="1"/>
  <c r="H94" i="141" s="1"/>
  <c r="O79" i="112"/>
  <c r="O79" i="142" s="1"/>
  <c r="AO200" i="36"/>
  <c r="O94" i="112" s="1"/>
  <c r="O94" i="142" s="1"/>
  <c r="N79" i="111"/>
  <c r="N79" i="141" s="1"/>
  <c r="N200" i="36"/>
  <c r="N94" i="111" s="1"/>
  <c r="N94" i="141" s="1"/>
  <c r="N79" i="112"/>
  <c r="N79" i="142" s="1"/>
  <c r="AN200" i="36"/>
  <c r="N94" i="112" s="1"/>
  <c r="N94" i="142" s="1"/>
  <c r="E79" i="111"/>
  <c r="E79" i="141" s="1"/>
  <c r="E200" i="36"/>
  <c r="E94" i="111" s="1"/>
  <c r="E94" i="141" s="1"/>
  <c r="AL200" i="36"/>
  <c r="L94" i="112" s="1"/>
  <c r="L94" i="142" s="1"/>
  <c r="L79" i="112"/>
  <c r="L79" i="142" s="1"/>
  <c r="I79" i="112"/>
  <c r="I79" i="142" s="1"/>
  <c r="AI200" i="36"/>
  <c r="I94" i="112" s="1"/>
  <c r="I94" i="142" s="1"/>
  <c r="J79" i="112"/>
  <c r="J79" i="142" s="1"/>
  <c r="AJ200" i="36"/>
  <c r="J94" i="112" s="1"/>
  <c r="J94" i="142" s="1"/>
  <c r="F79" i="111"/>
  <c r="F79" i="141" s="1"/>
  <c r="F200" i="36"/>
  <c r="F94" i="111" s="1"/>
  <c r="P79" i="111"/>
  <c r="P79" i="141" s="1"/>
  <c r="P200" i="36"/>
  <c r="P94" i="111" s="1"/>
  <c r="P94" i="141" s="1"/>
  <c r="I79" i="111"/>
  <c r="I79" i="141" s="1"/>
  <c r="I200" i="36"/>
  <c r="I94" i="111" s="1"/>
  <c r="I94" i="141" s="1"/>
  <c r="K200" i="36"/>
  <c r="K94" i="111" s="1"/>
  <c r="K94" i="141" s="1"/>
  <c r="K79" i="111"/>
  <c r="K79" i="141" s="1"/>
  <c r="AK200" i="36"/>
  <c r="K94" i="112" s="1"/>
  <c r="K94" i="142" s="1"/>
  <c r="K79" i="112"/>
  <c r="K79" i="142" s="1"/>
  <c r="R75" i="142"/>
  <c r="AB75" i="142"/>
  <c r="W75" i="142"/>
  <c r="U75" i="142"/>
  <c r="D182" i="36"/>
  <c r="E37" i="141"/>
  <c r="AU412" i="110"/>
  <c r="Q140" i="111" s="1"/>
  <c r="Q140" i="141" s="1"/>
  <c r="AS415" i="110"/>
  <c r="AR414" i="110"/>
  <c r="AR411" i="110"/>
  <c r="AS416" i="110"/>
  <c r="O140" i="112" s="1"/>
  <c r="O140" i="142" s="1"/>
  <c r="AS411" i="110"/>
  <c r="P229" i="110"/>
  <c r="L74" i="111"/>
  <c r="L74" i="141" s="1"/>
  <c r="L73" i="111"/>
  <c r="L73" i="141" s="1"/>
  <c r="L72" i="111"/>
  <c r="L72" i="141" s="1"/>
  <c r="L71" i="111"/>
  <c r="L71" i="141" s="1"/>
  <c r="L70" i="111"/>
  <c r="L70" i="141" s="1"/>
  <c r="L69" i="111"/>
  <c r="L69" i="141" s="1"/>
  <c r="L68" i="111"/>
  <c r="L68" i="141" s="1"/>
  <c r="L67" i="111"/>
  <c r="L67" i="141" s="1"/>
  <c r="L66" i="111"/>
  <c r="L66" i="141" s="1"/>
  <c r="L65" i="111"/>
  <c r="L65" i="141" s="1"/>
  <c r="L64" i="111"/>
  <c r="L64" i="141" s="1"/>
  <c r="L63" i="111"/>
  <c r="L63" i="141" s="1"/>
  <c r="L62" i="111"/>
  <c r="L62" i="141" s="1"/>
  <c r="L61" i="111"/>
  <c r="L61" i="141" s="1"/>
  <c r="L60" i="111"/>
  <c r="L60" i="141" s="1"/>
  <c r="M135" i="36"/>
  <c r="M60" i="111"/>
  <c r="M60" i="141" s="1"/>
  <c r="M74" i="111"/>
  <c r="M74" i="141" s="1"/>
  <c r="M73" i="111"/>
  <c r="M73" i="141" s="1"/>
  <c r="M72" i="111"/>
  <c r="M72" i="141" s="1"/>
  <c r="M71" i="111"/>
  <c r="M71" i="141" s="1"/>
  <c r="M70" i="111"/>
  <c r="M70" i="141" s="1"/>
  <c r="M69" i="111"/>
  <c r="M69" i="141" s="1"/>
  <c r="M68" i="111"/>
  <c r="M68" i="141" s="1"/>
  <c r="M67" i="111"/>
  <c r="M67" i="141" s="1"/>
  <c r="M66" i="111"/>
  <c r="M66" i="141" s="1"/>
  <c r="M65" i="111"/>
  <c r="M65" i="141" s="1"/>
  <c r="M64" i="111"/>
  <c r="M64" i="141" s="1"/>
  <c r="M63" i="111"/>
  <c r="M63" i="141" s="1"/>
  <c r="M62" i="111"/>
  <c r="M62" i="141" s="1"/>
  <c r="M61" i="111"/>
  <c r="M61" i="141" s="1"/>
  <c r="E182" i="36"/>
  <c r="AQ167" i="110"/>
  <c r="AP314" i="110" s="1"/>
  <c r="AQ163" i="110"/>
  <c r="AP310" i="110" s="1"/>
  <c r="N182" i="36"/>
  <c r="O182" i="36"/>
  <c r="Q182" i="36"/>
  <c r="P182" i="36"/>
  <c r="AR416" i="110"/>
  <c r="N140" i="112" s="1"/>
  <c r="N140" i="142" s="1"/>
  <c r="AU407" i="110"/>
  <c r="Q139" i="112" s="1"/>
  <c r="Q139" i="142" s="1"/>
  <c r="AT407" i="110"/>
  <c r="P139" i="112" s="1"/>
  <c r="P139" i="142" s="1"/>
  <c r="AS403" i="110"/>
  <c r="O139" i="111" s="1"/>
  <c r="O139" i="141" s="1"/>
  <c r="AR403" i="110"/>
  <c r="N139" i="111" s="1"/>
  <c r="N139" i="141" s="1"/>
  <c r="AQ413" i="110"/>
  <c r="AU402" i="110"/>
  <c r="AT405" i="110"/>
  <c r="AS401" i="110"/>
  <c r="AQ405" i="110"/>
  <c r="AT406" i="110"/>
  <c r="AT400" i="110"/>
  <c r="AU401" i="110"/>
  <c r="AT404" i="110"/>
  <c r="AS409" i="110"/>
  <c r="AU400" i="110"/>
  <c r="AU404" i="110"/>
  <c r="AT401" i="110"/>
  <c r="AR413" i="110"/>
  <c r="AS405" i="110"/>
  <c r="AR409" i="110"/>
  <c r="AR401" i="110"/>
  <c r="AR406" i="110"/>
  <c r="AS404" i="110"/>
  <c r="P233" i="110"/>
  <c r="AT416" i="110"/>
  <c r="P140" i="112" s="1"/>
  <c r="P140" i="142" s="1"/>
  <c r="AR415" i="110"/>
  <c r="AR410" i="110"/>
  <c r="AS400" i="110"/>
  <c r="AS413" i="110"/>
  <c r="AU416" i="110"/>
  <c r="Q140" i="112" s="1"/>
  <c r="Q140" i="142" s="1"/>
  <c r="AT413" i="110"/>
  <c r="AT415" i="110"/>
  <c r="AR412" i="110"/>
  <c r="N140" i="111" s="1"/>
  <c r="N140" i="141" s="1"/>
  <c r="N234" i="110"/>
  <c r="Q234" i="110"/>
  <c r="P227" i="110"/>
  <c r="AU409" i="110"/>
  <c r="AK314" i="110"/>
  <c r="AK334" i="110"/>
  <c r="AU411" i="110"/>
  <c r="AS414" i="110"/>
  <c r="P232" i="110"/>
  <c r="Q229" i="110"/>
  <c r="AR407" i="110"/>
  <c r="N139" i="112" s="1"/>
  <c r="N139" i="142" s="1"/>
  <c r="AU413" i="110"/>
  <c r="AR404" i="110"/>
  <c r="AP302" i="110"/>
  <c r="P228" i="110"/>
  <c r="AT410" i="110"/>
  <c r="P231" i="110"/>
  <c r="AU410" i="110"/>
  <c r="AT409" i="110"/>
  <c r="AQ138" i="110"/>
  <c r="L250" i="110" s="1"/>
  <c r="AS412" i="110"/>
  <c r="O140" i="111" s="1"/>
  <c r="O140" i="141" s="1"/>
  <c r="AT414" i="110"/>
  <c r="AQ414" i="110"/>
  <c r="O232" i="110"/>
  <c r="O227" i="110"/>
  <c r="P230" i="110"/>
  <c r="N231" i="110"/>
  <c r="AS410" i="110"/>
  <c r="AT290" i="110"/>
  <c r="AT294" i="110"/>
  <c r="AT289" i="110"/>
  <c r="BX439" i="110" s="1"/>
  <c r="AQ404" i="110"/>
  <c r="AP294" i="110"/>
  <c r="AP290" i="110"/>
  <c r="AH294" i="110"/>
  <c r="AH290" i="110"/>
  <c r="AI294" i="110"/>
  <c r="AI290" i="110"/>
  <c r="AS292" i="110"/>
  <c r="AS290" i="110"/>
  <c r="AS294" i="110"/>
  <c r="AT288" i="110"/>
  <c r="AO294" i="110"/>
  <c r="AO290" i="110"/>
  <c r="AN294" i="110"/>
  <c r="AN290" i="110"/>
  <c r="AL294" i="110"/>
  <c r="AJ294" i="110"/>
  <c r="AP299" i="110"/>
  <c r="AT287" i="110"/>
  <c r="AU293" i="110"/>
  <c r="AU290" i="110"/>
  <c r="AU294" i="110"/>
  <c r="AM290" i="110"/>
  <c r="AM294" i="110"/>
  <c r="AR294" i="110"/>
  <c r="AR290" i="110"/>
  <c r="BV420" i="110" s="1"/>
  <c r="N125" i="111" s="1"/>
  <c r="N125" i="141" s="1"/>
  <c r="AQ294" i="110"/>
  <c r="AQ290" i="110"/>
  <c r="L200" i="110"/>
  <c r="L204" i="110"/>
  <c r="AH308" i="110"/>
  <c r="E188" i="110"/>
  <c r="AI317" i="110" s="1"/>
  <c r="E190" i="110"/>
  <c r="AI319" i="110" s="1"/>
  <c r="E192" i="110"/>
  <c r="AI321" i="110" s="1"/>
  <c r="E194" i="110"/>
  <c r="AI323" i="110" s="1"/>
  <c r="E191" i="110"/>
  <c r="E195" i="110"/>
  <c r="E193" i="110"/>
  <c r="AI322" i="110" s="1"/>
  <c r="E189" i="110"/>
  <c r="AI318" i="110" s="1"/>
  <c r="P151" i="110"/>
  <c r="P152" i="110"/>
  <c r="P153" i="110"/>
  <c r="P154" i="110"/>
  <c r="P155" i="110"/>
  <c r="P156" i="110"/>
  <c r="P157" i="110"/>
  <c r="P158" i="110"/>
  <c r="AT292" i="110"/>
  <c r="AT293" i="110"/>
  <c r="I200" i="110"/>
  <c r="I204" i="110"/>
  <c r="Q200" i="110"/>
  <c r="Q204" i="110"/>
  <c r="M200" i="110"/>
  <c r="M204" i="110"/>
  <c r="F204" i="110"/>
  <c r="F200" i="110"/>
  <c r="J167" i="110"/>
  <c r="J163" i="110"/>
  <c r="AT291" i="110"/>
  <c r="AS287" i="110"/>
  <c r="D167" i="110"/>
  <c r="D163" i="110"/>
  <c r="G188" i="110"/>
  <c r="G189" i="110"/>
  <c r="G190" i="110"/>
  <c r="G191" i="110"/>
  <c r="G192" i="110"/>
  <c r="G193" i="110"/>
  <c r="G194" i="110"/>
  <c r="G195" i="110"/>
  <c r="G179" i="110"/>
  <c r="G180" i="110"/>
  <c r="G181" i="110"/>
  <c r="G182" i="110"/>
  <c r="G183" i="110"/>
  <c r="G184" i="110"/>
  <c r="G185" i="110"/>
  <c r="G186" i="110"/>
  <c r="Q189" i="110"/>
  <c r="AU318" i="110" s="1"/>
  <c r="Q191" i="110"/>
  <c r="Q193" i="110"/>
  <c r="Q195" i="110"/>
  <c r="Q190" i="110"/>
  <c r="AU319" i="110" s="1"/>
  <c r="Q192" i="110"/>
  <c r="AU321" i="110" s="1"/>
  <c r="Q194" i="110"/>
  <c r="AU323" i="110" s="1"/>
  <c r="Q188" i="110"/>
  <c r="AU317" i="110" s="1"/>
  <c r="G167" i="110"/>
  <c r="G163" i="110"/>
  <c r="L189" i="110"/>
  <c r="AP318" i="110" s="1"/>
  <c r="L191" i="110"/>
  <c r="L193" i="110"/>
  <c r="AP322" i="110" s="1"/>
  <c r="L195" i="110"/>
  <c r="L190" i="110"/>
  <c r="AP319" i="110" s="1"/>
  <c r="L192" i="110"/>
  <c r="AP321" i="110" s="1"/>
  <c r="L194" i="110"/>
  <c r="AP323" i="110" s="1"/>
  <c r="L188" i="110"/>
  <c r="AP317" i="110" s="1"/>
  <c r="F151" i="110"/>
  <c r="F152" i="110"/>
  <c r="F153" i="110"/>
  <c r="F154" i="110"/>
  <c r="F155" i="110"/>
  <c r="F156" i="110"/>
  <c r="F157" i="110"/>
  <c r="F158" i="110"/>
  <c r="O188" i="110"/>
  <c r="AS317" i="110" s="1"/>
  <c r="O189" i="110"/>
  <c r="AS318" i="110" s="1"/>
  <c r="O190" i="110"/>
  <c r="AS319" i="110" s="1"/>
  <c r="O191" i="110"/>
  <c r="O192" i="110"/>
  <c r="AS321" i="110" s="1"/>
  <c r="O193" i="110"/>
  <c r="AS322" i="110" s="1"/>
  <c r="O194" i="110"/>
  <c r="AS323" i="110" s="1"/>
  <c r="O195" i="110"/>
  <c r="AU287" i="110"/>
  <c r="AS293" i="110"/>
  <c r="AQ407" i="110"/>
  <c r="M139" i="112" s="1"/>
  <c r="M139" i="142" s="1"/>
  <c r="AQ416" i="110"/>
  <c r="M140" i="112" s="1"/>
  <c r="M140" i="142" s="1"/>
  <c r="J204" i="110"/>
  <c r="J200" i="110"/>
  <c r="G142" i="110"/>
  <c r="G146" i="110"/>
  <c r="G147" i="110"/>
  <c r="G148" i="110"/>
  <c r="G149" i="110"/>
  <c r="G143" i="110"/>
  <c r="G144" i="110"/>
  <c r="F188" i="110"/>
  <c r="AJ317" i="110" s="1"/>
  <c r="F189" i="110"/>
  <c r="AJ318" i="110" s="1"/>
  <c r="F190" i="110"/>
  <c r="AJ319" i="110" s="1"/>
  <c r="F191" i="110"/>
  <c r="F192" i="110"/>
  <c r="AJ321" i="110" s="1"/>
  <c r="F193" i="110"/>
  <c r="AJ322" i="110" s="1"/>
  <c r="F194" i="110"/>
  <c r="AJ323" i="110" s="1"/>
  <c r="F195" i="110"/>
  <c r="AT403" i="110"/>
  <c r="P139" i="111" s="1"/>
  <c r="P139" i="141" s="1"/>
  <c r="AT412" i="110"/>
  <c r="P140" i="111" s="1"/>
  <c r="P140" i="141" s="1"/>
  <c r="P167" i="110"/>
  <c r="P163" i="110"/>
  <c r="AS288" i="110"/>
  <c r="J153" i="110"/>
  <c r="J154" i="110"/>
  <c r="J155" i="110"/>
  <c r="J156" i="110"/>
  <c r="J158" i="110"/>
  <c r="J157" i="110"/>
  <c r="J151" i="110"/>
  <c r="J152" i="110"/>
  <c r="J190" i="110"/>
  <c r="AN319" i="110" s="1"/>
  <c r="J192" i="110"/>
  <c r="AN321" i="110" s="1"/>
  <c r="J194" i="110"/>
  <c r="AN323" i="110" s="1"/>
  <c r="J188" i="110"/>
  <c r="AN317" i="110" s="1"/>
  <c r="J191" i="110"/>
  <c r="J189" i="110"/>
  <c r="AN318" i="110" s="1"/>
  <c r="J195" i="110"/>
  <c r="J193" i="110"/>
  <c r="AN322" i="110" s="1"/>
  <c r="Q151" i="110"/>
  <c r="Q152" i="110"/>
  <c r="Q153" i="110"/>
  <c r="Q154" i="110"/>
  <c r="Q155" i="110"/>
  <c r="Q156" i="110"/>
  <c r="Q157" i="110"/>
  <c r="Q158" i="110"/>
  <c r="N188" i="110"/>
  <c r="N189" i="110"/>
  <c r="AR318" i="110" s="1"/>
  <c r="N190" i="110"/>
  <c r="AR319" i="110" s="1"/>
  <c r="N191" i="110"/>
  <c r="N192" i="110"/>
  <c r="AR321" i="110" s="1"/>
  <c r="N193" i="110"/>
  <c r="AR322" i="110" s="1"/>
  <c r="N194" i="110"/>
  <c r="N195" i="110"/>
  <c r="AS291" i="110"/>
  <c r="G204" i="110"/>
  <c r="G200" i="110"/>
  <c r="E163" i="110"/>
  <c r="E167" i="110"/>
  <c r="AU405" i="110"/>
  <c r="AU414" i="110"/>
  <c r="O167" i="110"/>
  <c r="O163" i="110"/>
  <c r="I190" i="110"/>
  <c r="AM319" i="110" s="1"/>
  <c r="I192" i="110"/>
  <c r="AM321" i="110" s="1"/>
  <c r="I194" i="110"/>
  <c r="AM323" i="110" s="1"/>
  <c r="I188" i="110"/>
  <c r="AM317" i="110" s="1"/>
  <c r="I189" i="110"/>
  <c r="AM318" i="110" s="1"/>
  <c r="I191" i="110"/>
  <c r="I193" i="110"/>
  <c r="AM322" i="110" s="1"/>
  <c r="I195" i="110"/>
  <c r="AQ401" i="110"/>
  <c r="AQ410" i="110"/>
  <c r="K188" i="110"/>
  <c r="AO317" i="110" s="1"/>
  <c r="K189" i="110"/>
  <c r="AO318" i="110" s="1"/>
  <c r="K190" i="110"/>
  <c r="AO319" i="110" s="1"/>
  <c r="K191" i="110"/>
  <c r="K192" i="110"/>
  <c r="AO321" i="110" s="1"/>
  <c r="K193" i="110"/>
  <c r="AO322" i="110" s="1"/>
  <c r="K194" i="110"/>
  <c r="AO323" i="110" s="1"/>
  <c r="K195" i="110"/>
  <c r="AQ160" i="110"/>
  <c r="D158" i="110"/>
  <c r="D154" i="110"/>
  <c r="H188" i="110"/>
  <c r="AL317" i="110" s="1"/>
  <c r="H189" i="110"/>
  <c r="AL318" i="110" s="1"/>
  <c r="H190" i="110"/>
  <c r="AL319" i="110" s="1"/>
  <c r="H191" i="110"/>
  <c r="H192" i="110"/>
  <c r="AL321" i="110" s="1"/>
  <c r="H193" i="110"/>
  <c r="AL322" i="110" s="1"/>
  <c r="H194" i="110"/>
  <c r="AL323" i="110" s="1"/>
  <c r="H195" i="110"/>
  <c r="M188" i="110"/>
  <c r="M189" i="110"/>
  <c r="M191" i="110"/>
  <c r="M193" i="110"/>
  <c r="M195" i="110"/>
  <c r="M192" i="110"/>
  <c r="M190" i="110"/>
  <c r="M194" i="110"/>
  <c r="N151" i="110"/>
  <c r="N152" i="110"/>
  <c r="N153" i="110"/>
  <c r="N154" i="110"/>
  <c r="N155" i="110"/>
  <c r="N156" i="110"/>
  <c r="N157" i="110"/>
  <c r="N158" i="110"/>
  <c r="AQ400" i="110"/>
  <c r="AQ409" i="110"/>
  <c r="H163" i="110"/>
  <c r="H167" i="110"/>
  <c r="AR292" i="110"/>
  <c r="AU292" i="110"/>
  <c r="AU406" i="110"/>
  <c r="AU415" i="110"/>
  <c r="N163" i="110"/>
  <c r="N167" i="110"/>
  <c r="K163" i="110"/>
  <c r="K167" i="110"/>
  <c r="E200" i="110"/>
  <c r="E204" i="110"/>
  <c r="AQ406" i="110"/>
  <c r="AQ415" i="110"/>
  <c r="O200" i="110"/>
  <c r="O204" i="110"/>
  <c r="AU291" i="110"/>
  <c r="G154" i="110"/>
  <c r="G151" i="110"/>
  <c r="G155" i="110"/>
  <c r="G156" i="110"/>
  <c r="G157" i="110"/>
  <c r="G158" i="110"/>
  <c r="G152" i="110"/>
  <c r="G153" i="110"/>
  <c r="O151" i="110"/>
  <c r="O152" i="110"/>
  <c r="O153" i="110"/>
  <c r="O154" i="110"/>
  <c r="O155" i="110"/>
  <c r="O156" i="110"/>
  <c r="O157" i="110"/>
  <c r="O158" i="110"/>
  <c r="I151" i="110"/>
  <c r="I152" i="110"/>
  <c r="I153" i="110"/>
  <c r="I154" i="110"/>
  <c r="I155" i="110"/>
  <c r="I156" i="110"/>
  <c r="I157" i="110"/>
  <c r="I158" i="110"/>
  <c r="AS289" i="110"/>
  <c r="K151" i="110"/>
  <c r="K152" i="110"/>
  <c r="K153" i="110"/>
  <c r="K154" i="110"/>
  <c r="K155" i="110"/>
  <c r="K156" i="110"/>
  <c r="K157" i="110"/>
  <c r="K158" i="110"/>
  <c r="AQ161" i="110"/>
  <c r="AP308" i="110" s="1"/>
  <c r="D191" i="110"/>
  <c r="D195" i="110"/>
  <c r="H151" i="110"/>
  <c r="H152" i="110"/>
  <c r="H153" i="110"/>
  <c r="H154" i="110"/>
  <c r="H155" i="110"/>
  <c r="H156" i="110"/>
  <c r="H157" i="110"/>
  <c r="H158" i="110"/>
  <c r="M152" i="110"/>
  <c r="M153" i="110"/>
  <c r="M154" i="110"/>
  <c r="M157" i="110"/>
  <c r="M155" i="110"/>
  <c r="M156" i="110"/>
  <c r="M158" i="110"/>
  <c r="M151" i="110"/>
  <c r="M179" i="110"/>
  <c r="M180" i="110"/>
  <c r="M181" i="110"/>
  <c r="M182" i="110"/>
  <c r="M183" i="110"/>
  <c r="M184" i="110"/>
  <c r="M185" i="110"/>
  <c r="M186" i="110"/>
  <c r="H204" i="110"/>
  <c r="H200" i="110"/>
  <c r="N204" i="110"/>
  <c r="N200" i="110"/>
  <c r="K204" i="110"/>
  <c r="K200" i="110"/>
  <c r="AT402" i="110"/>
  <c r="AT411" i="110"/>
  <c r="AR293" i="110"/>
  <c r="AU288" i="110"/>
  <c r="AU289" i="110"/>
  <c r="L151" i="110"/>
  <c r="L152" i="110"/>
  <c r="L153" i="110"/>
  <c r="L154" i="110"/>
  <c r="L155" i="110"/>
  <c r="L156" i="110"/>
  <c r="L157" i="110"/>
  <c r="L158" i="110"/>
  <c r="L167" i="110"/>
  <c r="L163" i="110"/>
  <c r="E142" i="110"/>
  <c r="E227" i="110" s="1"/>
  <c r="E146" i="110"/>
  <c r="E231" i="110" s="1"/>
  <c r="E147" i="110"/>
  <c r="E232" i="110" s="1"/>
  <c r="E260" i="110" s="1"/>
  <c r="E143" i="110"/>
  <c r="E228" i="110" s="1"/>
  <c r="E148" i="110"/>
  <c r="E233" i="110" s="1"/>
  <c r="E149" i="110"/>
  <c r="E234" i="110" s="1"/>
  <c r="E144" i="110"/>
  <c r="E229" i="110" s="1"/>
  <c r="E145" i="110"/>
  <c r="E230" i="110" s="1"/>
  <c r="P200" i="110"/>
  <c r="P204" i="110"/>
  <c r="D200" i="110"/>
  <c r="D204" i="110"/>
  <c r="E155" i="110"/>
  <c r="E156" i="110"/>
  <c r="E157" i="110"/>
  <c r="E152" i="110"/>
  <c r="E158" i="110"/>
  <c r="E151" i="110"/>
  <c r="E153" i="110"/>
  <c r="E154" i="110"/>
  <c r="L143" i="110"/>
  <c r="L228" i="110" s="1"/>
  <c r="L144" i="110"/>
  <c r="L229" i="110" s="1"/>
  <c r="L145" i="110"/>
  <c r="L230" i="110" s="1"/>
  <c r="L146" i="110"/>
  <c r="L231" i="110" s="1"/>
  <c r="L147" i="110"/>
  <c r="L232" i="110" s="1"/>
  <c r="L148" i="110"/>
  <c r="L233" i="110" s="1"/>
  <c r="L149" i="110"/>
  <c r="L234" i="110" s="1"/>
  <c r="L142" i="110"/>
  <c r="L227" i="110" s="1"/>
  <c r="P188" i="110"/>
  <c r="AT317" i="110" s="1"/>
  <c r="P189" i="110"/>
  <c r="AT318" i="110" s="1"/>
  <c r="P190" i="110"/>
  <c r="AT319" i="110" s="1"/>
  <c r="P191" i="110"/>
  <c r="P192" i="110"/>
  <c r="AT321" i="110" s="1"/>
  <c r="P193" i="110"/>
  <c r="AT322" i="110" s="1"/>
  <c r="P194" i="110"/>
  <c r="AT323" i="110" s="1"/>
  <c r="P195" i="110"/>
  <c r="M142" i="110"/>
  <c r="M143" i="110"/>
  <c r="M144" i="110"/>
  <c r="M145" i="110"/>
  <c r="M146" i="110"/>
  <c r="M147" i="110"/>
  <c r="M148" i="110"/>
  <c r="M149" i="110"/>
  <c r="AQ293" i="110"/>
  <c r="AQ292" i="110"/>
  <c r="AQ291" i="110"/>
  <c r="AQ288" i="110"/>
  <c r="AQ287" i="110"/>
  <c r="AQ289" i="110"/>
  <c r="AR289" i="110"/>
  <c r="I167" i="110"/>
  <c r="I163" i="110"/>
  <c r="AQ402" i="110"/>
  <c r="AQ411" i="110"/>
  <c r="Q167" i="110"/>
  <c r="Q163" i="110"/>
  <c r="M167" i="110"/>
  <c r="M163" i="110"/>
  <c r="AQ403" i="110"/>
  <c r="M139" i="111" s="1"/>
  <c r="M139" i="141" s="1"/>
  <c r="AQ412" i="110"/>
  <c r="M140" i="111" s="1"/>
  <c r="M140" i="141" s="1"/>
  <c r="AR291" i="110"/>
  <c r="F167" i="110"/>
  <c r="F163" i="110"/>
  <c r="AR287" i="110"/>
  <c r="AR288" i="110"/>
  <c r="P234" i="110"/>
  <c r="O228" i="110"/>
  <c r="N227" i="110"/>
  <c r="Q230" i="110"/>
  <c r="O229" i="110"/>
  <c r="N228" i="110"/>
  <c r="Q231" i="110"/>
  <c r="O230" i="110"/>
  <c r="N229" i="110"/>
  <c r="Q232" i="110"/>
  <c r="O231" i="110"/>
  <c r="N230" i="110"/>
  <c r="Q233" i="110"/>
  <c r="O234" i="110"/>
  <c r="N232" i="110"/>
  <c r="Q227" i="110"/>
  <c r="O233" i="110"/>
  <c r="N233" i="110"/>
  <c r="Q228" i="110"/>
  <c r="AQ135" i="110"/>
  <c r="L247" i="110" s="1"/>
  <c r="AL137" i="110"/>
  <c r="G249" i="110" s="1"/>
  <c r="AP298" i="110"/>
  <c r="AQ164" i="110"/>
  <c r="AP301" i="110"/>
  <c r="AQ133" i="110"/>
  <c r="L245" i="110" s="1"/>
  <c r="AQ137" i="110"/>
  <c r="L249" i="110" s="1"/>
  <c r="AQ165" i="110"/>
  <c r="AP297" i="110"/>
  <c r="AQ162" i="110"/>
  <c r="AQ139" i="110"/>
  <c r="L251" i="110" s="1"/>
  <c r="AQ166" i="110"/>
  <c r="I246" i="110"/>
  <c r="L135" i="36"/>
  <c r="O71" i="111"/>
  <c r="O71" i="141" s="1"/>
  <c r="AP182" i="36"/>
  <c r="AL138" i="110"/>
  <c r="G250" i="110" s="1"/>
  <c r="AL133" i="110"/>
  <c r="AK307" i="110" s="1"/>
  <c r="AL139" i="110"/>
  <c r="G251" i="110" s="1"/>
  <c r="AL134" i="110"/>
  <c r="AK308" i="110" s="1"/>
  <c r="AO182" i="36"/>
  <c r="H247" i="110"/>
  <c r="AN312" i="110"/>
  <c r="AM182" i="36"/>
  <c r="AQ182" i="36"/>
  <c r="AN182" i="36"/>
  <c r="F71" i="112"/>
  <c r="F71" i="142" s="1"/>
  <c r="AF182" i="36"/>
  <c r="AJ289" i="110"/>
  <c r="AJ292" i="110"/>
  <c r="AJ293" i="110"/>
  <c r="AJ287" i="110"/>
  <c r="AJ288" i="110"/>
  <c r="AJ291" i="110"/>
  <c r="F71" i="111"/>
  <c r="F71" i="141" s="1"/>
  <c r="F182" i="36"/>
  <c r="L246" i="110"/>
  <c r="D246" i="110"/>
  <c r="AM308" i="110"/>
  <c r="AM328" i="110"/>
  <c r="E247" i="110"/>
  <c r="AI333" i="110"/>
  <c r="AK327" i="110"/>
  <c r="AP403" i="110"/>
  <c r="L139" i="111" s="1"/>
  <c r="L139" i="141" s="1"/>
  <c r="AN331" i="110"/>
  <c r="AN313" i="110"/>
  <c r="AM332" i="110"/>
  <c r="AK329" i="110"/>
  <c r="K250" i="110"/>
  <c r="H251" i="110"/>
  <c r="K251" i="110"/>
  <c r="AK309" i="110"/>
  <c r="AM331" i="110"/>
  <c r="AM311" i="110"/>
  <c r="I247" i="110"/>
  <c r="AI312" i="110"/>
  <c r="AH327" i="110"/>
  <c r="AK333" i="110"/>
  <c r="K249" i="110"/>
  <c r="K246" i="110"/>
  <c r="I249" i="110"/>
  <c r="AH311" i="110"/>
  <c r="AM309" i="110"/>
  <c r="J245" i="110"/>
  <c r="H246" i="110"/>
  <c r="H245" i="110"/>
  <c r="AM327" i="110"/>
  <c r="AK328" i="110"/>
  <c r="AI311" i="110"/>
  <c r="AH333" i="110"/>
  <c r="AI328" i="110"/>
  <c r="AM312" i="110"/>
  <c r="I251" i="110"/>
  <c r="AI308" i="110"/>
  <c r="AH313" i="110"/>
  <c r="AH328" i="110"/>
  <c r="AM412" i="110"/>
  <c r="I140" i="111" s="1"/>
  <c r="I140" i="141" s="1"/>
  <c r="AH312" i="110"/>
  <c r="D245" i="110"/>
  <c r="AP407" i="110"/>
  <c r="L139" i="112" s="1"/>
  <c r="L139" i="142" s="1"/>
  <c r="AI309" i="110"/>
  <c r="AI331" i="110"/>
  <c r="AH329" i="110"/>
  <c r="AN307" i="110"/>
  <c r="J251" i="110"/>
  <c r="AM329" i="110"/>
  <c r="AI412" i="110"/>
  <c r="E140" i="111" s="1"/>
  <c r="E140" i="141" s="1"/>
  <c r="AP329" i="110"/>
  <c r="H250" i="110"/>
  <c r="D247" i="110"/>
  <c r="D249" i="110"/>
  <c r="D251" i="110"/>
  <c r="AN416" i="110"/>
  <c r="J140" i="112" s="1"/>
  <c r="J140" i="142" s="1"/>
  <c r="J246" i="110"/>
  <c r="AN329" i="110"/>
  <c r="AN412" i="110"/>
  <c r="J140" i="111" s="1"/>
  <c r="J140" i="141" s="1"/>
  <c r="E245" i="110"/>
  <c r="E249" i="110"/>
  <c r="E251" i="110"/>
  <c r="K247" i="110"/>
  <c r="AL311" i="110"/>
  <c r="AO307" i="110"/>
  <c r="AO311" i="110"/>
  <c r="AO308" i="110"/>
  <c r="AO313" i="110"/>
  <c r="H249" i="110"/>
  <c r="AL328" i="110"/>
  <c r="AL329" i="110"/>
  <c r="AL333" i="110"/>
  <c r="AL416" i="110"/>
  <c r="H140" i="112" s="1"/>
  <c r="H140" i="142" s="1"/>
  <c r="AO328" i="110"/>
  <c r="AO329" i="110"/>
  <c r="I250" i="110"/>
  <c r="K71" i="111"/>
  <c r="K71" i="141" s="1"/>
  <c r="K182" i="36"/>
  <c r="E71" i="112"/>
  <c r="E71" i="142" s="1"/>
  <c r="AE182" i="36"/>
  <c r="G71" i="112"/>
  <c r="G71" i="142" s="1"/>
  <c r="AG182" i="36"/>
  <c r="J71" i="111"/>
  <c r="J71" i="141" s="1"/>
  <c r="J182" i="36"/>
  <c r="AM333" i="110"/>
  <c r="AP289" i="110"/>
  <c r="AP293" i="110"/>
  <c r="AP292" i="110"/>
  <c r="AP287" i="110"/>
  <c r="AP288" i="110"/>
  <c r="AP291" i="110"/>
  <c r="AN311" i="110"/>
  <c r="J249" i="110"/>
  <c r="AL309" i="110"/>
  <c r="AO327" i="110"/>
  <c r="AK331" i="110"/>
  <c r="AK287" i="110"/>
  <c r="AK288" i="110"/>
  <c r="AK291" i="110"/>
  <c r="AK292" i="110"/>
  <c r="AK293" i="110"/>
  <c r="AK289" i="110"/>
  <c r="D71" i="111"/>
  <c r="D71" i="141" s="1"/>
  <c r="G247" i="110"/>
  <c r="AL289" i="110"/>
  <c r="AL292" i="110"/>
  <c r="AL288" i="110"/>
  <c r="AL287" i="110"/>
  <c r="AL291" i="110"/>
  <c r="AL293" i="110"/>
  <c r="AI329" i="110"/>
  <c r="AK332" i="110"/>
  <c r="AN327" i="110"/>
  <c r="AL327" i="110"/>
  <c r="AI313" i="110"/>
  <c r="AM313" i="110"/>
  <c r="G71" i="111"/>
  <c r="G71" i="141" s="1"/>
  <c r="G182" i="36"/>
  <c r="AH331" i="110"/>
  <c r="J71" i="112"/>
  <c r="J71" i="142" s="1"/>
  <c r="AJ182" i="36"/>
  <c r="E71" i="111"/>
  <c r="E71" i="141" s="1"/>
  <c r="AP331" i="110"/>
  <c r="D250" i="110"/>
  <c r="H71" i="112"/>
  <c r="H71" i="142" s="1"/>
  <c r="AH182" i="36"/>
  <c r="AH332" i="110"/>
  <c r="AN308" i="110"/>
  <c r="E250" i="110"/>
  <c r="AP332" i="110"/>
  <c r="K245" i="110"/>
  <c r="AL312" i="110"/>
  <c r="D188" i="110"/>
  <c r="AH317" i="110" s="1"/>
  <c r="D194" i="110"/>
  <c r="AH323" i="110" s="1"/>
  <c r="D193" i="110"/>
  <c r="AH322" i="110" s="1"/>
  <c r="D190" i="110"/>
  <c r="AH319" i="110" s="1"/>
  <c r="D189" i="110"/>
  <c r="AH318" i="110" s="1"/>
  <c r="D192" i="110"/>
  <c r="AH321" i="110" s="1"/>
  <c r="AL332" i="110"/>
  <c r="I245" i="110"/>
  <c r="AO331" i="110"/>
  <c r="AH309" i="110"/>
  <c r="AI327" i="110"/>
  <c r="AM307" i="110"/>
  <c r="AN309" i="110"/>
  <c r="J247" i="110"/>
  <c r="AP333" i="110"/>
  <c r="AN328" i="110"/>
  <c r="AL313" i="110"/>
  <c r="AO312" i="110"/>
  <c r="AO333" i="110"/>
  <c r="AP327" i="110"/>
  <c r="K71" i="112"/>
  <c r="K71" i="142" s="1"/>
  <c r="AK182" i="36"/>
  <c r="AN293" i="110"/>
  <c r="AN291" i="110"/>
  <c r="AN289" i="110"/>
  <c r="AN287" i="110"/>
  <c r="AN292" i="110"/>
  <c r="AN288" i="110"/>
  <c r="AN332" i="110"/>
  <c r="D71" i="112"/>
  <c r="D71" i="142" s="1"/>
  <c r="AD182" i="36"/>
  <c r="I71" i="111"/>
  <c r="I71" i="141" s="1"/>
  <c r="I182" i="36"/>
  <c r="AL307" i="110"/>
  <c r="I71" i="112"/>
  <c r="I71" i="142" s="1"/>
  <c r="AI182" i="36"/>
  <c r="AO309" i="110"/>
  <c r="AI289" i="110"/>
  <c r="AI293" i="110"/>
  <c r="AI287" i="110"/>
  <c r="AI291" i="110"/>
  <c r="AI292" i="110"/>
  <c r="AI288" i="110"/>
  <c r="AI307" i="110"/>
  <c r="AH307" i="110"/>
  <c r="AI332" i="110"/>
  <c r="AO287" i="110"/>
  <c r="AO293" i="110"/>
  <c r="AO291" i="110"/>
  <c r="AO289" i="110"/>
  <c r="AO288" i="110"/>
  <c r="AO292" i="110"/>
  <c r="J250" i="110"/>
  <c r="AP328" i="110"/>
  <c r="AN333" i="110"/>
  <c r="E246" i="110"/>
  <c r="H71" i="111"/>
  <c r="H71" i="141" s="1"/>
  <c r="H182" i="36"/>
  <c r="AL308" i="110"/>
  <c r="AH292" i="110"/>
  <c r="D153" i="110"/>
  <c r="D151" i="110"/>
  <c r="AH288" i="110"/>
  <c r="D152" i="110"/>
  <c r="AH289" i="110"/>
  <c r="AH293" i="110"/>
  <c r="D156" i="110"/>
  <c r="D155" i="110"/>
  <c r="D157" i="110"/>
  <c r="AH291" i="110"/>
  <c r="AH287" i="110"/>
  <c r="AM291" i="110"/>
  <c r="AM288" i="110"/>
  <c r="AM293" i="110"/>
  <c r="AM292" i="110"/>
  <c r="AM287" i="110"/>
  <c r="AM289" i="110"/>
  <c r="AL331" i="110"/>
  <c r="L71" i="112"/>
  <c r="L71" i="142" s="1"/>
  <c r="AL182" i="36"/>
  <c r="AO332" i="110"/>
  <c r="I260" i="110"/>
  <c r="E261" i="110"/>
  <c r="I261" i="110"/>
  <c r="I255" i="110"/>
  <c r="E255" i="110"/>
  <c r="E259" i="110"/>
  <c r="I259" i="110"/>
  <c r="J257" i="110"/>
  <c r="E256" i="110"/>
  <c r="I256" i="110"/>
  <c r="D259" i="110"/>
  <c r="K260" i="110"/>
  <c r="H260" i="110"/>
  <c r="J259" i="110"/>
  <c r="G261" i="110"/>
  <c r="E257" i="110"/>
  <c r="D260" i="110"/>
  <c r="F255" i="110"/>
  <c r="G256" i="110"/>
  <c r="G260" i="110"/>
  <c r="F256" i="110"/>
  <c r="L257" i="110"/>
  <c r="K256" i="110"/>
  <c r="F260" i="110"/>
  <c r="F259" i="110"/>
  <c r="L256" i="110"/>
  <c r="K261" i="110"/>
  <c r="D261" i="110"/>
  <c r="F261" i="110"/>
  <c r="D255" i="110"/>
  <c r="L260" i="110"/>
  <c r="L255" i="110"/>
  <c r="L261" i="110"/>
  <c r="AC163" i="36" l="1"/>
  <c r="AJ413" i="110"/>
  <c r="AJ411" i="110"/>
  <c r="AJ401" i="110"/>
  <c r="AJ403" i="110"/>
  <c r="F139" i="111" s="1"/>
  <c r="F139" i="141" s="1"/>
  <c r="AJ405" i="110"/>
  <c r="E94" i="142"/>
  <c r="AJ406" i="110"/>
  <c r="BU340" i="110"/>
  <c r="M131" i="111" s="1"/>
  <c r="M131" i="141" s="1"/>
  <c r="AJ407" i="110"/>
  <c r="F139" i="112" s="1"/>
  <c r="F139" i="142" s="1"/>
  <c r="AJ400" i="110"/>
  <c r="AL320" i="110"/>
  <c r="AK320" i="110"/>
  <c r="AK340" i="110" s="1"/>
  <c r="AJ320" i="110"/>
  <c r="AJ340" i="110" s="1"/>
  <c r="AC135" i="36"/>
  <c r="V156" i="142"/>
  <c r="G160" i="141"/>
  <c r="G183" i="141" s="1"/>
  <c r="F184" i="142"/>
  <c r="K22" i="141"/>
  <c r="F22" i="141"/>
  <c r="K37" i="141"/>
  <c r="F37" i="141"/>
  <c r="G33" i="141"/>
  <c r="AD200" i="36"/>
  <c r="D94" i="112" s="1"/>
  <c r="F94" i="142"/>
  <c r="I161" i="142" s="1" a="1"/>
  <c r="I161" i="142" s="1"/>
  <c r="I184" i="142" s="1"/>
  <c r="F94" i="141"/>
  <c r="M79" i="111"/>
  <c r="M79" i="141" s="1"/>
  <c r="M200" i="36"/>
  <c r="M94" i="111" s="1"/>
  <c r="M94" i="141" s="1"/>
  <c r="L200" i="36"/>
  <c r="L94" i="111" s="1"/>
  <c r="L94" i="141" s="1"/>
  <c r="E75" i="111"/>
  <c r="L75" i="112"/>
  <c r="O75" i="112"/>
  <c r="E75" i="112"/>
  <c r="F75" i="112"/>
  <c r="Q75" i="112"/>
  <c r="M75" i="112"/>
  <c r="H75" i="112"/>
  <c r="G75" i="112"/>
  <c r="P75" i="112"/>
  <c r="D75" i="112"/>
  <c r="J75" i="112"/>
  <c r="K75" i="112"/>
  <c r="N75" i="112"/>
  <c r="I75" i="112"/>
  <c r="D75" i="111"/>
  <c r="J75" i="111"/>
  <c r="O75" i="111"/>
  <c r="N75" i="111"/>
  <c r="Q75" i="111"/>
  <c r="K75" i="111"/>
  <c r="G75" i="111"/>
  <c r="H75" i="111"/>
  <c r="I75" i="111"/>
  <c r="F75" i="111"/>
  <c r="P75" i="111"/>
  <c r="M248" i="110"/>
  <c r="BX399" i="110"/>
  <c r="BQ479" i="110"/>
  <c r="BQ459" i="110"/>
  <c r="BQ477" i="110"/>
  <c r="BQ457" i="110"/>
  <c r="I271" i="110"/>
  <c r="BQ482" i="110"/>
  <c r="BQ462" i="110"/>
  <c r="BQ483" i="110"/>
  <c r="BQ463" i="110"/>
  <c r="BQ478" i="110"/>
  <c r="BQ458" i="110"/>
  <c r="I270" i="110"/>
  <c r="BQ481" i="110"/>
  <c r="BQ461" i="110"/>
  <c r="D266" i="110"/>
  <c r="BL477" i="110"/>
  <c r="BL457" i="110"/>
  <c r="BL481" i="110"/>
  <c r="BL461" i="110"/>
  <c r="BL483" i="110"/>
  <c r="BL463" i="110"/>
  <c r="D268" i="110"/>
  <c r="BL479" i="110"/>
  <c r="BL459" i="110"/>
  <c r="BL478" i="110"/>
  <c r="BL458" i="110"/>
  <c r="BL482" i="110"/>
  <c r="BL462" i="110"/>
  <c r="K271" i="110"/>
  <c r="BS482" i="110"/>
  <c r="BS462" i="110"/>
  <c r="BS478" i="110"/>
  <c r="BS458" i="110"/>
  <c r="BS479" i="110"/>
  <c r="BS459" i="110"/>
  <c r="BS481" i="110"/>
  <c r="BS461" i="110"/>
  <c r="K272" i="110"/>
  <c r="BS483" i="110"/>
  <c r="BS463" i="110"/>
  <c r="BS477" i="110"/>
  <c r="BS457" i="110"/>
  <c r="BM478" i="110"/>
  <c r="BM458" i="110"/>
  <c r="E271" i="110"/>
  <c r="BM482" i="110"/>
  <c r="BM462" i="110"/>
  <c r="E270" i="110"/>
  <c r="BM481" i="110"/>
  <c r="BM461" i="110"/>
  <c r="BM477" i="110"/>
  <c r="BM457" i="110"/>
  <c r="BM483" i="110"/>
  <c r="BM463" i="110"/>
  <c r="BM479" i="110"/>
  <c r="BM459" i="110"/>
  <c r="BR478" i="110"/>
  <c r="BR458" i="110"/>
  <c r="BR482" i="110"/>
  <c r="BR462" i="110"/>
  <c r="BR477" i="110"/>
  <c r="BR457" i="110"/>
  <c r="BR479" i="110"/>
  <c r="BR459" i="110"/>
  <c r="BR481" i="110"/>
  <c r="BR461" i="110"/>
  <c r="BR483" i="110"/>
  <c r="BR463" i="110"/>
  <c r="BL471" i="110"/>
  <c r="BL491" i="110"/>
  <c r="BL468" i="110"/>
  <c r="BL488" i="110"/>
  <c r="BL469" i="110"/>
  <c r="BL489" i="110"/>
  <c r="BL472" i="110"/>
  <c r="BL492" i="110"/>
  <c r="BL473" i="110"/>
  <c r="BL493" i="110"/>
  <c r="BL467" i="110"/>
  <c r="BL487" i="110"/>
  <c r="BP483" i="110"/>
  <c r="BP463" i="110"/>
  <c r="BP481" i="110"/>
  <c r="BP461" i="110"/>
  <c r="BP477" i="110"/>
  <c r="BP457" i="110"/>
  <c r="BP478" i="110"/>
  <c r="BP458" i="110"/>
  <c r="H271" i="110"/>
  <c r="BP482" i="110"/>
  <c r="BP462" i="110"/>
  <c r="BP479" i="110"/>
  <c r="BP459" i="110"/>
  <c r="G268" i="110"/>
  <c r="BO479" i="110"/>
  <c r="BO459" i="110"/>
  <c r="BO483" i="110"/>
  <c r="BO463" i="110"/>
  <c r="BO482" i="110"/>
  <c r="BO462" i="110"/>
  <c r="BO481" i="110"/>
  <c r="BO461" i="110"/>
  <c r="G267" i="110"/>
  <c r="BO478" i="110"/>
  <c r="BO458" i="110"/>
  <c r="G266" i="110"/>
  <c r="BO477" i="110"/>
  <c r="BO457" i="110"/>
  <c r="BT481" i="110"/>
  <c r="BT461" i="110"/>
  <c r="BT478" i="110"/>
  <c r="BT458" i="110"/>
  <c r="L266" i="110"/>
  <c r="BT477" i="110"/>
  <c r="BT457" i="110"/>
  <c r="BT482" i="110"/>
  <c r="BT462" i="110"/>
  <c r="L272" i="110"/>
  <c r="BT483" i="110"/>
  <c r="BT463" i="110"/>
  <c r="BT479" i="110"/>
  <c r="BT459" i="110"/>
  <c r="F270" i="110"/>
  <c r="BN481" i="110"/>
  <c r="BN461" i="110"/>
  <c r="BN478" i="110"/>
  <c r="BN458" i="110"/>
  <c r="BN477" i="110"/>
  <c r="BN457" i="110"/>
  <c r="F272" i="110"/>
  <c r="BN483" i="110"/>
  <c r="BN463" i="110"/>
  <c r="BN482" i="110"/>
  <c r="BN462" i="110"/>
  <c r="BN479" i="110"/>
  <c r="BN459" i="110"/>
  <c r="BV478" i="110"/>
  <c r="BV458" i="110"/>
  <c r="BV477" i="110"/>
  <c r="BV457" i="110"/>
  <c r="BV481" i="110"/>
  <c r="BV461" i="110"/>
  <c r="BV479" i="110"/>
  <c r="BV459" i="110"/>
  <c r="BU479" i="110"/>
  <c r="BU459" i="110"/>
  <c r="BU477" i="110"/>
  <c r="BU457" i="110"/>
  <c r="BU478" i="110"/>
  <c r="BU458" i="110"/>
  <c r="BU481" i="110"/>
  <c r="BU461" i="110"/>
  <c r="BU482" i="110"/>
  <c r="BU462" i="110"/>
  <c r="BU483" i="110"/>
  <c r="BU463" i="110"/>
  <c r="BX473" i="110"/>
  <c r="BX493" i="110"/>
  <c r="BX472" i="110"/>
  <c r="BX492" i="110"/>
  <c r="BX471" i="110"/>
  <c r="BX491" i="110"/>
  <c r="BX469" i="110"/>
  <c r="BX489" i="110"/>
  <c r="BX468" i="110"/>
  <c r="BX488" i="110"/>
  <c r="BX467" i="110"/>
  <c r="BX487" i="110"/>
  <c r="BY479" i="110"/>
  <c r="BY459" i="110"/>
  <c r="BY478" i="110"/>
  <c r="BY458" i="110"/>
  <c r="BV483" i="110"/>
  <c r="BV463" i="110"/>
  <c r="BW479" i="110"/>
  <c r="BW459" i="110"/>
  <c r="BY481" i="110"/>
  <c r="BY461" i="110"/>
  <c r="BY482" i="110"/>
  <c r="BY462" i="110"/>
  <c r="BV482" i="110"/>
  <c r="BV462" i="110"/>
  <c r="BP473" i="110"/>
  <c r="BP493" i="110"/>
  <c r="BP472" i="110"/>
  <c r="BP492" i="110"/>
  <c r="BP471" i="110"/>
  <c r="BP491" i="110"/>
  <c r="BP469" i="110"/>
  <c r="BP489" i="110"/>
  <c r="BP468" i="110"/>
  <c r="BP488" i="110"/>
  <c r="BP467" i="110"/>
  <c r="BP487" i="110"/>
  <c r="BS433" i="110"/>
  <c r="BS473" i="110"/>
  <c r="BS493" i="110"/>
  <c r="BS472" i="110"/>
  <c r="BS492" i="110"/>
  <c r="BS471" i="110"/>
  <c r="BS491" i="110"/>
  <c r="BS469" i="110"/>
  <c r="BS489" i="110"/>
  <c r="BS468" i="110"/>
  <c r="BS488" i="110"/>
  <c r="BS467" i="110"/>
  <c r="BS487" i="110"/>
  <c r="BQ472" i="110"/>
  <c r="BQ492" i="110"/>
  <c r="BQ468" i="110"/>
  <c r="BQ488" i="110"/>
  <c r="BQ467" i="110"/>
  <c r="BQ487" i="110"/>
  <c r="BQ433" i="110"/>
  <c r="BQ473" i="110"/>
  <c r="BQ493" i="110"/>
  <c r="BQ471" i="110"/>
  <c r="BQ491" i="110"/>
  <c r="BQ469" i="110"/>
  <c r="BQ489" i="110"/>
  <c r="BW481" i="110"/>
  <c r="BW461" i="110"/>
  <c r="BV472" i="110"/>
  <c r="BV492" i="110"/>
  <c r="BV471" i="110"/>
  <c r="BV491" i="110"/>
  <c r="BV469" i="110"/>
  <c r="BV489" i="110"/>
  <c r="BV468" i="110"/>
  <c r="BV488" i="110"/>
  <c r="BR472" i="110"/>
  <c r="BR492" i="110"/>
  <c r="BR468" i="110"/>
  <c r="BR488" i="110"/>
  <c r="BR467" i="110"/>
  <c r="BR487" i="110"/>
  <c r="BR473" i="110"/>
  <c r="BR493" i="110"/>
  <c r="BR471" i="110"/>
  <c r="BR491" i="110"/>
  <c r="BR469" i="110"/>
  <c r="BR489" i="110"/>
  <c r="BW478" i="110"/>
  <c r="BW458" i="110"/>
  <c r="BN453" i="110"/>
  <c r="BN473" i="110"/>
  <c r="BN493" i="110"/>
  <c r="BN472" i="110"/>
  <c r="BN492" i="110"/>
  <c r="BN471" i="110"/>
  <c r="BN491" i="110"/>
  <c r="BN429" i="110"/>
  <c r="BN469" i="110"/>
  <c r="BN489" i="110"/>
  <c r="BN468" i="110"/>
  <c r="BN488" i="110"/>
  <c r="BN467" i="110"/>
  <c r="BN487" i="110"/>
  <c r="BW483" i="110"/>
  <c r="BW463" i="110"/>
  <c r="BY477" i="110"/>
  <c r="BY457" i="110"/>
  <c r="BW473" i="110"/>
  <c r="BW493" i="110"/>
  <c r="BW472" i="110"/>
  <c r="BW492" i="110"/>
  <c r="BW471" i="110"/>
  <c r="BW491" i="110"/>
  <c r="BW469" i="110"/>
  <c r="BW489" i="110"/>
  <c r="BW468" i="110"/>
  <c r="BW488" i="110"/>
  <c r="BW467" i="110"/>
  <c r="BW487" i="110"/>
  <c r="BT467" i="110"/>
  <c r="BT487" i="110"/>
  <c r="BT473" i="110"/>
  <c r="BT493" i="110"/>
  <c r="BT471" i="110"/>
  <c r="BT491" i="110"/>
  <c r="BT469" i="110"/>
  <c r="BT489" i="110"/>
  <c r="BT472" i="110"/>
  <c r="BT492" i="110"/>
  <c r="BT468" i="110"/>
  <c r="BT488" i="110"/>
  <c r="BY467" i="110"/>
  <c r="BY487" i="110"/>
  <c r="BY473" i="110"/>
  <c r="BY493" i="110"/>
  <c r="BY471" i="110"/>
  <c r="BY491" i="110"/>
  <c r="BY469" i="110"/>
  <c r="BY489" i="110"/>
  <c r="BY468" i="110"/>
  <c r="BY488" i="110"/>
  <c r="BW477" i="110"/>
  <c r="BW457" i="110"/>
  <c r="BX481" i="110"/>
  <c r="BX461" i="110"/>
  <c r="BX483" i="110"/>
  <c r="BX463" i="110"/>
  <c r="BX482" i="110"/>
  <c r="BX462" i="110"/>
  <c r="BM468" i="110"/>
  <c r="BM488" i="110"/>
  <c r="BM432" i="110"/>
  <c r="BM472" i="110"/>
  <c r="BM492" i="110"/>
  <c r="BM473" i="110"/>
  <c r="BM493" i="110"/>
  <c r="BM471" i="110"/>
  <c r="BM491" i="110"/>
  <c r="BM469" i="110"/>
  <c r="BM489" i="110"/>
  <c r="BM467" i="110"/>
  <c r="BM487" i="110"/>
  <c r="BU480" i="110"/>
  <c r="M130" i="111" s="1"/>
  <c r="M130" i="141" s="1"/>
  <c r="BU460" i="110"/>
  <c r="M122" i="111" s="1"/>
  <c r="M122" i="141" s="1"/>
  <c r="BU484" i="110"/>
  <c r="M130" i="112" s="1"/>
  <c r="M130" i="142" s="1"/>
  <c r="BU464" i="110"/>
  <c r="M122" i="112" s="1"/>
  <c r="M122" i="142" s="1"/>
  <c r="BV440" i="110"/>
  <c r="N126" i="111" s="1"/>
  <c r="N126" i="141" s="1"/>
  <c r="BV480" i="110"/>
  <c r="N130" i="111" s="1"/>
  <c r="N130" i="141" s="1"/>
  <c r="BV460" i="110"/>
  <c r="N122" i="111" s="1"/>
  <c r="N122" i="141" s="1"/>
  <c r="BV484" i="110"/>
  <c r="N130" i="112" s="1"/>
  <c r="N130" i="142" s="1"/>
  <c r="BV464" i="110"/>
  <c r="N122" i="112" s="1"/>
  <c r="N122" i="142" s="1"/>
  <c r="BQ484" i="110"/>
  <c r="I130" i="112" s="1"/>
  <c r="BQ464" i="110"/>
  <c r="I122" i="112" s="1"/>
  <c r="I122" i="142" s="1"/>
  <c r="BQ480" i="110"/>
  <c r="I130" i="111" s="1"/>
  <c r="I130" i="141" s="1"/>
  <c r="BQ460" i="110"/>
  <c r="I122" i="111" s="1"/>
  <c r="I122" i="141" s="1"/>
  <c r="BY484" i="110"/>
  <c r="Q130" i="112" s="1"/>
  <c r="BY464" i="110"/>
  <c r="Q122" i="112" s="1"/>
  <c r="Q122" i="142" s="1"/>
  <c r="BY480" i="110"/>
  <c r="Q130" i="111" s="1"/>
  <c r="Q130" i="141" s="1"/>
  <c r="BY460" i="110"/>
  <c r="Q122" i="111" s="1"/>
  <c r="Q122" i="141" s="1"/>
  <c r="BY423" i="110"/>
  <c r="BY483" i="110"/>
  <c r="BY463" i="110"/>
  <c r="BO484" i="110"/>
  <c r="G130" i="112" s="1"/>
  <c r="G130" i="142" s="1"/>
  <c r="BO464" i="110"/>
  <c r="G122" i="112" s="1"/>
  <c r="G122" i="142" s="1"/>
  <c r="BO480" i="110"/>
  <c r="G130" i="111" s="1"/>
  <c r="G130" i="141" s="1"/>
  <c r="BO460" i="110"/>
  <c r="G122" i="111" s="1"/>
  <c r="G122" i="141" s="1"/>
  <c r="BX437" i="110"/>
  <c r="BX477" i="110"/>
  <c r="BX457" i="110"/>
  <c r="BN480" i="110"/>
  <c r="F130" i="111" s="1"/>
  <c r="F130" i="141" s="1"/>
  <c r="BN460" i="110"/>
  <c r="F122" i="111" s="1"/>
  <c r="F122" i="141" s="1"/>
  <c r="BN484" i="110"/>
  <c r="F130" i="112" s="1"/>
  <c r="F130" i="142" s="1"/>
  <c r="BN464" i="110"/>
  <c r="F122" i="112" s="1"/>
  <c r="F122" i="142" s="1"/>
  <c r="BP480" i="110"/>
  <c r="H130" i="111" s="1"/>
  <c r="H130" i="141" s="1"/>
  <c r="BP460" i="110"/>
  <c r="H122" i="111" s="1"/>
  <c r="H122" i="141" s="1"/>
  <c r="BP484" i="110"/>
  <c r="H130" i="112" s="1"/>
  <c r="H130" i="142" s="1"/>
  <c r="BP464" i="110"/>
  <c r="H122" i="112" s="1"/>
  <c r="BR480" i="110"/>
  <c r="J130" i="111" s="1"/>
  <c r="J130" i="141" s="1"/>
  <c r="BR460" i="110"/>
  <c r="J122" i="111" s="1"/>
  <c r="J122" i="141" s="1"/>
  <c r="BR484" i="110"/>
  <c r="J130" i="112" s="1"/>
  <c r="J130" i="142" s="1"/>
  <c r="BR464" i="110"/>
  <c r="J122" i="112" s="1"/>
  <c r="J122" i="142" s="1"/>
  <c r="BS480" i="110"/>
  <c r="K130" i="111" s="1"/>
  <c r="K130" i="141" s="1"/>
  <c r="BS460" i="110"/>
  <c r="K122" i="111" s="1"/>
  <c r="K122" i="141" s="1"/>
  <c r="BS484" i="110"/>
  <c r="K130" i="112" s="1"/>
  <c r="K130" i="142" s="1"/>
  <c r="BS464" i="110"/>
  <c r="K122" i="112" s="1"/>
  <c r="K122" i="142" s="1"/>
  <c r="BX438" i="110"/>
  <c r="BX478" i="110"/>
  <c r="BX458" i="110"/>
  <c r="BW484" i="110"/>
  <c r="O130" i="112" s="1"/>
  <c r="O130" i="142" s="1"/>
  <c r="BW464" i="110"/>
  <c r="O122" i="112" s="1"/>
  <c r="O122" i="142" s="1"/>
  <c r="BW480" i="110"/>
  <c r="O130" i="111" s="1"/>
  <c r="O130" i="141" s="1"/>
  <c r="BW460" i="110"/>
  <c r="O122" i="111" s="1"/>
  <c r="O122" i="141" s="1"/>
  <c r="BW422" i="110"/>
  <c r="BW482" i="110"/>
  <c r="BW462" i="110"/>
  <c r="BM480" i="110"/>
  <c r="E130" i="111" s="1"/>
  <c r="E130" i="141" s="1"/>
  <c r="BM460" i="110"/>
  <c r="E122" i="111" s="1"/>
  <c r="E122" i="141" s="1"/>
  <c r="BM484" i="110"/>
  <c r="E130" i="112" s="1"/>
  <c r="E130" i="142" s="1"/>
  <c r="BM464" i="110"/>
  <c r="E122" i="112" s="1"/>
  <c r="E122" i="142" s="1"/>
  <c r="BL480" i="110"/>
  <c r="D130" i="111" s="1"/>
  <c r="D130" i="141" s="1"/>
  <c r="BL460" i="110"/>
  <c r="D122" i="111" s="1"/>
  <c r="D122" i="141" s="1"/>
  <c r="BL420" i="110"/>
  <c r="D125" i="111" s="1"/>
  <c r="BL340" i="110"/>
  <c r="D131" i="111" s="1"/>
  <c r="D131" i="141" s="1"/>
  <c r="BL484" i="110"/>
  <c r="D130" i="112" s="1"/>
  <c r="D130" i="142" s="1"/>
  <c r="BL464" i="110"/>
  <c r="D122" i="112" s="1"/>
  <c r="D122" i="142" s="1"/>
  <c r="BT480" i="110"/>
  <c r="L130" i="111" s="1"/>
  <c r="L130" i="141" s="1"/>
  <c r="BT460" i="110"/>
  <c r="L122" i="111" s="1"/>
  <c r="L122" i="141" s="1"/>
  <c r="BT484" i="110"/>
  <c r="L130" i="112" s="1"/>
  <c r="L130" i="142" s="1"/>
  <c r="BT464" i="110"/>
  <c r="L122" i="112" s="1"/>
  <c r="L122" i="142" s="1"/>
  <c r="M268" i="110"/>
  <c r="BX479" i="110"/>
  <c r="BX459" i="110"/>
  <c r="BX484" i="110"/>
  <c r="P130" i="112" s="1"/>
  <c r="P130" i="142" s="1"/>
  <c r="BX464" i="110"/>
  <c r="P122" i="112" s="1"/>
  <c r="BX480" i="110"/>
  <c r="P130" i="111" s="1"/>
  <c r="P130" i="141" s="1"/>
  <c r="BX460" i="110"/>
  <c r="P122" i="111" s="1"/>
  <c r="P122" i="141" s="1"/>
  <c r="M182" i="36"/>
  <c r="AK407" i="110"/>
  <c r="G139" i="112" s="1"/>
  <c r="G139" i="142" s="1"/>
  <c r="AL402" i="110"/>
  <c r="AP411" i="110"/>
  <c r="AM411" i="110"/>
  <c r="AI401" i="110"/>
  <c r="AK401" i="110"/>
  <c r="AM400" i="110"/>
  <c r="AK406" i="110"/>
  <c r="AM404" i="110"/>
  <c r="AK411" i="110"/>
  <c r="AM405" i="110"/>
  <c r="AN404" i="110"/>
  <c r="AK409" i="110"/>
  <c r="AI415" i="110"/>
  <c r="AM401" i="110"/>
  <c r="AH401" i="110"/>
  <c r="AH406" i="110"/>
  <c r="AH409" i="110"/>
  <c r="AK311" i="110"/>
  <c r="BO421" i="110" s="1"/>
  <c r="BX379" i="110"/>
  <c r="BV340" i="110"/>
  <c r="N131" i="111" s="1"/>
  <c r="N131" i="141" s="1"/>
  <c r="BX359" i="110"/>
  <c r="BV400" i="110"/>
  <c r="N129" i="111" s="1"/>
  <c r="N129" i="141" s="1"/>
  <c r="BX339" i="110"/>
  <c r="BV380" i="110"/>
  <c r="N127" i="111" s="1"/>
  <c r="N127" i="141" s="1"/>
  <c r="BX419" i="110"/>
  <c r="BV360" i="110"/>
  <c r="N128" i="111" s="1"/>
  <c r="N128" i="141" s="1"/>
  <c r="BW342" i="110"/>
  <c r="BW402" i="110"/>
  <c r="BW442" i="110"/>
  <c r="AJ324" i="110"/>
  <c r="BN434" i="110" s="1"/>
  <c r="F252" i="110"/>
  <c r="AQ318" i="110"/>
  <c r="N243" i="110"/>
  <c r="AP312" i="110"/>
  <c r="G248" i="110"/>
  <c r="E248" i="110"/>
  <c r="L248" i="110"/>
  <c r="AQ321" i="110"/>
  <c r="AQ386" i="110" s="1"/>
  <c r="M240" i="110"/>
  <c r="M234" i="110"/>
  <c r="D248" i="110"/>
  <c r="AQ319" i="110"/>
  <c r="E252" i="110"/>
  <c r="D252" i="110"/>
  <c r="BX417" i="110"/>
  <c r="M252" i="110"/>
  <c r="AP324" i="110"/>
  <c r="BT434" i="110" s="1"/>
  <c r="BX397" i="110"/>
  <c r="N240" i="110"/>
  <c r="BX377" i="110"/>
  <c r="BX357" i="110"/>
  <c r="L252" i="110"/>
  <c r="K248" i="110"/>
  <c r="AM324" i="110"/>
  <c r="BQ434" i="110" s="1"/>
  <c r="Q236" i="110"/>
  <c r="BX337" i="110"/>
  <c r="M266" i="110"/>
  <c r="Q242" i="110"/>
  <c r="AN324" i="110"/>
  <c r="BR434" i="110" s="1"/>
  <c r="M230" i="110"/>
  <c r="AT320" i="110"/>
  <c r="AT358" i="110" s="1"/>
  <c r="AQ317" i="110"/>
  <c r="AQ364" i="110" s="1"/>
  <c r="N242" i="110"/>
  <c r="AN320" i="110"/>
  <c r="AN340" i="110" s="1"/>
  <c r="BX418" i="110"/>
  <c r="I248" i="110"/>
  <c r="AM320" i="110"/>
  <c r="I252" i="110"/>
  <c r="AT324" i="110"/>
  <c r="BX434" i="110" s="1"/>
  <c r="H252" i="110"/>
  <c r="AR323" i="110"/>
  <c r="BY343" i="110"/>
  <c r="F248" i="110"/>
  <c r="G252" i="110"/>
  <c r="Q237" i="110"/>
  <c r="AI320" i="110"/>
  <c r="AI376" i="110" s="1"/>
  <c r="AP311" i="110"/>
  <c r="BT361" i="110" s="1"/>
  <c r="H248" i="110"/>
  <c r="N236" i="110"/>
  <c r="Q241" i="110"/>
  <c r="J248" i="110"/>
  <c r="N272" i="110"/>
  <c r="AR324" i="110"/>
  <c r="BV434" i="110" s="1"/>
  <c r="AU320" i="110"/>
  <c r="AU349" i="110" s="1"/>
  <c r="J252" i="110"/>
  <c r="AO320" i="110"/>
  <c r="BW382" i="110"/>
  <c r="K252" i="110"/>
  <c r="AP309" i="110"/>
  <c r="N237" i="110"/>
  <c r="AL324" i="110"/>
  <c r="BP434" i="110" s="1"/>
  <c r="AK324" i="110"/>
  <c r="BO434" i="110" s="1"/>
  <c r="AH324" i="110"/>
  <c r="BW362" i="110"/>
  <c r="AH320" i="110"/>
  <c r="BL430" i="110" s="1"/>
  <c r="AS320" i="110"/>
  <c r="AP313" i="110"/>
  <c r="AQ324" i="110"/>
  <c r="BU434" i="110" s="1"/>
  <c r="AO324" i="110"/>
  <c r="BS434" i="110" s="1"/>
  <c r="AI324" i="110"/>
  <c r="BM434" i="110" s="1"/>
  <c r="BY403" i="110"/>
  <c r="BX358" i="110"/>
  <c r="BY383" i="110"/>
  <c r="AQ320" i="110"/>
  <c r="AR317" i="110"/>
  <c r="BV407" i="110" s="1"/>
  <c r="AU322" i="110"/>
  <c r="BY452" i="110" s="1"/>
  <c r="N239" i="110"/>
  <c r="M241" i="110"/>
  <c r="AP320" i="110"/>
  <c r="AU324" i="110"/>
  <c r="BY434" i="110" s="1"/>
  <c r="BX338" i="110"/>
  <c r="BY363" i="110"/>
  <c r="AS324" i="110"/>
  <c r="BW434" i="110" s="1"/>
  <c r="BX398" i="110"/>
  <c r="BX378" i="110"/>
  <c r="BY443" i="110"/>
  <c r="M267" i="110"/>
  <c r="AR320" i="110"/>
  <c r="BV439" i="110"/>
  <c r="BV419" i="110"/>
  <c r="BV359" i="110"/>
  <c r="BV339" i="110"/>
  <c r="BV379" i="110"/>
  <c r="BV399" i="110"/>
  <c r="BU441" i="110"/>
  <c r="BU381" i="110"/>
  <c r="BU401" i="110"/>
  <c r="BU421" i="110"/>
  <c r="BU361" i="110"/>
  <c r="BU341" i="110"/>
  <c r="BV443" i="110"/>
  <c r="BV383" i="110"/>
  <c r="BV403" i="110"/>
  <c r="BV423" i="110"/>
  <c r="BV343" i="110"/>
  <c r="BV363" i="110"/>
  <c r="BX440" i="110"/>
  <c r="P126" i="111" s="1"/>
  <c r="P126" i="141" s="1"/>
  <c r="BX340" i="110"/>
  <c r="P131" i="111" s="1"/>
  <c r="P131" i="141" s="1"/>
  <c r="BX360" i="110"/>
  <c r="P128" i="111" s="1"/>
  <c r="P128" i="141" s="1"/>
  <c r="BX380" i="110"/>
  <c r="P127" i="111" s="1"/>
  <c r="P127" i="141" s="1"/>
  <c r="BX400" i="110"/>
  <c r="P129" i="111" s="1"/>
  <c r="P129" i="141" s="1"/>
  <c r="BX420" i="110"/>
  <c r="P125" i="111" s="1"/>
  <c r="P125" i="141" s="1"/>
  <c r="BY442" i="110"/>
  <c r="N271" i="110"/>
  <c r="BY422" i="110"/>
  <c r="BY342" i="110"/>
  <c r="BY362" i="110"/>
  <c r="BY402" i="110"/>
  <c r="BY382" i="110"/>
  <c r="BX442" i="110"/>
  <c r="M271" i="110"/>
  <c r="BX342" i="110"/>
  <c r="BX362" i="110"/>
  <c r="BX382" i="110"/>
  <c r="BX402" i="110"/>
  <c r="BX422" i="110"/>
  <c r="AP307" i="110"/>
  <c r="AQ322" i="110"/>
  <c r="BU442" i="110"/>
  <c r="BU422" i="110"/>
  <c r="BU362" i="110"/>
  <c r="BU342" i="110"/>
  <c r="BU382" i="110"/>
  <c r="BU402" i="110"/>
  <c r="BV442" i="110"/>
  <c r="BV342" i="110"/>
  <c r="BV362" i="110"/>
  <c r="BV382" i="110"/>
  <c r="BV402" i="110"/>
  <c r="BV422" i="110"/>
  <c r="BW443" i="110"/>
  <c r="BW343" i="110"/>
  <c r="BW363" i="110"/>
  <c r="BW403" i="110"/>
  <c r="BW383" i="110"/>
  <c r="BW423" i="110"/>
  <c r="BW437" i="110"/>
  <c r="BW417" i="110"/>
  <c r="BW357" i="110"/>
  <c r="BW397" i="110"/>
  <c r="BW337" i="110"/>
  <c r="BW377" i="110"/>
  <c r="BX441" i="110"/>
  <c r="M270" i="110"/>
  <c r="BX341" i="110"/>
  <c r="BX361" i="110"/>
  <c r="BX381" i="110"/>
  <c r="BX401" i="110"/>
  <c r="BX421" i="110"/>
  <c r="BU443" i="110"/>
  <c r="BU343" i="110"/>
  <c r="BU363" i="110"/>
  <c r="BU403" i="110"/>
  <c r="BU383" i="110"/>
  <c r="BU423" i="110"/>
  <c r="BY437" i="110"/>
  <c r="N266" i="110"/>
  <c r="BY417" i="110"/>
  <c r="BY337" i="110"/>
  <c r="BY357" i="110"/>
  <c r="BY377" i="110"/>
  <c r="BY397" i="110"/>
  <c r="BV437" i="110"/>
  <c r="BV337" i="110"/>
  <c r="BV357" i="110"/>
  <c r="BV377" i="110"/>
  <c r="BV397" i="110"/>
  <c r="BV417" i="110"/>
  <c r="BU439" i="110"/>
  <c r="BU339" i="110"/>
  <c r="BU359" i="110"/>
  <c r="BU379" i="110"/>
  <c r="BU399" i="110"/>
  <c r="BU419" i="110"/>
  <c r="N252" i="110"/>
  <c r="O248" i="110"/>
  <c r="BY440" i="110"/>
  <c r="Q126" i="111" s="1"/>
  <c r="Q126" i="141" s="1"/>
  <c r="BY360" i="110"/>
  <c r="Q128" i="111" s="1"/>
  <c r="Q128" i="141" s="1"/>
  <c r="BY380" i="110"/>
  <c r="Q127" i="111" s="1"/>
  <c r="Q127" i="141" s="1"/>
  <c r="BY400" i="110"/>
  <c r="Q129" i="111" s="1"/>
  <c r="Q129" i="141" s="1"/>
  <c r="BY420" i="110"/>
  <c r="Q125" i="111" s="1"/>
  <c r="Q125" i="141" s="1"/>
  <c r="BY340" i="110"/>
  <c r="Q131" i="111" s="1"/>
  <c r="Q131" i="141" s="1"/>
  <c r="BV438" i="110"/>
  <c r="BV378" i="110"/>
  <c r="BV398" i="110"/>
  <c r="BV418" i="110"/>
  <c r="BV338" i="110"/>
  <c r="BV358" i="110"/>
  <c r="M239" i="110"/>
  <c r="Q243" i="110"/>
  <c r="Q248" i="110"/>
  <c r="BU440" i="110"/>
  <c r="M126" i="111" s="1"/>
  <c r="M126" i="141" s="1"/>
  <c r="BU420" i="110"/>
  <c r="M125" i="111" s="1"/>
  <c r="M125" i="141" s="1"/>
  <c r="BU360" i="110"/>
  <c r="M128" i="111" s="1"/>
  <c r="M128" i="141" s="1"/>
  <c r="BU380" i="110"/>
  <c r="M127" i="111" s="1"/>
  <c r="M127" i="141" s="1"/>
  <c r="BU400" i="110"/>
  <c r="M129" i="111" s="1"/>
  <c r="M129" i="141" s="1"/>
  <c r="BV444" i="110"/>
  <c r="N126" i="112" s="1"/>
  <c r="N126" i="142" s="1"/>
  <c r="BV344" i="110"/>
  <c r="N131" i="112" s="1"/>
  <c r="N131" i="142" s="1"/>
  <c r="BV384" i="110"/>
  <c r="N127" i="112" s="1"/>
  <c r="N127" i="142" s="1"/>
  <c r="BV424" i="110"/>
  <c r="N125" i="112" s="1"/>
  <c r="BV364" i="110"/>
  <c r="N128" i="112" s="1"/>
  <c r="N128" i="142" s="1"/>
  <c r="BV404" i="110"/>
  <c r="N129" i="112" s="1"/>
  <c r="N129" i="142" s="1"/>
  <c r="N248" i="110"/>
  <c r="O252" i="110"/>
  <c r="BW441" i="110"/>
  <c r="BW381" i="110"/>
  <c r="BW401" i="110"/>
  <c r="BW421" i="110"/>
  <c r="BW341" i="110"/>
  <c r="BW361" i="110"/>
  <c r="P248" i="110"/>
  <c r="BY444" i="110"/>
  <c r="Q126" i="112" s="1"/>
  <c r="Q126" i="142" s="1"/>
  <c r="BY344" i="110"/>
  <c r="Q131" i="112" s="1"/>
  <c r="Q131" i="142" s="1"/>
  <c r="BY364" i="110"/>
  <c r="Q128" i="112" s="1"/>
  <c r="Q128" i="142" s="1"/>
  <c r="BY404" i="110"/>
  <c r="Q129" i="112" s="1"/>
  <c r="Q129" i="142" s="1"/>
  <c r="BY424" i="110"/>
  <c r="Q125" i="112" s="1"/>
  <c r="Q125" i="142" s="1"/>
  <c r="BY384" i="110"/>
  <c r="Q127" i="112" s="1"/>
  <c r="Q127" i="142" s="1"/>
  <c r="BY441" i="110"/>
  <c r="N270" i="110"/>
  <c r="BY381" i="110"/>
  <c r="BY401" i="110"/>
  <c r="BY421" i="110"/>
  <c r="BY341" i="110"/>
  <c r="BY361" i="110"/>
  <c r="Q252" i="110"/>
  <c r="BU437" i="110"/>
  <c r="BU417" i="110"/>
  <c r="BU357" i="110"/>
  <c r="BU337" i="110"/>
  <c r="BU377" i="110"/>
  <c r="BU397" i="110"/>
  <c r="BY439" i="110"/>
  <c r="N268" i="110"/>
  <c r="BY339" i="110"/>
  <c r="BY359" i="110"/>
  <c r="BY379" i="110"/>
  <c r="BY399" i="110"/>
  <c r="BY419" i="110"/>
  <c r="BW438" i="110"/>
  <c r="BW338" i="110"/>
  <c r="BW358" i="110"/>
  <c r="BW398" i="110"/>
  <c r="BW378" i="110"/>
  <c r="BW418" i="110"/>
  <c r="P252" i="110"/>
  <c r="BW444" i="110"/>
  <c r="O126" i="112" s="1"/>
  <c r="O126" i="142" s="1"/>
  <c r="BW424" i="110"/>
  <c r="O125" i="112" s="1"/>
  <c r="BW364" i="110"/>
  <c r="O128" i="112" s="1"/>
  <c r="O128" i="142" s="1"/>
  <c r="BW384" i="110"/>
  <c r="O127" i="112" s="1"/>
  <c r="O127" i="142" s="1"/>
  <c r="BW344" i="110"/>
  <c r="O131" i="112" s="1"/>
  <c r="O131" i="142" s="1"/>
  <c r="BW404" i="110"/>
  <c r="O129" i="112" s="1"/>
  <c r="O129" i="142" s="1"/>
  <c r="BU444" i="110"/>
  <c r="M126" i="112" s="1"/>
  <c r="BU404" i="110"/>
  <c r="M129" i="112" s="1"/>
  <c r="M129" i="142" s="1"/>
  <c r="BU424" i="110"/>
  <c r="M125" i="112" s="1"/>
  <c r="M125" i="142" s="1"/>
  <c r="BU344" i="110"/>
  <c r="M131" i="112" s="1"/>
  <c r="M131" i="142" s="1"/>
  <c r="BU364" i="110"/>
  <c r="M128" i="112" s="1"/>
  <c r="M128" i="142" s="1"/>
  <c r="BU384" i="110"/>
  <c r="M127" i="112" s="1"/>
  <c r="M127" i="142" s="1"/>
  <c r="BX444" i="110"/>
  <c r="P126" i="112" s="1"/>
  <c r="P126" i="142" s="1"/>
  <c r="BX344" i="110"/>
  <c r="P131" i="112" s="1"/>
  <c r="P131" i="142" s="1"/>
  <c r="BX364" i="110"/>
  <c r="P128" i="112" s="1"/>
  <c r="P128" i="142" s="1"/>
  <c r="BX404" i="110"/>
  <c r="P129" i="112" s="1"/>
  <c r="P129" i="142" s="1"/>
  <c r="BX384" i="110"/>
  <c r="P127" i="112" s="1"/>
  <c r="P127" i="142" s="1"/>
  <c r="BX424" i="110"/>
  <c r="P125" i="112" s="1"/>
  <c r="P125" i="142" s="1"/>
  <c r="BV441" i="110"/>
  <c r="BV341" i="110"/>
  <c r="BV361" i="110"/>
  <c r="BV401" i="110"/>
  <c r="BV381" i="110"/>
  <c r="BV421" i="110"/>
  <c r="BU438" i="110"/>
  <c r="BU338" i="110"/>
  <c r="BU358" i="110"/>
  <c r="BU398" i="110"/>
  <c r="BU418" i="110"/>
  <c r="BU378" i="110"/>
  <c r="BY438" i="110"/>
  <c r="N267" i="110"/>
  <c r="BY338" i="110"/>
  <c r="BY358" i="110"/>
  <c r="BY378" i="110"/>
  <c r="BY398" i="110"/>
  <c r="BY418" i="110"/>
  <c r="BW439" i="110"/>
  <c r="BW339" i="110"/>
  <c r="BW359" i="110"/>
  <c r="BW379" i="110"/>
  <c r="BW399" i="110"/>
  <c r="BW419" i="110"/>
  <c r="BW440" i="110"/>
  <c r="O126" i="111" s="1"/>
  <c r="O126" i="141" s="1"/>
  <c r="BW340" i="110"/>
  <c r="O131" i="111" s="1"/>
  <c r="O131" i="141" s="1"/>
  <c r="BW360" i="110"/>
  <c r="O128" i="111" s="1"/>
  <c r="O128" i="141" s="1"/>
  <c r="BW380" i="110"/>
  <c r="O127" i="111" s="1"/>
  <c r="O127" i="141" s="1"/>
  <c r="BW400" i="110"/>
  <c r="O129" i="111" s="1"/>
  <c r="O129" i="141" s="1"/>
  <c r="BW420" i="110"/>
  <c r="O125" i="111" s="1"/>
  <c r="O125" i="141" s="1"/>
  <c r="BX443" i="110"/>
  <c r="M272" i="110"/>
  <c r="BX383" i="110"/>
  <c r="BX403" i="110"/>
  <c r="BX423" i="110"/>
  <c r="BX343" i="110"/>
  <c r="BX363" i="110"/>
  <c r="BX412" i="110"/>
  <c r="BX392" i="110"/>
  <c r="BX372" i="110"/>
  <c r="BX452" i="110"/>
  <c r="BX432" i="110"/>
  <c r="BX352" i="110"/>
  <c r="BW412" i="110"/>
  <c r="BW392" i="110"/>
  <c r="BW372" i="110"/>
  <c r="BW352" i="110"/>
  <c r="BW432" i="110"/>
  <c r="BW452" i="110"/>
  <c r="BV411" i="110"/>
  <c r="BV391" i="110"/>
  <c r="BV371" i="110"/>
  <c r="BV351" i="110"/>
  <c r="BV451" i="110"/>
  <c r="BV431" i="110"/>
  <c r="BY413" i="110"/>
  <c r="BY393" i="110"/>
  <c r="BY353" i="110"/>
  <c r="BY373" i="110"/>
  <c r="BY453" i="110"/>
  <c r="BY433" i="110"/>
  <c r="BX411" i="110"/>
  <c r="BX391" i="110"/>
  <c r="BX371" i="110"/>
  <c r="BX451" i="110"/>
  <c r="BX431" i="110"/>
  <c r="BX351" i="110"/>
  <c r="BW411" i="110"/>
  <c r="BW391" i="110"/>
  <c r="BW371" i="110"/>
  <c r="BW351" i="110"/>
  <c r="BW431" i="110"/>
  <c r="BW451" i="110"/>
  <c r="BX413" i="110"/>
  <c r="BX393" i="110"/>
  <c r="BX373" i="110"/>
  <c r="BX353" i="110"/>
  <c r="BX453" i="110"/>
  <c r="BX433" i="110"/>
  <c r="BW413" i="110"/>
  <c r="BW393" i="110"/>
  <c r="BW373" i="110"/>
  <c r="BW353" i="110"/>
  <c r="BW433" i="110"/>
  <c r="BW453" i="110"/>
  <c r="BV412" i="110"/>
  <c r="BV392" i="110"/>
  <c r="BV372" i="110"/>
  <c r="BV352" i="110"/>
  <c r="BV452" i="110"/>
  <c r="BV432" i="110"/>
  <c r="BX427" i="110"/>
  <c r="BX407" i="110"/>
  <c r="BX387" i="110"/>
  <c r="BX347" i="110"/>
  <c r="BX447" i="110"/>
  <c r="BX367" i="110"/>
  <c r="BW427" i="110"/>
  <c r="BW407" i="110"/>
  <c r="BW387" i="110"/>
  <c r="BW367" i="110"/>
  <c r="BW447" i="110"/>
  <c r="BW347" i="110"/>
  <c r="BY349" i="110"/>
  <c r="BY429" i="110"/>
  <c r="BY409" i="110"/>
  <c r="BY369" i="110"/>
  <c r="BY389" i="110"/>
  <c r="BY449" i="110"/>
  <c r="BX428" i="110"/>
  <c r="BX408" i="110"/>
  <c r="BX388" i="110"/>
  <c r="BX348" i="110"/>
  <c r="BX448" i="110"/>
  <c r="BX368" i="110"/>
  <c r="BW428" i="110"/>
  <c r="BW408" i="110"/>
  <c r="BW388" i="110"/>
  <c r="BW368" i="110"/>
  <c r="BW448" i="110"/>
  <c r="BW348" i="110"/>
  <c r="BY348" i="110"/>
  <c r="BY428" i="110"/>
  <c r="BY408" i="110"/>
  <c r="BY368" i="110"/>
  <c r="BY448" i="110"/>
  <c r="BY388" i="110"/>
  <c r="BX429" i="110"/>
  <c r="BX409" i="110"/>
  <c r="BX389" i="110"/>
  <c r="BX349" i="110"/>
  <c r="BX369" i="110"/>
  <c r="BX449" i="110"/>
  <c r="BW429" i="110"/>
  <c r="BW409" i="110"/>
  <c r="BW389" i="110"/>
  <c r="BW369" i="110"/>
  <c r="BW349" i="110"/>
  <c r="BW449" i="110"/>
  <c r="BV428" i="110"/>
  <c r="BV408" i="110"/>
  <c r="BV388" i="110"/>
  <c r="BV368" i="110"/>
  <c r="BV348" i="110"/>
  <c r="BV448" i="110"/>
  <c r="BY411" i="110"/>
  <c r="BY391" i="110"/>
  <c r="BY351" i="110"/>
  <c r="BY451" i="110"/>
  <c r="BY431" i="110"/>
  <c r="BY371" i="110"/>
  <c r="BY347" i="110"/>
  <c r="BY427" i="110"/>
  <c r="BY407" i="110"/>
  <c r="BY367" i="110"/>
  <c r="BY447" i="110"/>
  <c r="BY387" i="110"/>
  <c r="BV429" i="110"/>
  <c r="BV409" i="110"/>
  <c r="BV389" i="110"/>
  <c r="BV369" i="110"/>
  <c r="BV349" i="110"/>
  <c r="BV449" i="110"/>
  <c r="M231" i="110"/>
  <c r="AR339" i="110"/>
  <c r="N279" i="110" s="1"/>
  <c r="AR348" i="110"/>
  <c r="AR357" i="110"/>
  <c r="AR375" i="110"/>
  <c r="AR384" i="110"/>
  <c r="AR393" i="110"/>
  <c r="AR420" i="110"/>
  <c r="AR366" i="110"/>
  <c r="AR338" i="110"/>
  <c r="N278" i="110" s="1"/>
  <c r="AR347" i="110"/>
  <c r="AR356" i="110"/>
  <c r="AR383" i="110"/>
  <c r="AR392" i="110"/>
  <c r="AR419" i="110"/>
  <c r="AR374" i="110"/>
  <c r="AR365" i="110"/>
  <c r="AT379" i="110"/>
  <c r="AT388" i="110"/>
  <c r="AT397" i="110"/>
  <c r="AT424" i="110"/>
  <c r="AT343" i="110"/>
  <c r="P283" i="110" s="1"/>
  <c r="AT352" i="110"/>
  <c r="AT370" i="110"/>
  <c r="AT361" i="110"/>
  <c r="AR341" i="110"/>
  <c r="N281" i="110" s="1"/>
  <c r="AR350" i="110"/>
  <c r="AR359" i="110"/>
  <c r="AR377" i="110"/>
  <c r="AR386" i="110"/>
  <c r="AR395" i="110"/>
  <c r="AR422" i="110"/>
  <c r="AR368" i="110"/>
  <c r="AT341" i="110"/>
  <c r="P281" i="110" s="1"/>
  <c r="AT350" i="110"/>
  <c r="AT359" i="110"/>
  <c r="AT377" i="110"/>
  <c r="AT386" i="110"/>
  <c r="AT395" i="110"/>
  <c r="AT422" i="110"/>
  <c r="AT368" i="110"/>
  <c r="AU339" i="110"/>
  <c r="Q279" i="110" s="1"/>
  <c r="AU348" i="110"/>
  <c r="AU357" i="110"/>
  <c r="AU375" i="110"/>
  <c r="AU384" i="110"/>
  <c r="AU393" i="110"/>
  <c r="AU420" i="110"/>
  <c r="AU366" i="110"/>
  <c r="AS343" i="110"/>
  <c r="O283" i="110" s="1"/>
  <c r="AS352" i="110"/>
  <c r="AS361" i="110"/>
  <c r="AS379" i="110"/>
  <c r="AS388" i="110"/>
  <c r="AS397" i="110"/>
  <c r="AS424" i="110"/>
  <c r="AS370" i="110"/>
  <c r="AU341" i="110"/>
  <c r="Q281" i="110" s="1"/>
  <c r="AU350" i="110"/>
  <c r="AU359" i="110"/>
  <c r="AU377" i="110"/>
  <c r="AU386" i="110"/>
  <c r="AU395" i="110"/>
  <c r="AU422" i="110"/>
  <c r="AU368" i="110"/>
  <c r="AU338" i="110"/>
  <c r="Q278" i="110" s="1"/>
  <c r="AU347" i="110"/>
  <c r="AU356" i="110"/>
  <c r="AU365" i="110"/>
  <c r="AU383" i="110"/>
  <c r="AU392" i="110"/>
  <c r="AU419" i="110"/>
  <c r="AU374" i="110"/>
  <c r="AT342" i="110"/>
  <c r="P282" i="110" s="1"/>
  <c r="AT351" i="110"/>
  <c r="AT378" i="110"/>
  <c r="AT387" i="110"/>
  <c r="AT396" i="110"/>
  <c r="AT423" i="110"/>
  <c r="AT360" i="110"/>
  <c r="AT369" i="110"/>
  <c r="AT337" i="110"/>
  <c r="P277" i="110" s="1"/>
  <c r="AT346" i="110"/>
  <c r="AT355" i="110"/>
  <c r="AT364" i="110"/>
  <c r="AT382" i="110"/>
  <c r="AT391" i="110"/>
  <c r="AT418" i="110"/>
  <c r="AT373" i="110"/>
  <c r="AT338" i="110"/>
  <c r="P278" i="110" s="1"/>
  <c r="AT347" i="110"/>
  <c r="AT356" i="110"/>
  <c r="AT383" i="110"/>
  <c r="AT392" i="110"/>
  <c r="AT419" i="110"/>
  <c r="AT374" i="110"/>
  <c r="AT365" i="110"/>
  <c r="AU343" i="110"/>
  <c r="Q283" i="110" s="1"/>
  <c r="AU352" i="110"/>
  <c r="AU361" i="110"/>
  <c r="AU379" i="110"/>
  <c r="AU388" i="110"/>
  <c r="AU397" i="110"/>
  <c r="AU424" i="110"/>
  <c r="AU370" i="110"/>
  <c r="AS338" i="110"/>
  <c r="O278" i="110" s="1"/>
  <c r="AS347" i="110"/>
  <c r="AS356" i="110"/>
  <c r="AS383" i="110"/>
  <c r="AS392" i="110"/>
  <c r="AS419" i="110"/>
  <c r="AS374" i="110"/>
  <c r="AS365" i="110"/>
  <c r="AS341" i="110"/>
  <c r="O281" i="110" s="1"/>
  <c r="AS350" i="110"/>
  <c r="AS359" i="110"/>
  <c r="AS377" i="110"/>
  <c r="AS386" i="110"/>
  <c r="AS395" i="110"/>
  <c r="AS422" i="110"/>
  <c r="AS368" i="110"/>
  <c r="AS339" i="110"/>
  <c r="O279" i="110" s="1"/>
  <c r="AS348" i="110"/>
  <c r="AS357" i="110"/>
  <c r="AS375" i="110"/>
  <c r="AS384" i="110"/>
  <c r="AS393" i="110"/>
  <c r="AS420" i="110"/>
  <c r="AS366" i="110"/>
  <c r="M242" i="110"/>
  <c r="AU337" i="110"/>
  <c r="Q277" i="110" s="1"/>
  <c r="AU346" i="110"/>
  <c r="AU355" i="110"/>
  <c r="AU364" i="110"/>
  <c r="AU382" i="110"/>
  <c r="AU391" i="110"/>
  <c r="AU418" i="110"/>
  <c r="AU373" i="110"/>
  <c r="AR342" i="110"/>
  <c r="N282" i="110" s="1"/>
  <c r="AR351" i="110"/>
  <c r="AR378" i="110"/>
  <c r="AR387" i="110"/>
  <c r="AR396" i="110"/>
  <c r="AR423" i="110"/>
  <c r="AR360" i="110"/>
  <c r="AR369" i="110"/>
  <c r="M243" i="110"/>
  <c r="O243" i="110"/>
  <c r="M227" i="110"/>
  <c r="P238" i="110"/>
  <c r="M236" i="110"/>
  <c r="Q238" i="110"/>
  <c r="O239" i="110"/>
  <c r="M228" i="110"/>
  <c r="P239" i="110"/>
  <c r="AQ323" i="110"/>
  <c r="N238" i="110"/>
  <c r="AS337" i="110"/>
  <c r="O277" i="110" s="1"/>
  <c r="AS346" i="110"/>
  <c r="AS355" i="110"/>
  <c r="AS382" i="110"/>
  <c r="AS391" i="110"/>
  <c r="AS418" i="110"/>
  <c r="AS373" i="110"/>
  <c r="AS364" i="110"/>
  <c r="Q239" i="110"/>
  <c r="AS342" i="110"/>
  <c r="O282" i="110" s="1"/>
  <c r="AS351" i="110"/>
  <c r="AS360" i="110"/>
  <c r="AS378" i="110"/>
  <c r="AS387" i="110"/>
  <c r="AS396" i="110"/>
  <c r="AS423" i="110"/>
  <c r="AS369" i="110"/>
  <c r="P240" i="110"/>
  <c r="AT375" i="110"/>
  <c r="AT384" i="110"/>
  <c r="AT393" i="110"/>
  <c r="AT420" i="110"/>
  <c r="AT339" i="110"/>
  <c r="P279" i="110" s="1"/>
  <c r="AT348" i="110"/>
  <c r="AT357" i="110"/>
  <c r="AT366" i="110"/>
  <c r="M229" i="110"/>
  <c r="P241" i="110"/>
  <c r="M238" i="110"/>
  <c r="O242" i="110"/>
  <c r="P242" i="110"/>
  <c r="Q240" i="110"/>
  <c r="O236" i="110"/>
  <c r="M232" i="110"/>
  <c r="P243" i="110"/>
  <c r="O237" i="110"/>
  <c r="O238" i="110"/>
  <c r="M237" i="110"/>
  <c r="M233" i="110"/>
  <c r="P236" i="110"/>
  <c r="O240" i="110"/>
  <c r="N241" i="110"/>
  <c r="P237" i="110"/>
  <c r="O241" i="110"/>
  <c r="L182" i="36"/>
  <c r="AM388" i="110"/>
  <c r="G245" i="110"/>
  <c r="G246" i="110"/>
  <c r="AK313" i="110"/>
  <c r="AK312" i="110"/>
  <c r="BN449" i="110"/>
  <c r="BN349" i="110"/>
  <c r="AJ424" i="110"/>
  <c r="BN369" i="110"/>
  <c r="BN409" i="110"/>
  <c r="BN389" i="110"/>
  <c r="AM413" i="110"/>
  <c r="AJ373" i="110"/>
  <c r="BN393" i="110"/>
  <c r="AJ337" i="110"/>
  <c r="F277" i="110" s="1"/>
  <c r="BN452" i="110"/>
  <c r="AJ351" i="110"/>
  <c r="BN347" i="110"/>
  <c r="AM410" i="110"/>
  <c r="AJ359" i="110"/>
  <c r="BN387" i="110"/>
  <c r="BN407" i="110"/>
  <c r="BQ448" i="110"/>
  <c r="BN447" i="110"/>
  <c r="BN427" i="110"/>
  <c r="BN367" i="110"/>
  <c r="AK402" i="110"/>
  <c r="AJ343" i="110"/>
  <c r="F283" i="110" s="1"/>
  <c r="BN448" i="110"/>
  <c r="BN348" i="110"/>
  <c r="BN388" i="110"/>
  <c r="BN368" i="110"/>
  <c r="BN408" i="110"/>
  <c r="AJ352" i="110"/>
  <c r="F237" i="110"/>
  <c r="BN428" i="110"/>
  <c r="AJ383" i="110"/>
  <c r="AJ348" i="110"/>
  <c r="AJ355" i="110"/>
  <c r="AJ342" i="110"/>
  <c r="F282" i="110" s="1"/>
  <c r="AJ378" i="110"/>
  <c r="F271" i="110"/>
  <c r="AJ361" i="110"/>
  <c r="AJ379" i="110"/>
  <c r="BN433" i="110"/>
  <c r="AI410" i="110"/>
  <c r="BN353" i="110"/>
  <c r="BN413" i="110"/>
  <c r="BM348" i="110"/>
  <c r="AJ388" i="110"/>
  <c r="AJ370" i="110"/>
  <c r="BN373" i="110"/>
  <c r="AJ397" i="110"/>
  <c r="AJ377" i="110"/>
  <c r="AJ350" i="110"/>
  <c r="BN371" i="110"/>
  <c r="AJ395" i="110"/>
  <c r="BN432" i="110"/>
  <c r="AJ346" i="110"/>
  <c r="BN411" i="110"/>
  <c r="AJ392" i="110"/>
  <c r="BN443" i="110"/>
  <c r="BN423" i="110"/>
  <c r="BN363" i="110"/>
  <c r="BN403" i="110"/>
  <c r="BN383" i="110"/>
  <c r="BN343" i="110"/>
  <c r="F242" i="110"/>
  <c r="BN439" i="110"/>
  <c r="BN399" i="110"/>
  <c r="BN359" i="110"/>
  <c r="BN339" i="110"/>
  <c r="BN419" i="110"/>
  <c r="BN379" i="110"/>
  <c r="BN391" i="110"/>
  <c r="F240" i="110"/>
  <c r="AJ360" i="110"/>
  <c r="AJ423" i="110"/>
  <c r="AJ341" i="110"/>
  <c r="F281" i="110" s="1"/>
  <c r="AJ365" i="110"/>
  <c r="F267" i="110"/>
  <c r="AJ339" i="110"/>
  <c r="F279" i="110" s="1"/>
  <c r="F238" i="110"/>
  <c r="F243" i="110"/>
  <c r="BN437" i="110"/>
  <c r="BN337" i="110"/>
  <c r="BN377" i="110"/>
  <c r="BN357" i="110"/>
  <c r="BN397" i="110"/>
  <c r="BN417" i="110"/>
  <c r="AJ420" i="110"/>
  <c r="BN352" i="110"/>
  <c r="F266" i="110"/>
  <c r="AJ369" i="110"/>
  <c r="AJ422" i="110"/>
  <c r="AJ347" i="110"/>
  <c r="AJ374" i="110"/>
  <c r="F268" i="110"/>
  <c r="F239" i="110"/>
  <c r="F241" i="110"/>
  <c r="AJ366" i="110"/>
  <c r="BN372" i="110"/>
  <c r="AJ382" i="110"/>
  <c r="BN431" i="110"/>
  <c r="AJ418" i="110"/>
  <c r="BN421" i="110"/>
  <c r="BN401" i="110"/>
  <c r="BN341" i="110"/>
  <c r="BN381" i="110"/>
  <c r="BN361" i="110"/>
  <c r="BN441" i="110"/>
  <c r="BN400" i="110"/>
  <c r="F129" i="111" s="1"/>
  <c r="F129" i="141" s="1"/>
  <c r="BN340" i="110"/>
  <c r="F131" i="111" s="1"/>
  <c r="F131" i="141" s="1"/>
  <c r="BN440" i="110"/>
  <c r="F126" i="111" s="1"/>
  <c r="F126" i="141" s="1"/>
  <c r="BN420" i="110"/>
  <c r="F125" i="111" s="1"/>
  <c r="F125" i="141" s="1"/>
  <c r="BN380" i="110"/>
  <c r="F127" i="111" s="1"/>
  <c r="F127" i="141" s="1"/>
  <c r="BN360" i="110"/>
  <c r="F128" i="111" s="1"/>
  <c r="F128" i="141" s="1"/>
  <c r="BN418" i="110"/>
  <c r="BN338" i="110"/>
  <c r="BN398" i="110"/>
  <c r="BN358" i="110"/>
  <c r="BN438" i="110"/>
  <c r="BN378" i="110"/>
  <c r="AJ384" i="110"/>
  <c r="AJ387" i="110"/>
  <c r="AJ368" i="110"/>
  <c r="BN392" i="110"/>
  <c r="AJ364" i="110"/>
  <c r="AJ375" i="110"/>
  <c r="BN451" i="110"/>
  <c r="AJ356" i="110"/>
  <c r="AK400" i="110"/>
  <c r="F236" i="110"/>
  <c r="BN364" i="110"/>
  <c r="F128" i="112" s="1"/>
  <c r="F128" i="142" s="1"/>
  <c r="BN344" i="110"/>
  <c r="F131" i="112" s="1"/>
  <c r="F131" i="142" s="1"/>
  <c r="BN444" i="110"/>
  <c r="F126" i="112" s="1"/>
  <c r="F126" i="142" s="1"/>
  <c r="BN424" i="110"/>
  <c r="F125" i="112" s="1"/>
  <c r="BN384" i="110"/>
  <c r="F127" i="112" s="1"/>
  <c r="F127" i="142" s="1"/>
  <c r="BN404" i="110"/>
  <c r="F129" i="112" s="1"/>
  <c r="F129" i="142" s="1"/>
  <c r="AJ357" i="110"/>
  <c r="AJ338" i="110"/>
  <c r="F278" i="110" s="1"/>
  <c r="AJ393" i="110"/>
  <c r="AJ396" i="110"/>
  <c r="BN412" i="110"/>
  <c r="AJ391" i="110"/>
  <c r="AJ386" i="110"/>
  <c r="BN351" i="110"/>
  <c r="AJ419" i="110"/>
  <c r="BN422" i="110"/>
  <c r="BN362" i="110"/>
  <c r="BN382" i="110"/>
  <c r="BN342" i="110"/>
  <c r="BN442" i="110"/>
  <c r="BN402" i="110"/>
  <c r="AL382" i="110"/>
  <c r="K238" i="110"/>
  <c r="BQ393" i="110"/>
  <c r="BT368" i="110"/>
  <c r="AN407" i="110"/>
  <c r="J139" i="112" s="1"/>
  <c r="J139" i="142" s="1"/>
  <c r="AK317" i="110"/>
  <c r="D239" i="110"/>
  <c r="AI406" i="110"/>
  <c r="BL452" i="110"/>
  <c r="AP384" i="110"/>
  <c r="BQ349" i="110"/>
  <c r="BM453" i="110"/>
  <c r="AK410" i="110"/>
  <c r="BS449" i="110"/>
  <c r="AP412" i="110"/>
  <c r="L140" i="111" s="1"/>
  <c r="L140" i="141" s="1"/>
  <c r="BQ372" i="110"/>
  <c r="AP416" i="110"/>
  <c r="L140" i="112" s="1"/>
  <c r="L140" i="142" s="1"/>
  <c r="AN383" i="110"/>
  <c r="BT352" i="110"/>
  <c r="BS429" i="110"/>
  <c r="AM414" i="110"/>
  <c r="L239" i="110"/>
  <c r="AM424" i="110"/>
  <c r="AI403" i="110"/>
  <c r="E139" i="111" s="1"/>
  <c r="D237" i="110"/>
  <c r="AO374" i="110"/>
  <c r="BS428" i="110"/>
  <c r="AK416" i="110"/>
  <c r="G140" i="112" s="1"/>
  <c r="G140" i="142" s="1"/>
  <c r="BR433" i="110"/>
  <c r="AP402" i="110"/>
  <c r="BQ452" i="110"/>
  <c r="BQ391" i="110"/>
  <c r="AM402" i="110"/>
  <c r="BP393" i="110"/>
  <c r="AN413" i="110"/>
  <c r="AP387" i="110"/>
  <c r="AK415" i="110"/>
  <c r="BQ352" i="110"/>
  <c r="BT452" i="110"/>
  <c r="BL348" i="110"/>
  <c r="AI361" i="110"/>
  <c r="K243" i="110"/>
  <c r="D243" i="110"/>
  <c r="AI419" i="110"/>
  <c r="BT431" i="110"/>
  <c r="AM366" i="110"/>
  <c r="BR391" i="110"/>
  <c r="I139" i="111"/>
  <c r="I139" i="141" s="1"/>
  <c r="L241" i="110"/>
  <c r="BP373" i="110"/>
  <c r="BL367" i="110"/>
  <c r="BM431" i="110"/>
  <c r="BT393" i="110"/>
  <c r="BT433" i="110"/>
  <c r="AH400" i="110"/>
  <c r="AM409" i="110"/>
  <c r="BM411" i="110"/>
  <c r="AH386" i="110"/>
  <c r="BM369" i="110"/>
  <c r="BS389" i="110"/>
  <c r="BT373" i="110"/>
  <c r="AO375" i="110"/>
  <c r="I243" i="110"/>
  <c r="I237" i="110"/>
  <c r="D238" i="110"/>
  <c r="BQ407" i="110"/>
  <c r="AH383" i="110"/>
  <c r="BP349" i="110"/>
  <c r="I238" i="110"/>
  <c r="BM349" i="110"/>
  <c r="AO357" i="110"/>
  <c r="AP388" i="110"/>
  <c r="BL407" i="110"/>
  <c r="BQ347" i="110"/>
  <c r="K242" i="110"/>
  <c r="AK319" i="110"/>
  <c r="AL386" i="110"/>
  <c r="BR349" i="110"/>
  <c r="AM339" i="110"/>
  <c r="I279" i="110" s="1"/>
  <c r="BQ369" i="110"/>
  <c r="AO386" i="110"/>
  <c r="BQ348" i="110"/>
  <c r="BR351" i="110"/>
  <c r="BR432" i="110"/>
  <c r="BQ368" i="110"/>
  <c r="AM393" i="110"/>
  <c r="AI359" i="110"/>
  <c r="BQ388" i="110"/>
  <c r="AM357" i="110"/>
  <c r="AO388" i="110"/>
  <c r="BQ408" i="110"/>
  <c r="AK321" i="110"/>
  <c r="AI422" i="110"/>
  <c r="BQ428" i="110"/>
  <c r="I268" i="110"/>
  <c r="BP371" i="110"/>
  <c r="BM448" i="110"/>
  <c r="AM420" i="110"/>
  <c r="AM348" i="110"/>
  <c r="BQ409" i="110"/>
  <c r="BR431" i="110"/>
  <c r="AO366" i="110"/>
  <c r="AO396" i="110"/>
  <c r="BR451" i="110"/>
  <c r="BQ389" i="110"/>
  <c r="BR411" i="110"/>
  <c r="AL359" i="110"/>
  <c r="AI378" i="110"/>
  <c r="BQ429" i="110"/>
  <c r="H270" i="110"/>
  <c r="D270" i="110"/>
  <c r="AI356" i="110"/>
  <c r="AM375" i="110"/>
  <c r="AM384" i="110"/>
  <c r="BP452" i="110"/>
  <c r="AL423" i="110"/>
  <c r="AH392" i="110"/>
  <c r="AN423" i="110"/>
  <c r="AN422" i="110"/>
  <c r="BM347" i="110"/>
  <c r="AO359" i="110"/>
  <c r="BQ449" i="110"/>
  <c r="AM396" i="110"/>
  <c r="BR371" i="110"/>
  <c r="AH382" i="110"/>
  <c r="AL347" i="110"/>
  <c r="AN379" i="110"/>
  <c r="AH420" i="110"/>
  <c r="BL409" i="110"/>
  <c r="BL369" i="110"/>
  <c r="AL388" i="110"/>
  <c r="AO378" i="110"/>
  <c r="AM392" i="110"/>
  <c r="AM419" i="110"/>
  <c r="AM347" i="110"/>
  <c r="AH418" i="110"/>
  <c r="G271" i="110"/>
  <c r="BQ387" i="110"/>
  <c r="AN359" i="110"/>
  <c r="AN418" i="110"/>
  <c r="AL424" i="110"/>
  <c r="AH415" i="110"/>
  <c r="BP353" i="110"/>
  <c r="AM356" i="110"/>
  <c r="AO369" i="110"/>
  <c r="BM391" i="110"/>
  <c r="BP351" i="110"/>
  <c r="AN411" i="110"/>
  <c r="BQ427" i="110"/>
  <c r="AN386" i="110"/>
  <c r="AM383" i="110"/>
  <c r="BP433" i="110"/>
  <c r="BR369" i="110"/>
  <c r="AH391" i="110"/>
  <c r="BM387" i="110"/>
  <c r="K241" i="110"/>
  <c r="AN402" i="110"/>
  <c r="AH395" i="110"/>
  <c r="BL371" i="110"/>
  <c r="AI384" i="110"/>
  <c r="AM365" i="110"/>
  <c r="AL396" i="110"/>
  <c r="BL451" i="110"/>
  <c r="AO339" i="110"/>
  <c r="K279" i="110" s="1"/>
  <c r="AP382" i="110"/>
  <c r="AP391" i="110"/>
  <c r="AN396" i="110"/>
  <c r="AN369" i="110"/>
  <c r="BL431" i="110"/>
  <c r="AH403" i="110"/>
  <c r="D139" i="111" s="1"/>
  <c r="D139" i="141" s="1"/>
  <c r="AH412" i="110"/>
  <c r="D140" i="111" s="1"/>
  <c r="D140" i="141" s="1"/>
  <c r="BQ367" i="110"/>
  <c r="J270" i="110"/>
  <c r="AN387" i="110"/>
  <c r="AM361" i="110"/>
  <c r="AK323" i="110"/>
  <c r="L236" i="110"/>
  <c r="AP397" i="110"/>
  <c r="I236" i="110"/>
  <c r="AH373" i="110"/>
  <c r="BT367" i="110"/>
  <c r="AM337" i="110"/>
  <c r="I277" i="110" s="1"/>
  <c r="AL418" i="110"/>
  <c r="AK322" i="110"/>
  <c r="AN351" i="110"/>
  <c r="BM409" i="110"/>
  <c r="AL407" i="110"/>
  <c r="H139" i="112" s="1"/>
  <c r="H139" i="142" s="1"/>
  <c r="L243" i="110"/>
  <c r="BP453" i="110"/>
  <c r="K239" i="110"/>
  <c r="AK318" i="110"/>
  <c r="L242" i="110"/>
  <c r="D240" i="110"/>
  <c r="K240" i="110"/>
  <c r="H267" i="110"/>
  <c r="BT391" i="110"/>
  <c r="AH374" i="110"/>
  <c r="BR344" i="110"/>
  <c r="J131" i="112" s="1"/>
  <c r="J131" i="142" s="1"/>
  <c r="BR407" i="110"/>
  <c r="BR367" i="110"/>
  <c r="BR347" i="110"/>
  <c r="BS373" i="110"/>
  <c r="AO424" i="110"/>
  <c r="BS453" i="110"/>
  <c r="AL401" i="110"/>
  <c r="AL410" i="110"/>
  <c r="BP348" i="110"/>
  <c r="AO343" i="110"/>
  <c r="K283" i="110" s="1"/>
  <c r="AH338" i="110"/>
  <c r="D278" i="110" s="1"/>
  <c r="AH411" i="110"/>
  <c r="AH402" i="110"/>
  <c r="BL389" i="110"/>
  <c r="BP347" i="110"/>
  <c r="BT447" i="110"/>
  <c r="AP418" i="110"/>
  <c r="BL429" i="110"/>
  <c r="AH346" i="110"/>
  <c r="BR373" i="110"/>
  <c r="BM389" i="110"/>
  <c r="BL449" i="110"/>
  <c r="AI348" i="110"/>
  <c r="AN403" i="110"/>
  <c r="J139" i="111" s="1"/>
  <c r="J139" i="141" s="1"/>
  <c r="AL411" i="110"/>
  <c r="BM429" i="110"/>
  <c r="AM379" i="110"/>
  <c r="AL357" i="110"/>
  <c r="AO377" i="110"/>
  <c r="AO422" i="110"/>
  <c r="BS351" i="110"/>
  <c r="BL388" i="110"/>
  <c r="AH419" i="110"/>
  <c r="BL448" i="110"/>
  <c r="BP407" i="110"/>
  <c r="AN342" i="110"/>
  <c r="J282" i="110" s="1"/>
  <c r="BR352" i="110"/>
  <c r="BR412" i="110"/>
  <c r="BR452" i="110"/>
  <c r="AN378" i="110"/>
  <c r="BL428" i="110"/>
  <c r="AH410" i="110"/>
  <c r="AH339" i="110"/>
  <c r="D279" i="110" s="1"/>
  <c r="BL368" i="110"/>
  <c r="AH356" i="110"/>
  <c r="AH347" i="110"/>
  <c r="AO352" i="110"/>
  <c r="BP367" i="110"/>
  <c r="AL420" i="110"/>
  <c r="BR372" i="110"/>
  <c r="BL408" i="110"/>
  <c r="BL349" i="110"/>
  <c r="BR392" i="110"/>
  <c r="AH365" i="110"/>
  <c r="AO350" i="110"/>
  <c r="AL364" i="110"/>
  <c r="AI413" i="110"/>
  <c r="AI404" i="110"/>
  <c r="BP413" i="110"/>
  <c r="AO370" i="110"/>
  <c r="BR387" i="110"/>
  <c r="BM371" i="110"/>
  <c r="AI368" i="110"/>
  <c r="E237" i="110"/>
  <c r="E243" i="110"/>
  <c r="AI364" i="110"/>
  <c r="E239" i="110"/>
  <c r="J236" i="110"/>
  <c r="J238" i="110"/>
  <c r="J243" i="110"/>
  <c r="J237" i="110"/>
  <c r="AN346" i="110"/>
  <c r="J241" i="110"/>
  <c r="AL352" i="110"/>
  <c r="BR428" i="110"/>
  <c r="AN374" i="110"/>
  <c r="H243" i="110"/>
  <c r="H236" i="110"/>
  <c r="H238" i="110"/>
  <c r="H239" i="110"/>
  <c r="G237" i="110"/>
  <c r="G241" i="110"/>
  <c r="AN368" i="110"/>
  <c r="AP365" i="110"/>
  <c r="G227" i="110"/>
  <c r="G228" i="110"/>
  <c r="G229" i="110"/>
  <c r="G230" i="110"/>
  <c r="G231" i="110"/>
  <c r="G232" i="110"/>
  <c r="G233" i="110"/>
  <c r="G234" i="110"/>
  <c r="AO402" i="110"/>
  <c r="AO411" i="110"/>
  <c r="AO410" i="110"/>
  <c r="AO401" i="110"/>
  <c r="AL415" i="110"/>
  <c r="AL406" i="110"/>
  <c r="AI343" i="110"/>
  <c r="BM373" i="110"/>
  <c r="BM439" i="110"/>
  <c r="BM399" i="110"/>
  <c r="BM379" i="110"/>
  <c r="BM359" i="110"/>
  <c r="BM419" i="110"/>
  <c r="BM339" i="110"/>
  <c r="AI366" i="110"/>
  <c r="AI393" i="110"/>
  <c r="AH360" i="110"/>
  <c r="BL372" i="110"/>
  <c r="BL352" i="110"/>
  <c r="AI346" i="110"/>
  <c r="BM367" i="110"/>
  <c r="BM447" i="110"/>
  <c r="D241" i="110"/>
  <c r="BM423" i="110"/>
  <c r="BM403" i="110"/>
  <c r="BM443" i="110"/>
  <c r="BM383" i="110"/>
  <c r="BM363" i="110"/>
  <c r="BM343" i="110"/>
  <c r="AI388" i="110"/>
  <c r="AI352" i="110"/>
  <c r="BL433" i="110"/>
  <c r="BL353" i="110"/>
  <c r="BL393" i="110"/>
  <c r="BL373" i="110"/>
  <c r="BP339" i="110"/>
  <c r="BP399" i="110"/>
  <c r="BP439" i="110"/>
  <c r="H268" i="110"/>
  <c r="BP379" i="110"/>
  <c r="BP359" i="110"/>
  <c r="BP419" i="110"/>
  <c r="AL339" i="110"/>
  <c r="H279" i="110" s="1"/>
  <c r="AL375" i="110"/>
  <c r="AL366" i="110"/>
  <c r="AL348" i="110"/>
  <c r="BM407" i="110"/>
  <c r="BR447" i="110"/>
  <c r="BR397" i="110"/>
  <c r="BR417" i="110"/>
  <c r="BR377" i="110"/>
  <c r="BR437" i="110"/>
  <c r="BR357" i="110"/>
  <c r="BR337" i="110"/>
  <c r="AN382" i="110"/>
  <c r="AN401" i="110"/>
  <c r="AN410" i="110"/>
  <c r="BT448" i="110"/>
  <c r="BT408" i="110"/>
  <c r="BT348" i="110"/>
  <c r="AI420" i="110"/>
  <c r="AL374" i="110"/>
  <c r="BP448" i="110"/>
  <c r="BS378" i="110"/>
  <c r="BS418" i="110"/>
  <c r="BS338" i="110"/>
  <c r="BS438" i="110"/>
  <c r="BS398" i="110"/>
  <c r="K267" i="110"/>
  <c r="BS358" i="110"/>
  <c r="AO383" i="110"/>
  <c r="AO356" i="110"/>
  <c r="AL403" i="110"/>
  <c r="H139" i="111" s="1"/>
  <c r="H139" i="141" s="1"/>
  <c r="AL412" i="110"/>
  <c r="H140" i="111" s="1"/>
  <c r="H140" i="141" s="1"/>
  <c r="AL368" i="110"/>
  <c r="AL395" i="110"/>
  <c r="BP411" i="110"/>
  <c r="AP415" i="110"/>
  <c r="AP406" i="110"/>
  <c r="AO403" i="110"/>
  <c r="K139" i="111" s="1"/>
  <c r="K139" i="141" s="1"/>
  <c r="AO412" i="110"/>
  <c r="K140" i="111" s="1"/>
  <c r="K140" i="141" s="1"/>
  <c r="BP404" i="110"/>
  <c r="H129" i="112" s="1"/>
  <c r="H129" i="142" s="1"/>
  <c r="BP424" i="110"/>
  <c r="H125" i="112" s="1"/>
  <c r="H125" i="142" s="1"/>
  <c r="BP384" i="110"/>
  <c r="H127" i="112" s="1"/>
  <c r="H127" i="142" s="1"/>
  <c r="BP344" i="110"/>
  <c r="H131" i="112" s="1"/>
  <c r="H131" i="142" s="1"/>
  <c r="BP364" i="110"/>
  <c r="H128" i="112" s="1"/>
  <c r="H128" i="142" s="1"/>
  <c r="BP444" i="110"/>
  <c r="H126" i="112" s="1"/>
  <c r="H126" i="142" s="1"/>
  <c r="AK404" i="110"/>
  <c r="AK413" i="110"/>
  <c r="BS427" i="110"/>
  <c r="BS407" i="110"/>
  <c r="BS367" i="110"/>
  <c r="BM357" i="110"/>
  <c r="BM337" i="110"/>
  <c r="BM437" i="110"/>
  <c r="BM417" i="110"/>
  <c r="BM397" i="110"/>
  <c r="BM377" i="110"/>
  <c r="AP404" i="110"/>
  <c r="AP413" i="110"/>
  <c r="AP422" i="110"/>
  <c r="BO443" i="110"/>
  <c r="BM353" i="110"/>
  <c r="AN391" i="110"/>
  <c r="AN373" i="110"/>
  <c r="BQ337" i="110"/>
  <c r="BQ357" i="110"/>
  <c r="BQ377" i="110"/>
  <c r="BQ417" i="110"/>
  <c r="BQ437" i="110"/>
  <c r="BQ397" i="110"/>
  <c r="AM364" i="110"/>
  <c r="AM373" i="110"/>
  <c r="AM346" i="110"/>
  <c r="I266" i="110"/>
  <c r="BL444" i="110"/>
  <c r="D126" i="112" s="1"/>
  <c r="D126" i="142" s="1"/>
  <c r="BL364" i="110"/>
  <c r="D128" i="112" s="1"/>
  <c r="D128" i="142" s="1"/>
  <c r="BL344" i="110"/>
  <c r="D131" i="112" s="1"/>
  <c r="D131" i="142" s="1"/>
  <c r="BL424" i="110"/>
  <c r="D125" i="112" s="1"/>
  <c r="D125" i="142" s="1"/>
  <c r="BL404" i="110"/>
  <c r="D129" i="112" s="1"/>
  <c r="D129" i="142" s="1"/>
  <c r="BL384" i="110"/>
  <c r="D127" i="112" s="1"/>
  <c r="AM386" i="110"/>
  <c r="AM395" i="110"/>
  <c r="BQ431" i="110"/>
  <c r="AM422" i="110"/>
  <c r="BR439" i="110"/>
  <c r="BR399" i="110"/>
  <c r="BR359" i="110"/>
  <c r="BR339" i="110"/>
  <c r="BR419" i="110"/>
  <c r="BR379" i="110"/>
  <c r="J268" i="110"/>
  <c r="AN384" i="110"/>
  <c r="AN375" i="110"/>
  <c r="AO360" i="110"/>
  <c r="AO351" i="110"/>
  <c r="BO441" i="110"/>
  <c r="BT389" i="110"/>
  <c r="BT369" i="110"/>
  <c r="BT409" i="110"/>
  <c r="BM393" i="110"/>
  <c r="E268" i="110"/>
  <c r="BQ411" i="110"/>
  <c r="AN337" i="110"/>
  <c r="J277" i="110" s="1"/>
  <c r="BT371" i="110"/>
  <c r="AL350" i="110"/>
  <c r="BR388" i="110"/>
  <c r="BP428" i="110"/>
  <c r="AM350" i="110"/>
  <c r="BS387" i="110"/>
  <c r="AO382" i="110"/>
  <c r="AH396" i="110"/>
  <c r="BL453" i="110"/>
  <c r="AO414" i="110"/>
  <c r="AO405" i="110"/>
  <c r="AI338" i="110"/>
  <c r="E278" i="110" s="1"/>
  <c r="BM428" i="110"/>
  <c r="BQ442" i="110"/>
  <c r="BQ422" i="110"/>
  <c r="BQ402" i="110"/>
  <c r="BQ362" i="110"/>
  <c r="BQ342" i="110"/>
  <c r="BQ382" i="110"/>
  <c r="AM360" i="110"/>
  <c r="I239" i="110"/>
  <c r="AM416" i="110"/>
  <c r="I140" i="112" s="1"/>
  <c r="I140" i="142" s="1"/>
  <c r="AM407" i="110"/>
  <c r="I139" i="112" s="1"/>
  <c r="I139" i="142" s="1"/>
  <c r="J272" i="110"/>
  <c r="BR393" i="110"/>
  <c r="AN343" i="110"/>
  <c r="J283" i="110" s="1"/>
  <c r="AN370" i="110"/>
  <c r="BS339" i="110"/>
  <c r="BS399" i="110"/>
  <c r="K268" i="110"/>
  <c r="BS359" i="110"/>
  <c r="BS419" i="110"/>
  <c r="BS379" i="110"/>
  <c r="BS439" i="110"/>
  <c r="AO420" i="110"/>
  <c r="BS363" i="110"/>
  <c r="BS443" i="110"/>
  <c r="BS403" i="110"/>
  <c r="BS383" i="110"/>
  <c r="BS343" i="110"/>
  <c r="BS423" i="110"/>
  <c r="AO397" i="110"/>
  <c r="AO379" i="110"/>
  <c r="AI414" i="110"/>
  <c r="AI405" i="110"/>
  <c r="E236" i="110"/>
  <c r="AM351" i="110"/>
  <c r="AL387" i="110"/>
  <c r="BP372" i="110"/>
  <c r="AP405" i="110"/>
  <c r="AP414" i="110"/>
  <c r="AP423" i="110"/>
  <c r="AH405" i="110"/>
  <c r="AH414" i="110"/>
  <c r="AH413" i="110"/>
  <c r="AH404" i="110"/>
  <c r="G239" i="110"/>
  <c r="BO398" i="110"/>
  <c r="BO438" i="110"/>
  <c r="BO338" i="110"/>
  <c r="BO358" i="110"/>
  <c r="BO418" i="110"/>
  <c r="BO378" i="110"/>
  <c r="BS408" i="110"/>
  <c r="BS448" i="110"/>
  <c r="BS388" i="110"/>
  <c r="BS368" i="110"/>
  <c r="BT438" i="110"/>
  <c r="BT338" i="110"/>
  <c r="BT418" i="110"/>
  <c r="BT398" i="110"/>
  <c r="BT358" i="110"/>
  <c r="BT378" i="110"/>
  <c r="AP338" i="110"/>
  <c r="L278" i="110" s="1"/>
  <c r="AP374" i="110"/>
  <c r="L267" i="110"/>
  <c r="BT439" i="110"/>
  <c r="AP393" i="110"/>
  <c r="L268" i="110"/>
  <c r="AP420" i="110"/>
  <c r="BT451" i="110"/>
  <c r="AI424" i="110"/>
  <c r="BM413" i="110"/>
  <c r="AI391" i="110"/>
  <c r="BQ392" i="110"/>
  <c r="BM427" i="110"/>
  <c r="BM368" i="110"/>
  <c r="AI337" i="110"/>
  <c r="E277" i="110" s="1"/>
  <c r="AI360" i="110"/>
  <c r="AN338" i="110"/>
  <c r="J278" i="110" s="1"/>
  <c r="AL360" i="110"/>
  <c r="AN347" i="110"/>
  <c r="AI373" i="110"/>
  <c r="AL369" i="110"/>
  <c r="AN356" i="110"/>
  <c r="AL351" i="110"/>
  <c r="AO384" i="110"/>
  <c r="AN355" i="110"/>
  <c r="BS352" i="110"/>
  <c r="AO423" i="110"/>
  <c r="BR353" i="110"/>
  <c r="AP395" i="110"/>
  <c r="BP352" i="110"/>
  <c r="AM355" i="110"/>
  <c r="AN357" i="110"/>
  <c r="AO342" i="110"/>
  <c r="K282" i="110" s="1"/>
  <c r="AO365" i="110"/>
  <c r="AO419" i="110"/>
  <c r="AO347" i="110"/>
  <c r="BT413" i="110"/>
  <c r="AI379" i="110"/>
  <c r="BT388" i="110"/>
  <c r="BT428" i="110"/>
  <c r="AN419" i="110"/>
  <c r="AN388" i="110"/>
  <c r="AO355" i="110"/>
  <c r="AH369" i="110"/>
  <c r="BT412" i="110"/>
  <c r="BP388" i="110"/>
  <c r="BT429" i="110"/>
  <c r="AI369" i="110"/>
  <c r="BM412" i="110"/>
  <c r="AL404" i="110"/>
  <c r="AL413" i="110"/>
  <c r="AL422" i="110"/>
  <c r="BQ443" i="110"/>
  <c r="BQ423" i="110"/>
  <c r="BQ403" i="110"/>
  <c r="BQ383" i="110"/>
  <c r="BQ343" i="110"/>
  <c r="BQ363" i="110"/>
  <c r="I272" i="110"/>
  <c r="BQ360" i="110"/>
  <c r="I128" i="111" s="1"/>
  <c r="I128" i="141" s="1"/>
  <c r="BQ380" i="110"/>
  <c r="I127" i="111" s="1"/>
  <c r="I127" i="141" s="1"/>
  <c r="BQ400" i="110"/>
  <c r="I129" i="111" s="1"/>
  <c r="I129" i="141" s="1"/>
  <c r="BQ440" i="110"/>
  <c r="I126" i="111" s="1"/>
  <c r="I126" i="141" s="1"/>
  <c r="BQ340" i="110"/>
  <c r="I131" i="111" s="1"/>
  <c r="I131" i="141" s="1"/>
  <c r="BQ420" i="110"/>
  <c r="I125" i="111" s="1"/>
  <c r="I125" i="141" s="1"/>
  <c r="BL383" i="110"/>
  <c r="BL403" i="110"/>
  <c r="BL363" i="110"/>
  <c r="BL343" i="110"/>
  <c r="BL443" i="110"/>
  <c r="BL423" i="110"/>
  <c r="D272" i="110"/>
  <c r="AH424" i="110"/>
  <c r="AH388" i="110"/>
  <c r="AH361" i="110"/>
  <c r="AH343" i="110"/>
  <c r="D283" i="110" s="1"/>
  <c r="AH379" i="110"/>
  <c r="BL400" i="110"/>
  <c r="D129" i="111" s="1"/>
  <c r="D129" i="141" s="1"/>
  <c r="BL360" i="110"/>
  <c r="D128" i="111" s="1"/>
  <c r="D128" i="141" s="1"/>
  <c r="BL440" i="110"/>
  <c r="D126" i="111" s="1"/>
  <c r="D126" i="141" s="1"/>
  <c r="BL380" i="110"/>
  <c r="D127" i="111" s="1"/>
  <c r="D127" i="141" s="1"/>
  <c r="BS364" i="110"/>
  <c r="K128" i="112" s="1"/>
  <c r="BS444" i="110"/>
  <c r="K126" i="112" s="1"/>
  <c r="K126" i="142" s="1"/>
  <c r="BS424" i="110"/>
  <c r="K125" i="112" s="1"/>
  <c r="K125" i="142" s="1"/>
  <c r="BS404" i="110"/>
  <c r="K129" i="112" s="1"/>
  <c r="K129" i="142" s="1"/>
  <c r="BS344" i="110"/>
  <c r="K131" i="112" s="1"/>
  <c r="K131" i="142" s="1"/>
  <c r="BS384" i="110"/>
  <c r="K127" i="112" s="1"/>
  <c r="K127" i="142" s="1"/>
  <c r="BM338" i="110"/>
  <c r="BM418" i="110"/>
  <c r="BM358" i="110"/>
  <c r="BM378" i="110"/>
  <c r="BM438" i="110"/>
  <c r="BM398" i="110"/>
  <c r="AI365" i="110"/>
  <c r="AM352" i="110"/>
  <c r="BQ413" i="110"/>
  <c r="J239" i="110"/>
  <c r="AL384" i="110"/>
  <c r="BP389" i="110"/>
  <c r="AL405" i="110"/>
  <c r="AL414" i="110"/>
  <c r="BL447" i="110"/>
  <c r="BL387" i="110"/>
  <c r="H240" i="110"/>
  <c r="BP337" i="110"/>
  <c r="BP357" i="110"/>
  <c r="BP437" i="110"/>
  <c r="BP377" i="110"/>
  <c r="BP417" i="110"/>
  <c r="BP397" i="110"/>
  <c r="H266" i="110"/>
  <c r="G240" i="110"/>
  <c r="G236" i="110"/>
  <c r="BS431" i="110"/>
  <c r="BS371" i="110"/>
  <c r="BS451" i="110"/>
  <c r="BT441" i="110"/>
  <c r="AP386" i="110"/>
  <c r="L270" i="110"/>
  <c r="BT437" i="110"/>
  <c r="AO416" i="110"/>
  <c r="K140" i="112" s="1"/>
  <c r="K140" i="142" s="1"/>
  <c r="AO407" i="110"/>
  <c r="K139" i="112" s="1"/>
  <c r="K139" i="142" s="1"/>
  <c r="AM415" i="110"/>
  <c r="AM406" i="110"/>
  <c r="AI342" i="110"/>
  <c r="E282" i="110" s="1"/>
  <c r="AI347" i="110"/>
  <c r="AM369" i="110"/>
  <c r="BQ412" i="110"/>
  <c r="AI418" i="110"/>
  <c r="AI383" i="110"/>
  <c r="BM408" i="110"/>
  <c r="AM370" i="110"/>
  <c r="BQ453" i="110"/>
  <c r="BQ451" i="110"/>
  <c r="G272" i="110"/>
  <c r="AL342" i="110"/>
  <c r="H282" i="110" s="1"/>
  <c r="BT453" i="110"/>
  <c r="BS452" i="110"/>
  <c r="AN364" i="110"/>
  <c r="AH337" i="110"/>
  <c r="D277" i="110" s="1"/>
  <c r="AN341" i="110"/>
  <c r="J281" i="110" s="1"/>
  <c r="BT351" i="110"/>
  <c r="AL378" i="110"/>
  <c r="AL341" i="110"/>
  <c r="H281" i="110" s="1"/>
  <c r="AN393" i="110"/>
  <c r="AO338" i="110"/>
  <c r="K278" i="110" s="1"/>
  <c r="AO392" i="110"/>
  <c r="AN348" i="110"/>
  <c r="AL393" i="110"/>
  <c r="BP429" i="110"/>
  <c r="BP412" i="110"/>
  <c r="AI370" i="110"/>
  <c r="AP392" i="110"/>
  <c r="BR348" i="110"/>
  <c r="BR413" i="110"/>
  <c r="AO373" i="110"/>
  <c r="AO337" i="110"/>
  <c r="K277" i="110" s="1"/>
  <c r="BL432" i="110"/>
  <c r="BT392" i="110"/>
  <c r="AH370" i="110"/>
  <c r="AH397" i="110"/>
  <c r="AN366" i="110"/>
  <c r="BM451" i="110"/>
  <c r="I240" i="110"/>
  <c r="BL359" i="110"/>
  <c r="BL419" i="110"/>
  <c r="BL439" i="110"/>
  <c r="BL399" i="110"/>
  <c r="BL379" i="110"/>
  <c r="BL339" i="110"/>
  <c r="BL362" i="110"/>
  <c r="D271" i="110"/>
  <c r="BL442" i="110"/>
  <c r="BL382" i="110"/>
  <c r="BL342" i="110"/>
  <c r="BL422" i="110"/>
  <c r="BL402" i="110"/>
  <c r="AH351" i="110"/>
  <c r="AH378" i="110"/>
  <c r="AH342" i="110"/>
  <c r="D282" i="110" s="1"/>
  <c r="BR449" i="110"/>
  <c r="BR429" i="110"/>
  <c r="BS357" i="110"/>
  <c r="BS337" i="110"/>
  <c r="BS397" i="110"/>
  <c r="BS437" i="110"/>
  <c r="BS417" i="110"/>
  <c r="K266" i="110"/>
  <c r="BS377" i="110"/>
  <c r="AO346" i="110"/>
  <c r="AO364" i="110"/>
  <c r="BM404" i="110"/>
  <c r="E129" i="112" s="1"/>
  <c r="E129" i="142" s="1"/>
  <c r="BM364" i="110"/>
  <c r="E128" i="112" s="1"/>
  <c r="E128" i="142" s="1"/>
  <c r="BM344" i="110"/>
  <c r="E131" i="112" s="1"/>
  <c r="E131" i="142" s="1"/>
  <c r="BM384" i="110"/>
  <c r="E127" i="112" s="1"/>
  <c r="E127" i="142" s="1"/>
  <c r="BM444" i="110"/>
  <c r="E126" i="112" s="1"/>
  <c r="BM424" i="110"/>
  <c r="E125" i="112" s="1"/>
  <c r="E125" i="142" s="1"/>
  <c r="BM400" i="110"/>
  <c r="E129" i="111" s="1"/>
  <c r="E129" i="141" s="1"/>
  <c r="BM440" i="110"/>
  <c r="E126" i="111" s="1"/>
  <c r="E126" i="141" s="1"/>
  <c r="BM340" i="110"/>
  <c r="E131" i="111" s="1"/>
  <c r="E131" i="141" s="1"/>
  <c r="BM380" i="110"/>
  <c r="E127" i="111" s="1"/>
  <c r="E127" i="141" s="1"/>
  <c r="BM420" i="110"/>
  <c r="E125" i="111" s="1"/>
  <c r="E125" i="141" s="1"/>
  <c r="BM360" i="110"/>
  <c r="E128" i="111" s="1"/>
  <c r="E128" i="141" s="1"/>
  <c r="BR418" i="110"/>
  <c r="BR378" i="110"/>
  <c r="BR438" i="110"/>
  <c r="BR338" i="110"/>
  <c r="BR398" i="110"/>
  <c r="BR358" i="110"/>
  <c r="J267" i="110"/>
  <c r="BR444" i="110"/>
  <c r="J126" i="112" s="1"/>
  <c r="J126" i="142" s="1"/>
  <c r="BR384" i="110"/>
  <c r="J127" i="112" s="1"/>
  <c r="J127" i="142" s="1"/>
  <c r="BR424" i="110"/>
  <c r="J125" i="112" s="1"/>
  <c r="J125" i="142" s="1"/>
  <c r="BR364" i="110"/>
  <c r="J128" i="112" s="1"/>
  <c r="J128" i="142" s="1"/>
  <c r="BR404" i="110"/>
  <c r="J129" i="112" s="1"/>
  <c r="AP409" i="110"/>
  <c r="AP400" i="110"/>
  <c r="BT427" i="110"/>
  <c r="AL409" i="110"/>
  <c r="AL400" i="110"/>
  <c r="AN400" i="110"/>
  <c r="AN409" i="110"/>
  <c r="BP383" i="110"/>
  <c r="BP443" i="110"/>
  <c r="BP343" i="110"/>
  <c r="BP363" i="110"/>
  <c r="BP423" i="110"/>
  <c r="BP403" i="110"/>
  <c r="AL343" i="110"/>
  <c r="H283" i="110" s="1"/>
  <c r="BP438" i="110"/>
  <c r="BP418" i="110"/>
  <c r="BP358" i="110"/>
  <c r="BP338" i="110"/>
  <c r="BP378" i="110"/>
  <c r="BP398" i="110"/>
  <c r="AL419" i="110"/>
  <c r="AL383" i="110"/>
  <c r="BO442" i="110"/>
  <c r="BO357" i="110"/>
  <c r="BO377" i="110"/>
  <c r="BO437" i="110"/>
  <c r="BO337" i="110"/>
  <c r="BO417" i="110"/>
  <c r="BO397" i="110"/>
  <c r="AO409" i="110"/>
  <c r="AO400" i="110"/>
  <c r="BS412" i="110"/>
  <c r="BS392" i="110"/>
  <c r="BT404" i="110"/>
  <c r="L129" i="112" s="1"/>
  <c r="L129" i="142" s="1"/>
  <c r="BT364" i="110"/>
  <c r="L128" i="112" s="1"/>
  <c r="L128" i="142" s="1"/>
  <c r="BT444" i="110"/>
  <c r="L126" i="112" s="1"/>
  <c r="L126" i="142" s="1"/>
  <c r="BT424" i="110"/>
  <c r="L125" i="112" s="1"/>
  <c r="L125" i="142" s="1"/>
  <c r="BT384" i="110"/>
  <c r="L127" i="112" s="1"/>
  <c r="BT344" i="110"/>
  <c r="L131" i="112" s="1"/>
  <c r="L131" i="142" s="1"/>
  <c r="BT372" i="110"/>
  <c r="AI386" i="110"/>
  <c r="BM372" i="110"/>
  <c r="AM342" i="110"/>
  <c r="I282" i="110" s="1"/>
  <c r="AI374" i="110"/>
  <c r="E267" i="110"/>
  <c r="BQ373" i="110"/>
  <c r="BQ351" i="110"/>
  <c r="AM378" i="110"/>
  <c r="BP427" i="110"/>
  <c r="AN392" i="110"/>
  <c r="AL373" i="110"/>
  <c r="BT407" i="110"/>
  <c r="AL379" i="110"/>
  <c r="AL370" i="110"/>
  <c r="AH375" i="110"/>
  <c r="AI339" i="110"/>
  <c r="E279" i="110" s="1"/>
  <c r="AO348" i="110"/>
  <c r="J266" i="110"/>
  <c r="BS372" i="110"/>
  <c r="BS432" i="110"/>
  <c r="BL347" i="110"/>
  <c r="BP392" i="110"/>
  <c r="BR368" i="110"/>
  <c r="BP451" i="110"/>
  <c r="AM391" i="110"/>
  <c r="AO361" i="110"/>
  <c r="AL377" i="110"/>
  <c r="BP368" i="110"/>
  <c r="AN339" i="110"/>
  <c r="J279" i="110" s="1"/>
  <c r="AL392" i="110"/>
  <c r="AL365" i="110"/>
  <c r="BT349" i="110"/>
  <c r="BR409" i="110"/>
  <c r="BT449" i="110"/>
  <c r="AI397" i="110"/>
  <c r="AP383" i="110"/>
  <c r="BS347" i="110"/>
  <c r="BL392" i="110"/>
  <c r="AO395" i="110"/>
  <c r="AH352" i="110"/>
  <c r="BL412" i="110"/>
  <c r="G270" i="110"/>
  <c r="AI395" i="110"/>
  <c r="BM352" i="110"/>
  <c r="BM433" i="110"/>
  <c r="BQ432" i="110"/>
  <c r="AM343" i="110"/>
  <c r="I283" i="110" s="1"/>
  <c r="AI355" i="110"/>
  <c r="AI341" i="110"/>
  <c r="E281" i="110" s="1"/>
  <c r="BM452" i="110"/>
  <c r="BQ353" i="110"/>
  <c r="AI387" i="110"/>
  <c r="BQ371" i="110"/>
  <c r="AL337" i="110"/>
  <c r="H277" i="110" s="1"/>
  <c r="AL355" i="110"/>
  <c r="BP387" i="110"/>
  <c r="AN365" i="110"/>
  <c r="BP447" i="110"/>
  <c r="BT387" i="110"/>
  <c r="BT347" i="110"/>
  <c r="AH357" i="110"/>
  <c r="AH393" i="110"/>
  <c r="AL397" i="110"/>
  <c r="AO393" i="110"/>
  <c r="BT353" i="110"/>
  <c r="AO387" i="110"/>
  <c r="BR427" i="110"/>
  <c r="AN397" i="110"/>
  <c r="BP431" i="110"/>
  <c r="BP432" i="110"/>
  <c r="BP391" i="110"/>
  <c r="AL338" i="110"/>
  <c r="H278" i="110" s="1"/>
  <c r="BP449" i="110"/>
  <c r="AN377" i="110"/>
  <c r="AN420" i="110"/>
  <c r="AM359" i="110"/>
  <c r="AH368" i="110"/>
  <c r="AH350" i="110"/>
  <c r="E272" i="110"/>
  <c r="AH359" i="110"/>
  <c r="AO418" i="110"/>
  <c r="AH423" i="110"/>
  <c r="BS391" i="110"/>
  <c r="BT432" i="110"/>
  <c r="BL413" i="110"/>
  <c r="AI392" i="110"/>
  <c r="BM351" i="110"/>
  <c r="BM392" i="110"/>
  <c r="AM397" i="110"/>
  <c r="AM423" i="110"/>
  <c r="AI382" i="110"/>
  <c r="AI351" i="110"/>
  <c r="E266" i="110"/>
  <c r="BM388" i="110"/>
  <c r="AI396" i="110"/>
  <c r="AI377" i="110"/>
  <c r="AI350" i="110"/>
  <c r="AM418" i="110"/>
  <c r="AI423" i="110"/>
  <c r="AL346" i="110"/>
  <c r="AM387" i="110"/>
  <c r="AI375" i="110"/>
  <c r="AH348" i="110"/>
  <c r="AH384" i="110"/>
  <c r="AL361" i="110"/>
  <c r="H272" i="110"/>
  <c r="AP356" i="110"/>
  <c r="BR453" i="110"/>
  <c r="AN361" i="110"/>
  <c r="AN352" i="110"/>
  <c r="AN350" i="110"/>
  <c r="BT411" i="110"/>
  <c r="BR389" i="110"/>
  <c r="BP369" i="110"/>
  <c r="BS348" i="110"/>
  <c r="BP409" i="110"/>
  <c r="AL356" i="110"/>
  <c r="BP408" i="110"/>
  <c r="AM341" i="110"/>
  <c r="I281" i="110" s="1"/>
  <c r="AM377" i="110"/>
  <c r="AM368" i="110"/>
  <c r="BL351" i="110"/>
  <c r="AP347" i="110"/>
  <c r="BL411" i="110"/>
  <c r="AO391" i="110"/>
  <c r="BS447" i="110"/>
  <c r="BL427" i="110"/>
  <c r="AH387" i="110"/>
  <c r="BS411" i="110"/>
  <c r="AP396" i="110"/>
  <c r="AI357" i="110"/>
  <c r="I241" i="110"/>
  <c r="BQ338" i="110"/>
  <c r="BQ398" i="110"/>
  <c r="BQ418" i="110"/>
  <c r="BQ358" i="110"/>
  <c r="BQ378" i="110"/>
  <c r="BQ438" i="110"/>
  <c r="BL357" i="110"/>
  <c r="BL337" i="110"/>
  <c r="BL437" i="110"/>
  <c r="BL417" i="110"/>
  <c r="BL397" i="110"/>
  <c r="BL377" i="110"/>
  <c r="AN415" i="110"/>
  <c r="AN406" i="110"/>
  <c r="BR448" i="110"/>
  <c r="AP401" i="110"/>
  <c r="AP410" i="110"/>
  <c r="K236" i="110"/>
  <c r="BS421" i="110"/>
  <c r="K270" i="110"/>
  <c r="BS361" i="110"/>
  <c r="BS441" i="110"/>
  <c r="BS401" i="110"/>
  <c r="BS381" i="110"/>
  <c r="AO341" i="110"/>
  <c r="K281" i="110" s="1"/>
  <c r="BS341" i="110"/>
  <c r="E238" i="110"/>
  <c r="E240" i="110"/>
  <c r="AM382" i="110"/>
  <c r="BR382" i="110"/>
  <c r="BR342" i="110"/>
  <c r="J271" i="110"/>
  <c r="BR442" i="110"/>
  <c r="BR422" i="110"/>
  <c r="BR402" i="110"/>
  <c r="BR362" i="110"/>
  <c r="BR441" i="110"/>
  <c r="BR421" i="110"/>
  <c r="BR401" i="110"/>
  <c r="BR381" i="110"/>
  <c r="BR341" i="110"/>
  <c r="BR361" i="110"/>
  <c r="AO415" i="110"/>
  <c r="AO406" i="110"/>
  <c r="AI409" i="110"/>
  <c r="AI400" i="110"/>
  <c r="AO404" i="110"/>
  <c r="AO413" i="110"/>
  <c r="AH422" i="110"/>
  <c r="H242" i="110"/>
  <c r="BP402" i="110"/>
  <c r="BP342" i="110"/>
  <c r="BP442" i="110"/>
  <c r="BP422" i="110"/>
  <c r="BP382" i="110"/>
  <c r="BP362" i="110"/>
  <c r="G242" i="110"/>
  <c r="BO440" i="110"/>
  <c r="G126" i="111" s="1"/>
  <c r="G126" i="141" s="1"/>
  <c r="BO360" i="110"/>
  <c r="G128" i="111" s="1"/>
  <c r="G128" i="141" s="1"/>
  <c r="BO420" i="110"/>
  <c r="G125" i="111" s="1"/>
  <c r="G125" i="141" s="1"/>
  <c r="BO340" i="110"/>
  <c r="G131" i="111" s="1"/>
  <c r="G131" i="141" s="1"/>
  <c r="BO380" i="110"/>
  <c r="G127" i="111" s="1"/>
  <c r="G127" i="141" s="1"/>
  <c r="BO400" i="110"/>
  <c r="G129" i="111" s="1"/>
  <c r="G129" i="141" s="1"/>
  <c r="BT340" i="110"/>
  <c r="L131" i="111" s="1"/>
  <c r="L131" i="141" s="1"/>
  <c r="BT400" i="110"/>
  <c r="L129" i="111" s="1"/>
  <c r="L129" i="141" s="1"/>
  <c r="BT440" i="110"/>
  <c r="L126" i="111" s="1"/>
  <c r="L126" i="141" s="1"/>
  <c r="BT420" i="110"/>
  <c r="L125" i="111" s="1"/>
  <c r="L125" i="141" s="1"/>
  <c r="BT380" i="110"/>
  <c r="L127" i="111" s="1"/>
  <c r="L127" i="141" s="1"/>
  <c r="BT360" i="110"/>
  <c r="L128" i="111" s="1"/>
  <c r="L128" i="141" s="1"/>
  <c r="L240" i="110"/>
  <c r="AP424" i="110"/>
  <c r="AH355" i="110"/>
  <c r="BS393" i="110"/>
  <c r="BS353" i="110"/>
  <c r="AH341" i="110"/>
  <c r="D281" i="110" s="1"/>
  <c r="AH377" i="110"/>
  <c r="BQ439" i="110"/>
  <c r="BQ359" i="110"/>
  <c r="BQ399" i="110"/>
  <c r="BQ339" i="110"/>
  <c r="BQ379" i="110"/>
  <c r="BQ419" i="110"/>
  <c r="BQ441" i="110"/>
  <c r="BQ361" i="110"/>
  <c r="BQ341" i="110"/>
  <c r="BQ421" i="110"/>
  <c r="BQ401" i="110"/>
  <c r="BQ381" i="110"/>
  <c r="BL421" i="110"/>
  <c r="BL401" i="110"/>
  <c r="BL381" i="110"/>
  <c r="BL361" i="110"/>
  <c r="BL341" i="110"/>
  <c r="BL441" i="110"/>
  <c r="D267" i="110"/>
  <c r="BL338" i="110"/>
  <c r="BL438" i="110"/>
  <c r="BL398" i="110"/>
  <c r="BL378" i="110"/>
  <c r="BL358" i="110"/>
  <c r="BL418" i="110"/>
  <c r="BS442" i="110"/>
  <c r="BS422" i="110"/>
  <c r="BS402" i="110"/>
  <c r="BS382" i="110"/>
  <c r="BS362" i="110"/>
  <c r="BS342" i="110"/>
  <c r="BS400" i="110"/>
  <c r="K129" i="111" s="1"/>
  <c r="K129" i="141" s="1"/>
  <c r="BS380" i="110"/>
  <c r="K127" i="111" s="1"/>
  <c r="K127" i="141" s="1"/>
  <c r="BS440" i="110"/>
  <c r="K126" i="111" s="1"/>
  <c r="K126" i="141" s="1"/>
  <c r="BS420" i="110"/>
  <c r="K125" i="111" s="1"/>
  <c r="BS360" i="110"/>
  <c r="K128" i="111" s="1"/>
  <c r="K128" i="141" s="1"/>
  <c r="BS340" i="110"/>
  <c r="K131" i="111" s="1"/>
  <c r="K131" i="141" s="1"/>
  <c r="BM362" i="110"/>
  <c r="BM342" i="110"/>
  <c r="BM402" i="110"/>
  <c r="BM382" i="110"/>
  <c r="BM442" i="110"/>
  <c r="BM422" i="110"/>
  <c r="E241" i="110"/>
  <c r="AM374" i="110"/>
  <c r="AN405" i="110"/>
  <c r="AN414" i="110"/>
  <c r="J240" i="110"/>
  <c r="BR343" i="110"/>
  <c r="BR443" i="110"/>
  <c r="BR423" i="110"/>
  <c r="BR403" i="110"/>
  <c r="BR383" i="110"/>
  <c r="BR363" i="110"/>
  <c r="AH416" i="110"/>
  <c r="D140" i="112" s="1"/>
  <c r="D140" i="142" s="1"/>
  <c r="AH407" i="110"/>
  <c r="D139" i="112" s="1"/>
  <c r="D139" i="142" s="1"/>
  <c r="AK405" i="110"/>
  <c r="AK414" i="110"/>
  <c r="AI411" i="110"/>
  <c r="AI402" i="110"/>
  <c r="H241" i="110"/>
  <c r="BP440" i="110"/>
  <c r="H126" i="111" s="1"/>
  <c r="H126" i="141" s="1"/>
  <c r="BP380" i="110"/>
  <c r="H127" i="111" s="1"/>
  <c r="H127" i="141" s="1"/>
  <c r="BP420" i="110"/>
  <c r="H125" i="111" s="1"/>
  <c r="H125" i="141" s="1"/>
  <c r="BP400" i="110"/>
  <c r="H129" i="111" s="1"/>
  <c r="H129" i="141" s="1"/>
  <c r="BP360" i="110"/>
  <c r="H128" i="111" s="1"/>
  <c r="H128" i="141" s="1"/>
  <c r="BP340" i="110"/>
  <c r="H131" i="111" s="1"/>
  <c r="H131" i="141" s="1"/>
  <c r="BO399" i="110"/>
  <c r="BO419" i="110"/>
  <c r="BO379" i="110"/>
  <c r="BO339" i="110"/>
  <c r="BO359" i="110"/>
  <c r="BO439" i="110"/>
  <c r="G243" i="110"/>
  <c r="L237" i="110"/>
  <c r="L271" i="110"/>
  <c r="BT442" i="110"/>
  <c r="BQ447" i="110"/>
  <c r="I267" i="110"/>
  <c r="AM338" i="110"/>
  <c r="I278" i="110" s="1"/>
  <c r="BM449" i="110"/>
  <c r="BS409" i="110"/>
  <c r="BS369" i="110"/>
  <c r="BS349" i="110"/>
  <c r="AN395" i="110"/>
  <c r="AN424" i="110"/>
  <c r="BR408" i="110"/>
  <c r="BL391" i="110"/>
  <c r="AH364" i="110"/>
  <c r="AP419" i="110"/>
  <c r="AO368" i="110"/>
  <c r="I242" i="110"/>
  <c r="BQ364" i="110"/>
  <c r="I128" i="112" s="1"/>
  <c r="I128" i="142" s="1"/>
  <c r="BQ424" i="110"/>
  <c r="I125" i="112" s="1"/>
  <c r="I125" i="142" s="1"/>
  <c r="BQ404" i="110"/>
  <c r="I129" i="112" s="1"/>
  <c r="I129" i="142" s="1"/>
  <c r="BQ384" i="110"/>
  <c r="I127" i="112" s="1"/>
  <c r="I127" i="142" s="1"/>
  <c r="BQ344" i="110"/>
  <c r="I131" i="112" s="1"/>
  <c r="I131" i="142" s="1"/>
  <c r="BQ444" i="110"/>
  <c r="I126" i="112" s="1"/>
  <c r="I126" i="142" s="1"/>
  <c r="D242" i="110"/>
  <c r="D236" i="110"/>
  <c r="AK412" i="110"/>
  <c r="G140" i="111" s="1"/>
  <c r="G140" i="141" s="1"/>
  <c r="AK403" i="110"/>
  <c r="G139" i="111" s="1"/>
  <c r="G139" i="141" s="1"/>
  <c r="AN360" i="110"/>
  <c r="K237" i="110"/>
  <c r="BM441" i="110"/>
  <c r="BM421" i="110"/>
  <c r="BM361" i="110"/>
  <c r="BM341" i="110"/>
  <c r="BM381" i="110"/>
  <c r="BM401" i="110"/>
  <c r="E242" i="110"/>
  <c r="BR360" i="110"/>
  <c r="J128" i="111" s="1"/>
  <c r="J128" i="141" s="1"/>
  <c r="BR340" i="110"/>
  <c r="J131" i="111" s="1"/>
  <c r="J131" i="141" s="1"/>
  <c r="BR420" i="110"/>
  <c r="J125" i="111" s="1"/>
  <c r="J125" i="141" s="1"/>
  <c r="BR400" i="110"/>
  <c r="J129" i="111" s="1"/>
  <c r="J129" i="141" s="1"/>
  <c r="BR440" i="110"/>
  <c r="J126" i="111" s="1"/>
  <c r="J126" i="141" s="1"/>
  <c r="BR380" i="110"/>
  <c r="J127" i="111" s="1"/>
  <c r="J127" i="141" s="1"/>
  <c r="J242" i="110"/>
  <c r="J261" i="110" s="1"/>
  <c r="AL391" i="110"/>
  <c r="AH366" i="110"/>
  <c r="AI416" i="110"/>
  <c r="E140" i="112" s="1"/>
  <c r="E140" i="142" s="1"/>
  <c r="E139" i="112"/>
  <c r="E139" i="142" s="1"/>
  <c r="BP381" i="110"/>
  <c r="BP421" i="110"/>
  <c r="BP441" i="110"/>
  <c r="BP401" i="110"/>
  <c r="BP361" i="110"/>
  <c r="BP341" i="110"/>
  <c r="H237" i="110"/>
  <c r="G238" i="110"/>
  <c r="BO424" i="110"/>
  <c r="G125" i="112" s="1"/>
  <c r="BO404" i="110"/>
  <c r="G129" i="112" s="1"/>
  <c r="G129" i="142" s="1"/>
  <c r="BO444" i="110"/>
  <c r="G126" i="112" s="1"/>
  <c r="G126" i="142" s="1"/>
  <c r="BO344" i="110"/>
  <c r="G131" i="112" s="1"/>
  <c r="G131" i="142" s="1"/>
  <c r="BO384" i="110"/>
  <c r="G127" i="112" s="1"/>
  <c r="G127" i="142" s="1"/>
  <c r="BO364" i="110"/>
  <c r="G128" i="112" s="1"/>
  <c r="G128" i="142" s="1"/>
  <c r="BS413" i="110"/>
  <c r="L238" i="110"/>
  <c r="BT443" i="110"/>
  <c r="BO410" i="110" l="1"/>
  <c r="G148" i="111" s="1"/>
  <c r="G148" i="141" s="1"/>
  <c r="H258" i="110"/>
  <c r="D94" i="142"/>
  <c r="I258" i="110"/>
  <c r="G269" i="110"/>
  <c r="BV414" i="110"/>
  <c r="N148" i="112" s="1"/>
  <c r="N148" i="142" s="1"/>
  <c r="G258" i="110"/>
  <c r="I160" i="141" a="1"/>
  <c r="I160" i="141" s="1"/>
  <c r="I183" i="141" s="1"/>
  <c r="K132" i="111"/>
  <c r="K125" i="141"/>
  <c r="D125" i="141"/>
  <c r="D132" i="111"/>
  <c r="D132" i="141" s="1"/>
  <c r="E139" i="141"/>
  <c r="L37" i="141"/>
  <c r="I37" i="141"/>
  <c r="J37" i="141"/>
  <c r="H37" i="141"/>
  <c r="G37" i="141"/>
  <c r="E75" i="141"/>
  <c r="F273" i="110"/>
  <c r="H273" i="110"/>
  <c r="E269" i="110"/>
  <c r="E258" i="110"/>
  <c r="AI389" i="110"/>
  <c r="AP380" i="110"/>
  <c r="AP350" i="110"/>
  <c r="BM354" i="110"/>
  <c r="E150" i="112" s="1"/>
  <c r="E150" i="142" s="1"/>
  <c r="AU387" i="110"/>
  <c r="AS425" i="110"/>
  <c r="AO398" i="110"/>
  <c r="AM362" i="110"/>
  <c r="AJ353" i="110"/>
  <c r="AJ344" i="110"/>
  <c r="AQ368" i="110"/>
  <c r="BU347" i="110"/>
  <c r="AJ371" i="110"/>
  <c r="AU369" i="110"/>
  <c r="AU396" i="110"/>
  <c r="AO389" i="110"/>
  <c r="AL425" i="110"/>
  <c r="F132" i="112"/>
  <c r="F125" i="142"/>
  <c r="AJ425" i="110"/>
  <c r="AQ359" i="110"/>
  <c r="BY430" i="110"/>
  <c r="Q144" i="111" s="1"/>
  <c r="Q144" i="141" s="1"/>
  <c r="BU387" i="110"/>
  <c r="BU391" i="110"/>
  <c r="N132" i="112"/>
  <c r="N132" i="142" s="1"/>
  <c r="N125" i="142"/>
  <c r="I132" i="112"/>
  <c r="I132" i="142" s="1"/>
  <c r="I130" i="142"/>
  <c r="G132" i="112"/>
  <c r="G132" i="142" s="1"/>
  <c r="G125" i="142"/>
  <c r="L132" i="112"/>
  <c r="L132" i="142" s="1"/>
  <c r="L127" i="142"/>
  <c r="AI349" i="110"/>
  <c r="BU407" i="110"/>
  <c r="O132" i="112"/>
  <c r="O132" i="142" s="1"/>
  <c r="O125" i="142"/>
  <c r="P132" i="112"/>
  <c r="P132" i="142" s="1"/>
  <c r="P122" i="142"/>
  <c r="BQ374" i="110"/>
  <c r="I147" i="112" s="1"/>
  <c r="I147" i="142" s="1"/>
  <c r="J132" i="112"/>
  <c r="J132" i="142" s="1"/>
  <c r="J129" i="142"/>
  <c r="AL389" i="110"/>
  <c r="BM430" i="110"/>
  <c r="E144" i="111" s="1"/>
  <c r="E144" i="141" s="1"/>
  <c r="AJ398" i="110"/>
  <c r="AQ391" i="110"/>
  <c r="AU367" i="110"/>
  <c r="AI385" i="110"/>
  <c r="AL380" i="110"/>
  <c r="AM389" i="110"/>
  <c r="AQ373" i="110"/>
  <c r="AU421" i="110"/>
  <c r="Q132" i="112"/>
  <c r="Q132" i="142" s="1"/>
  <c r="Q130" i="142"/>
  <c r="AO344" i="110"/>
  <c r="AM371" i="110"/>
  <c r="K132" i="112"/>
  <c r="K132" i="142" s="1"/>
  <c r="K128" i="142"/>
  <c r="D132" i="112"/>
  <c r="D132" i="142" s="1"/>
  <c r="D127" i="142"/>
  <c r="BM410" i="110"/>
  <c r="E148" i="111" s="1"/>
  <c r="E148" i="141" s="1"/>
  <c r="BN394" i="110"/>
  <c r="F146" i="112" s="1"/>
  <c r="F146" i="142" s="1"/>
  <c r="M132" i="112"/>
  <c r="M132" i="142" s="1"/>
  <c r="M126" i="142"/>
  <c r="E132" i="112"/>
  <c r="E132" i="142" s="1"/>
  <c r="E126" i="142"/>
  <c r="AO362" i="110"/>
  <c r="BN374" i="110"/>
  <c r="F147" i="112" s="1"/>
  <c r="F147" i="142" s="1"/>
  <c r="AJ389" i="110"/>
  <c r="AJ380" i="110"/>
  <c r="BN354" i="110"/>
  <c r="F150" i="112" s="1"/>
  <c r="F150" i="142" s="1"/>
  <c r="AO425" i="110"/>
  <c r="AO380" i="110"/>
  <c r="BS414" i="110"/>
  <c r="K148" i="112" s="1"/>
  <c r="AJ362" i="110"/>
  <c r="BN454" i="110"/>
  <c r="F145" i="112" s="1"/>
  <c r="F145" i="142" s="1"/>
  <c r="H132" i="112"/>
  <c r="H132" i="142" s="1"/>
  <c r="H122" i="142"/>
  <c r="E75" i="142"/>
  <c r="K75" i="142"/>
  <c r="G75" i="142"/>
  <c r="F75" i="142"/>
  <c r="J75" i="142"/>
  <c r="H75" i="142"/>
  <c r="I75" i="142"/>
  <c r="D75" i="142"/>
  <c r="M75" i="142"/>
  <c r="O75" i="142"/>
  <c r="D75" i="141"/>
  <c r="N75" i="142"/>
  <c r="P75" i="142"/>
  <c r="Q75" i="142"/>
  <c r="L75" i="142"/>
  <c r="I75" i="141"/>
  <c r="M75" i="111"/>
  <c r="L75" i="111"/>
  <c r="Q75" i="141"/>
  <c r="H75" i="141"/>
  <c r="N75" i="141"/>
  <c r="P75" i="141"/>
  <c r="G75" i="141"/>
  <c r="O75" i="141"/>
  <c r="F75" i="141"/>
  <c r="K75" i="141"/>
  <c r="J75" i="141"/>
  <c r="AP344" i="110"/>
  <c r="AP368" i="110"/>
  <c r="BT374" i="110"/>
  <c r="L147" i="112" s="1"/>
  <c r="L147" i="142" s="1"/>
  <c r="BM374" i="110"/>
  <c r="E147" i="112" s="1"/>
  <c r="E147" i="142" s="1"/>
  <c r="F262" i="110"/>
  <c r="AI362" i="110"/>
  <c r="BO361" i="110"/>
  <c r="BL434" i="110"/>
  <c r="BL454" i="110"/>
  <c r="D145" i="112" s="1"/>
  <c r="D145" i="142" s="1"/>
  <c r="BO381" i="110"/>
  <c r="BO341" i="110"/>
  <c r="BO401" i="110"/>
  <c r="AK347" i="110"/>
  <c r="BO468" i="110"/>
  <c r="BO488" i="110"/>
  <c r="BO432" i="110"/>
  <c r="BO472" i="110"/>
  <c r="BO492" i="110"/>
  <c r="BO473" i="110"/>
  <c r="BO493" i="110"/>
  <c r="AK395" i="110"/>
  <c r="BO471" i="110"/>
  <c r="BO491" i="110"/>
  <c r="BO389" i="110"/>
  <c r="BO469" i="110"/>
  <c r="BO489" i="110"/>
  <c r="BO427" i="110"/>
  <c r="BO467" i="110"/>
  <c r="BO487" i="110"/>
  <c r="F144" i="112"/>
  <c r="F144" i="142" s="1"/>
  <c r="BU473" i="110"/>
  <c r="BU493" i="110"/>
  <c r="BU392" i="110"/>
  <c r="BU472" i="110"/>
  <c r="BU492" i="110"/>
  <c r="BV370" i="110"/>
  <c r="N147" i="111" s="1"/>
  <c r="N147" i="141" s="1"/>
  <c r="BV470" i="110"/>
  <c r="N141" i="111" s="1"/>
  <c r="N141" i="141" s="1"/>
  <c r="BV490" i="110"/>
  <c r="N149" i="111" s="1"/>
  <c r="N149" i="141" s="1"/>
  <c r="O273" i="110"/>
  <c r="BW494" i="110"/>
  <c r="O149" i="112" s="1"/>
  <c r="O149" i="142" s="1"/>
  <c r="BW474" i="110"/>
  <c r="O141" i="112" s="1"/>
  <c r="O141" i="142" s="1"/>
  <c r="Q273" i="110"/>
  <c r="BY494" i="110"/>
  <c r="Q149" i="112" s="1"/>
  <c r="Q149" i="142" s="1"/>
  <c r="BY474" i="110"/>
  <c r="Q141" i="112" s="1"/>
  <c r="Q141" i="142" s="1"/>
  <c r="BT470" i="110"/>
  <c r="L141" i="111" s="1"/>
  <c r="L141" i="141" s="1"/>
  <c r="BT490" i="110"/>
  <c r="L149" i="111" s="1"/>
  <c r="L149" i="141" s="1"/>
  <c r="AL349" i="110"/>
  <c r="BP470" i="110"/>
  <c r="H141" i="111" s="1"/>
  <c r="H141" i="141" s="1"/>
  <c r="BP490" i="110"/>
  <c r="H149" i="111" s="1"/>
  <c r="H149" i="141" s="1"/>
  <c r="BY372" i="110"/>
  <c r="BY472" i="110"/>
  <c r="BY492" i="110"/>
  <c r="BV387" i="110"/>
  <c r="BV467" i="110"/>
  <c r="BV487" i="110"/>
  <c r="M269" i="110"/>
  <c r="BU470" i="110"/>
  <c r="M141" i="111" s="1"/>
  <c r="M141" i="141" s="1"/>
  <c r="BU490" i="110"/>
  <c r="M149" i="111" s="1"/>
  <c r="M149" i="141" s="1"/>
  <c r="AI380" i="110"/>
  <c r="BM494" i="110"/>
  <c r="E149" i="112" s="1"/>
  <c r="E149" i="142" s="1"/>
  <c r="BM474" i="110"/>
  <c r="E141" i="112" s="1"/>
  <c r="E141" i="142" s="1"/>
  <c r="BS354" i="110"/>
  <c r="K150" i="112" s="1"/>
  <c r="K150" i="142" s="1"/>
  <c r="BS494" i="110"/>
  <c r="K149" i="112" s="1"/>
  <c r="K149" i="142" s="1"/>
  <c r="BS474" i="110"/>
  <c r="K141" i="112" s="1"/>
  <c r="K141" i="142" s="1"/>
  <c r="M273" i="110"/>
  <c r="BU494" i="110"/>
  <c r="M149" i="112" s="1"/>
  <c r="M149" i="142" s="1"/>
  <c r="BU474" i="110"/>
  <c r="M141" i="112" s="1"/>
  <c r="M141" i="142" s="1"/>
  <c r="O269" i="110"/>
  <c r="BW470" i="110"/>
  <c r="O141" i="111" s="1"/>
  <c r="O141" i="141" s="1"/>
  <c r="BW490" i="110"/>
  <c r="O149" i="111" s="1"/>
  <c r="O149" i="141" s="1"/>
  <c r="AH340" i="110"/>
  <c r="BL470" i="110"/>
  <c r="D141" i="111" s="1"/>
  <c r="D141" i="141" s="1"/>
  <c r="BL490" i="110"/>
  <c r="D149" i="111" s="1"/>
  <c r="D149" i="141" s="1"/>
  <c r="BL394" i="110"/>
  <c r="D146" i="112" s="1"/>
  <c r="D146" i="142" s="1"/>
  <c r="BL494" i="110"/>
  <c r="D149" i="112" s="1"/>
  <c r="D149" i="142" s="1"/>
  <c r="BL474" i="110"/>
  <c r="D141" i="112" s="1"/>
  <c r="D141" i="142" s="1"/>
  <c r="AK362" i="110"/>
  <c r="BO494" i="110"/>
  <c r="G149" i="112" s="1"/>
  <c r="G149" i="142" s="1"/>
  <c r="BO474" i="110"/>
  <c r="G141" i="112" s="1"/>
  <c r="G141" i="142" s="1"/>
  <c r="BP454" i="110"/>
  <c r="H145" i="112" s="1"/>
  <c r="H145" i="142" s="1"/>
  <c r="BP494" i="110"/>
  <c r="H149" i="112" s="1"/>
  <c r="H149" i="142" s="1"/>
  <c r="BP474" i="110"/>
  <c r="H141" i="112" s="1"/>
  <c r="H141" i="142" s="1"/>
  <c r="BO470" i="110"/>
  <c r="G141" i="111" s="1"/>
  <c r="G141" i="141" s="1"/>
  <c r="BO490" i="110"/>
  <c r="G149" i="111" s="1"/>
  <c r="G149" i="141" s="1"/>
  <c r="BS350" i="110"/>
  <c r="K150" i="111" s="1"/>
  <c r="K150" i="141" s="1"/>
  <c r="BS470" i="110"/>
  <c r="K141" i="111" s="1"/>
  <c r="K141" i="141" s="1"/>
  <c r="BS490" i="110"/>
  <c r="K149" i="111" s="1"/>
  <c r="K149" i="141" s="1"/>
  <c r="BY350" i="110"/>
  <c r="Q150" i="111" s="1"/>
  <c r="Q150" i="141" s="1"/>
  <c r="BY470" i="110"/>
  <c r="Q141" i="111" s="1"/>
  <c r="Q141" i="141" s="1"/>
  <c r="BY490" i="110"/>
  <c r="Q149" i="111" s="1"/>
  <c r="Q149" i="141" s="1"/>
  <c r="N273" i="110"/>
  <c r="BV494" i="110"/>
  <c r="N149" i="112" s="1"/>
  <c r="N149" i="142" s="1"/>
  <c r="BV474" i="110"/>
  <c r="N141" i="112" s="1"/>
  <c r="N141" i="142" s="1"/>
  <c r="BM350" i="110"/>
  <c r="E150" i="111" s="1"/>
  <c r="E150" i="141" s="1"/>
  <c r="BM470" i="110"/>
  <c r="E141" i="111" s="1"/>
  <c r="E141" i="141" s="1"/>
  <c r="BM490" i="110"/>
  <c r="E149" i="111" s="1"/>
  <c r="E149" i="141" s="1"/>
  <c r="BN450" i="110"/>
  <c r="F145" i="111" s="1"/>
  <c r="F145" i="141" s="1"/>
  <c r="BN470" i="110"/>
  <c r="F141" i="111" s="1"/>
  <c r="F141" i="141" s="1"/>
  <c r="BN490" i="110"/>
  <c r="F149" i="111" s="1"/>
  <c r="F149" i="141" s="1"/>
  <c r="BV373" i="110"/>
  <c r="BV473" i="110"/>
  <c r="BV493" i="110"/>
  <c r="BX394" i="110"/>
  <c r="P146" i="112" s="1"/>
  <c r="P146" i="142" s="1"/>
  <c r="BX494" i="110"/>
  <c r="P149" i="112" s="1"/>
  <c r="P149" i="142" s="1"/>
  <c r="BX474" i="110"/>
  <c r="P141" i="112" s="1"/>
  <c r="P141" i="142" s="1"/>
  <c r="BQ350" i="110"/>
  <c r="I150" i="111" s="1"/>
  <c r="I150" i="141" s="1"/>
  <c r="BQ470" i="110"/>
  <c r="I141" i="111" s="1"/>
  <c r="I141" i="141" s="1"/>
  <c r="BQ490" i="110"/>
  <c r="I149" i="111" s="1"/>
  <c r="I149" i="141" s="1"/>
  <c r="BR470" i="110"/>
  <c r="J141" i="111" s="1"/>
  <c r="J141" i="141" s="1"/>
  <c r="BR490" i="110"/>
  <c r="J149" i="111" s="1"/>
  <c r="J149" i="141" s="1"/>
  <c r="BU367" i="110"/>
  <c r="BU467" i="110"/>
  <c r="BU487" i="110"/>
  <c r="P269" i="110"/>
  <c r="BX470" i="110"/>
  <c r="P141" i="111" s="1"/>
  <c r="P141" i="141" s="1"/>
  <c r="BX490" i="110"/>
  <c r="P149" i="111" s="1"/>
  <c r="P149" i="141" s="1"/>
  <c r="J273" i="110"/>
  <c r="BR494" i="110"/>
  <c r="J149" i="112" s="1"/>
  <c r="J149" i="142" s="1"/>
  <c r="BR474" i="110"/>
  <c r="J141" i="112" s="1"/>
  <c r="J141" i="142" s="1"/>
  <c r="AM398" i="110"/>
  <c r="BQ494" i="110"/>
  <c r="I149" i="112" s="1"/>
  <c r="I149" i="142" s="1"/>
  <c r="BQ474" i="110"/>
  <c r="I141" i="112" s="1"/>
  <c r="I141" i="142" s="1"/>
  <c r="AP389" i="110"/>
  <c r="BT494" i="110"/>
  <c r="L149" i="112" s="1"/>
  <c r="L149" i="142" s="1"/>
  <c r="BT474" i="110"/>
  <c r="L141" i="112" s="1"/>
  <c r="L141" i="142" s="1"/>
  <c r="BU409" i="110"/>
  <c r="BU469" i="110"/>
  <c r="BU489" i="110"/>
  <c r="BU411" i="110"/>
  <c r="BU471" i="110"/>
  <c r="BU491" i="110"/>
  <c r="BU448" i="110"/>
  <c r="BU468" i="110"/>
  <c r="BU488" i="110"/>
  <c r="BN414" i="110"/>
  <c r="F148" i="112" s="1"/>
  <c r="BN494" i="110"/>
  <c r="F149" i="112" s="1"/>
  <c r="F149" i="142" s="1"/>
  <c r="BN474" i="110"/>
  <c r="F141" i="112" s="1"/>
  <c r="F141" i="142" s="1"/>
  <c r="BO422" i="110"/>
  <c r="BO343" i="110"/>
  <c r="BT337" i="110"/>
  <c r="AP370" i="110"/>
  <c r="BT379" i="110"/>
  <c r="AP359" i="110"/>
  <c r="BT362" i="110"/>
  <c r="N132" i="111"/>
  <c r="N132" i="141" s="1"/>
  <c r="Q269" i="110"/>
  <c r="BT402" i="110"/>
  <c r="AP342" i="110"/>
  <c r="L282" i="110" s="1"/>
  <c r="BT382" i="110"/>
  <c r="BS390" i="110"/>
  <c r="K146" i="111" s="1"/>
  <c r="K146" i="141" s="1"/>
  <c r="BL410" i="110"/>
  <c r="D148" i="111" s="1"/>
  <c r="D148" i="141" s="1"/>
  <c r="AQ357" i="110"/>
  <c r="AQ392" i="110"/>
  <c r="BU429" i="110"/>
  <c r="BU368" i="110"/>
  <c r="AP360" i="110"/>
  <c r="AP351" i="110"/>
  <c r="AQ348" i="110"/>
  <c r="AQ374" i="110"/>
  <c r="BU388" i="110"/>
  <c r="AQ365" i="110"/>
  <c r="BS430" i="110"/>
  <c r="K144" i="111" s="1"/>
  <c r="K144" i="141" s="1"/>
  <c r="AQ338" i="110"/>
  <c r="M278" i="110" s="1"/>
  <c r="BV393" i="110"/>
  <c r="AR352" i="110"/>
  <c r="AQ383" i="110"/>
  <c r="AR379" i="110"/>
  <c r="BU348" i="110"/>
  <c r="AQ356" i="110"/>
  <c r="AR364" i="110"/>
  <c r="AT371" i="110"/>
  <c r="BU408" i="110"/>
  <c r="AQ347" i="110"/>
  <c r="AR371" i="110"/>
  <c r="BU428" i="110"/>
  <c r="AQ419" i="110"/>
  <c r="BY432" i="110"/>
  <c r="BT422" i="110"/>
  <c r="AQ339" i="110"/>
  <c r="M279" i="110" s="1"/>
  <c r="N262" i="110"/>
  <c r="AN389" i="110"/>
  <c r="AP369" i="110"/>
  <c r="E262" i="110"/>
  <c r="AQ420" i="110"/>
  <c r="BU449" i="110"/>
  <c r="BT342" i="110"/>
  <c r="AP378" i="110"/>
  <c r="BR354" i="110"/>
  <c r="J150" i="112" s="1"/>
  <c r="J150" i="142" s="1"/>
  <c r="AQ393" i="110"/>
  <c r="BU349" i="110"/>
  <c r="AQ384" i="110"/>
  <c r="BU369" i="110"/>
  <c r="AQ375" i="110"/>
  <c r="BU389" i="110"/>
  <c r="AH394" i="110"/>
  <c r="AQ366" i="110"/>
  <c r="BX410" i="110"/>
  <c r="P148" i="111" s="1"/>
  <c r="P148" i="141" s="1"/>
  <c r="AJ421" i="110"/>
  <c r="AT349" i="110"/>
  <c r="AR373" i="110"/>
  <c r="AR362" i="110"/>
  <c r="AJ394" i="110"/>
  <c r="AJ349" i="110"/>
  <c r="AT340" i="110"/>
  <c r="AR418" i="110"/>
  <c r="AR425" i="110"/>
  <c r="AT425" i="110"/>
  <c r="P273" i="110"/>
  <c r="BX414" i="110"/>
  <c r="P148" i="112" s="1"/>
  <c r="AJ367" i="110"/>
  <c r="AT362" i="110"/>
  <c r="BX430" i="110"/>
  <c r="P144" i="111" s="1"/>
  <c r="P144" i="141" s="1"/>
  <c r="BV427" i="110"/>
  <c r="F269" i="110"/>
  <c r="AJ376" i="110"/>
  <c r="AQ369" i="110"/>
  <c r="AT367" i="110"/>
  <c r="AR391" i="110"/>
  <c r="AR398" i="110"/>
  <c r="AT398" i="110"/>
  <c r="BX354" i="110"/>
  <c r="P150" i="112" s="1"/>
  <c r="P150" i="142" s="1"/>
  <c r="AR382" i="110"/>
  <c r="AT389" i="110"/>
  <c r="BX370" i="110"/>
  <c r="P147" i="111" s="1"/>
  <c r="P147" i="141" s="1"/>
  <c r="BV447" i="110"/>
  <c r="AT394" i="110"/>
  <c r="AR355" i="110"/>
  <c r="AR380" i="110"/>
  <c r="AT380" i="110"/>
  <c r="BX450" i="110"/>
  <c r="P145" i="111" s="1"/>
  <c r="P145" i="141" s="1"/>
  <c r="BX454" i="110"/>
  <c r="P145" i="112" s="1"/>
  <c r="P145" i="142" s="1"/>
  <c r="BV347" i="110"/>
  <c r="BV354" i="110"/>
  <c r="N150" i="112" s="1"/>
  <c r="N150" i="142" s="1"/>
  <c r="AJ358" i="110"/>
  <c r="BN350" i="110"/>
  <c r="F150" i="111" s="1"/>
  <c r="F150" i="141" s="1"/>
  <c r="AT421" i="110"/>
  <c r="AR389" i="110"/>
  <c r="BV454" i="110"/>
  <c r="N145" i="112" s="1"/>
  <c r="N145" i="142" s="1"/>
  <c r="L258" i="110"/>
  <c r="BN390" i="110"/>
  <c r="F146" i="111" s="1"/>
  <c r="F146" i="141" s="1"/>
  <c r="BN370" i="110"/>
  <c r="F147" i="111" s="1"/>
  <c r="F147" i="141" s="1"/>
  <c r="O262" i="110"/>
  <c r="AT385" i="110"/>
  <c r="AR346" i="110"/>
  <c r="AR353" i="110"/>
  <c r="AT353" i="110"/>
  <c r="BX350" i="110"/>
  <c r="P150" i="111" s="1"/>
  <c r="P150" i="141" s="1"/>
  <c r="BX374" i="110"/>
  <c r="P147" i="112" s="1"/>
  <c r="P147" i="142" s="1"/>
  <c r="BV367" i="110"/>
  <c r="BV374" i="110"/>
  <c r="N147" i="112" s="1"/>
  <c r="N147" i="142" s="1"/>
  <c r="BY394" i="110"/>
  <c r="Q146" i="112" s="1"/>
  <c r="Q146" i="142" s="1"/>
  <c r="K258" i="110"/>
  <c r="BN430" i="110"/>
  <c r="F144" i="111" s="1"/>
  <c r="F144" i="141" s="1"/>
  <c r="BN410" i="110"/>
  <c r="F148" i="111" s="1"/>
  <c r="F148" i="141" s="1"/>
  <c r="AJ385" i="110"/>
  <c r="AT376" i="110"/>
  <c r="AR337" i="110"/>
  <c r="AR344" i="110"/>
  <c r="AT344" i="110"/>
  <c r="BX390" i="110"/>
  <c r="P146" i="111" s="1"/>
  <c r="P146" i="141" s="1"/>
  <c r="BV394" i="110"/>
  <c r="N146" i="112" s="1"/>
  <c r="N146" i="142" s="1"/>
  <c r="BU412" i="110"/>
  <c r="BM454" i="110"/>
  <c r="E145" i="112" s="1"/>
  <c r="E145" i="142" s="1"/>
  <c r="BT394" i="110"/>
  <c r="L146" i="112" s="1"/>
  <c r="L146" i="142" s="1"/>
  <c r="BQ454" i="110"/>
  <c r="I145" i="112" s="1"/>
  <c r="I145" i="142" s="1"/>
  <c r="BT401" i="110"/>
  <c r="AO371" i="110"/>
  <c r="AP341" i="110"/>
  <c r="L281" i="110" s="1"/>
  <c r="BM394" i="110"/>
  <c r="E146" i="112" s="1"/>
  <c r="E146" i="142" s="1"/>
  <c r="AL344" i="110"/>
  <c r="BQ354" i="110"/>
  <c r="I150" i="112" s="1"/>
  <c r="I150" i="142" s="1"/>
  <c r="AI421" i="110"/>
  <c r="BM370" i="110"/>
  <c r="E147" i="111" s="1"/>
  <c r="E147" i="141" s="1"/>
  <c r="K273" i="110"/>
  <c r="BT414" i="110"/>
  <c r="L148" i="112" s="1"/>
  <c r="BM450" i="110"/>
  <c r="E145" i="111" s="1"/>
  <c r="E145" i="141" s="1"/>
  <c r="AQ350" i="110"/>
  <c r="AQ355" i="110"/>
  <c r="AU378" i="110"/>
  <c r="AS398" i="110"/>
  <c r="AU394" i="110"/>
  <c r="BY450" i="110"/>
  <c r="Q145" i="111" s="1"/>
  <c r="Q145" i="141" s="1"/>
  <c r="BU427" i="110"/>
  <c r="BU451" i="110"/>
  <c r="BW374" i="110"/>
  <c r="O147" i="112" s="1"/>
  <c r="O147" i="142" s="1"/>
  <c r="BY352" i="110"/>
  <c r="AI398" i="110"/>
  <c r="AM380" i="110"/>
  <c r="BT421" i="110"/>
  <c r="AM425" i="110"/>
  <c r="J262" i="110"/>
  <c r="AI344" i="110"/>
  <c r="AI367" i="110"/>
  <c r="L273" i="110"/>
  <c r="BP394" i="110"/>
  <c r="H146" i="112" s="1"/>
  <c r="H146" i="142" s="1"/>
  <c r="BQ414" i="110"/>
  <c r="I148" i="112" s="1"/>
  <c r="AL398" i="110"/>
  <c r="BP354" i="110"/>
  <c r="H150" i="112" s="1"/>
  <c r="H150" i="142" s="1"/>
  <c r="BP374" i="110"/>
  <c r="H147" i="112" s="1"/>
  <c r="H147" i="142" s="1"/>
  <c r="BQ394" i="110"/>
  <c r="I146" i="112" s="1"/>
  <c r="I146" i="142" s="1"/>
  <c r="AQ341" i="110"/>
  <c r="M281" i="110" s="1"/>
  <c r="AQ346" i="110"/>
  <c r="AU360" i="110"/>
  <c r="AS389" i="110"/>
  <c r="AU385" i="110"/>
  <c r="BY390" i="110"/>
  <c r="Q146" i="111" s="1"/>
  <c r="Q146" i="141" s="1"/>
  <c r="BU431" i="110"/>
  <c r="BW394" i="110"/>
  <c r="O146" i="112" s="1"/>
  <c r="O146" i="142" s="1"/>
  <c r="BY392" i="110"/>
  <c r="AP362" i="110"/>
  <c r="BT381" i="110"/>
  <c r="AS371" i="110"/>
  <c r="BS454" i="110"/>
  <c r="K145" i="112" s="1"/>
  <c r="K145" i="142" s="1"/>
  <c r="AP377" i="110"/>
  <c r="AI358" i="110"/>
  <c r="AL362" i="110"/>
  <c r="BS394" i="110"/>
  <c r="K146" i="112" s="1"/>
  <c r="K146" i="142" s="1"/>
  <c r="H262" i="110"/>
  <c r="AP371" i="110"/>
  <c r="BP414" i="110"/>
  <c r="H148" i="112" s="1"/>
  <c r="BT354" i="110"/>
  <c r="L150" i="112" s="1"/>
  <c r="L150" i="142" s="1"/>
  <c r="P262" i="110"/>
  <c r="O258" i="110"/>
  <c r="AQ422" i="110"/>
  <c r="AQ337" i="110"/>
  <c r="M277" i="110" s="1"/>
  <c r="AU351" i="110"/>
  <c r="AS380" i="110"/>
  <c r="AU376" i="110"/>
  <c r="BY370" i="110"/>
  <c r="Q147" i="111" s="1"/>
  <c r="Q147" i="141" s="1"/>
  <c r="BU351" i="110"/>
  <c r="BY412" i="110"/>
  <c r="AL353" i="110"/>
  <c r="AI371" i="110"/>
  <c r="AO353" i="110"/>
  <c r="BM414" i="110"/>
  <c r="E148" i="112" s="1"/>
  <c r="I273" i="110"/>
  <c r="AI394" i="110"/>
  <c r="AP425" i="110"/>
  <c r="AP398" i="110"/>
  <c r="AQ395" i="110"/>
  <c r="AQ418" i="110"/>
  <c r="AU342" i="110"/>
  <c r="AS362" i="110"/>
  <c r="AU358" i="110"/>
  <c r="BY410" i="110"/>
  <c r="Q148" i="111" s="1"/>
  <c r="Q148" i="141" s="1"/>
  <c r="BU447" i="110"/>
  <c r="BU371" i="110"/>
  <c r="BT454" i="110"/>
  <c r="L145" i="112" s="1"/>
  <c r="L145" i="142" s="1"/>
  <c r="AI425" i="110"/>
  <c r="AS353" i="110"/>
  <c r="E273" i="110"/>
  <c r="BS374" i="110"/>
  <c r="K147" i="112" s="1"/>
  <c r="K147" i="142" s="1"/>
  <c r="AM344" i="110"/>
  <c r="AI353" i="110"/>
  <c r="AM353" i="110"/>
  <c r="BT341" i="110"/>
  <c r="AL371" i="110"/>
  <c r="AP353" i="110"/>
  <c r="AI340" i="110"/>
  <c r="BM390" i="110"/>
  <c r="E146" i="111" s="1"/>
  <c r="E146" i="141" s="1"/>
  <c r="Q258" i="110"/>
  <c r="AQ377" i="110"/>
  <c r="AQ382" i="110"/>
  <c r="AU423" i="110"/>
  <c r="AS344" i="110"/>
  <c r="AU340" i="110"/>
  <c r="D258" i="110"/>
  <c r="AH398" i="110"/>
  <c r="AN394" i="110"/>
  <c r="BL414" i="110"/>
  <c r="D148" i="112" s="1"/>
  <c r="D262" i="110"/>
  <c r="M262" i="110"/>
  <c r="AO340" i="110"/>
  <c r="AH380" i="110"/>
  <c r="BL374" i="110"/>
  <c r="D147" i="112" s="1"/>
  <c r="D147" i="142" s="1"/>
  <c r="AH389" i="110"/>
  <c r="AM367" i="110"/>
  <c r="BR414" i="110"/>
  <c r="J148" i="112" s="1"/>
  <c r="BV453" i="110"/>
  <c r="AQ340" i="110"/>
  <c r="BR454" i="110"/>
  <c r="J145" i="112" s="1"/>
  <c r="J145" i="142" s="1"/>
  <c r="AN349" i="110"/>
  <c r="BV413" i="110"/>
  <c r="BU350" i="110"/>
  <c r="M150" i="111" s="1"/>
  <c r="M150" i="141" s="1"/>
  <c r="AN398" i="110"/>
  <c r="AU353" i="110"/>
  <c r="D273" i="110"/>
  <c r="AN353" i="110"/>
  <c r="AN367" i="110"/>
  <c r="AN376" i="110"/>
  <c r="BR374" i="110"/>
  <c r="J147" i="112" s="1"/>
  <c r="J147" i="142" s="1"/>
  <c r="AR370" i="110"/>
  <c r="AU344" i="110"/>
  <c r="BY414" i="110"/>
  <c r="Q148" i="112" s="1"/>
  <c r="BS370" i="110"/>
  <c r="K147" i="111" s="1"/>
  <c r="K147" i="141" s="1"/>
  <c r="AO376" i="110"/>
  <c r="AO421" i="110"/>
  <c r="AN380" i="110"/>
  <c r="AO358" i="110"/>
  <c r="BR450" i="110"/>
  <c r="J145" i="111" s="1"/>
  <c r="J145" i="141" s="1"/>
  <c r="BR430" i="110"/>
  <c r="J144" i="111" s="1"/>
  <c r="J144" i="141" s="1"/>
  <c r="AH425" i="110"/>
  <c r="BS410" i="110"/>
  <c r="K148" i="111" s="1"/>
  <c r="K148" i="141" s="1"/>
  <c r="AN385" i="110"/>
  <c r="AN371" i="110"/>
  <c r="AQ394" i="110"/>
  <c r="AU371" i="110"/>
  <c r="AR376" i="110"/>
  <c r="AR343" i="110"/>
  <c r="N283" i="110" s="1"/>
  <c r="BU390" i="110"/>
  <c r="M146" i="111" s="1"/>
  <c r="M146" i="141" s="1"/>
  <c r="BV390" i="110"/>
  <c r="N146" i="111" s="1"/>
  <c r="N146" i="141" s="1"/>
  <c r="AQ421" i="110"/>
  <c r="BU370" i="110"/>
  <c r="M147" i="111" s="1"/>
  <c r="M147" i="141" s="1"/>
  <c r="AH353" i="110"/>
  <c r="AH362" i="110"/>
  <c r="AN425" i="110"/>
  <c r="AM358" i="110"/>
  <c r="BT370" i="110"/>
  <c r="L147" i="111" s="1"/>
  <c r="L147" i="141" s="1"/>
  <c r="BR394" i="110"/>
  <c r="J146" i="112" s="1"/>
  <c r="J146" i="142" s="1"/>
  <c r="K269" i="110"/>
  <c r="BR410" i="110"/>
  <c r="J148" i="111" s="1"/>
  <c r="J148" i="141" s="1"/>
  <c r="AN358" i="110"/>
  <c r="AO385" i="110"/>
  <c r="AO394" i="110"/>
  <c r="AQ385" i="110"/>
  <c r="AU425" i="110"/>
  <c r="AR361" i="110"/>
  <c r="BU410" i="110"/>
  <c r="M148" i="111" s="1"/>
  <c r="M148" i="141" s="1"/>
  <c r="AQ376" i="110"/>
  <c r="AU398" i="110"/>
  <c r="BU430" i="110"/>
  <c r="M144" i="111" s="1"/>
  <c r="M144" i="141" s="1"/>
  <c r="AO367" i="110"/>
  <c r="AM349" i="110"/>
  <c r="AO349" i="110"/>
  <c r="BR350" i="110"/>
  <c r="J150" i="111" s="1"/>
  <c r="J150" i="141" s="1"/>
  <c r="J269" i="110"/>
  <c r="AH344" i="110"/>
  <c r="AQ367" i="110"/>
  <c r="AU389" i="110"/>
  <c r="AR424" i="110"/>
  <c r="BV433" i="110"/>
  <c r="BY374" i="110"/>
  <c r="Q147" i="112" s="1"/>
  <c r="Q147" i="142" s="1"/>
  <c r="I262" i="110"/>
  <c r="AN344" i="110"/>
  <c r="BR390" i="110"/>
  <c r="J146" i="111" s="1"/>
  <c r="J146" i="141" s="1"/>
  <c r="AN421" i="110"/>
  <c r="BQ410" i="110"/>
  <c r="I148" i="111" s="1"/>
  <c r="I148" i="141" s="1"/>
  <c r="AN362" i="110"/>
  <c r="BS450" i="110"/>
  <c r="K145" i="111" s="1"/>
  <c r="K145" i="141" s="1"/>
  <c r="AQ358" i="110"/>
  <c r="AU380" i="110"/>
  <c r="AR397" i="110"/>
  <c r="BV353" i="110"/>
  <c r="BY454" i="110"/>
  <c r="Q145" i="112" s="1"/>
  <c r="Q145" i="142" s="1"/>
  <c r="BU450" i="110"/>
  <c r="M145" i="111" s="1"/>
  <c r="M145" i="141" s="1"/>
  <c r="BT423" i="110"/>
  <c r="AH371" i="110"/>
  <c r="BL354" i="110"/>
  <c r="D150" i="112" s="1"/>
  <c r="D150" i="142" s="1"/>
  <c r="BR370" i="110"/>
  <c r="J147" i="111" s="1"/>
  <c r="J147" i="141" s="1"/>
  <c r="L262" i="110"/>
  <c r="BQ370" i="110"/>
  <c r="I147" i="111" s="1"/>
  <c r="I147" i="141" s="1"/>
  <c r="AQ349" i="110"/>
  <c r="AU362" i="110"/>
  <c r="AR388" i="110"/>
  <c r="BY354" i="110"/>
  <c r="Q150" i="112" s="1"/>
  <c r="Q150" i="142" s="1"/>
  <c r="M258" i="110"/>
  <c r="BT450" i="110"/>
  <c r="L145" i="111" s="1"/>
  <c r="L145" i="141" s="1"/>
  <c r="L269" i="110"/>
  <c r="BL450" i="110"/>
  <c r="D145" i="111" s="1"/>
  <c r="D145" i="141" s="1"/>
  <c r="BT430" i="110"/>
  <c r="L144" i="111" s="1"/>
  <c r="L144" i="141" s="1"/>
  <c r="BL350" i="110"/>
  <c r="D150" i="111" s="1"/>
  <c r="D150" i="141" s="1"/>
  <c r="D144" i="111"/>
  <c r="D144" i="141" s="1"/>
  <c r="AM394" i="110"/>
  <c r="AP376" i="110"/>
  <c r="AS394" i="110"/>
  <c r="BW414" i="110"/>
  <c r="O148" i="112" s="1"/>
  <c r="AP394" i="110"/>
  <c r="AH421" i="110"/>
  <c r="AH358" i="110"/>
  <c r="AM376" i="110"/>
  <c r="D269" i="110"/>
  <c r="AH367" i="110"/>
  <c r="AH349" i="110"/>
  <c r="K262" i="110"/>
  <c r="BT410" i="110"/>
  <c r="L148" i="111" s="1"/>
  <c r="L148" i="141" s="1"/>
  <c r="AS385" i="110"/>
  <c r="AM385" i="110"/>
  <c r="BT390" i="110"/>
  <c r="L146" i="111" s="1"/>
  <c r="L146" i="141" s="1"/>
  <c r="BL370" i="110"/>
  <c r="D147" i="111" s="1"/>
  <c r="D147" i="141" s="1"/>
  <c r="BQ450" i="110"/>
  <c r="I145" i="111" s="1"/>
  <c r="I145" i="141" s="1"/>
  <c r="AP340" i="110"/>
  <c r="BQ390" i="110"/>
  <c r="I146" i="111" s="1"/>
  <c r="I146" i="141" s="1"/>
  <c r="F258" i="110"/>
  <c r="I269" i="110"/>
  <c r="AP421" i="110"/>
  <c r="AM421" i="110"/>
  <c r="BW454" i="110"/>
  <c r="O145" i="112" s="1"/>
  <c r="O145" i="142" s="1"/>
  <c r="BQ430" i="110"/>
  <c r="I144" i="111" s="1"/>
  <c r="I144" i="141" s="1"/>
  <c r="AH385" i="110"/>
  <c r="AP358" i="110"/>
  <c r="AH376" i="110"/>
  <c r="BL390" i="110"/>
  <c r="D146" i="111" s="1"/>
  <c r="D146" i="141" s="1"/>
  <c r="BP350" i="110"/>
  <c r="H150" i="111" s="1"/>
  <c r="H150" i="141" s="1"/>
  <c r="J258" i="110"/>
  <c r="AM340" i="110"/>
  <c r="AL385" i="110"/>
  <c r="BW450" i="110"/>
  <c r="O145" i="111" s="1"/>
  <c r="O145" i="141" s="1"/>
  <c r="BT350" i="110"/>
  <c r="L150" i="111" s="1"/>
  <c r="L150" i="141" s="1"/>
  <c r="AP367" i="110"/>
  <c r="AP385" i="110"/>
  <c r="AL394" i="110"/>
  <c r="AP349" i="110"/>
  <c r="BW354" i="110"/>
  <c r="O150" i="112" s="1"/>
  <c r="O150" i="142" s="1"/>
  <c r="N258" i="110"/>
  <c r="AP379" i="110"/>
  <c r="BT343" i="110"/>
  <c r="BT383" i="110"/>
  <c r="BT403" i="110"/>
  <c r="AP375" i="110"/>
  <c r="AL367" i="110"/>
  <c r="BP410" i="110"/>
  <c r="H148" i="111" s="1"/>
  <c r="H148" i="141" s="1"/>
  <c r="AS367" i="110"/>
  <c r="H269" i="110"/>
  <c r="BP390" i="110"/>
  <c r="H146" i="111" s="1"/>
  <c r="H146" i="141" s="1"/>
  <c r="BT399" i="110"/>
  <c r="AS421" i="110"/>
  <c r="BW350" i="110"/>
  <c r="O150" i="111" s="1"/>
  <c r="O150" i="141" s="1"/>
  <c r="AP343" i="110"/>
  <c r="L283" i="110" s="1"/>
  <c r="AL421" i="110"/>
  <c r="AP361" i="110"/>
  <c r="AP348" i="110"/>
  <c r="BP370" i="110"/>
  <c r="H147" i="111" s="1"/>
  <c r="H147" i="141" s="1"/>
  <c r="AS376" i="110"/>
  <c r="BW370" i="110"/>
  <c r="O147" i="111" s="1"/>
  <c r="O147" i="141" s="1"/>
  <c r="BT339" i="110"/>
  <c r="BP450" i="110"/>
  <c r="H145" i="111" s="1"/>
  <c r="H145" i="141" s="1"/>
  <c r="AL376" i="110"/>
  <c r="AS358" i="110"/>
  <c r="BW390" i="110"/>
  <c r="O146" i="111" s="1"/>
  <c r="O146" i="141" s="1"/>
  <c r="BT419" i="110"/>
  <c r="AL358" i="110"/>
  <c r="AP352" i="110"/>
  <c r="AP339" i="110"/>
  <c r="L279" i="110" s="1"/>
  <c r="BT359" i="110"/>
  <c r="AL340" i="110"/>
  <c r="AP366" i="110"/>
  <c r="AS349" i="110"/>
  <c r="BW410" i="110"/>
  <c r="O148" i="111" s="1"/>
  <c r="O148" i="141" s="1"/>
  <c r="BT363" i="110"/>
  <c r="AP357" i="110"/>
  <c r="BP430" i="110"/>
  <c r="H144" i="111" s="1"/>
  <c r="H144" i="141" s="1"/>
  <c r="AS340" i="110"/>
  <c r="BW430" i="110"/>
  <c r="O144" i="111" s="1"/>
  <c r="O144" i="141" s="1"/>
  <c r="AQ360" i="110"/>
  <c r="AQ351" i="110"/>
  <c r="AQ342" i="110"/>
  <c r="M282" i="110" s="1"/>
  <c r="BU452" i="110"/>
  <c r="AQ423" i="110"/>
  <c r="BU432" i="110"/>
  <c r="AQ396" i="110"/>
  <c r="BU352" i="110"/>
  <c r="AQ387" i="110"/>
  <c r="BU372" i="110"/>
  <c r="AQ378" i="110"/>
  <c r="AR358" i="110"/>
  <c r="BV410" i="110"/>
  <c r="N148" i="111" s="1"/>
  <c r="N148" i="141" s="1"/>
  <c r="N269" i="110"/>
  <c r="BT397" i="110"/>
  <c r="AR349" i="110"/>
  <c r="BV430" i="110"/>
  <c r="N144" i="111" s="1"/>
  <c r="N144" i="141" s="1"/>
  <c r="AR340" i="110"/>
  <c r="BV450" i="110"/>
  <c r="N145" i="111" s="1"/>
  <c r="N145" i="141" s="1"/>
  <c r="AP373" i="110"/>
  <c r="AR367" i="110"/>
  <c r="AR421" i="110"/>
  <c r="AR394" i="110"/>
  <c r="BV350" i="110"/>
  <c r="N150" i="111" s="1"/>
  <c r="N150" i="141" s="1"/>
  <c r="AR385" i="110"/>
  <c r="BT357" i="110"/>
  <c r="BT417" i="110"/>
  <c r="P258" i="110"/>
  <c r="AP364" i="110"/>
  <c r="AP346" i="110"/>
  <c r="BT377" i="110"/>
  <c r="AP355" i="110"/>
  <c r="AP337" i="110"/>
  <c r="O132" i="111"/>
  <c r="O132" i="141" s="1"/>
  <c r="Q132" i="111"/>
  <c r="Q132" i="141" s="1"/>
  <c r="M132" i="111"/>
  <c r="M132" i="141" s="1"/>
  <c r="Q262" i="110"/>
  <c r="P132" i="111"/>
  <c r="P132" i="141" s="1"/>
  <c r="BU414" i="110"/>
  <c r="M148" i="112" s="1"/>
  <c r="BU394" i="110"/>
  <c r="M146" i="112" s="1"/>
  <c r="M146" i="142" s="1"/>
  <c r="BU374" i="110"/>
  <c r="M147" i="112" s="1"/>
  <c r="M147" i="142" s="1"/>
  <c r="BU354" i="110"/>
  <c r="M150" i="112" s="1"/>
  <c r="M150" i="142" s="1"/>
  <c r="BU454" i="110"/>
  <c r="M145" i="112" s="1"/>
  <c r="M145" i="142" s="1"/>
  <c r="BU413" i="110"/>
  <c r="BU393" i="110"/>
  <c r="BU373" i="110"/>
  <c r="BU353" i="110"/>
  <c r="BU433" i="110"/>
  <c r="BU453" i="110"/>
  <c r="AQ344" i="110"/>
  <c r="AQ353" i="110"/>
  <c r="AQ362" i="110"/>
  <c r="AQ371" i="110"/>
  <c r="AQ380" i="110"/>
  <c r="AQ389" i="110"/>
  <c r="AQ398" i="110"/>
  <c r="AQ425" i="110"/>
  <c r="AQ343" i="110"/>
  <c r="M283" i="110" s="1"/>
  <c r="AQ352" i="110"/>
  <c r="AQ361" i="110"/>
  <c r="AQ370" i="110"/>
  <c r="AQ379" i="110"/>
  <c r="AQ388" i="110"/>
  <c r="AQ397" i="110"/>
  <c r="AQ424" i="110"/>
  <c r="BO363" i="110"/>
  <c r="BO342" i="110"/>
  <c r="BO402" i="110"/>
  <c r="BO382" i="110"/>
  <c r="BO362" i="110"/>
  <c r="BO423" i="110"/>
  <c r="AK370" i="110"/>
  <c r="BO383" i="110"/>
  <c r="BO403" i="110"/>
  <c r="F132" i="111"/>
  <c r="F132" i="141" s="1"/>
  <c r="AK418" i="110"/>
  <c r="BO447" i="110"/>
  <c r="BO347" i="110"/>
  <c r="AK346" i="110"/>
  <c r="AK391" i="110"/>
  <c r="AK382" i="110"/>
  <c r="AK373" i="110"/>
  <c r="BO387" i="110"/>
  <c r="AK337" i="110"/>
  <c r="AK355" i="110"/>
  <c r="BO407" i="110"/>
  <c r="BO367" i="110"/>
  <c r="AK364" i="110"/>
  <c r="AK341" i="110"/>
  <c r="G281" i="110" s="1"/>
  <c r="AK359" i="110"/>
  <c r="BO370" i="110"/>
  <c r="G147" i="111" s="1"/>
  <c r="G147" i="141" s="1"/>
  <c r="BO371" i="110"/>
  <c r="AK386" i="110"/>
  <c r="AK377" i="110"/>
  <c r="BO429" i="110"/>
  <c r="AK420" i="110"/>
  <c r="BO350" i="110"/>
  <c r="G150" i="111" s="1"/>
  <c r="G150" i="141" s="1"/>
  <c r="AK421" i="110"/>
  <c r="BO430" i="110"/>
  <c r="G144" i="111" s="1"/>
  <c r="G144" i="141" s="1"/>
  <c r="AK385" i="110"/>
  <c r="AK358" i="110"/>
  <c r="AK349" i="110"/>
  <c r="BO390" i="110"/>
  <c r="G146" i="111" s="1"/>
  <c r="G146" i="141" s="1"/>
  <c r="BO450" i="110"/>
  <c r="G145" i="111" s="1"/>
  <c r="G145" i="141" s="1"/>
  <c r="AK367" i="110"/>
  <c r="AK394" i="110"/>
  <c r="AK376" i="110"/>
  <c r="AK338" i="110"/>
  <c r="G278" i="110" s="1"/>
  <c r="BO409" i="110"/>
  <c r="AK357" i="110"/>
  <c r="AK393" i="110"/>
  <c r="AK351" i="110"/>
  <c r="BO449" i="110"/>
  <c r="AK366" i="110"/>
  <c r="AK339" i="110"/>
  <c r="G279" i="110" s="1"/>
  <c r="BO452" i="110"/>
  <c r="BO369" i="110"/>
  <c r="BO349" i="110"/>
  <c r="AK384" i="110"/>
  <c r="AK348" i="110"/>
  <c r="AK360" i="110"/>
  <c r="AK375" i="110"/>
  <c r="AK369" i="110"/>
  <c r="AK383" i="110"/>
  <c r="AK365" i="110"/>
  <c r="BO372" i="110"/>
  <c r="AK379" i="110"/>
  <c r="AK342" i="110"/>
  <c r="G282" i="110" s="1"/>
  <c r="AK388" i="110"/>
  <c r="AK356" i="110"/>
  <c r="AK397" i="110"/>
  <c r="AK361" i="110"/>
  <c r="AK343" i="110"/>
  <c r="G283" i="110" s="1"/>
  <c r="AK423" i="110"/>
  <c r="BO392" i="110"/>
  <c r="BO352" i="110"/>
  <c r="AK352" i="110"/>
  <c r="BO412" i="110"/>
  <c r="E283" i="110"/>
  <c r="BO431" i="110"/>
  <c r="BO411" i="110"/>
  <c r="BO351" i="110"/>
  <c r="BO451" i="110"/>
  <c r="BO391" i="110"/>
  <c r="AK368" i="110"/>
  <c r="AK350" i="110"/>
  <c r="AK422" i="110"/>
  <c r="AK425" i="110"/>
  <c r="AK398" i="110"/>
  <c r="BO394" i="110"/>
  <c r="G146" i="112" s="1"/>
  <c r="G146" i="142" s="1"/>
  <c r="BO374" i="110"/>
  <c r="G147" i="112" s="1"/>
  <c r="G147" i="142" s="1"/>
  <c r="BO414" i="110"/>
  <c r="G148" i="112" s="1"/>
  <c r="BO354" i="110"/>
  <c r="G150" i="112" s="1"/>
  <c r="G150" i="142" s="1"/>
  <c r="AK389" i="110"/>
  <c r="BO454" i="110"/>
  <c r="G145" i="112" s="1"/>
  <c r="G145" i="142" s="1"/>
  <c r="G273" i="110"/>
  <c r="AK371" i="110"/>
  <c r="BO453" i="110"/>
  <c r="BO413" i="110"/>
  <c r="BO393" i="110"/>
  <c r="BO433" i="110"/>
  <c r="BO373" i="110"/>
  <c r="BO353" i="110"/>
  <c r="AK353" i="110"/>
  <c r="BO388" i="110"/>
  <c r="BO368" i="110"/>
  <c r="AK392" i="110"/>
  <c r="AK419" i="110"/>
  <c r="BO428" i="110"/>
  <c r="AK374" i="110"/>
  <c r="BO408" i="110"/>
  <c r="BO348" i="110"/>
  <c r="BO448" i="110"/>
  <c r="AK424" i="110"/>
  <c r="AK387" i="110"/>
  <c r="G262" i="110"/>
  <c r="AK380" i="110"/>
  <c r="AK396" i="110"/>
  <c r="AK344" i="110"/>
  <c r="AK378" i="110"/>
  <c r="L132" i="111"/>
  <c r="L132" i="141" s="1"/>
  <c r="H132" i="111"/>
  <c r="H132" i="141" s="1"/>
  <c r="G132" i="111"/>
  <c r="E132" i="111"/>
  <c r="E132" i="141" s="1"/>
  <c r="J132" i="111"/>
  <c r="J132" i="141" s="1"/>
  <c r="I132" i="111"/>
  <c r="I132" i="141" s="1"/>
  <c r="K17" i="86"/>
  <c r="J17" i="86"/>
  <c r="K132" i="141" l="1"/>
  <c r="G280" i="110"/>
  <c r="G132" i="141"/>
  <c r="F160" i="141" a="1"/>
  <c r="M148" i="142"/>
  <c r="Q148" i="142"/>
  <c r="J148" i="142"/>
  <c r="D148" i="142"/>
  <c r="P148" i="142"/>
  <c r="H148" i="142"/>
  <c r="I148" i="142"/>
  <c r="E148" i="142"/>
  <c r="G148" i="142"/>
  <c r="F148" i="142"/>
  <c r="O148" i="142"/>
  <c r="K148" i="142"/>
  <c r="L148" i="142"/>
  <c r="H161" i="142" a="1"/>
  <c r="E151" i="111"/>
  <c r="F284" i="110"/>
  <c r="F132" i="142"/>
  <c r="L75" i="141"/>
  <c r="M75" i="141"/>
  <c r="J151" i="111"/>
  <c r="F151" i="111"/>
  <c r="N151" i="111"/>
  <c r="P151" i="111"/>
  <c r="P155" i="111" s="1"/>
  <c r="O151" i="111"/>
  <c r="F151" i="112"/>
  <c r="F156" i="112" s="1"/>
  <c r="I151" i="111"/>
  <c r="H151" i="111"/>
  <c r="H155" i="111" s="1"/>
  <c r="Q151" i="111"/>
  <c r="D151" i="111"/>
  <c r="G144" i="112"/>
  <c r="M144" i="112"/>
  <c r="O144" i="112"/>
  <c r="Q144" i="112"/>
  <c r="Q144" i="142" s="1"/>
  <c r="J144" i="112"/>
  <c r="D144" i="112"/>
  <c r="L144" i="112"/>
  <c r="K144" i="112"/>
  <c r="K144" i="142" s="1"/>
  <c r="I144" i="112"/>
  <c r="I144" i="142" s="1"/>
  <c r="H144" i="112"/>
  <c r="H144" i="142" s="1"/>
  <c r="E144" i="112"/>
  <c r="P144" i="112"/>
  <c r="P144" i="142" s="1"/>
  <c r="N144" i="112"/>
  <c r="N144" i="142" s="1"/>
  <c r="G277" i="110"/>
  <c r="L277" i="110"/>
  <c r="L151" i="111"/>
  <c r="L151" i="141" s="1"/>
  <c r="M151" i="111"/>
  <c r="M151" i="141" s="1"/>
  <c r="K151" i="111"/>
  <c r="K155" i="111" s="1"/>
  <c r="Q282" i="110"/>
  <c r="N277" i="110"/>
  <c r="K284" i="110"/>
  <c r="E280" i="110"/>
  <c r="O284" i="110"/>
  <c r="F280" i="110"/>
  <c r="P280" i="110"/>
  <c r="N284" i="110"/>
  <c r="P284" i="110"/>
  <c r="Q280" i="110"/>
  <c r="I284" i="110"/>
  <c r="L284" i="110"/>
  <c r="H284" i="110"/>
  <c r="E284" i="110"/>
  <c r="Q284" i="110"/>
  <c r="J280" i="110"/>
  <c r="D284" i="110"/>
  <c r="O280" i="110"/>
  <c r="L280" i="110"/>
  <c r="M280" i="110"/>
  <c r="K280" i="110"/>
  <c r="J284" i="110"/>
  <c r="I280" i="110"/>
  <c r="D280" i="110"/>
  <c r="H280" i="110"/>
  <c r="N280" i="110"/>
  <c r="M284" i="110"/>
  <c r="G151" i="111"/>
  <c r="G155" i="111" s="1"/>
  <c r="G284" i="110"/>
  <c r="K293" i="110" l="1"/>
  <c r="K160" i="141" a="1"/>
  <c r="K160" i="141" s="1"/>
  <c r="K183" i="141" s="1"/>
  <c r="G293" i="110"/>
  <c r="Q155" i="111"/>
  <c r="F155" i="111"/>
  <c r="I155" i="111"/>
  <c r="M155" i="141"/>
  <c r="O155" i="111"/>
  <c r="N155" i="111"/>
  <c r="J155" i="111"/>
  <c r="L155" i="111"/>
  <c r="M155" i="111"/>
  <c r="L155" i="141"/>
  <c r="F160" i="141"/>
  <c r="F183" i="141" s="1"/>
  <c r="K161" i="142" a="1"/>
  <c r="H160" i="141" a="1"/>
  <c r="H161" i="142"/>
  <c r="G151" i="141"/>
  <c r="P151" i="141"/>
  <c r="K151" i="141"/>
  <c r="N151" i="141"/>
  <c r="Q151" i="141"/>
  <c r="H151" i="141"/>
  <c r="I151" i="141"/>
  <c r="F151" i="142"/>
  <c r="O151" i="141"/>
  <c r="E151" i="112"/>
  <c r="E156" i="112" s="1"/>
  <c r="E144" i="142"/>
  <c r="O151" i="112"/>
  <c r="O144" i="142"/>
  <c r="M151" i="112"/>
  <c r="M144" i="142"/>
  <c r="G151" i="112"/>
  <c r="G144" i="142"/>
  <c r="J151" i="112"/>
  <c r="J144" i="142"/>
  <c r="L151" i="112"/>
  <c r="L144" i="142"/>
  <c r="D151" i="112"/>
  <c r="D156" i="112" s="1"/>
  <c r="D144" i="142"/>
  <c r="E151" i="141"/>
  <c r="D151" i="141"/>
  <c r="F151" i="141"/>
  <c r="J151" i="141"/>
  <c r="J293" i="110"/>
  <c r="F293" i="110"/>
  <c r="E293" i="110"/>
  <c r="L293" i="110"/>
  <c r="N293" i="110"/>
  <c r="Q293" i="110"/>
  <c r="H293" i="110"/>
  <c r="D293" i="110"/>
  <c r="I293" i="110"/>
  <c r="M293" i="110"/>
  <c r="F297" i="110"/>
  <c r="O293" i="110"/>
  <c r="P293" i="110"/>
  <c r="P151" i="112"/>
  <c r="H151" i="112"/>
  <c r="N151" i="112"/>
  <c r="I151" i="112"/>
  <c r="K151" i="112"/>
  <c r="Q151" i="112"/>
  <c r="F156" i="142" l="1"/>
  <c r="K161" i="142"/>
  <c r="H160" i="141"/>
  <c r="H183" i="141" s="1"/>
  <c r="Q155" i="141"/>
  <c r="J155" i="141"/>
  <c r="N155" i="141"/>
  <c r="F155" i="141"/>
  <c r="K155" i="141"/>
  <c r="H155" i="141"/>
  <c r="O155" i="141"/>
  <c r="P155" i="141"/>
  <c r="G155" i="141"/>
  <c r="I155" i="141"/>
  <c r="L297" i="110"/>
  <c r="O297" i="110"/>
  <c r="L160" i="141" a="1"/>
  <c r="L160" i="141" s="1"/>
  <c r="L183" i="141" s="1"/>
  <c r="J297" i="110"/>
  <c r="G297" i="110"/>
  <c r="H184" i="142"/>
  <c r="D297" i="110"/>
  <c r="E297" i="110"/>
  <c r="M297" i="110"/>
  <c r="K151" i="142"/>
  <c r="D151" i="142"/>
  <c r="D156" i="142" s="1"/>
  <c r="Q151" i="142"/>
  <c r="I151" i="142"/>
  <c r="G151" i="142"/>
  <c r="N151" i="142"/>
  <c r="L151" i="142"/>
  <c r="O151" i="142"/>
  <c r="H151" i="142"/>
  <c r="J151" i="142"/>
  <c r="P151" i="142"/>
  <c r="M151" i="142"/>
  <c r="E151" i="142"/>
  <c r="E156" i="142" s="1"/>
  <c r="K297" i="110"/>
  <c r="I297" i="110"/>
  <c r="N297" i="110"/>
  <c r="H297" i="110"/>
  <c r="P297" i="110"/>
  <c r="Q297" i="110"/>
  <c r="M164" i="141" l="1"/>
  <c r="M176" i="141"/>
  <c r="M182" i="141"/>
  <c r="M179" i="141"/>
  <c r="M174" i="141"/>
  <c r="M178" i="141"/>
  <c r="M175" i="141"/>
  <c r="M177" i="141"/>
  <c r="M171" i="141"/>
  <c r="M180" i="141"/>
  <c r="M166" i="141"/>
  <c r="M168" i="141"/>
  <c r="M170" i="141"/>
  <c r="M181" i="141"/>
  <c r="M173" i="141"/>
  <c r="M167" i="141"/>
  <c r="M169" i="141"/>
  <c r="M163" i="141"/>
  <c r="M183" i="141"/>
  <c r="M172" i="141"/>
  <c r="M165" i="141"/>
  <c r="O156" i="142"/>
  <c r="K184" i="142"/>
  <c r="M161" i="141"/>
  <c r="M162" i="141"/>
  <c r="M160" i="141"/>
  <c r="L161" i="142" a="1"/>
  <c r="L161" i="142" l="1"/>
  <c r="L184" i="142" l="1"/>
  <c r="G3" i="112" l="1"/>
  <c r="H3" i="112"/>
  <c r="I3" i="112"/>
  <c r="J3" i="112"/>
  <c r="K3" i="112"/>
  <c r="L3" i="112"/>
  <c r="M3" i="112"/>
  <c r="N3" i="112"/>
  <c r="O3" i="112"/>
  <c r="P3" i="112"/>
  <c r="Q3" i="112"/>
  <c r="R3" i="112"/>
  <c r="S3" i="112"/>
  <c r="T3" i="112"/>
  <c r="U3" i="112"/>
  <c r="V3" i="112"/>
  <c r="W3" i="112"/>
  <c r="X3" i="112"/>
  <c r="Y3" i="112"/>
  <c r="Z3" i="112"/>
  <c r="AA3" i="112"/>
  <c r="AB3" i="112"/>
  <c r="G8" i="112"/>
  <c r="H8" i="112"/>
  <c r="I8" i="112"/>
  <c r="J8" i="112"/>
  <c r="K8" i="112"/>
  <c r="L8" i="112"/>
  <c r="M8" i="112"/>
  <c r="N8" i="112"/>
  <c r="O8" i="112"/>
  <c r="P8" i="112"/>
  <c r="Q8" i="112"/>
  <c r="R8" i="112"/>
  <c r="S8" i="112"/>
  <c r="T8" i="112"/>
  <c r="U8" i="112"/>
  <c r="V8" i="112"/>
  <c r="W8" i="112"/>
  <c r="X8" i="112"/>
  <c r="Y8" i="112"/>
  <c r="Z8" i="112"/>
  <c r="AA8" i="112"/>
  <c r="AB8" i="112"/>
  <c r="G13" i="112"/>
  <c r="H13" i="112"/>
  <c r="I13" i="112"/>
  <c r="J13" i="112"/>
  <c r="K13" i="112"/>
  <c r="L13" i="112"/>
  <c r="M13" i="112"/>
  <c r="N13" i="112"/>
  <c r="O13" i="112"/>
  <c r="P13" i="112"/>
  <c r="Q13" i="112"/>
  <c r="R13" i="112"/>
  <c r="S13" i="112"/>
  <c r="T13" i="112"/>
  <c r="U13" i="112"/>
  <c r="V13" i="112"/>
  <c r="W13" i="112"/>
  <c r="X13" i="112"/>
  <c r="Y13" i="112"/>
  <c r="Z13" i="112"/>
  <c r="AA13" i="112"/>
  <c r="AB13" i="112"/>
  <c r="G18" i="142"/>
  <c r="H18" i="142"/>
  <c r="I18" i="142"/>
  <c r="J18" i="142"/>
  <c r="K18" i="142"/>
  <c r="L18" i="142"/>
  <c r="M18" i="142"/>
  <c r="N18" i="142"/>
  <c r="O18" i="112"/>
  <c r="P18" i="142"/>
  <c r="Q18" i="142"/>
  <c r="R18" i="142"/>
  <c r="S18" i="142"/>
  <c r="T18" i="142"/>
  <c r="U18" i="142"/>
  <c r="V18" i="112"/>
  <c r="W18" i="142"/>
  <c r="X18" i="142"/>
  <c r="Y18" i="142"/>
  <c r="Z18" i="142"/>
  <c r="AA18" i="142"/>
  <c r="AB18" i="142"/>
  <c r="L156" i="142" l="1"/>
  <c r="U18" i="112"/>
  <c r="U156" i="112" s="1"/>
  <c r="U156" i="142"/>
  <c r="AA18" i="112"/>
  <c r="AA156" i="142"/>
  <c r="S18" i="112"/>
  <c r="S156" i="112" s="1"/>
  <c r="S156" i="142"/>
  <c r="Z18" i="112"/>
  <c r="Z156" i="112" s="1"/>
  <c r="Z156" i="142"/>
  <c r="R18" i="112"/>
  <c r="R156" i="112" s="1"/>
  <c r="R156" i="142"/>
  <c r="J18" i="112"/>
  <c r="J156" i="142"/>
  <c r="M18" i="112"/>
  <c r="M156" i="112" s="1"/>
  <c r="M156" i="142"/>
  <c r="AB18" i="112"/>
  <c r="AB156" i="112" s="1"/>
  <c r="AB156" i="142"/>
  <c r="T156" i="142"/>
  <c r="K18" i="112"/>
  <c r="K156" i="112" s="1"/>
  <c r="K156" i="142"/>
  <c r="Y18" i="112"/>
  <c r="Y156" i="112" s="1"/>
  <c r="Y156" i="142"/>
  <c r="Q18" i="112"/>
  <c r="Q156" i="112" s="1"/>
  <c r="Q156" i="142"/>
  <c r="I18" i="112"/>
  <c r="I156" i="112" s="1"/>
  <c r="I156" i="142"/>
  <c r="X18" i="112"/>
  <c r="X156" i="112" s="1"/>
  <c r="X156" i="142"/>
  <c r="P18" i="112"/>
  <c r="P156" i="112" s="1"/>
  <c r="P156" i="142"/>
  <c r="H18" i="112"/>
  <c r="H156" i="112" s="1"/>
  <c r="H156" i="142"/>
  <c r="W18" i="112"/>
  <c r="W156" i="142"/>
  <c r="G18" i="112"/>
  <c r="G156" i="112" s="1"/>
  <c r="E161" i="142" a="1"/>
  <c r="G156" i="142"/>
  <c r="N18" i="112"/>
  <c r="N156" i="112" s="1"/>
  <c r="N156" i="142"/>
  <c r="AA156" i="112"/>
  <c r="J156" i="112"/>
  <c r="O156" i="112"/>
  <c r="V156" i="112"/>
  <c r="W156" i="112"/>
  <c r="T18" i="112"/>
  <c r="L18" i="112"/>
  <c r="E161" i="142" l="1"/>
  <c r="E184" i="142" s="1"/>
  <c r="M168" i="142"/>
  <c r="M167" i="142"/>
  <c r="M179" i="142"/>
  <c r="M164" i="142"/>
  <c r="M173" i="142"/>
  <c r="M176" i="142"/>
  <c r="M170" i="142"/>
  <c r="M169" i="142"/>
  <c r="M163" i="142"/>
  <c r="M177" i="142"/>
  <c r="M178" i="142"/>
  <c r="M162" i="142"/>
  <c r="M182" i="142"/>
  <c r="M171" i="142"/>
  <c r="M174" i="142"/>
  <c r="M172" i="142"/>
  <c r="M165" i="142"/>
  <c r="M166" i="142"/>
  <c r="M181" i="142"/>
  <c r="M175" i="142"/>
  <c r="M180" i="142"/>
  <c r="M183" i="142"/>
  <c r="L156" i="112"/>
  <c r="T156" i="112"/>
  <c r="M161" i="142" l="1"/>
  <c r="M184" i="142" s="1"/>
  <c r="E18" i="111" l="1"/>
  <c r="E155" i="111" s="1"/>
  <c r="E12" i="111"/>
  <c r="D16" i="111"/>
  <c r="E15" i="111"/>
  <c r="D155" i="141"/>
  <c r="E14" i="111"/>
  <c r="D13" i="111"/>
  <c r="E3" i="111"/>
  <c r="D6" i="111"/>
  <c r="D4" i="111"/>
  <c r="E5" i="111"/>
  <c r="D14" i="111"/>
  <c r="E4" i="111"/>
  <c r="D18" i="111"/>
  <c r="D155" i="111"/>
  <c r="E17" i="111"/>
  <c r="E16" i="111"/>
  <c r="E7" i="111"/>
  <c r="E155" i="141"/>
  <c r="D15" i="111"/>
  <c r="D12" i="111"/>
  <c r="E9" i="111"/>
  <c r="D7" i="111"/>
  <c r="D9" i="111"/>
  <c r="E13" i="111"/>
  <c r="D17" i="111"/>
  <c r="D8" i="111"/>
  <c r="E11" i="111"/>
  <c r="D10" i="111"/>
  <c r="D3" i="111"/>
  <c r="E10" i="111"/>
  <c r="E6" i="111"/>
  <c r="D11" i="111"/>
  <c r="E8" i="111"/>
  <c r="D5" i="1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<sst xmlns="http://schemas.openxmlformats.org/spreadsheetml/2006/main" count="107449" uniqueCount="18960">
  <si>
    <t>Category</t>
  </si>
  <si>
    <t>Units</t>
  </si>
  <si>
    <t>Air Capture Credits</t>
  </si>
  <si>
    <t>Fuel</t>
  </si>
  <si>
    <t>MMT</t>
  </si>
  <si>
    <t>All Other Fuels</t>
  </si>
  <si>
    <t>Alternative Jet Fuel - Virgin</t>
  </si>
  <si>
    <t>mm gal</t>
  </si>
  <si>
    <t>Alternative Jet Fuel - Waste</t>
  </si>
  <si>
    <t>Biodiesel</t>
  </si>
  <si>
    <t>CARBOB</t>
  </si>
  <si>
    <t>Fossil Jet Fuel</t>
  </si>
  <si>
    <t>Dairy Gas for CNG</t>
  </si>
  <si>
    <t>mm DGE</t>
  </si>
  <si>
    <t>Electricity for HDV</t>
  </si>
  <si>
    <t>1000 MWh</t>
  </si>
  <si>
    <t>Electricity for HDV (Dairy)</t>
  </si>
  <si>
    <t>Electricity for LDV</t>
  </si>
  <si>
    <t>Electricity for LDV (Dairy)</t>
  </si>
  <si>
    <t>Ethanol</t>
  </si>
  <si>
    <t>Ethanol Used for E85</t>
  </si>
  <si>
    <t>Hydrogen for HDV (0-CI)</t>
  </si>
  <si>
    <t>mm kg</t>
  </si>
  <si>
    <t>Hydrogen for HDV (Dairy)</t>
  </si>
  <si>
    <t>Hydrogen for HDV (Fossil)</t>
  </si>
  <si>
    <t>Hydrogen for HDV (Grid)</t>
  </si>
  <si>
    <t>Hydrogen for HDV (Landfill)</t>
  </si>
  <si>
    <t>Hydrogen for LDV (0-CI)</t>
  </si>
  <si>
    <t>Hydrogen for LDV (Dairy)</t>
  </si>
  <si>
    <t>Hydrogen for LDV (Fossil)</t>
  </si>
  <si>
    <t>Hydrogen for LDV (Grid)</t>
  </si>
  <si>
    <t>Hydrogen for LDV (Landfill)</t>
  </si>
  <si>
    <t>Landfill Gas for CNG</t>
  </si>
  <si>
    <t>Conventional Natural Gas</t>
  </si>
  <si>
    <t>Renewable Diesel</t>
  </si>
  <si>
    <t>ULSD</t>
  </si>
  <si>
    <t>Alternative Jet Fuel - Virgin Avg CI</t>
  </si>
  <si>
    <t>Carbon Intensity</t>
  </si>
  <si>
    <t>gCO2e/MJ</t>
  </si>
  <si>
    <t>Alternative Jet Fuel - Waste Avg CI</t>
  </si>
  <si>
    <t>Biodiesel Avg CI</t>
  </si>
  <si>
    <t>CARBOB Avg CI</t>
  </si>
  <si>
    <t>Conventional Jet Fuel Avg CI</t>
  </si>
  <si>
    <t>Dairy Gas for CNG Avg CI</t>
  </si>
  <si>
    <t>Electricity for HDV (Dairy) Avg CI</t>
  </si>
  <si>
    <t>Electricity for HDV Avg CI</t>
  </si>
  <si>
    <t>Electricity for LDV (Dairy) Avg CI</t>
  </si>
  <si>
    <t>Electricity for LDV Avg CI</t>
  </si>
  <si>
    <t>Ethanol Avg CI</t>
  </si>
  <si>
    <t>Ethanol Used for E85 Avg CI</t>
  </si>
  <si>
    <t>Hydrogen for HDV (0-CI) Avg CI</t>
  </si>
  <si>
    <t>Hydrogen for HDV (Dairy) Avg CI</t>
  </si>
  <si>
    <t>Hydrogen for HDV (Fossil) Avg CI</t>
  </si>
  <si>
    <t>Hydrogen for HDV (Landfill) Avg CI</t>
  </si>
  <si>
    <t>Hydrogen for LDV (Dairy) Avg CI</t>
  </si>
  <si>
    <t>Hydrogen for LDV (Fossil) Avg CI</t>
  </si>
  <si>
    <t>Hydrogen for LDV (Landfill) Avg CI</t>
  </si>
  <si>
    <t>Landfill Gas for CNG Avg CI</t>
  </si>
  <si>
    <t>Renewable Diesel Avg CI</t>
  </si>
  <si>
    <t>ULSD Avg CI</t>
  </si>
  <si>
    <t>total</t>
  </si>
  <si>
    <t>Credit Price</t>
  </si>
  <si>
    <t>$/ton</t>
  </si>
  <si>
    <t>Advanced Credit credit quantity</t>
  </si>
  <si>
    <t>Credits</t>
  </si>
  <si>
    <t>tons</t>
  </si>
  <si>
    <t>Bank Drawdown credit quantity</t>
  </si>
  <si>
    <t>Corn Ethanol credit quantity</t>
  </si>
  <si>
    <t>DACCS credit quantity</t>
  </si>
  <si>
    <t>Default Diesel credit quantity</t>
  </si>
  <si>
    <t>Default Gaseous credit quantity</t>
  </si>
  <si>
    <t>Default Gasoline credit quantity</t>
  </si>
  <si>
    <t>Default Jet credit quantity</t>
  </si>
  <si>
    <t>eCargo Handling Equipment credit quantity</t>
  </si>
  <si>
    <t>Electricity (Dairy) credit quantity</t>
  </si>
  <si>
    <t>Electricity credit quantity</t>
  </si>
  <si>
    <t>eTransport Refrigeration Unit credit quantity</t>
  </si>
  <si>
    <t>Fixed Guideway credit quantity</t>
  </si>
  <si>
    <t>Forklift Credits credit quantity</t>
  </si>
  <si>
    <t>Hydrogen (0-CI) credit quantity</t>
  </si>
  <si>
    <t>Hydrogen (Dairy) credit quantity</t>
  </si>
  <si>
    <t>Hydrogen (Fossil) credit quantity</t>
  </si>
  <si>
    <t>Hydrogen (Grid) credit quantity</t>
  </si>
  <si>
    <t>Hydrogen (Landfill) credit quantity</t>
  </si>
  <si>
    <t>Incremental Deficits credit quantity</t>
  </si>
  <si>
    <t>LDV HRI + FCI Credits credit quantity</t>
  </si>
  <si>
    <t>MHDV HRI + FCI Credits credit quantity</t>
  </si>
  <si>
    <t>Ocean Going Vessel Shorepower credit quantity</t>
  </si>
  <si>
    <t>Other offroad credit quantity</t>
  </si>
  <si>
    <t>Petroleum Projects credit quantity</t>
  </si>
  <si>
    <t>RNG Dairy credit quantity</t>
  </si>
  <si>
    <t>RNG Dairy -OOS credit quantity</t>
  </si>
  <si>
    <t>RNG Landfill credit quantity</t>
  </si>
  <si>
    <t>total credit quantity</t>
  </si>
  <si>
    <t>Virgin Oils credit quantity</t>
  </si>
  <si>
    <t>Waste Oils credit quantity</t>
  </si>
  <si>
    <t>Air Capture Credits Avg CI</t>
  </si>
  <si>
    <t>Bank Drawdown Avg CI</t>
  </si>
  <si>
    <t>Hydrogen for LDV (0-CI) Avg CI</t>
  </si>
  <si>
    <t>Fuel Volumes</t>
  </si>
  <si>
    <t>Ethanol (% of liquid gasoline by volume)</t>
  </si>
  <si>
    <t>%</t>
  </si>
  <si>
    <t>Ethanol used for E85</t>
  </si>
  <si>
    <t>1000 MWH</t>
  </si>
  <si>
    <t>Renewable Gasoline</t>
  </si>
  <si>
    <t>Total Ethanol</t>
  </si>
  <si>
    <t>Total liquid gasoline (CARBOB, RG and Ethanol)</t>
  </si>
  <si>
    <t>mm GGE</t>
  </si>
  <si>
    <t>Electricity for Rail/Forklift/etc.</t>
  </si>
  <si>
    <t>assuming transition is due to vehicle regulations, not LCFS</t>
  </si>
  <si>
    <t>Total Liquid Diesel (CARB diesel, RD, BD)</t>
  </si>
  <si>
    <t>CARBOB+ethanol+RG</t>
  </si>
  <si>
    <t>NG for CNG</t>
  </si>
  <si>
    <t>ULSD+RD+BD</t>
  </si>
  <si>
    <t>Percentage of Increase in CA Consumption (Relative to Baseline) Attributed to LCFS (for purpose of air quality analysis)</t>
  </si>
  <si>
    <t>E85</t>
  </si>
  <si>
    <t>Assume ZEV adoption is driven primarily by vehicle regulations and incentive programs (supported by LCFS but not attributed to LCFS)</t>
  </si>
  <si>
    <t>Hydrogen for LDV (Grid/0-CI)</t>
  </si>
  <si>
    <t>Electricity for LDVs</t>
  </si>
  <si>
    <t>Assume LCFS attribution, but if it ramps up additional supply will come from OOS</t>
  </si>
  <si>
    <t>Assume attribution, but does not result in tailpipe emissions, and production is not relevant because we're assuming unused supply will be shipped OOS</t>
  </si>
  <si>
    <t>Hydrogen for HDV (Grid/0-CI)</t>
  </si>
  <si>
    <t>Alternative Jet Fuel</t>
  </si>
  <si>
    <t xml:space="preserve">Landfill NG </t>
  </si>
  <si>
    <t xml:space="preserve">Dairy NG </t>
  </si>
  <si>
    <t>Renewable Propane</t>
  </si>
  <si>
    <t>Not included in analysis</t>
  </si>
  <si>
    <t>Starch Ethanol CCS</t>
  </si>
  <si>
    <t>Assume additional supply will come from OOS</t>
  </si>
  <si>
    <t xml:space="preserve">Steam </t>
  </si>
  <si>
    <t>No use expected given lack of investment to date</t>
  </si>
  <si>
    <t>Fuel Transition</t>
  </si>
  <si>
    <t>Gasoline to E85</t>
  </si>
  <si>
    <t>Gasoline to RG</t>
  </si>
  <si>
    <t xml:space="preserve">Gasoline to Hydrogen </t>
  </si>
  <si>
    <t xml:space="preserve">Gasoline to Electricity </t>
  </si>
  <si>
    <t xml:space="preserve">Diesel to NG </t>
  </si>
  <si>
    <t xml:space="preserve">Diesel to Hydrogen </t>
  </si>
  <si>
    <t xml:space="preserve">Diesel to Electricity </t>
  </si>
  <si>
    <t xml:space="preserve">Diesel to Propane </t>
  </si>
  <si>
    <t>Jet Fuel to Alt Jet Fuel</t>
  </si>
  <si>
    <t>Percentage of Consumption Change Produced in California</t>
  </si>
  <si>
    <t>Notes</t>
  </si>
  <si>
    <t>Source: Cellulosic is 8% per LRT data for 2021. Assuming all new from OOS</t>
  </si>
  <si>
    <t>Source: LRT data for 2021</t>
  </si>
  <si>
    <t xml:space="preserve">Source: assume same as RD </t>
  </si>
  <si>
    <t>Hydrogen for LDVs (fossil)</t>
  </si>
  <si>
    <t>Source: assumption based on current practice</t>
  </si>
  <si>
    <t>Hydrogen for LDVs (Grid/0-CI)</t>
  </si>
  <si>
    <t xml:space="preserve">Source:  all new demand will be met by recently announced/opened projects in AZ and NV, then replaced by CA production by 2030 </t>
  </si>
  <si>
    <t xml:space="preserve">Source: pathways - scoping plan scenario </t>
  </si>
  <si>
    <r>
      <t xml:space="preserve">Source: LRT data for 2021 OR </t>
    </r>
    <r>
      <rPr>
        <u/>
        <sz val="11"/>
        <color theme="1"/>
        <rFont val="Calibri"/>
        <family val="2"/>
        <scheme val="minor"/>
      </rPr>
      <t>All OOS</t>
    </r>
    <r>
      <rPr>
        <sz val="11"/>
        <color theme="1"/>
        <rFont val="Calibri"/>
        <family val="2"/>
        <scheme val="minor"/>
      </rPr>
      <t>?</t>
    </r>
  </si>
  <si>
    <t>Source: LRT data for 2021 plus additional Marathon Martinez capacity and Phillips 66 Rodeo, all additional quantities from OOS</t>
  </si>
  <si>
    <t>Assumption: changes  are going to come from imports</t>
  </si>
  <si>
    <t>Hydrogen for HDV (fossil)</t>
  </si>
  <si>
    <t>Hydrogen for HDVs (Grid/0-CI)</t>
  </si>
  <si>
    <t>Source: assume same as RD</t>
  </si>
  <si>
    <t>Assume additional landfill gas originates primarily from out-of-state</t>
  </si>
  <si>
    <t>Update for Each Scenario</t>
  </si>
  <si>
    <t>Dairy NG (for CNG and H2)</t>
  </si>
  <si>
    <t>CATS Outputs by feedstock</t>
  </si>
  <si>
    <t>Dairy NG (electricity)</t>
  </si>
  <si>
    <t xml:space="preserve">Values reflect availability for fuels (exclude utilization for electricity generation) </t>
  </si>
  <si>
    <t>Available Dairy Gas</t>
  </si>
  <si>
    <t>MMBTU</t>
  </si>
  <si>
    <t>Scenario</t>
  </si>
  <si>
    <t>Feedstock Category</t>
  </si>
  <si>
    <t>Conversion Category</t>
  </si>
  <si>
    <t>Unit</t>
  </si>
  <si>
    <t>MJ</t>
  </si>
  <si>
    <t>Alt 3</t>
  </si>
  <si>
    <t>Landfill-Diverted Wastes for AD (includes co-digestion at existing WW facilities)</t>
  </si>
  <si>
    <t>Anaerobic Digestion**</t>
  </si>
  <si>
    <t>TBTU (trillion Btu) fuel</t>
  </si>
  <si>
    <t>DGE</t>
  </si>
  <si>
    <t>Landfill Gas</t>
  </si>
  <si>
    <t>Anaerobic Digestion</t>
  </si>
  <si>
    <t>TBTU (trillion Btu)</t>
  </si>
  <si>
    <t>mmDGE</t>
  </si>
  <si>
    <t>Wastewater Treatment</t>
  </si>
  <si>
    <t>California Dairy Manure</t>
  </si>
  <si>
    <t>TBTU (trillion Btu fuel)</t>
  </si>
  <si>
    <t xml:space="preserve">Biogas </t>
  </si>
  <si>
    <t>BAU Scenario</t>
  </si>
  <si>
    <t xml:space="preserve">mm DGE </t>
  </si>
  <si>
    <t xml:space="preserve">mm gal </t>
  </si>
  <si>
    <t>Proposed Amendments Scenario</t>
  </si>
  <si>
    <t xml:space="preserve">Alternative Jet Fuel </t>
  </si>
  <si>
    <t>Delta</t>
  </si>
  <si>
    <t xml:space="preserve">Electricity for LDV (Dairy) </t>
  </si>
  <si>
    <t xml:space="preserve">Landfill RNG </t>
  </si>
  <si>
    <t xml:space="preserve">Dairy gas RNG </t>
  </si>
  <si>
    <t xml:space="preserve">CARB Gasoline </t>
  </si>
  <si>
    <t xml:space="preserve">CARB Diesel </t>
  </si>
  <si>
    <t>In-state Production (Percentage)</t>
  </si>
  <si>
    <t>Hydrogen for LDV (Dairy Gas)</t>
  </si>
  <si>
    <t>Electricity for LDV (Dairy Gas)</t>
  </si>
  <si>
    <t>Hydrogen for HDV (Dairy Gas)</t>
  </si>
  <si>
    <t>Electricity for HDV (Dairy Gas)</t>
  </si>
  <si>
    <t>In-state production Delta</t>
  </si>
  <si>
    <t>Multiply delta by in-state production percentage</t>
  </si>
  <si>
    <t>mm GDE</t>
  </si>
  <si>
    <r>
      <rPr>
        <b/>
        <sz val="14"/>
        <color rgb="FF000000"/>
        <rFont val="Calibri"/>
        <family val="2"/>
      </rPr>
      <t xml:space="preserve">In-state production Delta 
</t>
    </r>
    <r>
      <rPr>
        <b/>
        <sz val="11"/>
        <color rgb="FF000000"/>
        <rFont val="Calibri"/>
        <family val="2"/>
      </rPr>
      <t>(% Attributable to In-State production already accounted for)</t>
    </r>
  </si>
  <si>
    <t>Hydrogen for LDVs (Fossil)</t>
  </si>
  <si>
    <t>Hydrogen for LDVs (0-CI)</t>
  </si>
  <si>
    <t>Hydrogen for LDVs (Dairy)</t>
  </si>
  <si>
    <t>Hydrogen for LDVs (Grid)</t>
  </si>
  <si>
    <t>Hydrogen for LDVs (Landfill)</t>
  </si>
  <si>
    <t>Electricity for LDVs (Dairy)</t>
  </si>
  <si>
    <t>Hydrogen for HDVs (Fossil)</t>
  </si>
  <si>
    <t>Hydrogen for HDVs (0-CI)</t>
  </si>
  <si>
    <t>Hydrogen for HDVs (Dairy)</t>
  </si>
  <si>
    <t>Hydrogen for HDVs (Grid)</t>
  </si>
  <si>
    <t>Hydrogen for HDVs (Landfill)</t>
  </si>
  <si>
    <t>Electricity for HDVs (Dairy)</t>
  </si>
  <si>
    <t>MMT CO2</t>
  </si>
  <si>
    <t>Earlier assumption: Assumes California's corn ethanol facilities implement CCS in years 2022, 2024, 2026, and 2028</t>
  </si>
  <si>
    <t>% Attributable to LCFS</t>
  </si>
  <si>
    <t xml:space="preserve">Starch Ethanol </t>
  </si>
  <si>
    <t xml:space="preserve">Solar Steam </t>
  </si>
  <si>
    <t xml:space="preserve">Emission factors - Nox </t>
  </si>
  <si>
    <t>tons/mm gal</t>
  </si>
  <si>
    <t>Assume same as renewable diesel</t>
  </si>
  <si>
    <t>tons/mm kg</t>
  </si>
  <si>
    <t>tons/TWh</t>
  </si>
  <si>
    <t>tons/GWh</t>
  </si>
  <si>
    <t>Assume similar emissions to Kern oil refinery, a simple refinery operating in Californa</t>
  </si>
  <si>
    <t>tons/mm dge</t>
  </si>
  <si>
    <t>Assuming all unused is shipped OOS</t>
  </si>
  <si>
    <t xml:space="preserve">tons/mm kg </t>
  </si>
  <si>
    <t>Dairy NG</t>
  </si>
  <si>
    <t>tons/mm DGE</t>
  </si>
  <si>
    <t>Starch Ethanol CCS - reflected in ethanol emissions/no change of CCS</t>
  </si>
  <si>
    <t>g/MT CO2</t>
  </si>
  <si>
    <t>Assumes 100 kWhr electricity consumption per MTCO2 injected.</t>
  </si>
  <si>
    <t>Emission factors - PM2.5</t>
  </si>
  <si>
    <t>Hyrogen for LDVs (0-CI)</t>
  </si>
  <si>
    <t>ton/mm DGE</t>
  </si>
  <si>
    <t>Assumes California's corn ethanol facilities implement CCS in years 2022, 2024, 2026, and 2028</t>
  </si>
  <si>
    <t xml:space="preserve">Production Emission Changes - NOx </t>
  </si>
  <si>
    <t>tons/year</t>
  </si>
  <si>
    <t>Hyrogen for LDVs (Grid)</t>
  </si>
  <si>
    <t>model showing 100% 0-CI hydrogen</t>
  </si>
  <si>
    <t xml:space="preserve">STATEWIDE TOTAL </t>
  </si>
  <si>
    <t>Production Emission Changes - PM2.5</t>
  </si>
  <si>
    <t>Nox</t>
  </si>
  <si>
    <t>PM2.5</t>
  </si>
  <si>
    <t xml:space="preserve">Production from Dairy Gas Emission Change by Airbasin </t>
  </si>
  <si>
    <t xml:space="preserve">Change by Airbasin </t>
  </si>
  <si>
    <t>Great Basin Valleys</t>
  </si>
  <si>
    <t xml:space="preserve">Electricity is not attributed to LCFS. Old assumption was it was proportioned by emissions found in sheets Electricity PM2.5 Emissions and Electricity Nox Emissions </t>
  </si>
  <si>
    <t xml:space="preserve">Lake County </t>
  </si>
  <si>
    <t xml:space="preserve">Biodiesel emissions are proportioned by total capacity in air basin found in sheet Biodiesel Production  </t>
  </si>
  <si>
    <t xml:space="preserve">Lake Tahoe </t>
  </si>
  <si>
    <t>Diary gas emissions are apportioned 93.8% in SJV, 4.5% in South Coast, 0.1% in Salton Sea, 0.3% in North Coast,</t>
  </si>
  <si>
    <t>Mojave Desert</t>
  </si>
  <si>
    <t xml:space="preserve">Mountain Counties </t>
  </si>
  <si>
    <t>North Central coast</t>
  </si>
  <si>
    <t>North Coast</t>
  </si>
  <si>
    <t>Northeast Plateau</t>
  </si>
  <si>
    <t xml:space="preserve">Sacramento Valley </t>
  </si>
  <si>
    <t>Salton Sea</t>
  </si>
  <si>
    <t xml:space="preserve">San Diego </t>
  </si>
  <si>
    <t>San Franscisco Bay Area</t>
  </si>
  <si>
    <t xml:space="preserve">Emissions split by Petrol by AB tabs. Old Assumption: 40% of hydrogen,  alt jet production, and RD production and renewable gasoline and renewable propane are going to be in San Francisco Bay </t>
  </si>
  <si>
    <t xml:space="preserve">San Joaquin Valley </t>
  </si>
  <si>
    <t>Old Assumption:  Steam projects, cellulosic ethanol projects are all in SJV. The Three major California ethanol plants are in Stockton, Madera, and Pixley, all in SJV</t>
  </si>
  <si>
    <t>South Central Coast</t>
  </si>
  <si>
    <t>South Coast</t>
  </si>
  <si>
    <t>Emissions split by Petrol by AB tabs. Old Assumption: 60% of hydrogen, alt jet production, and RD production, renewable gasoline and renewable propane are going to be in South Coast</t>
  </si>
  <si>
    <t>STATEWIDE</t>
  </si>
  <si>
    <t xml:space="preserve">Production from Oil-based Fuels Emissions Change by Airbasin </t>
  </si>
  <si>
    <t xml:space="preserve">Production from Fossil Gas Emission Change by Airbasin </t>
  </si>
  <si>
    <t xml:space="preserve">Electricity is not attributed to LCFS. </t>
  </si>
  <si>
    <t xml:space="preserve">Emissions split by Petrol by AB tabs. </t>
  </si>
  <si>
    <t>Aircraft Emissions</t>
  </si>
  <si>
    <t>Conventional Jet Fuel</t>
  </si>
  <si>
    <t>Jet Fuel</t>
  </si>
  <si>
    <t>NOx</t>
  </si>
  <si>
    <t>Percentage attributable to LCFS</t>
  </si>
  <si>
    <t>Fuel Transition Attributable to LCFS</t>
  </si>
  <si>
    <t>Emission Factors</t>
  </si>
  <si>
    <t>Tons/TJ</t>
  </si>
  <si>
    <t>In-State Emission Change Attributable to LCFS</t>
  </si>
  <si>
    <t>Tons</t>
  </si>
  <si>
    <t>Estimated that 22.4% of total alternative jet fuel volume is combusted in California air basins (&lt;3000 ft) during taxi, landing, and takeoff operations. (calculation see "LTO cycle fuel consumption")</t>
  </si>
  <si>
    <t xml:space="preserve">TOTAL STATEWIDE EMISSIONS </t>
  </si>
  <si>
    <t xml:space="preserve">PM2.5 </t>
  </si>
  <si>
    <t xml:space="preserve">Jet fuel Emissions Change by Airbasin </t>
  </si>
  <si>
    <t>Hydrogen</t>
  </si>
  <si>
    <t>Hydrogen for HDV</t>
  </si>
  <si>
    <t>In-state production Delta Attributable to LCFS</t>
  </si>
  <si>
    <t>Out of state production Delta Attributable to LCFS</t>
  </si>
  <si>
    <t>Assume renewable diesel, alternative jet fuel, and renewable propane produced at same facility (hydrotreating)</t>
  </si>
  <si>
    <t>Feedstock transported for in-state production delta</t>
  </si>
  <si>
    <t>All Assumptions from CATS Technical Doc</t>
  </si>
  <si>
    <t>ton (wet biomass)</t>
  </si>
  <si>
    <t>EtOH yield 85 gal/dry ton, 2% dry mass loss during transport, moisture content 12%</t>
  </si>
  <si>
    <t>EtOH yield 21.4 gal/wet tonne sugarcane</t>
  </si>
  <si>
    <t>short ton oil</t>
  </si>
  <si>
    <t>RG yield gal/ton oil</t>
  </si>
  <si>
    <t>ton oil</t>
  </si>
  <si>
    <t>biodiesel yield 0.137 gal/lb oil</t>
  </si>
  <si>
    <t>RD yield gal/ton oil</t>
  </si>
  <si>
    <t>HRJ yield gal/ton</t>
  </si>
  <si>
    <t>Byproduct of RD and AJF production</t>
  </si>
  <si>
    <t>Feedstock truck transport for in-state production delta</t>
  </si>
  <si>
    <t>mi*truck</t>
  </si>
  <si>
    <t>assume 50 mi round trip for feedstock delivery by 25 ton capacity trucks</t>
  </si>
  <si>
    <t>assume cooking oil transported within a 100 mile radius of refinery by 7,500 gallons capacity trucks, cooking oil accounts for 20% of RD feedstock, oil density 3.5 kg/gal (0.925 kg/L Sangli et al 2011)</t>
  </si>
  <si>
    <t>assume cooking oil transported within a 100 mile radius of refinery by 7,500 gallons capacity trucks, cooking oil accounts for 40% of biodisel feedstock, oil density 3.5 kg/gal (0.925 kg/L Sangli et al 2011), short ton = 907.185kg</t>
  </si>
  <si>
    <t>assume emission difference of loaded and empty miles is equivalent with energy savings from weight reduction</t>
  </si>
  <si>
    <t>Mode</t>
  </si>
  <si>
    <t>Commercial Truck (40t)</t>
  </si>
  <si>
    <t>Freight Train (Electric)</t>
  </si>
  <si>
    <t>Freight Train (Diesel)</t>
  </si>
  <si>
    <t>Relative Energy Savings (% / 10% weight reduction )</t>
  </si>
  <si>
    <t>IFEU 2004</t>
  </si>
  <si>
    <t>Weigh reduction without fuel</t>
  </si>
  <si>
    <t>Empty truck</t>
  </si>
  <si>
    <t>assume the truck weighs 12 t, with capacity of 25 ton</t>
  </si>
  <si>
    <t>Empty train</t>
  </si>
  <si>
    <t>assume the train has 35 tank cars, each weighs 30 t, total capacity of 1 mmgal capacity, locomotive weights 190 t. tank car capacity from http://insideenergy.org/2014/06/16/30000-gallons-of-crude-by-rail-every-77-seconds/</t>
  </si>
  <si>
    <t>Feedstock rail transport for in-state production delta</t>
  </si>
  <si>
    <t>Rail transport for out-of-state fuel</t>
  </si>
  <si>
    <t>ton*mi</t>
  </si>
  <si>
    <t xml:space="preserve">assume EtOH (2.99 kg/gal) is transported 200 mi by rail (from CA border to rail yard) </t>
  </si>
  <si>
    <t xml:space="preserve">assume oil/tallow transported within 300 mile radius of refinery by rail. Feedstock density 3.35 kg/gal by averaging 3.28 kg/gal (tallow) and 3.47 kg/gal (soybean oil). </t>
  </si>
  <si>
    <t>assume RG (2.81 kg/gal) is transported 200 mi by rail from CA border to rail yard</t>
  </si>
  <si>
    <t xml:space="preserve">assume BD (3.36 kg/gal) is transported 200 mi by rail (from CA border to rail yard) </t>
  </si>
  <si>
    <t>assume oil/tallow transported within 300 mile radius of refinery by rail. Distance based on AltAir Paramount refinery (camelina from central Valley and tallow from southern CA, see AltAir presentation)</t>
  </si>
  <si>
    <t xml:space="preserve">assume RD (2.948 kg/gal) is transported 200 mi by rail (from CA border to rail yard) </t>
  </si>
  <si>
    <t xml:space="preserve">assume AJF (2.866 kg/gal) is transported 200 mi by rail (from CA border to rail yard) </t>
  </si>
  <si>
    <t>Fuel truck transport for in-state production delta</t>
  </si>
  <si>
    <t>Assumptions from 2015 ISOR</t>
  </si>
  <si>
    <t>Truck transport for out-of-state fuel</t>
  </si>
  <si>
    <t>assume EtOH is transported 100 mi round trip by 7,500 gallon tanker truck from rail yard to blending terminals</t>
  </si>
  <si>
    <t>assume 20 mi round trip by 7,500 gallon capacity trucks from refinery to blending terminal (based on distance from Paramount to LA)</t>
  </si>
  <si>
    <t>assume 100 mi by 7,500 gallon tanker truck from rail yard to blending terminals</t>
  </si>
  <si>
    <t>assume biodiesel is transported 200 mi round trip by 7,500 gallon tanker truck from refinery to blending terminals</t>
  </si>
  <si>
    <t>assume biodiesel is transported 100 mi by 7,500 gallon tanker truck from rail yard to blending terminals</t>
  </si>
  <si>
    <t>Criteria pollutants of in state truck transport (fuel and feedstock)</t>
  </si>
  <si>
    <t>Criteria pollutants of out-of-state fuel truck transport</t>
  </si>
  <si>
    <t>TOG</t>
  </si>
  <si>
    <t>g</t>
  </si>
  <si>
    <t>ROG</t>
  </si>
  <si>
    <t>CO</t>
  </si>
  <si>
    <t>SOx</t>
  </si>
  <si>
    <t>PM</t>
  </si>
  <si>
    <t>PM10</t>
  </si>
  <si>
    <t>Criteria pollutants of in state rail feedstock transport</t>
  </si>
  <si>
    <t>Criteria pollutants of out-of-state fuel rail transport</t>
  </si>
  <si>
    <t>Total Feedstock and Finished Fuel Transport Emissions by Fuel Type</t>
  </si>
  <si>
    <t xml:space="preserve">Reference: </t>
  </si>
  <si>
    <t>California railway map (https://www.mapsofworld.com/usa/states/california/california-railway-map.html)</t>
  </si>
  <si>
    <t>California air basin map (https://www.arb.ca.gov/ei/maps/statemap/abmap.htm)</t>
  </si>
  <si>
    <t>California rail yards (https://www.arb.ca.gov/railyard/community/community.htm)</t>
  </si>
  <si>
    <t>IRS approved fuel terminals@ 11/30/17 (https://www.irs.gov/pub/irs-utl/tcn_db.pdf)</t>
  </si>
  <si>
    <t>Major rail yards</t>
  </si>
  <si>
    <t>south coast</t>
  </si>
  <si>
    <t>SF bay</t>
  </si>
  <si>
    <t>SD county</t>
  </si>
  <si>
    <t>San joaquin valley</t>
  </si>
  <si>
    <t>Sacramento valley</t>
  </si>
  <si>
    <t xml:space="preserve">Salton sea </t>
  </si>
  <si>
    <t>south central coast</t>
  </si>
  <si>
    <t>north central coast</t>
  </si>
  <si>
    <t>Mojave desert</t>
  </si>
  <si>
    <t>Mountain counties</t>
  </si>
  <si>
    <t xml:space="preserve">All CA blending facilities are located in SC, SJV, Sacramento, Bay, and SD. Out-of-state fuels are transported to rail yards and trucked to nearest blending facilities </t>
  </si>
  <si>
    <t xml:space="preserve">LA </t>
  </si>
  <si>
    <t>from Needles, CA</t>
  </si>
  <si>
    <t>San Bernardino</t>
  </si>
  <si>
    <t>San Diego</t>
  </si>
  <si>
    <t>from Yuma, AZ</t>
  </si>
  <si>
    <t>Stockton</t>
  </si>
  <si>
    <t>from Reno, NV</t>
  </si>
  <si>
    <t>Fresno</t>
  </si>
  <si>
    <t>Bakersfield</t>
  </si>
  <si>
    <t>Oakland</t>
  </si>
  <si>
    <t>Richmond</t>
  </si>
  <si>
    <t>Sacramento</t>
  </si>
  <si>
    <t>Total Feedstock and Finished Fuel Transport Emissions</t>
  </si>
  <si>
    <t>Rail transport for in-state feedstock</t>
  </si>
  <si>
    <t>All CA bio-refineries are located in SC, SJC, Bay, Sacramento (Springboard) and SD (New Leaf), in-state feedstock are from SJC (crops), and Salton sea (tallow)</t>
  </si>
  <si>
    <t xml:space="preserve">sacramento </t>
  </si>
  <si>
    <t xml:space="preserve">Truck transport for in-state feedstock </t>
  </si>
  <si>
    <t>sacramento valley</t>
  </si>
  <si>
    <t>san joaquin valley</t>
  </si>
  <si>
    <t>salton sea</t>
  </si>
  <si>
    <t>Truck distribution for in-state fuels</t>
  </si>
  <si>
    <t>All CA blending facilities are located in SC, SJV, Sacramento, Bay, and SD.</t>
  </si>
  <si>
    <t>Truck distribution for out-of-state fuels</t>
  </si>
  <si>
    <t xml:space="preserve">San joaquin valley </t>
  </si>
  <si>
    <t>Criteria pollutants of feedstock in-state truck transportation</t>
  </si>
  <si>
    <t>Criteria pollutants of in-state fuel truck transpotation</t>
  </si>
  <si>
    <t>Criteria pollutants of out-of-state fuel truck transpotation</t>
  </si>
  <si>
    <t>Criteria pollutants of in-state feedstock rail transpotation</t>
  </si>
  <si>
    <t>Criteria pollutants of out-of-state fuel rail transpotation</t>
  </si>
  <si>
    <t>Total criteria pollutants by air basin</t>
  </si>
  <si>
    <t>SC</t>
  </si>
  <si>
    <t>by truck</t>
  </si>
  <si>
    <t>South coast</t>
  </si>
  <si>
    <t>SF Bay</t>
  </si>
  <si>
    <t>by rail</t>
  </si>
  <si>
    <t>Bay</t>
  </si>
  <si>
    <t>SD</t>
  </si>
  <si>
    <t>SJV</t>
  </si>
  <si>
    <t xml:space="preserve">Mojave desert </t>
  </si>
  <si>
    <t>SV</t>
  </si>
  <si>
    <t>Salton sea</t>
  </si>
  <si>
    <t>Summary of BAU NOx Emissions Change and LCFS Attribution NOx Emissions by Air Basin, Based on 2018 EA Volumes and Attribution Method III</t>
  </si>
  <si>
    <t>Statewide BAU and LCFS Attribution NOx Emissions, BD and RD Use</t>
  </si>
  <si>
    <t>TPY - NOx Emissions Change from BD and RD Use - Calculated using ISD</t>
  </si>
  <si>
    <t>Incremental NOx Emissions Change Due to BD and RD Use by Air Basin (TPD)</t>
  </si>
  <si>
    <t>Great Basin</t>
  </si>
  <si>
    <t>Lake County</t>
  </si>
  <si>
    <t>Lake Tahoe</t>
  </si>
  <si>
    <t>Mojave</t>
  </si>
  <si>
    <t>Mountain Counties</t>
  </si>
  <si>
    <t>North Central Coast</t>
  </si>
  <si>
    <t>San Francisco</t>
  </si>
  <si>
    <t>San Joaquin</t>
  </si>
  <si>
    <t>State Total</t>
  </si>
  <si>
    <t>Summary of BAU PM Emissions Reduction and LCFS Attribution PM Emissions (Reduction) by Air Basin</t>
  </si>
  <si>
    <t>Statewide BAU and LCFS Attribution PM Emissions (Reductions)</t>
  </si>
  <si>
    <r>
      <t xml:space="preserve">Incremental PM Emissions from BD and RD Use (TPY) </t>
    </r>
    <r>
      <rPr>
        <b/>
        <sz val="11"/>
        <color theme="1"/>
        <rFont val="Calibri"/>
        <family val="2"/>
      </rPr>
      <t xml:space="preserve">Calculated using ISD Calculator </t>
    </r>
  </si>
  <si>
    <t>LCFS Attribution PM Emissions (Reduction) Due to BD and RD Use by Air Basin (TPD)</t>
  </si>
  <si>
    <t>HHDT Emissions</t>
  </si>
  <si>
    <t>https://ww2.arb.ca.gov/sites/default/files/barcu/regact/2022/acf22/appf.pdf</t>
  </si>
  <si>
    <t xml:space="preserve">Data source: EMFAC 2021 Adjusted for In-Use regulations and ACF Emissions Inventory methodology (see link above) </t>
  </si>
  <si>
    <t>Emission factors (g/mi)</t>
  </si>
  <si>
    <t>Assume locomotives fuel efficiency of  470 ton*mi/gal (US DOT https://www.rita.dot.gov/bts/sites/rita.dot.gov.bts/files/publications/national_transportation_statistics/html/table_04_17.html). CSX reported similar efficiency (https://www.csx.com/index.cfm/about-us/the-csx-advantage/fuel-efficiency/?mobileFormat=true)</t>
  </si>
  <si>
    <t>Source: Spreadsheet from TTD</t>
  </si>
  <si>
    <t>Emission factors (g/ton*mi)</t>
  </si>
  <si>
    <t>Alt Jet Fuel Emission Factor</t>
  </si>
  <si>
    <t>Jet fuel NOx emissions</t>
  </si>
  <si>
    <t>See spreadsheet "Emission Factors - CJF"</t>
  </si>
  <si>
    <t>Jet fuel PM2.5 emissions</t>
  </si>
  <si>
    <t xml:space="preserve">Tons/TJ </t>
  </si>
  <si>
    <t xml:space="preserve">Jet fuel to Alt jet fuel NOx </t>
  </si>
  <si>
    <t xml:space="preserve">Jet fuel to Alt jet fuel PM2.5 </t>
  </si>
  <si>
    <t>Alt jet fuel NOx as compared to conventional</t>
  </si>
  <si>
    <t>Alt jet fuel PM2.5 as compared to conventional</t>
  </si>
  <si>
    <t>Alt jet emits 35% of the PM2.5 that fossil jet fuel emits, see Hamilton et al</t>
  </si>
  <si>
    <t>California Air Basin</t>
  </si>
  <si>
    <t>LTO Fuel (gals/yr)</t>
  </si>
  <si>
    <t>LTO NOx (tons/yr)</t>
  </si>
  <si>
    <t>LTO PM2.5 (tons/yr)</t>
  </si>
  <si>
    <t>Year</t>
  </si>
  <si>
    <t>Taxi in</t>
  </si>
  <si>
    <t>Taxi Out</t>
  </si>
  <si>
    <t>TCAL</t>
  </si>
  <si>
    <t>Total LTO</t>
  </si>
  <si>
    <t>Total LTO Nox</t>
  </si>
  <si>
    <t>NOx (ton/TJ)</t>
  </si>
  <si>
    <t>PM2.5 (ton/TJ)</t>
  </si>
  <si>
    <t>GREET 2016 fuel specs</t>
  </si>
  <si>
    <t>btu/gal</t>
  </si>
  <si>
    <t>btu/MJ</t>
  </si>
  <si>
    <t>MJ/gal</t>
  </si>
  <si>
    <t>Intrastate</t>
  </si>
  <si>
    <t>Interstate</t>
  </si>
  <si>
    <t>LTO CO2e (kg/yr)</t>
  </si>
  <si>
    <t>International</t>
  </si>
  <si>
    <t>Total CCD</t>
  </si>
  <si>
    <t>Fuel types without In-State Emission Factors</t>
  </si>
  <si>
    <t>Incremental Biodiesel expected to come from OOS</t>
  </si>
  <si>
    <t>Incremental Ethanol expected to come from OOS</t>
  </si>
  <si>
    <t>California 0-CI Hydrogen Facilities assumed to be solar/wind and not have emissions</t>
  </si>
  <si>
    <t>Incremental landfill and landfill-based hydrogen expected to come from OOS</t>
  </si>
  <si>
    <t>2020 Criteria Emissions (tons/yr) - update complete (CARB Emissions Mapping Tool)</t>
  </si>
  <si>
    <t>Additional Sources</t>
  </si>
  <si>
    <t>California SMR Hydrogen Facilities</t>
  </si>
  <si>
    <t>Air Basin</t>
  </si>
  <si>
    <t>Air District</t>
  </si>
  <si>
    <t>2020 production volume</t>
  </si>
  <si>
    <t>Capacity</t>
  </si>
  <si>
    <t>NOX</t>
  </si>
  <si>
    <t xml:space="preserve">PM </t>
  </si>
  <si>
    <t xml:space="preserve">PM10 </t>
  </si>
  <si>
    <t>Capacity data: https://h2tools.org/hyarc/hydrogen-data/merchant-hydrogen-plant-capacities-north-america</t>
  </si>
  <si>
    <t>Air Liquide - El Segundo</t>
  </si>
  <si>
    <t>SC AQMD</t>
  </si>
  <si>
    <t>mmKg</t>
  </si>
  <si>
    <t>Air Liquide - Rodeo</t>
  </si>
  <si>
    <t>Bay Area AQMD</t>
  </si>
  <si>
    <t>Air Products - Martinez</t>
  </si>
  <si>
    <t>Air Products - Carson</t>
  </si>
  <si>
    <t>Air Products - Sacramento</t>
  </si>
  <si>
    <t>Sacramento Valley</t>
  </si>
  <si>
    <t>Sacramento metro AQMD</t>
  </si>
  <si>
    <t>capacity data not available</t>
  </si>
  <si>
    <t>Air Products - Wilmington</t>
  </si>
  <si>
    <t>Praxair</t>
  </si>
  <si>
    <t>Total</t>
  </si>
  <si>
    <t>tons/MMkg</t>
  </si>
  <si>
    <t>Assume operation at 80 percent capacity</t>
  </si>
  <si>
    <t>Criteria Emissions 2020 (tons/yr)</t>
  </si>
  <si>
    <t>California Renewable Diesel Facilities</t>
  </si>
  <si>
    <t>City</t>
  </si>
  <si>
    <t>Use/Capacity</t>
  </si>
  <si>
    <t>Kern Oil &amp; Refining Co (Simple Refinery)</t>
  </si>
  <si>
    <t>SJV APCD</t>
  </si>
  <si>
    <t>mmgal</t>
  </si>
  <si>
    <t>5% RD blend rate from tallow</t>
  </si>
  <si>
    <t>tons/MMgal</t>
  </si>
  <si>
    <t>Facility Search Engine: https://ww2.arb.ca.gov/applications/facility-search-engine</t>
  </si>
  <si>
    <t>2020 Criteria Emissions (tons/year)</t>
  </si>
  <si>
    <t>petroleum refining only - SIC 2911</t>
  </si>
  <si>
    <t>Oil and gas refining</t>
  </si>
  <si>
    <t>NOx and PM 2.5 from CEIDARS 2020 Static</t>
  </si>
  <si>
    <t>SCC</t>
  </si>
  <si>
    <t>SF</t>
  </si>
  <si>
    <t>SJVAPCD Rule 4311</t>
  </si>
  <si>
    <t>g/MMBtu</t>
  </si>
  <si>
    <t>https://www.bloomenergy.com/wp-content/uploads/es5-300kw-datasheet-2022.pdf</t>
  </si>
  <si>
    <t>lb/MMBtu</t>
  </si>
  <si>
    <t>Source: CA-GREET 4.0</t>
  </si>
  <si>
    <t>Source: Bloom Energy Digester Gas 300kW, below</t>
  </si>
  <si>
    <t xml:space="preserve">Producing Electricity </t>
  </si>
  <si>
    <t>https://ww2.arb.ca.gov/our-work/programs/dgcert/exec-orders</t>
  </si>
  <si>
    <t>Table 1 Criteria emission factors for production phase of SMR hydrogen (Source: CEIDARS, 2020)</t>
  </si>
  <si>
    <t>NG Flaring (used for biomethane flaring)</t>
  </si>
  <si>
    <t>10% of gas flared</t>
  </si>
  <si>
    <t>Use for Hydrogen, add SMR emissions</t>
  </si>
  <si>
    <t>Use for Electricity produced with Fuel Cell (not for stationary reciprocating engines)</t>
  </si>
  <si>
    <t>Biomethane for CNG (DGE)</t>
  </si>
  <si>
    <r>
      <t>Fossil NG,</t>
    </r>
    <r>
      <rPr>
        <b/>
        <sz val="10"/>
        <color theme="1"/>
        <rFont val="Arial"/>
        <family val="2"/>
      </rPr>
      <t xml:space="preserve"> Stationary Reciprocating Engine</t>
    </r>
  </si>
  <si>
    <r>
      <t xml:space="preserve">(Un-upgraded) Biogas, </t>
    </r>
    <r>
      <rPr>
        <b/>
        <sz val="10"/>
        <color theme="1"/>
        <rFont val="Arial"/>
        <family val="2"/>
      </rPr>
      <t>Stationary Reciprocating Engine</t>
    </r>
  </si>
  <si>
    <t xml:space="preserve">Fuel Cell (assuming  pipeline/upgraded gas) </t>
  </si>
  <si>
    <t> </t>
  </si>
  <si>
    <t>GHGs</t>
  </si>
  <si>
    <t>ton/MMBTU</t>
  </si>
  <si>
    <t>short ton/mm kg</t>
  </si>
  <si>
    <t>short ton/GWh</t>
  </si>
  <si>
    <t>short ton/mm DGE</t>
  </si>
  <si>
    <t>lb/MWh</t>
  </si>
  <si>
    <t>ton/MM DGE</t>
  </si>
  <si>
    <t>Weighted Avg. EF (g/mmBTU)</t>
  </si>
  <si>
    <t>NOx (Value from SJVAPCD Permit levels)</t>
  </si>
  <si>
    <t>In g/gge</t>
  </si>
  <si>
    <t>ton/mm kg</t>
  </si>
  <si>
    <t>Conversions from MMbtu to GWh using CATS value</t>
  </si>
  <si>
    <t>MMBtu</t>
  </si>
  <si>
    <t>MJ/MMBtu</t>
  </si>
  <si>
    <t>kWh/MJ</t>
  </si>
  <si>
    <t>GWh/kWh</t>
  </si>
  <si>
    <t>GWh/MMBTU</t>
  </si>
  <si>
    <t>MMBtu/GWh</t>
  </si>
  <si>
    <t>Conversions from MMbtu to mm kg using CATS value</t>
  </si>
  <si>
    <t>kg/MJ</t>
  </si>
  <si>
    <t>mmkg/kg</t>
  </si>
  <si>
    <t>mmkg</t>
  </si>
  <si>
    <t>MMBtu/mm kg</t>
  </si>
  <si>
    <t>DGE/MJ</t>
  </si>
  <si>
    <t>mm dge/dge</t>
  </si>
  <si>
    <t>mm dge</t>
  </si>
  <si>
    <t>MMBtu/mm dge</t>
  </si>
  <si>
    <t>kg</t>
  </si>
  <si>
    <t>MJ/kg</t>
  </si>
  <si>
    <t>DGE/kg</t>
  </si>
  <si>
    <t>kg/DGE</t>
  </si>
  <si>
    <t>kWh/GWh</t>
  </si>
  <si>
    <t>MJ/kWh</t>
  </si>
  <si>
    <t>mmDGE/DGE</t>
  </si>
  <si>
    <t>mmDGE/GWh</t>
  </si>
  <si>
    <t>GWh/mmDGE</t>
  </si>
  <si>
    <t xml:space="preserve">FROM SIP 2016 CEPAM </t>
  </si>
  <si>
    <t>AREA</t>
  </si>
  <si>
    <t>EIC</t>
  </si>
  <si>
    <t>EICSUM</t>
  </si>
  <si>
    <t>EICSOU</t>
  </si>
  <si>
    <t>EICMAT</t>
  </si>
  <si>
    <t>EICSUB</t>
  </si>
  <si>
    <t>POLLUTANT</t>
  </si>
  <si>
    <t>SEASON</t>
  </si>
  <si>
    <t>CONTROL_TYPE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</si>
  <si>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</si>
  <si>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</si>
  <si>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</si>
  <si>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</si>
  <si>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</si>
  <si>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</si>
  <si>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</si>
  <si>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</si>
  <si>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</si>
  <si>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</si>
  <si>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</si>
  <si>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</si>
  <si>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</si>
  <si>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</si>
  <si>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</si>
  <si>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</si>
  <si>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 xml:space="preserve"> 010-005-0110-0000</t>
  </si>
  <si>
    <t>010-ELECTRIC UTILITIES</t>
  </si>
  <si>
    <t>005-BOILERS</t>
  </si>
  <si>
    <t>0110-NATURAL GAS</t>
  </si>
  <si>
    <t>0000-SUB-CATEGORY UNSPECIFIED</t>
  </si>
  <si>
    <t>PM2_5</t>
  </si>
  <si>
    <t>ANNUAL AVERAGE</t>
  </si>
  <si>
    <t>GROWN AND CONTROLLED</t>
  </si>
  <si>
    <t xml:space="preserve"> 010-005-0124-0000</t>
  </si>
  <si>
    <t>0124-PROPANE</t>
  </si>
  <si>
    <t xml:space="preserve"> 010-005-0130-0000</t>
  </si>
  <si>
    <t>0130-PROCESS GAS</t>
  </si>
  <si>
    <t xml:space="preserve"> 010-005-0214-0000</t>
  </si>
  <si>
    <t>0214-BITUMINOUS COAL</t>
  </si>
  <si>
    <t xml:space="preserve"> 010-005-0218-0000</t>
  </si>
  <si>
    <t>0218-LIGNITE</t>
  </si>
  <si>
    <t xml:space="preserve"> 010-005-0220-0000</t>
  </si>
  <si>
    <t>0220-COKE</t>
  </si>
  <si>
    <t xml:space="preserve"> 010-005-0240-0000</t>
  </si>
  <si>
    <t>0240-SOLID WASTE (UNSPECIFIED)</t>
  </si>
  <si>
    <t xml:space="preserve"> 010-005-0243-0000</t>
  </si>
  <si>
    <t>0243-REFUSE DERIVED FUEL (UNSPECIFIED)</t>
  </si>
  <si>
    <t xml:space="preserve"> 010-005-0254-0000</t>
  </si>
  <si>
    <t>0254-WOOD/BARK WASTE</t>
  </si>
  <si>
    <t xml:space="preserve"> 010-005-1220-0000</t>
  </si>
  <si>
    <t>1220-DISTILLATE OIL (UNSPECIFIED)</t>
  </si>
  <si>
    <t xml:space="preserve"> 010-040-0110-0000</t>
  </si>
  <si>
    <t>040-I.C. RECIPROCATING ENGINES</t>
  </si>
  <si>
    <t xml:space="preserve"> 010-040-0130-0000</t>
  </si>
  <si>
    <t xml:space="preserve"> 010-040-0142-0000</t>
  </si>
  <si>
    <t>0142-LANDFILL GAS</t>
  </si>
  <si>
    <t xml:space="preserve"> 010-040-1100-0000</t>
  </si>
  <si>
    <t>1100-GASOLINE (UNSPECIFIED)</t>
  </si>
  <si>
    <t xml:space="preserve"> 010-040-1200-0000</t>
  </si>
  <si>
    <t>1200-DIESEL/DISTILLATE OIL (UNSPECIFIED)</t>
  </si>
  <si>
    <t xml:space="preserve"> 010-040-3220-0000</t>
  </si>
  <si>
    <t>3220-METHANOL (METHYL ALCOHOL)</t>
  </si>
  <si>
    <t xml:space="preserve"> 010-045-0110-0000</t>
  </si>
  <si>
    <t>045-I.C. TURBINE ENGINES</t>
  </si>
  <si>
    <t xml:space="preserve"> 010-045-0112-0000</t>
  </si>
  <si>
    <t>0112-COMPRESSED NATURAL GAS (CNG)</t>
  </si>
  <si>
    <t xml:space="preserve"> 010-045-0142-0000</t>
  </si>
  <si>
    <t xml:space="preserve"> 010-045-1200-0000</t>
  </si>
  <si>
    <t xml:space="preserve"> 010-045-1412-0000</t>
  </si>
  <si>
    <t>1412-KERONAPTHA JET FUEL</t>
  </si>
  <si>
    <t xml:space="preserve"> 010-070-0110-0000</t>
  </si>
  <si>
    <t>070-IN-PROCESS FUEL</t>
  </si>
  <si>
    <t xml:space="preserve"> 010-070-0120-0000</t>
  </si>
  <si>
    <t>0120-LIQUIFIED PETROLEUM GAS (LPG)</t>
  </si>
  <si>
    <t xml:space="preserve"> 010-070-0240-0000</t>
  </si>
  <si>
    <t xml:space="preserve"> 010-648-5400-0000</t>
  </si>
  <si>
    <t>648-UNPAVED ROAD TRAVEL DUST (UNSPECIFIED)</t>
  </si>
  <si>
    <t>5400-DUST</t>
  </si>
  <si>
    <t xml:space="preserve"> 010-995-0012-0000</t>
  </si>
  <si>
    <t>995-OTHER</t>
  </si>
  <si>
    <t>0012-FUEL (UNSPECIFIED)</t>
  </si>
  <si>
    <t xml:space="preserve"> 020-005-0110-0000</t>
  </si>
  <si>
    <t>020-COGENERATION</t>
  </si>
  <si>
    <t xml:space="preserve"> 020-005-0130-0000</t>
  </si>
  <si>
    <t xml:space="preserve"> 020-005-0214-0000</t>
  </si>
  <si>
    <t xml:space="preserve"> 020-005-0218-0000</t>
  </si>
  <si>
    <t xml:space="preserve"> 020-005-0230-0000</t>
  </si>
  <si>
    <t>0230-WOOD</t>
  </si>
  <si>
    <t xml:space="preserve"> 020-040-0110-0000</t>
  </si>
  <si>
    <t xml:space="preserve"> 020-040-0142-0000</t>
  </si>
  <si>
    <t xml:space="preserve"> 020-040-1200-0000</t>
  </si>
  <si>
    <t xml:space="preserve"> 020-045-0110-0000</t>
  </si>
  <si>
    <t xml:space="preserve"> 020-045-1200-0000</t>
  </si>
  <si>
    <t xml:space="preserve"> 020-995-0012-0000</t>
  </si>
  <si>
    <t xml:space="preserve"> 030-005-0110-0000</t>
  </si>
  <si>
    <t>030-OIL AND GAS PRODUCTION (COMBUSTION)</t>
  </si>
  <si>
    <t xml:space="preserve"> 030-005-0124-0000</t>
  </si>
  <si>
    <t xml:space="preserve"> 030-005-0130-0000</t>
  </si>
  <si>
    <t xml:space="preserve"> 030-005-1220-0000</t>
  </si>
  <si>
    <t xml:space="preserve"> 030-005-1530-0000</t>
  </si>
  <si>
    <t>1530-RESIDUAL OIL - GRADE #6  (BUNKER C)</t>
  </si>
  <si>
    <t xml:space="preserve"> 030-010-0100-0000</t>
  </si>
  <si>
    <t>010-PROCESS HEATERS</t>
  </si>
  <si>
    <t>0100-GASEOUS FUEL (UNSPECIFIED)</t>
  </si>
  <si>
    <t xml:space="preserve"> 030-010-0110-0000</t>
  </si>
  <si>
    <t xml:space="preserve"> 030-010-0130-0000</t>
  </si>
  <si>
    <t xml:space="preserve"> 030-010-1500-0000</t>
  </si>
  <si>
    <t>1500-RESIDUAL OIL (UNSPECIFIED)</t>
  </si>
  <si>
    <t xml:space="preserve"> 030-010-1600-0000</t>
  </si>
  <si>
    <t>1600-CRUDE OIL (UNSPECIFIED)</t>
  </si>
  <si>
    <t xml:space="preserve"> 030-015-0110-0000</t>
  </si>
  <si>
    <t>015-STEAM GENERATORS</t>
  </si>
  <si>
    <t xml:space="preserve"> 030-015-0130-0000</t>
  </si>
  <si>
    <t xml:space="preserve"> 030-015-1220-0000</t>
  </si>
  <si>
    <t xml:space="preserve"> 030-040-0100-0000</t>
  </si>
  <si>
    <t xml:space="preserve"> 030-040-0110-0000</t>
  </si>
  <si>
    <t xml:space="preserve"> 030-040-0124-0000</t>
  </si>
  <si>
    <t xml:space="preserve"> 030-040-0130-0000</t>
  </si>
  <si>
    <t xml:space="preserve"> 030-040-1000-0000</t>
  </si>
  <si>
    <t>1000-LIQUID FUEL (UNSPECIFIED)</t>
  </si>
  <si>
    <t xml:space="preserve"> 030-040-1100-0000</t>
  </si>
  <si>
    <t xml:space="preserve"> 030-040-1200-0000</t>
  </si>
  <si>
    <t xml:space="preserve"> 030-040-1210-0000</t>
  </si>
  <si>
    <t>1210-DIESEL (UNSPECIFIED)</t>
  </si>
  <si>
    <t xml:space="preserve"> 030-040-1600-0000</t>
  </si>
  <si>
    <t xml:space="preserve"> 030-041-1600-0000</t>
  </si>
  <si>
    <t>041-HYDRAULIC FRACTURING ENGINES</t>
  </si>
  <si>
    <t xml:space="preserve"> 030-045-0110-0000</t>
  </si>
  <si>
    <t xml:space="preserve"> 030-045-1200-0000</t>
  </si>
  <si>
    <t xml:space="preserve"> 030-070-0110-0000</t>
  </si>
  <si>
    <t xml:space="preserve"> 030-070-0130-0000</t>
  </si>
  <si>
    <t xml:space="preserve"> 030-307-0100-0000</t>
  </si>
  <si>
    <t>307-COMPRESSORS LEAN BURN</t>
  </si>
  <si>
    <t xml:space="preserve"> 030-307-0110-0000</t>
  </si>
  <si>
    <t xml:space="preserve"> 030-309-0100-0000</t>
  </si>
  <si>
    <t>309-COMPRESSORS RICH BURN</t>
  </si>
  <si>
    <t xml:space="preserve"> 030-309-0110-0000</t>
  </si>
  <si>
    <t xml:space="preserve"> 030-995-0012-0000</t>
  </si>
  <si>
    <t xml:space="preserve"> 030-995-0100-0000</t>
  </si>
  <si>
    <t xml:space="preserve"> 030-995-0110-0000</t>
  </si>
  <si>
    <t xml:space="preserve"> 040-005-0110-0000</t>
  </si>
  <si>
    <t>040-PETROLEUM REFINING (COMBUSTION)</t>
  </si>
  <si>
    <t xml:space="preserve"> 040-005-0130-0000</t>
  </si>
  <si>
    <t xml:space="preserve"> 040-005-0320-0000</t>
  </si>
  <si>
    <t>0320-WASTE OIL</t>
  </si>
  <si>
    <t xml:space="preserve"> 040-010-0100-0000</t>
  </si>
  <si>
    <t xml:space="preserve"> 040-010-0110-0000</t>
  </si>
  <si>
    <t xml:space="preserve"> 040-010-0130-0000</t>
  </si>
  <si>
    <t xml:space="preserve"> 040-010-1000-0000</t>
  </si>
  <si>
    <t xml:space="preserve"> 040-040-0110-0000</t>
  </si>
  <si>
    <t xml:space="preserve"> 040-040-1100-0000</t>
  </si>
  <si>
    <t xml:space="preserve"> 040-045-0110-0000</t>
  </si>
  <si>
    <t xml:space="preserve"> 040-045-0120-0000</t>
  </si>
  <si>
    <t xml:space="preserve"> 040-045-0134-0000</t>
  </si>
  <si>
    <t>0134-REFINERY GAS</t>
  </si>
  <si>
    <t xml:space="preserve"> 040-070-0110-0000</t>
  </si>
  <si>
    <t xml:space="preserve"> 040-070-0120-0000</t>
  </si>
  <si>
    <t xml:space="preserve"> 040-070-0130-0000</t>
  </si>
  <si>
    <t xml:space="preserve"> 040-070-0240-0000</t>
  </si>
  <si>
    <t xml:space="preserve"> 050-005-0110-0000</t>
  </si>
  <si>
    <t>050-MANUFACTURING AND INDUSTRIAL</t>
  </si>
  <si>
    <t xml:space="preserve"> 050-005-0122-0000</t>
  </si>
  <si>
    <t>0122-BUTANE</t>
  </si>
  <si>
    <t xml:space="preserve"> 050-005-0124-0000</t>
  </si>
  <si>
    <t xml:space="preserve"> 050-005-0130-0000</t>
  </si>
  <si>
    <t xml:space="preserve"> 050-005-0212-0000</t>
  </si>
  <si>
    <t>0212-ANTHRACITE COAL</t>
  </si>
  <si>
    <t xml:space="preserve"> 050-005-0220-0000</t>
  </si>
  <si>
    <t xml:space="preserve"> 050-005-0243-0000</t>
  </si>
  <si>
    <t xml:space="preserve"> 050-005-0254-0000</t>
  </si>
  <si>
    <t xml:space="preserve"> 050-005-1200-0000</t>
  </si>
  <si>
    <t xml:space="preserve"> 050-005-1220-0000</t>
  </si>
  <si>
    <t xml:space="preserve"> 050-005-1510-0000</t>
  </si>
  <si>
    <t>1510-RESIDUAL OIL - GRADE #4</t>
  </si>
  <si>
    <t xml:space="preserve"> 050-005-1520-0000</t>
  </si>
  <si>
    <t>1520-RESIDUAL OIL - GRADE #5</t>
  </si>
  <si>
    <t xml:space="preserve"> 050-010-0110-0000</t>
  </si>
  <si>
    <t xml:space="preserve"> 050-010-0120-0000</t>
  </si>
  <si>
    <t xml:space="preserve"> 050-010-0130-0000</t>
  </si>
  <si>
    <t xml:space="preserve"> 050-010-1220-0000</t>
  </si>
  <si>
    <t xml:space="preserve"> 050-010-1224-0000</t>
  </si>
  <si>
    <t>1224-DISTILLATE OIL #2  (FUEL OIL #2)</t>
  </si>
  <si>
    <t xml:space="preserve"> 050-010-1500-0000</t>
  </si>
  <si>
    <t xml:space="preserve"> 050-012-0110-0000</t>
  </si>
  <si>
    <t>012-OVEN HEATERS (FORCE DRYING SURFACE COATINGS)</t>
  </si>
  <si>
    <t xml:space="preserve"> 050-012-0120-0000</t>
  </si>
  <si>
    <t xml:space="preserve"> 050-020-0110-0000</t>
  </si>
  <si>
    <t>020-SPACE HEATING</t>
  </si>
  <si>
    <t xml:space="preserve"> 050-020-0120-0000</t>
  </si>
  <si>
    <t xml:space="preserve"> 050-020-0230-0000</t>
  </si>
  <si>
    <t xml:space="preserve"> 050-020-1220-0000</t>
  </si>
  <si>
    <t xml:space="preserve"> 050-040-0012-0000</t>
  </si>
  <si>
    <t xml:space="preserve"> 050-040-0110-0000</t>
  </si>
  <si>
    <t xml:space="preserve"> 050-040-0120-0000</t>
  </si>
  <si>
    <t xml:space="preserve"> 050-040-0122-0000</t>
  </si>
  <si>
    <t xml:space="preserve"> 050-040-0124-0000</t>
  </si>
  <si>
    <t xml:space="preserve"> 050-040-0130-0000</t>
  </si>
  <si>
    <t xml:space="preserve"> 050-040-0142-0000</t>
  </si>
  <si>
    <t xml:space="preserve"> 050-040-0146-0000</t>
  </si>
  <si>
    <t>0146-DIGESTER GAS</t>
  </si>
  <si>
    <t xml:space="preserve"> 050-040-1100-0000</t>
  </si>
  <si>
    <t xml:space="preserve"> 050-040-1200-0000</t>
  </si>
  <si>
    <t xml:space="preserve"> 050-040-1210-0000</t>
  </si>
  <si>
    <t xml:space="preserve"> 050-040-1299-0000</t>
  </si>
  <si>
    <t>1299-DIESEL/KEROSENE</t>
  </si>
  <si>
    <t xml:space="preserve"> 050-040-1412-0000</t>
  </si>
  <si>
    <t xml:space="preserve"> 050-040-3220-0000</t>
  </si>
  <si>
    <t xml:space="preserve"> 050-045-0110-0000</t>
  </si>
  <si>
    <t xml:space="preserve"> 050-045-1100-0000</t>
  </si>
  <si>
    <t xml:space="preserve"> 050-045-1200-0000</t>
  </si>
  <si>
    <t xml:space="preserve"> 050-045-1299-0000</t>
  </si>
  <si>
    <t xml:space="preserve"> 050-045-1400-0000</t>
  </si>
  <si>
    <t>1400-JET FUEL (UNSPECIFIED)</t>
  </si>
  <si>
    <t xml:space="preserve"> 050-045-1412-0000</t>
  </si>
  <si>
    <t xml:space="preserve"> 050-045-1450-0000</t>
  </si>
  <si>
    <t>1450-JET A FUEL</t>
  </si>
  <si>
    <t xml:space="preserve"> 050-070-0110-0000</t>
  </si>
  <si>
    <t xml:space="preserve"> 050-070-0120-0000</t>
  </si>
  <si>
    <t xml:space="preserve"> 050-070-0130-0000</t>
  </si>
  <si>
    <t xml:space="preserve"> 050-070-0220-0000</t>
  </si>
  <si>
    <t xml:space="preserve"> 050-070-0230-0000</t>
  </si>
  <si>
    <t xml:space="preserve"> 050-070-0240-0000</t>
  </si>
  <si>
    <t xml:space="preserve"> 050-070-1220-0000</t>
  </si>
  <si>
    <t xml:space="preserve"> 050-070-1224-0000</t>
  </si>
  <si>
    <t xml:space="preserve"> 050-070-1500-0000</t>
  </si>
  <si>
    <t xml:space="preserve"> 050-995-0012-0000</t>
  </si>
  <si>
    <t xml:space="preserve"> 050-995-0110-0000</t>
  </si>
  <si>
    <t xml:space="preserve"> 050-995-0120-0000</t>
  </si>
  <si>
    <t xml:space="preserve"> 050-995-0130-0000</t>
  </si>
  <si>
    <t xml:space="preserve"> 050-995-0200-0000</t>
  </si>
  <si>
    <t>0200-SOLID FUEL (UNSPECIFIED)</t>
  </si>
  <si>
    <t xml:space="preserve"> 050-995-1000-0000</t>
  </si>
  <si>
    <t xml:space="preserve"> 050-995-1220-0000</t>
  </si>
  <si>
    <t xml:space="preserve"> 050-995-1500-0000</t>
  </si>
  <si>
    <t xml:space="preserve"> 052-005-0110-0000</t>
  </si>
  <si>
    <t>052-FOOD AND AGRICULTURAL PROCESSING</t>
  </si>
  <si>
    <t xml:space="preserve"> 052-005-0124-0000</t>
  </si>
  <si>
    <t xml:space="preserve"> 052-005-0130-0000</t>
  </si>
  <si>
    <t xml:space="preserve"> 052-005-0144-0000</t>
  </si>
  <si>
    <t>0144-SEWAGE GAS</t>
  </si>
  <si>
    <t xml:space="preserve"> 052-005-0212-0000</t>
  </si>
  <si>
    <t xml:space="preserve"> 052-005-0240-0000</t>
  </si>
  <si>
    <t xml:space="preserve"> 052-005-0254-0000</t>
  </si>
  <si>
    <t xml:space="preserve"> 052-005-1220-0000</t>
  </si>
  <si>
    <t xml:space="preserve"> 052-005-1510-0000</t>
  </si>
  <si>
    <t xml:space="preserve"> 052-005-1530-0000</t>
  </si>
  <si>
    <t xml:space="preserve"> 052-010-0110-0000</t>
  </si>
  <si>
    <t xml:space="preserve"> 052-010-0120-0000</t>
  </si>
  <si>
    <t xml:space="preserve"> 052-010-1224-0000</t>
  </si>
  <si>
    <t xml:space="preserve"> 052-012-0110-0000</t>
  </si>
  <si>
    <t xml:space="preserve"> 052-020-0110-0000</t>
  </si>
  <si>
    <t xml:space="preserve"> 052-040-0110-0000</t>
  </si>
  <si>
    <t xml:space="preserve"> 052-040-0122-0000</t>
  </si>
  <si>
    <t xml:space="preserve"> 052-040-0124-0000</t>
  </si>
  <si>
    <t xml:space="preserve"> 052-040-0146-0000</t>
  </si>
  <si>
    <t xml:space="preserve"> 052-040-1100-0000</t>
  </si>
  <si>
    <t xml:space="preserve"> 052-040-1200-0000</t>
  </si>
  <si>
    <t xml:space="preserve"> 052-040-1412-0000</t>
  </si>
  <si>
    <t xml:space="preserve"> 052-042-0110-0000</t>
  </si>
  <si>
    <t>042-AG. IRRIGATION I.C. ENGINES</t>
  </si>
  <si>
    <t xml:space="preserve"> 052-042-1200-0000</t>
  </si>
  <si>
    <t xml:space="preserve"> 052-042-1200-0010</t>
  </si>
  <si>
    <t>0010-STATIONARY</t>
  </si>
  <si>
    <t xml:space="preserve"> 052-042-1200-0011</t>
  </si>
  <si>
    <t>0011-PORTABLE</t>
  </si>
  <si>
    <t xml:space="preserve"> 052-045-0110-0000</t>
  </si>
  <si>
    <t xml:space="preserve"> 052-045-0146-0000</t>
  </si>
  <si>
    <t xml:space="preserve"> 052-070-0110-0000</t>
  </si>
  <si>
    <t xml:space="preserve"> 052-070-0240-0000</t>
  </si>
  <si>
    <t xml:space="preserve"> 052-995-0110-0000</t>
  </si>
  <si>
    <t xml:space="preserve"> 052-995-1000-0000</t>
  </si>
  <si>
    <t xml:space="preserve"> 060-005-0012-0000</t>
  </si>
  <si>
    <t>060-SERVICE AND COMMERCIAL</t>
  </si>
  <si>
    <t xml:space="preserve"> 060-005-0110-0000</t>
  </si>
  <si>
    <t xml:space="preserve"> 060-005-0112-0000</t>
  </si>
  <si>
    <t xml:space="preserve"> 060-005-0124-0000</t>
  </si>
  <si>
    <t xml:space="preserve"> 060-005-0130-0000</t>
  </si>
  <si>
    <t xml:space="preserve"> 060-005-0142-0000</t>
  </si>
  <si>
    <t xml:space="preserve"> 060-005-0144-0000</t>
  </si>
  <si>
    <t xml:space="preserve"> 060-005-0212-0000</t>
  </si>
  <si>
    <t xml:space="preserve"> 060-005-0218-0000</t>
  </si>
  <si>
    <t xml:space="preserve"> 060-005-0240-0000</t>
  </si>
  <si>
    <t xml:space="preserve"> 060-005-0243-0000</t>
  </si>
  <si>
    <t xml:space="preserve"> 060-005-1220-0000</t>
  </si>
  <si>
    <t xml:space="preserve"> 060-005-1520-0000</t>
  </si>
  <si>
    <t xml:space="preserve"> 060-005-1530-0000</t>
  </si>
  <si>
    <t xml:space="preserve"> 060-010-0110-0000</t>
  </si>
  <si>
    <t xml:space="preserve"> 060-010-0120-0000</t>
  </si>
  <si>
    <t xml:space="preserve"> 060-010-0130-0000</t>
  </si>
  <si>
    <t xml:space="preserve"> 060-010-0142-0000</t>
  </si>
  <si>
    <t xml:space="preserve"> 060-010-1224-0000</t>
  </si>
  <si>
    <t xml:space="preserve"> 060-012-0110-0000</t>
  </si>
  <si>
    <t xml:space="preserve"> 060-012-0120-0000</t>
  </si>
  <si>
    <t xml:space="preserve"> 060-020-0110-0000</t>
  </si>
  <si>
    <t xml:space="preserve"> 060-020-0120-0000</t>
  </si>
  <si>
    <t xml:space="preserve"> 060-020-1220-0000</t>
  </si>
  <si>
    <t xml:space="preserve"> 060-030-0110-0000</t>
  </si>
  <si>
    <t>030-WATER HEATING</t>
  </si>
  <si>
    <t xml:space="preserve"> 060-040-0012-0000</t>
  </si>
  <si>
    <t xml:space="preserve"> 060-040-0110-0000</t>
  </si>
  <si>
    <t xml:space="preserve"> 060-040-0122-0000</t>
  </si>
  <si>
    <t xml:space="preserve"> 060-040-0124-0000</t>
  </si>
  <si>
    <t xml:space="preserve"> 060-040-0130-0000</t>
  </si>
  <si>
    <t xml:space="preserve"> 060-040-0142-0000</t>
  </si>
  <si>
    <t xml:space="preserve"> 060-040-0146-0000</t>
  </si>
  <si>
    <t xml:space="preserve"> 060-040-1000-0000</t>
  </si>
  <si>
    <t xml:space="preserve"> 060-040-1100-0000</t>
  </si>
  <si>
    <t xml:space="preserve"> 060-040-1200-0000</t>
  </si>
  <si>
    <t xml:space="preserve"> 060-040-1210-0000</t>
  </si>
  <si>
    <t xml:space="preserve"> 060-040-1220-0000</t>
  </si>
  <si>
    <t xml:space="preserve"> 060-040-1299-0000</t>
  </si>
  <si>
    <t xml:space="preserve"> 060-040-1412-0000</t>
  </si>
  <si>
    <t xml:space="preserve"> 060-045-0012-0000</t>
  </si>
  <si>
    <t xml:space="preserve"> 060-045-0110-0000</t>
  </si>
  <si>
    <t xml:space="preserve"> 060-045-0142-0000</t>
  </si>
  <si>
    <t xml:space="preserve"> 060-045-0146-0000</t>
  </si>
  <si>
    <t xml:space="preserve"> 060-045-1200-0000</t>
  </si>
  <si>
    <t xml:space="preserve"> 060-045-1299-0000</t>
  </si>
  <si>
    <t xml:space="preserve"> 060-045-1300-0000</t>
  </si>
  <si>
    <t>1300-KEROSENE</t>
  </si>
  <si>
    <t xml:space="preserve"> 060-045-1400-0000</t>
  </si>
  <si>
    <t xml:space="preserve"> 060-045-1412-0000</t>
  </si>
  <si>
    <t xml:space="preserve"> 060-045-1420-0000</t>
  </si>
  <si>
    <t>1420-JET NAPHTHA  (JP-4)</t>
  </si>
  <si>
    <t xml:space="preserve"> 060-045-1430-0000</t>
  </si>
  <si>
    <t>1430-JET NAPHTHA  (JP-5)</t>
  </si>
  <si>
    <t xml:space="preserve"> 060-045-1450-0000</t>
  </si>
  <si>
    <t xml:space="preserve"> 060-070-0110-0000</t>
  </si>
  <si>
    <t xml:space="preserve"> 060-070-0120-0000</t>
  </si>
  <si>
    <t xml:space="preserve"> 060-070-0230-0000</t>
  </si>
  <si>
    <t xml:space="preserve"> 060-070-0240-0000</t>
  </si>
  <si>
    <t xml:space="preserve"> 060-070-1220-0000</t>
  </si>
  <si>
    <t xml:space="preserve"> 060-995-0012-0000</t>
  </si>
  <si>
    <t xml:space="preserve"> 060-995-0110-0000</t>
  </si>
  <si>
    <t xml:space="preserve"> 060-995-0110-0005</t>
  </si>
  <si>
    <t>0005-OTHER &lt;1MMBTU/HR (SMAQMD ONLY)</t>
  </si>
  <si>
    <t xml:space="preserve"> 060-995-0110-0007</t>
  </si>
  <si>
    <t>0007-OTHER-INTERNAL (SC ONLY)</t>
  </si>
  <si>
    <t xml:space="preserve"> 060-995-0110-0008</t>
  </si>
  <si>
    <t>0008-OTHER-EXTERNAL (SC ONLY)</t>
  </si>
  <si>
    <t xml:space="preserve"> 060-995-0120-0000</t>
  </si>
  <si>
    <t xml:space="preserve"> 060-995-0200-0000</t>
  </si>
  <si>
    <t xml:space="preserve"> 060-995-1220-0000</t>
  </si>
  <si>
    <t xml:space="preserve"> 060-995-1500-0000</t>
  </si>
  <si>
    <t xml:space="preserve"> 099-010-0110-0000</t>
  </si>
  <si>
    <t>099-OTHER (FUEL COMBUSTION)</t>
  </si>
  <si>
    <t xml:space="preserve"> 099-010-0120-0000</t>
  </si>
  <si>
    <t xml:space="preserve"> 099-040-1200-0000</t>
  </si>
  <si>
    <t xml:space="preserve"> 099-080-0012-0000</t>
  </si>
  <si>
    <t>080-RESOURCE RECOVERY</t>
  </si>
  <si>
    <t xml:space="preserve"> 099-995-0000-0000</t>
  </si>
  <si>
    <t>0000-MATERIAL NOT SPECIFIED</t>
  </si>
  <si>
    <t xml:space="preserve"> 099-995-0012-0000</t>
  </si>
  <si>
    <t xml:space="preserve"> 099-995-1300-0000</t>
  </si>
  <si>
    <t xml:space="preserve"> 099-995-1400-0000</t>
  </si>
  <si>
    <t xml:space="preserve"> 110-110-0300-0000</t>
  </si>
  <si>
    <t>110-SEWAGE TREATMENT</t>
  </si>
  <si>
    <t>110-SEWAGE TREATMENT PLANTS</t>
  </si>
  <si>
    <t>0300-LIQUID WASTE (UNSPECIFIED)</t>
  </si>
  <si>
    <t xml:space="preserve"> 110-110-0324-0000</t>
  </si>
  <si>
    <t>0324-SLUDGE (UNSPECIFIED)</t>
  </si>
  <si>
    <t xml:space="preserve"> 110-130-0264-0000</t>
  </si>
  <si>
    <t>130-INCINERATION</t>
  </si>
  <si>
    <t>0264-SEWAGE SLUDGE</t>
  </si>
  <si>
    <t xml:space="preserve"> 110-132-0110-0000</t>
  </si>
  <si>
    <t>132-FLARES</t>
  </si>
  <si>
    <t xml:space="preserve"> 110-132-0130-0000</t>
  </si>
  <si>
    <t xml:space="preserve"> 110-132-0136-0000</t>
  </si>
  <si>
    <t>0136-WASTE GAS</t>
  </si>
  <si>
    <t xml:space="preserve"> 110-132-0146-0000</t>
  </si>
  <si>
    <t xml:space="preserve"> 110-995-0110-0000</t>
  </si>
  <si>
    <t xml:space="preserve"> 110-995-0300-0000</t>
  </si>
  <si>
    <t xml:space="preserve"> 110-995-1220-0000</t>
  </si>
  <si>
    <t xml:space="preserve"> 120-120-0240-0000</t>
  </si>
  <si>
    <t>120-LANDFILLS</t>
  </si>
  <si>
    <t>120-CLASS I LANDFILLS</t>
  </si>
  <si>
    <t xml:space="preserve"> 120-122-0240-0000</t>
  </si>
  <si>
    <t>122-CLASS II AND III LANDFILLS</t>
  </si>
  <si>
    <t xml:space="preserve"> 120-122-0242-0000</t>
  </si>
  <si>
    <t>0242-MUNICIPAL SOLID WASTE (MSW)</t>
  </si>
  <si>
    <t xml:space="preserve"> 120-124-5400-0000</t>
  </si>
  <si>
    <t>124-FUGITIVE DUST</t>
  </si>
  <si>
    <t xml:space="preserve"> 120-132-0136-0000</t>
  </si>
  <si>
    <t xml:space="preserve"> 120-995-0240-0000</t>
  </si>
  <si>
    <t xml:space="preserve"> 120-995-3000-0000</t>
  </si>
  <si>
    <t>3000-ORGANIC CHEMICALS (UNSPECIFIED)</t>
  </si>
  <si>
    <t xml:space="preserve"> 130-130-0110-0000</t>
  </si>
  <si>
    <t>130-INCINERATORS</t>
  </si>
  <si>
    <t xml:space="preserve"> 130-130-0130-0000</t>
  </si>
  <si>
    <t xml:space="preserve"> 130-130-0230-0000</t>
  </si>
  <si>
    <t xml:space="preserve"> 130-130-0240-0000</t>
  </si>
  <si>
    <t xml:space="preserve"> 130-130-0266-0000</t>
  </si>
  <si>
    <t>0266-PATHOLOGICAL WASTE</t>
  </si>
  <si>
    <t xml:space="preserve"> 130-130-1500-0000</t>
  </si>
  <si>
    <t xml:space="preserve"> 130-132-0110-0000</t>
  </si>
  <si>
    <t xml:space="preserve"> 130-132-0130-0000</t>
  </si>
  <si>
    <t xml:space="preserve"> 130-132-0136-0000</t>
  </si>
  <si>
    <t xml:space="preserve"> 130-995-0110-0000</t>
  </si>
  <si>
    <t xml:space="preserve"> 130-995-0120-0000</t>
  </si>
  <si>
    <t xml:space="preserve"> 130-995-0266-0000</t>
  </si>
  <si>
    <t xml:space="preserve"> 130-995-1220-0000</t>
  </si>
  <si>
    <t xml:space="preserve"> 140-140-0010-0000</t>
  </si>
  <si>
    <t>140-SOIL REMEDIATION</t>
  </si>
  <si>
    <t>140-AERATION/LANDFARMING</t>
  </si>
  <si>
    <t>0010-HYDROCARBON COMPOUNDS (UNSPECIFIED)</t>
  </si>
  <si>
    <t xml:space="preserve"> 140-995-0010-0000</t>
  </si>
  <si>
    <t xml:space="preserve"> 140-995-0110-0000</t>
  </si>
  <si>
    <t xml:space="preserve"> 140-995-0120-0000</t>
  </si>
  <si>
    <t xml:space="preserve"> 140-995-0240-0000</t>
  </si>
  <si>
    <t xml:space="preserve"> 140-995-0300-0000</t>
  </si>
  <si>
    <t xml:space="preserve"> 199-130-0136-0000</t>
  </si>
  <si>
    <t>199-OTHER (WASTE DISPOSAL)</t>
  </si>
  <si>
    <t xml:space="preserve"> 199-170-0240-0000</t>
  </si>
  <si>
    <t>170-COMPOSTING</t>
  </si>
  <si>
    <t xml:space="preserve"> 199-170-0260-0000</t>
  </si>
  <si>
    <t>0260-BIOLOGICAL WASTE (UNSPECIFIED)</t>
  </si>
  <si>
    <t xml:space="preserve"> 199-190-0010-0000</t>
  </si>
  <si>
    <t>190-VOLATILE ORGANIC WASTE DISPOSAL (EVAPORATION)</t>
  </si>
  <si>
    <t xml:space="preserve"> 199-190-0300-0000</t>
  </si>
  <si>
    <t xml:space="preserve"> 199-995-0000-0000</t>
  </si>
  <si>
    <t xml:space="preserve"> 199-995-0240-0000</t>
  </si>
  <si>
    <t xml:space="preserve"> 199-995-0260-0000</t>
  </si>
  <si>
    <t xml:space="preserve"> 199-995-0300-0000</t>
  </si>
  <si>
    <t xml:space="preserve"> 199-995-0324-0000</t>
  </si>
  <si>
    <t xml:space="preserve"> 199-995-1600-0000</t>
  </si>
  <si>
    <t xml:space="preserve"> 199-995-3000-0000</t>
  </si>
  <si>
    <t xml:space="preserve"> 199-995-7004-0000</t>
  </si>
  <si>
    <t>7004-ASBESTOS</t>
  </si>
  <si>
    <t xml:space="preserve"> 210-200-3300-0000</t>
  </si>
  <si>
    <t>210-LAUNDERING</t>
  </si>
  <si>
    <t>200-DRY CLEANING</t>
  </si>
  <si>
    <t>3300-PERCHLOROETHYLENE</t>
  </si>
  <si>
    <t xml:space="preserve"> 210-200-3328-0000</t>
  </si>
  <si>
    <t>3328-STODDARD SOLVENT</t>
  </si>
  <si>
    <t xml:space="preserve"> 210-200-8000-0000</t>
  </si>
  <si>
    <t>8000-SOLVENTS (UNSPECIFIED)</t>
  </si>
  <si>
    <t xml:space="preserve"> 210-200-8100-0000</t>
  </si>
  <si>
    <t>8100-DEGREASING SOLVENTS (UNSPECIFIED)</t>
  </si>
  <si>
    <t xml:space="preserve"> 210-200-8102-0000</t>
  </si>
  <si>
    <t>8102-SYNTHETIC (HALOGENATED ORGANIC) DEGREASING SOLVENTS (UNSPEC)</t>
  </si>
  <si>
    <t xml:space="preserve"> 210-200-8150-0000</t>
  </si>
  <si>
    <t>8150-NON-SYNTHETIC (PETROLEUM BASED) DEGREASING SOLVENTS (UNSPEC)</t>
  </si>
  <si>
    <t xml:space="preserve"> 210-202-8000-0000</t>
  </si>
  <si>
    <t>202-COMMERCIAL LAUNDRIES</t>
  </si>
  <si>
    <t xml:space="preserve"> 210-995-5630-0000</t>
  </si>
  <si>
    <t>5630-TEXTILES/FABRICS</t>
  </si>
  <si>
    <t xml:space="preserve"> 220-204-0500-0000</t>
  </si>
  <si>
    <t>220-DEGREASING</t>
  </si>
  <si>
    <t>204-COLD CLEANING (BATCH - CONVEYOR - SPRAY GUN)</t>
  </si>
  <si>
    <t>0500-PETROLEUM NAPHTHA</t>
  </si>
  <si>
    <t xml:space="preserve"> 220-204-3008-0000</t>
  </si>
  <si>
    <t>3008-ACETONE</t>
  </si>
  <si>
    <t xml:space="preserve"> 220-204-3022-0000</t>
  </si>
  <si>
    <t>3022-ALCOHOLS (UNSPECIFIED)</t>
  </si>
  <si>
    <t xml:space="preserve"> 220-204-3083-0000</t>
  </si>
  <si>
    <t>3083-CHLOROFLUOROCARBONS (UNSPECIFIED)</t>
  </si>
  <si>
    <t xml:space="preserve"> 220-204-3176-0000</t>
  </si>
  <si>
    <t>3176-GLYCOL ETHERS (UNSPECIFIED)</t>
  </si>
  <si>
    <t xml:space="preserve"> 220-204-3202-0000</t>
  </si>
  <si>
    <t>3202-ISOPROPANOL (ISOPROPYL ALCOHOL)</t>
  </si>
  <si>
    <t xml:space="preserve"> 220-204-3204-0000</t>
  </si>
  <si>
    <t>3204-KETONES (UNSPECIFIED)</t>
  </si>
  <si>
    <t xml:space="preserve"> 220-204-3220-0000</t>
  </si>
  <si>
    <t xml:space="preserve"> 220-204-3232-0000</t>
  </si>
  <si>
    <t>3232-METHYL ETHYL KETONE (MEK)</t>
  </si>
  <si>
    <t xml:space="preserve"> 220-204-3246-0000</t>
  </si>
  <si>
    <t>3246-METHYLENE CHLORIDE (DICHLOROMETHANE)</t>
  </si>
  <si>
    <t xml:space="preserve"> 220-204-3300-0000</t>
  </si>
  <si>
    <t xml:space="preserve"> 220-204-3333-0000</t>
  </si>
  <si>
    <t>3333-TERPENES (UNSPECIFIED)</t>
  </si>
  <si>
    <t xml:space="preserve"> 220-204-3339-0000</t>
  </si>
  <si>
    <t>3339-TOLUENE/XYLENE</t>
  </si>
  <si>
    <t xml:space="preserve"> 220-204-3344-0000</t>
  </si>
  <si>
    <t>3344-1_1_1_-TRICHLOROETHANE (TCA)</t>
  </si>
  <si>
    <t xml:space="preserve"> 220-204-3346-0000</t>
  </si>
  <si>
    <t>3346-TRICHLOROETHYLENE (TCE)</t>
  </si>
  <si>
    <t xml:space="preserve"> 220-204-8104-0000</t>
  </si>
  <si>
    <t>8104-DEGREASING SOLVENTS - PURE (UNSPECIFIED)</t>
  </si>
  <si>
    <t xml:space="preserve"> 220-204-8106-0000</t>
  </si>
  <si>
    <t>8106-DEGREASING SOLVENTS - BLENDS (UNSPECIFIED)</t>
  </si>
  <si>
    <t xml:space="preserve"> 220-206-3083-0000</t>
  </si>
  <si>
    <t>206-VAPOR DEGREASING (BATCH - CONVEYOR)</t>
  </si>
  <si>
    <t xml:space="preserve"> 220-206-3107-0000</t>
  </si>
  <si>
    <t>3107-DICHLOROFLUOROETHANE (HCFC-141B)</t>
  </si>
  <si>
    <t xml:space="preserve"> 220-206-3300-0000</t>
  </si>
  <si>
    <t xml:space="preserve"> 220-206-3301-0000</t>
  </si>
  <si>
    <t>3301-PERFLUOROCARBONS (UNSPECIFIED)</t>
  </si>
  <si>
    <t xml:space="preserve"> 220-206-3328-0000</t>
  </si>
  <si>
    <t xml:space="preserve"> 220-206-3338-0000</t>
  </si>
  <si>
    <t>3338-TOLUENE</t>
  </si>
  <si>
    <t xml:space="preserve"> 220-206-3344-0000</t>
  </si>
  <si>
    <t xml:space="preserve"> 220-206-3346-0000</t>
  </si>
  <si>
    <t xml:space="preserve"> 220-206-8106-0000</t>
  </si>
  <si>
    <t xml:space="preserve"> 220-208-0500-0000</t>
  </si>
  <si>
    <t>208-HANDWIPING</t>
  </si>
  <si>
    <t xml:space="preserve"> 220-208-3022-0000</t>
  </si>
  <si>
    <t xml:space="preserve"> 220-208-3083-0000</t>
  </si>
  <si>
    <t xml:space="preserve"> 220-208-3107-0000</t>
  </si>
  <si>
    <t xml:space="preserve"> 220-208-3176-0000</t>
  </si>
  <si>
    <t xml:space="preserve"> 220-208-3204-0000</t>
  </si>
  <si>
    <t xml:space="preserve"> 220-208-3246-0000</t>
  </si>
  <si>
    <t xml:space="preserve"> 220-208-3300-0000</t>
  </si>
  <si>
    <t xml:space="preserve"> 220-208-3333-0000</t>
  </si>
  <si>
    <t xml:space="preserve"> 220-208-3339-0000</t>
  </si>
  <si>
    <t xml:space="preserve"> 220-208-3344-0000</t>
  </si>
  <si>
    <t xml:space="preserve"> 220-208-3346-0000</t>
  </si>
  <si>
    <t xml:space="preserve"> 220-208-8104-0000</t>
  </si>
  <si>
    <t xml:space="preserve"> 220-208-8106-0000</t>
  </si>
  <si>
    <t xml:space="preserve"> 220-995-3000-0000</t>
  </si>
  <si>
    <t xml:space="preserve"> 230-215-9000-0000</t>
  </si>
  <si>
    <t>230-COATINGS AND RELATED PROCESS SOLVENTS</t>
  </si>
  <si>
    <t>215-AUTO REFINISING - COLOR COATINGS</t>
  </si>
  <si>
    <t>9000-COATINGS (UNSPECIFIED)</t>
  </si>
  <si>
    <t xml:space="preserve"> 230-216-8350-0000</t>
  </si>
  <si>
    <t>216-PREPARATION SOLVENTS</t>
  </si>
  <si>
    <t>8350-CLEANUP SOLVENTS - COATINGS  (UNSPECIFIED)</t>
  </si>
  <si>
    <t xml:space="preserve"> 230-218-8000-0000</t>
  </si>
  <si>
    <t>218-AUTO REFINISHING</t>
  </si>
  <si>
    <t xml:space="preserve"> 230-218-9000-0000</t>
  </si>
  <si>
    <t xml:space="preserve"> 230-218-9010-0000</t>
  </si>
  <si>
    <t>9010-SEALERS (UNSPECIFIED)</t>
  </si>
  <si>
    <t xml:space="preserve"> 230-218-9020-0000</t>
  </si>
  <si>
    <t>9020-PRIMERS (UNSPECIFIED)</t>
  </si>
  <si>
    <t xml:space="preserve"> 230-218-9040-0000</t>
  </si>
  <si>
    <t>9040-VARNISHES/SHELLACS (UNSPECIFIED)</t>
  </si>
  <si>
    <t xml:space="preserve"> 230-218-9050-0000</t>
  </si>
  <si>
    <t>9050-TOPCOATS (UNSPECIFIED)</t>
  </si>
  <si>
    <t xml:space="preserve"> 230-218-9052-0000</t>
  </si>
  <si>
    <t>9052-ENAMEL TOPCOATS (UNSPECIFIED)</t>
  </si>
  <si>
    <t xml:space="preserve"> 230-218-9054-0000</t>
  </si>
  <si>
    <t>9054-LACQUER TOPCOATS (UNSPECIFIED)</t>
  </si>
  <si>
    <t xml:space="preserve"> 230-218-9100-0000</t>
  </si>
  <si>
    <t>9100-OIL BASED (ORGANIC SOLVENT BASED) COATINGS (UNSPECIFIED)</t>
  </si>
  <si>
    <t xml:space="preserve"> 230-218-9200-0000</t>
  </si>
  <si>
    <t>9200-WATER BASED COATINGS (UNSPECIFIED)</t>
  </si>
  <si>
    <t xml:space="preserve"> 230-219-8300-0000</t>
  </si>
  <si>
    <t>219-AUTO REFINISHING - SOLVENTS</t>
  </si>
  <si>
    <t>8300-THINNING AND CLEANUP SOLVENTS - COATINGS  (UNSPECIFIED)</t>
  </si>
  <si>
    <t xml:space="preserve"> 230-220-9000-0000</t>
  </si>
  <si>
    <t>220-MARINE COATINGS</t>
  </si>
  <si>
    <t xml:space="preserve"> 230-220-9020-0000</t>
  </si>
  <si>
    <t xml:space="preserve"> 230-220-9040-0000</t>
  </si>
  <si>
    <t xml:space="preserve"> 230-220-9050-0000</t>
  </si>
  <si>
    <t xml:space="preserve"> 230-220-9052-0000</t>
  </si>
  <si>
    <t xml:space="preserve"> 230-220-9100-0000</t>
  </si>
  <si>
    <t xml:space="preserve"> 230-222-9000-0000</t>
  </si>
  <si>
    <t>222-PAPER COATINGS</t>
  </si>
  <si>
    <t xml:space="preserve"> 230-222-9020-0000</t>
  </si>
  <si>
    <t xml:space="preserve"> 230-222-9040-0000</t>
  </si>
  <si>
    <t xml:space="preserve"> 230-222-9052-0000</t>
  </si>
  <si>
    <t xml:space="preserve"> 230-222-9100-0000</t>
  </si>
  <si>
    <t xml:space="preserve"> 230-224-9000-0000</t>
  </si>
  <si>
    <t>224-FABRIC COATINGS</t>
  </si>
  <si>
    <t xml:space="preserve"> 230-224-9052-0000</t>
  </si>
  <si>
    <t xml:space="preserve"> 230-224-9100-0000</t>
  </si>
  <si>
    <t xml:space="preserve"> 230-224-9200-0000</t>
  </si>
  <si>
    <t xml:space="preserve"> 230-226-9000-0000</t>
  </si>
  <si>
    <t>226-METAL FURNITURE AND FIXTURE COATINGS</t>
  </si>
  <si>
    <t xml:space="preserve"> 230-226-9020-0000</t>
  </si>
  <si>
    <t xml:space="preserve"> 230-226-9040-0000</t>
  </si>
  <si>
    <t xml:space="preserve"> 230-226-9052-0000</t>
  </si>
  <si>
    <t xml:space="preserve"> 230-226-9054-0000</t>
  </si>
  <si>
    <t xml:space="preserve"> 230-226-9100-0000</t>
  </si>
  <si>
    <t xml:space="preserve"> 230-226-9200-0000</t>
  </si>
  <si>
    <t xml:space="preserve"> 230-228-9000-0000</t>
  </si>
  <si>
    <t>228-CAN AND COIL COATINGS</t>
  </si>
  <si>
    <t xml:space="preserve"> 230-228-9020-0000</t>
  </si>
  <si>
    <t xml:space="preserve"> 230-228-9040-0000</t>
  </si>
  <si>
    <t xml:space="preserve"> 230-228-9050-0000</t>
  </si>
  <si>
    <t xml:space="preserve"> 230-228-9052-0000</t>
  </si>
  <si>
    <t xml:space="preserve"> 230-228-9054-0000</t>
  </si>
  <si>
    <t xml:space="preserve"> 230-228-9057-0000</t>
  </si>
  <si>
    <t>9057-BASECOATS (UNSPECIFIED)</t>
  </si>
  <si>
    <t xml:space="preserve"> 230-228-9100-0000</t>
  </si>
  <si>
    <t xml:space="preserve"> 230-228-9200-0000</t>
  </si>
  <si>
    <t xml:space="preserve"> 230-230-9000-0000</t>
  </si>
  <si>
    <t>230-METAL PARTS AND PRODUCTS COATINGS</t>
  </si>
  <si>
    <t xml:space="preserve"> 230-230-9020-0000</t>
  </si>
  <si>
    <t xml:space="preserve"> 230-230-9040-0000</t>
  </si>
  <si>
    <t xml:space="preserve"> 230-230-9050-0000</t>
  </si>
  <si>
    <t xml:space="preserve"> 230-230-9052-0000</t>
  </si>
  <si>
    <t xml:space="preserve"> 230-230-9054-0000</t>
  </si>
  <si>
    <t xml:space="preserve"> 230-230-9100-0000</t>
  </si>
  <si>
    <t xml:space="preserve"> 230-230-9120-0000</t>
  </si>
  <si>
    <t>9120-OIL BASED PRIMERS</t>
  </si>
  <si>
    <t xml:space="preserve"> 230-230-9200-0000</t>
  </si>
  <si>
    <t xml:space="preserve"> 230-232-9000-0000</t>
  </si>
  <si>
    <t>232-WOOD FURNITURE AND FABRICATED PRODUCTS COATINGS</t>
  </si>
  <si>
    <t xml:space="preserve"> 230-232-9020-0000</t>
  </si>
  <si>
    <t xml:space="preserve"> 230-232-9040-0000</t>
  </si>
  <si>
    <t xml:space="preserve"> 230-232-9052-0000</t>
  </si>
  <si>
    <t xml:space="preserve"> 230-232-9054-0000</t>
  </si>
  <si>
    <t xml:space="preserve"> 230-232-9100-0000</t>
  </si>
  <si>
    <t xml:space="preserve"> 230-232-9200-0000</t>
  </si>
  <si>
    <t xml:space="preserve"> 230-234-9000-0000</t>
  </si>
  <si>
    <t>234-FLATWOOD PRODUCTS</t>
  </si>
  <si>
    <t xml:space="preserve"> 230-234-9010-0000</t>
  </si>
  <si>
    <t xml:space="preserve"> 230-234-9040-0000</t>
  </si>
  <si>
    <t xml:space="preserve"> 230-234-9050-0000</t>
  </si>
  <si>
    <t xml:space="preserve"> 230-234-9057-0000</t>
  </si>
  <si>
    <t xml:space="preserve"> 230-234-9100-0000</t>
  </si>
  <si>
    <t xml:space="preserve"> 230-234-9200-0000</t>
  </si>
  <si>
    <t xml:space="preserve"> 230-236-9000-0000</t>
  </si>
  <si>
    <t>236-PLASTIC PARTS</t>
  </si>
  <si>
    <t xml:space="preserve"> 230-236-9020-0000</t>
  </si>
  <si>
    <t xml:space="preserve"> 230-236-9054-0000</t>
  </si>
  <si>
    <t xml:space="preserve"> 230-236-9100-0000</t>
  </si>
  <si>
    <t xml:space="preserve"> 230-236-9200-0000</t>
  </si>
  <si>
    <t xml:space="preserve"> 230-237-9000-0000</t>
  </si>
  <si>
    <t>237-SEMICONDUCTOR COATINGS</t>
  </si>
  <si>
    <t xml:space="preserve"> 230-238-9000-0000</t>
  </si>
  <si>
    <t>238-AIRCRAFT AND AEROSPACE COATINGS</t>
  </si>
  <si>
    <t xml:space="preserve"> 230-238-9020-0000</t>
  </si>
  <si>
    <t xml:space="preserve"> 230-238-9050-0000</t>
  </si>
  <si>
    <t xml:space="preserve"> 230-238-9052-0000</t>
  </si>
  <si>
    <t xml:space="preserve"> 230-238-9054-0000</t>
  </si>
  <si>
    <t xml:space="preserve"> 230-238-9100-0000</t>
  </si>
  <si>
    <t xml:space="preserve"> 230-238-9200-0000</t>
  </si>
  <si>
    <t xml:space="preserve"> 230-240-0500-0000</t>
  </si>
  <si>
    <t>240-THINNING AND CLEANUP SOLVENT USES</t>
  </si>
  <si>
    <t xml:space="preserve"> 230-240-1300-0000</t>
  </si>
  <si>
    <t xml:space="preserve"> 230-240-3008-0000</t>
  </si>
  <si>
    <t xml:space="preserve"> 230-240-3060-0000</t>
  </si>
  <si>
    <t>3060-BUTYL ACETATE</t>
  </si>
  <si>
    <t xml:space="preserve"> 230-240-3076-0000</t>
  </si>
  <si>
    <t>3076-CELLOSOLVE</t>
  </si>
  <si>
    <t xml:space="preserve"> 230-240-3116-0000</t>
  </si>
  <si>
    <t>3116-DIMETHYLFORMAMIDE (DMF)</t>
  </si>
  <si>
    <t xml:space="preserve"> 230-240-3128-0000</t>
  </si>
  <si>
    <t>3128-ETHANOL (ETHYL ALCOHOL)</t>
  </si>
  <si>
    <t xml:space="preserve"> 230-240-3182-0000</t>
  </si>
  <si>
    <t>3182-HEXYLENE GLYCOL</t>
  </si>
  <si>
    <t xml:space="preserve"> 230-240-3200-0000</t>
  </si>
  <si>
    <t>3200-ISOPROPYL ACETATE</t>
  </si>
  <si>
    <t xml:space="preserve"> 230-240-3202-0000</t>
  </si>
  <si>
    <t xml:space="preserve"> 230-240-3220-0000</t>
  </si>
  <si>
    <t xml:space="preserve"> 230-240-3230-0000</t>
  </si>
  <si>
    <t>3230-METHYL CHLORIDE (CHLOROMETHANE)</t>
  </si>
  <si>
    <t xml:space="preserve"> 230-240-3232-0000</t>
  </si>
  <si>
    <t xml:space="preserve"> 230-240-3252-0000</t>
  </si>
  <si>
    <t>3252-MINERAL SPIRITS</t>
  </si>
  <si>
    <t xml:space="preserve"> 230-240-3256-0000</t>
  </si>
  <si>
    <t>3256-N-BUTANOL (N-BUTYL ALCOHOL)</t>
  </si>
  <si>
    <t xml:space="preserve"> 230-240-3338-0000</t>
  </si>
  <si>
    <t xml:space="preserve"> 230-240-3360-0000</t>
  </si>
  <si>
    <t>3360-TURPENTINE</t>
  </si>
  <si>
    <t xml:space="preserve"> 230-240-3372-0000</t>
  </si>
  <si>
    <t>3372-XYLENES_ MIXED (UNSPECIFIED)</t>
  </si>
  <si>
    <t xml:space="preserve"> 230-240-8300-0000</t>
  </si>
  <si>
    <t xml:space="preserve"> 230-240-8302-0000</t>
  </si>
  <si>
    <t>8302-THINNING SOLVENTS - COATINGS  (UNSPECIFIED)</t>
  </si>
  <si>
    <t xml:space="preserve"> 230-240-8350-0000</t>
  </si>
  <si>
    <t xml:space="preserve"> 230-995-9000-0000</t>
  </si>
  <si>
    <t xml:space="preserve"> 230-995-9020-0000</t>
  </si>
  <si>
    <t xml:space="preserve"> 230-995-9040-0000</t>
  </si>
  <si>
    <t xml:space="preserve"> 230-995-9050-0000</t>
  </si>
  <si>
    <t xml:space="preserve"> 230-995-9052-0000</t>
  </si>
  <si>
    <t xml:space="preserve"> 230-995-9054-0000</t>
  </si>
  <si>
    <t xml:space="preserve"> 230-995-9100-0000</t>
  </si>
  <si>
    <t xml:space="preserve"> 230-995-9200-0000</t>
  </si>
  <si>
    <t xml:space="preserve"> 240-240-3128-0000</t>
  </si>
  <si>
    <t>240-PRINTING</t>
  </si>
  <si>
    <t xml:space="preserve"> 240-240-3202-0000</t>
  </si>
  <si>
    <t xml:space="preserve"> 240-240-3314-0000</t>
  </si>
  <si>
    <t>3314-PROPANOL (N-PROPYL ALCOHOL)</t>
  </si>
  <si>
    <t xml:space="preserve"> 240-240-8000-0000</t>
  </si>
  <si>
    <t xml:space="preserve"> 240-240-8302-0000</t>
  </si>
  <si>
    <t xml:space="preserve"> 240-240-8350-0000</t>
  </si>
  <si>
    <t xml:space="preserve"> 240-260-8400-0000</t>
  </si>
  <si>
    <t>260-ROTOGRAVURE</t>
  </si>
  <si>
    <t>8400-INK (UNSPECIFIED)</t>
  </si>
  <si>
    <t xml:space="preserve"> 240-262-8400-0000</t>
  </si>
  <si>
    <t>262-FLEXOGRAPHIC</t>
  </si>
  <si>
    <t xml:space="preserve"> 240-264-8000-0000</t>
  </si>
  <si>
    <t>264-LITHOGRAPHIC</t>
  </si>
  <si>
    <t xml:space="preserve"> 240-264-8400-0000</t>
  </si>
  <si>
    <t xml:space="preserve"> 240-266-8350-0000</t>
  </si>
  <si>
    <t>266-LETTER PRESS</t>
  </si>
  <si>
    <t xml:space="preserve"> 240-266-8400-0000</t>
  </si>
  <si>
    <t xml:space="preserve"> 240-268-8400-0000</t>
  </si>
  <si>
    <t>268-SCREEN PRINTING</t>
  </si>
  <si>
    <t xml:space="preserve"> 240-995-8000-0000</t>
  </si>
  <si>
    <t xml:space="preserve"> 240-995-8400-0000</t>
  </si>
  <si>
    <t xml:space="preserve"> 250-292-8200-0000</t>
  </si>
  <si>
    <t>250-ADHESIVES AND SEALANTS</t>
  </si>
  <si>
    <t>292-ADHESIVES AND SEALANTS</t>
  </si>
  <si>
    <t>8200-ADHESIVES AND SEALANTS (UNSPECIFIED)</t>
  </si>
  <si>
    <t xml:space="preserve"> 250-292-8202-0000</t>
  </si>
  <si>
    <t>8202-ORGANIC SOLVENT BASED ADHESIVES AND SEALANTS (UNSPECIFIED)</t>
  </si>
  <si>
    <t xml:space="preserve"> 250-292-8250-0000</t>
  </si>
  <si>
    <t>8250-WATER BASED ADHESIVES AND SEALANTS (UNSPECIFIED)</t>
  </si>
  <si>
    <t xml:space="preserve"> 299-995-0000-0000</t>
  </si>
  <si>
    <t>299-OTHER (CLEANING AND SURFACE COATINGS)</t>
  </si>
  <si>
    <t xml:space="preserve"> 299-995-0010-0000</t>
  </si>
  <si>
    <t xml:space="preserve"> 299-995-3158-0000</t>
  </si>
  <si>
    <t>3158-ETHYLENE OXIDE</t>
  </si>
  <si>
    <t xml:space="preserve"> 299-995-8000-0000</t>
  </si>
  <si>
    <t xml:space="preserve"> 310-300-0110-0000</t>
  </si>
  <si>
    <t>310-OIL AND GAS PRODUCTION</t>
  </si>
  <si>
    <t>300-FUGITIVE LOSSES - SUMPS AND PITS</t>
  </si>
  <si>
    <t xml:space="preserve"> 310-300-1600-0000</t>
  </si>
  <si>
    <t xml:space="preserve"> 310-301-0100-0000</t>
  </si>
  <si>
    <t>301-FUGITIVE LOSSES - MUD DEGASSING</t>
  </si>
  <si>
    <t xml:space="preserve"> 310-301-1600-0000</t>
  </si>
  <si>
    <t xml:space="preserve"> 310-302-0100-0000</t>
  </si>
  <si>
    <t>302-FUGITIVE LOSSES - VALVES</t>
  </si>
  <si>
    <t xml:space="preserve"> 310-302-0110-0000</t>
  </si>
  <si>
    <t xml:space="preserve"> 310-302-1600-0000</t>
  </si>
  <si>
    <t xml:space="preserve"> 310-303-0100-0000</t>
  </si>
  <si>
    <t>303-FUGITIVES: FLANGES</t>
  </si>
  <si>
    <t xml:space="preserve"> 310-303-1600-0000</t>
  </si>
  <si>
    <t xml:space="preserve"> 310-304-0100-0000</t>
  </si>
  <si>
    <t>304-FUGITIVE LOSSES - FITTINGS</t>
  </si>
  <si>
    <t xml:space="preserve"> 310-304-0110-0000</t>
  </si>
  <si>
    <t xml:space="preserve"> 310-304-1600-0000</t>
  </si>
  <si>
    <t xml:space="preserve"> 310-306-1600-0000</t>
  </si>
  <si>
    <t>306-FUGITIVE LOSSES - PUMPS</t>
  </si>
  <si>
    <t xml:space="preserve"> 310-308-0110-0000</t>
  </si>
  <si>
    <t>308-FUGITIVE LOSSES - COMPRESSORS</t>
  </si>
  <si>
    <t xml:space="preserve"> 310-308-1600-0000</t>
  </si>
  <si>
    <t xml:space="preserve"> 310-310-0110-0000</t>
  </si>
  <si>
    <t>310-FUGITIVE LOSSES - WELL HEADS</t>
  </si>
  <si>
    <t xml:space="preserve"> 310-310-1600-0000</t>
  </si>
  <si>
    <t xml:space="preserve"> 310-311-0100-0000</t>
  </si>
  <si>
    <t>311-PNEUMATIC DEVICES - PUMPS</t>
  </si>
  <si>
    <t xml:space="preserve"> 310-311-1600-0000</t>
  </si>
  <si>
    <t xml:space="preserve"> 310-312-1600-0000</t>
  </si>
  <si>
    <t>312-FUGITIVE LOSSES - WELL CELLARS</t>
  </si>
  <si>
    <t xml:space="preserve"> 310-313-0100-0000</t>
  </si>
  <si>
    <t>313-WELL PUMPS</t>
  </si>
  <si>
    <t xml:space="preserve"> 310-314-1600-0000</t>
  </si>
  <si>
    <t>314-FUGITIVE LOSSES - OIL/WATER SEPARATORS</t>
  </si>
  <si>
    <t xml:space="preserve"> 310-315-0100-0000</t>
  </si>
  <si>
    <t>315-FUGITIVES: OPEN ENDED LINES</t>
  </si>
  <si>
    <t xml:space="preserve"> 310-315-1600-0000</t>
  </si>
  <si>
    <t xml:space="preserve"> 310-316-0100-0000</t>
  </si>
  <si>
    <t>316-MISCELLANEOUS FUGITIVE LOSSES</t>
  </si>
  <si>
    <t xml:space="preserve"> 310-316-0110-0000</t>
  </si>
  <si>
    <t xml:space="preserve"> 310-316-1600-0000</t>
  </si>
  <si>
    <t xml:space="preserve"> 310-317-0100-0000</t>
  </si>
  <si>
    <t>317-GAS WELL VENTING - BLOWDOWNS</t>
  </si>
  <si>
    <t xml:space="preserve"> 310-320-0110-0000</t>
  </si>
  <si>
    <t>320-VAPOR RECOVERY/FLARES</t>
  </si>
  <si>
    <t xml:space="preserve"> 310-320-0120-0000</t>
  </si>
  <si>
    <t xml:space="preserve"> 310-320-0130-0000</t>
  </si>
  <si>
    <t xml:space="preserve"> 310-320-1600-0000</t>
  </si>
  <si>
    <t xml:space="preserve"> 310-322-1600-0000</t>
  </si>
  <si>
    <t>322-FLOATING ROOF TANKS - BREATHING LOSSES</t>
  </si>
  <si>
    <t xml:space="preserve"> 310-322-1610-0000</t>
  </si>
  <si>
    <t>1610-CRUDE OIL - RVP 5</t>
  </si>
  <si>
    <t xml:space="preserve"> 310-324-1600-0000</t>
  </si>
  <si>
    <t>324-FLOATING ROOF TANKS - WORKING LOSSES</t>
  </si>
  <si>
    <t xml:space="preserve"> 310-325-0100-0000</t>
  </si>
  <si>
    <t>325-STORAGE TANKS: CONDENSATE</t>
  </si>
  <si>
    <t xml:space="preserve"> 310-326-1000-0000</t>
  </si>
  <si>
    <t>326-FIXED ROOF TANKS - BREATHING LOSSES</t>
  </si>
  <si>
    <t xml:space="preserve"> 310-326-1214-0000</t>
  </si>
  <si>
    <t>1214-DIESEL #2</t>
  </si>
  <si>
    <t xml:space="preserve"> 310-326-1420-0000</t>
  </si>
  <si>
    <t xml:space="preserve"> 310-326-1600-0000</t>
  </si>
  <si>
    <t xml:space="preserve"> 310-326-1610-0000</t>
  </si>
  <si>
    <t xml:space="preserve"> 310-326-3000-0000</t>
  </si>
  <si>
    <t xml:space="preserve"> 310-328-1000-0000</t>
  </si>
  <si>
    <t>328-FIXED ROOF TANKS - WORKING LOSSES</t>
  </si>
  <si>
    <t xml:space="preserve"> 310-328-1110-0000</t>
  </si>
  <si>
    <t>1110-GASOLINE - RVP 7</t>
  </si>
  <si>
    <t xml:space="preserve"> 310-328-1214-0000</t>
  </si>
  <si>
    <t xml:space="preserve"> 310-328-1420-0000</t>
  </si>
  <si>
    <t xml:space="preserve"> 310-328-1600-0000</t>
  </si>
  <si>
    <t xml:space="preserve"> 310-328-1610-0000</t>
  </si>
  <si>
    <t xml:space="preserve"> 310-328-2000-0000</t>
  </si>
  <si>
    <t>2000-INORGANIC CHEMICALS (UNSPECIFIED)</t>
  </si>
  <si>
    <t xml:space="preserve"> 310-328-3000-0000</t>
  </si>
  <si>
    <t xml:space="preserve"> 310-328-3033-0000</t>
  </si>
  <si>
    <t>3033-AROMATICS (UNSPECIFIED)</t>
  </si>
  <si>
    <t xml:space="preserve"> 310-328-3372-0000</t>
  </si>
  <si>
    <t xml:space="preserve"> 310-328-4998-0000</t>
  </si>
  <si>
    <t>4998-ACID (UNSPECIFIED)</t>
  </si>
  <si>
    <t xml:space="preserve"> 310-330-1610-0000</t>
  </si>
  <si>
    <t>330-UNDERGROUND TANKS</t>
  </si>
  <si>
    <t xml:space="preserve"> 310-332-0124-0000</t>
  </si>
  <si>
    <t>332-PRESSURE TANKS</t>
  </si>
  <si>
    <t xml:space="preserve"> 310-333-0100-0000</t>
  </si>
  <si>
    <t>333-DEHYDRATORS</t>
  </si>
  <si>
    <t xml:space="preserve"> 310-340-0100-0000</t>
  </si>
  <si>
    <t>340-WASTEWATER TREATMENT</t>
  </si>
  <si>
    <t xml:space="preserve"> 310-340-1600-0000</t>
  </si>
  <si>
    <t xml:space="preserve"> 310-342-1600-0000</t>
  </si>
  <si>
    <t>342-TERTIARY OIL PRODUCTION - STEAM DRIVE WELLS</t>
  </si>
  <si>
    <t xml:space="preserve"> 310-346-1600-0000</t>
  </si>
  <si>
    <t>346-TERTIARY OIL PRODUCTION WELLS (UNSPECIFIED)</t>
  </si>
  <si>
    <t xml:space="preserve"> 310-352-0100-0000</t>
  </si>
  <si>
    <t>352-WET GAS STRIPPING/FIELD SEPARATOR FUGITIVE LOSSES</t>
  </si>
  <si>
    <t xml:space="preserve"> 310-356-0110-0000</t>
  </si>
  <si>
    <t>356-NATURAL GAS PRODUCTION</t>
  </si>
  <si>
    <t xml:space="preserve"> 310-390-1100-0000</t>
  </si>
  <si>
    <t>390-TANK CARS AND TRUCKS - WORKING LOSSES</t>
  </si>
  <si>
    <t xml:space="preserve"> 310-390-1200-0000</t>
  </si>
  <si>
    <t xml:space="preserve"> 310-390-1300-0000</t>
  </si>
  <si>
    <t xml:space="preserve"> 310-390-1600-0000</t>
  </si>
  <si>
    <t xml:space="preserve"> 310-393-0100-0000</t>
  </si>
  <si>
    <t>393-TANK TRUCKS/RAILCAR WORKING LOSS</t>
  </si>
  <si>
    <t xml:space="preserve"> 310-393-1600-0000</t>
  </si>
  <si>
    <t xml:space="preserve"> 310-995-0000-0000</t>
  </si>
  <si>
    <t xml:space="preserve"> 310-995-0100-0000</t>
  </si>
  <si>
    <t xml:space="preserve"> 310-995-0110-0000</t>
  </si>
  <si>
    <t xml:space="preserve"> 310-995-0324-0000</t>
  </si>
  <si>
    <t xml:space="preserve"> 310-995-1600-0000</t>
  </si>
  <si>
    <t xml:space="preserve"> 310-995-7000-0000</t>
  </si>
  <si>
    <t>7000-MINERAL AND METAL PRODUCTS (UNSPECIFIED)</t>
  </si>
  <si>
    <t xml:space="preserve"> 310-995-7016-0000</t>
  </si>
  <si>
    <t>7016-CEMENT</t>
  </si>
  <si>
    <t xml:space="preserve"> 320-302-0010-0000</t>
  </si>
  <si>
    <t>320-PETROLEUM REFINING</t>
  </si>
  <si>
    <t xml:space="preserve"> 320-304-0010-0000</t>
  </si>
  <si>
    <t xml:space="preserve"> 320-306-0010-0000</t>
  </si>
  <si>
    <t xml:space="preserve"> 320-308-0010-0000</t>
  </si>
  <si>
    <t xml:space="preserve"> 320-316-0010-0000</t>
  </si>
  <si>
    <t xml:space="preserve"> 320-320-0010-0000</t>
  </si>
  <si>
    <t xml:space="preserve"> 320-320-0110-0000</t>
  </si>
  <si>
    <t xml:space="preserve"> 320-320-0120-0000</t>
  </si>
  <si>
    <t xml:space="preserve"> 320-320-0130-0000</t>
  </si>
  <si>
    <t xml:space="preserve"> 320-321-4999-0000</t>
  </si>
  <si>
    <t>321-TANKS (UNSPECIFIED)</t>
  </si>
  <si>
    <t>4999-CHEMICALS (UNSPECIFIED)</t>
  </si>
  <si>
    <t xml:space="preserve"> 320-322-0500-0000</t>
  </si>
  <si>
    <t xml:space="preserve"> 320-322-1000-0000</t>
  </si>
  <si>
    <t xml:space="preserve"> 320-322-1100-0000</t>
  </si>
  <si>
    <t xml:space="preserve"> 320-322-1110-0000</t>
  </si>
  <si>
    <t xml:space="preserve"> 320-322-1120-0000</t>
  </si>
  <si>
    <t>1120-GASOLINE - RVP 10</t>
  </si>
  <si>
    <t xml:space="preserve"> 320-322-1214-0000</t>
  </si>
  <si>
    <t xml:space="preserve"> 320-322-1410-0000</t>
  </si>
  <si>
    <t>1410-JET KEROSENE</t>
  </si>
  <si>
    <t xml:space="preserve"> 320-322-1420-0000</t>
  </si>
  <si>
    <t xml:space="preserve"> 320-322-1610-0000</t>
  </si>
  <si>
    <t xml:space="preserve"> 320-322-3128-0000</t>
  </si>
  <si>
    <t xml:space="preserve"> 320-324-1000-0000</t>
  </si>
  <si>
    <t xml:space="preserve"> 320-324-1100-0000</t>
  </si>
  <si>
    <t xml:space="preserve"> 320-324-1110-0000</t>
  </si>
  <si>
    <t xml:space="preserve"> 320-324-1224-0000</t>
  </si>
  <si>
    <t xml:space="preserve"> 320-324-1410-0000</t>
  </si>
  <si>
    <t xml:space="preserve"> 320-324-1420-0000</t>
  </si>
  <si>
    <t xml:space="preserve"> 320-324-1600-0000</t>
  </si>
  <si>
    <t xml:space="preserve"> 320-326-0500-0000</t>
  </si>
  <si>
    <t xml:space="preserve"> 320-326-1000-0000</t>
  </si>
  <si>
    <t xml:space="preserve"> 320-326-1110-0000</t>
  </si>
  <si>
    <t xml:space="preserve"> 320-326-1130-0000</t>
  </si>
  <si>
    <t>1130-GASOLINE - RVP 13</t>
  </si>
  <si>
    <t xml:space="preserve"> 320-326-1214-0000</t>
  </si>
  <si>
    <t xml:space="preserve"> 320-326-1410-0000</t>
  </si>
  <si>
    <t xml:space="preserve"> 320-326-1420-0000</t>
  </si>
  <si>
    <t xml:space="preserve"> 320-326-1610-0000</t>
  </si>
  <si>
    <t xml:space="preserve"> 320-326-3026-0000</t>
  </si>
  <si>
    <t>3026-ALKANES (UNSPECIFIED)</t>
  </si>
  <si>
    <t xml:space="preserve"> 320-328-1000-0000</t>
  </si>
  <si>
    <t xml:space="preserve"> 320-328-1110-0000</t>
  </si>
  <si>
    <t xml:space="preserve"> 320-328-1130-0000</t>
  </si>
  <si>
    <t xml:space="preserve"> 320-328-1214-0000</t>
  </si>
  <si>
    <t xml:space="preserve"> 320-328-1410-0000</t>
  </si>
  <si>
    <t xml:space="preserve"> 320-328-1420-0000</t>
  </si>
  <si>
    <t xml:space="preserve"> 320-328-1610-0000</t>
  </si>
  <si>
    <t xml:space="preserve"> 320-328-3202-0000</t>
  </si>
  <si>
    <t xml:space="preserve"> 320-330-1000-0000</t>
  </si>
  <si>
    <t xml:space="preserve"> 320-332-0100-0000</t>
  </si>
  <si>
    <t xml:space="preserve"> 320-338-0010-0000</t>
  </si>
  <si>
    <t>338-COOLING TOWERS</t>
  </si>
  <si>
    <t xml:space="preserve"> 320-340-0010-0000</t>
  </si>
  <si>
    <t xml:space="preserve"> 320-340-0312-0000</t>
  </si>
  <si>
    <t>0312-SOUR WATER</t>
  </si>
  <si>
    <t xml:space="preserve"> 320-358-0010-0000</t>
  </si>
  <si>
    <t>358-CATALYTIC CRACKING</t>
  </si>
  <si>
    <t xml:space="preserve"> 320-358-7000-0000</t>
  </si>
  <si>
    <t xml:space="preserve"> 320-360-0220-0000</t>
  </si>
  <si>
    <t>360-COKING</t>
  </si>
  <si>
    <t xml:space="preserve"> 320-362-0010-0000</t>
  </si>
  <si>
    <t>362-VACUUM DISTILLATION</t>
  </si>
  <si>
    <t xml:space="preserve"> 320-362-0600-0000</t>
  </si>
  <si>
    <t>0600-LUBRICATING OILS/GREASES</t>
  </si>
  <si>
    <t xml:space="preserve"> 320-364-2054-0000</t>
  </si>
  <si>
    <t>364-SULFUR PLANTS</t>
  </si>
  <si>
    <t>2054-SULFUR (ELEMENTAL)</t>
  </si>
  <si>
    <t xml:space="preserve"> 320-390-0010-0000</t>
  </si>
  <si>
    <t xml:space="preserve"> 320-390-1100-0000</t>
  </si>
  <si>
    <t xml:space="preserve"> 320-390-1200-0000</t>
  </si>
  <si>
    <t xml:space="preserve"> 320-390-1300-0000</t>
  </si>
  <si>
    <t xml:space="preserve"> 320-390-1400-0000</t>
  </si>
  <si>
    <t xml:space="preserve"> 320-390-1600-0000</t>
  </si>
  <si>
    <t xml:space="preserve"> 320-392-1100-0000</t>
  </si>
  <si>
    <t>392-TANK CARS AND TRUCKS - IN-TRANSIT BREATHING LOSSES</t>
  </si>
  <si>
    <t xml:space="preserve"> 320-995-0000-0000</t>
  </si>
  <si>
    <t xml:space="preserve"> 320-995-0010-0000</t>
  </si>
  <si>
    <t xml:space="preserve"> 320-995-0120-0000</t>
  </si>
  <si>
    <t xml:space="preserve"> 320-995-0324-0000</t>
  </si>
  <si>
    <t xml:space="preserve"> 320-995-0400-0000</t>
  </si>
  <si>
    <t>0400-ASPHALT</t>
  </si>
  <si>
    <t xml:space="preserve"> 320-995-1600-0000</t>
  </si>
  <si>
    <t xml:space="preserve"> 320-995-2029-0000</t>
  </si>
  <si>
    <t>2029-HYDROGEN</t>
  </si>
  <si>
    <t xml:space="preserve"> 320-995-3040-0000</t>
  </si>
  <si>
    <t>3040-AMINES/AMIDES (UNSPECIFIED)</t>
  </si>
  <si>
    <t xml:space="preserve"> 320-995-4999-0000</t>
  </si>
  <si>
    <t xml:space="preserve"> 330-302-0010-0000</t>
  </si>
  <si>
    <t>330-PETROLEUM MARKETING</t>
  </si>
  <si>
    <t xml:space="preserve"> 330-302-0110-0000</t>
  </si>
  <si>
    <t xml:space="preserve"> 330-302-1600-0000</t>
  </si>
  <si>
    <t xml:space="preserve"> 330-304-1600-0000</t>
  </si>
  <si>
    <t xml:space="preserve"> 330-306-1600-0000</t>
  </si>
  <si>
    <t xml:space="preserve"> 330-308-0110-0000</t>
  </si>
  <si>
    <t xml:space="preserve"> 330-316-0010-0000</t>
  </si>
  <si>
    <t xml:space="preserve"> 330-316-1000-0000</t>
  </si>
  <si>
    <t xml:space="preserve"> 330-316-1600-0000</t>
  </si>
  <si>
    <t xml:space="preserve"> 330-316-7000-0000</t>
  </si>
  <si>
    <t xml:space="preserve"> 330-318-0110-0000</t>
  </si>
  <si>
    <t>318-NATURAL GAS TRANSMISSION LOSSES</t>
  </si>
  <si>
    <t xml:space="preserve"> 330-319-0120-0000</t>
  </si>
  <si>
    <t>319-LPG TRANSFER AND DISPENSING LOSSES</t>
  </si>
  <si>
    <t xml:space="preserve"> 330-320-0010-0000</t>
  </si>
  <si>
    <t xml:space="preserve"> 330-320-0130-0000</t>
  </si>
  <si>
    <t xml:space="preserve"> 330-321-1000-0000</t>
  </si>
  <si>
    <t xml:space="preserve"> 330-321-1410-0000</t>
  </si>
  <si>
    <t xml:space="preserve"> 330-321-1420-0000</t>
  </si>
  <si>
    <t xml:space="preserve"> 330-321-4999-0000</t>
  </si>
  <si>
    <t xml:space="preserve"> 330-322-1000-0000</t>
  </si>
  <si>
    <t xml:space="preserve"> 330-322-1100-0000</t>
  </si>
  <si>
    <t xml:space="preserve"> 330-322-1110-0000</t>
  </si>
  <si>
    <t xml:space="preserve"> 330-322-1120-0000</t>
  </si>
  <si>
    <t xml:space="preserve"> 330-322-1214-0000</t>
  </si>
  <si>
    <t xml:space="preserve"> 330-322-1224-0000</t>
  </si>
  <si>
    <t xml:space="preserve"> 330-322-1410-0000</t>
  </si>
  <si>
    <t xml:space="preserve"> 330-322-1420-0000</t>
  </si>
  <si>
    <t xml:space="preserve"> 330-322-1600-0000</t>
  </si>
  <si>
    <t xml:space="preserve"> 330-322-1610-0000</t>
  </si>
  <si>
    <t xml:space="preserve"> 330-322-3128-0000</t>
  </si>
  <si>
    <t xml:space="preserve"> 330-324-1000-0000</t>
  </si>
  <si>
    <t xml:space="preserve"> 330-324-1100-0000</t>
  </si>
  <si>
    <t xml:space="preserve"> 330-324-1224-0000</t>
  </si>
  <si>
    <t xml:space="preserve"> 330-324-1410-0000</t>
  </si>
  <si>
    <t xml:space="preserve"> 330-324-1420-0000</t>
  </si>
  <si>
    <t xml:space="preserve"> 330-324-1530-0000</t>
  </si>
  <si>
    <t xml:space="preserve"> 330-324-1600-0000</t>
  </si>
  <si>
    <t xml:space="preserve"> 330-324-3128-0000</t>
  </si>
  <si>
    <t xml:space="preserve"> 330-326-0410-0000</t>
  </si>
  <si>
    <t>0410-ASPHALT OIL</t>
  </si>
  <si>
    <t xml:space="preserve"> 330-326-1000-0000</t>
  </si>
  <si>
    <t xml:space="preserve"> 330-326-1110-0000</t>
  </si>
  <si>
    <t xml:space="preserve"> 330-326-1120-0000</t>
  </si>
  <si>
    <t xml:space="preserve"> 330-326-1130-0000</t>
  </si>
  <si>
    <t xml:space="preserve"> 330-326-1210-0000</t>
  </si>
  <si>
    <t xml:space="preserve"> 330-326-1214-0000</t>
  </si>
  <si>
    <t xml:space="preserve"> 330-326-1224-0000</t>
  </si>
  <si>
    <t xml:space="preserve"> 330-326-1410-0000</t>
  </si>
  <si>
    <t xml:space="preserve"> 330-326-1420-0000</t>
  </si>
  <si>
    <t xml:space="preserve"> 330-326-1530-0000</t>
  </si>
  <si>
    <t xml:space="preserve"> 330-326-1600-0000</t>
  </si>
  <si>
    <t xml:space="preserve"> 330-326-1610-0000</t>
  </si>
  <si>
    <t xml:space="preserve"> 330-326-3000-0000</t>
  </si>
  <si>
    <t xml:space="preserve"> 330-328-1000-0000</t>
  </si>
  <si>
    <t xml:space="preserve"> 330-328-1110-0000</t>
  </si>
  <si>
    <t xml:space="preserve"> 330-328-1120-0000</t>
  </si>
  <si>
    <t xml:space="preserve"> 330-328-1130-0000</t>
  </si>
  <si>
    <t xml:space="preserve"> 330-328-1210-0000</t>
  </si>
  <si>
    <t xml:space="preserve"> 330-328-1214-0000</t>
  </si>
  <si>
    <t xml:space="preserve"> 330-328-1220-0000</t>
  </si>
  <si>
    <t xml:space="preserve"> 330-328-1224-0000</t>
  </si>
  <si>
    <t xml:space="preserve"> 330-328-1410-0000</t>
  </si>
  <si>
    <t xml:space="preserve"> 330-328-1420-0000</t>
  </si>
  <si>
    <t xml:space="preserve"> 330-328-1530-0000</t>
  </si>
  <si>
    <t xml:space="preserve"> 330-328-1600-0000</t>
  </si>
  <si>
    <t xml:space="preserve"> 330-328-1610-0000</t>
  </si>
  <si>
    <t xml:space="preserve"> 330-330-1000-0000</t>
  </si>
  <si>
    <t xml:space="preserve"> 330-330-1110-0000</t>
  </si>
  <si>
    <t xml:space="preserve"> 330-330-1120-0000</t>
  </si>
  <si>
    <t xml:space="preserve"> 330-330-1130-0000</t>
  </si>
  <si>
    <t xml:space="preserve"> 330-330-1140-0000</t>
  </si>
  <si>
    <t>1140-AVIATION GASOLINE</t>
  </si>
  <si>
    <t xml:space="preserve"> 330-330-1214-0000</t>
  </si>
  <si>
    <t xml:space="preserve"> 330-330-1410-0000</t>
  </si>
  <si>
    <t xml:space="preserve"> 330-330-1420-0000</t>
  </si>
  <si>
    <t xml:space="preserve"> 330-330-1610-0000</t>
  </si>
  <si>
    <t xml:space="preserve"> 330-332-1000-0000</t>
  </si>
  <si>
    <t xml:space="preserve"> 330-340-0010-0000</t>
  </si>
  <si>
    <t xml:space="preserve"> 330-366-1100-0000</t>
  </si>
  <si>
    <t>366-TANKER LOADING</t>
  </si>
  <si>
    <t xml:space="preserve"> 330-366-1200-0000</t>
  </si>
  <si>
    <t xml:space="preserve"> 330-366-1300-0000</t>
  </si>
  <si>
    <t xml:space="preserve"> 330-366-1400-0000</t>
  </si>
  <si>
    <t xml:space="preserve"> 330-366-1500-0000</t>
  </si>
  <si>
    <t xml:space="preserve"> 330-368-1000-0000</t>
  </si>
  <si>
    <t>368-BARGE LOADING</t>
  </si>
  <si>
    <t xml:space="preserve"> 330-368-1100-0000</t>
  </si>
  <si>
    <t xml:space="preserve"> 330-368-1200-0000</t>
  </si>
  <si>
    <t xml:space="preserve"> 330-370-1600-0000</t>
  </si>
  <si>
    <t>370-LIGHTERING</t>
  </si>
  <si>
    <t xml:space="preserve"> 330-372-1100-0000</t>
  </si>
  <si>
    <t>372-BALLASTING</t>
  </si>
  <si>
    <t xml:space="preserve"> 330-372-1600-0000</t>
  </si>
  <si>
    <t xml:space="preserve"> 330-374-1100-0000</t>
  </si>
  <si>
    <t>374-FUEL DISPENSING TANKS - WORKING LOSSES</t>
  </si>
  <si>
    <t xml:space="preserve"> 330-376-1100-0000</t>
  </si>
  <si>
    <t>376-FUEL DISPENSING TANKS - BREATHING LOSSES</t>
  </si>
  <si>
    <t xml:space="preserve"> 330-378-1100-0000</t>
  </si>
  <si>
    <t>378-VEHICLE REFUELING - VAPOR DISPLACEMENT LOSSES</t>
  </si>
  <si>
    <t xml:space="preserve"> 330-378-1210-0000</t>
  </si>
  <si>
    <t xml:space="preserve"> 330-380-1100-0000</t>
  </si>
  <si>
    <t>380-VEHICLE REFUELING - SPILLAGE</t>
  </si>
  <si>
    <t xml:space="preserve"> 330-381-1100-0000</t>
  </si>
  <si>
    <t>381-VEHICLE REFUELING - HOSE PERMEATION</t>
  </si>
  <si>
    <t xml:space="preserve"> 330-382-1100-0000</t>
  </si>
  <si>
    <t>382-BULK PLANTS/TERMINALS - GASOLINE STORAGE - BREATHING LOSSES</t>
  </si>
  <si>
    <t xml:space="preserve"> 330-382-1110-0000</t>
  </si>
  <si>
    <t xml:space="preserve"> 330-382-1120-0000</t>
  </si>
  <si>
    <t xml:space="preserve"> 330-382-1130-0000</t>
  </si>
  <si>
    <t xml:space="preserve"> 330-384-1100-0000</t>
  </si>
  <si>
    <t>384-BULK PLANTS/TERMINALS - GASOLINE STORAGE - WORKING LOSSES</t>
  </si>
  <si>
    <t xml:space="preserve"> 330-384-1110-0000</t>
  </si>
  <si>
    <t xml:space="preserve"> 330-384-1120-0000</t>
  </si>
  <si>
    <t xml:space="preserve"> 330-384-1130-0000</t>
  </si>
  <si>
    <t xml:space="preserve"> 330-386-1100-0000</t>
  </si>
  <si>
    <t>386-STORAGE TANKS AND PIPELINE CLEANING AND DEGASSING</t>
  </si>
  <si>
    <t xml:space="preserve"> 330-390-0010-0000</t>
  </si>
  <si>
    <t xml:space="preserve"> 330-390-1100-0000</t>
  </si>
  <si>
    <t xml:space="preserve"> 330-390-1200-0000</t>
  </si>
  <si>
    <t xml:space="preserve"> 330-390-1300-0000</t>
  </si>
  <si>
    <t xml:space="preserve"> 330-390-1400-0000</t>
  </si>
  <si>
    <t xml:space="preserve"> 330-390-1600-0000</t>
  </si>
  <si>
    <t xml:space="preserve"> 330-392-1100-0000</t>
  </si>
  <si>
    <t xml:space="preserve"> 330-392-1400-0000</t>
  </si>
  <si>
    <t xml:space="preserve"> 330-394-1100-0000</t>
  </si>
  <si>
    <t>394-TANKER/BARGE - IN-TRANSIT BREATHING LOSSES</t>
  </si>
  <si>
    <t xml:space="preserve"> 330-394-1400-0000</t>
  </si>
  <si>
    <t xml:space="preserve"> 330-395-1100-0000</t>
  </si>
  <si>
    <t>395-CARGO TANKS - PRESSURE RELATED FUGITIVE LOSSES</t>
  </si>
  <si>
    <t xml:space="preserve"> 330-396-1100-0000</t>
  </si>
  <si>
    <t>396-CARGO TANKS - VAPOR HOSE FUGITIVE LOSSES</t>
  </si>
  <si>
    <t xml:space="preserve"> 330-397-1100-0000</t>
  </si>
  <si>
    <t>397-CARGO TANKS - PRODUCT HOSE FUGITIVE LOSSES</t>
  </si>
  <si>
    <t xml:space="preserve"> 330-995-0010-0000</t>
  </si>
  <si>
    <t xml:space="preserve"> 330-995-0110-0000</t>
  </si>
  <si>
    <t xml:space="preserve"> 330-995-0220-0000</t>
  </si>
  <si>
    <t xml:space="preserve"> 330-995-1100-0000</t>
  </si>
  <si>
    <t xml:space="preserve"> 399-995-0000-0000</t>
  </si>
  <si>
    <t>399-OTHER (PETROLEUM PRODUCTION AND MARKETING)</t>
  </si>
  <si>
    <t xml:space="preserve"> 399-995-0010-0000</t>
  </si>
  <si>
    <t xml:space="preserve"> 410-321-2058-0000</t>
  </si>
  <si>
    <t>410-CHEMICAL</t>
  </si>
  <si>
    <t>2058-SULFURIC ACID</t>
  </si>
  <si>
    <t xml:space="preserve"> 410-321-4999-0000</t>
  </si>
  <si>
    <t xml:space="preserve"> 410-322-3000-0000</t>
  </si>
  <si>
    <t xml:space="preserve"> 410-322-3008-0000</t>
  </si>
  <si>
    <t xml:space="preserve"> 410-322-3128-0000</t>
  </si>
  <si>
    <t xml:space="preserve"> 410-322-4999-0000</t>
  </si>
  <si>
    <t xml:space="preserve"> 410-324-3008-0000</t>
  </si>
  <si>
    <t xml:space="preserve"> 410-324-3128-0000</t>
  </si>
  <si>
    <t xml:space="preserve"> 410-326-0120-0000</t>
  </si>
  <si>
    <t xml:space="preserve"> 410-326-0500-0000</t>
  </si>
  <si>
    <t xml:space="preserve"> 410-326-1600-0000</t>
  </si>
  <si>
    <t xml:space="preserve"> 410-326-2000-0000</t>
  </si>
  <si>
    <t xml:space="preserve"> 410-326-3000-0000</t>
  </si>
  <si>
    <t xml:space="preserve"> 410-326-3022-0000</t>
  </si>
  <si>
    <t xml:space="preserve"> 410-326-3026-0000</t>
  </si>
  <si>
    <t xml:space="preserve"> 410-326-3033-0000</t>
  </si>
  <si>
    <t xml:space="preserve"> 410-326-3040-0000</t>
  </si>
  <si>
    <t xml:space="preserve"> 410-326-3060-0000</t>
  </si>
  <si>
    <t xml:space="preserve"> 410-326-3070-0000</t>
  </si>
  <si>
    <t>3070-CAPROLACTAM</t>
  </si>
  <si>
    <t xml:space="preserve"> 410-326-3074-0000</t>
  </si>
  <si>
    <t>3074-CARBON TETRACHLORIDE</t>
  </si>
  <si>
    <t xml:space="preserve"> 410-326-3096-0000</t>
  </si>
  <si>
    <t>3096-CUMENE</t>
  </si>
  <si>
    <t xml:space="preserve"> 410-326-3102-0000</t>
  </si>
  <si>
    <t>3102-CYCLOHEXANONE</t>
  </si>
  <si>
    <t xml:space="preserve"> 410-326-3112-0000</t>
  </si>
  <si>
    <t>3112-DIISOPROPYLBENZENES (UNSPECIFIED)</t>
  </si>
  <si>
    <t xml:space="preserve"> 410-326-3128-0000</t>
  </si>
  <si>
    <t xml:space="preserve"> 410-326-3130-0000</t>
  </si>
  <si>
    <t>3130-ETHANOLAMINES (UNSPECIFIED)</t>
  </si>
  <si>
    <t xml:space="preserve"> 410-326-3134-0000</t>
  </si>
  <si>
    <t>3134-ETHYL ACETATE</t>
  </si>
  <si>
    <t xml:space="preserve"> 410-326-3138-0000</t>
  </si>
  <si>
    <t>3138-ETHYLBENZENE</t>
  </si>
  <si>
    <t xml:space="preserve"> 410-326-3156-0000</t>
  </si>
  <si>
    <t>3156-ETHYLENE GLYCOL</t>
  </si>
  <si>
    <t xml:space="preserve"> 410-326-3174-0000</t>
  </si>
  <si>
    <t>3174-GLYCOLS (UNSPECIFIED)</t>
  </si>
  <si>
    <t xml:space="preserve"> 410-326-3196-0000</t>
  </si>
  <si>
    <t>3196-ISOPENTANE</t>
  </si>
  <si>
    <t xml:space="preserve"> 410-326-3200-0000</t>
  </si>
  <si>
    <t xml:space="preserve"> 410-326-3202-0000</t>
  </si>
  <si>
    <t xml:space="preserve"> 410-326-3204-0000</t>
  </si>
  <si>
    <t xml:space="preserve"> 410-326-3212-0000</t>
  </si>
  <si>
    <t>3212-M-XYLENES (UNSPECIFIED)</t>
  </si>
  <si>
    <t xml:space="preserve"> 410-326-3220-0000</t>
  </si>
  <si>
    <t xml:space="preserve"> 410-326-3232-0000</t>
  </si>
  <si>
    <t xml:space="preserve"> 410-326-3234-0000</t>
  </si>
  <si>
    <t>3234-METHYL ISOBUTYL KETONE (MIBK)</t>
  </si>
  <si>
    <t xml:space="preserve"> 410-326-3240-0000</t>
  </si>
  <si>
    <t>3240-METHYL METHACRYLATE</t>
  </si>
  <si>
    <t xml:space="preserve"> 410-326-3246-0000</t>
  </si>
  <si>
    <t xml:space="preserve"> 410-326-3256-0000</t>
  </si>
  <si>
    <t xml:space="preserve"> 410-326-3264-0000</t>
  </si>
  <si>
    <t>3264-N-HEXANE</t>
  </si>
  <si>
    <t xml:space="preserve"> 410-326-3272-0000</t>
  </si>
  <si>
    <t>3272-NITROBENZENE</t>
  </si>
  <si>
    <t xml:space="preserve"> 410-326-3300-0000</t>
  </si>
  <si>
    <t xml:space="preserve"> 410-326-3314-0000</t>
  </si>
  <si>
    <t xml:space="preserve"> 410-326-3322-0000</t>
  </si>
  <si>
    <t>3322-PROPYLENE GLYCOL</t>
  </si>
  <si>
    <t xml:space="preserve"> 410-326-3330-0000</t>
  </si>
  <si>
    <t>3330-STYRENES (UNSPECIFIED)</t>
  </si>
  <si>
    <t xml:space="preserve"> 410-326-3338-0000</t>
  </si>
  <si>
    <t xml:space="preserve"> 410-326-3366-0000</t>
  </si>
  <si>
    <t>3366-VINYL ACETATE</t>
  </si>
  <si>
    <t xml:space="preserve"> 410-328-0500-0000</t>
  </si>
  <si>
    <t xml:space="preserve"> 410-328-2002-0000</t>
  </si>
  <si>
    <t>2002-AMMONIA</t>
  </si>
  <si>
    <t xml:space="preserve"> 410-328-3000-0000</t>
  </si>
  <si>
    <t xml:space="preserve"> 410-328-3004-0000</t>
  </si>
  <si>
    <t>3004-ACETIC ACID</t>
  </si>
  <si>
    <t xml:space="preserve"> 410-328-3026-0000</t>
  </si>
  <si>
    <t xml:space="preserve"> 410-328-3033-0000</t>
  </si>
  <si>
    <t xml:space="preserve"> 410-328-3096-0000</t>
  </si>
  <si>
    <t xml:space="preserve"> 410-328-3128-0000</t>
  </si>
  <si>
    <t xml:space="preserve"> 410-328-3130-0000</t>
  </si>
  <si>
    <t xml:space="preserve"> 410-328-3134-0000</t>
  </si>
  <si>
    <t xml:space="preserve"> 410-328-3138-0000</t>
  </si>
  <si>
    <t xml:space="preserve"> 410-328-3202-0000</t>
  </si>
  <si>
    <t xml:space="preserve"> 410-328-3204-0000</t>
  </si>
  <si>
    <t xml:space="preserve"> 410-328-3220-0000</t>
  </si>
  <si>
    <t xml:space="preserve"> 410-328-3232-0000</t>
  </si>
  <si>
    <t xml:space="preserve"> 410-328-3234-0000</t>
  </si>
  <si>
    <t xml:space="preserve"> 410-328-3240-0000</t>
  </si>
  <si>
    <t xml:space="preserve"> 410-328-3256-0000</t>
  </si>
  <si>
    <t xml:space="preserve"> 410-328-3264-0000</t>
  </si>
  <si>
    <t xml:space="preserve"> 410-328-3272-0000</t>
  </si>
  <si>
    <t xml:space="preserve"> 410-328-3322-0000</t>
  </si>
  <si>
    <t xml:space="preserve"> 410-328-3330-0000</t>
  </si>
  <si>
    <t xml:space="preserve"> 410-328-3338-0000</t>
  </si>
  <si>
    <t xml:space="preserve"> 410-328-3366-0000</t>
  </si>
  <si>
    <t xml:space="preserve"> 410-328-3372-0000</t>
  </si>
  <si>
    <t xml:space="preserve"> 410-328-4998-0000</t>
  </si>
  <si>
    <t xml:space="preserve"> 410-328-4999-0000</t>
  </si>
  <si>
    <t xml:space="preserve"> 410-332-0110-0000</t>
  </si>
  <si>
    <t xml:space="preserve"> 410-332-2000-0000</t>
  </si>
  <si>
    <t xml:space="preserve"> 410-338-0010-0000</t>
  </si>
  <si>
    <t xml:space="preserve"> 410-340-3000-0000</t>
  </si>
  <si>
    <t xml:space="preserve"> 410-340-5000-0000</t>
  </si>
  <si>
    <t>5000-PLASTICS (UNSPECIFIED)</t>
  </si>
  <si>
    <t xml:space="preserve"> 410-340-5530-0000</t>
  </si>
  <si>
    <t>5530-SOAP/DETERGENTS</t>
  </si>
  <si>
    <t xml:space="preserve"> 410-390-3000-0000</t>
  </si>
  <si>
    <t xml:space="preserve"> 410-390-4999-0000</t>
  </si>
  <si>
    <t xml:space="preserve"> 410-400-0010-0000</t>
  </si>
  <si>
    <t>400-CHEMICAL MANUFACTURING</t>
  </si>
  <si>
    <t xml:space="preserve"> 410-400-0136-0000</t>
  </si>
  <si>
    <t xml:space="preserve"> 410-400-2000-0000</t>
  </si>
  <si>
    <t xml:space="preserve"> 410-400-2002-0000</t>
  </si>
  <si>
    <t xml:space="preserve"> 410-400-2004-0000</t>
  </si>
  <si>
    <t>2004-AMMONIUM NITRATE</t>
  </si>
  <si>
    <t xml:space="preserve"> 410-400-2006-0000</t>
  </si>
  <si>
    <t>2006-AMMONIUM PHOSPHATES</t>
  </si>
  <si>
    <t xml:space="preserve"> 410-400-2008-0000</t>
  </si>
  <si>
    <t>2008-AMMONIUM SULFATE</t>
  </si>
  <si>
    <t xml:space="preserve"> 410-400-2026-0000</t>
  </si>
  <si>
    <t>2026-HYDROCHLORIC ACID</t>
  </si>
  <si>
    <t xml:space="preserve"> 410-400-2028-0000</t>
  </si>
  <si>
    <t>2028-HYDROFLUORIC ACID</t>
  </si>
  <si>
    <t xml:space="preserve"> 410-400-2036-0000</t>
  </si>
  <si>
    <t>2036-NITRIC ACID</t>
  </si>
  <si>
    <t xml:space="preserve"> 410-400-2038-0000</t>
  </si>
  <si>
    <t>2038-NORMAL SUPERPHOSPHATE</t>
  </si>
  <si>
    <t xml:space="preserve"> 410-400-2046-0000</t>
  </si>
  <si>
    <t>2046-SODIUM BICARBONATE</t>
  </si>
  <si>
    <t xml:space="preserve"> 410-400-2048-0000</t>
  </si>
  <si>
    <t>2048-SODIUM CARBONATE</t>
  </si>
  <si>
    <t xml:space="preserve"> 410-400-2054-0000</t>
  </si>
  <si>
    <t xml:space="preserve"> 410-400-2058-0000</t>
  </si>
  <si>
    <t xml:space="preserve"> 410-400-3000-0000</t>
  </si>
  <si>
    <t xml:space="preserve"> 410-400-3012-0000</t>
  </si>
  <si>
    <t>3012-ACROLEIN</t>
  </si>
  <si>
    <t xml:space="preserve"> 410-400-3018-0000</t>
  </si>
  <si>
    <t>3018-ADIPIC ACID</t>
  </si>
  <si>
    <t xml:space="preserve"> 410-400-3022-0000</t>
  </si>
  <si>
    <t xml:space="preserve"> 410-400-3128-0000</t>
  </si>
  <si>
    <t xml:space="preserve"> 410-400-3286-0000</t>
  </si>
  <si>
    <t>3286-ORGANIC ACIDS (UNSPECIFIED)</t>
  </si>
  <si>
    <t xml:space="preserve"> 410-400-3362-0000</t>
  </si>
  <si>
    <t>3362-UREA</t>
  </si>
  <si>
    <t xml:space="preserve"> 410-400-4999-0000</t>
  </si>
  <si>
    <t xml:space="preserve"> 410-400-5520-0000</t>
  </si>
  <si>
    <t>5520-PHARMACEUTICALS</t>
  </si>
  <si>
    <t xml:space="preserve"> 410-400-5700-0000</t>
  </si>
  <si>
    <t>5700-PESTICIDES (UNSPECIFIED)</t>
  </si>
  <si>
    <t xml:space="preserve"> 410-400-5712-0000</t>
  </si>
  <si>
    <t>5712-MALATHION</t>
  </si>
  <si>
    <t xml:space="preserve"> 410-400-5800-0000</t>
  </si>
  <si>
    <t>5800-FERTILIZERS (UNSPECIFIED)</t>
  </si>
  <si>
    <t xml:space="preserve"> 410-400-7000-0000</t>
  </si>
  <si>
    <t xml:space="preserve"> 410-402-0010-0000</t>
  </si>
  <si>
    <t>402-RUBBER AND RUBBER PRODUCTS MANUFACTURING</t>
  </si>
  <si>
    <t xml:space="preserve"> 410-402-0248-0000</t>
  </si>
  <si>
    <t>0248-RUBBER TIRES</t>
  </si>
  <si>
    <t xml:space="preserve"> 410-402-5062-0000</t>
  </si>
  <si>
    <t>5062-SYNTHETIC RUBBER</t>
  </si>
  <si>
    <t xml:space="preserve"> 410-402-5632-0000</t>
  </si>
  <si>
    <t>5632-RUBBERIZED FABRIC</t>
  </si>
  <si>
    <t xml:space="preserve"> 410-403-5018-0000</t>
  </si>
  <si>
    <t>403-FIBERGLASS AND FIBERGLASS PRODUCTS MANUFACTURING</t>
  </si>
  <si>
    <t>5018-FIBERGLASS</t>
  </si>
  <si>
    <t xml:space="preserve"> 410-403-5018-0012</t>
  </si>
  <si>
    <t>0012-FIBERGLASS MANUFACTURING</t>
  </si>
  <si>
    <t xml:space="preserve"> 410-404-5000-0000</t>
  </si>
  <si>
    <t>404-PLASTICS AND PLASTIC PRODUCTS MANUFACTURING</t>
  </si>
  <si>
    <t xml:space="preserve"> 410-404-5006-0000</t>
  </si>
  <si>
    <t>5006-ACRYLIC (UNSPECIFIED)</t>
  </si>
  <si>
    <t xml:space="preserve"> 410-404-5016-0000</t>
  </si>
  <si>
    <t>5016-EPOXY RESINS</t>
  </si>
  <si>
    <t xml:space="preserve"> 410-404-5028-0000</t>
  </si>
  <si>
    <t>5028-POLYESTERS (UNSPECIFIED)</t>
  </si>
  <si>
    <t xml:space="preserve"> 410-404-5030-0000</t>
  </si>
  <si>
    <t>5030-POLYESTER/ALKYD</t>
  </si>
  <si>
    <t xml:space="preserve"> 410-404-5032-0000</t>
  </si>
  <si>
    <t>5032-POLYETHER RESINS</t>
  </si>
  <si>
    <t xml:space="preserve"> 410-404-5034-0000</t>
  </si>
  <si>
    <t>5034-POLYETHYLENE (UNSPECIFIED)</t>
  </si>
  <si>
    <t xml:space="preserve"> 410-404-5036-0000</t>
  </si>
  <si>
    <t>5036-POLYETHYLENE - HIGH DENSITY</t>
  </si>
  <si>
    <t xml:space="preserve"> 410-404-5038-0000</t>
  </si>
  <si>
    <t>5038-POLYETHYLENE - LOW DENSITY</t>
  </si>
  <si>
    <t xml:space="preserve"> 410-404-5044-0000</t>
  </si>
  <si>
    <t>5044-POLYPROPYLENE</t>
  </si>
  <si>
    <t xml:space="preserve"> 410-404-5046-0000</t>
  </si>
  <si>
    <t>5046-POLYSTYRENE</t>
  </si>
  <si>
    <t xml:space="preserve"> 410-404-5048-0000</t>
  </si>
  <si>
    <t>5048-POLYURETHANE</t>
  </si>
  <si>
    <t xml:space="preserve"> 410-404-5050-0000</t>
  </si>
  <si>
    <t>5050-POLYVINYL CHLORIDE (PVC)</t>
  </si>
  <si>
    <t xml:space="preserve"> 410-404-5060-0000</t>
  </si>
  <si>
    <t>5060-SYNTHETIC ORGANIC FIBERS</t>
  </si>
  <si>
    <t xml:space="preserve"> 410-404-5066-0000</t>
  </si>
  <si>
    <t>5066-VINYL (UNSPECIFIED)</t>
  </si>
  <si>
    <t xml:space="preserve"> 410-404-9000-0000</t>
  </si>
  <si>
    <t xml:space="preserve"> 410-407-3000-0000</t>
  </si>
  <si>
    <t>407-PAINT AND ALLIED PRODUCTS MANUFACTURING</t>
  </si>
  <si>
    <t xml:space="preserve"> 410-407-4999-0000</t>
  </si>
  <si>
    <t xml:space="preserve"> 410-407-9000-0000</t>
  </si>
  <si>
    <t xml:space="preserve"> 410-407-9040-0000</t>
  </si>
  <si>
    <t xml:space="preserve"> 410-436-5800-0000</t>
  </si>
  <si>
    <t>436-STORAGE PILES</t>
  </si>
  <si>
    <t xml:space="preserve"> 410-995-0010-0000</t>
  </si>
  <si>
    <t xml:space="preserve"> 410-995-2000-0000</t>
  </si>
  <si>
    <t xml:space="preserve"> 410-995-2008-0000</t>
  </si>
  <si>
    <t xml:space="preserve"> 410-995-2044-0000</t>
  </si>
  <si>
    <t>2044-POTASSIUM CHLORIDE</t>
  </si>
  <si>
    <t xml:space="preserve"> 410-995-2048-0000</t>
  </si>
  <si>
    <t xml:space="preserve"> 410-995-2058-0000</t>
  </si>
  <si>
    <t xml:space="preserve"> 410-995-3000-0000</t>
  </si>
  <si>
    <t xml:space="preserve"> 410-995-3008-0000</t>
  </si>
  <si>
    <t xml:space="preserve"> 410-995-3160-0000</t>
  </si>
  <si>
    <t>3160-FATTY ALCOHOLS (UNSPECIFIED)</t>
  </si>
  <si>
    <t xml:space="preserve"> 410-995-3346-0000</t>
  </si>
  <si>
    <t xml:space="preserve"> 410-995-3358-0000</t>
  </si>
  <si>
    <t>3358-TRINITROTOLUENE (TNT)</t>
  </si>
  <si>
    <t xml:space="preserve"> 410-995-4999-0000</t>
  </si>
  <si>
    <t xml:space="preserve"> 410-995-5000-0000</t>
  </si>
  <si>
    <t xml:space="preserve"> 410-995-5020-0000</t>
  </si>
  <si>
    <t>5020-MELAMINE RESINS</t>
  </si>
  <si>
    <t xml:space="preserve"> 410-995-5044-0000</t>
  </si>
  <si>
    <t xml:space="preserve"> 410-995-5520-0000</t>
  </si>
  <si>
    <t xml:space="preserve"> 410-995-5530-0000</t>
  </si>
  <si>
    <t xml:space="preserve"> 410-995-5800-0000</t>
  </si>
  <si>
    <t xml:space="preserve"> 410-995-7000-0000</t>
  </si>
  <si>
    <t xml:space="preserve"> 410-995-7016-0000</t>
  </si>
  <si>
    <t xml:space="preserve"> 410-995-8400-0000</t>
  </si>
  <si>
    <t xml:space="preserve"> 410-995-9000-0000</t>
  </si>
  <si>
    <t xml:space="preserve"> 420-321-6080-0000</t>
  </si>
  <si>
    <t>420-FOOD AND AGRICULTURE</t>
  </si>
  <si>
    <t>6080-VEGETABLE OIL</t>
  </si>
  <si>
    <t xml:space="preserve"> 420-326-2000-0000</t>
  </si>
  <si>
    <t xml:space="preserve"> 420-326-3000-0000</t>
  </si>
  <si>
    <t xml:space="preserve"> 420-326-3128-0000</t>
  </si>
  <si>
    <t xml:space="preserve"> 420-326-3188-0000</t>
  </si>
  <si>
    <t>3188-ISOBUTANOL (ISOBUTYL ALCOHOL)</t>
  </si>
  <si>
    <t xml:space="preserve"> 420-328-2000-0000</t>
  </si>
  <si>
    <t xml:space="preserve"> 420-328-2026-0000</t>
  </si>
  <si>
    <t xml:space="preserve"> 420-328-3128-0000</t>
  </si>
  <si>
    <t xml:space="preserve"> 420-332-2002-0000</t>
  </si>
  <si>
    <t xml:space="preserve"> 420-338-0010-0000</t>
  </si>
  <si>
    <t xml:space="preserve"> 420-340-0010-0000</t>
  </si>
  <si>
    <t xml:space="preserve"> 420-408-6090-0000</t>
  </si>
  <si>
    <t>408-WINE FERMENTATION</t>
  </si>
  <si>
    <t>6090-WINE</t>
  </si>
  <si>
    <t xml:space="preserve"> 420-410-6090-0000</t>
  </si>
  <si>
    <t>410-WINE AGING</t>
  </si>
  <si>
    <t xml:space="preserve"> 420-412-6012-0000</t>
  </si>
  <si>
    <t>412-BAKERIES</t>
  </si>
  <si>
    <t>6012-BREAD/BAKED GOODS</t>
  </si>
  <si>
    <t xml:space="preserve"> 420-412-6037-0000</t>
  </si>
  <si>
    <t>6037-FLOUR</t>
  </si>
  <si>
    <t xml:space="preserve"> 420-412-6086-0000</t>
  </si>
  <si>
    <t>6086-WHEAT</t>
  </si>
  <si>
    <t xml:space="preserve"> 420-414-6000-0000</t>
  </si>
  <si>
    <t>414-BREWERIES</t>
  </si>
  <si>
    <t>6000-FOOD AND AGRICULTURAL PRODUCTS (UNSPECIFIED)</t>
  </si>
  <si>
    <t xml:space="preserve"> 420-414-6010-0000</t>
  </si>
  <si>
    <t>6010-BEER</t>
  </si>
  <si>
    <t xml:space="preserve"> 420-416-6000-0000</t>
  </si>
  <si>
    <t>416-DISTILLERIES</t>
  </si>
  <si>
    <t xml:space="preserve"> 420-418-6000-0000</t>
  </si>
  <si>
    <t>418-AGRICULTURAL PRODUCTS PROCESSING LOSSES</t>
  </si>
  <si>
    <t xml:space="preserve"> 420-418-6003-0000</t>
  </si>
  <si>
    <t>6003-ALMONDS</t>
  </si>
  <si>
    <t xml:space="preserve"> 420-418-6014-0000</t>
  </si>
  <si>
    <t>6014-CANDY</t>
  </si>
  <si>
    <t xml:space="preserve"> 420-418-6018-0000</t>
  </si>
  <si>
    <t>6018-CEREAL</t>
  </si>
  <si>
    <t xml:space="preserve"> 420-418-6020-0000</t>
  </si>
  <si>
    <t>6020-COFFEE</t>
  </si>
  <si>
    <t xml:space="preserve"> 420-418-6022-0000</t>
  </si>
  <si>
    <t>6022-CORN-DRY</t>
  </si>
  <si>
    <t xml:space="preserve"> 420-418-6024-0000</t>
  </si>
  <si>
    <t>6024-CORN-WET</t>
  </si>
  <si>
    <t xml:space="preserve"> 420-418-6028-0000</t>
  </si>
  <si>
    <t>6028-COTTON</t>
  </si>
  <si>
    <t xml:space="preserve"> 420-418-6038-0000</t>
  </si>
  <si>
    <t>6038-GRAIN (UNSPECIFIED)</t>
  </si>
  <si>
    <t xml:space="preserve"> 420-418-6040-0000</t>
  </si>
  <si>
    <t>6040-GRAIN FEED</t>
  </si>
  <si>
    <t xml:space="preserve"> 420-418-6044-0000</t>
  </si>
  <si>
    <t>6044-MILK/DAIRY PRODUCTS</t>
  </si>
  <si>
    <t xml:space="preserve"> 420-418-6052-0000</t>
  </si>
  <si>
    <t>6052-PEANUTS</t>
  </si>
  <si>
    <t xml:space="preserve"> 420-418-6055-0000</t>
  </si>
  <si>
    <t>6055-POTATO CHIPS</t>
  </si>
  <si>
    <t xml:space="preserve"> 420-418-6064-0000</t>
  </si>
  <si>
    <t>6064-SEEDS</t>
  </si>
  <si>
    <t xml:space="preserve"> 420-418-6066-0000</t>
  </si>
  <si>
    <t>6066-SMOKED MEAT</t>
  </si>
  <si>
    <t xml:space="preserve"> 420-418-6067-0000</t>
  </si>
  <si>
    <t>6067-SNACK CHIPS</t>
  </si>
  <si>
    <t xml:space="preserve"> 420-418-6072-0000</t>
  </si>
  <si>
    <t>6072-STARCH</t>
  </si>
  <si>
    <t xml:space="preserve"> 420-418-6074-0000</t>
  </si>
  <si>
    <t>6074-SUGAR BEETS</t>
  </si>
  <si>
    <t xml:space="preserve"> 420-418-6076-0000</t>
  </si>
  <si>
    <t>6076-SUGAR CANE</t>
  </si>
  <si>
    <t xml:space="preserve"> 420-418-6080-0000</t>
  </si>
  <si>
    <t xml:space="preserve"> 420-418-6086-0000</t>
  </si>
  <si>
    <t xml:space="preserve"> 420-420-6000-0000</t>
  </si>
  <si>
    <t>420-AGRICULTURAL CROP PROCESSING LOSSES</t>
  </si>
  <si>
    <t xml:space="preserve"> 420-420-6002-0000</t>
  </si>
  <si>
    <t>6002-ALFALFA</t>
  </si>
  <si>
    <t xml:space="preserve"> 420-420-6003-0000</t>
  </si>
  <si>
    <t xml:space="preserve"> 420-420-6006-0000</t>
  </si>
  <si>
    <t>6006-BARLEY</t>
  </si>
  <si>
    <t xml:space="preserve"> 420-420-6012-0000</t>
  </si>
  <si>
    <t xml:space="preserve"> 420-420-6022-0000</t>
  </si>
  <si>
    <t xml:space="preserve"> 420-420-6024-0000</t>
  </si>
  <si>
    <t xml:space="preserve"> 420-420-6028-0000</t>
  </si>
  <si>
    <t xml:space="preserve"> 420-420-6032-0000</t>
  </si>
  <si>
    <t>6032-DURUM</t>
  </si>
  <si>
    <t xml:space="preserve"> 420-420-6038-0000</t>
  </si>
  <si>
    <t xml:space="preserve"> 420-420-6040-0000</t>
  </si>
  <si>
    <t xml:space="preserve"> 420-420-6048-0000</t>
  </si>
  <si>
    <t>6048-MUSHROOMS</t>
  </si>
  <si>
    <t xml:space="preserve"> 420-420-6052-0000</t>
  </si>
  <si>
    <t xml:space="preserve"> 420-420-6060-0000</t>
  </si>
  <si>
    <t>6060-RICE</t>
  </si>
  <si>
    <t xml:space="preserve"> 420-420-6064-0000</t>
  </si>
  <si>
    <t xml:space="preserve"> 420-420-6068-0000</t>
  </si>
  <si>
    <t>6068-SOYBEAN</t>
  </si>
  <si>
    <t xml:space="preserve"> 420-420-6072-0000</t>
  </si>
  <si>
    <t xml:space="preserve"> 420-420-6074-0000</t>
  </si>
  <si>
    <t xml:space="preserve"> 420-420-6076-0000</t>
  </si>
  <si>
    <t xml:space="preserve"> 420-420-6080-0000</t>
  </si>
  <si>
    <t xml:space="preserve"> 420-420-6083-0000</t>
  </si>
  <si>
    <t>6083-WALNUTS</t>
  </si>
  <si>
    <t xml:space="preserve"> 420-420-6086-0000</t>
  </si>
  <si>
    <t xml:space="preserve"> 420-995-2002-0000</t>
  </si>
  <si>
    <t xml:space="preserve"> 420-995-4999-0000</t>
  </si>
  <si>
    <t xml:space="preserve"> 420-995-6000-0000</t>
  </si>
  <si>
    <t xml:space="preserve"> 420-995-6004-0000</t>
  </si>
  <si>
    <t>6004-ANIMAL/POULTRY</t>
  </si>
  <si>
    <t xml:space="preserve"> 420-995-6008-0000</t>
  </si>
  <si>
    <t>6008-BEEF CATTLE</t>
  </si>
  <si>
    <t xml:space="preserve"> 420-995-6040-0000</t>
  </si>
  <si>
    <t xml:space="preserve"> 420-995-6076-0000</t>
  </si>
  <si>
    <t xml:space="preserve"> 420-995-7008-0000</t>
  </si>
  <si>
    <t>7008-BARIUM</t>
  </si>
  <si>
    <t xml:space="preserve"> 430-326-3000-0000</t>
  </si>
  <si>
    <t>430-MINERAL PROCESSES</t>
  </si>
  <si>
    <t xml:space="preserve"> 430-328-3000-0000</t>
  </si>
  <si>
    <t xml:space="preserve"> 430-328-7006-0000</t>
  </si>
  <si>
    <t>7006-ASPHALTIC CONCRETE</t>
  </si>
  <si>
    <t xml:space="preserve"> 430-338-0010-0000</t>
  </si>
  <si>
    <t xml:space="preserve"> 430-422-7078-0000</t>
  </si>
  <si>
    <t>422-SAND AND GRAVEL EXCAVATION AND PROCESSING</t>
  </si>
  <si>
    <t>7078-SAND/AGGREGATE</t>
  </si>
  <si>
    <t xml:space="preserve"> 430-424-7006-0000</t>
  </si>
  <si>
    <t>424-ASPHALTIC CONCRETE PRODUCTION</t>
  </si>
  <si>
    <t xml:space="preserve"> 430-424-7050-0000</t>
  </si>
  <si>
    <t>7050-LIMESTONE</t>
  </si>
  <si>
    <t xml:space="preserve"> 430-426-0210-0000</t>
  </si>
  <si>
    <t>426-CRUSHED STONE EXCAVATION AND PROCESSING (AGGREGATE PROD.)</t>
  </si>
  <si>
    <t>0210-COAL (UNSPECIFIED)</t>
  </si>
  <si>
    <t xml:space="preserve"> 430-426-7006-0000</t>
  </si>
  <si>
    <t xml:space="preserve"> 430-426-7018-0000</t>
  </si>
  <si>
    <t>7018-CEMENT CONCRETE</t>
  </si>
  <si>
    <t xml:space="preserve"> 430-426-7078-0000</t>
  </si>
  <si>
    <t xml:space="preserve"> 430-426-7092-0000</t>
  </si>
  <si>
    <t>7092-STONES</t>
  </si>
  <si>
    <t xml:space="preserve"> 430-426-7102-0000</t>
  </si>
  <si>
    <t>7102-GRANITE</t>
  </si>
  <si>
    <t xml:space="preserve"> 430-428-6084-0000</t>
  </si>
  <si>
    <t>428-SURFACE BLASTING</t>
  </si>
  <si>
    <t>6084-WALNUT SHELLS</t>
  </si>
  <si>
    <t xml:space="preserve"> 430-428-7000-0000</t>
  </si>
  <si>
    <t xml:space="preserve"> 430-428-7036-0000</t>
  </si>
  <si>
    <t>7036-GARNET</t>
  </si>
  <si>
    <t xml:space="preserve"> 430-428-7078-0000</t>
  </si>
  <si>
    <t xml:space="preserve"> 430-428-7084-0000</t>
  </si>
  <si>
    <t>7084-SLAG</t>
  </si>
  <si>
    <t xml:space="preserve"> 430-428-7088-0000</t>
  </si>
  <si>
    <t>7088-STEEL GRIT ABRASIVE</t>
  </si>
  <si>
    <t xml:space="preserve"> 430-428-7090-0000</t>
  </si>
  <si>
    <t>7090-STEEL SHOT</t>
  </si>
  <si>
    <t xml:space="preserve"> 430-429-0210-0000</t>
  </si>
  <si>
    <t>429-CEMENT (PORTLAND AND OTHERS) MANUFACTURING</t>
  </si>
  <si>
    <t xml:space="preserve"> 430-429-7016-0000</t>
  </si>
  <si>
    <t xml:space="preserve"> 430-429-7023-0000</t>
  </si>
  <si>
    <t>7023-CLINKER</t>
  </si>
  <si>
    <t xml:space="preserve"> 430-430-2008-0000</t>
  </si>
  <si>
    <t>430-CEMENT CONCRETE MANUFACTURING AND FABRICATION</t>
  </si>
  <si>
    <t xml:space="preserve"> 430-430-7012-0000</t>
  </si>
  <si>
    <t>7012-BRICKS</t>
  </si>
  <si>
    <t xml:space="preserve"> 430-430-7016-0000</t>
  </si>
  <si>
    <t xml:space="preserve"> 430-430-7018-0000</t>
  </si>
  <si>
    <t xml:space="preserve"> 430-430-7050-0000</t>
  </si>
  <si>
    <t xml:space="preserve"> 430-430-7078-0000</t>
  </si>
  <si>
    <t xml:space="preserve"> 430-432-7042-0000</t>
  </si>
  <si>
    <t>432-GYPSUM MANUFACTURING</t>
  </si>
  <si>
    <t>7042-GYPSUM</t>
  </si>
  <si>
    <t xml:space="preserve"> 430-434-7048-0000</t>
  </si>
  <si>
    <t>434-LIME MANUFACTURING</t>
  </si>
  <si>
    <t>7048-LIME</t>
  </si>
  <si>
    <t xml:space="preserve"> 430-434-7050-0000</t>
  </si>
  <si>
    <t xml:space="preserve"> 430-436-0210-0000</t>
  </si>
  <si>
    <t xml:space="preserve"> 430-436-7000-0000</t>
  </si>
  <si>
    <t xml:space="preserve"> 430-436-7006-0000</t>
  </si>
  <si>
    <t xml:space="preserve"> 430-436-7016-0000</t>
  </si>
  <si>
    <t xml:space="preserve"> 430-436-7018-0000</t>
  </si>
  <si>
    <t xml:space="preserve"> 430-436-7023-0000</t>
  </si>
  <si>
    <t xml:space="preserve"> 430-436-7044-0000</t>
  </si>
  <si>
    <t>7044-IRON/STEEL</t>
  </si>
  <si>
    <t xml:space="preserve"> 430-436-7050-0000</t>
  </si>
  <si>
    <t xml:space="preserve"> 430-436-7064-0000</t>
  </si>
  <si>
    <t>7064-NON-METALLIC MINERALS (UNSPECIFIED)</t>
  </si>
  <si>
    <t xml:space="preserve"> 430-436-7072-0000</t>
  </si>
  <si>
    <t>7072-POTASH</t>
  </si>
  <si>
    <t xml:space="preserve"> 430-436-7078-0000</t>
  </si>
  <si>
    <t xml:space="preserve"> 430-436-7092-0000</t>
  </si>
  <si>
    <t xml:space="preserve"> 430-438-7026-0000</t>
  </si>
  <si>
    <t>438-DIATOMACEOUS EARTH PROCESSING</t>
  </si>
  <si>
    <t>7026-DIATOMACEOUS EARTH</t>
  </si>
  <si>
    <t xml:space="preserve"> 430-995-0010-0000</t>
  </si>
  <si>
    <t xml:space="preserve"> 430-995-0210-0000</t>
  </si>
  <si>
    <t xml:space="preserve"> 430-995-0214-0000</t>
  </si>
  <si>
    <t xml:space="preserve"> 430-995-0220-0000</t>
  </si>
  <si>
    <t xml:space="preserve"> 430-995-5400-0000</t>
  </si>
  <si>
    <t xml:space="preserve"> 430-995-5800-0000</t>
  </si>
  <si>
    <t xml:space="preserve"> 430-995-7000-0000</t>
  </si>
  <si>
    <t xml:space="preserve"> 430-995-7006-0000</t>
  </si>
  <si>
    <t xml:space="preserve"> 430-995-7012-0000</t>
  </si>
  <si>
    <t xml:space="preserve"> 430-995-7016-0000</t>
  </si>
  <si>
    <t xml:space="preserve"> 430-995-7018-0000</t>
  </si>
  <si>
    <t xml:space="preserve"> 430-995-7020-0000</t>
  </si>
  <si>
    <t>7020-CERAMICS</t>
  </si>
  <si>
    <t xml:space="preserve"> 430-995-7022-0000</t>
  </si>
  <si>
    <t>7022-CLAY</t>
  </si>
  <si>
    <t xml:space="preserve"> 430-995-7032-0000</t>
  </si>
  <si>
    <t>7032-FLYASH</t>
  </si>
  <si>
    <t xml:space="preserve"> 430-995-7040-0000</t>
  </si>
  <si>
    <t>7040-GOLD</t>
  </si>
  <si>
    <t xml:space="preserve"> 430-995-7042-0000</t>
  </si>
  <si>
    <t xml:space="preserve"> 430-995-7044-0000</t>
  </si>
  <si>
    <t xml:space="preserve"> 430-995-7048-0000</t>
  </si>
  <si>
    <t xml:space="preserve"> 430-995-7050-0000</t>
  </si>
  <si>
    <t xml:space="preserve"> 430-995-7058-0000</t>
  </si>
  <si>
    <t>7058-MINERAL WOOL</t>
  </si>
  <si>
    <t xml:space="preserve"> 430-995-7064-0000</t>
  </si>
  <si>
    <t xml:space="preserve"> 430-995-7066-0000</t>
  </si>
  <si>
    <t>7066-ORE (UNSPECIFIED)</t>
  </si>
  <si>
    <t xml:space="preserve"> 430-995-7067-0000</t>
  </si>
  <si>
    <t>7067-ORE - LOW MOISTURE</t>
  </si>
  <si>
    <t xml:space="preserve"> 430-995-7068-0000</t>
  </si>
  <si>
    <t>7068-PERLITE</t>
  </si>
  <si>
    <t xml:space="preserve"> 430-995-7070-0000</t>
  </si>
  <si>
    <t>7070-PHOSPHATE ROCK</t>
  </si>
  <si>
    <t xml:space="preserve"> 430-995-7072-0000</t>
  </si>
  <si>
    <t xml:space="preserve"> 430-995-7075-0000</t>
  </si>
  <si>
    <t>7075-REFRACTORY - CASTABLE</t>
  </si>
  <si>
    <t xml:space="preserve"> 430-995-7076-0000</t>
  </si>
  <si>
    <t>7076-SALT</t>
  </si>
  <si>
    <t xml:space="preserve"> 430-995-7078-0000</t>
  </si>
  <si>
    <t xml:space="preserve"> 430-995-7092-0000</t>
  </si>
  <si>
    <t xml:space="preserve"> 440-328-2002-0000</t>
  </si>
  <si>
    <t>440-METAL PROCESSES</t>
  </si>
  <si>
    <t xml:space="preserve"> 440-338-0010-0000</t>
  </si>
  <si>
    <t xml:space="preserve"> 440-340-0010-0000</t>
  </si>
  <si>
    <t xml:space="preserve"> 440-440-7000-0000</t>
  </si>
  <si>
    <t>440-SECONDARY METAL PRODUCTION</t>
  </si>
  <si>
    <t xml:space="preserve"> 440-440-7002-0000</t>
  </si>
  <si>
    <t>7002-ALUMINUM</t>
  </si>
  <si>
    <t xml:space="preserve"> 440-440-7024-0000</t>
  </si>
  <si>
    <t>7024-COPPER</t>
  </si>
  <si>
    <t xml:space="preserve"> 440-440-7044-0000</t>
  </si>
  <si>
    <t xml:space="preserve"> 440-440-7046-0000</t>
  </si>
  <si>
    <t>7046-LEAD</t>
  </si>
  <si>
    <t xml:space="preserve"> 440-440-7100-0000</t>
  </si>
  <si>
    <t>7100-ZINC</t>
  </si>
  <si>
    <t xml:space="preserve"> 440-444-2023-0000</t>
  </si>
  <si>
    <t>444-METAL PLATING AND COATING OPERATIONS</t>
  </si>
  <si>
    <t>2023-CHROME</t>
  </si>
  <si>
    <t xml:space="preserve"> 440-444-7000-0000</t>
  </si>
  <si>
    <t xml:space="preserve"> 440-444-7046-0000</t>
  </si>
  <si>
    <t xml:space="preserve"> 440-444-7062-0000</t>
  </si>
  <si>
    <t>7062-NICKEL</t>
  </si>
  <si>
    <t xml:space="preserve"> 440-444-7073-0000</t>
  </si>
  <si>
    <t>7073-POWDERED METAL</t>
  </si>
  <si>
    <t xml:space="preserve"> 440-444-7086-0000</t>
  </si>
  <si>
    <t>7086-STEEL (UNSPECIFIED)</t>
  </si>
  <si>
    <t xml:space="preserve"> 440-444-7100-0000</t>
  </si>
  <si>
    <t xml:space="preserve"> 440-444-9002-0000</t>
  </si>
  <si>
    <t>9002-PORCELAIN ENAMEL/CERAMIC GLAZE</t>
  </si>
  <si>
    <t xml:space="preserve"> 440-995-0010-0000</t>
  </si>
  <si>
    <t xml:space="preserve"> 440-995-0130-0000</t>
  </si>
  <si>
    <t xml:space="preserve"> 440-995-4999-0000</t>
  </si>
  <si>
    <t xml:space="preserve"> 440-995-7000-0000</t>
  </si>
  <si>
    <t xml:space="preserve"> 440-995-7002-0000</t>
  </si>
  <si>
    <t xml:space="preserve"> 440-995-7024-0000</t>
  </si>
  <si>
    <t xml:space="preserve"> 440-995-7044-0000</t>
  </si>
  <si>
    <t xml:space="preserve"> 440-995-7078-0000</t>
  </si>
  <si>
    <t xml:space="preserve"> 440-995-7086-0000</t>
  </si>
  <si>
    <t xml:space="preserve"> 440-995-7094-0000</t>
  </si>
  <si>
    <t>7094-TACONITE IRON</t>
  </si>
  <si>
    <t xml:space="preserve"> 440-995-8000-0000</t>
  </si>
  <si>
    <t xml:space="preserve"> 450-338-0010-0000</t>
  </si>
  <si>
    <t>450-WOOD AND PAPER</t>
  </si>
  <si>
    <t xml:space="preserve"> 450-450-5610-0000</t>
  </si>
  <si>
    <t>450-PULP AND PAPER MANUFACTURING</t>
  </si>
  <si>
    <t>5610-PAPER/PULP</t>
  </si>
  <si>
    <t xml:space="preserve"> 450-452-5610-0000</t>
  </si>
  <si>
    <t>452-PAPERBOARD/FIBERBOARD MANUFACTURING</t>
  </si>
  <si>
    <t xml:space="preserve"> 450-452-6072-0000</t>
  </si>
  <si>
    <t xml:space="preserve"> 450-454-5620-0000</t>
  </si>
  <si>
    <t>454-PLYWOOD/PARTICLE BOARD MANUFACTURING</t>
  </si>
  <si>
    <t>5620-PLYWOOD/PARTICLEBOARD</t>
  </si>
  <si>
    <t xml:space="preserve"> 450-456-0230-0000</t>
  </si>
  <si>
    <t>456-SAWMILL/WOODWORKING OPERATIONS</t>
  </si>
  <si>
    <t xml:space="preserve"> 450-995-0230-0000</t>
  </si>
  <si>
    <t xml:space="preserve"> 450-995-5610-0000</t>
  </si>
  <si>
    <t xml:space="preserve"> 460-332-2002-0000</t>
  </si>
  <si>
    <t>460-GLASS AND RELATED PRODUCTS</t>
  </si>
  <si>
    <t xml:space="preserve"> 460-338-0010-0000</t>
  </si>
  <si>
    <t xml:space="preserve"> 460-460-7025-0000</t>
  </si>
  <si>
    <t>460-GLASS MANUFACTURING</t>
  </si>
  <si>
    <t>7025-CULLET</t>
  </si>
  <si>
    <t xml:space="preserve"> 460-460-7037-0000</t>
  </si>
  <si>
    <t>7037-CONTAINER GLASS</t>
  </si>
  <si>
    <t xml:space="preserve"> 460-460-7038-0000</t>
  </si>
  <si>
    <t>7038-GLASS (UNSPECIFIED)</t>
  </si>
  <si>
    <t xml:space="preserve"> 460-460-7039-0000</t>
  </si>
  <si>
    <t>7039-FLAT GLASS</t>
  </si>
  <si>
    <t xml:space="preserve"> 460-460-7058-0000</t>
  </si>
  <si>
    <t xml:space="preserve"> 470-326-3000-0000</t>
  </si>
  <si>
    <t>470-ELECTRONICS</t>
  </si>
  <si>
    <t xml:space="preserve"> 470-338-0010-0000</t>
  </si>
  <si>
    <t xml:space="preserve"> 470-470-0010-0000</t>
  </si>
  <si>
    <t>470-SEMICONDUCTOR MANUFACTURING</t>
  </si>
  <si>
    <t xml:space="preserve"> 470-470-4999-0000</t>
  </si>
  <si>
    <t xml:space="preserve"> 470-470-8000-0000</t>
  </si>
  <si>
    <t xml:space="preserve"> 470-995-4999-0000</t>
  </si>
  <si>
    <t xml:space="preserve"> 470-995-5044-0000</t>
  </si>
  <si>
    <t xml:space="preserve"> 470-995-7000-0000</t>
  </si>
  <si>
    <t xml:space="preserve"> 499-321-4999-0000</t>
  </si>
  <si>
    <t>499-OTHER (INDUSTRIAL PROCESSES)</t>
  </si>
  <si>
    <t xml:space="preserve"> 499-322-4999-0000</t>
  </si>
  <si>
    <t xml:space="preserve"> 499-324-0010-0000</t>
  </si>
  <si>
    <t xml:space="preserve"> 499-324-1000-0000</t>
  </si>
  <si>
    <t xml:space="preserve"> 499-324-1100-0000</t>
  </si>
  <si>
    <t xml:space="preserve"> 499-324-4999-0000</t>
  </si>
  <si>
    <t xml:space="preserve"> 499-326-2000-0000</t>
  </si>
  <si>
    <t xml:space="preserve"> 499-326-2002-0000</t>
  </si>
  <si>
    <t xml:space="preserve"> 499-326-2026-0000</t>
  </si>
  <si>
    <t xml:space="preserve"> 499-326-3000-0000</t>
  </si>
  <si>
    <t xml:space="preserve"> 499-326-3008-0000</t>
  </si>
  <si>
    <t xml:space="preserve"> 499-326-3220-0000</t>
  </si>
  <si>
    <t xml:space="preserve"> 499-328-2000-0000</t>
  </si>
  <si>
    <t xml:space="preserve"> 499-328-2002-0000</t>
  </si>
  <si>
    <t xml:space="preserve"> 499-328-3000-0000</t>
  </si>
  <si>
    <t xml:space="preserve"> 499-328-3220-0000</t>
  </si>
  <si>
    <t xml:space="preserve"> 499-328-3300-0000</t>
  </si>
  <si>
    <t xml:space="preserve"> 499-332-2002-0000</t>
  </si>
  <si>
    <t xml:space="preserve"> 499-338-0010-0000</t>
  </si>
  <si>
    <t xml:space="preserve"> 499-340-0010-0000</t>
  </si>
  <si>
    <t xml:space="preserve"> 499-340-0300-0000</t>
  </si>
  <si>
    <t xml:space="preserve"> 499-340-3000-0000</t>
  </si>
  <si>
    <t xml:space="preserve"> 499-390-4999-0000</t>
  </si>
  <si>
    <t xml:space="preserve"> 499-436-0220-0000</t>
  </si>
  <si>
    <t xml:space="preserve"> 499-490-3106-0000</t>
  </si>
  <si>
    <t>490-RECYCLING PROCESSES</t>
  </si>
  <si>
    <t>3106-DICHLORODIFLUOROMETHANE (CFC-12  R-12)</t>
  </si>
  <si>
    <t xml:space="preserve"> 499-490-7038-0000</t>
  </si>
  <si>
    <t xml:space="preserve"> 499-492-0012-0000</t>
  </si>
  <si>
    <t>492-STORAGE/TRANSPORT CONTAINER CLEANING (DRUMS-TANKERS-ETC.)</t>
  </si>
  <si>
    <t xml:space="preserve"> 499-907-6700-0000</t>
  </si>
  <si>
    <t>907-INDUSTRIAL USE</t>
  </si>
  <si>
    <t xml:space="preserve">6700-MULTI-PURPOSE LUBRICANT                                     </t>
  </si>
  <si>
    <t xml:space="preserve"> 499-995-0000-0000</t>
  </si>
  <si>
    <t xml:space="preserve"> 499-995-0010-0000</t>
  </si>
  <si>
    <t xml:space="preserve"> 499-995-0220-0000</t>
  </si>
  <si>
    <t xml:space="preserve"> 499-995-0230-0000</t>
  </si>
  <si>
    <t xml:space="preserve"> 499-995-2000-0000</t>
  </si>
  <si>
    <t xml:space="preserve"> 499-995-3084-0000</t>
  </si>
  <si>
    <t>3084-CHLOROFORM</t>
  </si>
  <si>
    <t xml:space="preserve"> 499-995-3162-0000</t>
  </si>
  <si>
    <t>3162-FLUOROCARBONS (UNSPECIFIED)</t>
  </si>
  <si>
    <t xml:space="preserve"> 499-995-4999-0000</t>
  </si>
  <si>
    <t xml:space="preserve"> 499-995-5400-0000</t>
  </si>
  <si>
    <t xml:space="preserve"> 499-995-5610-0000</t>
  </si>
  <si>
    <t xml:space="preserve"> 499-995-5630-0000</t>
  </si>
  <si>
    <t xml:space="preserve"> 499-995-5632-0000</t>
  </si>
  <si>
    <t xml:space="preserve"> 499-995-6000-0000</t>
  </si>
  <si>
    <t xml:space="preserve"> 499-995-6040-0000</t>
  </si>
  <si>
    <t xml:space="preserve"> 499-995-6042-0000</t>
  </si>
  <si>
    <t>6042-LEATHER</t>
  </si>
  <si>
    <t xml:space="preserve"> 499-995-6060-0000</t>
  </si>
  <si>
    <t xml:space="preserve"> 499-995-6072-0000</t>
  </si>
  <si>
    <t xml:space="preserve"> 499-995-7000-0000</t>
  </si>
  <si>
    <t xml:space="preserve"> 499-995-7066-0000</t>
  </si>
  <si>
    <t xml:space="preserve"> 499-995-8000-0000</t>
  </si>
  <si>
    <t>NOT IDEAL NUMBERS - NEED TO CHECK ESTIMATES WITH INVENTORY TO MATCH CORRECTLY</t>
  </si>
  <si>
    <t xml:space="preserve">FROM PATHWAYS </t>
  </si>
  <si>
    <t>CHP</t>
  </si>
  <si>
    <t>Nuclear</t>
  </si>
  <si>
    <t>Coal</t>
  </si>
  <si>
    <t>Natural Gas</t>
  </si>
  <si>
    <t>Natural Gas with CCS</t>
  </si>
  <si>
    <t>Hydro</t>
  </si>
  <si>
    <t>Biomass</t>
  </si>
  <si>
    <t>Geothermal</t>
  </si>
  <si>
    <t>Solar</t>
  </si>
  <si>
    <t>Wind</t>
  </si>
  <si>
    <t>Rooftop PV</t>
  </si>
  <si>
    <t>Imports</t>
  </si>
  <si>
    <t>Total Generation</t>
  </si>
  <si>
    <t>Tons/TWhs</t>
  </si>
  <si>
    <t xml:space="preserve">NOX </t>
  </si>
  <si>
    <t xml:space="preserve">2015 Total Steam Generation </t>
  </si>
  <si>
    <t>mm barrels steam cwe</t>
  </si>
  <si>
    <t>Source: January to December 2015 Monthly Oil and Gas Production and Injection Report, California Department of Conservation</t>
  </si>
  <si>
    <t xml:space="preserve">2015 cogenerations </t>
  </si>
  <si>
    <t>Source:  2009 Annual Report of the State Oil and Gas Supervisor - California Department of Conservation.  Assumes 80% capacity factor for cogeneration</t>
  </si>
  <si>
    <t>2015 steam generation in fossil steam generators/boilers</t>
  </si>
  <si>
    <t>Source:  Difference between total steam and cogenerated steam</t>
  </si>
  <si>
    <t>Conversion between MT credit generation and barrels fossil steam displased by solar steam:</t>
  </si>
  <si>
    <t>barrels cwe/metric ton credit</t>
  </si>
  <si>
    <t>Source:  Proposed avoided emissions value for solar steam (75% to 85% steam quality)</t>
  </si>
  <si>
    <t>SOURCE: CEPAM Database: https://www.arb.ca.gov/app/emsinv/fcemssumcat/fcemssumcat2016.php</t>
  </si>
  <si>
    <t>SOX</t>
  </si>
  <si>
    <t>Solar steam 2015 NOx Emission Factor</t>
  </si>
  <si>
    <t>tons/mm bbls cwe</t>
  </si>
  <si>
    <t>Solar steam 2015 TOG Emission Factor</t>
  </si>
  <si>
    <t>Solar steam 2015 ROG Emission Factor</t>
  </si>
  <si>
    <t>Solar steam 2015 CO Emission Factor</t>
  </si>
  <si>
    <t>Solar steam 2015 SOx Emission Factor</t>
  </si>
  <si>
    <t>Solar steam 2015 PM Emission Factor</t>
  </si>
  <si>
    <t>Solar steam 2015 PM2.5 Emission Factor</t>
  </si>
  <si>
    <t>Solar steam 2015 PM10 Emission Factor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</si>
  <si>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</si>
  <si>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</si>
  <si>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</si>
  <si>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</si>
  <si>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</si>
  <si>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</si>
  <si>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</si>
  <si>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</si>
  <si>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</si>
  <si>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</si>
  <si>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</si>
  <si>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</si>
  <si>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</si>
  <si>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</si>
  <si>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</si>
  <si>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</si>
  <si>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NORTH CENTRAL COAST AIR BASIN</t>
  </si>
  <si>
    <t>320-320-0110-0000</t>
  </si>
  <si>
    <t>Annual</t>
  </si>
  <si>
    <t>Grown and Controlled</t>
  </si>
  <si>
    <t>320-995-0000-0000</t>
  </si>
  <si>
    <t>SAN FRANCISCO BAY AREA AIR BASIN</t>
  </si>
  <si>
    <t>040-005-0110-0000</t>
  </si>
  <si>
    <t>040-005-0130-0000</t>
  </si>
  <si>
    <t>040-005-0220-0000</t>
  </si>
  <si>
    <t>040-005-0320-0000</t>
  </si>
  <si>
    <t>040-005-1530-0000</t>
  </si>
  <si>
    <t>040-010-0100-0000</t>
  </si>
  <si>
    <t>040-010-0110-0000</t>
  </si>
  <si>
    <t>040-010-0130-0000</t>
  </si>
  <si>
    <t>040-010-1000-0000</t>
  </si>
  <si>
    <t>040-040-0110-0000</t>
  </si>
  <si>
    <t>040-040-1210-0000</t>
  </si>
  <si>
    <t>040-040-1412-0000</t>
  </si>
  <si>
    <t>040-045-0110-0000</t>
  </si>
  <si>
    <t>040-045-0120-0000</t>
  </si>
  <si>
    <t>040-045-0134-0000</t>
  </si>
  <si>
    <t>040-070-0110-0000</t>
  </si>
  <si>
    <t>040-070-0120-0000</t>
  </si>
  <si>
    <t>040-070-0130-0000</t>
  </si>
  <si>
    <t>040-070-0240-0000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</si>
  <si>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</si>
  <si>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</si>
  <si>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</si>
  <si>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</si>
  <si>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</si>
  <si>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</si>
  <si>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</si>
  <si>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</si>
  <si>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</si>
  <si>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</si>
  <si>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</si>
  <si>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</si>
  <si>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</si>
  <si>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</si>
  <si>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</si>
  <si>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</si>
  <si>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</si>
  <si>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</si>
  <si>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</si>
  <si>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</si>
  <si>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</si>
  <si>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</si>
  <si>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</si>
  <si>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</si>
  <si>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</si>
  <si>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</si>
  <si>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</si>
  <si>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</si>
  <si>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</si>
  <si>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</si>
  <si>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</si>
  <si>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</si>
  <si>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</si>
  <si>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</si>
  <si>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</si>
  <si>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</si>
  <si>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</si>
  <si>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</si>
  <si>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</si>
  <si>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</si>
  <si>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</si>
  <si>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</si>
  <si>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</si>
  <si>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</si>
  <si>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</si>
  <si>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</si>
  <si>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</si>
  <si>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</si>
  <si>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</si>
  <si>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</si>
  <si>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</si>
  <si>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</si>
  <si>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</si>
  <si>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</si>
  <si>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</si>
  <si>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</si>
  <si>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</si>
  <si>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</si>
  <si>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</si>
  <si>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</si>
  <si>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</si>
  <si>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</si>
  <si>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</si>
  <si>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</si>
  <si>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</si>
  <si>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</si>
  <si>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</si>
  <si>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</si>
  <si>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</si>
  <si>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</si>
  <si>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</si>
  <si>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</si>
  <si>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</si>
  <si>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</si>
  <si>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</si>
  <si>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</si>
  <si>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</si>
  <si>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</si>
  <si>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</si>
  <si>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</si>
  <si>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</si>
  <si>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</si>
  <si>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</si>
  <si>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</si>
  <si>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</si>
  <si>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</si>
  <si>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</si>
  <si>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</si>
  <si>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</si>
  <si>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</si>
  <si>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</si>
  <si>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</si>
  <si>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</si>
  <si>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</si>
  <si>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</si>
  <si>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</si>
  <si>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</si>
  <si>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</si>
  <si>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</si>
  <si>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</si>
  <si>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</si>
  <si>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</si>
  <si>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</si>
  <si>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</si>
  <si>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</si>
  <si>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</si>
  <si>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</si>
  <si>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</si>
  <si>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</si>
  <si>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</si>
  <si>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</si>
  <si>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</si>
  <si>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</si>
  <si>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</si>
  <si>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</si>
  <si>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</si>
  <si>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</si>
  <si>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</si>
  <si>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</si>
  <si>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</si>
  <si>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</si>
  <si>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</si>
  <si>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</si>
  <si>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</si>
  <si>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</si>
  <si>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</si>
  <si>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</si>
  <si>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</si>
  <si>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</si>
  <si>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</si>
  <si>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</si>
  <si>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</si>
  <si>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</si>
  <si>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</si>
  <si>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</si>
  <si>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</si>
  <si>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</si>
  <si>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</si>
  <si>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</si>
  <si>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</si>
  <si>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</si>
  <si>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</si>
  <si>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</si>
  <si>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</si>
  <si>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</si>
  <si>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</si>
  <si>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</si>
  <si>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</si>
  <si>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</si>
  <si>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</si>
  <si>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</si>
  <si>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</si>
  <si>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</si>
  <si>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</si>
  <si>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</si>
  <si>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</si>
  <si>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</si>
  <si>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</si>
  <si>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</si>
  <si>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</si>
  <si>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</si>
  <si>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</si>
  <si>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</si>
  <si>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</si>
  <si>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</si>
  <si>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</si>
  <si>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</si>
  <si>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</si>
  <si>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</si>
  <si>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</si>
  <si>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</si>
  <si>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</si>
  <si>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</si>
  <si>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</si>
  <si>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</si>
  <si>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</si>
  <si>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</si>
  <si>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</si>
  <si>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</si>
  <si>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</si>
  <si>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</si>
  <si>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</si>
  <si>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</si>
  <si>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</si>
  <si>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</si>
  <si>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</si>
  <si>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</si>
  <si>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</si>
  <si>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</si>
  <si>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</si>
  <si>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</si>
  <si>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</si>
  <si>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</si>
  <si>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</si>
  <si>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</si>
  <si>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</si>
  <si>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</si>
  <si>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</si>
  <si>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</si>
  <si>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</si>
  <si>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</si>
  <si>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</si>
  <si>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</si>
  <si>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</si>
  <si>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</si>
  <si>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</si>
  <si>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</si>
  <si>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</si>
  <si>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</si>
  <si>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</si>
  <si>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</si>
  <si>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</si>
  <si>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</si>
  <si>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</si>
  <si>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</si>
  <si>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</si>
  <si>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</si>
  <si>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</si>
  <si>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</si>
  <si>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</si>
  <si>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</si>
  <si>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</si>
  <si>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</si>
  <si>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</si>
  <si>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</si>
  <si>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</si>
  <si>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</si>
  <si>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</si>
  <si>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</si>
  <si>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</si>
  <si>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</si>
  <si>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</si>
  <si>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</si>
  <si>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</si>
  <si>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</si>
  <si>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</si>
  <si>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</si>
  <si>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</si>
  <si>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</si>
  <si>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</si>
  <si>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</si>
  <si>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</si>
  <si>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</si>
  <si>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</si>
  <si>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</si>
  <si>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</si>
  <si>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</si>
  <si>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</si>
  <si>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</si>
  <si>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</si>
  <si>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</si>
  <si>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</si>
  <si>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</si>
  <si>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</si>
  <si>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</si>
  <si>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</si>
  <si>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</si>
  <si>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</si>
  <si>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</si>
  <si>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</si>
  <si>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</si>
  <si>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</si>
  <si>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</si>
  <si>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</si>
  <si>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</si>
  <si>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</si>
  <si>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</si>
  <si>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</si>
  <si>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</si>
  <si>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</si>
  <si>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</si>
  <si>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</si>
  <si>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</si>
  <si>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</si>
  <si>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</si>
  <si>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</si>
  <si>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</si>
  <si>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</si>
  <si>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</si>
  <si>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</si>
  <si>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</si>
  <si>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</si>
  <si>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</si>
  <si>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</si>
  <si>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</si>
  <si>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</si>
  <si>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</si>
  <si>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</si>
  <si>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</si>
  <si>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</si>
  <si>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</si>
  <si>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</si>
  <si>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</si>
  <si>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</si>
  <si>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</si>
  <si>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</si>
  <si>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</si>
  <si>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</si>
  <si>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</si>
  <si>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</si>
  <si>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</si>
  <si>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</si>
  <si>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</si>
  <si>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</si>
  <si>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</si>
  <si>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</si>
  <si>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</si>
  <si>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</si>
  <si>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</si>
  <si>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</si>
  <si>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</si>
  <si>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</si>
  <si>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</si>
  <si>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</si>
  <si>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</si>
  <si>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</si>
  <si>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</si>
  <si>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</si>
  <si>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</si>
  <si>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</si>
  <si>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</si>
  <si>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</si>
  <si>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</si>
  <si>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</si>
  <si>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</si>
  <si>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</si>
  <si>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</si>
  <si>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</si>
  <si>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</si>
  <si>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</si>
  <si>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</si>
  <si>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</si>
  <si>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</si>
  <si>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</si>
  <si>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</si>
  <si>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</si>
  <si>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</si>
  <si>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</si>
  <si>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</si>
  <si>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</si>
  <si>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</si>
  <si>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</si>
  <si>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</si>
  <si>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</si>
  <si>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</si>
  <si>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</si>
  <si>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</si>
  <si>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</si>
  <si>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</si>
  <si>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</si>
  <si>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</si>
  <si>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</si>
  <si>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</si>
  <si>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</si>
  <si>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</si>
  <si>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</si>
  <si>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</si>
  <si>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</si>
  <si>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</si>
  <si>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</si>
  <si>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</si>
  <si>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</si>
  <si>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</si>
  <si>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</si>
  <si>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</si>
  <si>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</si>
  <si>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</si>
  <si>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</si>
  <si>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</si>
  <si>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</si>
  <si>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</si>
  <si>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</si>
  <si>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</si>
  <si>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</si>
  <si>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</si>
  <si>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</si>
  <si>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</si>
  <si>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</si>
  <si>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</si>
  <si>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</si>
  <si>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</si>
  <si>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</si>
  <si>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</si>
  <si>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</si>
  <si>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</si>
  <si>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</si>
  <si>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</si>
  <si>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</si>
  <si>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</si>
  <si>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</si>
  <si>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</si>
  <si>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</si>
  <si>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</si>
  <si>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</si>
  <si>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</si>
  <si>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</si>
  <si>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</si>
  <si>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</si>
  <si>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</si>
  <si>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</si>
  <si>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</si>
  <si>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</si>
  <si>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</si>
  <si>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</si>
  <si>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</si>
  <si>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</si>
  <si>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</si>
  <si>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</si>
  <si>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</si>
  <si>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</si>
  <si>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</si>
  <si>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</si>
  <si>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</si>
  <si>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</si>
  <si>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</si>
  <si>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</si>
  <si>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</si>
  <si>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</si>
  <si>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</si>
  <si>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</si>
  <si>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</si>
  <si>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</si>
  <si>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</si>
  <si>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</si>
  <si>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</si>
  <si>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</si>
  <si>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</si>
  <si>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</si>
  <si>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</si>
  <si>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</si>
  <si>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</si>
  <si>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</si>
  <si>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</si>
  <si>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</si>
  <si>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</si>
  <si>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</si>
  <si>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</si>
  <si>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</si>
  <si>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</si>
  <si>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</si>
  <si>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</si>
  <si>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</si>
  <si>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</si>
  <si>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</si>
  <si>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</si>
  <si>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</si>
  <si>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</si>
  <si>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</si>
  <si>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</si>
  <si>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</si>
  <si>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</si>
  <si>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</si>
  <si>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</si>
  <si>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</si>
  <si>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</si>
  <si>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</si>
  <si>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</si>
  <si>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</si>
  <si>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</si>
  <si>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</si>
  <si>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</si>
  <si>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</si>
  <si>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</si>
  <si>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</si>
  <si>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</si>
  <si>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</si>
  <si>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</si>
  <si>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</si>
  <si>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</si>
  <si>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</si>
  <si>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</si>
  <si>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</si>
  <si>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</si>
  <si>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</si>
  <si>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</si>
  <si>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</si>
  <si>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</si>
  <si>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</si>
  <si>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</si>
  <si>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</si>
  <si>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</si>
  <si>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</si>
  <si>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</si>
  <si>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</si>
  <si>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</si>
  <si>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</si>
  <si>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</si>
  <si>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</si>
  <si>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</si>
  <si>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</si>
  <si>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</si>
  <si>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</si>
  <si>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</si>
  <si>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</si>
  <si>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</si>
  <si>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</si>
  <si>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</si>
  <si>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</si>
  <si>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</si>
  <si>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</si>
  <si>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</si>
  <si>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</si>
  <si>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</si>
  <si>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</si>
  <si>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</si>
  <si>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</si>
  <si>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</si>
  <si>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</si>
  <si>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</si>
  <si>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</si>
  <si>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</si>
  <si>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</si>
  <si>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</si>
  <si>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</si>
  <si>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</si>
  <si>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</si>
  <si>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</si>
  <si>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</si>
  <si>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</si>
  <si>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</si>
  <si>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</si>
  <si>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</si>
  <si>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</si>
  <si>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</si>
  <si>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</si>
  <si>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</si>
  <si>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</si>
  <si>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</si>
  <si>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</si>
  <si>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</si>
  <si>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</si>
  <si>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</si>
  <si>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</si>
  <si>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</si>
  <si>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</si>
  <si>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</si>
  <si>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</si>
  <si>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</si>
  <si>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</si>
  <si>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</si>
  <si>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</si>
  <si>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</si>
  <si>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</si>
  <si>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</si>
  <si>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</si>
  <si>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</si>
  <si>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</si>
  <si>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</si>
  <si>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</si>
  <si>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</si>
  <si>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</si>
  <si>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</si>
  <si>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</si>
  <si>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</si>
  <si>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</si>
  <si>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</si>
  <si>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</si>
  <si>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</si>
  <si>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</si>
  <si>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</si>
  <si>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</si>
  <si>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</si>
  <si>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</si>
  <si>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</si>
  <si>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</si>
  <si>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</si>
  <si>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</si>
  <si>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</si>
  <si>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</si>
  <si>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</si>
  <si>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</si>
  <si>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</si>
  <si>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</si>
  <si>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</si>
  <si>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</si>
  <si>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</si>
  <si>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</si>
  <si>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</si>
  <si>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</si>
  <si>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</si>
  <si>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</si>
  <si>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</si>
  <si>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</si>
  <si>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</si>
  <si>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</si>
  <si>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</si>
  <si>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</si>
  <si>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</si>
  <si>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</si>
  <si>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</si>
  <si>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</si>
  <si>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</si>
  <si>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</si>
  <si>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</si>
  <si>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</si>
  <si>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</si>
  <si>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</si>
  <si>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</si>
  <si>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</si>
  <si>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</si>
  <si>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</si>
  <si>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</si>
  <si>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</si>
  <si>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</si>
  <si>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</si>
  <si>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</si>
  <si>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</si>
  <si>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</si>
  <si>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</si>
  <si>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</si>
  <si>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</si>
  <si>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</si>
  <si>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</si>
  <si>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</si>
  <si>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</si>
  <si>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</si>
  <si>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</si>
  <si>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</si>
  <si>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</si>
  <si>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</si>
  <si>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</si>
  <si>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</si>
  <si>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</si>
  <si>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</si>
  <si>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</si>
  <si>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</si>
  <si>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</si>
  <si>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</si>
  <si>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</si>
  <si>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</si>
  <si>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</si>
  <si>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</si>
  <si>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</si>
  <si>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</si>
  <si>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</si>
  <si>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</si>
  <si>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</si>
  <si>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</si>
  <si>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</si>
  <si>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</si>
  <si>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</si>
  <si>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</si>
  <si>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</si>
  <si>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</si>
  <si>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</si>
  <si>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</si>
  <si>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</si>
  <si>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</si>
  <si>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</si>
  <si>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</si>
  <si>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</si>
  <si>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</si>
  <si>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</si>
  <si>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</si>
  <si>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</si>
  <si>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</si>
  <si>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</si>
  <si>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</si>
  <si>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</si>
  <si>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</si>
  <si>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</si>
  <si>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</si>
  <si>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</si>
  <si>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</si>
  <si>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</si>
  <si>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</si>
  <si>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</si>
  <si>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</si>
  <si>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</si>
  <si>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</si>
  <si>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</si>
  <si>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</si>
  <si>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</si>
  <si>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</si>
  <si>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</si>
  <si>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</si>
  <si>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</si>
  <si>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</si>
  <si>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</si>
  <si>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</si>
  <si>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</si>
  <si>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</si>
  <si>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</si>
  <si>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</si>
  <si>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</si>
  <si>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</si>
  <si>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</si>
  <si>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</si>
  <si>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</si>
  <si>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</si>
  <si>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</si>
  <si>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</si>
  <si>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</si>
  <si>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</si>
  <si>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</si>
  <si>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</si>
  <si>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</si>
  <si>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</si>
  <si>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</si>
  <si>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</si>
  <si>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</si>
  <si>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</si>
  <si>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</si>
  <si>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</si>
  <si>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</si>
  <si>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</si>
  <si>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</si>
  <si>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</si>
  <si>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</si>
  <si>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</si>
  <si>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</si>
  <si>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</si>
  <si>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</si>
  <si>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</si>
  <si>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</si>
  <si>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</si>
  <si>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</si>
  <si>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</si>
  <si>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</si>
  <si>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</si>
  <si>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</si>
  <si>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</si>
  <si>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</si>
  <si>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</si>
  <si>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</si>
  <si>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</si>
  <si>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</si>
  <si>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</si>
  <si>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</si>
  <si>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</si>
  <si>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</si>
  <si>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</si>
  <si>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</si>
  <si>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</si>
  <si>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</si>
  <si>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</si>
  <si>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</si>
  <si>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</si>
  <si>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</si>
  <si>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</si>
  <si>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</si>
  <si>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</si>
  <si>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</si>
  <si>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</si>
  <si>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</si>
  <si>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</si>
  <si>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</si>
  <si>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</si>
  <si>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</si>
  <si>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</si>
  <si>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</si>
  <si>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</si>
  <si>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</si>
  <si>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</si>
  <si>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</si>
  <si>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</si>
  <si>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</si>
  <si>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</si>
  <si>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</si>
  <si>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</si>
  <si>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</si>
  <si>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</si>
  <si>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</si>
  <si>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</si>
  <si>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</si>
  <si>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</si>
  <si>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</si>
  <si>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</si>
  <si>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</si>
  <si>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</si>
  <si>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</si>
  <si>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</si>
  <si>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</si>
  <si>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</si>
  <si>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</si>
  <si>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</si>
  <si>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</si>
  <si>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</si>
  <si>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</si>
  <si>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</si>
  <si>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</si>
  <si>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</si>
  <si>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</si>
  <si>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</si>
  <si>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</si>
  <si>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</si>
  <si>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</si>
  <si>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</si>
  <si>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</si>
  <si>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</si>
  <si>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</si>
  <si>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</si>
  <si>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</si>
  <si>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</si>
  <si>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</si>
  <si>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</si>
  <si>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</si>
  <si>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</si>
  <si>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</si>
  <si>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</si>
  <si>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</si>
  <si>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</si>
  <si>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</si>
  <si>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</si>
  <si>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</si>
  <si>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</si>
  <si>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</si>
  <si>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</si>
  <si>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</si>
  <si>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</si>
  <si>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</si>
  <si>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</si>
  <si>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</si>
  <si>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</si>
  <si>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</si>
  <si>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</si>
  <si>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</si>
  <si>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</si>
  <si>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</si>
  <si>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</si>
  <si>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</si>
  <si>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</si>
  <si>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</si>
  <si>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</si>
  <si>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</si>
  <si>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</si>
  <si>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</si>
  <si>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</si>
  <si>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</si>
  <si>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</si>
  <si>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</si>
  <si>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</si>
  <si>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</si>
  <si>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</si>
  <si>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</si>
  <si>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</si>
  <si>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</si>
  <si>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</si>
  <si>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</si>
  <si>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</si>
  <si>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</si>
  <si>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</si>
  <si>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</si>
  <si>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</si>
  <si>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</si>
  <si>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</si>
  <si>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</si>
  <si>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</si>
  <si>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</si>
  <si>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</si>
  <si>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</si>
  <si>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</si>
  <si>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</si>
  <si>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</si>
  <si>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</si>
  <si>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</si>
  <si>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</si>
  <si>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</si>
  <si>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</si>
  <si>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</si>
  <si>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</si>
  <si>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</si>
  <si>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</si>
  <si>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</si>
  <si>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</si>
  <si>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</si>
  <si>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</si>
  <si>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</si>
  <si>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</si>
  <si>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</si>
  <si>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</si>
  <si>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</si>
  <si>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</si>
  <si>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</si>
  <si>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</si>
  <si>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</si>
  <si>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</si>
  <si>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</si>
  <si>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</si>
  <si>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</si>
  <si>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</si>
  <si>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</si>
  <si>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</si>
  <si>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</si>
  <si>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</si>
  <si>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</si>
  <si>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</si>
  <si>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</si>
  <si>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</si>
  <si>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</si>
  <si>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</si>
  <si>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</si>
  <si>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</si>
  <si>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</si>
  <si>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</si>
  <si>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</si>
  <si>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</si>
  <si>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</si>
  <si>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</si>
  <si>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</si>
  <si>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</si>
  <si>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</si>
  <si>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</si>
  <si>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</si>
  <si>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</si>
  <si>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</si>
  <si>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</si>
  <si>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</si>
  <si>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</si>
  <si>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</si>
  <si>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</si>
  <si>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</si>
  <si>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</si>
  <si>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</si>
  <si>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</si>
  <si>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</si>
  <si>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</si>
  <si>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</si>
  <si>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</si>
  <si>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</si>
  <si>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</si>
  <si>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</si>
  <si>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</si>
  <si>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</si>
  <si>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</si>
  <si>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</si>
  <si>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</si>
  <si>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</si>
  <si>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</si>
  <si>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</si>
  <si>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</si>
  <si>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</si>
  <si>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</si>
  <si>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</si>
  <si>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</si>
  <si>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</si>
  <si>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</si>
  <si>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</si>
  <si>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</si>
  <si>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</si>
  <si>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</si>
  <si>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</si>
  <si>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</si>
  <si>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</si>
  <si>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</si>
  <si>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</si>
  <si>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</si>
  <si>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</si>
  <si>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</si>
  <si>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</si>
  <si>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</si>
  <si>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</si>
  <si>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</si>
  <si>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</si>
  <si>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</si>
  <si>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</si>
  <si>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</si>
  <si>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</si>
  <si>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</si>
  <si>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</si>
  <si>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</si>
  <si>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</si>
  <si>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</si>
  <si>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</si>
  <si>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</si>
  <si>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</si>
  <si>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</si>
  <si>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</si>
  <si>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</si>
  <si>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</si>
  <si>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</si>
  <si>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</si>
  <si>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</si>
  <si>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</si>
  <si>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</si>
  <si>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</si>
  <si>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</si>
  <si>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</si>
  <si>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</si>
  <si>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</si>
  <si>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</si>
  <si>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</si>
  <si>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</si>
  <si>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</si>
  <si>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</si>
  <si>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</si>
  <si>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</si>
  <si>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</si>
  <si>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</si>
  <si>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</si>
  <si>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</si>
  <si>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</si>
  <si>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</si>
  <si>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</si>
  <si>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</si>
  <si>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</si>
  <si>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</si>
  <si>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</si>
  <si>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</si>
  <si>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</si>
  <si>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</si>
  <si>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</si>
  <si>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</si>
  <si>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</si>
  <si>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</si>
  <si>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</si>
  <si>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</si>
  <si>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</si>
  <si>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</si>
  <si>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</si>
  <si>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</si>
  <si>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</si>
  <si>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</si>
  <si>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</si>
  <si>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</si>
  <si>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</si>
  <si>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</si>
  <si>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</si>
  <si>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</si>
  <si>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</si>
  <si>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</si>
  <si>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</si>
  <si>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</si>
  <si>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</si>
  <si>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</si>
  <si>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</si>
  <si>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</si>
  <si>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</si>
  <si>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</si>
  <si>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</si>
  <si>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</si>
  <si>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</si>
  <si>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</si>
  <si>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</si>
  <si>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</si>
  <si>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</si>
  <si>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</si>
  <si>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</si>
  <si>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</si>
  <si>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</si>
  <si>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</si>
  <si>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</si>
  <si>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</si>
  <si>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</si>
  <si>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</si>
  <si>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</si>
  <si>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</si>
  <si>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</si>
  <si>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</si>
  <si>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</si>
  <si>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</si>
  <si>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</si>
  <si>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</si>
  <si>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</si>
  <si>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</si>
  <si>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</si>
  <si>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</si>
  <si>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</si>
  <si>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</si>
  <si>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</si>
  <si>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</si>
  <si>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</si>
  <si>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</si>
  <si>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</si>
  <si>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</si>
  <si>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</si>
  <si>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</si>
  <si>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</si>
  <si>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</si>
  <si>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</si>
  <si>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</si>
  <si>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</si>
  <si>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</si>
  <si>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</si>
  <si>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</si>
  <si>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</si>
  <si>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</si>
  <si>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</si>
  <si>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</si>
  <si>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</si>
  <si>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</si>
  <si>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</si>
  <si>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</si>
  <si>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</si>
  <si>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</si>
  <si>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</si>
  <si>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</si>
  <si>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</si>
  <si>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</si>
  <si>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</si>
  <si>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</si>
  <si>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</si>
  <si>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</si>
  <si>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</si>
  <si>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</si>
  <si>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</si>
  <si>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</si>
  <si>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</si>
  <si>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</si>
  <si>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</si>
  <si>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</si>
  <si>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</si>
  <si>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</si>
  <si>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</si>
  <si>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</si>
  <si>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</si>
  <si>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</si>
  <si>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</si>
  <si>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</si>
  <si>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</si>
  <si>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</si>
  <si>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</si>
  <si>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</si>
  <si>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</si>
  <si>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</si>
  <si>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</si>
  <si>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</si>
  <si>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</si>
  <si>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</si>
  <si>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</si>
  <si>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</si>
  <si>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</si>
  <si>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</si>
  <si>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</si>
  <si>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</si>
  <si>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</si>
  <si>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</si>
  <si>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</si>
  <si>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</si>
  <si>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</si>
  <si>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</si>
  <si>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</si>
  <si>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</si>
  <si>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</si>
  <si>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</si>
  <si>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</si>
  <si>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</si>
  <si>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</si>
  <si>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</si>
  <si>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</si>
  <si>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</si>
  <si>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</si>
  <si>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</si>
  <si>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</si>
  <si>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</si>
  <si>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</si>
  <si>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</si>
  <si>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</si>
  <si>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</si>
  <si>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</si>
  <si>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</si>
  <si>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</si>
  <si>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</si>
  <si>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</si>
  <si>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</si>
  <si>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</si>
  <si>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</si>
  <si>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</si>
  <si>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</si>
  <si>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</si>
  <si>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</si>
  <si>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</si>
  <si>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</si>
  <si>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</si>
  <si>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</si>
  <si>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</si>
  <si>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</si>
  <si>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</si>
  <si>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</si>
  <si>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</si>
  <si>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</si>
  <si>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</si>
  <si>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</si>
  <si>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</si>
  <si>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</si>
  <si>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</si>
  <si>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</si>
  <si>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</si>
  <si>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</si>
  <si>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</si>
  <si>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</si>
  <si>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</si>
  <si>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</si>
  <si>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</si>
  <si>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</si>
  <si>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</si>
  <si>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</si>
  <si>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</si>
  <si>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</si>
  <si>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</si>
  <si>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</si>
  <si>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</si>
  <si>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</si>
  <si>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</si>
  <si>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</si>
  <si>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</si>
  <si>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</si>
  <si>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</si>
  <si>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</si>
  <si>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</si>
  <si>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</si>
  <si>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</si>
  <si>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</si>
  <si>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</si>
  <si>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</si>
  <si>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</si>
  <si>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</si>
  <si>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</si>
  <si>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</si>
  <si>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</si>
  <si>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</si>
  <si>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</si>
  <si>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</si>
  <si>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</si>
  <si>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</si>
  <si>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</si>
  <si>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</si>
  <si>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</si>
  <si>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</si>
  <si>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</si>
  <si>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</si>
  <si>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</si>
  <si>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</si>
  <si>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</si>
  <si>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</si>
  <si>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</si>
  <si>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</si>
  <si>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</si>
  <si>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</si>
  <si>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</si>
  <si>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</si>
  <si>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</si>
  <si>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</si>
  <si>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</si>
  <si>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</si>
  <si>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</si>
  <si>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</si>
  <si>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</si>
  <si>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</si>
  <si>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</si>
  <si>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</si>
  <si>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</si>
  <si>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</si>
  <si>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</si>
  <si>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</si>
  <si>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</si>
  <si>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</si>
  <si>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</si>
  <si>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</si>
  <si>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</si>
  <si>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</si>
  <si>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</si>
  <si>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</si>
  <si>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</si>
  <si>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</si>
  <si>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</si>
  <si>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</si>
  <si>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</si>
  <si>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</si>
  <si>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</si>
  <si>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</si>
  <si>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</si>
  <si>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</si>
  <si>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</si>
  <si>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</si>
  <si>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</si>
  <si>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</si>
  <si>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</si>
  <si>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</si>
  <si>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</si>
  <si>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</si>
  <si>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</si>
  <si>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</si>
  <si>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</si>
  <si>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</si>
  <si>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</si>
  <si>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</si>
  <si>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</si>
  <si>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</si>
  <si>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</si>
  <si>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</si>
  <si>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</si>
  <si>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</si>
  <si>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</si>
  <si>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</si>
  <si>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</si>
  <si>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</si>
  <si>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</si>
  <si>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</si>
  <si>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</si>
  <si>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</si>
  <si>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</si>
  <si>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</si>
  <si>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</si>
  <si>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</si>
  <si>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</si>
  <si>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</si>
  <si>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</si>
  <si>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</si>
  <si>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</si>
  <si>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</si>
  <si>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</si>
  <si>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</si>
  <si>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</si>
  <si>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</si>
  <si>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</si>
  <si>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</si>
  <si>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</si>
  <si>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</si>
  <si>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</si>
  <si>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</si>
  <si>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</si>
  <si>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</si>
  <si>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</si>
  <si>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</si>
  <si>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</si>
  <si>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</si>
  <si>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</si>
  <si>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</si>
  <si>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</si>
  <si>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</si>
  <si>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</si>
  <si>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</si>
  <si>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</si>
  <si>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</si>
  <si>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</si>
  <si>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</si>
  <si>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</si>
  <si>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</si>
  <si>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</si>
  <si>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</si>
  <si>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</si>
  <si>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</si>
  <si>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</si>
  <si>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</si>
  <si>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</si>
  <si>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</si>
  <si>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</si>
  <si>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</si>
  <si>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</si>
  <si>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</si>
  <si>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</si>
  <si>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</si>
  <si>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</si>
  <si>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</si>
  <si>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</si>
  <si>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</si>
  <si>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</si>
  <si>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</si>
  <si>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</si>
  <si>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</si>
  <si>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</si>
  <si>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</si>
  <si>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</si>
  <si>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</si>
  <si>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</si>
  <si>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</si>
  <si>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</si>
  <si>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</si>
  <si>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</si>
  <si>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</si>
  <si>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</si>
  <si>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</si>
  <si>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</si>
  <si>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</si>
  <si>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</si>
  <si>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</si>
  <si>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</si>
  <si>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</si>
  <si>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</si>
  <si>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</si>
  <si>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</si>
  <si>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</si>
  <si>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</si>
  <si>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</si>
  <si>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</si>
  <si>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</si>
  <si>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</si>
  <si>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</si>
  <si>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</si>
  <si>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</si>
  <si>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</si>
  <si>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</si>
  <si>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</si>
  <si>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</si>
  <si>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</si>
  <si>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</si>
  <si>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</si>
  <si>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</si>
  <si>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</si>
  <si>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</si>
  <si>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</si>
  <si>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</si>
  <si>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</si>
  <si>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</si>
  <si>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</si>
  <si>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</si>
  <si>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</si>
  <si>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</si>
  <si>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</si>
  <si>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</si>
  <si>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</si>
  <si>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</si>
  <si>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</si>
  <si>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</si>
  <si>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</si>
  <si>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</si>
  <si>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</si>
  <si>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</si>
  <si>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</si>
  <si>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</si>
  <si>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</si>
  <si>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</si>
  <si>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</si>
  <si>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</si>
  <si>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</si>
  <si>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</si>
  <si>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</si>
  <si>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</si>
  <si>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</si>
  <si>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</si>
  <si>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</si>
  <si>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</si>
  <si>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</si>
  <si>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</si>
  <si>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</si>
  <si>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</si>
  <si>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</si>
  <si>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</si>
  <si>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</si>
  <si>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</si>
  <si>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</si>
  <si>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</si>
  <si>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</si>
  <si>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</si>
  <si>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</si>
  <si>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</si>
  <si>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</si>
  <si>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</si>
  <si>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</si>
  <si>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</si>
  <si>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</si>
  <si>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</si>
  <si>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</si>
  <si>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</si>
  <si>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</si>
  <si>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</si>
  <si>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</si>
  <si>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</si>
  <si>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</si>
  <si>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</si>
  <si>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</si>
  <si>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</si>
  <si>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</si>
  <si>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</si>
  <si>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</si>
  <si>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</si>
  <si>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</si>
  <si>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</si>
  <si>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</si>
  <si>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</si>
  <si>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</si>
  <si>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</si>
  <si>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</si>
  <si>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</si>
  <si>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</si>
  <si>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</si>
  <si>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</si>
  <si>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</si>
  <si>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</si>
  <si>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</si>
  <si>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</si>
  <si>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</si>
  <si>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</si>
  <si>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</si>
  <si>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</si>
  <si>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</si>
  <si>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</si>
  <si>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</si>
  <si>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</si>
  <si>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</si>
  <si>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</si>
  <si>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</si>
  <si>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</si>
  <si>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</si>
  <si>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</si>
  <si>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</si>
  <si>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</si>
  <si>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</si>
  <si>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</si>
  <si>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</si>
  <si>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</si>
  <si>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</si>
  <si>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</si>
  <si>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</si>
  <si>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</si>
  <si>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</si>
  <si>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</si>
  <si>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</si>
  <si>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</si>
  <si>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</si>
  <si>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</si>
  <si>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</si>
  <si>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</si>
  <si>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</si>
  <si>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</si>
  <si>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</si>
  <si>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</si>
  <si>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</si>
  <si>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</si>
  <si>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</si>
  <si>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</si>
  <si>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</si>
  <si>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</si>
  <si>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</si>
  <si>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</si>
  <si>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</si>
  <si>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</si>
  <si>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</si>
  <si>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</si>
  <si>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</si>
  <si>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</si>
  <si>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</si>
  <si>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</si>
  <si>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</si>
  <si>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</si>
  <si>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</si>
  <si>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</si>
  <si>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</si>
  <si>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</si>
  <si>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</si>
  <si>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</si>
  <si>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</si>
  <si>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</si>
  <si>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</si>
  <si>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</si>
  <si>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</si>
  <si>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</si>
  <si>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</si>
  <si>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</si>
  <si>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</si>
  <si>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</si>
  <si>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</si>
  <si>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</si>
  <si>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</si>
  <si>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</si>
  <si>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</si>
  <si>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</si>
  <si>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</si>
  <si>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</si>
  <si>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</si>
  <si>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</si>
  <si>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</si>
  <si>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</si>
  <si>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</si>
  <si>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</si>
  <si>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</si>
  <si>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</si>
  <si>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</si>
  <si>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</si>
  <si>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</si>
  <si>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</si>
  <si>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</si>
  <si>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</si>
  <si>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</si>
  <si>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</si>
  <si>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</si>
  <si>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</si>
  <si>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</si>
  <si>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</si>
  <si>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</si>
  <si>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</si>
  <si>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</si>
  <si>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</si>
  <si>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</si>
  <si>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</si>
  <si>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</si>
  <si>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</si>
  <si>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</si>
  <si>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</si>
  <si>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</si>
  <si>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</si>
  <si>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</si>
  <si>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</si>
  <si>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</si>
  <si>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</si>
  <si>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</si>
  <si>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</si>
  <si>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</si>
  <si>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</si>
  <si>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</si>
  <si>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</si>
  <si>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</si>
  <si>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</si>
  <si>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</si>
  <si>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</si>
  <si>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</si>
  <si>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</si>
  <si>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</si>
  <si>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</si>
  <si>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</si>
  <si>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</si>
  <si>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</si>
  <si>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</si>
  <si>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</si>
  <si>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</si>
  <si>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</si>
  <si>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</si>
  <si>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</si>
  <si>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</si>
  <si>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</si>
  <si>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</si>
  <si>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</si>
  <si>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</si>
  <si>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</si>
  <si>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</si>
  <si>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</si>
  <si>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</si>
  <si>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</si>
  <si>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</si>
  <si>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</si>
  <si>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</si>
  <si>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</si>
  <si>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</si>
  <si>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</si>
  <si>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</si>
  <si>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</si>
  <si>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</si>
  <si>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</si>
  <si>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</si>
  <si>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</si>
  <si>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</si>
  <si>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</si>
  <si>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</si>
  <si>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</si>
  <si>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</si>
  <si>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</si>
  <si>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</si>
  <si>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</si>
  <si>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</si>
  <si>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</si>
  <si>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</si>
  <si>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</si>
  <si>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</si>
  <si>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</si>
  <si>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</si>
  <si>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</si>
  <si>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</si>
  <si>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</si>
  <si>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</si>
  <si>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</si>
  <si>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</si>
  <si>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</si>
  <si>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</si>
  <si>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</si>
  <si>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</si>
  <si>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</si>
  <si>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</si>
  <si>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</si>
  <si>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</si>
  <si>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</si>
  <si>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</si>
  <si>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</si>
  <si>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</si>
  <si>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</si>
  <si>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</si>
  <si>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</si>
  <si>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</si>
  <si>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</si>
  <si>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</si>
  <si>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</si>
  <si>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</si>
  <si>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</si>
  <si>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</si>
  <si>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</si>
  <si>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</si>
  <si>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</si>
  <si>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</si>
  <si>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</si>
  <si>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</si>
  <si>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</si>
  <si>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</si>
  <si>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</si>
  <si>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</si>
  <si>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</si>
  <si>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</si>
  <si>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</si>
  <si>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</si>
  <si>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</si>
  <si>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</si>
  <si>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</si>
  <si>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</si>
  <si>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</si>
  <si>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</si>
  <si>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</si>
  <si>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</si>
  <si>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</si>
  <si>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</si>
  <si>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</si>
  <si>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</si>
  <si>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</si>
  <si>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</si>
  <si>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</si>
  <si>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</si>
  <si>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</si>
  <si>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</si>
  <si>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</si>
  <si>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</si>
  <si>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</si>
  <si>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</si>
  <si>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</si>
  <si>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</si>
  <si>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</si>
  <si>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</si>
  <si>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</si>
  <si>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</si>
  <si>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</si>
  <si>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</si>
  <si>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</si>
  <si>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</si>
  <si>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</si>
  <si>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</si>
  <si>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</si>
  <si>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</si>
  <si>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</si>
  <si>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</si>
  <si>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</si>
  <si>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</si>
  <si>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</si>
  <si>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</si>
  <si>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</si>
  <si>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</si>
  <si>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</si>
  <si>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</si>
  <si>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</si>
  <si>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</si>
  <si>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</si>
  <si>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</si>
  <si>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</si>
  <si>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</si>
  <si>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</si>
  <si>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</si>
  <si>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</si>
  <si>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</si>
  <si>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</si>
  <si>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</si>
  <si>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</si>
  <si>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</si>
  <si>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</si>
  <si>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</si>
  <si>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</si>
  <si>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</si>
  <si>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</si>
  <si>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</si>
  <si>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</si>
  <si>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</si>
  <si>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</si>
  <si>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</si>
  <si>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</si>
  <si>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</si>
  <si>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</si>
  <si>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</si>
  <si>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</si>
  <si>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</si>
  <si>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</si>
  <si>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</si>
  <si>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</si>
  <si>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</si>
  <si>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</si>
  <si>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</si>
  <si>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</si>
  <si>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</si>
  <si>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</si>
  <si>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</si>
  <si>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</si>
  <si>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</si>
  <si>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</si>
  <si>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</si>
  <si>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</si>
  <si>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</si>
  <si>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</si>
  <si>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</si>
  <si>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</si>
  <si>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</si>
  <si>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</si>
  <si>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</si>
  <si>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</si>
  <si>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</si>
  <si>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</si>
  <si>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</si>
  <si>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</si>
  <si>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</si>
  <si>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</si>
  <si>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</si>
  <si>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</si>
  <si>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</si>
  <si>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</si>
  <si>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</si>
  <si>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</si>
  <si>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</si>
  <si>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</si>
  <si>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</si>
  <si>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</si>
  <si>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</si>
  <si>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</si>
  <si>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</si>
  <si>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</si>
  <si>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</si>
  <si>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</si>
  <si>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</si>
  <si>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</si>
  <si>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</si>
  <si>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</si>
  <si>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</si>
  <si>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</si>
  <si>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</si>
  <si>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</si>
  <si>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</si>
  <si>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</si>
  <si>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</si>
  <si>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</si>
  <si>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</si>
  <si>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</si>
  <si>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</si>
  <si>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</si>
  <si>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</si>
  <si>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</si>
  <si>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</si>
  <si>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</si>
  <si>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</si>
  <si>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</si>
  <si>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</si>
  <si>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</si>
  <si>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</si>
  <si>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</si>
  <si>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</si>
  <si>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</si>
  <si>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</si>
  <si>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</si>
  <si>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</si>
  <si>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</si>
  <si>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</si>
  <si>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</si>
  <si>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</si>
  <si>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</si>
  <si>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</si>
  <si>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</si>
  <si>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</si>
  <si>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</si>
  <si>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</si>
  <si>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</si>
  <si>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</si>
  <si>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</si>
  <si>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</si>
  <si>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</si>
  <si>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</si>
  <si>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</si>
  <si>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</si>
  <si>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</si>
  <si>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</si>
  <si>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</si>
  <si>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</si>
  <si>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</si>
  <si>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</si>
  <si>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</si>
  <si>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</si>
  <si>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</si>
  <si>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</si>
  <si>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</si>
  <si>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</si>
  <si>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</si>
  <si>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</si>
  <si>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</si>
  <si>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</si>
  <si>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</si>
  <si>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</si>
  <si>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</si>
  <si>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</si>
  <si>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</si>
  <si>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</si>
  <si>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</si>
  <si>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</si>
  <si>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</si>
  <si>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</si>
  <si>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</si>
  <si>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</si>
  <si>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</si>
  <si>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</si>
  <si>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</si>
  <si>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</si>
  <si>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</si>
  <si>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</si>
  <si>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</si>
  <si>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</si>
  <si>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</si>
  <si>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</si>
  <si>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</si>
  <si>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</si>
  <si>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</si>
  <si>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</si>
  <si>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</si>
  <si>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</si>
  <si>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</si>
  <si>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</si>
  <si>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</si>
  <si>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</si>
  <si>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</si>
  <si>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</si>
  <si>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</si>
  <si>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</si>
  <si>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</si>
  <si>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</si>
  <si>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</si>
  <si>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</si>
  <si>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</si>
  <si>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</si>
  <si>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</si>
  <si>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</si>
  <si>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</si>
  <si>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</si>
  <si>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</si>
  <si>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</si>
  <si>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</si>
  <si>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</si>
  <si>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</si>
  <si>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</si>
  <si>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</si>
  <si>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</si>
  <si>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</si>
  <si>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</si>
  <si>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</si>
  <si>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</si>
  <si>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</si>
  <si>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</si>
  <si>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</si>
  <si>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</si>
  <si>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</si>
  <si>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</si>
  <si>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</si>
  <si>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</si>
  <si>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</si>
  <si>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</si>
  <si>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</si>
  <si>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</si>
  <si>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</si>
  <si>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</si>
  <si>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</si>
  <si>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</si>
  <si>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</si>
  <si>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</si>
  <si>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</si>
  <si>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</si>
  <si>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</si>
  <si>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</si>
  <si>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</si>
  <si>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</si>
  <si>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</si>
  <si>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</si>
  <si>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</si>
  <si>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</si>
  <si>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</si>
  <si>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</si>
  <si>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</si>
  <si>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</si>
  <si>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</si>
  <si>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</si>
  <si>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</si>
  <si>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</si>
  <si>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</si>
  <si>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</si>
  <si>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</si>
  <si>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</si>
  <si>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</si>
  <si>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</si>
  <si>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</si>
  <si>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</si>
  <si>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</si>
  <si>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</si>
  <si>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</si>
  <si>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</si>
  <si>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</si>
  <si>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</si>
  <si>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</si>
  <si>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</si>
  <si>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</si>
  <si>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</si>
  <si>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</si>
  <si>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</si>
  <si>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</si>
  <si>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</si>
  <si>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</si>
  <si>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</si>
  <si>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</si>
  <si>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</si>
  <si>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</si>
  <si>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</si>
  <si>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</si>
  <si>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</si>
  <si>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</si>
  <si>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</si>
  <si>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</si>
  <si>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</si>
  <si>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</si>
  <si>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</si>
  <si>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</si>
  <si>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</si>
  <si>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</si>
  <si>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</si>
  <si>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</si>
  <si>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</si>
  <si>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</si>
  <si>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</si>
  <si>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</si>
  <si>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</si>
  <si>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</si>
  <si>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</si>
  <si>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</si>
  <si>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</si>
  <si>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</si>
  <si>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</si>
  <si>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</si>
  <si>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</si>
  <si>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</si>
  <si>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</si>
  <si>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</si>
  <si>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</si>
  <si>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</si>
  <si>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</si>
  <si>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</si>
  <si>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</si>
  <si>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</si>
  <si>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</si>
  <si>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</si>
  <si>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</si>
  <si>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</si>
  <si>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</si>
  <si>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</si>
  <si>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</si>
  <si>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</si>
  <si>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</si>
  <si>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</si>
  <si>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</si>
  <si>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</si>
  <si>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</si>
  <si>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</si>
  <si>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</si>
  <si>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</si>
  <si>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</si>
  <si>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</si>
  <si>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</si>
  <si>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</si>
  <si>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</si>
  <si>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</si>
  <si>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</si>
  <si>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</si>
  <si>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</si>
  <si>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</si>
  <si>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</si>
  <si>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</si>
  <si>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</si>
  <si>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</si>
  <si>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</si>
  <si>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</si>
  <si>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</si>
  <si>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</si>
  <si>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</si>
  <si>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</si>
  <si>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</si>
  <si>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</si>
  <si>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</si>
  <si>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</si>
  <si>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</si>
  <si>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</si>
  <si>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</si>
  <si>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</si>
  <si>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</si>
  <si>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</si>
  <si>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</si>
  <si>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</si>
  <si>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</si>
  <si>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</si>
  <si>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</si>
  <si>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</si>
  <si>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</si>
  <si>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</si>
  <si>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</si>
  <si>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</si>
  <si>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</si>
  <si>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</si>
  <si>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</si>
  <si>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</si>
  <si>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</si>
  <si>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</si>
  <si>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</si>
  <si>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</si>
  <si>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</si>
  <si>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</si>
  <si>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</si>
  <si>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</si>
  <si>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</si>
  <si>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</si>
  <si>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</si>
  <si>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</si>
  <si>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</si>
  <si>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</si>
  <si>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</si>
  <si>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</si>
  <si>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</si>
  <si>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</si>
  <si>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</si>
  <si>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</si>
  <si>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</si>
  <si>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</si>
  <si>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</si>
  <si>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</si>
  <si>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</si>
  <si>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</si>
  <si>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</si>
  <si>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</si>
  <si>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</si>
  <si>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</si>
  <si>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</si>
  <si>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</si>
  <si>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</si>
  <si>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</si>
  <si>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</si>
  <si>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</si>
  <si>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</si>
  <si>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</si>
  <si>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</si>
  <si>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</si>
  <si>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</si>
  <si>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</si>
  <si>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</si>
  <si>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</si>
  <si>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</si>
  <si>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</si>
  <si>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</si>
  <si>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</si>
  <si>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</si>
  <si>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</si>
  <si>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</si>
  <si>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</si>
  <si>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</si>
  <si>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</si>
  <si>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</si>
  <si>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</si>
  <si>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</si>
  <si>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</si>
  <si>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</si>
  <si>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</si>
  <si>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</si>
  <si>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</si>
  <si>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</si>
  <si>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</si>
  <si>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</si>
  <si>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</si>
  <si>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</si>
  <si>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</si>
  <si>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</si>
  <si>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</si>
  <si>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</si>
  <si>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</si>
  <si>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</si>
  <si>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</si>
  <si>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</si>
  <si>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</si>
  <si>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</si>
  <si>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</si>
  <si>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</si>
  <si>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</si>
  <si>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</si>
  <si>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</si>
  <si>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</si>
  <si>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</si>
  <si>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</si>
  <si>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</si>
  <si>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</si>
  <si>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</si>
  <si>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</si>
  <si>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</si>
  <si>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</si>
  <si>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</si>
  <si>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</si>
  <si>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</si>
  <si>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</si>
  <si>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</si>
  <si>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</si>
  <si>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</si>
  <si>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</si>
  <si>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</si>
  <si>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</si>
  <si>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</si>
  <si>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</si>
  <si>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</si>
  <si>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</si>
  <si>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</si>
  <si>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</si>
  <si>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</si>
  <si>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</si>
  <si>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</si>
  <si>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</si>
  <si>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</si>
  <si>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</si>
  <si>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</si>
  <si>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</si>
  <si>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</si>
  <si>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</si>
  <si>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</si>
  <si>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</si>
  <si>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</si>
  <si>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</si>
  <si>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</si>
  <si>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</si>
  <si>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</si>
  <si>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</si>
  <si>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</si>
  <si>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</si>
  <si>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</si>
  <si>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</si>
  <si>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</si>
  <si>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</si>
  <si>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</si>
  <si>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</si>
  <si>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</si>
  <si>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</si>
  <si>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</si>
  <si>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</si>
  <si>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</si>
  <si>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</si>
  <si>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</si>
  <si>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</si>
  <si>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</si>
  <si>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</si>
  <si>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</si>
  <si>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</si>
  <si>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</si>
  <si>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</si>
  <si>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</si>
  <si>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</si>
  <si>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</si>
  <si>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</si>
  <si>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</si>
  <si>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</si>
  <si>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</si>
  <si>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</si>
  <si>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</si>
  <si>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</si>
  <si>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</si>
  <si>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</si>
  <si>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</si>
  <si>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</si>
  <si>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</si>
  <si>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</si>
  <si>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</si>
  <si>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</si>
  <si>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</si>
  <si>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</si>
  <si>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</si>
  <si>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</si>
  <si>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</si>
  <si>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</si>
  <si>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</si>
  <si>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</si>
  <si>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</si>
  <si>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</si>
  <si>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</si>
  <si>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</si>
  <si>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</si>
  <si>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</si>
  <si>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</si>
  <si>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</si>
  <si>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</si>
  <si>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</si>
  <si>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</si>
  <si>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</si>
  <si>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</si>
  <si>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</si>
  <si>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</si>
  <si>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</si>
  <si>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</si>
  <si>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</si>
  <si>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</si>
  <si>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</si>
  <si>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</si>
  <si>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</si>
  <si>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</si>
  <si>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</si>
  <si>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</si>
  <si>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</si>
  <si>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</si>
  <si>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</si>
  <si>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</si>
  <si>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</si>
  <si>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</si>
  <si>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</si>
  <si>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</si>
  <si>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</si>
  <si>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</si>
  <si>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</si>
  <si>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</si>
  <si>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</si>
  <si>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</si>
  <si>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</si>
  <si>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</si>
  <si>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</si>
  <si>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</si>
  <si>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</si>
  <si>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</si>
  <si>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</si>
  <si>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</si>
  <si>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</si>
  <si>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</si>
  <si>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</si>
  <si>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</si>
  <si>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</si>
  <si>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</si>
  <si>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</si>
  <si>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</si>
  <si>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</si>
  <si>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</si>
  <si>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</si>
  <si>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</si>
  <si>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</si>
  <si>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</si>
  <si>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</si>
  <si>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</si>
  <si>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</si>
  <si>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</si>
  <si>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</si>
  <si>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</si>
  <si>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</si>
  <si>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</si>
  <si>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</si>
  <si>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</si>
  <si>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</si>
  <si>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</si>
  <si>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</si>
  <si>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</si>
  <si>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</si>
  <si>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</si>
  <si>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</si>
  <si>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</si>
  <si>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</si>
  <si>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</si>
  <si>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</si>
  <si>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</si>
  <si>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</si>
  <si>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</si>
  <si>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</si>
  <si>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</si>
  <si>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</si>
  <si>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</si>
  <si>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</si>
  <si>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</si>
  <si>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</si>
  <si>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</si>
  <si>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</si>
  <si>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</si>
  <si>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</si>
  <si>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</si>
  <si>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</si>
  <si>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</si>
  <si>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</si>
  <si>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</si>
  <si>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</si>
  <si>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</si>
  <si>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</si>
  <si>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</si>
  <si>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</si>
  <si>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</si>
  <si>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</si>
  <si>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</si>
  <si>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</si>
  <si>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</si>
  <si>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</si>
  <si>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</si>
  <si>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</si>
  <si>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</si>
  <si>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</si>
  <si>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</si>
  <si>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</si>
  <si>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</si>
  <si>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</si>
  <si>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</si>
  <si>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</si>
  <si>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</si>
  <si>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</si>
  <si>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</si>
  <si>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</si>
  <si>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</si>
  <si>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</si>
  <si>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</si>
  <si>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</si>
  <si>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</si>
  <si>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</si>
  <si>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</si>
  <si>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</si>
  <si>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</si>
  <si>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</si>
  <si>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</si>
  <si>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</si>
  <si>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</si>
  <si>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</si>
  <si>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</si>
  <si>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</si>
  <si>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</si>
  <si>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</si>
  <si>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</si>
  <si>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</si>
  <si>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</si>
  <si>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</si>
  <si>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</si>
  <si>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</si>
  <si>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</si>
  <si>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</si>
  <si>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</si>
  <si>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</si>
  <si>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</si>
  <si>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</si>
  <si>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</si>
  <si>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</si>
  <si>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</si>
  <si>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</si>
  <si>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</si>
  <si>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</si>
  <si>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</si>
  <si>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</si>
  <si>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</si>
  <si>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</si>
  <si>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</si>
  <si>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</si>
  <si>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</si>
  <si>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</si>
  <si>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</si>
  <si>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</si>
  <si>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</si>
  <si>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</si>
  <si>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</si>
  <si>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</si>
  <si>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</si>
  <si>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</si>
  <si>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</si>
  <si>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</si>
  <si>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</si>
  <si>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</si>
  <si>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</si>
  <si>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</si>
  <si>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</si>
  <si>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</si>
  <si>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</si>
  <si>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</si>
  <si>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</si>
  <si>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</si>
  <si>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</si>
  <si>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</si>
  <si>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</si>
  <si>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</si>
  <si>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</si>
  <si>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</si>
  <si>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</si>
  <si>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</si>
  <si>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</si>
  <si>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</si>
  <si>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</si>
  <si>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</si>
  <si>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</si>
  <si>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</si>
  <si>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</si>
  <si>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</si>
  <si>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</si>
  <si>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</si>
  <si>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</si>
  <si>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</si>
  <si>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</si>
  <si>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</si>
  <si>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</si>
  <si>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</si>
  <si>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</si>
  <si>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</si>
  <si>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</si>
  <si>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</si>
  <si>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</si>
  <si>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</si>
  <si>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</si>
  <si>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</si>
  <si>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</si>
  <si>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</si>
  <si>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</si>
  <si>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</si>
  <si>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</si>
  <si>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</si>
  <si>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</si>
  <si>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</si>
  <si>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</si>
  <si>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</si>
  <si>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</si>
  <si>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</si>
  <si>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</si>
  <si>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</si>
  <si>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</si>
  <si>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</si>
  <si>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</si>
  <si>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</si>
  <si>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</si>
  <si>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</si>
  <si>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</si>
  <si>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</si>
  <si>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</si>
  <si>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</si>
  <si>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</si>
  <si>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</si>
  <si>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</si>
  <si>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</si>
  <si>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</si>
  <si>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</si>
  <si>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</si>
  <si>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</si>
  <si>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</si>
  <si>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</si>
  <si>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</si>
  <si>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</si>
  <si>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</si>
  <si>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</si>
  <si>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</si>
  <si>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</si>
  <si>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</si>
  <si>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</si>
  <si>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</si>
  <si>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</si>
  <si>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</si>
  <si>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</si>
  <si>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</si>
  <si>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</si>
  <si>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</si>
  <si>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</si>
  <si>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</si>
  <si>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</si>
  <si>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</si>
  <si>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</si>
  <si>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</si>
  <si>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</si>
  <si>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</si>
  <si>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</si>
  <si>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</si>
  <si>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</si>
  <si>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</si>
  <si>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</si>
  <si>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</si>
  <si>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</si>
  <si>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</si>
  <si>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</si>
  <si>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</si>
  <si>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</si>
  <si>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</si>
  <si>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</si>
  <si>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</si>
  <si>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</si>
  <si>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</si>
  <si>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</si>
  <si>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</si>
  <si>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</si>
  <si>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</si>
  <si>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</si>
  <si>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</si>
  <si>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</si>
  <si>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</si>
  <si>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</si>
  <si>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</si>
  <si>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</si>
  <si>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</si>
  <si>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</si>
  <si>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</si>
  <si>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</si>
  <si>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</si>
  <si>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</si>
  <si>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</si>
  <si>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</si>
  <si>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</si>
  <si>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</si>
  <si>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</si>
  <si>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</si>
  <si>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</si>
  <si>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</si>
  <si>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</si>
  <si>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</si>
  <si>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</si>
  <si>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</si>
  <si>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</si>
  <si>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</si>
  <si>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</si>
  <si>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</si>
  <si>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</si>
  <si>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</si>
  <si>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</si>
  <si>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</si>
  <si>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</si>
  <si>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</si>
  <si>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</si>
  <si>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</si>
  <si>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</si>
  <si>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</si>
  <si>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</si>
  <si>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</si>
  <si>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</si>
  <si>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</si>
  <si>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</si>
  <si>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</si>
  <si>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</si>
  <si>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</si>
  <si>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</si>
  <si>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</si>
  <si>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</si>
  <si>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</si>
  <si>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</si>
  <si>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</si>
  <si>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</si>
  <si>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</si>
  <si>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</si>
  <si>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</si>
  <si>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</si>
  <si>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</si>
  <si>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</si>
  <si>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</si>
  <si>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</si>
  <si>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</si>
  <si>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</si>
  <si>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</si>
  <si>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</si>
  <si>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</si>
  <si>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</si>
  <si>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</si>
  <si>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</si>
  <si>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</si>
  <si>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</si>
  <si>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</si>
  <si>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</si>
  <si>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</si>
  <si>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</si>
  <si>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</si>
  <si>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</si>
  <si>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</si>
  <si>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</si>
  <si>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</si>
  <si>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</si>
  <si>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</si>
  <si>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</si>
  <si>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</si>
  <si>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</si>
  <si>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</si>
  <si>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</si>
  <si>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</si>
  <si>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</si>
  <si>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</si>
  <si>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</si>
  <si>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</si>
  <si>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</si>
  <si>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</si>
  <si>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</si>
  <si>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</si>
  <si>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</si>
  <si>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</si>
  <si>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</si>
  <si>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</si>
  <si>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</si>
  <si>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</si>
  <si>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</si>
  <si>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</si>
  <si>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</si>
  <si>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</si>
  <si>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</si>
  <si>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</si>
  <si>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</si>
  <si>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</si>
  <si>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</si>
  <si>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</si>
  <si>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</si>
  <si>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</si>
  <si>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</si>
  <si>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</si>
  <si>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</si>
  <si>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</si>
  <si>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</si>
  <si>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</si>
  <si>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</si>
  <si>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</si>
  <si>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</si>
  <si>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</si>
  <si>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</si>
  <si>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</si>
  <si>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</si>
  <si>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</si>
  <si>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</si>
  <si>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</si>
  <si>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</si>
  <si>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</si>
  <si>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</si>
  <si>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</si>
  <si>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</si>
  <si>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</si>
  <si>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</si>
  <si>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</si>
  <si>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</si>
  <si>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</si>
  <si>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</si>
  <si>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</si>
  <si>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</si>
  <si>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</si>
  <si>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</si>
  <si>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</si>
  <si>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</si>
  <si>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</si>
  <si>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</si>
  <si>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</si>
  <si>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</si>
  <si>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</si>
  <si>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</si>
  <si>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</si>
  <si>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</si>
  <si>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</si>
  <si>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</si>
  <si>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</si>
  <si>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</si>
  <si>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</si>
  <si>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</si>
  <si>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</si>
  <si>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</si>
  <si>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</si>
  <si>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</si>
  <si>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</si>
  <si>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</si>
  <si>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</si>
  <si>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</si>
  <si>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</si>
  <si>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</si>
  <si>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</si>
  <si>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</si>
  <si>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</si>
  <si>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</si>
  <si>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</si>
  <si>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</si>
  <si>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</si>
  <si>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</si>
  <si>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</si>
  <si>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</si>
  <si>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</si>
  <si>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</si>
  <si>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</si>
  <si>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</si>
  <si>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</si>
  <si>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</si>
  <si>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</si>
  <si>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</si>
  <si>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</si>
  <si>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</si>
  <si>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</si>
  <si>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</si>
  <si>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</si>
  <si>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</si>
  <si>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</si>
  <si>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</si>
  <si>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</si>
  <si>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</si>
  <si>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</si>
  <si>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</si>
  <si>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</si>
  <si>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</si>
  <si>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</si>
  <si>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</si>
  <si>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</si>
  <si>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</si>
  <si>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</si>
  <si>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</si>
  <si>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</si>
  <si>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</si>
  <si>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</si>
  <si>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</si>
  <si>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</si>
  <si>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</si>
  <si>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</si>
  <si>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</si>
  <si>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</si>
  <si>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</si>
  <si>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</si>
  <si>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</si>
  <si>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</si>
  <si>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</si>
  <si>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</si>
  <si>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</si>
  <si>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</si>
  <si>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</si>
  <si>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</si>
  <si>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</si>
  <si>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</si>
  <si>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</si>
  <si>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</si>
  <si>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</si>
  <si>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</si>
  <si>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</si>
  <si>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</si>
  <si>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</si>
  <si>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</si>
  <si>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</si>
  <si>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</si>
  <si>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</si>
  <si>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</si>
  <si>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</si>
  <si>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</si>
  <si>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</si>
  <si>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</si>
  <si>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</si>
  <si>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</si>
  <si>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</si>
  <si>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</si>
  <si>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</si>
  <si>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</si>
  <si>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</si>
  <si>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</si>
  <si>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</si>
  <si>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</si>
  <si>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</si>
  <si>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</si>
  <si>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</si>
  <si>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</si>
  <si>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</si>
  <si>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</si>
  <si>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</si>
  <si>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</si>
  <si>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</si>
  <si>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</si>
  <si>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</si>
  <si>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</si>
  <si>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</si>
  <si>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</si>
  <si>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</si>
  <si>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</si>
  <si>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</si>
  <si>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</si>
  <si>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</si>
  <si>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</si>
  <si>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</si>
  <si>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</si>
  <si>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</si>
  <si>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</si>
  <si>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</si>
  <si>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</si>
  <si>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</si>
  <si>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</si>
  <si>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</si>
  <si>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</si>
  <si>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</si>
  <si>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</si>
  <si>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</si>
  <si>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</si>
  <si>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</si>
  <si>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</si>
  <si>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</si>
  <si>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</si>
  <si>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</si>
  <si>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</si>
  <si>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</si>
  <si>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</si>
  <si>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</si>
  <si>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</si>
  <si>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</si>
  <si>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</si>
  <si>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</si>
  <si>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</si>
  <si>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</si>
  <si>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</si>
  <si>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</si>
  <si>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</si>
  <si>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</si>
  <si>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</si>
  <si>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</si>
  <si>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</si>
  <si>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</si>
  <si>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</si>
  <si>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</si>
  <si>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</si>
  <si>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</si>
  <si>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</si>
  <si>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</si>
  <si>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</si>
  <si>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</si>
  <si>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</si>
  <si>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</si>
  <si>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</si>
  <si>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</si>
  <si>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</si>
  <si>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</si>
  <si>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</si>
  <si>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</si>
  <si>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</si>
  <si>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</si>
  <si>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</si>
  <si>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</si>
  <si>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</si>
  <si>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</si>
  <si>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</si>
  <si>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</si>
  <si>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</si>
  <si>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</si>
  <si>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</si>
  <si>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</si>
  <si>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</si>
  <si>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</si>
  <si>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</si>
  <si>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</si>
  <si>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</si>
  <si>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</si>
  <si>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</si>
  <si>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</si>
  <si>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</si>
  <si>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</si>
  <si>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</si>
  <si>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</si>
  <si>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</si>
  <si>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</si>
  <si>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</si>
  <si>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</si>
  <si>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</si>
  <si>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</si>
  <si>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</si>
  <si>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</si>
  <si>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</si>
  <si>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</si>
  <si>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</si>
  <si>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</si>
  <si>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</si>
  <si>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</si>
  <si>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</si>
  <si>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</si>
  <si>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</si>
  <si>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</si>
  <si>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</si>
  <si>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</si>
  <si>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</si>
  <si>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</si>
  <si>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</si>
  <si>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</si>
  <si>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</si>
  <si>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</si>
  <si>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</si>
  <si>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</si>
  <si>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</si>
  <si>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</si>
  <si>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</si>
  <si>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</si>
  <si>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</si>
  <si>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</si>
  <si>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</si>
  <si>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</si>
  <si>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</si>
  <si>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</si>
  <si>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</si>
  <si>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</si>
  <si>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</si>
  <si>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</si>
  <si>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</si>
  <si>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</si>
  <si>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</si>
  <si>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</si>
  <si>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</si>
  <si>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</si>
  <si>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</si>
  <si>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</si>
  <si>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</si>
  <si>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</si>
  <si>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</si>
  <si>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</si>
  <si>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</si>
  <si>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</si>
  <si>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</si>
  <si>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</si>
  <si>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</si>
  <si>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</si>
  <si>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</si>
  <si>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</si>
  <si>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</si>
  <si>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</si>
  <si>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</si>
  <si>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</si>
  <si>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</si>
  <si>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</si>
  <si>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</si>
  <si>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</si>
  <si>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</si>
  <si>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</si>
  <si>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</si>
  <si>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</si>
  <si>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</si>
  <si>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</si>
  <si>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</si>
  <si>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</si>
  <si>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</si>
  <si>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</si>
  <si>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</si>
  <si>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</si>
  <si>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</si>
  <si>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</si>
  <si>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</si>
  <si>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</si>
  <si>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</si>
  <si>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</si>
  <si>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</si>
  <si>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</si>
  <si>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</si>
  <si>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</si>
  <si>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</si>
  <si>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</si>
  <si>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</si>
  <si>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</si>
  <si>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</si>
  <si>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</si>
  <si>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</si>
  <si>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</si>
  <si>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</si>
  <si>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</si>
  <si>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</si>
  <si>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</si>
  <si>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</si>
  <si>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</si>
  <si>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</si>
  <si>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</si>
  <si>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</si>
  <si>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</si>
  <si>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</si>
  <si>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</si>
  <si>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</si>
  <si>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</si>
  <si>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</si>
  <si>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</si>
  <si>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</si>
  <si>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</si>
  <si>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</si>
  <si>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</si>
  <si>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</si>
  <si>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</si>
  <si>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</si>
  <si>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</si>
  <si>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</si>
  <si>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</si>
  <si>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</si>
  <si>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</si>
  <si>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</si>
  <si>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</si>
  <si>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</si>
  <si>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</si>
  <si>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</si>
  <si>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</si>
  <si>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</si>
  <si>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</si>
  <si>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</si>
  <si>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</si>
  <si>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</si>
  <si>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</si>
  <si>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</si>
  <si>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</si>
  <si>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</si>
  <si>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</si>
  <si>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</si>
  <si>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</si>
  <si>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</si>
  <si>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</si>
  <si>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</si>
  <si>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</si>
  <si>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</si>
  <si>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</si>
  <si>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</si>
  <si>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</si>
  <si>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</si>
  <si>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</si>
  <si>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</si>
  <si>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</si>
  <si>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</si>
  <si>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</si>
  <si>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</si>
  <si>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</si>
  <si>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</si>
  <si>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</si>
  <si>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</si>
  <si>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</si>
  <si>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</si>
  <si>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</si>
  <si>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</si>
  <si>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</si>
  <si>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</si>
  <si>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</si>
  <si>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</si>
  <si>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</si>
  <si>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</si>
  <si>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</si>
  <si>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</si>
  <si>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</si>
  <si>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</si>
  <si>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</si>
  <si>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</si>
  <si>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</si>
  <si>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</si>
  <si>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</si>
  <si>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</si>
  <si>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</si>
  <si>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</si>
  <si>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</si>
  <si>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</si>
  <si>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</si>
  <si>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</si>
  <si>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</si>
  <si>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</si>
  <si>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</si>
  <si>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</si>
  <si>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</si>
  <si>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</si>
  <si>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</si>
  <si>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</si>
  <si>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</si>
  <si>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</si>
  <si>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</si>
  <si>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</si>
  <si>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</si>
  <si>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</si>
  <si>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</si>
  <si>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</si>
  <si>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</si>
  <si>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</si>
  <si>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</si>
  <si>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</si>
  <si>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</si>
  <si>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</si>
  <si>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</si>
  <si>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</si>
  <si>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</si>
  <si>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</si>
  <si>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</si>
  <si>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</si>
  <si>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</si>
  <si>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</si>
  <si>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</si>
  <si>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</si>
  <si>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</si>
  <si>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</si>
  <si>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</si>
  <si>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</si>
  <si>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</si>
  <si>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</si>
  <si>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</si>
  <si>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</si>
  <si>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</si>
  <si>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</si>
  <si>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</si>
  <si>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</si>
  <si>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</si>
  <si>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</si>
  <si>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</si>
  <si>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</si>
  <si>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</si>
  <si>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</si>
  <si>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</si>
  <si>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</si>
  <si>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</si>
  <si>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</si>
  <si>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</si>
  <si>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</si>
  <si>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</si>
  <si>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</si>
  <si>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</si>
  <si>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</si>
  <si>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</si>
  <si>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</si>
  <si>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</si>
  <si>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</si>
  <si>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</si>
  <si>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</si>
  <si>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</si>
  <si>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</si>
  <si>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</si>
  <si>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</si>
  <si>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</si>
  <si>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</si>
  <si>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</si>
  <si>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</si>
  <si>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</si>
  <si>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</si>
  <si>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</si>
  <si>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</si>
  <si>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</si>
  <si>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</si>
  <si>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</si>
  <si>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</si>
  <si>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</si>
  <si>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</si>
  <si>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</si>
  <si>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</si>
  <si>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</si>
  <si>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</si>
  <si>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</si>
  <si>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</si>
  <si>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</si>
  <si>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</si>
  <si>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</si>
  <si>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</si>
  <si>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</si>
  <si>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</si>
  <si>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</si>
  <si>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</si>
  <si>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</si>
  <si>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</si>
  <si>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</si>
  <si>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</si>
  <si>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</si>
  <si>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</si>
  <si>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</si>
  <si>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</si>
  <si>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</si>
  <si>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</si>
  <si>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</si>
  <si>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</si>
  <si>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</si>
  <si>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</si>
  <si>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</si>
  <si>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</si>
  <si>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</si>
  <si>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</si>
  <si>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</si>
  <si>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</si>
  <si>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</si>
  <si>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</si>
  <si>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</si>
  <si>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</si>
  <si>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</si>
  <si>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</si>
  <si>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</si>
  <si>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</si>
  <si>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</si>
  <si>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</si>
  <si>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</si>
  <si>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</si>
  <si>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</si>
  <si>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</si>
  <si>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</si>
  <si>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</si>
  <si>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</si>
  <si>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</si>
  <si>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</si>
  <si>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</si>
  <si>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</si>
  <si>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</si>
  <si>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</si>
  <si>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</si>
  <si>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</si>
  <si>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</si>
  <si>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</si>
  <si>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</si>
  <si>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</si>
  <si>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</si>
  <si>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</si>
  <si>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</si>
  <si>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</si>
  <si>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</si>
  <si>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</si>
  <si>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</si>
  <si>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</si>
  <si>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</si>
  <si>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</si>
  <si>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</si>
  <si>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</si>
  <si>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</si>
  <si>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</si>
  <si>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</si>
  <si>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</si>
  <si>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</si>
  <si>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</si>
  <si>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</si>
  <si>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</si>
  <si>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</si>
  <si>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</si>
  <si>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</si>
  <si>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</si>
  <si>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</si>
  <si>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</si>
  <si>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</si>
  <si>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</si>
  <si>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</si>
  <si>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</si>
  <si>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</si>
  <si>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</si>
  <si>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</si>
  <si>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</si>
  <si>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</si>
  <si>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</si>
  <si>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</si>
  <si>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</si>
  <si>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</si>
  <si>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</si>
  <si>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</si>
  <si>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</si>
  <si>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</si>
  <si>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</si>
  <si>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</si>
  <si>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</si>
  <si>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</si>
  <si>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</si>
  <si>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</si>
  <si>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</si>
  <si>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</si>
  <si>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</si>
  <si>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</si>
  <si>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</si>
  <si>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</si>
  <si>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</si>
  <si>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</si>
  <si>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</si>
  <si>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</si>
  <si>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</si>
  <si>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</si>
  <si>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</si>
  <si>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</si>
  <si>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</si>
  <si>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</si>
  <si>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</si>
  <si>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</si>
  <si>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</si>
  <si>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</si>
  <si>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</si>
  <si>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</si>
  <si>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</si>
  <si>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</si>
  <si>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</si>
  <si>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</si>
  <si>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</si>
  <si>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</si>
  <si>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</si>
  <si>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</si>
  <si>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</si>
  <si>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</si>
  <si>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</si>
  <si>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</si>
  <si>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</si>
  <si>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</si>
  <si>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</si>
  <si>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</si>
  <si>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</si>
  <si>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</si>
  <si>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</si>
  <si>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</si>
  <si>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</si>
  <si>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</si>
  <si>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</si>
  <si>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</si>
  <si>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</si>
  <si>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</si>
  <si>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</si>
  <si>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</si>
  <si>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</si>
  <si>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</si>
  <si>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</si>
  <si>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</si>
  <si>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</si>
  <si>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</si>
  <si>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</si>
  <si>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</si>
  <si>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</si>
  <si>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</si>
  <si>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</si>
  <si>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</si>
  <si>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</si>
  <si>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</si>
  <si>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</si>
  <si>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</si>
  <si>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</si>
  <si>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</si>
  <si>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</si>
  <si>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</si>
  <si>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</si>
  <si>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</si>
  <si>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</si>
  <si>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</si>
  <si>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</si>
  <si>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</si>
  <si>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</si>
  <si>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</si>
  <si>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</si>
  <si>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</si>
  <si>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</si>
  <si>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</si>
  <si>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</si>
  <si>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</si>
  <si>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</si>
  <si>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</si>
  <si>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</si>
  <si>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</si>
  <si>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</si>
  <si>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</si>
  <si>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</si>
  <si>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</si>
  <si>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</si>
  <si>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</si>
  <si>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</si>
  <si>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</si>
  <si>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</si>
  <si>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</si>
  <si>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</si>
  <si>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</si>
  <si>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</si>
  <si>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</si>
  <si>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</si>
  <si>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</si>
  <si>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</si>
  <si>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</si>
  <si>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</si>
  <si>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</si>
  <si>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</si>
  <si>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</si>
  <si>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</si>
  <si>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</si>
  <si>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</si>
  <si>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</si>
  <si>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</si>
  <si>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</si>
  <si>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</si>
  <si>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</si>
  <si>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</si>
  <si>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</si>
  <si>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</si>
  <si>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</si>
  <si>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</si>
  <si>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</si>
  <si>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</si>
  <si>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</si>
  <si>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</si>
  <si>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</si>
  <si>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</si>
  <si>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</si>
  <si>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</si>
  <si>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</si>
  <si>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</si>
  <si>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</si>
  <si>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</si>
  <si>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</si>
  <si>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</si>
  <si>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</si>
  <si>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</si>
  <si>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</si>
  <si>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</si>
  <si>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</si>
  <si>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</si>
  <si>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</si>
  <si>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</si>
  <si>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</si>
  <si>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</si>
  <si>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</si>
  <si>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</si>
  <si>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</si>
  <si>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</si>
  <si>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</si>
  <si>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</si>
  <si>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</si>
  <si>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</si>
  <si>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</si>
  <si>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</si>
  <si>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</si>
  <si>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</si>
  <si>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</si>
  <si>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</si>
  <si>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</si>
  <si>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</si>
  <si>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</si>
  <si>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</si>
  <si>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</si>
  <si>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</si>
  <si>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</si>
  <si>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</si>
  <si>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</si>
  <si>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</si>
  <si>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</si>
  <si>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</si>
  <si>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</si>
  <si>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</si>
  <si>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</si>
  <si>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</si>
  <si>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</si>
  <si>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</si>
  <si>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</si>
  <si>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</si>
  <si>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</si>
  <si>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</si>
  <si>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</si>
  <si>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</si>
  <si>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</si>
  <si>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</si>
  <si>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</si>
  <si>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</si>
  <si>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</si>
  <si>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</si>
  <si>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</si>
  <si>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</si>
  <si>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</si>
  <si>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</si>
  <si>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</si>
  <si>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</si>
  <si>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</si>
  <si>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</si>
  <si>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</si>
  <si>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</si>
  <si>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</si>
  <si>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</si>
  <si>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</si>
  <si>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</si>
  <si>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</si>
  <si>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</si>
  <si>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</si>
  <si>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</si>
  <si>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</si>
  <si>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</si>
  <si>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</si>
  <si>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</si>
  <si>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</si>
  <si>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</si>
  <si>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</si>
  <si>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</si>
  <si>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</si>
  <si>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</si>
  <si>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</si>
  <si>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</si>
  <si>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</si>
  <si>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</si>
  <si>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</si>
  <si>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</si>
  <si>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</si>
  <si>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</si>
  <si>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</si>
  <si>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</si>
  <si>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</si>
  <si>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</si>
  <si>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</si>
  <si>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</si>
  <si>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</si>
  <si>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</si>
  <si>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</si>
  <si>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</si>
  <si>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</si>
  <si>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</si>
  <si>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</si>
  <si>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</si>
  <si>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</si>
  <si>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</si>
  <si>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</si>
  <si>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</si>
  <si>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</si>
  <si>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</si>
  <si>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</si>
  <si>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</si>
  <si>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</si>
  <si>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</si>
  <si>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</si>
  <si>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</si>
  <si>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</si>
  <si>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</si>
  <si>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</si>
  <si>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</si>
  <si>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</si>
  <si>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</si>
  <si>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</si>
  <si>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</si>
  <si>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</si>
  <si>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</si>
  <si>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</si>
  <si>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</si>
  <si>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</si>
  <si>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</si>
  <si>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</si>
  <si>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</si>
  <si>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</si>
  <si>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</si>
  <si>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</si>
  <si>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</si>
  <si>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</si>
  <si>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</si>
  <si>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</si>
  <si>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</si>
  <si>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</si>
  <si>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</si>
  <si>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</si>
  <si>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</si>
  <si>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</si>
  <si>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</si>
  <si>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</si>
  <si>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</si>
  <si>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</si>
  <si>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</si>
  <si>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</si>
  <si>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</si>
  <si>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</si>
  <si>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</si>
  <si>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</si>
  <si>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</si>
  <si>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</si>
  <si>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</si>
  <si>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</si>
  <si>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</si>
  <si>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</si>
  <si>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</si>
  <si>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</si>
  <si>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</si>
  <si>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</si>
  <si>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</si>
  <si>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</si>
  <si>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</si>
  <si>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</si>
  <si>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</si>
  <si>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</si>
  <si>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</si>
  <si>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</si>
  <si>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</si>
  <si>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</si>
  <si>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</si>
  <si>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</si>
  <si>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</si>
  <si>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</si>
  <si>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</si>
  <si>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</si>
  <si>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</si>
  <si>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</si>
  <si>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</si>
  <si>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</si>
  <si>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</si>
  <si>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</si>
  <si>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</si>
  <si>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</si>
  <si>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</si>
  <si>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</si>
  <si>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</si>
  <si>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</si>
  <si>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</si>
  <si>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</si>
  <si>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</si>
  <si>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</si>
  <si>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</si>
  <si>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</si>
  <si>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</si>
  <si>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</si>
  <si>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</si>
  <si>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</si>
  <si>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</si>
  <si>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</si>
  <si>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</si>
  <si>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</si>
  <si>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</si>
  <si>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</si>
  <si>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</si>
  <si>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</si>
  <si>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</si>
  <si>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</si>
  <si>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</si>
  <si>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</si>
  <si>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</si>
  <si>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</si>
  <si>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</si>
  <si>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</si>
  <si>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</si>
  <si>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</si>
  <si>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</si>
  <si>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</si>
  <si>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</si>
  <si>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</si>
  <si>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</si>
  <si>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</si>
  <si>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</si>
  <si>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</si>
  <si>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</si>
  <si>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</si>
  <si>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</si>
  <si>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</si>
  <si>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</si>
  <si>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</si>
  <si>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</si>
  <si>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</si>
  <si>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</si>
  <si>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</si>
  <si>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</si>
  <si>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</si>
  <si>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</si>
  <si>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</si>
  <si>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</si>
  <si>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</si>
  <si>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</si>
  <si>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</si>
  <si>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</si>
  <si>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</si>
  <si>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</si>
  <si>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</si>
  <si>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</si>
  <si>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</si>
  <si>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</si>
  <si>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</si>
  <si>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</si>
  <si>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</si>
  <si>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</si>
  <si>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</si>
  <si>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</si>
  <si>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</si>
  <si>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</si>
  <si>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</si>
  <si>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</si>
  <si>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</si>
  <si>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</si>
  <si>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</si>
  <si>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</si>
  <si>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</si>
  <si>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</si>
  <si>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</si>
  <si>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</si>
  <si>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</si>
  <si>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</si>
  <si>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</si>
  <si>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</si>
  <si>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</si>
  <si>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</si>
  <si>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</si>
  <si>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</si>
  <si>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</si>
  <si>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</si>
  <si>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</si>
  <si>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</si>
  <si>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</si>
  <si>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</si>
  <si>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</si>
  <si>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</si>
  <si>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</si>
  <si>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</si>
  <si>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</si>
  <si>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</si>
  <si>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</si>
  <si>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</si>
  <si>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</si>
  <si>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</si>
  <si>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</si>
  <si>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</si>
  <si>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</si>
  <si>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</si>
  <si>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</si>
  <si>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</si>
  <si>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</si>
  <si>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</si>
  <si>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</si>
  <si>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</si>
  <si>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</si>
  <si>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</si>
  <si>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</si>
  <si>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</si>
  <si>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</si>
  <si>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</si>
  <si>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</si>
  <si>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</si>
  <si>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</si>
  <si>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</si>
  <si>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</si>
  <si>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</si>
  <si>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</si>
  <si>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</si>
  <si>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</si>
  <si>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</si>
  <si>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</si>
  <si>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</si>
  <si>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</si>
  <si>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</si>
  <si>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</si>
  <si>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</si>
  <si>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</si>
  <si>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</si>
  <si>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</si>
  <si>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</si>
  <si>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</si>
  <si>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</si>
  <si>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</si>
  <si>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</si>
  <si>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</si>
  <si>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</si>
  <si>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</si>
  <si>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</si>
  <si>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</si>
  <si>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</si>
  <si>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</si>
  <si>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</si>
  <si>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</si>
  <si>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</si>
  <si>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</si>
  <si>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</si>
  <si>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</si>
  <si>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</si>
  <si>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</si>
  <si>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</si>
  <si>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</si>
  <si>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</si>
  <si>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</si>
  <si>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</si>
  <si>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</si>
  <si>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</si>
  <si>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</si>
  <si>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</si>
  <si>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</si>
  <si>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</si>
  <si>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</si>
  <si>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</si>
  <si>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</si>
  <si>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</si>
  <si>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</si>
  <si>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</si>
  <si>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</si>
  <si>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</si>
  <si>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</si>
  <si>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</si>
  <si>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</si>
  <si>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</si>
  <si>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</si>
  <si>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</si>
  <si>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</si>
  <si>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</si>
  <si>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</si>
  <si>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</si>
  <si>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</si>
  <si>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</si>
  <si>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</si>
  <si>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</si>
  <si>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</si>
  <si>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</si>
  <si>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</si>
  <si>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</si>
  <si>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</si>
  <si>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</si>
  <si>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</si>
  <si>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</si>
  <si>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</si>
  <si>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</si>
  <si>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</si>
  <si>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</si>
  <si>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</si>
  <si>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</si>
  <si>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</si>
  <si>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</si>
  <si>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</si>
  <si>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</si>
  <si>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</si>
  <si>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</si>
  <si>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</si>
  <si>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</si>
  <si>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</si>
  <si>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</si>
  <si>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</si>
  <si>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</si>
  <si>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</si>
  <si>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</si>
  <si>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</si>
  <si>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</si>
  <si>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</si>
  <si>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</si>
  <si>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</si>
  <si>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</si>
  <si>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</si>
  <si>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</si>
  <si>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</si>
  <si>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</si>
  <si>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</si>
  <si>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</si>
  <si>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</si>
  <si>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</si>
  <si>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</si>
  <si>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</si>
  <si>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</si>
  <si>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</si>
  <si>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</si>
  <si>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</si>
  <si>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</si>
  <si>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</si>
  <si>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</si>
  <si>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</si>
  <si>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</si>
  <si>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</si>
  <si>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</si>
  <si>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</si>
  <si>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</si>
  <si>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</si>
  <si>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</si>
  <si>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</si>
  <si>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</si>
  <si>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</si>
  <si>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</si>
  <si>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</si>
  <si>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</si>
  <si>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</si>
  <si>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</si>
  <si>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</si>
  <si>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</si>
  <si>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</si>
  <si>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</si>
  <si>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</si>
  <si>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</si>
  <si>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</si>
  <si>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</si>
  <si>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</si>
  <si>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</si>
  <si>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</si>
  <si>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</si>
  <si>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</si>
  <si>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</si>
  <si>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</si>
  <si>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</si>
  <si>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</si>
  <si>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</si>
  <si>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</si>
  <si>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</si>
  <si>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</si>
  <si>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</si>
  <si>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</si>
  <si>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</si>
  <si>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</si>
  <si>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</si>
  <si>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</si>
  <si>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</si>
  <si>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</si>
  <si>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</si>
  <si>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</si>
  <si>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</si>
  <si>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</si>
  <si>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</si>
  <si>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</si>
  <si>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</si>
  <si>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</si>
  <si>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</si>
  <si>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</si>
  <si>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</si>
  <si>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</si>
  <si>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</si>
  <si>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</si>
  <si>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</si>
  <si>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</si>
  <si>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</si>
  <si>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</si>
  <si>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</si>
  <si>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</si>
  <si>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</si>
  <si>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</si>
  <si>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</si>
  <si>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</si>
  <si>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</si>
  <si>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</si>
  <si>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</si>
  <si>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</si>
  <si>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</si>
  <si>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</si>
  <si>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</si>
  <si>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</si>
  <si>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</si>
  <si>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</si>
  <si>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</si>
  <si>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</si>
  <si>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</si>
  <si>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</si>
  <si>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</si>
  <si>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</si>
  <si>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</si>
  <si>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</si>
  <si>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</si>
  <si>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</si>
  <si>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</si>
  <si>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</si>
  <si>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</si>
  <si>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</si>
  <si>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</si>
  <si>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</si>
  <si>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</si>
  <si>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</si>
  <si>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</si>
  <si>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</si>
  <si>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</si>
  <si>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</si>
  <si>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</si>
  <si>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</si>
  <si>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</si>
  <si>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</si>
  <si>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</si>
  <si>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</si>
  <si>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</si>
  <si>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</si>
  <si>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</si>
  <si>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</si>
  <si>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</si>
  <si>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</si>
  <si>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</si>
  <si>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</si>
  <si>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</si>
  <si>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</si>
  <si>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</si>
  <si>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</si>
  <si>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</si>
  <si>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</si>
  <si>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</si>
  <si>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</si>
  <si>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</si>
  <si>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</si>
  <si>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</si>
  <si>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</si>
  <si>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</si>
  <si>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</si>
  <si>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</si>
  <si>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</si>
  <si>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</si>
  <si>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</si>
  <si>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</si>
  <si>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</si>
  <si>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</si>
  <si>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</si>
  <si>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</si>
  <si>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</si>
  <si>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</si>
  <si>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</si>
  <si>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</si>
  <si>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</si>
  <si>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</si>
  <si>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</si>
  <si>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</si>
  <si>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</si>
  <si>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</si>
  <si>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</si>
  <si>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</si>
  <si>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</si>
  <si>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</si>
  <si>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</si>
  <si>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</si>
  <si>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</si>
  <si>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</si>
  <si>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</si>
  <si>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</si>
  <si>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</si>
  <si>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</si>
  <si>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</si>
  <si>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</si>
  <si>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</si>
  <si>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</si>
  <si>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</si>
  <si>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</si>
  <si>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</si>
  <si>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</si>
  <si>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</si>
  <si>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</si>
  <si>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</si>
  <si>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</si>
  <si>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</si>
  <si>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</si>
  <si>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</si>
  <si>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</si>
  <si>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</si>
  <si>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</si>
  <si>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</si>
  <si>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</si>
  <si>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</si>
  <si>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</si>
  <si>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</si>
  <si>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</si>
  <si>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</si>
  <si>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</si>
  <si>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</si>
  <si>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</si>
  <si>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</si>
  <si>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</si>
  <si>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</si>
  <si>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</si>
  <si>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</si>
  <si>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</si>
  <si>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</si>
  <si>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</si>
  <si>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</si>
  <si>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</si>
  <si>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</si>
  <si>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</si>
  <si>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</si>
  <si>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</si>
  <si>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</si>
  <si>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</si>
  <si>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</si>
  <si>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</si>
  <si>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</si>
  <si>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</si>
  <si>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</si>
  <si>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</si>
  <si>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</si>
  <si>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</si>
  <si>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</si>
  <si>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</si>
  <si>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</si>
  <si>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</si>
  <si>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</si>
  <si>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</si>
  <si>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</si>
  <si>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</si>
  <si>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</si>
  <si>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</si>
  <si>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</si>
  <si>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</si>
  <si>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</si>
  <si>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</si>
  <si>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</si>
  <si>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</si>
  <si>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</si>
  <si>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</si>
  <si>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</si>
  <si>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</si>
  <si>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</si>
  <si>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</si>
  <si>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</si>
  <si>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</si>
  <si>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</si>
  <si>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</si>
  <si>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</si>
  <si>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</si>
  <si>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</si>
  <si>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</si>
  <si>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</si>
  <si>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</si>
  <si>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</si>
  <si>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</si>
  <si>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</si>
  <si>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</si>
  <si>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</si>
  <si>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</si>
  <si>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</si>
  <si>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</si>
  <si>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</si>
  <si>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</si>
  <si>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</si>
  <si>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</si>
  <si>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</si>
  <si>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</si>
  <si>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</si>
  <si>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</si>
  <si>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</si>
  <si>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</si>
  <si>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</si>
  <si>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</si>
  <si>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</si>
  <si>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</si>
  <si>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</si>
  <si>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</si>
  <si>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</si>
  <si>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</si>
  <si>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</si>
  <si>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</si>
  <si>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</si>
  <si>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</si>
  <si>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</si>
  <si>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</si>
  <si>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</si>
  <si>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</si>
  <si>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</si>
  <si>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</si>
  <si>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</si>
  <si>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</si>
  <si>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</si>
  <si>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</si>
  <si>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</si>
  <si>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</si>
  <si>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</si>
  <si>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</si>
  <si>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</si>
  <si>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</si>
  <si>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</si>
  <si>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</si>
  <si>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</si>
  <si>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</si>
  <si>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</si>
  <si>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</si>
  <si>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</si>
  <si>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</si>
  <si>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</si>
  <si>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</si>
  <si>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</si>
  <si>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</si>
  <si>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</si>
  <si>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</si>
  <si>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</si>
  <si>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</si>
  <si>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</si>
  <si>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</si>
  <si>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</si>
  <si>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</si>
  <si>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</si>
  <si>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</si>
  <si>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</si>
  <si>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</si>
  <si>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</si>
  <si>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</si>
  <si>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</si>
  <si>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</si>
  <si>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</si>
  <si>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</si>
  <si>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</si>
  <si>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</si>
  <si>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</si>
  <si>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</si>
  <si>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</si>
  <si>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</si>
  <si>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</si>
  <si>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</si>
  <si>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</si>
  <si>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</si>
  <si>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</si>
  <si>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</si>
  <si>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</si>
  <si>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</si>
  <si>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</si>
  <si>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</si>
  <si>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</si>
  <si>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</si>
  <si>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</si>
  <si>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</si>
  <si>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</si>
  <si>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</si>
  <si>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</si>
  <si>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</si>
  <si>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</si>
  <si>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</si>
  <si>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</si>
  <si>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</si>
  <si>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</si>
  <si>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</si>
  <si>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</si>
  <si>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</si>
  <si>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</si>
  <si>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</si>
  <si>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</si>
  <si>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</si>
  <si>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</si>
  <si>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</si>
  <si>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</si>
  <si>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</si>
  <si>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</si>
  <si>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</si>
  <si>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</si>
  <si>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</si>
  <si>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</si>
  <si>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</si>
  <si>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</si>
  <si>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</si>
  <si>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</si>
  <si>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</si>
  <si>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</si>
  <si>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</si>
  <si>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</si>
  <si>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</si>
  <si>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</si>
  <si>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</si>
  <si>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</si>
  <si>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</si>
  <si>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</si>
  <si>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</si>
  <si>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</si>
  <si>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</si>
  <si>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</si>
  <si>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</si>
  <si>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</si>
  <si>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</si>
  <si>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</si>
  <si>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</si>
  <si>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</si>
  <si>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</si>
  <si>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</si>
  <si>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</si>
  <si>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</si>
  <si>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</si>
  <si>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</si>
  <si>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</si>
  <si>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</si>
  <si>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</si>
  <si>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</si>
  <si>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</si>
  <si>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</si>
  <si>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</si>
  <si>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</si>
  <si>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</si>
  <si>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</si>
  <si>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</si>
  <si>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</si>
  <si>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</si>
  <si>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</si>
  <si>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</si>
  <si>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</si>
  <si>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</si>
  <si>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</si>
  <si>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</si>
  <si>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</si>
  <si>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</si>
  <si>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</si>
  <si>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</si>
  <si>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</si>
  <si>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</si>
  <si>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</si>
  <si>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</si>
  <si>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</si>
  <si>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</si>
  <si>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</si>
  <si>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</si>
  <si>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</si>
  <si>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</si>
  <si>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</si>
  <si>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</si>
  <si>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</si>
  <si>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</si>
  <si>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</si>
  <si>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</si>
  <si>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</si>
  <si>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</si>
  <si>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</si>
  <si>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</si>
  <si>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</si>
  <si>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</si>
  <si>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</si>
  <si>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</si>
  <si>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</si>
  <si>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</si>
  <si>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</si>
  <si>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</si>
  <si>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</si>
  <si>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</si>
  <si>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</si>
  <si>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</si>
  <si>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</si>
  <si>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</si>
  <si>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</si>
  <si>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</si>
  <si>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</si>
  <si>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</si>
  <si>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</si>
  <si>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</si>
  <si>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</si>
  <si>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</si>
  <si>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</si>
  <si>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</si>
  <si>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</si>
  <si>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</si>
  <si>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</si>
  <si>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</si>
  <si>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</si>
  <si>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</si>
  <si>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</si>
  <si>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</si>
  <si>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</si>
  <si>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</si>
  <si>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</si>
  <si>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</si>
  <si>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</si>
  <si>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</si>
  <si>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</si>
  <si>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</si>
  <si>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</si>
  <si>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</si>
  <si>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</si>
  <si>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</si>
  <si>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</si>
  <si>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</si>
  <si>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</si>
  <si>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</si>
  <si>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</si>
  <si>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</si>
  <si>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</si>
  <si>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</si>
  <si>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</si>
  <si>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</si>
  <si>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</si>
  <si>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</si>
  <si>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</si>
  <si>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</si>
  <si>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</si>
  <si>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</si>
  <si>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</si>
  <si>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</si>
  <si>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</si>
  <si>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</si>
  <si>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</si>
  <si>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</si>
  <si>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</si>
  <si>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</si>
  <si>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</si>
  <si>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</si>
  <si>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</si>
  <si>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</si>
  <si>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</si>
  <si>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</si>
  <si>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</si>
  <si>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</si>
  <si>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</si>
  <si>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</si>
  <si>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</si>
  <si>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</si>
  <si>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</si>
  <si>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</si>
  <si>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</si>
  <si>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</si>
  <si>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</si>
  <si>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</si>
  <si>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</si>
  <si>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</si>
  <si>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</si>
  <si>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</si>
  <si>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</si>
  <si>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</si>
  <si>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</si>
  <si>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</si>
  <si>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</si>
  <si>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</si>
  <si>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</si>
  <si>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</si>
  <si>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</si>
  <si>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</si>
  <si>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</si>
  <si>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</si>
  <si>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</si>
  <si>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</si>
  <si>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</si>
  <si>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</si>
  <si>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</si>
  <si>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</si>
  <si>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</si>
  <si>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</si>
  <si>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</si>
  <si>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</si>
  <si>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</si>
  <si>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</si>
  <si>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</si>
  <si>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</si>
  <si>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</si>
  <si>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</si>
  <si>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</si>
  <si>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</si>
  <si>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</si>
  <si>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</si>
  <si>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</si>
  <si>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</si>
  <si>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</si>
  <si>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</si>
  <si>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</si>
  <si>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</si>
  <si>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</si>
  <si>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</si>
  <si>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</si>
  <si>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</si>
  <si>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</si>
  <si>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</si>
  <si>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</si>
  <si>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</si>
  <si>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</si>
  <si>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</si>
  <si>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</si>
  <si>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</si>
  <si>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</si>
  <si>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</si>
  <si>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</si>
  <si>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</si>
  <si>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</si>
  <si>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</si>
  <si>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</si>
  <si>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</si>
  <si>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</si>
  <si>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</si>
  <si>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</si>
  <si>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</si>
  <si>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</si>
  <si>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</si>
  <si>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</si>
  <si>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</si>
  <si>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</si>
  <si>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</si>
  <si>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</si>
  <si>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</si>
  <si>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</si>
  <si>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</si>
  <si>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</si>
  <si>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</si>
  <si>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</si>
  <si>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</si>
  <si>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</si>
  <si>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</si>
  <si>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</si>
  <si>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</si>
  <si>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</si>
  <si>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</si>
  <si>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</si>
  <si>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</si>
  <si>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</si>
  <si>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</si>
  <si>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</si>
  <si>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</si>
  <si>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</si>
  <si>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</si>
  <si>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</si>
  <si>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</si>
  <si>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</si>
  <si>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</si>
  <si>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</si>
  <si>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</si>
  <si>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</si>
  <si>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</si>
  <si>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</si>
  <si>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</si>
  <si>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</si>
  <si>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</si>
  <si>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</si>
  <si>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</si>
  <si>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</si>
  <si>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</si>
  <si>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</si>
  <si>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</si>
  <si>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</si>
  <si>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</si>
  <si>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</si>
  <si>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</si>
  <si>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</si>
  <si>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</si>
  <si>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</si>
  <si>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</si>
  <si>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</si>
  <si>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</si>
  <si>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</si>
  <si>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</si>
  <si>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</si>
  <si>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</si>
  <si>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</si>
  <si>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</si>
  <si>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</si>
  <si>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</si>
  <si>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</si>
  <si>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</si>
  <si>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</si>
  <si>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</si>
  <si>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</si>
  <si>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</si>
  <si>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</si>
  <si>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</si>
  <si>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</si>
  <si>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</si>
  <si>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</si>
  <si>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</si>
  <si>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</si>
  <si>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</si>
  <si>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</si>
  <si>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</si>
  <si>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</si>
  <si>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</si>
  <si>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</si>
  <si>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</si>
  <si>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</si>
  <si>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</si>
  <si>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</si>
  <si>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</si>
  <si>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</si>
  <si>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</si>
  <si>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</si>
  <si>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</si>
  <si>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</si>
  <si>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</si>
  <si>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</si>
  <si>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</si>
  <si>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</si>
  <si>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</si>
  <si>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</si>
  <si>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</si>
  <si>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</si>
  <si>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</si>
  <si>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</si>
  <si>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</si>
  <si>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</si>
  <si>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</si>
  <si>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</si>
  <si>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</si>
  <si>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</si>
  <si>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</si>
  <si>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</si>
  <si>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</si>
  <si>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</si>
  <si>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</si>
  <si>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</si>
  <si>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</si>
  <si>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</si>
  <si>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</si>
  <si>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</si>
  <si>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</si>
  <si>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</si>
  <si>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</si>
  <si>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</si>
  <si>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</si>
  <si>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</si>
  <si>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</si>
  <si>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</si>
  <si>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</si>
  <si>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</si>
  <si>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</si>
  <si>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</si>
  <si>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</si>
  <si>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</si>
  <si>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</si>
  <si>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</si>
  <si>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</si>
  <si>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</si>
  <si>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</si>
  <si>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</si>
  <si>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</si>
  <si>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</si>
  <si>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</si>
  <si>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</si>
  <si>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</si>
  <si>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</si>
  <si>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</si>
  <si>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</si>
  <si>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</si>
  <si>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</si>
  <si>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</si>
  <si>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</si>
  <si>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</si>
  <si>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</si>
  <si>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</si>
  <si>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</si>
  <si>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</si>
  <si>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</si>
  <si>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</si>
  <si>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</si>
  <si>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</si>
  <si>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</si>
  <si>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</si>
  <si>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</si>
  <si>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</si>
  <si>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</si>
  <si>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</si>
  <si>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</si>
  <si>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</si>
  <si>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</si>
  <si>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</si>
  <si>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</si>
  <si>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</si>
  <si>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</si>
  <si>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</si>
  <si>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</si>
  <si>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</si>
  <si>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</si>
  <si>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</si>
  <si>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</si>
  <si>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</si>
  <si>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</si>
  <si>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</si>
  <si>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</si>
  <si>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</si>
  <si>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</si>
  <si>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</si>
  <si>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</si>
  <si>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</si>
  <si>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</si>
  <si>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</si>
  <si>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</si>
  <si>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</si>
  <si>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</si>
  <si>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</si>
  <si>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</si>
  <si>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</si>
  <si>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</si>
  <si>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</si>
  <si>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</si>
  <si>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</si>
  <si>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</si>
  <si>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</si>
  <si>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</si>
  <si>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</si>
  <si>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</si>
  <si>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</si>
  <si>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</si>
  <si>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</si>
  <si>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</si>
  <si>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</si>
  <si>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</si>
  <si>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</si>
  <si>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</si>
  <si>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</si>
  <si>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</si>
  <si>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</si>
  <si>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</si>
  <si>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</si>
  <si>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</si>
  <si>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</si>
  <si>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</si>
  <si>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</si>
  <si>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</si>
  <si>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</si>
  <si>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</si>
  <si>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</si>
  <si>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</si>
  <si>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</si>
  <si>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</si>
  <si>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</si>
  <si>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</si>
  <si>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</si>
  <si>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</si>
  <si>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</si>
  <si>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</si>
  <si>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</si>
  <si>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</si>
  <si>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</si>
  <si>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</si>
  <si>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</si>
  <si>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</si>
  <si>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</si>
  <si>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</si>
  <si>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</si>
  <si>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</si>
  <si>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</si>
  <si>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</si>
  <si>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</si>
  <si>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</si>
  <si>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</si>
  <si>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</si>
  <si>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</si>
  <si>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</si>
  <si>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</si>
  <si>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</si>
  <si>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</si>
  <si>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</si>
  <si>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</si>
  <si>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</si>
  <si>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</si>
  <si>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</si>
  <si>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</si>
  <si>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</si>
  <si>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</si>
  <si>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</si>
  <si>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</si>
  <si>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</si>
  <si>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</si>
  <si>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</si>
  <si>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</si>
  <si>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</si>
  <si>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</si>
  <si>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</si>
  <si>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</si>
  <si>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</si>
  <si>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</si>
  <si>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</si>
  <si>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</si>
  <si>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</si>
  <si>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</si>
  <si>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</si>
  <si>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</si>
  <si>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</si>
  <si>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</si>
  <si>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</si>
  <si>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</si>
  <si>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</si>
  <si>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</si>
  <si>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</si>
  <si>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</si>
  <si>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</si>
  <si>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</si>
  <si>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</si>
  <si>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</si>
  <si>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</si>
  <si>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</si>
  <si>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</si>
  <si>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</si>
  <si>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</si>
  <si>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</si>
  <si>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</si>
  <si>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</si>
  <si>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</si>
  <si>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</si>
  <si>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</si>
  <si>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</si>
  <si>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</si>
  <si>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</si>
  <si>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</si>
  <si>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</si>
  <si>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</si>
  <si>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</si>
  <si>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</si>
  <si>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</si>
  <si>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</si>
  <si>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</si>
  <si>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</si>
  <si>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</si>
  <si>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</si>
  <si>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</si>
  <si>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</si>
  <si>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</si>
  <si>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</si>
  <si>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</si>
  <si>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</si>
  <si>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</si>
  <si>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</si>
  <si>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</si>
  <si>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</si>
  <si>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</si>
  <si>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</si>
  <si>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</si>
  <si>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</si>
  <si>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</si>
  <si>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</si>
  <si>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</si>
  <si>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</si>
  <si>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</si>
  <si>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</si>
  <si>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</si>
  <si>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</si>
  <si>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</si>
  <si>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</si>
  <si>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</si>
  <si>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</si>
  <si>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</si>
  <si>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</si>
  <si>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</si>
  <si>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</si>
  <si>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</si>
  <si>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</si>
  <si>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</si>
  <si>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</si>
  <si>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</si>
  <si>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</si>
  <si>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</si>
  <si>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</si>
  <si>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</si>
  <si>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</si>
  <si>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</si>
  <si>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</si>
  <si>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</si>
  <si>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</si>
  <si>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</si>
  <si>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</si>
  <si>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</si>
  <si>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</si>
  <si>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</si>
  <si>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</si>
  <si>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</si>
  <si>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</si>
  <si>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</si>
  <si>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</si>
  <si>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</si>
  <si>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</si>
  <si>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</si>
  <si>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</si>
  <si>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</si>
  <si>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</si>
  <si>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</si>
  <si>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</si>
  <si>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</si>
  <si>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</si>
  <si>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</si>
  <si>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</si>
  <si>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</si>
  <si>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</si>
  <si>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</si>
  <si>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</si>
  <si>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</si>
  <si>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</si>
  <si>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</si>
  <si>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</si>
  <si>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</si>
  <si>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</si>
  <si>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</si>
  <si>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</si>
  <si>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</si>
  <si>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</si>
  <si>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</si>
  <si>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</si>
  <si>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</si>
  <si>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</si>
  <si>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</si>
  <si>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</si>
  <si>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</si>
  <si>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</si>
  <si>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</si>
  <si>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</si>
  <si>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</si>
  <si>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</si>
  <si>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</si>
  <si>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</si>
  <si>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</si>
  <si>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</si>
  <si>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</si>
  <si>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</si>
  <si>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</si>
  <si>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</si>
  <si>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</si>
  <si>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</si>
  <si>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</si>
  <si>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</si>
  <si>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</si>
  <si>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</si>
  <si>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</si>
  <si>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</si>
  <si>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</si>
  <si>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</si>
  <si>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</si>
  <si>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</si>
  <si>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</si>
  <si>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</si>
  <si>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</si>
  <si>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</si>
  <si>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</si>
  <si>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</si>
  <si>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</si>
  <si>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</si>
  <si>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</si>
  <si>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</si>
  <si>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</si>
  <si>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</si>
  <si>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</si>
  <si>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</si>
  <si>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</si>
  <si>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</si>
  <si>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</si>
  <si>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</si>
  <si>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</si>
  <si>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</si>
  <si>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</si>
  <si>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</si>
  <si>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</si>
  <si>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</si>
  <si>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</si>
  <si>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</si>
  <si>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</si>
  <si>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</si>
  <si>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</si>
  <si>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</si>
  <si>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</si>
  <si>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</si>
  <si>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</si>
  <si>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</si>
  <si>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</si>
  <si>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</si>
  <si>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</si>
  <si>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</si>
  <si>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</si>
  <si>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</si>
  <si>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</si>
  <si>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</si>
  <si>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</si>
  <si>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</si>
  <si>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</si>
  <si>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</si>
  <si>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</si>
  <si>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</si>
  <si>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</si>
  <si>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</si>
  <si>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</si>
  <si>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</si>
  <si>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</si>
  <si>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</si>
  <si>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</si>
  <si>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</si>
  <si>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</si>
  <si>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</si>
  <si>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</si>
  <si>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</si>
  <si>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</si>
  <si>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</si>
  <si>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</si>
  <si>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</si>
  <si>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</si>
  <si>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</si>
  <si>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</si>
  <si>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</si>
  <si>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</si>
  <si>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</si>
  <si>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</si>
  <si>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</si>
  <si>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</si>
  <si>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</si>
  <si>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</si>
  <si>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</si>
  <si>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</si>
  <si>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</si>
  <si>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</si>
  <si>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</si>
  <si>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</si>
  <si>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</si>
  <si>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</si>
  <si>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</si>
  <si>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</si>
  <si>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</si>
  <si>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</si>
  <si>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</si>
  <si>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</si>
  <si>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</si>
  <si>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</si>
  <si>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</si>
  <si>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</si>
  <si>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</si>
  <si>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</si>
  <si>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</si>
  <si>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</si>
  <si>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</si>
  <si>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</si>
  <si>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</si>
  <si>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</si>
  <si>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</si>
  <si>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</si>
  <si>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</si>
  <si>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</si>
  <si>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</si>
  <si>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</si>
  <si>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</si>
  <si>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</si>
  <si>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</si>
  <si>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</si>
  <si>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</si>
  <si>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</si>
  <si>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</si>
  <si>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</si>
  <si>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</si>
  <si>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</si>
  <si>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</si>
  <si>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</si>
  <si>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</si>
  <si>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</si>
  <si>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</si>
  <si>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</si>
  <si>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</si>
  <si>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</si>
  <si>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</si>
  <si>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</si>
  <si>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</si>
  <si>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</si>
  <si>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</si>
  <si>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</si>
  <si>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</si>
  <si>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</si>
  <si>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</si>
  <si>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</si>
  <si>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</si>
  <si>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</si>
  <si>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</si>
  <si>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</si>
  <si>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</si>
  <si>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</si>
  <si>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</si>
  <si>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</si>
  <si>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</si>
  <si>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</si>
  <si>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</si>
  <si>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</si>
  <si>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</si>
  <si>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</si>
  <si>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</si>
  <si>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</si>
  <si>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</si>
  <si>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</si>
  <si>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</si>
  <si>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</si>
  <si>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</si>
  <si>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</si>
  <si>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</si>
  <si>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</si>
  <si>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</si>
  <si>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</si>
  <si>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</si>
  <si>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</si>
  <si>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</si>
  <si>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</si>
  <si>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</si>
  <si>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</si>
  <si>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</si>
  <si>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</si>
  <si>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</si>
  <si>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</si>
  <si>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</si>
  <si>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</si>
  <si>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</si>
  <si>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</si>
  <si>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</si>
  <si>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</si>
  <si>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</si>
  <si>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</si>
  <si>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</si>
  <si>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</si>
  <si>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</si>
  <si>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</si>
  <si>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</si>
  <si>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</si>
  <si>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</si>
  <si>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</si>
  <si>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</si>
  <si>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</si>
  <si>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</si>
  <si>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</si>
  <si>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</si>
  <si>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</si>
  <si>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</si>
  <si>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</si>
  <si>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</si>
  <si>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</si>
  <si>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</si>
  <si>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</si>
  <si>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</si>
  <si>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</si>
  <si>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</si>
  <si>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</si>
  <si>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</si>
  <si>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</si>
  <si>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</si>
  <si>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</si>
  <si>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</si>
  <si>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</si>
  <si>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</si>
  <si>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</si>
  <si>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</si>
  <si>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</si>
  <si>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</si>
  <si>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</si>
  <si>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</si>
  <si>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</si>
  <si>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</si>
  <si>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</si>
  <si>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</si>
  <si>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</si>
  <si>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</si>
  <si>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</si>
  <si>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</si>
  <si>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</si>
  <si>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</si>
  <si>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</si>
  <si>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</si>
  <si>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</si>
  <si>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</si>
  <si>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</si>
  <si>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</si>
  <si>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</si>
  <si>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</si>
  <si>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</si>
  <si>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</si>
  <si>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</si>
  <si>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</si>
  <si>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</si>
  <si>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</si>
  <si>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</si>
  <si>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</si>
  <si>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</si>
  <si>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</si>
  <si>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</si>
  <si>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</si>
  <si>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</si>
  <si>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</si>
  <si>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</si>
  <si>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</si>
  <si>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</si>
  <si>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</si>
  <si>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</si>
  <si>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</si>
  <si>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</si>
  <si>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</si>
  <si>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</si>
  <si>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</si>
  <si>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</si>
  <si>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</si>
  <si>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</si>
  <si>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</si>
  <si>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</si>
  <si>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</si>
  <si>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</si>
  <si>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</si>
  <si>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</si>
  <si>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</si>
  <si>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</si>
  <si>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</si>
  <si>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</si>
  <si>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</si>
  <si>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</si>
  <si>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</si>
  <si>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</si>
  <si>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</si>
  <si>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</si>
  <si>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</si>
  <si>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</si>
  <si>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</si>
  <si>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</si>
  <si>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</si>
  <si>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</si>
  <si>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</si>
  <si>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</si>
  <si>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</si>
  <si>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</si>
  <si>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</si>
  <si>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</si>
  <si>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</si>
  <si>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</si>
  <si>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</si>
  <si>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</si>
  <si>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</si>
  <si>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</si>
  <si>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</si>
  <si>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</si>
  <si>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</si>
  <si>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</si>
  <si>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</si>
  <si>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</si>
  <si>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</si>
  <si>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</si>
  <si>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</si>
  <si>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</si>
  <si>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</si>
  <si>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</si>
  <si>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</si>
  <si>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</si>
  <si>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</si>
  <si>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</si>
  <si>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</si>
  <si>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</si>
  <si>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</si>
  <si>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</si>
  <si>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</si>
  <si>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</si>
  <si>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</si>
  <si>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</si>
  <si>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</si>
  <si>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</si>
  <si>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</si>
  <si>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</si>
  <si>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</si>
  <si>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</si>
  <si>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</si>
  <si>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</si>
  <si>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</si>
  <si>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</si>
  <si>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</si>
  <si>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</si>
  <si>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</si>
  <si>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</si>
  <si>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</si>
  <si>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</si>
  <si>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</si>
  <si>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</si>
  <si>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</si>
  <si>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</si>
  <si>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</si>
  <si>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</si>
  <si>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</si>
  <si>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</si>
  <si>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</si>
  <si>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</si>
  <si>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</si>
  <si>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</si>
  <si>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</si>
  <si>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</si>
  <si>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</si>
  <si>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</si>
  <si>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</si>
  <si>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</si>
  <si>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</si>
  <si>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</si>
  <si>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</si>
  <si>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</si>
  <si>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</si>
  <si>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</si>
  <si>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</si>
  <si>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</si>
  <si>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</si>
  <si>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</si>
  <si>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</si>
  <si>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</si>
  <si>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</si>
  <si>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</si>
  <si>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</si>
  <si>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</si>
  <si>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</si>
  <si>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</si>
  <si>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</si>
  <si>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</si>
  <si>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</si>
  <si>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</si>
  <si>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</si>
  <si>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</si>
  <si>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</si>
  <si>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</si>
  <si>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</si>
  <si>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</si>
  <si>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</si>
  <si>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</si>
  <si>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</si>
  <si>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</si>
  <si>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</si>
  <si>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</si>
  <si>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</si>
  <si>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</si>
  <si>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</si>
  <si>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</si>
  <si>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</si>
  <si>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</si>
  <si>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</si>
  <si>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</si>
  <si>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</si>
  <si>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</si>
  <si>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</si>
  <si>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</si>
  <si>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</si>
  <si>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</si>
  <si>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</si>
  <si>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</si>
  <si>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</si>
  <si>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</si>
  <si>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</si>
  <si>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</si>
  <si>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</si>
  <si>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</si>
  <si>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</si>
  <si>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</si>
  <si>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</si>
  <si>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</si>
  <si>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</si>
  <si>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</si>
  <si>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</si>
  <si>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</si>
  <si>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</si>
  <si>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</si>
  <si>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</si>
  <si>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</si>
  <si>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</si>
  <si>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</si>
  <si>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</si>
  <si>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</si>
  <si>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</si>
  <si>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</si>
  <si>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</si>
  <si>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</si>
  <si>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</si>
  <si>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</si>
  <si>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</si>
  <si>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</si>
  <si>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</si>
  <si>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</si>
  <si>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</si>
  <si>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</si>
  <si>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</si>
  <si>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</si>
  <si>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</si>
  <si>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</si>
  <si>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</si>
  <si>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</si>
  <si>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</si>
  <si>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</si>
  <si>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</si>
  <si>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</si>
  <si>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</si>
  <si>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</si>
  <si>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</si>
  <si>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</si>
  <si>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</si>
  <si>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</si>
  <si>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</si>
  <si>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</si>
  <si>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</si>
  <si>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</si>
  <si>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</si>
  <si>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</si>
  <si>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</si>
  <si>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</si>
  <si>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</si>
  <si>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</si>
  <si>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</si>
  <si>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</si>
  <si>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</si>
  <si>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</si>
  <si>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</si>
  <si>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</si>
  <si>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</si>
  <si>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</si>
  <si>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</si>
  <si>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</si>
  <si>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</si>
  <si>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</si>
  <si>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</si>
  <si>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</si>
  <si>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</si>
  <si>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</si>
  <si>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</si>
  <si>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</si>
  <si>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</si>
  <si>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</si>
  <si>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</si>
  <si>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</si>
  <si>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</si>
  <si>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</si>
  <si>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</si>
  <si>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</si>
  <si>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</si>
  <si>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</si>
  <si>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</si>
  <si>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</si>
  <si>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</si>
  <si>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</si>
  <si>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</si>
  <si>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</si>
  <si>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</si>
  <si>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</si>
  <si>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</si>
  <si>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</si>
  <si>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</si>
  <si>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</si>
  <si>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</si>
  <si>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</si>
  <si>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</si>
  <si>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</si>
  <si>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</si>
  <si>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</si>
  <si>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</si>
  <si>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</si>
  <si>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</si>
  <si>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</si>
  <si>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</si>
  <si>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</si>
  <si>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</si>
  <si>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</si>
  <si>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</si>
  <si>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</si>
  <si>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</si>
  <si>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</si>
  <si>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</si>
  <si>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</si>
  <si>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</si>
  <si>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</si>
  <si>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</si>
  <si>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</si>
  <si>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</si>
  <si>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</si>
  <si>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</si>
  <si>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</si>
  <si>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</si>
  <si>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</si>
  <si>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</si>
  <si>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</si>
  <si>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</si>
  <si>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</si>
  <si>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</si>
  <si>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</si>
  <si>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</si>
  <si>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</si>
  <si>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</si>
  <si>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</si>
  <si>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</si>
  <si>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</si>
  <si>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</si>
  <si>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</si>
  <si>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</si>
  <si>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</si>
  <si>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</si>
  <si>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</si>
  <si>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</si>
  <si>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</si>
  <si>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</si>
  <si>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</si>
  <si>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</si>
  <si>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</si>
  <si>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</si>
  <si>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</si>
  <si>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</si>
  <si>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</si>
  <si>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</si>
  <si>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</si>
  <si>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</si>
  <si>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</si>
  <si>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</si>
  <si>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</si>
  <si>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</si>
  <si>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</si>
  <si>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</si>
  <si>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</si>
  <si>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</si>
  <si>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</si>
  <si>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</si>
  <si>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</si>
  <si>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</si>
  <si>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</si>
  <si>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</si>
  <si>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</si>
  <si>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</si>
  <si>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</si>
  <si>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</si>
  <si>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</si>
  <si>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</si>
  <si>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</si>
  <si>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</si>
  <si>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</si>
  <si>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</si>
  <si>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</si>
  <si>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</si>
  <si>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</si>
  <si>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</si>
  <si>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</si>
  <si>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</si>
  <si>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</si>
  <si>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</si>
  <si>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</si>
  <si>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</si>
  <si>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</si>
  <si>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</si>
  <si>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</si>
  <si>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</si>
  <si>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</si>
  <si>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</si>
  <si>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</si>
  <si>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</si>
  <si>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</si>
  <si>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</si>
  <si>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</si>
  <si>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</si>
  <si>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</si>
  <si>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</si>
  <si>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</si>
  <si>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</si>
  <si>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</si>
  <si>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</si>
  <si>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</si>
  <si>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</si>
  <si>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</si>
  <si>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</si>
  <si>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</si>
  <si>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</si>
  <si>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</si>
  <si>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</si>
  <si>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</si>
  <si>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</si>
  <si>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</si>
  <si>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</si>
  <si>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</si>
  <si>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</si>
  <si>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</si>
  <si>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</si>
  <si>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</si>
  <si>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</si>
  <si>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</si>
  <si>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</si>
  <si>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</si>
  <si>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</si>
  <si>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</si>
  <si>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</si>
  <si>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</si>
  <si>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</si>
  <si>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</si>
  <si>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</si>
  <si>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</si>
  <si>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</si>
  <si>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</si>
  <si>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</si>
  <si>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</si>
  <si>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</si>
  <si>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</si>
  <si>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</si>
  <si>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</si>
  <si>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</si>
  <si>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</si>
  <si>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</si>
  <si>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</si>
  <si>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</si>
  <si>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</si>
  <si>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</si>
  <si>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</si>
  <si>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</si>
  <si>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</si>
  <si>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</si>
  <si>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</si>
  <si>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</si>
  <si>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</si>
  <si>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</si>
  <si>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</si>
  <si>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</si>
  <si>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</si>
  <si>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</si>
  <si>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</si>
  <si>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</si>
  <si>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</si>
  <si>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</si>
  <si>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</si>
  <si>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</si>
  <si>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</si>
  <si>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</si>
  <si>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</si>
  <si>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</si>
  <si>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</si>
  <si>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</si>
  <si>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</si>
  <si>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</si>
  <si>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</si>
  <si>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</si>
  <si>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</si>
  <si>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</si>
  <si>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</si>
  <si>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</si>
  <si>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</si>
  <si>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</si>
  <si>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</si>
  <si>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</si>
  <si>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</si>
  <si>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</si>
  <si>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</si>
  <si>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</si>
  <si>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</si>
  <si>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</si>
  <si>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</si>
  <si>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</si>
  <si>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</si>
  <si>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</si>
  <si>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</si>
  <si>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</si>
  <si>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</si>
  <si>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</si>
  <si>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</si>
  <si>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</si>
  <si>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</si>
  <si>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</si>
  <si>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</si>
  <si>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</si>
  <si>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</si>
  <si>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</si>
  <si>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</si>
  <si>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</si>
  <si>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</si>
  <si>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</si>
  <si>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</si>
  <si>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</si>
  <si>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</si>
  <si>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</si>
  <si>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</si>
  <si>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</si>
  <si>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</si>
  <si>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</si>
  <si>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</si>
  <si>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</si>
  <si>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</si>
  <si>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</si>
  <si>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</si>
  <si>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</si>
  <si>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</si>
  <si>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</si>
  <si>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</si>
  <si>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</si>
  <si>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</si>
  <si>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</si>
  <si>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</si>
  <si>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</si>
  <si>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</si>
  <si>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</si>
  <si>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</si>
  <si>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</si>
  <si>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</si>
  <si>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</si>
  <si>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</si>
  <si>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</si>
  <si>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</si>
  <si>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</si>
  <si>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</si>
  <si>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</si>
  <si>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</si>
  <si>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</si>
  <si>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</si>
  <si>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</si>
  <si>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</si>
  <si>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</si>
  <si>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</si>
  <si>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</si>
  <si>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</si>
  <si>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</si>
  <si>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</si>
  <si>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</si>
  <si>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</si>
  <si>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</si>
  <si>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</si>
  <si>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</si>
  <si>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</si>
  <si>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</si>
  <si>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</si>
  <si>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</si>
  <si>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</si>
  <si>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</si>
  <si>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</si>
  <si>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</si>
  <si>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</si>
  <si>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</si>
  <si>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</si>
  <si>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</si>
  <si>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</si>
  <si>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</si>
  <si>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</si>
  <si>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</si>
  <si>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</si>
  <si>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</si>
  <si>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</si>
  <si>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</si>
  <si>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</si>
  <si>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</si>
  <si>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</si>
  <si>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</si>
  <si>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</si>
  <si>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</si>
  <si>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</si>
  <si>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</si>
  <si>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</si>
  <si>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</si>
  <si>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</si>
  <si>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</si>
  <si>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</si>
  <si>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</si>
  <si>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</si>
  <si>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</si>
  <si>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</si>
  <si>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</si>
  <si>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</si>
  <si>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</si>
  <si>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</si>
  <si>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</si>
  <si>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</si>
  <si>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</si>
  <si>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</si>
  <si>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</si>
  <si>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</si>
  <si>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</si>
  <si>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</si>
  <si>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</si>
  <si>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</si>
  <si>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</si>
  <si>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</si>
  <si>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</si>
  <si>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</si>
  <si>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</si>
  <si>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</si>
  <si>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</si>
  <si>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</si>
  <si>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</si>
  <si>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</si>
  <si>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</si>
  <si>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</si>
  <si>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</si>
  <si>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</si>
  <si>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</si>
  <si>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</si>
  <si>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</si>
  <si>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</si>
  <si>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</si>
  <si>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</si>
  <si>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</si>
  <si>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</si>
  <si>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</si>
  <si>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</si>
  <si>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</si>
  <si>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</si>
  <si>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</si>
  <si>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</si>
  <si>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</si>
  <si>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</si>
  <si>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</si>
  <si>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</si>
  <si>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</si>
  <si>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</si>
  <si>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</si>
  <si>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</si>
  <si>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</si>
  <si>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</si>
  <si>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</si>
  <si>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</si>
  <si>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</si>
  <si>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</si>
  <si>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</si>
  <si>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</si>
  <si>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</si>
  <si>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</si>
  <si>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</si>
  <si>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</si>
  <si>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</si>
  <si>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</si>
  <si>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</si>
  <si>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</si>
  <si>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</si>
  <si>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</si>
  <si>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</si>
  <si>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</si>
  <si>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</si>
  <si>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</si>
  <si>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</si>
  <si>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</si>
  <si>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</si>
  <si>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</si>
  <si>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</si>
  <si>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</si>
  <si>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</si>
  <si>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</si>
  <si>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</si>
  <si>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</si>
  <si>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</si>
  <si>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</si>
  <si>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</si>
  <si>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</si>
  <si>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</si>
  <si>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</si>
  <si>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</si>
  <si>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</si>
  <si>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</si>
  <si>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</si>
  <si>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</si>
  <si>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</si>
  <si>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</si>
  <si>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</si>
  <si>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</si>
  <si>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</si>
  <si>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</si>
  <si>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</si>
  <si>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</si>
  <si>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</si>
  <si>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</si>
  <si>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</si>
  <si>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</si>
  <si>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</si>
  <si>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</si>
  <si>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</si>
  <si>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</si>
  <si>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</si>
  <si>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</si>
  <si>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</si>
  <si>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</si>
  <si>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</si>
  <si>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</si>
  <si>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</si>
  <si>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</si>
  <si>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</si>
  <si>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</si>
  <si>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</si>
  <si>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</si>
  <si>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</si>
  <si>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</si>
  <si>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</si>
  <si>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</si>
  <si>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</si>
  <si>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</si>
  <si>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</si>
  <si>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</si>
  <si>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</si>
  <si>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</si>
  <si>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</si>
  <si>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</si>
  <si>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</si>
  <si>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</si>
  <si>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</si>
  <si>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</si>
  <si>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</si>
  <si>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</si>
  <si>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</si>
  <si>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</si>
  <si>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</si>
  <si>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</si>
  <si>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</si>
  <si>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</si>
  <si>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</si>
  <si>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</si>
  <si>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</si>
  <si>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</si>
  <si>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</si>
  <si>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</si>
  <si>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</si>
  <si>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</si>
  <si>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</si>
  <si>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</si>
  <si>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</si>
  <si>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</si>
  <si>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</si>
  <si>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</si>
  <si>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</si>
  <si>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</si>
  <si>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</si>
  <si>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</si>
  <si>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</si>
  <si>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</si>
  <si>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</si>
  <si>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</si>
  <si>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</si>
  <si>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</si>
  <si>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</si>
  <si>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</si>
  <si>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</si>
  <si>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</si>
  <si>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</si>
  <si>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</si>
  <si>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</si>
  <si>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</si>
  <si>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</si>
  <si>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</si>
  <si>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</si>
  <si>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</si>
  <si>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</si>
  <si>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</si>
  <si>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</si>
  <si>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</si>
  <si>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</si>
  <si>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</si>
  <si>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</si>
  <si>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</si>
  <si>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</si>
  <si>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</si>
  <si>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</si>
  <si>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</si>
  <si>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</si>
  <si>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</si>
  <si>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</si>
  <si>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</si>
  <si>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</si>
  <si>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</si>
  <si>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</si>
  <si>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</si>
  <si>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</si>
  <si>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</si>
  <si>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</si>
  <si>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</si>
  <si>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</si>
  <si>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</si>
  <si>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</si>
  <si>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</si>
  <si>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</si>
  <si>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</si>
  <si>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</si>
  <si>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</si>
  <si>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</si>
  <si>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</si>
  <si>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</si>
  <si>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</si>
  <si>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</si>
  <si>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</si>
  <si>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</si>
  <si>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</si>
  <si>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</si>
  <si>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</si>
  <si>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</si>
  <si>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</si>
  <si>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</si>
  <si>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</si>
  <si>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</si>
  <si>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</si>
  <si>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</si>
  <si>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</si>
  <si>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</si>
  <si>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</si>
  <si>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</si>
  <si>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</si>
  <si>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</si>
  <si>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</si>
  <si>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</si>
  <si>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</si>
  <si>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</si>
  <si>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</si>
  <si>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</si>
  <si>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</si>
  <si>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</si>
  <si>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</si>
  <si>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</si>
  <si>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</si>
  <si>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</si>
  <si>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</si>
  <si>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</si>
  <si>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</si>
  <si>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</si>
  <si>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</si>
  <si>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</si>
  <si>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</si>
  <si>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</si>
  <si>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</si>
  <si>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</si>
  <si>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</si>
  <si>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</si>
  <si>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</si>
  <si>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</si>
  <si>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</si>
  <si>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</si>
  <si>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</si>
  <si>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</si>
  <si>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</si>
  <si>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</si>
  <si>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</si>
  <si>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</si>
  <si>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</si>
  <si>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</si>
  <si>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</si>
  <si>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</si>
  <si>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</si>
  <si>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</si>
  <si>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</si>
  <si>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</si>
  <si>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</si>
  <si>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</si>
  <si>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</si>
  <si>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</si>
  <si>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</si>
  <si>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</si>
  <si>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</si>
  <si>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</si>
  <si>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</si>
  <si>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</si>
  <si>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</si>
  <si>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</si>
  <si>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</si>
  <si>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</si>
  <si>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</si>
  <si>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</si>
  <si>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</si>
  <si>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</si>
  <si>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</si>
  <si>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</si>
  <si>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</si>
  <si>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</si>
  <si>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</si>
  <si>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</si>
  <si>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</si>
  <si>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</si>
  <si>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</si>
  <si>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</si>
  <si>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</si>
  <si>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</si>
  <si>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</si>
  <si>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</si>
  <si>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</si>
  <si>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</si>
  <si>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</si>
  <si>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</si>
  <si>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</si>
  <si>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</si>
  <si>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</si>
  <si>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</si>
  <si>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</si>
  <si>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</si>
  <si>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</si>
  <si>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</si>
  <si>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</si>
  <si>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</si>
  <si>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</si>
  <si>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</si>
  <si>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</si>
  <si>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</si>
  <si>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</si>
  <si>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</si>
  <si>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</si>
  <si>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</si>
  <si>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</si>
  <si>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</si>
  <si>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</si>
  <si>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</si>
  <si>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</si>
  <si>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</si>
  <si>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</si>
  <si>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</si>
  <si>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</si>
  <si>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</si>
  <si>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</si>
  <si>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</si>
  <si>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</si>
  <si>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</si>
  <si>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</si>
  <si>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</si>
  <si>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</si>
  <si>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</si>
  <si>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</si>
  <si>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</si>
  <si>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</si>
  <si>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</si>
  <si>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</si>
  <si>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</si>
  <si>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</si>
  <si>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</si>
  <si>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</si>
  <si>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</si>
  <si>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</si>
  <si>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</si>
  <si>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</si>
  <si>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</si>
  <si>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</si>
  <si>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</si>
  <si>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</si>
  <si>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</si>
  <si>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</si>
  <si>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</si>
  <si>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</si>
  <si>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</si>
  <si>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</si>
  <si>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</si>
  <si>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</si>
  <si>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</si>
  <si>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</si>
  <si>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</si>
  <si>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</si>
  <si>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</si>
  <si>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</si>
  <si>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</si>
  <si>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</si>
  <si>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</si>
  <si>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</si>
  <si>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</si>
  <si>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</si>
  <si>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</si>
  <si>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</si>
  <si>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</si>
  <si>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</si>
  <si>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</si>
  <si>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</si>
  <si>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</si>
  <si>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</si>
  <si>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</si>
  <si>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</si>
  <si>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</si>
  <si>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</si>
  <si>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</si>
  <si>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</si>
  <si>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</si>
  <si>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</si>
  <si>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</si>
  <si>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</si>
  <si>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</si>
  <si>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</si>
  <si>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</si>
  <si>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</si>
  <si>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</si>
  <si>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</si>
  <si>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</si>
  <si>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</si>
  <si>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</si>
  <si>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</si>
  <si>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</si>
  <si>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</si>
  <si>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</si>
  <si>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</si>
  <si>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</si>
  <si>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</si>
  <si>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</si>
  <si>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</si>
  <si>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</si>
  <si>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</si>
  <si>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</si>
  <si>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</si>
  <si>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</si>
  <si>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</si>
  <si>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</si>
  <si>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</si>
  <si>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</si>
  <si>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</si>
  <si>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</si>
  <si>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</si>
  <si>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</si>
  <si>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</si>
  <si>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</si>
  <si>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</si>
  <si>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</si>
  <si>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</si>
  <si>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</si>
  <si>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</si>
  <si>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</si>
  <si>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</si>
  <si>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</si>
  <si>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</si>
  <si>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</si>
  <si>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</si>
  <si>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</si>
  <si>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</si>
  <si>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</si>
  <si>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</si>
  <si>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</si>
  <si>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</si>
  <si>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</si>
  <si>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</si>
  <si>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</si>
  <si>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</si>
  <si>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</si>
  <si>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</si>
  <si>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</si>
  <si>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</si>
  <si>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</si>
  <si>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</si>
  <si>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</si>
  <si>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</si>
  <si>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</si>
  <si>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</si>
  <si>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</si>
  <si>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</si>
  <si>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</si>
  <si>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</si>
  <si>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</si>
  <si>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</si>
  <si>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</si>
  <si>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</si>
  <si>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</si>
  <si>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</si>
  <si>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</si>
  <si>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</si>
  <si>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</si>
  <si>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</si>
  <si>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</si>
  <si>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</si>
  <si>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</si>
  <si>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</si>
  <si>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</si>
  <si>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</si>
  <si>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</si>
  <si>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</si>
  <si>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</si>
  <si>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</si>
  <si>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</si>
  <si>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</si>
  <si>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</si>
  <si>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</si>
  <si>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</si>
  <si>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</si>
  <si>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</si>
  <si>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</si>
  <si>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</si>
  <si>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</si>
  <si>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</si>
  <si>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</si>
  <si>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</si>
  <si>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</si>
  <si>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</si>
  <si>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</si>
  <si>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</si>
  <si>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</si>
  <si>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</si>
  <si>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</si>
  <si>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</si>
  <si>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</si>
  <si>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</si>
  <si>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</si>
  <si>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</si>
  <si>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</si>
  <si>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</si>
  <si>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</si>
  <si>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</si>
  <si>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</si>
  <si>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</si>
  <si>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</si>
  <si>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</si>
  <si>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</si>
  <si>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</si>
  <si>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</si>
  <si>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</si>
  <si>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</si>
  <si>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</si>
  <si>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</si>
  <si>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</si>
  <si>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</si>
  <si>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</si>
  <si>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</si>
  <si>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</si>
  <si>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</si>
  <si>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</si>
  <si>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</si>
  <si>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</si>
  <si>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</si>
  <si>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</si>
  <si>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</si>
  <si>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</si>
  <si>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</si>
  <si>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</si>
  <si>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</si>
  <si>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</si>
  <si>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</si>
  <si>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</si>
  <si>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</si>
  <si>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</si>
  <si>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</si>
  <si>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</si>
  <si>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</si>
  <si>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</si>
  <si>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</si>
  <si>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</si>
  <si>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</si>
  <si>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</si>
  <si>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</si>
  <si>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</si>
  <si>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</si>
  <si>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</si>
  <si>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</si>
  <si>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</si>
  <si>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</si>
  <si>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</si>
  <si>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</si>
  <si>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</si>
  <si>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</si>
  <si>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</si>
  <si>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</si>
  <si>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</si>
  <si>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</si>
  <si>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</si>
  <si>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</si>
  <si>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</si>
  <si>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</si>
  <si>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</si>
  <si>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</si>
  <si>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</si>
  <si>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</si>
  <si>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</si>
  <si>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</si>
  <si>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</si>
  <si>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</si>
  <si>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</si>
  <si>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</si>
  <si>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</si>
  <si>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</si>
  <si>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</si>
  <si>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</si>
  <si>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</si>
  <si>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</si>
  <si>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</si>
  <si>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</si>
  <si>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</si>
  <si>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</si>
  <si>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</si>
  <si>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</si>
  <si>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</si>
  <si>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</si>
  <si>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</si>
  <si>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</si>
  <si>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</si>
  <si>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</si>
  <si>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</si>
  <si>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</si>
  <si>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</si>
  <si>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</si>
  <si>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</si>
  <si>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</si>
  <si>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</si>
  <si>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</si>
  <si>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</si>
  <si>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</si>
  <si>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</si>
  <si>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</si>
  <si>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</si>
  <si>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</si>
  <si>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</si>
  <si>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</si>
  <si>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</si>
  <si>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</si>
  <si>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</si>
  <si>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</si>
  <si>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</si>
  <si>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</si>
  <si>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</si>
  <si>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</si>
  <si>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</si>
  <si>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</si>
  <si>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</si>
  <si>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</si>
  <si>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</si>
  <si>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</si>
  <si>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</si>
  <si>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</si>
  <si>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</si>
  <si>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</si>
  <si>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</si>
  <si>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</si>
  <si>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</si>
  <si>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</si>
  <si>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</si>
  <si>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</si>
  <si>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</si>
  <si>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</si>
  <si>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</si>
  <si>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</si>
  <si>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</si>
  <si>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</si>
  <si>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</si>
  <si>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</si>
  <si>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</si>
  <si>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</si>
  <si>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</si>
  <si>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</si>
  <si>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</si>
  <si>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</si>
  <si>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</si>
  <si>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</si>
  <si>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</si>
  <si>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</si>
  <si>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</si>
  <si>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</si>
  <si>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</si>
  <si>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</si>
  <si>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</si>
  <si>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</si>
  <si>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</si>
  <si>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</si>
  <si>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</si>
  <si>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</si>
  <si>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</si>
  <si>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</si>
  <si>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</si>
  <si>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</si>
  <si>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</si>
  <si>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</si>
  <si>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</si>
  <si>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</si>
  <si>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</si>
  <si>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</si>
  <si>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</si>
  <si>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</si>
  <si>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</si>
  <si>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</si>
  <si>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</si>
  <si>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</si>
  <si>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</si>
  <si>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</si>
  <si>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</si>
  <si>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</si>
  <si>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</si>
  <si>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</si>
  <si>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</si>
  <si>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</si>
  <si>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</si>
  <si>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</si>
  <si>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</si>
  <si>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</si>
  <si>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</si>
  <si>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</si>
  <si>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</si>
  <si>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</si>
  <si>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</si>
  <si>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</si>
  <si>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</si>
  <si>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</si>
  <si>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</si>
  <si>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</si>
  <si>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</si>
  <si>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</si>
  <si>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</si>
  <si>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</si>
  <si>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</si>
  <si>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</si>
  <si>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</si>
  <si>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</si>
  <si>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</si>
  <si>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</si>
  <si>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</si>
  <si>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</si>
  <si>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</si>
  <si>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</si>
  <si>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</si>
  <si>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</si>
  <si>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</si>
  <si>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</si>
  <si>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</si>
  <si>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</si>
  <si>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</si>
  <si>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</si>
  <si>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</si>
  <si>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</si>
  <si>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</si>
  <si>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</si>
  <si>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</si>
  <si>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</si>
  <si>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</si>
  <si>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</si>
  <si>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</si>
  <si>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</si>
  <si>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</si>
  <si>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</si>
  <si>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</si>
  <si>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</si>
  <si>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</si>
  <si>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</si>
  <si>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</si>
  <si>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</si>
  <si>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</si>
  <si>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</si>
  <si>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</si>
  <si>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</si>
  <si>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</si>
  <si>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</si>
  <si>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</si>
  <si>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</si>
  <si>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</si>
  <si>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</si>
  <si>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</si>
  <si>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</si>
  <si>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</si>
  <si>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</si>
  <si>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</si>
  <si>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</si>
  <si>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</si>
  <si>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</si>
  <si>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</si>
  <si>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</si>
  <si>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</si>
  <si>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</si>
  <si>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</si>
  <si>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</si>
  <si>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</si>
  <si>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</si>
  <si>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</si>
  <si>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</si>
  <si>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</si>
  <si>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</si>
  <si>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</si>
  <si>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</si>
  <si>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</si>
  <si>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</si>
  <si>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</si>
  <si>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</si>
  <si>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</si>
  <si>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</si>
  <si>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</si>
  <si>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</si>
  <si>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</si>
  <si>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</si>
  <si>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</si>
  <si>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</si>
  <si>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</si>
  <si>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</si>
  <si>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</si>
  <si>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</si>
  <si>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</si>
  <si>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</si>
  <si>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</si>
  <si>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</si>
  <si>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</si>
  <si>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</si>
  <si>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</si>
  <si>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</si>
  <si>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</si>
  <si>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</si>
  <si>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</si>
  <si>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</si>
  <si>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</si>
  <si>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</si>
  <si>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</si>
  <si>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</si>
  <si>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</si>
  <si>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</si>
  <si>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</si>
  <si>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</si>
  <si>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</si>
  <si>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</si>
  <si>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</si>
  <si>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</si>
  <si>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</si>
  <si>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</si>
  <si>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</si>
  <si>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</si>
  <si>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</si>
  <si>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</si>
  <si>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</si>
  <si>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</si>
  <si>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</si>
  <si>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</si>
  <si>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</si>
  <si>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</si>
  <si>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</si>
  <si>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</si>
  <si>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</si>
  <si>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</si>
  <si>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</si>
  <si>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</si>
  <si>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</si>
  <si>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</si>
  <si>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</si>
  <si>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</si>
  <si>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</si>
  <si>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</si>
  <si>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</si>
  <si>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</si>
  <si>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</si>
  <si>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</si>
  <si>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</si>
  <si>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</si>
  <si>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</si>
  <si>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</si>
  <si>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</si>
  <si>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</si>
  <si>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</si>
  <si>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</si>
  <si>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</si>
  <si>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</si>
  <si>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</si>
  <si>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</si>
  <si>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</si>
  <si>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</si>
  <si>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</si>
  <si>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</si>
  <si>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</si>
  <si>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</si>
  <si>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</si>
  <si>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</si>
  <si>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</si>
  <si>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</si>
  <si>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</si>
  <si>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</si>
  <si>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</si>
  <si>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</si>
  <si>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</si>
  <si>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</si>
  <si>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</si>
  <si>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</si>
  <si>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</si>
  <si>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</si>
  <si>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</si>
  <si>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</si>
  <si>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</si>
  <si>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</si>
  <si>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</si>
  <si>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</si>
  <si>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</si>
  <si>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</si>
  <si>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</si>
  <si>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</si>
  <si>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</si>
  <si>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</si>
  <si>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</si>
  <si>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</si>
  <si>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</si>
  <si>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</si>
  <si>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</si>
  <si>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</si>
  <si>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</si>
  <si>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</si>
  <si>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</si>
  <si>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</si>
  <si>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</si>
  <si>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</si>
  <si>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</si>
  <si>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</si>
  <si>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</si>
  <si>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</si>
  <si>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</si>
  <si>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</si>
  <si>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</si>
  <si>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</si>
  <si>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</si>
  <si>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</si>
  <si>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</si>
  <si>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</si>
  <si>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</si>
  <si>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</si>
  <si>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</si>
  <si>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</si>
  <si>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</si>
  <si>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</si>
  <si>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</si>
  <si>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</si>
  <si>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</si>
  <si>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</si>
  <si>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</si>
  <si>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</si>
  <si>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</si>
  <si>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</si>
  <si>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</si>
  <si>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</si>
  <si>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</si>
  <si>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</si>
  <si>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</si>
  <si>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</si>
  <si>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</si>
  <si>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</si>
  <si>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</si>
  <si>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</si>
  <si>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</si>
  <si>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</si>
  <si>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</si>
  <si>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</si>
  <si>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</si>
  <si>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</si>
  <si>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</si>
  <si>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</si>
  <si>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</si>
  <si>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</si>
  <si>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</si>
  <si>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</si>
  <si>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</si>
  <si>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</si>
  <si>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</si>
  <si>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</si>
  <si>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</si>
  <si>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</si>
  <si>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</si>
  <si>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</si>
  <si>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</si>
  <si>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</si>
  <si>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</si>
  <si>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</si>
  <si>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</si>
  <si>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</si>
  <si>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</si>
  <si>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</si>
  <si>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</si>
  <si>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</si>
  <si>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</si>
  <si>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</si>
  <si>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</si>
  <si>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</si>
  <si>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</si>
  <si>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</si>
  <si>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</si>
  <si>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</si>
  <si>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</si>
  <si>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</si>
  <si>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</si>
  <si>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</si>
  <si>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</si>
  <si>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</si>
  <si>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</si>
  <si>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</si>
  <si>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</si>
  <si>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</si>
  <si>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</si>
  <si>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</si>
  <si>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</si>
  <si>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</si>
  <si>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</si>
  <si>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</si>
  <si>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</si>
  <si>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</si>
  <si>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</si>
  <si>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</si>
  <si>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</si>
  <si>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</si>
  <si>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</si>
  <si>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</si>
  <si>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</si>
  <si>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</si>
  <si>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</si>
  <si>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</si>
  <si>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</si>
  <si>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</si>
  <si>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</si>
  <si>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</si>
  <si>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</si>
  <si>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</si>
  <si>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</si>
  <si>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</si>
  <si>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</si>
  <si>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</si>
  <si>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</si>
  <si>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</si>
  <si>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</si>
  <si>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</si>
  <si>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</si>
  <si>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</si>
  <si>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</si>
  <si>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</si>
  <si>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</si>
  <si>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</si>
  <si>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</si>
  <si>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</si>
  <si>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</si>
  <si>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</si>
  <si>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</si>
  <si>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</si>
  <si>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</si>
  <si>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</si>
  <si>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</si>
  <si>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</si>
  <si>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</si>
  <si>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</si>
  <si>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</si>
  <si>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</si>
  <si>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</si>
  <si>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</si>
  <si>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</si>
  <si>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</si>
  <si>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</si>
  <si>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</si>
  <si>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</si>
  <si>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</si>
  <si>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</si>
  <si>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</si>
  <si>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</si>
  <si>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</si>
  <si>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</si>
  <si>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</si>
  <si>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</si>
  <si>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</si>
  <si>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</si>
  <si>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</si>
  <si>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</si>
  <si>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</si>
  <si>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</si>
  <si>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</si>
  <si>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</si>
  <si>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</si>
  <si>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</si>
  <si>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</si>
  <si>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</si>
  <si>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</si>
  <si>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</si>
  <si>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</si>
  <si>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</si>
  <si>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</si>
  <si>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</si>
  <si>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</si>
  <si>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</si>
  <si>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</si>
  <si>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</si>
  <si>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</si>
  <si>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</si>
  <si>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</si>
  <si>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</si>
  <si>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</si>
  <si>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</si>
  <si>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</si>
  <si>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</si>
  <si>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</si>
  <si>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</si>
  <si>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</si>
  <si>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</si>
  <si>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</si>
  <si>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</si>
  <si>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</si>
  <si>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</si>
  <si>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</si>
  <si>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</si>
  <si>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</si>
  <si>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</si>
  <si>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</si>
  <si>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</si>
  <si>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</si>
  <si>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</si>
  <si>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</si>
  <si>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</si>
  <si>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</si>
  <si>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</si>
  <si>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</si>
  <si>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</si>
  <si>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</si>
  <si>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</si>
  <si>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</si>
  <si>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</si>
  <si>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</si>
  <si>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</si>
  <si>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</si>
  <si>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</si>
  <si>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</si>
  <si>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</si>
  <si>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</si>
  <si>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</si>
  <si>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</si>
  <si>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</si>
  <si>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</si>
  <si>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</si>
  <si>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</si>
  <si>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</si>
  <si>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</si>
  <si>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</si>
  <si>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</si>
  <si>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</si>
  <si>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</si>
  <si>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</si>
  <si>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</si>
  <si>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</si>
  <si>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</si>
  <si>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</si>
  <si>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</si>
  <si>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</si>
  <si>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</si>
  <si>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</si>
  <si>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</si>
  <si>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</si>
  <si>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</si>
  <si>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</si>
  <si>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</si>
  <si>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</si>
  <si>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</si>
  <si>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</si>
  <si>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</si>
  <si>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</si>
  <si>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</si>
  <si>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</si>
  <si>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</si>
  <si>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</si>
  <si>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</si>
  <si>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</si>
  <si>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</si>
  <si>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</si>
  <si>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</si>
  <si>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</si>
  <si>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</si>
  <si>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</si>
  <si>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</si>
  <si>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</si>
  <si>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</si>
  <si>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</si>
  <si>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</si>
  <si>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</si>
  <si>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</si>
  <si>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</si>
  <si>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</si>
  <si>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</si>
  <si>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</si>
  <si>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</si>
  <si>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</si>
  <si>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</si>
  <si>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</si>
  <si>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</si>
  <si>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</si>
  <si>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</si>
  <si>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</si>
  <si>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</si>
  <si>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</si>
  <si>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</si>
  <si>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</si>
  <si>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</si>
  <si>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</si>
  <si>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</si>
  <si>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</si>
  <si>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</si>
  <si>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</si>
  <si>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</si>
  <si>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</si>
  <si>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</si>
  <si>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</si>
  <si>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</si>
  <si>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</si>
  <si>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</si>
  <si>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</si>
  <si>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</si>
  <si>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</si>
  <si>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</si>
  <si>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</si>
  <si>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</si>
  <si>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</si>
  <si>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</si>
  <si>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</si>
  <si>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</si>
  <si>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</si>
  <si>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</si>
  <si>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</si>
  <si>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</si>
  <si>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</si>
  <si>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</si>
  <si>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</si>
  <si>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</si>
  <si>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</si>
  <si>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</si>
  <si>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</si>
  <si>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</si>
  <si>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</si>
  <si>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</si>
  <si>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</si>
  <si>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</si>
  <si>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</si>
  <si>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</si>
  <si>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</si>
  <si>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</si>
  <si>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</si>
  <si>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</si>
  <si>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</si>
  <si>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</si>
  <si>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</si>
  <si>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</si>
  <si>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</si>
  <si>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</si>
  <si>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</si>
  <si>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</si>
  <si>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</si>
  <si>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</si>
  <si>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</si>
  <si>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</si>
  <si>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</si>
  <si>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</si>
  <si>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</si>
  <si>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</si>
  <si>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</si>
  <si>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</si>
  <si>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</si>
  <si>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</si>
  <si>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</si>
  <si>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</si>
  <si>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</si>
  <si>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</si>
  <si>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</si>
  <si>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</si>
  <si>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</si>
  <si>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</si>
  <si>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</si>
  <si>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</si>
  <si>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</si>
  <si>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</si>
  <si>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</si>
  <si>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</si>
  <si>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</si>
  <si>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</si>
  <si>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</si>
  <si>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</si>
  <si>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</si>
  <si>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</si>
  <si>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</si>
  <si>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</si>
  <si>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</si>
  <si>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</si>
  <si>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</si>
  <si>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</si>
  <si>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</si>
  <si>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</si>
  <si>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</si>
  <si>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</si>
  <si>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</si>
  <si>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</si>
  <si>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</si>
  <si>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</si>
  <si>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</si>
  <si>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</si>
  <si>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</si>
  <si>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</si>
  <si>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</si>
  <si>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</si>
  <si>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</si>
  <si>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</si>
  <si>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</si>
  <si>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</si>
  <si>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</si>
  <si>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</si>
  <si>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</si>
  <si>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</si>
  <si>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</si>
  <si>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</si>
  <si>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</si>
  <si>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</si>
  <si>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</si>
  <si>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</si>
  <si>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</si>
  <si>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</si>
  <si>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</si>
  <si>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</si>
  <si>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</si>
  <si>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</si>
  <si>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</si>
  <si>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</si>
  <si>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</si>
  <si>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</si>
  <si>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</si>
  <si>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</si>
  <si>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</si>
  <si>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</si>
  <si>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</si>
  <si>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</si>
  <si>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</si>
  <si>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</si>
  <si>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</si>
  <si>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</si>
  <si>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</si>
  <si>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</si>
  <si>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</si>
  <si>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</si>
  <si>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</si>
  <si>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</si>
  <si>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</si>
  <si>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</si>
  <si>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</si>
  <si>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</si>
  <si>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</si>
  <si>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</si>
  <si>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</si>
  <si>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</si>
  <si>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</si>
  <si>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</si>
  <si>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</si>
  <si>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</si>
  <si>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</si>
  <si>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</si>
  <si>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</si>
  <si>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</si>
  <si>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</si>
  <si>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</si>
  <si>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</si>
  <si>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</si>
  <si>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</si>
  <si>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</si>
  <si>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</si>
  <si>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</si>
  <si>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</si>
  <si>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</si>
  <si>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</si>
  <si>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</si>
  <si>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</si>
  <si>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</si>
  <si>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</si>
  <si>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</si>
  <si>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</si>
  <si>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</si>
  <si>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</si>
  <si>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</si>
  <si>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</si>
  <si>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</si>
  <si>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</si>
  <si>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</si>
  <si>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</si>
  <si>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</si>
  <si>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</si>
  <si>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</si>
  <si>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</si>
  <si>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</si>
  <si>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</si>
  <si>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</si>
  <si>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</si>
  <si>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</si>
  <si>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</si>
  <si>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</si>
  <si>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</si>
  <si>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</si>
  <si>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</si>
  <si>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</si>
  <si>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</si>
  <si>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</si>
  <si>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</si>
  <si>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</si>
  <si>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</si>
  <si>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</si>
  <si>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</si>
  <si>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</si>
  <si>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</si>
  <si>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</si>
  <si>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</si>
  <si>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</si>
  <si>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</si>
  <si>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</si>
  <si>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</si>
  <si>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</si>
  <si>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</si>
  <si>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</si>
  <si>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</si>
  <si>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</si>
  <si>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</si>
  <si>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</si>
  <si>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</si>
  <si>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</si>
  <si>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</si>
  <si>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</si>
  <si>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</si>
  <si>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</si>
  <si>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</si>
  <si>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</si>
  <si>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</si>
  <si>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</si>
  <si>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</si>
  <si>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</si>
  <si>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</si>
  <si>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</si>
  <si>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</si>
  <si>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</si>
  <si>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</si>
  <si>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</si>
  <si>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</si>
  <si>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</si>
  <si>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</si>
  <si>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</si>
  <si>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</si>
  <si>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</si>
  <si>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</si>
  <si>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</si>
  <si>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</si>
  <si>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</si>
  <si>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</si>
  <si>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</si>
  <si>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</si>
  <si>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</si>
  <si>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</si>
  <si>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</si>
  <si>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</si>
  <si>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</si>
  <si>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</si>
  <si>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</si>
  <si>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</si>
  <si>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</si>
  <si>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</si>
  <si>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</si>
  <si>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</si>
  <si>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</si>
  <si>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</si>
  <si>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</si>
  <si>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</si>
  <si>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</si>
  <si>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</si>
  <si>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</si>
  <si>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</si>
  <si>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</si>
  <si>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</si>
  <si>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</si>
  <si>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</si>
  <si>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</si>
  <si>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</si>
  <si>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</si>
  <si>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</si>
  <si>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</si>
  <si>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</si>
  <si>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</si>
  <si>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</si>
  <si>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</si>
  <si>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</si>
  <si>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</si>
  <si>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</si>
  <si>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</si>
  <si>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</si>
  <si>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</si>
  <si>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</si>
  <si>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</si>
  <si>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</si>
  <si>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</si>
  <si>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</si>
  <si>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</si>
  <si>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</si>
  <si>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</si>
  <si>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</si>
  <si>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</si>
  <si>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</si>
  <si>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</si>
  <si>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</si>
  <si>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</si>
  <si>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</si>
  <si>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</si>
  <si>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</si>
  <si>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</si>
  <si>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</si>
  <si>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</si>
  <si>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</si>
  <si>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</si>
  <si>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</si>
  <si>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</si>
  <si>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</si>
  <si>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</si>
  <si>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</si>
  <si>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</si>
  <si>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</si>
  <si>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</si>
  <si>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</si>
  <si>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</si>
  <si>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</si>
  <si>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</si>
  <si>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</si>
  <si>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</si>
  <si>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</si>
  <si>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</si>
  <si>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</si>
  <si>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</si>
  <si>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</si>
  <si>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</si>
  <si>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</si>
  <si>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</si>
  <si>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</si>
  <si>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</si>
  <si>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</si>
  <si>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</si>
  <si>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</si>
  <si>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</si>
  <si>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</si>
  <si>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</si>
  <si>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</si>
  <si>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</si>
  <si>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</si>
  <si>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</si>
  <si>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</si>
  <si>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</si>
  <si>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</si>
  <si>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</si>
  <si>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</si>
  <si>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</si>
  <si>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</si>
  <si>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</si>
  <si>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</si>
  <si>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</si>
  <si>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</si>
  <si>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</si>
  <si>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</si>
  <si>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</si>
  <si>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</si>
  <si>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</si>
  <si>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</si>
  <si>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</si>
  <si>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</si>
  <si>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</si>
  <si>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</si>
  <si>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</si>
  <si>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</si>
  <si>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</si>
  <si>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</si>
  <si>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</si>
  <si>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</si>
  <si>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</si>
  <si>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</si>
  <si>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</si>
  <si>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</si>
  <si>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</si>
  <si>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</si>
  <si>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</si>
  <si>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</si>
  <si>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</si>
  <si>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</si>
  <si>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</si>
  <si>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</si>
  <si>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</si>
  <si>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</si>
  <si>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</si>
  <si>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</si>
  <si>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</si>
  <si>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</si>
  <si>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</si>
  <si>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</si>
  <si>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</si>
  <si>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</si>
  <si>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</si>
  <si>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</si>
  <si>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</si>
  <si>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</si>
  <si>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</si>
  <si>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</si>
  <si>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</si>
  <si>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</si>
  <si>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</si>
  <si>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</si>
  <si>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</si>
  <si>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</si>
  <si>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</si>
  <si>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</si>
  <si>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</si>
  <si>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</si>
  <si>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</si>
  <si>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</si>
  <si>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</si>
  <si>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</si>
  <si>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</si>
  <si>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</si>
  <si>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</si>
  <si>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</si>
  <si>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</si>
  <si>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</si>
  <si>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</si>
  <si>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</si>
  <si>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</si>
  <si>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</si>
  <si>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</si>
  <si>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</si>
  <si>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</si>
  <si>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</si>
  <si>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</si>
  <si>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</si>
  <si>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</si>
  <si>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</si>
  <si>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</si>
  <si>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</si>
  <si>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</si>
  <si>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</si>
  <si>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</si>
  <si>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</si>
  <si>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</si>
  <si>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</si>
  <si>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</si>
  <si>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</si>
  <si>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</si>
  <si>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</si>
  <si>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</si>
  <si>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</si>
  <si>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</si>
  <si>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</si>
  <si>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</si>
  <si>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</si>
  <si>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</si>
  <si>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</si>
  <si>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</si>
  <si>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</si>
  <si>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</si>
  <si>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</si>
  <si>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</si>
  <si>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</si>
  <si>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</si>
  <si>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</si>
  <si>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</si>
  <si>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</si>
  <si>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</si>
  <si>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</si>
  <si>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</si>
  <si>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</si>
  <si>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</si>
  <si>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</si>
  <si>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</si>
  <si>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</si>
  <si>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</si>
  <si>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</si>
  <si>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</si>
  <si>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</si>
  <si>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</si>
  <si>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</si>
  <si>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</si>
  <si>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</si>
  <si>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</si>
  <si>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</si>
  <si>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</si>
  <si>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</si>
  <si>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</si>
  <si>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</si>
  <si>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</si>
  <si>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</si>
  <si>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</si>
  <si>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</si>
  <si>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</si>
  <si>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</si>
  <si>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</si>
  <si>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</si>
  <si>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</si>
  <si>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</si>
  <si>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</si>
  <si>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</si>
  <si>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</si>
  <si>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</si>
  <si>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</si>
  <si>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</si>
  <si>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</si>
  <si>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</si>
  <si>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</si>
  <si>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</si>
  <si>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</si>
  <si>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</si>
  <si>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</si>
  <si>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</si>
  <si>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</si>
  <si>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</si>
  <si>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</si>
  <si>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</si>
  <si>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</si>
  <si>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</si>
  <si>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</si>
  <si>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</si>
  <si>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</si>
  <si>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</si>
  <si>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</si>
  <si>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</si>
  <si>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</si>
  <si>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</si>
  <si>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</si>
  <si>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</si>
  <si>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</si>
  <si>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</si>
  <si>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</si>
  <si>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</si>
  <si>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</si>
  <si>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</si>
  <si>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</si>
  <si>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</si>
  <si>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</si>
  <si>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</si>
  <si>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</si>
  <si>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</si>
  <si>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</si>
  <si>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</si>
  <si>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</si>
  <si>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</si>
  <si>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</si>
  <si>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</si>
  <si>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</si>
  <si>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</si>
  <si>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</si>
  <si>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</si>
  <si>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</si>
  <si>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</si>
  <si>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</si>
  <si>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</si>
  <si>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</si>
  <si>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</si>
  <si>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</si>
  <si>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</si>
  <si>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</si>
  <si>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</si>
  <si>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</si>
  <si>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</si>
  <si>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</si>
  <si>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</si>
  <si>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</si>
  <si>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</si>
  <si>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</si>
  <si>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</si>
  <si>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</si>
  <si>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</si>
  <si>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</si>
  <si>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</si>
  <si>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</si>
  <si>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</si>
  <si>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</si>
  <si>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</si>
  <si>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</si>
  <si>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</si>
  <si>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</si>
  <si>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</si>
  <si>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</si>
  <si>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</si>
  <si>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</si>
  <si>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</si>
  <si>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</si>
  <si>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</si>
  <si>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</si>
  <si>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</si>
  <si>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</si>
  <si>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</si>
  <si>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</si>
  <si>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</si>
  <si>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</si>
  <si>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</si>
  <si>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</si>
  <si>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</si>
  <si>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</si>
  <si>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</si>
  <si>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</si>
  <si>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</si>
  <si>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</si>
  <si>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</si>
  <si>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</si>
  <si>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</si>
  <si>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</si>
  <si>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</si>
  <si>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</si>
  <si>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</si>
  <si>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</si>
  <si>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</si>
  <si>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</si>
  <si>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</si>
  <si>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</si>
  <si>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</si>
  <si>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</si>
  <si>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</si>
  <si>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</si>
  <si>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</si>
  <si>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</si>
  <si>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</si>
  <si>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</si>
  <si>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</si>
  <si>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</si>
  <si>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</si>
  <si>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</si>
  <si>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</si>
  <si>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</si>
  <si>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</si>
  <si>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</si>
  <si>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</si>
  <si>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</si>
  <si>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</si>
  <si>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</si>
  <si>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</si>
  <si>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</si>
  <si>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</si>
  <si>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</si>
  <si>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</si>
  <si>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</si>
  <si>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</si>
  <si>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</si>
  <si>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</si>
  <si>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</si>
  <si>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</si>
  <si>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</si>
  <si>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</si>
  <si>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</si>
  <si>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</si>
  <si>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</si>
  <si>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</si>
  <si>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</si>
  <si>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</si>
  <si>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</si>
  <si>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</si>
  <si>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</si>
  <si>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</si>
  <si>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</si>
  <si>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</si>
  <si>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</si>
  <si>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</si>
  <si>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</si>
  <si>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</si>
  <si>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</si>
  <si>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</si>
  <si>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</si>
  <si>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</si>
  <si>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</si>
  <si>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</si>
  <si>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</si>
  <si>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</si>
  <si>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</si>
  <si>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</si>
  <si>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</si>
  <si>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</si>
  <si>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</si>
  <si>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</si>
  <si>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</si>
  <si>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</si>
  <si>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</si>
  <si>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</si>
  <si>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</si>
  <si>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</si>
  <si>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</si>
  <si>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</si>
  <si>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</si>
  <si>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</si>
  <si>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</si>
  <si>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</si>
  <si>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</si>
  <si>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</si>
  <si>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</si>
  <si>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</si>
  <si>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</si>
  <si>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</si>
  <si>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</si>
  <si>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</si>
  <si>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</si>
  <si>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</si>
  <si>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</si>
  <si>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</si>
  <si>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</si>
  <si>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</si>
  <si>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</si>
  <si>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</si>
  <si>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</si>
  <si>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</si>
  <si>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</si>
  <si>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</si>
  <si>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</si>
  <si>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</si>
  <si>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</si>
  <si>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</si>
  <si>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</si>
  <si>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</si>
  <si>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</si>
  <si>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</si>
  <si>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</si>
  <si>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</si>
  <si>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</si>
  <si>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</si>
  <si>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</si>
  <si>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</si>
  <si>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</si>
  <si>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</si>
  <si>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</si>
  <si>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</si>
  <si>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</si>
  <si>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</si>
  <si>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</si>
  <si>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</si>
  <si>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</si>
  <si>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</si>
  <si>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</si>
  <si>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</si>
  <si>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</si>
  <si>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</si>
  <si>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</si>
  <si>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</si>
  <si>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</si>
  <si>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</si>
  <si>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</si>
  <si>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</si>
  <si>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</si>
  <si>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</si>
  <si>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</si>
  <si>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</si>
  <si>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</si>
  <si>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</si>
  <si>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</si>
  <si>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</si>
  <si>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</si>
  <si>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</si>
  <si>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</si>
  <si>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</si>
  <si>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</si>
  <si>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</si>
  <si>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</si>
  <si>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</si>
  <si>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</si>
  <si>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</si>
  <si>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</si>
  <si>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</si>
  <si>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</si>
  <si>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</si>
  <si>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</si>
  <si>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</si>
  <si>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</si>
  <si>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</si>
  <si>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</si>
  <si>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</si>
  <si>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</si>
  <si>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</si>
  <si>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</si>
  <si>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</si>
  <si>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</si>
  <si>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</si>
  <si>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</si>
  <si>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</si>
  <si>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</si>
  <si>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</si>
  <si>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</si>
  <si>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</si>
  <si>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</si>
  <si>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</si>
  <si>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</si>
  <si>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</si>
  <si>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</si>
  <si>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</si>
  <si>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</si>
  <si>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</si>
  <si>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</si>
  <si>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</si>
  <si>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</si>
  <si>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</si>
  <si>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</si>
  <si>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</si>
  <si>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</si>
  <si>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</si>
  <si>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</si>
  <si>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</si>
  <si>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</si>
  <si>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</si>
  <si>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</si>
  <si>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</si>
  <si>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</si>
  <si>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</si>
  <si>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</si>
  <si>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</si>
  <si>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</si>
  <si>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</si>
  <si>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</si>
  <si>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</si>
  <si>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</si>
  <si>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</si>
  <si>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</si>
  <si>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</si>
  <si>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</si>
  <si>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</si>
  <si>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</si>
  <si>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</si>
  <si>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</si>
  <si>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</si>
  <si>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</si>
  <si>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</si>
  <si>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</si>
  <si>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</si>
  <si>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</si>
  <si>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</si>
  <si>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</si>
  <si>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</si>
  <si>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</si>
  <si>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</si>
  <si>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</si>
  <si>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</si>
  <si>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</si>
  <si>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</si>
  <si>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</si>
  <si>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</si>
  <si>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</si>
  <si>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</si>
  <si>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</si>
  <si>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</si>
  <si>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</si>
  <si>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</si>
  <si>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</si>
  <si>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</si>
  <si>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</si>
  <si>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</si>
  <si>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</si>
  <si>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</si>
  <si>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</si>
  <si>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</si>
  <si>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</si>
  <si>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</si>
  <si>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</si>
  <si>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</si>
  <si>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</si>
  <si>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</si>
  <si>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</si>
  <si>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</si>
  <si>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</si>
  <si>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</si>
  <si>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</si>
  <si>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</si>
  <si>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</si>
  <si>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</si>
  <si>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</si>
  <si>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</si>
  <si>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</si>
  <si>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</si>
  <si>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</si>
  <si>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</si>
  <si>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</si>
  <si>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</si>
  <si>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</si>
  <si>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</si>
  <si>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</si>
  <si>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</si>
  <si>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</si>
  <si>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</si>
  <si>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</si>
  <si>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</si>
  <si>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</si>
  <si>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</si>
  <si>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</si>
  <si>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</si>
  <si>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</si>
  <si>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</si>
  <si>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</si>
  <si>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</si>
  <si>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</si>
  <si>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</si>
  <si>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</si>
  <si>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</si>
  <si>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</si>
  <si>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</si>
  <si>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</si>
  <si>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</si>
  <si>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</si>
  <si>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</si>
  <si>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</si>
  <si>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</si>
  <si>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</si>
  <si>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</si>
  <si>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</si>
  <si>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</si>
  <si>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</si>
  <si>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</si>
  <si>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</si>
  <si>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</si>
  <si>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</si>
  <si>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</si>
  <si>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</si>
  <si>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</si>
  <si>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</si>
  <si>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</si>
  <si>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</si>
  <si>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</si>
  <si>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</si>
  <si>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</si>
  <si>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</si>
  <si>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</si>
  <si>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</si>
  <si>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</si>
  <si>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</si>
  <si>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</si>
  <si>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</si>
  <si>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</si>
  <si>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</si>
  <si>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</si>
  <si>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</si>
  <si>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</si>
  <si>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</si>
  <si>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</si>
  <si>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</si>
  <si>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</si>
  <si>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</si>
  <si>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</si>
  <si>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</si>
  <si>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</si>
  <si>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</si>
  <si>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</si>
  <si>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</si>
  <si>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</si>
  <si>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</si>
  <si>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</si>
  <si>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</si>
  <si>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</si>
  <si>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</si>
  <si>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</si>
  <si>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</si>
  <si>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</si>
  <si>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</si>
  <si>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</si>
  <si>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</si>
  <si>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</si>
  <si>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</si>
  <si>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</si>
  <si>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</si>
  <si>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</si>
  <si>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</si>
  <si>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</si>
  <si>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</si>
  <si>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</si>
  <si>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</si>
  <si>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</si>
  <si>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</si>
  <si>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</si>
  <si>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</si>
  <si>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</si>
  <si>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</si>
  <si>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</si>
  <si>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</si>
  <si>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</si>
  <si>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</si>
  <si>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</si>
  <si>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</si>
  <si>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</si>
  <si>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</si>
  <si>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</si>
  <si>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</si>
  <si>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</si>
  <si>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</si>
  <si>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</si>
  <si>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</si>
  <si>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</si>
  <si>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</si>
  <si>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</si>
  <si>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</si>
  <si>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</si>
  <si>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</si>
  <si>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</si>
  <si>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</si>
  <si>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</si>
  <si>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</si>
  <si>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</si>
  <si>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</si>
  <si>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</si>
  <si>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</si>
  <si>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</si>
  <si>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</si>
  <si>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</si>
  <si>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</si>
  <si>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</si>
  <si>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</si>
  <si>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</si>
  <si>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</si>
  <si>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</si>
  <si>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</si>
  <si>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</si>
  <si>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</si>
  <si>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</si>
  <si>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</si>
  <si>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</si>
  <si>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</si>
  <si>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</si>
  <si>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</si>
  <si>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</si>
  <si>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</si>
  <si>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</si>
  <si>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</si>
  <si>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</si>
  <si>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</si>
  <si>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</si>
  <si>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</si>
  <si>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</si>
  <si>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</si>
  <si>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</si>
  <si>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</si>
  <si>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</si>
  <si>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</si>
  <si>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</si>
  <si>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</si>
  <si>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</si>
  <si>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</si>
  <si>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</si>
  <si>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</si>
  <si>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</si>
  <si>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</si>
  <si>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</si>
  <si>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</si>
  <si>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</si>
  <si>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</si>
  <si>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</si>
  <si>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</si>
  <si>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</si>
  <si>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</si>
  <si>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</si>
  <si>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</si>
  <si>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</si>
  <si>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</si>
  <si>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</si>
  <si>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</si>
  <si>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</si>
  <si>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</si>
  <si>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</si>
  <si>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</si>
  <si>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</si>
  <si>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</si>
  <si>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</si>
  <si>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</si>
  <si>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</si>
  <si>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</si>
  <si>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</si>
  <si>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</si>
  <si>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</si>
  <si>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</si>
  <si>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</si>
  <si>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</si>
  <si>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</si>
  <si>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</si>
  <si>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</si>
  <si>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</si>
  <si>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</si>
  <si>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</si>
  <si>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</si>
  <si>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</si>
  <si>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</si>
  <si>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</si>
  <si>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</si>
  <si>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</si>
  <si>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</si>
  <si>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</si>
  <si>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</si>
  <si>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</si>
  <si>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</si>
  <si>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</si>
  <si>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</si>
  <si>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</si>
  <si>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</si>
  <si>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</si>
  <si>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</si>
  <si>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</si>
  <si>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</si>
  <si>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</si>
  <si>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</si>
  <si>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</si>
  <si>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</si>
  <si>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</si>
  <si>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</si>
  <si>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</si>
  <si>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</si>
  <si>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</si>
  <si>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</si>
  <si>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</si>
  <si>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</si>
  <si>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</si>
  <si>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</si>
  <si>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</si>
  <si>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</si>
  <si>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</si>
  <si>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</si>
  <si>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</si>
  <si>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</si>
  <si>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</si>
  <si>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</si>
  <si>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</si>
  <si>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</si>
  <si>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</si>
  <si>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</si>
  <si>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</si>
  <si>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</si>
  <si>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</si>
  <si>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</si>
  <si>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</si>
  <si>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</si>
  <si>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</si>
  <si>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</si>
  <si>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</si>
  <si>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</si>
  <si>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</si>
  <si>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</si>
  <si>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</si>
  <si>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</si>
  <si>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</si>
  <si>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</si>
  <si>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</si>
  <si>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</si>
  <si>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</si>
  <si>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</si>
  <si>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</si>
  <si>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</si>
  <si>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</si>
  <si>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</si>
  <si>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</si>
  <si>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</si>
  <si>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</si>
  <si>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</si>
  <si>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</si>
  <si>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</si>
  <si>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</si>
  <si>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</si>
  <si>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</si>
  <si>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</si>
  <si>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</si>
  <si>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</si>
  <si>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</si>
  <si>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</si>
  <si>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</si>
  <si>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</si>
  <si>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</si>
  <si>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</si>
  <si>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</si>
  <si>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</si>
  <si>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</si>
  <si>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</si>
  <si>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</si>
  <si>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</si>
  <si>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</si>
  <si>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</si>
  <si>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</si>
  <si>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</si>
  <si>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</si>
  <si>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</si>
  <si>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</si>
  <si>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</si>
  <si>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</si>
  <si>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</si>
  <si>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</si>
  <si>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</si>
  <si>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</si>
  <si>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</si>
  <si>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</si>
  <si>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</si>
  <si>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</si>
  <si>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</si>
  <si>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</si>
  <si>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</si>
  <si>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</si>
  <si>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</si>
  <si>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</si>
  <si>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</si>
  <si>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</si>
  <si>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</si>
  <si>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</si>
  <si>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</si>
  <si>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</si>
  <si>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</si>
  <si>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</si>
  <si>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</si>
  <si>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</si>
  <si>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</si>
  <si>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</si>
  <si>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</si>
  <si>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</si>
  <si>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</si>
  <si>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</si>
  <si>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</si>
  <si>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</si>
  <si>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</si>
  <si>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</si>
  <si>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</si>
  <si>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</si>
  <si>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</si>
  <si>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</si>
  <si>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</si>
  <si>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</si>
  <si>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</si>
  <si>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</si>
  <si>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</si>
  <si>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</si>
  <si>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</si>
  <si>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</si>
  <si>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</si>
  <si>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</si>
  <si>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</si>
  <si>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</si>
  <si>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</si>
  <si>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</si>
  <si>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</si>
  <si>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</si>
  <si>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</si>
  <si>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</si>
  <si>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</si>
  <si>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</si>
  <si>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</si>
  <si>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</si>
  <si>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</si>
  <si>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</si>
  <si>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</si>
  <si>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</si>
  <si>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</si>
  <si>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</si>
  <si>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</si>
  <si>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</si>
  <si>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</si>
  <si>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</si>
  <si>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</si>
  <si>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</si>
  <si>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</si>
  <si>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</si>
  <si>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</si>
  <si>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</si>
  <si>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</si>
  <si>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</si>
  <si>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</si>
  <si>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</si>
  <si>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</si>
  <si>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</si>
  <si>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</si>
  <si>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</si>
  <si>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</si>
  <si>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</si>
  <si>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</si>
  <si>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</si>
  <si>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</si>
  <si>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</si>
  <si>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</si>
  <si>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</si>
  <si>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</si>
  <si>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</si>
  <si>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</si>
  <si>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</si>
  <si>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</si>
  <si>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</si>
  <si>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</si>
  <si>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</si>
  <si>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</si>
  <si>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</si>
  <si>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</si>
  <si>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</si>
  <si>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</si>
  <si>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</si>
  <si>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</si>
  <si>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</si>
  <si>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</si>
  <si>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</si>
  <si>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</si>
  <si>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</si>
  <si>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</si>
  <si>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</si>
  <si>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</si>
  <si>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</si>
  <si>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</si>
  <si>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</si>
  <si>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</si>
  <si>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</si>
  <si>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</si>
  <si>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</si>
  <si>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</si>
  <si>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</si>
  <si>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</si>
  <si>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</si>
  <si>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</si>
  <si>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</si>
  <si>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</si>
  <si>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</si>
  <si>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</si>
  <si>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</si>
  <si>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</si>
  <si>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</si>
  <si>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</si>
  <si>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</si>
  <si>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</si>
  <si>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</si>
  <si>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</si>
  <si>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</si>
  <si>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</si>
  <si>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</si>
  <si>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</si>
  <si>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</si>
  <si>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</si>
  <si>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</si>
  <si>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</si>
  <si>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</si>
  <si>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</si>
  <si>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</si>
  <si>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</si>
  <si>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</si>
  <si>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</si>
  <si>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</si>
  <si>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</si>
  <si>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</si>
  <si>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</si>
  <si>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</si>
  <si>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</si>
  <si>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</si>
  <si>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</si>
  <si>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</si>
  <si>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</si>
  <si>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</si>
  <si>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</si>
  <si>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</si>
  <si>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</si>
  <si>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</si>
  <si>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</si>
  <si>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</si>
  <si>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</si>
  <si>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</si>
  <si>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</si>
  <si>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</si>
  <si>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</si>
  <si>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</si>
  <si>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</si>
  <si>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</si>
  <si>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</si>
  <si>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</si>
  <si>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</si>
  <si>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</si>
  <si>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</si>
  <si>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</si>
  <si>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</si>
  <si>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</si>
  <si>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</si>
  <si>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</si>
  <si>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</si>
  <si>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</si>
  <si>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</si>
  <si>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</si>
  <si>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</si>
  <si>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</si>
  <si>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</si>
  <si>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</si>
  <si>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</si>
  <si>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</si>
  <si>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</si>
  <si>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</si>
  <si>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</si>
  <si>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</si>
  <si>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</si>
  <si>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</si>
  <si>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</si>
  <si>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</si>
  <si>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</si>
  <si>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</si>
  <si>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</si>
  <si>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</si>
  <si>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</si>
  <si>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</si>
  <si>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</si>
  <si>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</si>
  <si>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</si>
  <si>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</si>
  <si>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</si>
  <si>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</si>
  <si>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</si>
  <si>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</si>
  <si>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</si>
  <si>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</si>
  <si>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</si>
  <si>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</si>
  <si>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</si>
  <si>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</si>
  <si>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</si>
  <si>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</si>
  <si>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</si>
  <si>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</si>
  <si>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</si>
  <si>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</si>
  <si>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</si>
  <si>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</si>
  <si>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</si>
  <si>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</si>
  <si>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</si>
  <si>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</si>
  <si>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</si>
  <si>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</si>
  <si>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</si>
  <si>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</si>
  <si>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</si>
  <si>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</si>
  <si>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</si>
  <si>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</si>
  <si>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</si>
  <si>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</si>
  <si>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</si>
  <si>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</si>
  <si>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</si>
  <si>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</si>
  <si>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</si>
  <si>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</si>
  <si>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</si>
  <si>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</si>
  <si>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</si>
  <si>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</si>
  <si>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</si>
  <si>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</si>
  <si>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</si>
  <si>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</si>
  <si>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</si>
  <si>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</si>
  <si>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</si>
  <si>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</si>
  <si>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</si>
  <si>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</si>
  <si>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</si>
  <si>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</si>
  <si>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</si>
  <si>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</si>
  <si>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</si>
  <si>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</si>
  <si>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</si>
  <si>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</si>
  <si>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</si>
  <si>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</si>
  <si>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</si>
  <si>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</si>
  <si>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</si>
  <si>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</si>
  <si>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</si>
  <si>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</si>
  <si>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</si>
  <si>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</si>
  <si>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</si>
  <si>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</si>
  <si>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</si>
  <si>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</si>
  <si>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</si>
  <si>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</si>
  <si>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</si>
  <si>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</si>
  <si>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</si>
  <si>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</si>
  <si>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</si>
  <si>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</si>
  <si>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</si>
  <si>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</si>
  <si>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</si>
  <si>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</si>
  <si>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</si>
  <si>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</si>
  <si>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</si>
  <si>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</si>
  <si>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</si>
  <si>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</si>
  <si>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</si>
  <si>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</si>
  <si>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</si>
  <si>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</si>
  <si>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</si>
  <si>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</si>
  <si>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</si>
  <si>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</si>
  <si>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</si>
  <si>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</si>
  <si>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</si>
  <si>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</si>
  <si>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</si>
  <si>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</si>
  <si>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</si>
  <si>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</si>
  <si>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</si>
  <si>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</si>
  <si>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</si>
  <si>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</si>
  <si>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</si>
  <si>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</si>
  <si>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</si>
  <si>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</si>
  <si>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</si>
  <si>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</si>
  <si>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</si>
  <si>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</si>
  <si>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</si>
  <si>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</si>
  <si>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</si>
  <si>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</si>
  <si>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</si>
  <si>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</si>
  <si>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</si>
  <si>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</si>
  <si>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</si>
  <si>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</si>
  <si>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</si>
  <si>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</si>
  <si>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</si>
  <si>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</si>
  <si>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</si>
  <si>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</si>
  <si>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</si>
  <si>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</si>
  <si>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</si>
  <si>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</si>
  <si>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</si>
  <si>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</si>
  <si>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</si>
  <si>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</si>
  <si>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</si>
  <si>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</si>
  <si>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</si>
  <si>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</si>
  <si>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</si>
  <si>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</si>
  <si>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</si>
  <si>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</si>
  <si>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</si>
  <si>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</si>
  <si>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</si>
  <si>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</si>
  <si>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</si>
  <si>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</si>
  <si>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</si>
  <si>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</si>
  <si>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</si>
  <si>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</si>
  <si>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</si>
  <si>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</si>
  <si>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</si>
  <si>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</si>
  <si>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</si>
  <si>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</si>
  <si>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</si>
  <si>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</si>
  <si>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</si>
  <si>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</si>
  <si>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</si>
  <si>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</si>
  <si>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</si>
  <si>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</si>
  <si>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</si>
  <si>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</si>
  <si>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</si>
  <si>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</si>
  <si>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</si>
  <si>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</si>
  <si>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</si>
  <si>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</si>
  <si>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</si>
  <si>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</si>
  <si>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</si>
  <si>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</si>
  <si>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</si>
  <si>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</si>
  <si>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</si>
  <si>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</si>
  <si>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</si>
  <si>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</si>
  <si>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</si>
  <si>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</si>
  <si>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</si>
  <si>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</si>
  <si>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</si>
  <si>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</si>
  <si>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</si>
  <si>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</si>
  <si>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</si>
  <si>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</si>
  <si>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</si>
  <si>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</si>
  <si>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</si>
  <si>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</si>
  <si>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</si>
  <si>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</si>
  <si>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</si>
  <si>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</si>
  <si>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</si>
  <si>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</si>
  <si>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</si>
  <si>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</si>
  <si>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</si>
  <si>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</si>
  <si>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</si>
  <si>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</si>
  <si>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</si>
  <si>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</si>
  <si>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</si>
  <si>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</si>
  <si>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</si>
  <si>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</si>
  <si>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</si>
  <si>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</si>
  <si>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</si>
  <si>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</si>
  <si>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</si>
  <si>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</si>
  <si>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</si>
  <si>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</si>
  <si>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</si>
  <si>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</si>
  <si>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</si>
  <si>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</si>
  <si>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</si>
  <si>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</si>
  <si>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</si>
  <si>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</si>
  <si>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</si>
  <si>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</si>
  <si>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</si>
  <si>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</si>
  <si>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</si>
  <si>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</si>
  <si>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</si>
  <si>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</si>
  <si>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</si>
  <si>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</si>
  <si>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</si>
  <si>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</si>
  <si>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</si>
  <si>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</si>
  <si>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</si>
  <si>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</si>
  <si>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</si>
  <si>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</si>
  <si>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</si>
  <si>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</si>
  <si>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</si>
  <si>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</si>
  <si>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</si>
  <si>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</si>
  <si>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</si>
  <si>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</si>
  <si>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</si>
  <si>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</si>
  <si>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</si>
  <si>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</si>
  <si>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</si>
  <si>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</si>
  <si>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</si>
  <si>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</si>
  <si>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</si>
  <si>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</si>
  <si>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</si>
  <si>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</si>
  <si>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</si>
  <si>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</si>
  <si>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</si>
  <si>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</si>
  <si>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</si>
  <si>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</si>
  <si>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</si>
  <si>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</si>
  <si>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</si>
  <si>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</si>
  <si>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</si>
  <si>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</si>
  <si>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</si>
  <si>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</si>
  <si>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</si>
  <si>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</si>
  <si>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</si>
  <si>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</si>
  <si>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</si>
  <si>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</si>
  <si>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</si>
  <si>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</si>
  <si>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</si>
  <si>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</si>
  <si>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</si>
  <si>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</si>
  <si>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</si>
  <si>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</si>
  <si>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</si>
  <si>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</si>
  <si>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</si>
  <si>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</si>
  <si>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</si>
  <si>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</si>
  <si>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</si>
  <si>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</si>
  <si>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</si>
  <si>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</si>
  <si>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</si>
  <si>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</si>
  <si>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</si>
  <si>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</si>
  <si>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</si>
  <si>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</si>
  <si>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</si>
  <si>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</si>
  <si>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</si>
  <si>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</si>
  <si>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</si>
  <si>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</si>
  <si>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</si>
  <si>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</si>
  <si>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</si>
  <si>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</si>
  <si>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</si>
  <si>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</si>
  <si>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</si>
  <si>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</si>
  <si>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</si>
  <si>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</si>
  <si>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</si>
  <si>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</si>
  <si>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</si>
  <si>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</si>
  <si>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</si>
  <si>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</si>
  <si>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</si>
  <si>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</si>
  <si>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</si>
  <si>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</si>
  <si>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</si>
  <si>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</si>
  <si>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</si>
  <si>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</si>
  <si>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</si>
  <si>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</si>
  <si>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</si>
  <si>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</si>
  <si>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</si>
  <si>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</si>
  <si>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</si>
  <si>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</si>
  <si>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</si>
  <si>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</si>
  <si>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</si>
  <si>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</si>
  <si>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</si>
  <si>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</si>
  <si>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</si>
  <si>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</si>
  <si>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</si>
  <si>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</si>
  <si>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</si>
  <si>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</si>
  <si>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</si>
  <si>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</si>
  <si>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</si>
  <si>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</si>
  <si>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</si>
  <si>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</si>
  <si>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</si>
  <si>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</si>
  <si>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</si>
  <si>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</si>
  <si>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</si>
  <si>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</si>
  <si>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</si>
  <si>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</si>
  <si>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</si>
  <si>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</si>
  <si>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</si>
  <si>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</si>
  <si>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</si>
  <si>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</si>
  <si>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</si>
  <si>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</si>
  <si>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</si>
  <si>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</si>
  <si>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</si>
  <si>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</si>
  <si>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</si>
  <si>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</si>
  <si>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</si>
  <si>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</si>
  <si>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</si>
  <si>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</si>
  <si>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</si>
  <si>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</si>
  <si>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</si>
  <si>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</si>
  <si>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</si>
  <si>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</si>
  <si>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</si>
  <si>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</si>
  <si>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</si>
  <si>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</si>
  <si>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</si>
  <si>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</si>
  <si>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</si>
  <si>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</si>
  <si>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</si>
  <si>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</si>
  <si>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</si>
  <si>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</si>
  <si>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</si>
  <si>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</si>
  <si>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</si>
  <si>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</si>
  <si>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</si>
  <si>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</si>
  <si>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</si>
  <si>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</si>
  <si>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</si>
  <si>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</si>
  <si>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</si>
  <si>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</si>
  <si>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</si>
  <si>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</si>
  <si>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</si>
  <si>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</si>
  <si>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</si>
  <si>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</si>
  <si>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</si>
  <si>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</si>
  <si>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</si>
  <si>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</si>
  <si>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</si>
  <si>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</si>
  <si>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</si>
  <si>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</si>
  <si>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</si>
  <si>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</si>
  <si>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</si>
  <si>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</si>
  <si>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</si>
  <si>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</si>
  <si>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</si>
  <si>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</si>
  <si>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</si>
  <si>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</si>
  <si>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</si>
  <si>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</si>
  <si>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</si>
  <si>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</si>
  <si>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</si>
  <si>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</si>
  <si>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</si>
  <si>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</si>
  <si>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</si>
  <si>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</si>
  <si>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</si>
  <si>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</si>
  <si>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</si>
  <si>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</si>
  <si>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</si>
  <si>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</si>
  <si>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</si>
  <si>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</si>
  <si>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</si>
  <si>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</si>
  <si>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</si>
  <si>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</si>
  <si>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</si>
  <si>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</si>
  <si>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</si>
  <si>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</si>
  <si>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</si>
  <si>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</si>
  <si>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</si>
  <si>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</si>
  <si>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</si>
  <si>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</si>
  <si>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</si>
  <si>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</si>
  <si>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</si>
  <si>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</si>
  <si>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</si>
  <si>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</si>
  <si>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</si>
  <si>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</si>
  <si>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</si>
  <si>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</si>
  <si>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</si>
  <si>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</si>
  <si>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</si>
  <si>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</si>
  <si>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</si>
  <si>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</si>
  <si>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</si>
  <si>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</si>
  <si>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</si>
  <si>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</si>
  <si>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</si>
  <si>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</si>
  <si>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</si>
  <si>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</si>
  <si>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</si>
  <si>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</si>
  <si>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</si>
  <si>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</si>
  <si>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</si>
  <si>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</si>
  <si>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</si>
  <si>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</si>
  <si>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</si>
  <si>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</si>
  <si>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</si>
  <si>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</si>
  <si>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</si>
  <si>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</si>
  <si>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</si>
  <si>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</si>
  <si>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</si>
  <si>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</si>
  <si>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</si>
  <si>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</si>
  <si>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</si>
  <si>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</si>
  <si>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</si>
  <si>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</si>
  <si>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</si>
  <si>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</si>
  <si>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</si>
  <si>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</si>
  <si>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</si>
  <si>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</si>
  <si>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</si>
  <si>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</si>
  <si>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</si>
  <si>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</si>
  <si>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</si>
  <si>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</si>
  <si>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</si>
  <si>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</si>
  <si>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</si>
  <si>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</si>
  <si>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</si>
  <si>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</si>
  <si>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</si>
  <si>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</si>
  <si>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</si>
  <si>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</si>
  <si>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</si>
  <si>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</si>
  <si>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</si>
  <si>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</si>
  <si>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</si>
  <si>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</si>
  <si>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</si>
  <si>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</si>
  <si>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</si>
  <si>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</si>
  <si>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</si>
  <si>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</si>
  <si>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</si>
  <si>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</si>
  <si>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</si>
  <si>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</si>
  <si>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</si>
  <si>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</si>
  <si>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</si>
  <si>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</si>
  <si>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</si>
  <si>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</si>
  <si>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</si>
  <si>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</si>
  <si>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</si>
  <si>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</si>
  <si>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</si>
  <si>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</si>
  <si>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</si>
  <si>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</si>
  <si>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</si>
  <si>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</si>
  <si>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</si>
  <si>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</si>
  <si>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</si>
  <si>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</si>
  <si>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</si>
  <si>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</si>
  <si>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</si>
  <si>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</si>
  <si>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</si>
  <si>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</si>
  <si>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</si>
  <si>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</si>
  <si>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</si>
  <si>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</si>
  <si>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</si>
  <si>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</si>
  <si>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</si>
  <si>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</si>
  <si>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</si>
  <si>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</si>
  <si>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</si>
  <si>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</si>
  <si>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</si>
  <si>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</si>
  <si>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</si>
  <si>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</si>
  <si>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</si>
  <si>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</si>
  <si>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</si>
  <si>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</si>
  <si>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</si>
  <si>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</si>
  <si>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</si>
  <si>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</si>
  <si>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</si>
  <si>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</si>
  <si>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</si>
  <si>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</si>
  <si>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</si>
  <si>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</si>
  <si>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</si>
  <si>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</si>
  <si>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</si>
  <si>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</si>
  <si>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</si>
  <si>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</si>
  <si>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</si>
  <si>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</si>
  <si>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</si>
  <si>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</si>
  <si>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</si>
  <si>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</si>
  <si>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</si>
  <si>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</si>
  <si>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</si>
  <si>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</si>
  <si>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</si>
  <si>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</si>
  <si>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</si>
  <si>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</si>
  <si>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</si>
  <si>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</si>
  <si>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</si>
  <si>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</si>
  <si>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</si>
  <si>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</si>
  <si>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</si>
  <si>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</si>
  <si>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</si>
  <si>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</si>
  <si>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</si>
  <si>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</si>
  <si>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</si>
  <si>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</si>
  <si>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</si>
  <si>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</si>
  <si>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</si>
  <si>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</si>
  <si>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</si>
  <si>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</si>
  <si>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</si>
  <si>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</si>
  <si>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</si>
  <si>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</si>
  <si>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</si>
  <si>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</si>
  <si>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</si>
  <si>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</si>
  <si>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</si>
  <si>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</si>
  <si>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</si>
  <si>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</si>
  <si>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</si>
  <si>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</si>
  <si>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</si>
  <si>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</si>
  <si>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</si>
  <si>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</si>
  <si>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</si>
  <si>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</si>
  <si>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</si>
  <si>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</si>
  <si>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</si>
  <si>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</si>
  <si>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</si>
  <si>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</si>
  <si>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</si>
  <si>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</si>
  <si>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</si>
  <si>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</si>
  <si>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</si>
  <si>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</si>
  <si>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</si>
  <si>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</si>
  <si>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</si>
  <si>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</si>
  <si>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</si>
  <si>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</si>
  <si>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</si>
  <si>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</si>
  <si>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</si>
  <si>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</si>
  <si>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</si>
  <si>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</si>
  <si>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</si>
  <si>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</si>
  <si>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</si>
  <si>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</si>
  <si>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</si>
  <si>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</si>
  <si>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</si>
  <si>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</si>
  <si>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</si>
  <si>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</si>
  <si>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</si>
  <si>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</si>
  <si>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</si>
  <si>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</si>
  <si>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</si>
  <si>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</si>
  <si>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</si>
  <si>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</si>
  <si>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</si>
  <si>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</si>
  <si>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</si>
  <si>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</si>
  <si>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</si>
  <si>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</si>
  <si>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</si>
  <si>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</si>
  <si>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</si>
  <si>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</si>
  <si>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</si>
  <si>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</si>
  <si>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</si>
  <si>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</si>
  <si>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</si>
  <si>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</si>
  <si>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</si>
  <si>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</si>
  <si>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</si>
  <si>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</si>
  <si>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</si>
  <si>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</si>
  <si>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</si>
  <si>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</si>
  <si>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</si>
  <si>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</si>
  <si>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</si>
  <si>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</si>
  <si>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</si>
  <si>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</si>
  <si>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</si>
  <si>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</si>
  <si>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</si>
  <si>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</si>
  <si>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</si>
  <si>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</si>
  <si>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</si>
  <si>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</si>
  <si>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</si>
  <si>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</si>
  <si>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</si>
  <si>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</si>
  <si>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</si>
  <si>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</si>
  <si>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</si>
  <si>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</si>
  <si>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</si>
  <si>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</si>
  <si>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</si>
  <si>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</si>
  <si>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</si>
  <si>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</si>
  <si>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</si>
  <si>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</si>
  <si>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</si>
  <si>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</si>
  <si>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</si>
  <si>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</si>
  <si>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</si>
  <si>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</si>
  <si>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</si>
  <si>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</si>
  <si>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</si>
  <si>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</si>
  <si>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</si>
  <si>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</si>
  <si>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</si>
  <si>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</si>
  <si>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</si>
  <si>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</si>
  <si>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</si>
  <si>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</si>
  <si>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</si>
  <si>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</si>
  <si>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</si>
  <si>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</si>
  <si>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</si>
  <si>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</si>
  <si>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</si>
  <si>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</si>
  <si>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</si>
  <si>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</si>
  <si>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</si>
  <si>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</si>
  <si>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</si>
  <si>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</si>
  <si>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</si>
  <si>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</si>
  <si>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</si>
  <si>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</si>
  <si>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</si>
  <si>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</si>
  <si>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</si>
  <si>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</si>
  <si>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</si>
  <si>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</si>
  <si>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</si>
  <si>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</si>
  <si>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</si>
  <si>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</si>
  <si>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</si>
  <si>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</si>
  <si>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</si>
  <si>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</si>
  <si>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</si>
  <si>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</si>
  <si>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</si>
  <si>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</si>
  <si>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</si>
  <si>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</si>
  <si>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</si>
  <si>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</si>
  <si>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</si>
  <si>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</si>
  <si>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</si>
  <si>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</si>
  <si>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</si>
  <si>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</si>
  <si>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</si>
  <si>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</si>
  <si>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</si>
  <si>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</si>
  <si>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</si>
  <si>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</si>
  <si>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</si>
  <si>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</si>
  <si>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</si>
  <si>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</si>
  <si>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</si>
  <si>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</si>
  <si>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</si>
  <si>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</si>
  <si>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</si>
  <si>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</si>
  <si>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</si>
  <si>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</si>
  <si>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</si>
  <si>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</si>
  <si>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</si>
  <si>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</si>
  <si>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</si>
  <si>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</si>
  <si>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</si>
  <si>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</si>
  <si>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</si>
  <si>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</si>
  <si>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</si>
  <si>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</si>
  <si>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</si>
  <si>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</si>
  <si>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</si>
  <si>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</si>
  <si>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</si>
  <si>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</si>
  <si>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</si>
  <si>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</si>
  <si>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</si>
  <si>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</si>
  <si>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</si>
  <si>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</si>
  <si>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</si>
  <si>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</si>
  <si>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</si>
  <si>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</si>
  <si>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</si>
  <si>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</si>
  <si>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</si>
  <si>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</si>
  <si>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</si>
  <si>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</si>
  <si>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</si>
  <si>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</si>
  <si>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</si>
  <si>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</si>
  <si>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</si>
  <si>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</si>
  <si>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</si>
  <si>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</si>
  <si>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</si>
  <si>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</si>
  <si>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</si>
  <si>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</si>
  <si>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</si>
  <si>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</si>
  <si>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</si>
  <si>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</si>
  <si>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</si>
  <si>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</si>
  <si>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</si>
  <si>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</si>
  <si>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</si>
  <si>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</si>
  <si>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</si>
  <si>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</si>
  <si>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</si>
  <si>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</si>
  <si>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</si>
  <si>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</si>
  <si>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</si>
  <si>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</si>
  <si>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</si>
  <si>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</si>
  <si>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</si>
  <si>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</si>
  <si>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</si>
  <si>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</si>
  <si>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</si>
  <si>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</si>
  <si>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</si>
  <si>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</si>
  <si>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</si>
  <si>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</si>
  <si>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</si>
  <si>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</si>
  <si>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</si>
  <si>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</si>
  <si>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</si>
  <si>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</si>
  <si>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</si>
  <si>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</si>
  <si>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</si>
  <si>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</si>
  <si>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</si>
  <si>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</si>
  <si>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</si>
  <si>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</si>
  <si>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</si>
  <si>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</si>
  <si>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</si>
  <si>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</si>
  <si>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</si>
  <si>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</si>
  <si>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</si>
  <si>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</si>
  <si>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</si>
  <si>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</si>
  <si>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</si>
  <si>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</si>
  <si>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</si>
  <si>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</si>
  <si>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</si>
  <si>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</si>
  <si>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</si>
  <si>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</si>
  <si>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</si>
  <si>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</si>
  <si>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</si>
  <si>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</si>
  <si>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</si>
  <si>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</si>
  <si>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</si>
  <si>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</si>
  <si>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</si>
  <si>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</si>
  <si>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</si>
  <si>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</si>
  <si>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</si>
  <si>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</si>
  <si>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</si>
  <si>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</si>
  <si>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</si>
  <si>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</si>
  <si>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</si>
  <si>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</si>
  <si>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</si>
  <si>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</si>
  <si>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</si>
  <si>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</si>
  <si>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</si>
  <si>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</si>
  <si>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</si>
  <si>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</si>
  <si>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</si>
  <si>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</si>
  <si>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</si>
  <si>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</si>
  <si>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</si>
  <si>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</si>
  <si>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</si>
  <si>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</si>
  <si>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</si>
  <si>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</si>
  <si>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</si>
  <si>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</si>
  <si>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</si>
  <si>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</si>
  <si>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</si>
  <si>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</si>
  <si>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</si>
  <si>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</si>
  <si>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</si>
  <si>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</si>
  <si>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</si>
  <si>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</si>
  <si>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</si>
  <si>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</si>
  <si>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</si>
  <si>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</si>
  <si>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</si>
  <si>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</si>
  <si>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</si>
  <si>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</si>
  <si>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</si>
  <si>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</si>
  <si>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</si>
  <si>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</si>
  <si>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</si>
  <si>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</si>
  <si>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</si>
  <si>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</si>
  <si>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</si>
  <si>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</si>
  <si>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</si>
  <si>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</si>
  <si>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</si>
  <si>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</si>
  <si>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</si>
  <si>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</si>
  <si>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</si>
  <si>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</si>
  <si>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</si>
  <si>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</si>
  <si>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</si>
  <si>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</si>
  <si>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</si>
  <si>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</si>
  <si>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</si>
  <si>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</si>
  <si>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</si>
  <si>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</si>
  <si>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</si>
  <si>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</si>
  <si>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</si>
  <si>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</si>
  <si>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</si>
  <si>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</si>
  <si>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</si>
  <si>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</si>
  <si>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</si>
  <si>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</si>
  <si>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</si>
  <si>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</si>
  <si>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</si>
  <si>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</si>
  <si>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</si>
  <si>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</si>
  <si>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</si>
  <si>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</si>
  <si>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</si>
  <si>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</si>
  <si>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</si>
  <si>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</si>
  <si>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</si>
  <si>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</si>
  <si>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</si>
  <si>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</si>
  <si>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</si>
  <si>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</si>
  <si>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</si>
  <si>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</si>
  <si>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</si>
  <si>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</si>
  <si>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</si>
  <si>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</si>
  <si>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</si>
  <si>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</si>
  <si>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</si>
  <si>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</si>
  <si>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</si>
  <si>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</si>
  <si>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</si>
  <si>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</si>
  <si>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</si>
  <si>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</si>
  <si>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</si>
  <si>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</si>
  <si>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</si>
  <si>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</si>
  <si>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</si>
  <si>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</si>
  <si>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</si>
  <si>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</si>
  <si>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</si>
  <si>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</si>
  <si>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</si>
  <si>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</si>
  <si>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</si>
  <si>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</si>
  <si>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</si>
  <si>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</si>
  <si>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</si>
  <si>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</si>
  <si>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</si>
  <si>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</si>
  <si>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</si>
  <si>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</si>
  <si>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</si>
  <si>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</si>
  <si>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</si>
  <si>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</si>
  <si>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</si>
  <si>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</si>
  <si>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</si>
  <si>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</si>
  <si>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</si>
  <si>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</si>
  <si>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</si>
  <si>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</si>
  <si>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</si>
  <si>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</si>
  <si>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</si>
  <si>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</si>
  <si>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</si>
  <si>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</si>
  <si>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</si>
  <si>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</si>
  <si>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</si>
  <si>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</si>
  <si>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</si>
  <si>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</si>
  <si>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</si>
  <si>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</si>
  <si>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</si>
  <si>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</si>
  <si>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</si>
  <si>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</si>
  <si>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</si>
  <si>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</si>
  <si>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</si>
  <si>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</si>
  <si>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</si>
  <si>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</si>
  <si>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</si>
  <si>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</si>
  <si>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</si>
  <si>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</si>
  <si>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</si>
  <si>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</si>
  <si>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</si>
  <si>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</si>
  <si>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</si>
  <si>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</si>
  <si>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</si>
  <si>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</si>
  <si>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</si>
  <si>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</si>
  <si>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</si>
  <si>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</si>
  <si>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</si>
  <si>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</si>
  <si>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</si>
  <si>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</si>
  <si>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</si>
  <si>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</si>
  <si>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</si>
  <si>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</si>
  <si>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</si>
  <si>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</si>
  <si>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</si>
  <si>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</si>
  <si>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</si>
  <si>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</si>
  <si>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</si>
  <si>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</si>
  <si>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</si>
  <si>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</si>
  <si>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</si>
  <si>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</si>
  <si>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</si>
  <si>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</si>
  <si>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</si>
  <si>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</si>
  <si>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</si>
  <si>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</si>
  <si>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</si>
  <si>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</si>
  <si>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</si>
  <si>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</si>
  <si>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</si>
  <si>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</si>
  <si>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</si>
  <si>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</si>
  <si>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</si>
  <si>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</si>
  <si>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</si>
  <si>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</si>
  <si>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</si>
  <si>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</si>
  <si>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</si>
  <si>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</si>
  <si>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</si>
  <si>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</si>
  <si>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</si>
  <si>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</si>
  <si>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</si>
  <si>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</si>
  <si>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</si>
  <si>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</si>
  <si>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</si>
  <si>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</si>
  <si>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</si>
  <si>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</si>
  <si>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</si>
  <si>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</si>
  <si>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</si>
  <si>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</si>
  <si>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</si>
  <si>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</si>
  <si>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</si>
  <si>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</si>
  <si>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</si>
  <si>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</si>
  <si>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</si>
  <si>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</si>
  <si>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</si>
  <si>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</si>
  <si>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</si>
  <si>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</si>
  <si>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</si>
  <si>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</si>
  <si>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</si>
  <si>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</si>
  <si>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</si>
  <si>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</si>
  <si>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</si>
  <si>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</si>
  <si>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</si>
  <si>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</si>
  <si>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</si>
  <si>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</si>
  <si>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</si>
  <si>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</si>
  <si>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</si>
  <si>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</si>
  <si>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</si>
  <si>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</si>
  <si>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</si>
  <si>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</si>
  <si>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</si>
  <si>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</si>
  <si>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</si>
  <si>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</si>
  <si>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</si>
  <si>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</si>
  <si>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</si>
  <si>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</si>
  <si>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</si>
  <si>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</si>
  <si>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</si>
  <si>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</si>
  <si>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</si>
  <si>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</si>
  <si>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</si>
  <si>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</si>
  <si>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</si>
  <si>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</si>
  <si>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</si>
  <si>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</si>
  <si>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</si>
  <si>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</si>
  <si>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</si>
  <si>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</si>
  <si>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</si>
  <si>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</si>
  <si>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</si>
  <si>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</si>
  <si>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</si>
  <si>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</si>
  <si>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</si>
  <si>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</si>
  <si>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</si>
  <si>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</si>
  <si>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</si>
  <si>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</si>
  <si>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</si>
  <si>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</si>
  <si>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</si>
  <si>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</si>
  <si>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</si>
  <si>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</si>
  <si>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</si>
  <si>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</si>
  <si>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</si>
  <si>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</si>
  <si>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</si>
  <si>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</si>
  <si>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</si>
  <si>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</si>
  <si>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</si>
  <si>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</si>
  <si>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</si>
  <si>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</si>
  <si>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</si>
  <si>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</si>
  <si>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</si>
  <si>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</si>
  <si>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</si>
  <si>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</si>
  <si>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</si>
  <si>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</si>
  <si>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</si>
  <si>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</si>
  <si>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</si>
  <si>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</si>
  <si>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</si>
  <si>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</si>
  <si>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</si>
  <si>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</si>
  <si>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</si>
  <si>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</si>
  <si>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</si>
  <si>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</si>
  <si>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</si>
  <si>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</si>
  <si>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</si>
  <si>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</si>
  <si>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</si>
  <si>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</si>
  <si>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</si>
  <si>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</si>
  <si>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</si>
  <si>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</si>
  <si>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</si>
  <si>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</si>
  <si>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</si>
  <si>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</si>
  <si>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</si>
  <si>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</si>
  <si>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</si>
  <si>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</si>
  <si>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</si>
  <si>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</si>
  <si>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</si>
  <si>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</si>
  <si>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</si>
  <si>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</si>
  <si>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</si>
  <si>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</si>
  <si>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</si>
  <si>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</si>
  <si>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</si>
  <si>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</si>
  <si>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</si>
  <si>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</si>
  <si>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</si>
  <si>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</si>
  <si>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</si>
  <si>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</si>
  <si>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</si>
  <si>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</si>
  <si>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</si>
  <si>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</si>
  <si>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</si>
  <si>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</si>
  <si>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</si>
  <si>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</si>
  <si>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</si>
  <si>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</si>
  <si>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</si>
  <si>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</si>
  <si>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</si>
  <si>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</si>
  <si>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</si>
  <si>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</si>
  <si>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</si>
  <si>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</si>
  <si>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</si>
  <si>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</si>
  <si>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</si>
  <si>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</si>
  <si>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</si>
  <si>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</si>
  <si>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</si>
  <si>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</si>
  <si>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</si>
  <si>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</si>
  <si>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</si>
  <si>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</si>
  <si>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</si>
  <si>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</si>
  <si>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</si>
  <si>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</si>
  <si>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</si>
  <si>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</si>
  <si>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</si>
  <si>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</si>
  <si>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</si>
  <si>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</si>
  <si>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</si>
  <si>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</si>
  <si>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</si>
  <si>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</si>
  <si>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</si>
  <si>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</si>
  <si>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</si>
  <si>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</si>
  <si>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</si>
  <si>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</si>
  <si>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</si>
  <si>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</si>
  <si>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</si>
  <si>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</si>
  <si>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</si>
  <si>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</si>
  <si>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</si>
  <si>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</si>
  <si>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</si>
  <si>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</si>
  <si>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</si>
  <si>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</si>
  <si>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</si>
  <si>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</si>
  <si>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</si>
  <si>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</si>
  <si>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</si>
  <si>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</si>
  <si>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</si>
  <si>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</si>
  <si>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</si>
  <si>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</si>
  <si>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</si>
  <si>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</si>
  <si>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</si>
  <si>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</si>
  <si>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</si>
  <si>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</si>
  <si>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</si>
  <si>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</si>
  <si>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</si>
  <si>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</si>
  <si>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</si>
  <si>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</si>
  <si>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</si>
  <si>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</si>
  <si>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</si>
  <si>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</si>
  <si>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</si>
  <si>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</si>
  <si>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</si>
  <si>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</si>
  <si>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</si>
  <si>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</si>
  <si>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</si>
  <si>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</si>
  <si>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</si>
  <si>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</si>
  <si>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</si>
  <si>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</si>
  <si>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</si>
  <si>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</si>
  <si>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</si>
  <si>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</si>
  <si>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</si>
  <si>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</si>
  <si>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</si>
  <si>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</si>
  <si>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</si>
  <si>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</si>
  <si>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</si>
  <si>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</si>
  <si>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</si>
  <si>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</si>
  <si>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</si>
  <si>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</si>
  <si>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</si>
  <si>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</si>
  <si>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</si>
  <si>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</si>
  <si>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</si>
  <si>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</si>
  <si>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</si>
  <si>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</si>
  <si>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</si>
  <si>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</si>
  <si>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</si>
  <si>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</si>
  <si>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</si>
  <si>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</si>
  <si>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</si>
  <si>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</si>
  <si>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</si>
  <si>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</si>
  <si>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</si>
  <si>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</si>
  <si>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</si>
  <si>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</si>
  <si>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</si>
  <si>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</si>
  <si>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</si>
  <si>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</si>
  <si>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</si>
  <si>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</si>
  <si>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</si>
  <si>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</si>
  <si>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</si>
  <si>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</si>
  <si>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</si>
  <si>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</si>
  <si>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</si>
  <si>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</si>
  <si>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</si>
  <si>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</si>
  <si>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</si>
  <si>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</si>
  <si>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</si>
  <si>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</si>
  <si>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</si>
  <si>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</si>
  <si>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</si>
  <si>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</si>
  <si>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</si>
  <si>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</si>
  <si>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</si>
  <si>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</si>
  <si>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</si>
  <si>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</si>
  <si>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</si>
  <si>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</si>
  <si>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</si>
  <si>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</si>
  <si>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</si>
  <si>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</si>
  <si>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</si>
  <si>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</si>
  <si>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</si>
  <si>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</si>
  <si>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</si>
  <si>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</si>
  <si>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</si>
  <si>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</si>
  <si>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</si>
  <si>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</si>
  <si>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</si>
  <si>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</si>
  <si>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</si>
  <si>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</si>
  <si>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</si>
  <si>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</si>
  <si>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</si>
  <si>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</si>
  <si>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</si>
  <si>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</si>
  <si>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</si>
  <si>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</si>
  <si>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</si>
  <si>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</si>
  <si>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</si>
  <si>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</si>
  <si>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</si>
  <si>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</si>
  <si>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</si>
  <si>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</si>
  <si>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</si>
  <si>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</si>
  <si>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</si>
  <si>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</si>
  <si>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</si>
  <si>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</si>
  <si>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</si>
  <si>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</si>
  <si>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</si>
  <si>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</si>
  <si>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</si>
  <si>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</si>
  <si>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</si>
  <si>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</si>
  <si>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</si>
  <si>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</si>
  <si>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</si>
  <si>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</si>
  <si>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</si>
  <si>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</si>
  <si>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</si>
  <si>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</si>
  <si>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</si>
  <si>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</si>
  <si>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</si>
  <si>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</si>
  <si>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</si>
  <si>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</si>
  <si>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</si>
  <si>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</si>
  <si>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</si>
  <si>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</si>
  <si>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</si>
  <si>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</si>
  <si>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</si>
  <si>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</si>
  <si>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</si>
  <si>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</si>
  <si>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</si>
  <si>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</si>
  <si>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</si>
  <si>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</si>
  <si>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</si>
  <si>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</si>
  <si>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</si>
  <si>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</si>
  <si>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</si>
  <si>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</si>
  <si>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</si>
  <si>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</si>
  <si>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</si>
  <si>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</si>
  <si>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</si>
  <si>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</si>
  <si>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</si>
  <si>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</si>
  <si>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</si>
  <si>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</si>
  <si>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</si>
  <si>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</si>
  <si>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</si>
  <si>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</si>
  <si>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</si>
  <si>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</si>
  <si>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</si>
  <si>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</si>
  <si>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</si>
  <si>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</si>
  <si>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</si>
  <si>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</si>
  <si>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</si>
  <si>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</si>
  <si>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</si>
  <si>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</si>
  <si>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</si>
  <si>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</si>
  <si>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</si>
  <si>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</si>
  <si>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</si>
  <si>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</si>
  <si>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</si>
  <si>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</si>
  <si>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</si>
  <si>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</si>
  <si>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</si>
  <si>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</si>
  <si>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</si>
  <si>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</si>
  <si>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</si>
  <si>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</si>
  <si>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</si>
  <si>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</si>
  <si>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</si>
  <si>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</si>
  <si>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</si>
  <si>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</si>
  <si>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</si>
  <si>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</si>
  <si>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</si>
  <si>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</si>
  <si>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</si>
  <si>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</si>
  <si>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</si>
  <si>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</si>
  <si>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</si>
  <si>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</si>
  <si>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</si>
  <si>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</si>
  <si>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</si>
  <si>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</si>
  <si>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</si>
  <si>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</si>
  <si>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</si>
  <si>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</si>
  <si>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</si>
  <si>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</si>
  <si>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</si>
  <si>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</si>
  <si>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</si>
  <si>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</si>
  <si>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</si>
  <si>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</si>
  <si>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</si>
  <si>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</si>
  <si>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</si>
  <si>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</si>
  <si>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</si>
  <si>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</si>
  <si>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</si>
  <si>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</si>
  <si>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</si>
  <si>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</si>
  <si>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</si>
  <si>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</si>
  <si>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</si>
  <si>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</si>
  <si>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</si>
  <si>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</si>
  <si>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</si>
  <si>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</si>
  <si>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</si>
  <si>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</si>
  <si>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</si>
  <si>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</si>
  <si>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</si>
  <si>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</si>
  <si>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</si>
  <si>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</si>
  <si>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</si>
  <si>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</si>
  <si>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</si>
  <si>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</si>
  <si>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</si>
  <si>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</si>
  <si>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</si>
  <si>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</si>
  <si>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</si>
  <si>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</si>
  <si>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</si>
  <si>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</si>
  <si>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</si>
  <si>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</si>
  <si>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</si>
  <si>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</si>
  <si>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</si>
  <si>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</si>
  <si>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</si>
  <si>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</si>
  <si>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</si>
  <si>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</si>
  <si>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</si>
  <si>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</si>
  <si>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</si>
  <si>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</si>
  <si>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</si>
  <si>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</si>
  <si>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</si>
  <si>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</si>
  <si>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</si>
  <si>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</si>
  <si>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</si>
  <si>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</si>
  <si>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</si>
  <si>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</si>
  <si>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</si>
  <si>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</si>
  <si>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</si>
  <si>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</si>
  <si>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</si>
  <si>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</si>
  <si>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</si>
  <si>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</si>
  <si>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</si>
  <si>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</si>
  <si>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</si>
  <si>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</si>
  <si>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</si>
  <si>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</si>
  <si>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</si>
  <si>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</si>
  <si>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</si>
  <si>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</si>
  <si>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</si>
  <si>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</si>
  <si>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</si>
  <si>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</si>
  <si>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</si>
  <si>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</si>
  <si>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</si>
  <si>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</si>
  <si>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</si>
  <si>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</si>
  <si>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</si>
  <si>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</si>
  <si>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</si>
  <si>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</si>
  <si>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</si>
  <si>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</si>
  <si>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</si>
  <si>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</si>
  <si>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</si>
  <si>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</si>
  <si>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</si>
  <si>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</si>
  <si>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</si>
  <si>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</si>
  <si>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</si>
  <si>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</si>
  <si>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</si>
  <si>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</si>
  <si>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</si>
  <si>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</si>
  <si>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</si>
  <si>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</si>
  <si>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</si>
  <si>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</si>
  <si>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</si>
  <si>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</si>
  <si>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</si>
  <si>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</si>
  <si>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</si>
  <si>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</si>
  <si>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</si>
  <si>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</si>
  <si>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</si>
  <si>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</si>
  <si>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</si>
  <si>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</si>
  <si>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</si>
  <si>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</si>
  <si>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</si>
  <si>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</si>
  <si>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</si>
  <si>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</si>
  <si>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</si>
  <si>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</si>
  <si>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</si>
  <si>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</si>
  <si>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</si>
  <si>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</si>
  <si>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</si>
  <si>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</si>
  <si>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</si>
  <si>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</si>
  <si>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</si>
  <si>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</si>
  <si>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</si>
  <si>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</si>
  <si>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</si>
  <si>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</si>
  <si>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</si>
  <si>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</si>
  <si>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</si>
  <si>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</si>
  <si>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</si>
  <si>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</si>
  <si>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</si>
  <si>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</si>
  <si>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</si>
  <si>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</si>
  <si>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</si>
  <si>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</si>
  <si>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</si>
  <si>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</si>
  <si>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</si>
  <si>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</si>
  <si>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</si>
  <si>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</si>
  <si>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</si>
  <si>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</si>
  <si>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</si>
  <si>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</si>
  <si>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</si>
  <si>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</si>
  <si>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</si>
  <si>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</si>
  <si>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</si>
  <si>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</si>
  <si>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</si>
  <si>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</si>
  <si>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</si>
  <si>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</si>
  <si>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</si>
  <si>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</si>
  <si>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</si>
  <si>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</si>
  <si>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</si>
  <si>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</si>
  <si>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</si>
  <si>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</si>
  <si>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</si>
  <si>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</si>
  <si>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</si>
  <si>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</si>
  <si>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</si>
  <si>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</si>
  <si>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</si>
  <si>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</si>
  <si>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</si>
  <si>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</si>
  <si>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</si>
  <si>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</si>
  <si>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</si>
  <si>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</si>
  <si>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</si>
  <si>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</si>
  <si>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</si>
  <si>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</si>
  <si>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</si>
  <si>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</si>
  <si>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</si>
  <si>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</si>
  <si>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</si>
  <si>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</si>
  <si>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</si>
  <si>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</si>
  <si>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</si>
  <si>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</si>
  <si>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</si>
  <si>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</si>
  <si>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</si>
  <si>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</si>
  <si>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</si>
  <si>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</si>
  <si>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</si>
  <si>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</si>
  <si>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</si>
  <si>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</si>
  <si>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</si>
  <si>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</si>
  <si>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</si>
  <si>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</si>
  <si>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</si>
  <si>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</si>
  <si>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</si>
  <si>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</si>
  <si>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</si>
  <si>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</si>
  <si>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</si>
  <si>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</si>
  <si>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</si>
  <si>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</si>
  <si>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</si>
  <si>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</si>
  <si>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</si>
  <si>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</si>
  <si>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</si>
  <si>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</si>
  <si>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</si>
  <si>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</si>
  <si>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</si>
  <si>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</si>
  <si>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</si>
  <si>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</si>
  <si>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</si>
  <si>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</si>
  <si>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</si>
  <si>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</si>
  <si>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</si>
  <si>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</si>
  <si>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</si>
  <si>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</si>
  <si>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</si>
  <si>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</si>
  <si>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</si>
  <si>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</si>
  <si>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</si>
  <si>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</si>
  <si>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</si>
  <si>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</si>
  <si>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</si>
  <si>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</si>
  <si>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</si>
  <si>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</si>
  <si>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</si>
  <si>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</si>
  <si>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</si>
  <si>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</si>
  <si>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</si>
  <si>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</si>
  <si>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</si>
  <si>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</si>
  <si>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</si>
  <si>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</si>
  <si>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</si>
  <si>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</si>
  <si>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</si>
  <si>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</si>
  <si>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</si>
  <si>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</si>
  <si>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</si>
  <si>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</si>
  <si>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</si>
  <si>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</si>
  <si>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</si>
  <si>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</si>
  <si>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</si>
  <si>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</si>
  <si>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</si>
  <si>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</si>
  <si>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</si>
  <si>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</si>
  <si>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</si>
  <si>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</si>
  <si>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</si>
  <si>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</si>
  <si>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</si>
  <si>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</si>
  <si>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</si>
  <si>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</si>
  <si>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</si>
  <si>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</si>
  <si>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</si>
  <si>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</si>
  <si>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</si>
  <si>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</si>
  <si>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</si>
  <si>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</si>
  <si>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</si>
  <si>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</si>
  <si>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</si>
  <si>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</si>
  <si>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</si>
  <si>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</si>
  <si>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</si>
  <si>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</si>
  <si>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</si>
  <si>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</si>
  <si>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</si>
  <si>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</si>
  <si>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</si>
  <si>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</si>
  <si>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</si>
  <si>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</si>
  <si>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</si>
  <si>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</si>
  <si>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</si>
  <si>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</si>
  <si>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</si>
  <si>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</si>
  <si>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</si>
  <si>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</si>
  <si>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</si>
  <si>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</si>
  <si>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</si>
  <si>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</si>
  <si>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</si>
  <si>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</si>
  <si>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</si>
  <si>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</si>
  <si>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</si>
  <si>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</si>
  <si>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</si>
  <si>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</si>
  <si>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</si>
  <si>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</si>
  <si>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</si>
  <si>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</si>
  <si>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</si>
  <si>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</si>
  <si>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</si>
  <si>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</si>
  <si>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</si>
  <si>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</si>
  <si>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</si>
  <si>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</si>
  <si>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</si>
  <si>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</si>
  <si>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</si>
  <si>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</si>
  <si>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</si>
  <si>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</si>
  <si>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</si>
  <si>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</si>
  <si>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</si>
  <si>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</si>
  <si>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</si>
  <si>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</si>
  <si>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</si>
  <si>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</si>
  <si>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</si>
  <si>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</si>
  <si>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</si>
  <si>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</si>
  <si>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</si>
  <si>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</si>
  <si>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</si>
  <si>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</si>
  <si>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</si>
  <si>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</si>
  <si>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</si>
  <si>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</si>
  <si>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</si>
  <si>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</si>
  <si>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</si>
  <si>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</si>
  <si>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</si>
  <si>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</si>
  <si>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</si>
  <si>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</si>
  <si>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</si>
  <si>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</si>
  <si>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</si>
  <si>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</si>
  <si>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</si>
  <si>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</si>
  <si>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</si>
  <si>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</si>
  <si>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</si>
  <si>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</si>
  <si>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</si>
  <si>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</si>
  <si>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</si>
  <si>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</si>
  <si>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</si>
  <si>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</si>
  <si>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</si>
  <si>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</si>
  <si>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</si>
  <si>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</si>
  <si>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</si>
  <si>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</si>
  <si>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</si>
  <si>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</si>
  <si>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</si>
  <si>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</si>
  <si>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</si>
  <si>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</si>
  <si>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</si>
  <si>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</si>
  <si>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</si>
  <si>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</si>
  <si>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</si>
  <si>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</si>
  <si>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</si>
  <si>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</si>
  <si>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</si>
  <si>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</si>
  <si>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</si>
  <si>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</si>
  <si>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</si>
  <si>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</si>
  <si>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</si>
  <si>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</si>
  <si>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</si>
  <si>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</si>
  <si>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</si>
  <si>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</si>
  <si>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</si>
  <si>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</si>
  <si>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</si>
  <si>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</si>
  <si>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</si>
  <si>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</si>
  <si>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</si>
  <si>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</si>
  <si>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</si>
  <si>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</si>
  <si>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</si>
  <si>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</si>
  <si>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</si>
  <si>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</si>
  <si>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</si>
  <si>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</si>
  <si>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</si>
  <si>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</si>
  <si>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</si>
  <si>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</si>
  <si>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</si>
  <si>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</si>
  <si>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</si>
  <si>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</si>
  <si>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</si>
  <si>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</si>
  <si>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</si>
  <si>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</si>
  <si>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</si>
  <si>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</si>
  <si>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</si>
  <si>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</si>
  <si>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</si>
  <si>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</si>
  <si>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</si>
  <si>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</si>
  <si>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</si>
  <si>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</si>
  <si>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</si>
  <si>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</si>
  <si>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</si>
  <si>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</si>
  <si>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</si>
  <si>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</si>
  <si>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</si>
  <si>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</si>
  <si>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</si>
  <si>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</si>
  <si>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</si>
  <si>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</si>
  <si>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</si>
  <si>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</si>
  <si>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</si>
  <si>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</si>
  <si>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</si>
  <si>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</si>
  <si>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</si>
  <si>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</si>
  <si>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</si>
  <si>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</si>
  <si>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</si>
  <si>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</si>
  <si>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</si>
  <si>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</si>
  <si>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</si>
  <si>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</si>
  <si>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</si>
  <si>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</si>
  <si>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</si>
  <si>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</si>
  <si>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</si>
  <si>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</si>
  <si>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</si>
  <si>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</si>
  <si>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</si>
  <si>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</si>
  <si>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</si>
  <si>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</si>
  <si>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</si>
  <si>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</si>
  <si>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</si>
  <si>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</si>
  <si>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</si>
  <si>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</si>
  <si>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</si>
  <si>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</si>
  <si>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</si>
  <si>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</si>
  <si>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</si>
  <si>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</si>
  <si>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</si>
  <si>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</si>
  <si>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</si>
  <si>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</si>
  <si>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</si>
  <si>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</si>
  <si>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</si>
  <si>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</si>
  <si>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</si>
  <si>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</si>
  <si>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</si>
  <si>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</si>
  <si>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</si>
  <si>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</si>
  <si>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</si>
  <si>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</si>
  <si>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</si>
  <si>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</si>
  <si>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</si>
  <si>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</si>
  <si>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</si>
  <si>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</si>
  <si>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</si>
  <si>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</si>
  <si>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</si>
  <si>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</si>
  <si>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</si>
  <si>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</si>
  <si>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</si>
  <si>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</si>
  <si>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</si>
  <si>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</si>
  <si>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</si>
  <si>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</si>
  <si>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</si>
  <si>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</si>
  <si>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</si>
  <si>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</si>
  <si>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</si>
  <si>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</si>
  <si>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</si>
  <si>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</si>
  <si>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</si>
  <si>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</si>
  <si>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</si>
  <si>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</si>
  <si>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</si>
  <si>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</si>
  <si>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</si>
  <si>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</si>
  <si>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</si>
  <si>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</si>
  <si>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</si>
  <si>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</si>
  <si>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</si>
  <si>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</si>
  <si>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</si>
  <si>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</si>
  <si>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</si>
  <si>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</si>
  <si>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</si>
  <si>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</si>
  <si>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</si>
  <si>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</si>
  <si>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</si>
  <si>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</si>
  <si>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</si>
  <si>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</si>
  <si>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</si>
  <si>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</si>
  <si>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</si>
  <si>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</si>
  <si>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</si>
  <si>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</si>
  <si>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</si>
  <si>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</si>
  <si>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</si>
  <si>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</si>
  <si>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</si>
  <si>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</si>
  <si>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</si>
  <si>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</si>
  <si>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</si>
  <si>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</si>
  <si>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</si>
  <si>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</si>
  <si>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</si>
  <si>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</si>
  <si>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</si>
  <si>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</si>
  <si>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</si>
  <si>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</si>
  <si>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</si>
  <si>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</si>
  <si>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</si>
  <si>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</si>
  <si>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</si>
  <si>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</si>
  <si>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</si>
  <si>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</si>
  <si>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</si>
  <si>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</si>
  <si>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</si>
  <si>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</si>
  <si>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</si>
  <si>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</si>
  <si>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</si>
  <si>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</si>
  <si>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</si>
  <si>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</si>
  <si>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</si>
  <si>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</si>
  <si>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</si>
  <si>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</si>
  <si>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</si>
  <si>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</si>
  <si>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</si>
  <si>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</si>
  <si>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</si>
  <si>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</si>
  <si>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</si>
  <si>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</si>
  <si>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</si>
  <si>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</si>
  <si>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</si>
  <si>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</si>
  <si>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</si>
  <si>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</si>
  <si>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</si>
  <si>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</si>
  <si>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</si>
  <si>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</si>
  <si>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</si>
  <si>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</si>
  <si>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</si>
  <si>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</si>
  <si>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</si>
  <si>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</si>
  <si>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</si>
  <si>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</si>
  <si>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</si>
  <si>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</si>
  <si>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</si>
  <si>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</si>
  <si>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</si>
  <si>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</si>
  <si>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</si>
  <si>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</si>
  <si>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</si>
  <si>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</si>
  <si>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</si>
  <si>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</si>
  <si>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</si>
  <si>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</si>
  <si>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</si>
  <si>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</si>
  <si>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</si>
  <si>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</si>
  <si>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</si>
  <si>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</si>
  <si>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</si>
  <si>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</si>
  <si>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</si>
  <si>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</si>
  <si>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</si>
  <si>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</si>
  <si>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</si>
  <si>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</si>
  <si>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</si>
  <si>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</si>
  <si>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</si>
  <si>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</si>
  <si>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</si>
  <si>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</si>
  <si>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</si>
  <si>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</si>
  <si>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</si>
  <si>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</si>
  <si>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</si>
  <si>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</si>
  <si>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</si>
  <si>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</si>
  <si>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</si>
  <si>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</si>
  <si>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</si>
  <si>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</si>
  <si>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</si>
  <si>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</si>
  <si>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</si>
  <si>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</si>
  <si>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</si>
  <si>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</si>
  <si>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</si>
  <si>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</si>
  <si>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</si>
  <si>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</si>
  <si>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</si>
  <si>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</si>
  <si>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</si>
  <si>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</si>
  <si>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</si>
  <si>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</si>
  <si>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</si>
  <si>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</si>
  <si>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</si>
  <si>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</si>
  <si>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</si>
  <si>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</si>
  <si>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</si>
  <si>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</si>
  <si>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</si>
  <si>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</si>
  <si>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</si>
  <si>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</si>
  <si>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</si>
  <si>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</si>
  <si>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</si>
  <si>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</si>
  <si>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</si>
  <si>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</si>
  <si>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</si>
  <si>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</si>
  <si>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</si>
  <si>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</si>
  <si>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</si>
  <si>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</si>
  <si>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</si>
  <si>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</si>
  <si>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</si>
  <si>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</si>
  <si>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</si>
  <si>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</si>
  <si>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</si>
  <si>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</si>
  <si>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</si>
  <si>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</si>
  <si>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</si>
  <si>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</si>
  <si>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</si>
  <si>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</si>
  <si>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</si>
  <si>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</si>
  <si>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</si>
  <si>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</si>
  <si>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</si>
  <si>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</si>
  <si>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</si>
  <si>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</si>
  <si>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</si>
  <si>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</si>
  <si>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</si>
  <si>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</si>
  <si>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</si>
  <si>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</si>
  <si>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</si>
  <si>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</si>
  <si>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</si>
  <si>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</si>
  <si>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</si>
  <si>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</si>
  <si>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</si>
  <si>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</si>
  <si>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</si>
  <si>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</si>
  <si>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</si>
  <si>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</si>
  <si>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</si>
  <si>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</si>
  <si>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</si>
  <si>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</si>
  <si>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</si>
  <si>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</si>
  <si>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</si>
  <si>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</si>
  <si>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</si>
  <si>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</si>
  <si>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</si>
  <si>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</si>
  <si>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</si>
  <si>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</si>
  <si>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</si>
  <si>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</si>
  <si>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</si>
  <si>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</si>
  <si>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</si>
  <si>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</si>
  <si>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</si>
  <si>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</si>
  <si>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</si>
  <si>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</si>
  <si>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</si>
  <si>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</si>
  <si>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</si>
  <si>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</si>
  <si>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</si>
  <si>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</si>
  <si>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</si>
  <si>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</si>
  <si>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</si>
  <si>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</si>
  <si>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</si>
  <si>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</si>
  <si>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</si>
  <si>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</si>
  <si>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</si>
  <si>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</si>
  <si>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</si>
  <si>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</si>
  <si>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</si>
  <si>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</si>
  <si>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</si>
  <si>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</si>
  <si>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</si>
  <si>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</si>
  <si>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</si>
  <si>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</si>
  <si>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</si>
  <si>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</si>
  <si>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</si>
  <si>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</si>
  <si>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</si>
  <si>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</si>
  <si>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</si>
  <si>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</si>
  <si>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</si>
  <si>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</si>
  <si>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</si>
  <si>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</si>
  <si>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</si>
  <si>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</si>
  <si>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</si>
  <si>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</si>
  <si>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</si>
  <si>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</si>
  <si>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</si>
  <si>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</si>
  <si>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</si>
  <si>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</si>
  <si>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</si>
  <si>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</si>
  <si>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</si>
  <si>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</si>
  <si>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</si>
  <si>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</si>
  <si>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</si>
  <si>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</si>
  <si>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</si>
  <si>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</si>
  <si>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</si>
  <si>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</si>
  <si>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</si>
  <si>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</si>
  <si>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</si>
  <si>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</si>
  <si>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</si>
  <si>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</si>
  <si>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</si>
  <si>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</si>
  <si>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</si>
  <si>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</si>
  <si>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</si>
  <si>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</si>
  <si>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</si>
  <si>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</si>
  <si>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</si>
  <si>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</si>
  <si>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</si>
  <si>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</si>
  <si>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</si>
  <si>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</si>
  <si>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</si>
  <si>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</si>
  <si>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</si>
  <si>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</si>
  <si>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</si>
  <si>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</si>
  <si>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</si>
  <si>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</si>
  <si>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</si>
  <si>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</si>
  <si>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</si>
  <si>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</si>
  <si>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</si>
  <si>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</si>
  <si>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</si>
  <si>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</si>
  <si>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</si>
  <si>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</si>
  <si>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</si>
  <si>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</si>
  <si>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</si>
  <si>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</si>
  <si>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</si>
  <si>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</si>
  <si>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</si>
  <si>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</si>
  <si>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</si>
  <si>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</si>
  <si>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</si>
  <si>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</si>
  <si>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</si>
  <si>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</si>
  <si>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</si>
  <si>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</si>
  <si>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</si>
  <si>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</si>
  <si>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</si>
  <si>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</si>
  <si>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</si>
  <si>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</si>
  <si>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</si>
  <si>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</si>
  <si>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</si>
  <si>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</si>
  <si>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</si>
  <si>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</si>
  <si>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</si>
  <si>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</si>
  <si>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</si>
  <si>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</si>
  <si>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</si>
  <si>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</si>
  <si>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</si>
  <si>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</si>
  <si>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</si>
  <si>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</si>
  <si>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</si>
  <si>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</si>
  <si>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</si>
  <si>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</si>
  <si>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</si>
  <si>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</si>
  <si>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</si>
  <si>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</si>
  <si>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</si>
  <si>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</si>
  <si>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</si>
  <si>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</si>
  <si>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</si>
  <si>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</si>
  <si>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</si>
  <si>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</si>
  <si>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</si>
  <si>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</si>
  <si>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</si>
  <si>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</si>
  <si>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</si>
  <si>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</si>
  <si>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</si>
  <si>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</si>
  <si>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</si>
  <si>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</si>
  <si>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</si>
  <si>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</si>
  <si>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</si>
  <si>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</si>
  <si>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</si>
  <si>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</si>
  <si>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</si>
  <si>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</si>
  <si>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</si>
  <si>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</si>
  <si>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</si>
  <si>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</si>
  <si>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</si>
  <si>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</si>
  <si>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</si>
  <si>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</si>
  <si>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</si>
  <si>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</si>
  <si>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</si>
  <si>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</si>
  <si>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</si>
  <si>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</si>
  <si>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</si>
  <si>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</si>
  <si>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</si>
  <si>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</si>
  <si>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</si>
  <si>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</si>
  <si>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</si>
  <si>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</si>
  <si>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</si>
  <si>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</si>
  <si>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</si>
  <si>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</si>
  <si>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</si>
  <si>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</si>
  <si>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</si>
  <si>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</si>
  <si>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</si>
  <si>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</si>
  <si>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</si>
  <si>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</si>
  <si>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</si>
  <si>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</si>
  <si>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</si>
  <si>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</si>
  <si>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</si>
  <si>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</si>
  <si>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</si>
  <si>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</si>
  <si>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</si>
  <si>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</si>
  <si>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</si>
  <si>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</si>
  <si>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</si>
  <si>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</si>
  <si>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</si>
  <si>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</si>
  <si>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</si>
  <si>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</si>
  <si>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</si>
  <si>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</si>
  <si>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</si>
  <si>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</si>
  <si>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</si>
  <si>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</si>
  <si>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</si>
  <si>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</si>
  <si>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</si>
  <si>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</si>
  <si>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</si>
  <si>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</si>
  <si>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</si>
  <si>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</si>
  <si>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</si>
  <si>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</si>
  <si>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</si>
  <si>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</si>
  <si>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</si>
  <si>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</si>
  <si>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</si>
  <si>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</si>
  <si>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</si>
  <si>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</si>
  <si>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</si>
  <si>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</si>
  <si>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</si>
  <si>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</si>
  <si>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</si>
  <si>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</si>
  <si>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</si>
  <si>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</si>
  <si>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</si>
  <si>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</si>
  <si>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</si>
  <si>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</si>
  <si>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</si>
  <si>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</si>
  <si>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</si>
  <si>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</si>
  <si>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</si>
  <si>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</si>
  <si>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</si>
  <si>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</si>
  <si>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</si>
  <si>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</si>
  <si>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</si>
  <si>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</si>
  <si>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</si>
  <si>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</si>
  <si>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</si>
  <si>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</si>
  <si>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</si>
  <si>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</si>
  <si>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</si>
  <si>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</si>
  <si>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</si>
  <si>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</si>
  <si>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</si>
  <si>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</si>
  <si>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</si>
  <si>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</si>
  <si>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</si>
  <si>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</si>
  <si>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</si>
  <si>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</si>
  <si>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</si>
  <si>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</si>
  <si>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</si>
  <si>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</si>
  <si>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</si>
  <si>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</si>
  <si>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</si>
  <si>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</si>
  <si>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</si>
  <si>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</si>
  <si>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</si>
  <si>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</si>
  <si>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</si>
  <si>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</si>
  <si>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</si>
  <si>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</si>
  <si>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</si>
  <si>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</si>
  <si>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</si>
  <si>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</si>
  <si>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</si>
  <si>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</si>
  <si>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</si>
  <si>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</si>
  <si>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</si>
  <si>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</si>
  <si>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</si>
  <si>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</si>
  <si>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</si>
  <si>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</si>
  <si>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</si>
  <si>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</si>
  <si>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</si>
  <si>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</si>
  <si>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</si>
  <si>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</si>
  <si>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</si>
  <si>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</si>
  <si>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</si>
  <si>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</si>
  <si>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</si>
  <si>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</si>
  <si>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</si>
  <si>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</si>
  <si>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</si>
  <si>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</si>
  <si>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</si>
  <si>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</si>
  <si>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</si>
  <si>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</si>
  <si>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</si>
  <si>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</si>
  <si>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</si>
  <si>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</si>
  <si>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</si>
  <si>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</si>
  <si>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</si>
  <si>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</si>
  <si>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</si>
  <si>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</si>
  <si>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</si>
  <si>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</si>
  <si>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</si>
  <si>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</si>
  <si>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</si>
  <si>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</si>
  <si>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</si>
  <si>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</si>
  <si>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</si>
  <si>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</si>
  <si>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</si>
  <si>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</si>
  <si>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</si>
  <si>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</si>
  <si>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</si>
  <si>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</si>
  <si>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</si>
  <si>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</si>
  <si>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</si>
  <si>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</si>
  <si>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</si>
  <si>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</si>
  <si>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</si>
  <si>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</si>
  <si>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</si>
  <si>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</si>
  <si>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</si>
  <si>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</si>
  <si>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</si>
  <si>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</si>
  <si>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</si>
  <si>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</si>
  <si>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</si>
  <si>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</si>
  <si>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</si>
  <si>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</si>
  <si>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</si>
  <si>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</si>
  <si>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</si>
  <si>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</si>
  <si>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</si>
  <si>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</si>
  <si>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</si>
  <si>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</si>
  <si>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</si>
  <si>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</si>
  <si>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</si>
  <si>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</si>
  <si>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</si>
  <si>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</si>
  <si>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</si>
  <si>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</si>
  <si>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</si>
  <si>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</si>
  <si>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</si>
  <si>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</si>
  <si>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</si>
  <si>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</si>
  <si>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</si>
  <si>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</si>
  <si>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</si>
  <si>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</si>
  <si>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</si>
  <si>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</si>
  <si>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</si>
  <si>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</si>
  <si>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</si>
  <si>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</si>
  <si>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</si>
  <si>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</si>
  <si>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</si>
  <si>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</si>
  <si>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</si>
  <si>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</si>
  <si>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</si>
  <si>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</si>
  <si>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</si>
  <si>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</si>
  <si>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</si>
  <si>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</si>
  <si>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</si>
  <si>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</si>
  <si>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</si>
  <si>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</si>
  <si>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</si>
  <si>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</si>
  <si>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</si>
  <si>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</si>
  <si>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</si>
  <si>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</si>
  <si>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</si>
  <si>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</si>
  <si>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</si>
  <si>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</si>
  <si>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</si>
  <si>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</si>
  <si>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</si>
  <si>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</si>
  <si>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</si>
  <si>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</si>
  <si>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</si>
  <si>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</si>
  <si>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</si>
  <si>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</si>
  <si>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</si>
  <si>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</si>
  <si>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</si>
  <si>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</si>
  <si>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</si>
  <si>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</si>
  <si>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</si>
  <si>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</si>
  <si>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</si>
  <si>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</si>
  <si>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</si>
  <si>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</si>
  <si>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</si>
  <si>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</si>
  <si>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</si>
  <si>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</si>
  <si>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</si>
  <si>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</si>
  <si>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</si>
  <si>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</si>
  <si>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</si>
  <si>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</si>
  <si>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</si>
  <si>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</si>
  <si>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</si>
  <si>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</si>
  <si>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</si>
  <si>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</si>
  <si>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</si>
  <si>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</si>
  <si>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</si>
  <si>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</si>
  <si>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</si>
  <si>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</si>
  <si>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</si>
  <si>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</si>
  <si>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</si>
  <si>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</si>
  <si>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</si>
  <si>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</si>
  <si>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</si>
  <si>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</si>
  <si>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</si>
  <si>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</si>
  <si>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</si>
  <si>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</si>
  <si>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</si>
  <si>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</si>
  <si>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</si>
  <si>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</si>
  <si>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</si>
  <si>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</si>
  <si>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</si>
  <si>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</si>
  <si>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</si>
  <si>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</si>
  <si>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</si>
  <si>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</si>
  <si>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</si>
  <si>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</si>
  <si>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</si>
  <si>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</si>
  <si>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</si>
  <si>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</si>
  <si>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</si>
  <si>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</si>
  <si>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</si>
  <si>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</si>
  <si>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</si>
  <si>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</si>
  <si>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</si>
  <si>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</si>
  <si>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</si>
  <si>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</si>
  <si>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</si>
  <si>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</si>
  <si>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</si>
  <si>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</si>
  <si>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</si>
  <si>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</si>
  <si>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</si>
  <si>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</si>
  <si>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</si>
  <si>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</si>
  <si>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</si>
  <si>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</si>
  <si>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</si>
  <si>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</si>
  <si>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</si>
  <si>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</si>
  <si>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</si>
  <si>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</si>
  <si>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</si>
  <si>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</si>
  <si>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</si>
  <si>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</si>
  <si>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</si>
  <si>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</si>
  <si>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</si>
  <si>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</si>
  <si>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</si>
  <si>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</si>
  <si>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</si>
  <si>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</si>
  <si>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</si>
  <si>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</si>
  <si>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</si>
  <si>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</si>
  <si>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</si>
  <si>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</si>
  <si>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</si>
  <si>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</si>
  <si>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</si>
  <si>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</si>
  <si>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</si>
  <si>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</si>
  <si>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</si>
  <si>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</si>
  <si>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</si>
  <si>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</si>
  <si>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</si>
  <si>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</si>
  <si>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</si>
  <si>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</si>
  <si>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</si>
  <si>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</si>
  <si>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</si>
  <si>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</si>
  <si>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</si>
  <si>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</si>
  <si>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</si>
  <si>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</si>
  <si>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</si>
  <si>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</si>
  <si>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</si>
  <si>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</si>
  <si>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</si>
  <si>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</si>
  <si>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</si>
  <si>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</si>
  <si>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</si>
  <si>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</si>
  <si>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</si>
  <si>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</si>
  <si>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</si>
  <si>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</si>
  <si>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</si>
  <si>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</si>
  <si>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</si>
  <si>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</si>
  <si>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</si>
  <si>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</si>
  <si>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</si>
  <si>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</si>
  <si>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</si>
  <si>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</si>
  <si>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</si>
  <si>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</si>
  <si>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</si>
  <si>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</si>
  <si>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</si>
  <si>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</si>
  <si>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</si>
  <si>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</si>
  <si>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</si>
  <si>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</si>
  <si>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</si>
  <si>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</si>
  <si>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</si>
  <si>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</si>
  <si>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</si>
  <si>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</si>
  <si>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</si>
  <si>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</si>
  <si>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</si>
  <si>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</si>
  <si>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</si>
  <si>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</si>
  <si>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</si>
  <si>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</si>
  <si>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</si>
  <si>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</si>
  <si>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</si>
  <si>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</si>
  <si>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</si>
  <si>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</si>
  <si>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</si>
  <si>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</si>
  <si>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</si>
  <si>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</si>
  <si>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</si>
  <si>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</si>
  <si>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</si>
  <si>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</si>
  <si>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</si>
  <si>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</si>
  <si>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</si>
  <si>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</si>
  <si>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</si>
  <si>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</si>
  <si>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</si>
  <si>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</si>
  <si>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</si>
  <si>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</si>
  <si>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</si>
  <si>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</si>
  <si>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</si>
  <si>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</si>
  <si>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</si>
  <si>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</si>
  <si>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</si>
  <si>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</si>
  <si>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</si>
  <si>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</si>
  <si>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</si>
  <si>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</si>
  <si>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</si>
  <si>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</si>
  <si>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</si>
  <si>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</si>
  <si>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</si>
  <si>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</si>
  <si>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</si>
  <si>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</si>
  <si>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</si>
  <si>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</si>
  <si>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</si>
  <si>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</si>
  <si>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</si>
  <si>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</si>
  <si>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</si>
  <si>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</si>
  <si>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</si>
  <si>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</si>
  <si>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</si>
  <si>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</si>
  <si>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</si>
  <si>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</si>
  <si>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</si>
  <si>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</si>
  <si>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</si>
  <si>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</si>
  <si>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</si>
  <si>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</si>
  <si>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</si>
  <si>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</si>
  <si>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</si>
  <si>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</si>
  <si>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</si>
  <si>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</si>
  <si>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</si>
  <si>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</si>
  <si>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</si>
  <si>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</si>
  <si>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</si>
  <si>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</si>
  <si>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</si>
  <si>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</si>
  <si>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</si>
  <si>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</si>
  <si>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</si>
  <si>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</si>
  <si>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</si>
  <si>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</si>
  <si>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</si>
  <si>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</si>
  <si>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</si>
  <si>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</si>
  <si>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</si>
  <si>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</si>
  <si>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</si>
  <si>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</si>
  <si>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</si>
  <si>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</si>
  <si>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</si>
  <si>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</si>
  <si>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</si>
  <si>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</si>
  <si>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</si>
  <si>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</si>
  <si>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</si>
  <si>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</si>
  <si>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</si>
  <si>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</si>
  <si>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</si>
  <si>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</si>
  <si>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</si>
  <si>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</si>
  <si>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</si>
  <si>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</si>
  <si>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</si>
  <si>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</si>
  <si>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</si>
  <si>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</si>
  <si>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</si>
  <si>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</si>
  <si>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</si>
  <si>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</si>
  <si>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</si>
  <si>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</si>
  <si>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</si>
  <si>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</si>
  <si>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</si>
  <si>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</si>
  <si>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</si>
  <si>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</si>
  <si>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</si>
  <si>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</si>
  <si>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</si>
  <si>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</si>
  <si>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</si>
  <si>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</si>
  <si>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</si>
  <si>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</si>
  <si>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</si>
  <si>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</si>
  <si>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</si>
  <si>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</si>
  <si>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</si>
  <si>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</si>
  <si>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</si>
  <si>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</si>
  <si>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</si>
  <si>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</si>
  <si>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</si>
  <si>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</si>
  <si>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</si>
  <si>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</si>
  <si>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</si>
  <si>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</si>
  <si>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</si>
  <si>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</si>
  <si>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</si>
  <si>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</si>
  <si>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</si>
  <si>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</si>
  <si>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</si>
  <si>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</si>
  <si>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</si>
  <si>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</si>
  <si>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</si>
  <si>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</si>
  <si>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</si>
  <si>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</si>
  <si>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</si>
  <si>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</si>
  <si>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</si>
  <si>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</si>
  <si>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</si>
  <si>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</si>
  <si>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</si>
  <si>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</si>
  <si>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</si>
  <si>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</si>
  <si>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</si>
  <si>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</si>
  <si>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</si>
  <si>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</si>
  <si>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</si>
  <si>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</si>
  <si>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</si>
  <si>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</si>
  <si>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</si>
  <si>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</si>
  <si>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</si>
  <si>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</si>
  <si>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</si>
  <si>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</si>
  <si>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</si>
  <si>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</si>
  <si>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</si>
  <si>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</si>
  <si>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</si>
  <si>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</si>
  <si>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</si>
  <si>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</si>
  <si>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</si>
  <si>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</si>
  <si>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</si>
  <si>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</si>
  <si>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</si>
  <si>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</si>
  <si>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</si>
  <si>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</si>
  <si>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</si>
  <si>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</si>
  <si>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</si>
  <si>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</si>
  <si>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</si>
  <si>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</si>
  <si>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</si>
  <si>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</si>
  <si>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</si>
  <si>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</si>
  <si>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</si>
  <si>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</si>
  <si>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</si>
  <si>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</si>
  <si>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</si>
  <si>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</si>
  <si>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</si>
  <si>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</si>
  <si>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</si>
  <si>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</si>
  <si>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</si>
  <si>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</si>
  <si>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</si>
  <si>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</si>
  <si>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</si>
  <si>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</si>
  <si>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</si>
  <si>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</si>
  <si>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</si>
  <si>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</si>
  <si>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</si>
  <si>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</si>
  <si>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</si>
  <si>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</si>
  <si>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</si>
  <si>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</si>
  <si>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</si>
  <si>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</si>
  <si>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</si>
  <si>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</si>
  <si>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</si>
  <si>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</si>
  <si>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</si>
  <si>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</si>
  <si>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</si>
  <si>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</si>
  <si>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</si>
  <si>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</si>
  <si>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</si>
  <si>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</si>
  <si>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</si>
  <si>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</si>
  <si>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</si>
  <si>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</si>
  <si>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</si>
  <si>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</si>
  <si>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</si>
  <si>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</si>
  <si>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</si>
  <si>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</si>
  <si>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</si>
  <si>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</si>
  <si>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</si>
  <si>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</si>
  <si>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</si>
  <si>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</si>
  <si>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</si>
  <si>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</si>
  <si>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</si>
  <si>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</si>
  <si>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</si>
  <si>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</si>
  <si>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</si>
  <si>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</si>
  <si>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</si>
  <si>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</si>
  <si>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</si>
  <si>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</si>
  <si>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</si>
  <si>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</si>
  <si>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</si>
  <si>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</si>
  <si>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</si>
  <si>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</si>
  <si>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</si>
  <si>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</si>
  <si>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</si>
  <si>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</si>
  <si>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</si>
  <si>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</si>
  <si>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</si>
  <si>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</si>
  <si>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</si>
  <si>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</si>
  <si>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</si>
  <si>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</si>
  <si>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</si>
  <si>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</si>
  <si>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</si>
  <si>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</si>
  <si>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</si>
  <si>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</si>
  <si>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</si>
  <si>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</si>
  <si>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</si>
  <si>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</si>
  <si>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</si>
  <si>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</si>
  <si>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</si>
  <si>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</si>
  <si>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</si>
  <si>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</si>
  <si>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</si>
  <si>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</si>
  <si>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</si>
  <si>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</si>
  <si>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</si>
  <si>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</si>
  <si>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</si>
  <si>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</si>
  <si>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</si>
  <si>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</si>
  <si>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</si>
  <si>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</si>
  <si>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</si>
  <si>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</si>
  <si>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</si>
  <si>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</si>
  <si>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</si>
  <si>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</si>
  <si>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</si>
  <si>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</si>
  <si>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</si>
  <si>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</si>
  <si>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</si>
  <si>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</si>
  <si>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</si>
  <si>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</si>
  <si>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</si>
  <si>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</si>
  <si>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</si>
  <si>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</si>
  <si>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</si>
  <si>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</si>
  <si>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</si>
  <si>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</si>
  <si>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</si>
  <si>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</si>
  <si>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</si>
  <si>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</si>
  <si>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</si>
  <si>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</si>
  <si>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</si>
  <si>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</si>
  <si>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</si>
  <si>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</si>
  <si>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</si>
  <si>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</si>
  <si>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</si>
  <si>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</si>
  <si>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</si>
  <si>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</si>
  <si>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</si>
  <si>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</si>
  <si>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</si>
  <si>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</si>
  <si>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</si>
  <si>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</si>
  <si>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</si>
  <si>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</si>
  <si>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</si>
  <si>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</si>
  <si>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</si>
  <si>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</si>
  <si>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</si>
  <si>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</si>
  <si>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</si>
  <si>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</si>
  <si>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</si>
  <si>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</si>
  <si>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</si>
  <si>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</si>
  <si>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</si>
  <si>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</si>
  <si>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</si>
  <si>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</si>
  <si>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</si>
  <si>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</si>
  <si>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</si>
  <si>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</si>
  <si>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</si>
  <si>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</si>
  <si>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</si>
  <si>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</si>
  <si>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</si>
  <si>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</si>
  <si>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</si>
  <si>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</si>
  <si>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</si>
  <si>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</si>
  <si>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</si>
  <si>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</si>
  <si>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</si>
  <si>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</si>
  <si>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</si>
  <si>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</si>
  <si>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</si>
  <si>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</si>
  <si>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</si>
  <si>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</si>
  <si>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</si>
  <si>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</si>
  <si>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</si>
  <si>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</si>
  <si>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</si>
  <si>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</si>
  <si>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</si>
  <si>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</si>
  <si>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</si>
  <si>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</si>
  <si>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</si>
  <si>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</si>
  <si>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</si>
  <si>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</si>
  <si>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</si>
  <si>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</si>
  <si>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</si>
  <si>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</si>
  <si>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</si>
  <si>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</si>
  <si>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</si>
  <si>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</si>
  <si>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</si>
  <si>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</si>
  <si>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</si>
  <si>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</si>
  <si>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</si>
  <si>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</si>
  <si>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</si>
  <si>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</si>
  <si>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</si>
  <si>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</si>
  <si>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</si>
  <si>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</si>
  <si>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</si>
  <si>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</si>
  <si>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</si>
  <si>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</si>
  <si>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</si>
  <si>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</si>
  <si>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</si>
  <si>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</si>
  <si>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</si>
  <si>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</si>
  <si>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</si>
  <si>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</si>
  <si>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</si>
  <si>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</si>
  <si>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</si>
  <si>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</si>
  <si>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</si>
  <si>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</si>
  <si>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</si>
  <si>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</si>
  <si>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</si>
  <si>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</si>
  <si>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</si>
  <si>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</si>
  <si>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</si>
  <si>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</si>
  <si>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</si>
  <si>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</si>
  <si>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</si>
  <si>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</si>
  <si>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</si>
  <si>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</si>
  <si>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</si>
  <si>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</si>
  <si>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</si>
  <si>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</si>
  <si>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</si>
  <si>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</si>
  <si>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</si>
  <si>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</si>
  <si>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</si>
  <si>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</si>
  <si>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</si>
  <si>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</si>
  <si>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</si>
  <si>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</si>
  <si>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</si>
  <si>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</si>
  <si>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</si>
  <si>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</si>
  <si>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</si>
  <si>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</si>
  <si>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</si>
  <si>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</si>
  <si>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</si>
  <si>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</si>
  <si>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</si>
  <si>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</si>
  <si>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</si>
  <si>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</si>
  <si>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</si>
  <si>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</si>
  <si>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</si>
  <si>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</si>
  <si>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</si>
  <si>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</si>
  <si>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</si>
  <si>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</si>
  <si>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</si>
  <si>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</si>
  <si>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</si>
  <si>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</si>
  <si>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</si>
  <si>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</si>
  <si>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</si>
  <si>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</si>
  <si>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</si>
  <si>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</si>
  <si>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</si>
  <si>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</si>
  <si>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</si>
  <si>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</si>
  <si>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</si>
  <si>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</si>
  <si>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</si>
  <si>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</si>
  <si>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</si>
  <si>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</si>
  <si>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</si>
  <si>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</si>
  <si>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</si>
  <si>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</si>
  <si>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</si>
  <si>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</si>
  <si>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</si>
  <si>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</si>
  <si>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</si>
  <si>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</si>
  <si>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</si>
  <si>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</si>
  <si>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</si>
  <si>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</si>
  <si>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</si>
  <si>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</si>
  <si>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</si>
  <si>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</si>
  <si>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</si>
  <si>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</si>
  <si>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</si>
  <si>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</si>
  <si>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</si>
  <si>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</si>
  <si>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</si>
  <si>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</si>
  <si>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</si>
  <si>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</si>
  <si>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</si>
  <si>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</si>
  <si>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</si>
  <si>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</si>
  <si>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</si>
  <si>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</si>
  <si>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</si>
  <si>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</si>
  <si>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</si>
  <si>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</si>
  <si>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</si>
  <si>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</si>
  <si>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</si>
  <si>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</si>
  <si>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</si>
  <si>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</si>
  <si>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</si>
  <si>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</si>
  <si>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</si>
  <si>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</si>
  <si>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</si>
  <si>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</si>
  <si>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</si>
  <si>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</si>
  <si>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</si>
  <si>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</si>
  <si>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</si>
  <si>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</si>
  <si>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</si>
  <si>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</si>
  <si>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</si>
  <si>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</si>
  <si>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</si>
  <si>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</si>
  <si>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</si>
  <si>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</si>
  <si>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</si>
  <si>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</si>
  <si>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</si>
  <si>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</si>
  <si>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</si>
  <si>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</si>
  <si>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</si>
  <si>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</si>
  <si>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</si>
  <si>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</si>
  <si>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</si>
  <si>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</si>
  <si>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</si>
  <si>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</si>
  <si>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</si>
  <si>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</si>
  <si>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</si>
  <si>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</si>
  <si>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</si>
  <si>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</si>
  <si>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</si>
  <si>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</si>
  <si>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</si>
  <si>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</si>
  <si>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</si>
  <si>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</si>
  <si>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</si>
  <si>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</si>
  <si>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</si>
  <si>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</si>
  <si>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</si>
  <si>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</si>
  <si>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</si>
  <si>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</si>
  <si>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</si>
  <si>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</si>
  <si>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</si>
  <si>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</si>
  <si>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</si>
  <si>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</si>
  <si>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</si>
  <si>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</si>
  <si>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</si>
  <si>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</si>
  <si>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</si>
  <si>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</si>
  <si>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</si>
  <si>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</si>
  <si>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</si>
  <si>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</si>
  <si>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</si>
  <si>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</si>
  <si>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</si>
  <si>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</si>
  <si>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</si>
  <si>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</si>
  <si>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</si>
  <si>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</si>
  <si>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</si>
  <si>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</si>
  <si>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</si>
  <si>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</si>
  <si>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</si>
  <si>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</si>
  <si>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</si>
  <si>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</si>
  <si>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</si>
  <si>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</si>
  <si>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</si>
  <si>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</si>
  <si>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</si>
  <si>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</si>
  <si>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</si>
  <si>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</si>
  <si>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</si>
  <si>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</si>
  <si>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</si>
  <si>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</si>
  <si>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</si>
  <si>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</si>
  <si>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</si>
  <si>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</si>
  <si>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</si>
  <si>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</si>
  <si>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</si>
  <si>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</si>
  <si>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</si>
  <si>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</si>
  <si>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</si>
  <si>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</si>
  <si>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</si>
  <si>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</si>
  <si>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</si>
  <si>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</si>
  <si>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</si>
  <si>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</si>
  <si>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</si>
  <si>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</si>
  <si>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</si>
  <si>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</si>
  <si>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</si>
  <si>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</si>
  <si>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</si>
  <si>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</si>
  <si>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</si>
  <si>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</si>
  <si>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</si>
  <si>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</si>
  <si>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</si>
  <si>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</si>
  <si>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</si>
  <si>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</si>
  <si>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</si>
  <si>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</si>
  <si>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</si>
  <si>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</si>
  <si>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</si>
  <si>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</si>
  <si>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</si>
  <si>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</si>
  <si>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</si>
  <si>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</si>
  <si>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</si>
  <si>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</si>
  <si>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</si>
  <si>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</si>
  <si>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</si>
  <si>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</si>
  <si>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</si>
  <si>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</si>
  <si>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</si>
  <si>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</si>
  <si>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</si>
  <si>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</si>
  <si>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</si>
  <si>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</si>
  <si>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</si>
  <si>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</si>
  <si>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</si>
  <si>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</si>
  <si>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</si>
  <si>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</si>
  <si>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</si>
  <si>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</si>
  <si>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</si>
  <si>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</si>
  <si>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</si>
  <si>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</si>
  <si>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</si>
  <si>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</si>
  <si>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</si>
  <si>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</si>
  <si>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</si>
  <si>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</si>
  <si>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</si>
  <si>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</si>
  <si>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</si>
  <si>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</si>
  <si>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</si>
  <si>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</si>
  <si>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</si>
  <si>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</si>
  <si>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</si>
  <si>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</si>
  <si>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</si>
  <si>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</si>
  <si>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</si>
  <si>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</si>
  <si>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</si>
  <si>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</si>
  <si>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</si>
  <si>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</si>
  <si>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</si>
  <si>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</si>
  <si>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</si>
  <si>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</si>
  <si>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</si>
  <si>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</si>
  <si>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</si>
  <si>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</si>
  <si>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</si>
  <si>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</si>
  <si>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</si>
  <si>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</si>
  <si>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</si>
  <si>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</si>
  <si>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</si>
  <si>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</si>
  <si>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</si>
  <si>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</si>
  <si>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</si>
  <si>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</si>
  <si>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</si>
  <si>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</si>
  <si>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</si>
  <si>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</si>
  <si>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</si>
  <si>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</si>
  <si>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</si>
  <si>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</si>
  <si>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</si>
  <si>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</si>
  <si>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</si>
  <si>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</si>
  <si>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</si>
  <si>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</si>
  <si>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</si>
  <si>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</si>
  <si>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</si>
  <si>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</si>
  <si>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</si>
  <si>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</si>
  <si>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</si>
  <si>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</si>
  <si>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</si>
  <si>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</si>
  <si>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</si>
  <si>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</si>
  <si>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</si>
  <si>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</si>
  <si>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</si>
  <si>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</si>
  <si>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</si>
  <si>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</si>
  <si>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</si>
  <si>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</si>
  <si>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</si>
  <si>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</si>
  <si>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</si>
  <si>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</si>
  <si>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</si>
  <si>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</si>
  <si>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</si>
  <si>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</si>
  <si>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</si>
  <si>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</si>
  <si>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</si>
  <si>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</si>
  <si>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</si>
  <si>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</si>
  <si>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</si>
  <si>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</si>
  <si>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</si>
  <si>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</si>
  <si>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</si>
  <si>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</si>
  <si>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</si>
  <si>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</si>
  <si>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</si>
  <si>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</si>
  <si>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</si>
  <si>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</si>
  <si>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</si>
  <si>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</si>
  <si>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</si>
  <si>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</si>
  <si>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</si>
  <si>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</si>
  <si>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</si>
  <si>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</si>
  <si>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</si>
  <si>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</si>
  <si>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</si>
  <si>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</si>
  <si>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</si>
  <si>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</si>
  <si>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</si>
  <si>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</si>
  <si>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</si>
  <si>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</si>
  <si>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</si>
  <si>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</si>
  <si>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</si>
  <si>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</si>
  <si>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</si>
  <si>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</si>
  <si>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</si>
  <si>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</si>
  <si>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</si>
  <si>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</si>
  <si>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</si>
  <si>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</si>
  <si>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</si>
  <si>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</si>
  <si>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</si>
  <si>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</si>
  <si>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</si>
  <si>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</si>
  <si>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</si>
  <si>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</si>
  <si>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</si>
  <si>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</si>
  <si>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</si>
  <si>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</si>
  <si>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</si>
  <si>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</si>
  <si>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</si>
  <si>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</si>
  <si>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</si>
  <si>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</si>
  <si>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</si>
  <si>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</si>
  <si>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</si>
  <si>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</si>
  <si>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</si>
  <si>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</si>
  <si>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</si>
  <si>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</si>
  <si>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</si>
  <si>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</si>
  <si>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</si>
  <si>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</si>
  <si>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</si>
  <si>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</si>
  <si>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</si>
  <si>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</si>
  <si>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</si>
  <si>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</si>
  <si>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</si>
  <si>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</si>
  <si>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</si>
  <si>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</si>
  <si>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</si>
  <si>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</si>
  <si>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</si>
  <si>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</si>
  <si>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</si>
  <si>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</si>
  <si>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</si>
  <si>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</si>
  <si>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</si>
  <si>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</si>
  <si>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</si>
  <si>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</si>
  <si>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</si>
  <si>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</si>
  <si>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</si>
  <si>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</si>
  <si>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</si>
  <si>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</si>
  <si>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</si>
  <si>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</si>
  <si>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</si>
  <si>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</si>
  <si>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</si>
  <si>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</si>
  <si>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</si>
  <si>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</si>
  <si>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</si>
  <si>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</si>
  <si>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</si>
  <si>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</si>
  <si>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</si>
  <si>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</si>
  <si>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</si>
  <si>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</si>
  <si>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</si>
  <si>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</si>
  <si>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</si>
  <si>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</si>
  <si>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</si>
  <si>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</si>
  <si>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</si>
  <si>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</si>
  <si>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</si>
  <si>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</si>
  <si>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</si>
  <si>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</si>
  <si>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</si>
  <si>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</si>
  <si>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</si>
  <si>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</si>
  <si>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</si>
  <si>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</si>
  <si>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</si>
  <si>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</si>
  <si>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</si>
  <si>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</si>
  <si>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</si>
  <si>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</si>
  <si>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</si>
  <si>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</si>
  <si>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</si>
  <si>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</si>
  <si>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</si>
  <si>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</si>
  <si>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</si>
  <si>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</si>
  <si>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</si>
  <si>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</si>
  <si>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</si>
  <si>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</si>
  <si>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</si>
  <si>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</si>
  <si>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</si>
  <si>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</si>
  <si>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</si>
  <si>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</si>
  <si>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</si>
  <si>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</si>
  <si>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</si>
  <si>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</si>
  <si>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</si>
  <si>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</si>
  <si>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</si>
  <si>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</si>
  <si>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</si>
  <si>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</si>
  <si>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</si>
  <si>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</si>
  <si>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</si>
  <si>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</si>
  <si>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</si>
  <si>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</si>
  <si>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</si>
  <si>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</si>
  <si>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</si>
  <si>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</si>
  <si>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</si>
  <si>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</si>
  <si>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</si>
  <si>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</si>
  <si>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</si>
  <si>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</si>
  <si>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</si>
  <si>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</si>
  <si>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</si>
  <si>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</si>
  <si>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</si>
  <si>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</si>
  <si>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</si>
  <si>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</si>
  <si>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</si>
  <si>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</si>
  <si>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</si>
  <si>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</si>
  <si>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</si>
  <si>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</si>
  <si>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</si>
  <si>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</si>
  <si>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</si>
  <si>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</si>
  <si>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</si>
  <si>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</si>
  <si>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</si>
  <si>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</si>
  <si>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</si>
  <si>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</si>
  <si>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</si>
  <si>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</si>
  <si>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</si>
  <si>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</si>
  <si>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</si>
  <si>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</si>
  <si>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</si>
  <si>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</si>
  <si>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</si>
  <si>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</si>
  <si>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</si>
  <si>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</si>
  <si>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</si>
  <si>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</si>
  <si>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</si>
  <si>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</si>
  <si>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</si>
  <si>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</si>
  <si>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</si>
  <si>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</si>
  <si>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</si>
  <si>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</si>
  <si>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</si>
  <si>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</si>
  <si>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</si>
  <si>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</si>
  <si>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</si>
  <si>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</si>
  <si>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</si>
  <si>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</si>
  <si>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</si>
  <si>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</si>
  <si>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</si>
  <si>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</si>
  <si>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</si>
  <si>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</si>
  <si>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</si>
  <si>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</si>
  <si>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</si>
  <si>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</si>
  <si>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</si>
  <si>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</si>
  <si>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</si>
  <si>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</si>
  <si>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</si>
  <si>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</si>
  <si>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</si>
  <si>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</si>
  <si>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</si>
  <si>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</si>
  <si>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</si>
  <si>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</si>
  <si>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</si>
  <si>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</si>
  <si>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</si>
  <si>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</si>
  <si>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</si>
  <si>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</si>
  <si>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</si>
  <si>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</si>
  <si>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</si>
  <si>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</si>
  <si>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</si>
  <si>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</si>
  <si>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</si>
  <si>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</si>
  <si>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</si>
  <si>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</si>
  <si>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</si>
  <si>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</si>
  <si>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</si>
  <si>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</si>
  <si>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</si>
  <si>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</si>
  <si>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</si>
  <si>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</si>
  <si>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</si>
  <si>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</si>
  <si>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</si>
  <si>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</si>
  <si>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</si>
  <si>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</si>
  <si>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</si>
  <si>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</si>
  <si>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</si>
  <si>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</si>
  <si>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</si>
  <si>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</si>
  <si>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</si>
  <si>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</si>
  <si>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</si>
  <si>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</si>
  <si>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</si>
  <si>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</si>
  <si>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</si>
  <si>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</si>
  <si>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</si>
  <si>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</si>
  <si>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</si>
  <si>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</si>
  <si>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</si>
  <si>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</si>
  <si>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</si>
  <si>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</si>
  <si>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</si>
  <si>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</si>
  <si>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</si>
  <si>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</si>
  <si>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</si>
  <si>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</si>
  <si>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</si>
  <si>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</si>
  <si>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</si>
  <si>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</si>
  <si>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</si>
  <si>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</si>
  <si>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</si>
  <si>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</si>
  <si>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</si>
  <si>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</si>
  <si>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</si>
  <si>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</si>
  <si>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</si>
  <si>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</si>
  <si>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</si>
  <si>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</si>
  <si>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</si>
  <si>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</si>
  <si>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</si>
  <si>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</si>
  <si>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</si>
  <si>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</si>
  <si>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</si>
  <si>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</si>
  <si>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</si>
  <si>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</si>
  <si>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</si>
  <si>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</si>
  <si>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</si>
  <si>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</si>
  <si>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</si>
  <si>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</si>
  <si>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</si>
  <si>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</si>
  <si>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</si>
  <si>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</si>
  <si>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</si>
  <si>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</si>
  <si>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</si>
  <si>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</si>
  <si>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</si>
  <si>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</si>
  <si>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</si>
  <si>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</si>
  <si>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</si>
  <si>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</si>
  <si>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</si>
  <si>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</si>
  <si>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</si>
  <si>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</si>
  <si>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</si>
  <si>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</si>
  <si>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</si>
  <si>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</si>
  <si>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</si>
  <si>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</si>
  <si>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</si>
  <si>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</si>
  <si>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</si>
  <si>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</si>
  <si>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</si>
  <si>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</si>
  <si>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</si>
  <si>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</si>
  <si>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</si>
  <si>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</si>
  <si>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</si>
  <si>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</si>
  <si>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</si>
  <si>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</si>
  <si>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</si>
  <si>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</si>
  <si>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</si>
  <si>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</si>
  <si>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</si>
  <si>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</si>
  <si>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</si>
  <si>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</si>
  <si>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</si>
  <si>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</si>
  <si>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</si>
  <si>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</si>
  <si>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</si>
  <si>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</si>
  <si>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</si>
  <si>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</si>
  <si>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</si>
  <si>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</si>
  <si>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</si>
  <si>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</si>
  <si>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</si>
  <si>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</si>
  <si>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</si>
  <si>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</si>
  <si>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</si>
  <si>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</si>
  <si>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</si>
  <si>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</si>
  <si>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</si>
  <si>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</si>
  <si>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</si>
  <si>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</si>
  <si>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</si>
  <si>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</si>
  <si>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</si>
  <si>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</si>
  <si>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</si>
  <si>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</si>
  <si>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</si>
  <si>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</si>
  <si>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</si>
  <si>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</si>
  <si>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</si>
  <si>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</si>
  <si>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</si>
  <si>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</si>
  <si>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</si>
  <si>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</si>
  <si>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</si>
  <si>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</si>
  <si>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</si>
  <si>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</si>
  <si>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</si>
  <si>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</si>
  <si>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</si>
  <si>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</si>
  <si>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</si>
  <si>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</si>
  <si>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</si>
  <si>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</si>
  <si>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</si>
  <si>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</si>
  <si>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</si>
  <si>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</si>
  <si>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</si>
  <si>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</si>
  <si>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</si>
  <si>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</si>
  <si>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</si>
  <si>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</si>
  <si>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</si>
  <si>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</si>
  <si>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</si>
  <si>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</si>
  <si>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</si>
  <si>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</si>
  <si>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</si>
  <si>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</si>
  <si>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</si>
  <si>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</si>
  <si>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</si>
  <si>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</si>
  <si>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</si>
  <si>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</si>
  <si>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</si>
  <si>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</si>
  <si>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</si>
  <si>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</si>
  <si>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</si>
  <si>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</si>
  <si>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</si>
  <si>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</si>
  <si>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</si>
  <si>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</si>
  <si>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</si>
  <si>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</si>
  <si>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</si>
  <si>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</si>
  <si>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</si>
  <si>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</si>
  <si>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</si>
  <si>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</si>
  <si>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</si>
  <si>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</si>
  <si>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</si>
  <si>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</si>
  <si>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</si>
  <si>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</si>
  <si>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</si>
  <si>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</si>
  <si>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</si>
  <si>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</si>
  <si>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</si>
  <si>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</si>
  <si>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</si>
  <si>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</si>
  <si>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</si>
  <si>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</si>
  <si>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</si>
  <si>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</si>
  <si>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</si>
  <si>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</si>
  <si>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</si>
  <si>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</si>
  <si>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</si>
  <si>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</si>
  <si>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</si>
  <si>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</si>
  <si>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</si>
  <si>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</si>
  <si>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</si>
  <si>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</si>
  <si>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</si>
  <si>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</si>
  <si>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</si>
  <si>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</si>
  <si>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</si>
  <si>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</si>
  <si>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</si>
  <si>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</si>
  <si>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</si>
  <si>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</si>
  <si>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</si>
  <si>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</si>
  <si>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</si>
  <si>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</si>
  <si>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</si>
  <si>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</si>
  <si>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</si>
  <si>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</si>
  <si>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</si>
  <si>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</si>
  <si>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</si>
  <si>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</si>
  <si>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</si>
  <si>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</si>
  <si>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</si>
  <si>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</si>
  <si>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</si>
  <si>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</si>
  <si>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</si>
  <si>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</si>
  <si>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</si>
  <si>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</si>
  <si>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</si>
  <si>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</si>
  <si>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</si>
  <si>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</si>
  <si>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</si>
  <si>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</si>
  <si>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</si>
  <si>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</si>
  <si>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</si>
  <si>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</si>
  <si>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</si>
  <si>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</si>
  <si>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</si>
  <si>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</si>
  <si>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</si>
  <si>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</si>
  <si>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</si>
  <si>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</si>
  <si>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</si>
  <si>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</si>
  <si>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</si>
  <si>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</si>
  <si>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</si>
  <si>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</si>
  <si>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</si>
  <si>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</si>
  <si>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</si>
  <si>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</si>
  <si>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</si>
  <si>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</si>
  <si>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</si>
  <si>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</si>
  <si>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</si>
  <si>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</si>
  <si>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</si>
  <si>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</si>
  <si>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</si>
  <si>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</si>
  <si>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</si>
  <si>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</si>
  <si>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</si>
  <si>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</si>
  <si>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</si>
  <si>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</si>
  <si>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</si>
  <si>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</si>
  <si>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</si>
  <si>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</si>
  <si>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</si>
  <si>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</si>
  <si>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</si>
  <si>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</si>
  <si>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</si>
  <si>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</si>
  <si>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</si>
  <si>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</si>
  <si>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</si>
  <si>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</si>
  <si>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</si>
  <si>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</si>
  <si>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</si>
  <si>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</si>
  <si>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</si>
  <si>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</si>
  <si>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</si>
  <si>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</si>
  <si>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</si>
  <si>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</si>
  <si>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</si>
  <si>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</si>
  <si>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</si>
  <si>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</si>
  <si>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</si>
  <si>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</si>
  <si>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</si>
  <si>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</si>
  <si>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</si>
  <si>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</si>
  <si>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</si>
  <si>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</si>
  <si>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</si>
  <si>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</si>
  <si>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</si>
  <si>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</si>
  <si>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</si>
  <si>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</si>
  <si>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</si>
  <si>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</si>
  <si>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</si>
  <si>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</si>
  <si>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</si>
  <si>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</si>
  <si>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</si>
  <si>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</si>
  <si>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</si>
  <si>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</si>
  <si>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</si>
  <si>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</si>
  <si>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</si>
  <si>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</si>
  <si>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</si>
  <si>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</si>
  <si>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</si>
  <si>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</si>
  <si>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</si>
  <si>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</si>
  <si>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</si>
  <si>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</si>
  <si>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</si>
  <si>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</si>
  <si>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</si>
  <si>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</si>
  <si>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</si>
  <si>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</si>
  <si>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</si>
  <si>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</si>
  <si>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</si>
  <si>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</si>
  <si>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</si>
  <si>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</si>
  <si>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</si>
  <si>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</si>
  <si>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</si>
  <si>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</si>
  <si>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</si>
  <si>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</si>
  <si>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</si>
  <si>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</si>
  <si>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</si>
  <si>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</si>
  <si>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</si>
  <si>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</si>
  <si>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</si>
  <si>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</si>
  <si>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</si>
  <si>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</si>
  <si>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</si>
  <si>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</si>
  <si>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</si>
  <si>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</si>
  <si>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</si>
  <si>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</si>
  <si>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</si>
  <si>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</si>
  <si>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</si>
  <si>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</si>
  <si>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</si>
  <si>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</si>
  <si>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</si>
  <si>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</si>
  <si>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</si>
  <si>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</si>
  <si>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</si>
  <si>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</si>
  <si>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</si>
  <si>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</si>
  <si>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</si>
  <si>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</si>
  <si>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</si>
  <si>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</si>
  <si>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</si>
  <si>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</si>
  <si>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</si>
  <si>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</si>
  <si>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</si>
  <si>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</si>
  <si>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</si>
  <si>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</si>
  <si>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</si>
  <si>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</si>
  <si>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</si>
  <si>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</si>
  <si>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</si>
  <si>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</si>
  <si>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</si>
  <si>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</si>
  <si>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</si>
  <si>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</si>
  <si>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</si>
  <si>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</si>
  <si>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</si>
  <si>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</si>
  <si>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</si>
  <si>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</si>
  <si>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</si>
  <si>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</si>
  <si>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</si>
  <si>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</si>
  <si>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</si>
  <si>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</si>
  <si>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</si>
  <si>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</si>
  <si>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</si>
  <si>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</si>
  <si>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</si>
  <si>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</si>
  <si>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</si>
  <si>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</si>
  <si>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</si>
  <si>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</si>
  <si>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</si>
  <si>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</si>
  <si>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</si>
  <si>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</si>
  <si>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</si>
  <si>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</si>
  <si>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</si>
  <si>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</si>
  <si>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</si>
  <si>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</si>
  <si>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</si>
  <si>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</si>
  <si>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</si>
  <si>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</si>
  <si>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</si>
  <si>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</si>
  <si>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</si>
  <si>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</si>
  <si>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</si>
  <si>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</si>
  <si>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</si>
  <si>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</si>
  <si>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</si>
  <si>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</si>
  <si>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</si>
  <si>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</si>
  <si>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</si>
  <si>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</si>
  <si>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</si>
  <si>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</si>
  <si>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</si>
  <si>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</si>
  <si>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</si>
  <si>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</si>
  <si>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</si>
  <si>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</si>
  <si>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</si>
  <si>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</si>
  <si>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</si>
  <si>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</si>
  <si>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</si>
  <si>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</si>
  <si>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</si>
  <si>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</si>
  <si>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</si>
  <si>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</si>
  <si>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</si>
  <si>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</si>
  <si>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</si>
  <si>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</si>
  <si>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</si>
  <si>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</si>
  <si>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</si>
  <si>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</si>
  <si>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</si>
  <si>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</si>
  <si>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</si>
  <si>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</si>
  <si>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</si>
  <si>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</si>
  <si>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</si>
  <si>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</si>
  <si>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</si>
  <si>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</si>
  <si>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</si>
  <si>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</si>
  <si>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</si>
  <si>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</si>
  <si>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</si>
  <si>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</si>
  <si>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</si>
  <si>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</si>
  <si>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</si>
  <si>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</si>
  <si>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</si>
  <si>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</si>
  <si>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</si>
  <si>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</si>
  <si>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</si>
  <si>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</si>
  <si>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</si>
  <si>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</si>
  <si>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</si>
  <si>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</si>
  <si>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</si>
  <si>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</si>
  <si>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</si>
  <si>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</si>
  <si>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</si>
  <si>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</si>
  <si>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</si>
  <si>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</si>
  <si>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</si>
  <si>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</si>
  <si>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</si>
  <si>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</si>
  <si>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</si>
  <si>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</si>
  <si>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</si>
  <si>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</si>
  <si>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</si>
  <si>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</si>
  <si>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</si>
  <si>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</si>
  <si>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</si>
  <si>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</si>
  <si>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</si>
  <si>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</si>
  <si>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</si>
  <si>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</si>
  <si>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</si>
  <si>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</si>
  <si>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</si>
  <si>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</si>
  <si>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</si>
  <si>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</si>
  <si>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</si>
  <si>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</si>
  <si>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</si>
  <si>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</si>
  <si>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</si>
  <si>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</si>
  <si>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</si>
  <si>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</si>
  <si>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</si>
  <si>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</si>
  <si>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</si>
  <si>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</si>
  <si>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</si>
  <si>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</si>
  <si>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</si>
  <si>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</si>
  <si>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</si>
  <si>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</si>
  <si>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</si>
  <si>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</si>
  <si>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</si>
  <si>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</si>
  <si>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</si>
  <si>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</si>
  <si>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</si>
  <si>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</si>
  <si>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</si>
  <si>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</si>
  <si>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</si>
  <si>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</si>
  <si>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</si>
  <si>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</si>
  <si>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</si>
  <si>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</si>
  <si>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</si>
  <si>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</si>
  <si>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</si>
  <si>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</si>
  <si>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</si>
  <si>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</si>
  <si>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</si>
  <si>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</si>
  <si>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</si>
  <si>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</si>
  <si>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</si>
  <si>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</si>
  <si>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</si>
  <si>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</si>
  <si>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</si>
  <si>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</si>
  <si>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</si>
  <si>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</si>
  <si>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</si>
  <si>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</si>
  <si>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</si>
  <si>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</si>
  <si>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</si>
  <si>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</si>
  <si>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</si>
  <si>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</si>
  <si>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</si>
  <si>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</si>
  <si>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</si>
  <si>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</si>
  <si>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</si>
  <si>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</si>
  <si>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</si>
  <si>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</si>
  <si>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</si>
  <si>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</si>
  <si>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</si>
  <si>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</si>
  <si>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</si>
  <si>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</si>
  <si>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</si>
  <si>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</si>
  <si>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</si>
  <si>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</si>
  <si>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</si>
  <si>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</si>
  <si>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</si>
  <si>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</si>
  <si>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</si>
  <si>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</si>
  <si>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</si>
  <si>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</si>
  <si>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</si>
  <si>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</si>
  <si>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</si>
  <si>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</si>
  <si>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</si>
  <si>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</si>
  <si>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</si>
  <si>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</si>
  <si>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</si>
  <si>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</si>
  <si>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</si>
  <si>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</si>
  <si>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</si>
  <si>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</si>
  <si>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</si>
  <si>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</si>
  <si>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</si>
  <si>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</si>
  <si>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</si>
  <si>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</si>
  <si>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</si>
  <si>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</si>
  <si>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</si>
  <si>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</si>
  <si>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</si>
  <si>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</si>
  <si>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</si>
  <si>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</si>
  <si>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</si>
  <si>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</si>
  <si>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</si>
  <si>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</si>
  <si>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</si>
  <si>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</si>
  <si>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</si>
  <si>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</si>
  <si>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</si>
  <si>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</si>
  <si>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</si>
  <si>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</si>
  <si>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</si>
  <si>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</si>
  <si>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</si>
  <si>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</si>
  <si>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</si>
  <si>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</si>
  <si>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</si>
  <si>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</si>
  <si>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</si>
  <si>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</si>
  <si>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</si>
  <si>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</si>
  <si>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</si>
  <si>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</si>
  <si>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</si>
  <si>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</si>
  <si>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</si>
  <si>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</si>
  <si>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</si>
  <si>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</si>
  <si>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</si>
  <si>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</si>
  <si>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</si>
  <si>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</si>
  <si>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</si>
  <si>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</si>
  <si>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</si>
  <si>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</si>
  <si>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</si>
  <si>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</si>
  <si>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</si>
  <si>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</si>
  <si>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</si>
  <si>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</si>
  <si>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</si>
  <si>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</si>
  <si>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</si>
  <si>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</si>
  <si>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</si>
  <si>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</si>
  <si>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</si>
  <si>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</si>
  <si>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</si>
  <si>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</si>
  <si>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</si>
  <si>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</si>
  <si>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</si>
  <si>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</si>
  <si>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</si>
  <si>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</si>
  <si>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</si>
  <si>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</si>
  <si>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</si>
  <si>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</si>
  <si>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</si>
  <si>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</si>
  <si>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</si>
  <si>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</si>
  <si>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</si>
  <si>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</si>
  <si>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</si>
  <si>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</si>
  <si>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</si>
  <si>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</si>
  <si>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</si>
  <si>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</si>
  <si>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</si>
  <si>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</si>
  <si>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</si>
  <si>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</si>
  <si>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</si>
  <si>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</si>
  <si>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</si>
  <si>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</si>
  <si>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</si>
  <si>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</si>
  <si>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</si>
  <si>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</si>
  <si>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</si>
  <si>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</si>
  <si>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</si>
  <si>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</si>
  <si>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</si>
  <si>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</si>
  <si>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</si>
  <si>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</si>
  <si>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</si>
  <si>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</si>
  <si>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</si>
  <si>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</si>
  <si>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</si>
  <si>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</si>
  <si>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</si>
  <si>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</si>
  <si>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</si>
  <si>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</si>
  <si>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</si>
  <si>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</si>
  <si>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</si>
  <si>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</si>
  <si>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</si>
  <si>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</si>
  <si>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</si>
  <si>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</si>
  <si>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</si>
  <si>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</si>
  <si>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</si>
  <si>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</si>
  <si>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</si>
  <si>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</si>
  <si>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</si>
  <si>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</si>
  <si>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</si>
  <si>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</si>
  <si>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</si>
  <si>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</si>
  <si>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</si>
  <si>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</si>
  <si>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</si>
  <si>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</si>
  <si>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</si>
  <si>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</si>
  <si>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</si>
  <si>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</si>
  <si>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</si>
  <si>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</si>
  <si>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</si>
  <si>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</si>
  <si>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</si>
  <si>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</si>
  <si>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</si>
  <si>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</si>
  <si>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</si>
  <si>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</si>
  <si>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</si>
  <si>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</si>
  <si>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</si>
  <si>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</si>
  <si>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</si>
  <si>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</si>
  <si>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</si>
  <si>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</si>
  <si>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</si>
  <si>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</si>
  <si>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</si>
  <si>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</si>
  <si>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</si>
  <si>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</si>
  <si>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</si>
  <si>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</si>
  <si>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</si>
  <si>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</si>
  <si>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</si>
  <si>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</si>
  <si>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</si>
  <si>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</si>
  <si>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</si>
  <si>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</si>
  <si>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</si>
  <si>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</si>
  <si>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</si>
  <si>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</si>
  <si>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</si>
  <si>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</si>
  <si>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</si>
  <si>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</si>
  <si>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</si>
  <si>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</si>
  <si>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</si>
  <si>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</si>
  <si>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</si>
  <si>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</si>
  <si>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</si>
  <si>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</si>
  <si>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</si>
  <si>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</si>
  <si>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</si>
  <si>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</si>
  <si>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</si>
  <si>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</si>
  <si>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</si>
  <si>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</si>
  <si>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</si>
  <si>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</si>
  <si>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</si>
  <si>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</si>
  <si>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</si>
  <si>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</si>
  <si>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</si>
  <si>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</si>
  <si>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</si>
  <si>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</si>
  <si>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</si>
  <si>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</si>
  <si>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</si>
  <si>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</si>
  <si>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</si>
  <si>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</si>
  <si>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</si>
  <si>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</si>
  <si>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</si>
  <si>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</si>
  <si>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</si>
  <si>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</si>
  <si>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</si>
  <si>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</si>
  <si>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</si>
  <si>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</si>
  <si>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</si>
  <si>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</si>
  <si>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</si>
  <si>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</si>
  <si>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</si>
  <si>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</si>
  <si>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</si>
  <si>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</si>
  <si>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</si>
  <si>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</si>
  <si>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</si>
  <si>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</si>
  <si>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</si>
  <si>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</si>
  <si>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</si>
  <si>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</si>
  <si>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</si>
  <si>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</si>
  <si>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</si>
  <si>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</si>
  <si>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</si>
  <si>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</si>
  <si>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</si>
  <si>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</si>
  <si>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</si>
  <si>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</si>
  <si>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</si>
  <si>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</si>
  <si>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</si>
  <si>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</si>
  <si>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</si>
  <si>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</si>
  <si>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</si>
  <si>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</si>
  <si>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</si>
  <si>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</si>
  <si>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</si>
  <si>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</si>
  <si>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</si>
  <si>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</si>
  <si>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</si>
  <si>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</si>
  <si>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</si>
  <si>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</si>
  <si>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</si>
  <si>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</si>
  <si>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</si>
  <si>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</si>
  <si>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</si>
  <si>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</si>
  <si>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</si>
  <si>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</si>
  <si>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</si>
  <si>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</si>
  <si>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</si>
  <si>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</si>
  <si>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</si>
  <si>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</si>
  <si>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</si>
  <si>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</si>
  <si>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</si>
  <si>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</si>
  <si>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</si>
  <si>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</si>
  <si>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</si>
  <si>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</si>
  <si>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</si>
  <si>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</si>
  <si>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</si>
  <si>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</si>
  <si>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</si>
  <si>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</si>
  <si>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</si>
  <si>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</si>
  <si>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</si>
  <si>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</si>
  <si>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</si>
  <si>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</si>
  <si>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</si>
  <si>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</si>
  <si>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</si>
  <si>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</si>
  <si>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</si>
  <si>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</si>
  <si>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</si>
  <si>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</si>
  <si>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</si>
  <si>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</si>
  <si>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</si>
  <si>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</si>
  <si>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</si>
  <si>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</si>
  <si>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</si>
  <si>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</si>
  <si>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</si>
  <si>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</si>
  <si>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</si>
  <si>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</si>
  <si>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</si>
  <si>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</si>
  <si>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</si>
  <si>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</si>
  <si>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</si>
  <si>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</si>
  <si>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</si>
  <si>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</si>
  <si>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</si>
  <si>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</si>
  <si>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</si>
  <si>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</si>
  <si>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</si>
  <si>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</si>
  <si>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</si>
  <si>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</si>
  <si>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</si>
  <si>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</si>
  <si>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</si>
  <si>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</si>
  <si>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</si>
  <si>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</si>
  <si>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</si>
  <si>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</si>
  <si>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</si>
  <si>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</si>
  <si>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</si>
  <si>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</si>
  <si>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</si>
  <si>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</si>
  <si>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</si>
  <si>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</si>
  <si>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</si>
  <si>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</si>
  <si>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</si>
  <si>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</si>
  <si>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</si>
  <si>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</si>
  <si>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</si>
  <si>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</si>
  <si>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</si>
  <si>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</si>
  <si>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</si>
  <si>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</si>
  <si>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</si>
  <si>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</si>
  <si>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</si>
  <si>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</si>
  <si>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</si>
  <si>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</si>
  <si>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</si>
  <si>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</si>
  <si>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</si>
  <si>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</si>
  <si>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</si>
  <si>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</si>
  <si>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</si>
  <si>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</si>
  <si>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</si>
  <si>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</si>
  <si>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</si>
  <si>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</si>
  <si>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</si>
  <si>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</si>
  <si>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</si>
  <si>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</si>
  <si>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</si>
  <si>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</si>
  <si>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</si>
  <si>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</si>
  <si>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</si>
  <si>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</si>
  <si>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</si>
  <si>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</si>
  <si>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</si>
  <si>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</si>
  <si>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</si>
  <si>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</si>
  <si>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</si>
  <si>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</si>
  <si>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</si>
  <si>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</si>
  <si>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</si>
  <si>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</si>
  <si>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</si>
  <si>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</si>
  <si>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</si>
  <si>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</si>
  <si>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</si>
  <si>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</si>
  <si>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</si>
  <si>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</si>
  <si>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</si>
  <si>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</si>
  <si>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</si>
  <si>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</si>
  <si>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</si>
  <si>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</si>
  <si>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</si>
  <si>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</si>
  <si>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</si>
  <si>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</si>
  <si>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</si>
  <si>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</si>
  <si>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</si>
  <si>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</si>
  <si>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</si>
  <si>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</si>
  <si>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</si>
  <si>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</si>
  <si>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</si>
  <si>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</si>
  <si>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</si>
  <si>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</si>
  <si>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</si>
  <si>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</si>
  <si>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</si>
  <si>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</si>
  <si>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</si>
  <si>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</si>
  <si>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</si>
  <si>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</si>
  <si>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</si>
  <si>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</si>
  <si>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</si>
  <si>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</si>
  <si>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</si>
  <si>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</si>
  <si>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</si>
  <si>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</si>
  <si>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</si>
  <si>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</si>
  <si>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</si>
  <si>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</si>
  <si>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</si>
  <si>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</si>
  <si>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</si>
  <si>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</si>
  <si>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</si>
  <si>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</si>
  <si>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</si>
  <si>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</si>
  <si>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</si>
  <si>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</si>
  <si>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</si>
  <si>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</si>
  <si>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</si>
  <si>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</si>
  <si>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</si>
  <si>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</si>
  <si>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</si>
  <si>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</si>
  <si>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</si>
  <si>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</si>
  <si>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</si>
  <si>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</si>
  <si>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</si>
  <si>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</si>
  <si>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</si>
  <si>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</si>
  <si>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</si>
  <si>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</si>
  <si>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</si>
  <si>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</si>
  <si>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</si>
  <si>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</si>
  <si>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</si>
  <si>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</si>
  <si>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</si>
  <si>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</si>
  <si>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</si>
  <si>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</si>
  <si>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</si>
  <si>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</si>
  <si>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</si>
  <si>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</si>
  <si>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</si>
  <si>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</si>
  <si>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</si>
  <si>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</si>
  <si>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</si>
  <si>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</si>
  <si>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</si>
  <si>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</si>
  <si>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</si>
  <si>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</si>
  <si>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</si>
  <si>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</si>
  <si>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</si>
  <si>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</si>
  <si>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</si>
  <si>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</si>
  <si>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</si>
  <si>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</si>
  <si>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</si>
  <si>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</si>
  <si>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</si>
  <si>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</si>
  <si>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</si>
  <si>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</si>
  <si>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</si>
  <si>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</si>
  <si>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</si>
  <si>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</si>
  <si>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</si>
  <si>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</si>
  <si>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</si>
  <si>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</si>
  <si>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</si>
  <si>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</si>
  <si>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</si>
  <si>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</si>
  <si>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</si>
  <si>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</si>
  <si>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</si>
  <si>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</si>
  <si>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</si>
  <si>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</si>
  <si>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</si>
  <si>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</si>
  <si>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</si>
  <si>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</si>
  <si>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</si>
  <si>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</si>
  <si>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</si>
  <si>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</si>
  <si>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</si>
  <si>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</si>
  <si>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</si>
  <si>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</si>
  <si>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</si>
  <si>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</si>
  <si>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</si>
  <si>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</si>
  <si>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</si>
  <si>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</si>
  <si>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</si>
  <si>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</si>
  <si>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</si>
  <si>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</si>
  <si>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</si>
  <si>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</si>
  <si>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</si>
  <si>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</si>
  <si>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</si>
  <si>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</si>
  <si>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</si>
  <si>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</si>
  <si>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</si>
  <si>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</si>
  <si>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</si>
  <si>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</si>
  <si>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</si>
  <si>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</si>
  <si>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</si>
  <si>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</si>
  <si>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</si>
  <si>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</si>
  <si>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</si>
  <si>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</si>
  <si>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</si>
  <si>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</si>
  <si>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</si>
  <si>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</si>
  <si>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</si>
  <si>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</si>
  <si>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</si>
  <si>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</si>
  <si>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</si>
  <si>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</si>
  <si>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</si>
  <si>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</si>
  <si>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</si>
  <si>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</si>
  <si>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</si>
  <si>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</si>
  <si>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</si>
  <si>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</si>
  <si>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</si>
  <si>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</si>
  <si>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</si>
  <si>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</si>
  <si>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</si>
  <si>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</si>
  <si>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</si>
  <si>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</si>
  <si>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</si>
  <si>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</si>
  <si>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</si>
  <si>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</si>
  <si>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</si>
  <si>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</si>
  <si>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</si>
  <si>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</si>
  <si>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</si>
  <si>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</si>
  <si>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</si>
  <si>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</si>
  <si>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</si>
  <si>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</si>
  <si>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</si>
  <si>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</si>
  <si>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</si>
  <si>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</si>
  <si>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</si>
  <si>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</si>
  <si>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</si>
  <si>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</si>
  <si>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</si>
  <si>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</si>
  <si>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</si>
  <si>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</si>
  <si>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</si>
  <si>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</si>
  <si>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</si>
  <si>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</si>
  <si>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</si>
  <si>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</si>
  <si>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</si>
  <si>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</si>
  <si>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</si>
  <si>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</si>
  <si>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</si>
  <si>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</si>
  <si>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</si>
  <si>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</si>
  <si>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</si>
  <si>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</si>
  <si>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</si>
  <si>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</si>
  <si>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</si>
  <si>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</si>
  <si>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</si>
  <si>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</si>
  <si>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</si>
  <si>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</si>
  <si>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</si>
  <si>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</si>
  <si>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</si>
  <si>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</si>
  <si>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</si>
  <si>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</si>
  <si>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</si>
  <si>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</si>
  <si>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</si>
  <si>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</si>
  <si>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</si>
  <si>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</si>
  <si>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</si>
  <si>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</si>
  <si>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</si>
  <si>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</si>
  <si>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</si>
  <si>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</si>
  <si>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</si>
  <si>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</si>
  <si>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</si>
  <si>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</si>
  <si>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</si>
  <si>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</si>
  <si>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</si>
  <si>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</si>
  <si>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</si>
  <si>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</si>
  <si>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</si>
  <si>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</si>
  <si>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</si>
  <si>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</si>
  <si>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</si>
  <si>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</si>
  <si>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</si>
  <si>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</si>
  <si>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</si>
  <si>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</si>
  <si>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</si>
  <si>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</si>
  <si>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</si>
  <si>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</si>
  <si>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</si>
  <si>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</si>
  <si>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</si>
  <si>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</si>
  <si>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</si>
  <si>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</si>
  <si>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</si>
  <si>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</si>
  <si>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</si>
  <si>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</si>
  <si>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</si>
  <si>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</si>
  <si>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</si>
  <si>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</si>
  <si>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</si>
  <si>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</si>
  <si>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</si>
  <si>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</si>
  <si>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</si>
  <si>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</si>
  <si>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</si>
  <si>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</si>
  <si>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</si>
  <si>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</si>
  <si>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</si>
  <si>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</si>
  <si>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</si>
  <si>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</si>
  <si>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</si>
  <si>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</si>
  <si>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</si>
  <si>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</si>
  <si>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</si>
  <si>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</si>
  <si>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</si>
  <si>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</si>
  <si>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</si>
  <si>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</si>
  <si>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</si>
  <si>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</si>
  <si>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</si>
  <si>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</si>
  <si>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</si>
  <si>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</si>
  <si>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</si>
  <si>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</si>
  <si>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</si>
  <si>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</si>
  <si>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</si>
  <si>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</si>
  <si>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</si>
  <si>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</si>
  <si>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</si>
  <si>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</si>
  <si>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</si>
  <si>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</si>
  <si>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</si>
  <si>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</si>
  <si>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</si>
  <si>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</si>
  <si>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</si>
  <si>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</si>
  <si>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</si>
  <si>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</si>
  <si>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</si>
  <si>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</si>
  <si>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</si>
  <si>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</si>
  <si>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</si>
  <si>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</si>
  <si>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</si>
  <si>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</si>
  <si>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</si>
  <si>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</si>
  <si>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</si>
  <si>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</si>
  <si>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</si>
  <si>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</si>
  <si>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</si>
  <si>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</si>
  <si>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</si>
  <si>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</si>
  <si>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</si>
  <si>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</si>
  <si>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</si>
  <si>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</si>
  <si>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</si>
  <si>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</si>
  <si>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</si>
  <si>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</si>
  <si>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</si>
  <si>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</si>
  <si>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</si>
  <si>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</si>
  <si>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</si>
  <si>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</si>
  <si>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</si>
  <si>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</si>
  <si>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</si>
  <si>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</si>
  <si>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</si>
  <si>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</si>
  <si>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</si>
  <si>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</si>
  <si>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</si>
  <si>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</si>
  <si>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</si>
  <si>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</si>
  <si>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</si>
  <si>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</si>
  <si>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</si>
  <si>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</si>
  <si>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</si>
  <si>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</si>
  <si>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</si>
  <si>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</si>
  <si>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</si>
  <si>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</si>
  <si>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</si>
  <si>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</si>
  <si>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</si>
  <si>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</si>
  <si>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</si>
  <si>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</si>
  <si>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</si>
  <si>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</si>
  <si>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</si>
  <si>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</si>
  <si>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</si>
  <si>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</si>
  <si>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</si>
  <si>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</si>
  <si>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</si>
  <si>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</si>
  <si>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</si>
  <si>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</si>
  <si>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</si>
  <si>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</si>
  <si>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</si>
  <si>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</si>
  <si>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</si>
  <si>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</si>
  <si>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</si>
  <si>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</si>
  <si>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</si>
  <si>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</si>
  <si>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</si>
  <si>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</si>
  <si>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</si>
  <si>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</si>
  <si>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</si>
  <si>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</si>
  <si>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</si>
  <si>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</si>
  <si>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</si>
  <si>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</si>
  <si>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</si>
  <si>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</si>
  <si>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</si>
  <si>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</si>
  <si>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</si>
  <si>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</si>
  <si>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</si>
  <si>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</si>
  <si>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</si>
  <si>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</si>
  <si>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</si>
  <si>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</si>
  <si>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</si>
  <si>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</si>
  <si>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</si>
  <si>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</si>
  <si>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</si>
  <si>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</si>
  <si>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</si>
  <si>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</si>
  <si>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</si>
  <si>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</si>
  <si>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</si>
  <si>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</si>
  <si>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</si>
  <si>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</si>
  <si>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</si>
  <si>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</si>
  <si>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</si>
  <si>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</si>
  <si>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</si>
  <si>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</si>
  <si>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</si>
  <si>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</si>
  <si>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</si>
  <si>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</si>
  <si>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</si>
  <si>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</si>
  <si>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</si>
  <si>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</si>
  <si>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</si>
  <si>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</si>
  <si>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</si>
  <si>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</si>
  <si>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</si>
  <si>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</si>
  <si>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</si>
  <si>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</si>
  <si>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</si>
  <si>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</si>
  <si>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</si>
  <si>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</si>
  <si>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</si>
  <si>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</si>
  <si>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</si>
  <si>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</si>
  <si>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</si>
  <si>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</si>
  <si>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</si>
  <si>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</si>
  <si>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</si>
  <si>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</si>
  <si>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</si>
  <si>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</si>
  <si>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</si>
  <si>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</si>
  <si>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</si>
  <si>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</si>
  <si>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</si>
  <si>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</si>
  <si>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</si>
  <si>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</si>
  <si>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</si>
  <si>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</si>
  <si>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</si>
  <si>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</si>
  <si>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</si>
  <si>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</si>
  <si>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</si>
  <si>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</si>
  <si>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</si>
  <si>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</si>
  <si>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</si>
  <si>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</si>
  <si>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</si>
  <si>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</si>
  <si>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</si>
  <si>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</si>
  <si>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</si>
  <si>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</si>
  <si>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</si>
  <si>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</si>
  <si>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</si>
  <si>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</si>
  <si>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</si>
  <si>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</si>
  <si>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</si>
  <si>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</si>
  <si>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</si>
  <si>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</si>
  <si>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</si>
  <si>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</si>
  <si>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</si>
  <si>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</si>
  <si>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</si>
  <si>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</si>
  <si>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</si>
  <si>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</si>
  <si>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</si>
  <si>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</si>
  <si>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</si>
  <si>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</si>
  <si>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</si>
  <si>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</si>
  <si>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</si>
  <si>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</si>
  <si>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</si>
  <si>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</si>
  <si>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</si>
  <si>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</si>
  <si>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</si>
  <si>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</si>
  <si>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</si>
  <si>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</si>
  <si>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</si>
  <si>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</si>
  <si>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</si>
  <si>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</si>
  <si>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</si>
  <si>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</si>
  <si>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</si>
  <si>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</si>
  <si>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</si>
  <si>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</si>
  <si>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</si>
  <si>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</si>
  <si>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</si>
  <si>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</si>
  <si>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</si>
  <si>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</si>
  <si>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</si>
  <si>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</si>
  <si>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</si>
  <si>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</si>
  <si>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</si>
  <si>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</si>
  <si>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</si>
  <si>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</si>
  <si>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</si>
  <si>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</si>
  <si>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</si>
  <si>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</si>
  <si>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</si>
  <si>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</si>
  <si>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</si>
  <si>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</si>
  <si>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</si>
  <si>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</si>
  <si>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</si>
  <si>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</si>
  <si>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</si>
  <si>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</si>
  <si>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</si>
  <si>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</si>
  <si>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</si>
  <si>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</si>
  <si>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</si>
  <si>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</si>
  <si>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</si>
  <si>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</si>
  <si>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</si>
  <si>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</si>
  <si>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</si>
  <si>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</si>
  <si>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</si>
  <si>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</si>
  <si>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</si>
  <si>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</si>
  <si>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</si>
  <si>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</si>
  <si>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</si>
  <si>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</si>
  <si>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</si>
  <si>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</si>
  <si>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</si>
  <si>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</si>
  <si>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</si>
  <si>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</si>
  <si>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</si>
  <si>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</si>
  <si>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</si>
  <si>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</si>
  <si>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</si>
  <si>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</si>
  <si>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</si>
  <si>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</si>
  <si>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</si>
  <si>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</si>
  <si>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</si>
  <si>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</si>
  <si>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</si>
  <si>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</si>
  <si>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</si>
  <si>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</si>
  <si>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</si>
  <si>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</si>
  <si>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</si>
  <si>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</si>
  <si>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</si>
  <si>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</si>
  <si>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</si>
  <si>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</si>
  <si>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</si>
  <si>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</si>
  <si>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</si>
  <si>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</si>
  <si>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</si>
  <si>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</si>
  <si>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</si>
  <si>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</si>
  <si>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</si>
  <si>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</si>
  <si>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</si>
  <si>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</si>
  <si>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</si>
  <si>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</si>
  <si>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</si>
  <si>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</si>
  <si>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</si>
  <si>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</si>
  <si>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</si>
  <si>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</si>
  <si>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</si>
  <si>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</si>
  <si>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</si>
  <si>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</si>
  <si>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</si>
  <si>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</si>
  <si>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</si>
  <si>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</si>
  <si>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</si>
  <si>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</si>
  <si>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</si>
  <si>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</si>
  <si>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</si>
  <si>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</si>
  <si>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</si>
  <si>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</si>
  <si>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</si>
  <si>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</si>
  <si>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</si>
  <si>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</si>
  <si>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</si>
  <si>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</si>
  <si>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</si>
  <si>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</si>
  <si>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</si>
  <si>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</si>
  <si>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</si>
  <si>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</si>
  <si>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</si>
  <si>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</si>
  <si>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</si>
  <si>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</si>
  <si>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</si>
  <si>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</si>
  <si>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</si>
  <si>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</si>
  <si>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</si>
  <si>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</si>
  <si>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</si>
  <si>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</si>
  <si>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</si>
  <si>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</si>
  <si>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</si>
  <si>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</si>
  <si>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</si>
  <si>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</si>
  <si>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</si>
  <si>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</si>
  <si>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</si>
  <si>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</si>
  <si>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</si>
  <si>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</si>
  <si>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</si>
  <si>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</si>
  <si>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</si>
  <si>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</si>
  <si>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</si>
  <si>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</si>
  <si>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</si>
  <si>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</si>
  <si>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</si>
  <si>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</si>
  <si>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</si>
  <si>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</si>
  <si>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</si>
  <si>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</si>
  <si>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</si>
  <si>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</si>
  <si>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</si>
  <si>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</si>
  <si>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</si>
  <si>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</si>
  <si>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</si>
  <si>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</si>
  <si>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</si>
  <si>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</si>
  <si>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</si>
  <si>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</si>
  <si>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</si>
  <si>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</si>
  <si>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</si>
  <si>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</si>
  <si>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</si>
  <si>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</si>
  <si>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</si>
  <si>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</si>
  <si>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</si>
  <si>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</si>
  <si>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</si>
  <si>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</si>
  <si>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</si>
  <si>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</si>
  <si>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</si>
  <si>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</si>
  <si>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</si>
  <si>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</si>
  <si>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</si>
  <si>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</si>
  <si>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</si>
  <si>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</si>
  <si>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</si>
  <si>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</si>
  <si>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</si>
  <si>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</si>
  <si>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</si>
  <si>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</si>
  <si>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</si>
  <si>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</si>
  <si>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</si>
  <si>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</si>
  <si>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</si>
  <si>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</si>
  <si>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</si>
  <si>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</si>
  <si>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</si>
  <si>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</si>
  <si>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</si>
  <si>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</si>
  <si>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</si>
  <si>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</si>
  <si>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</si>
  <si>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</si>
  <si>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</si>
  <si>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</si>
  <si>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</si>
  <si>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</si>
  <si>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</si>
  <si>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</si>
  <si>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</si>
  <si>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</si>
  <si>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</si>
  <si>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</si>
  <si>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</si>
  <si>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</si>
  <si>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</si>
  <si>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</si>
  <si>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</si>
  <si>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</si>
  <si>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</si>
  <si>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</si>
  <si>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</si>
  <si>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</si>
  <si>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</si>
  <si>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</si>
  <si>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</si>
  <si>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</si>
  <si>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</si>
  <si>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</si>
  <si>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</si>
  <si>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</si>
  <si>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</si>
  <si>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</si>
  <si>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</si>
  <si>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</si>
  <si>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</si>
  <si>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</si>
  <si>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</si>
  <si>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</si>
  <si>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</si>
  <si>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</si>
  <si>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</si>
  <si>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</si>
  <si>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</si>
  <si>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</si>
  <si>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</si>
  <si>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</si>
  <si>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</si>
  <si>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</si>
  <si>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</si>
  <si>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</si>
  <si>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</si>
  <si>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</si>
  <si>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</si>
  <si>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</si>
  <si>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</si>
  <si>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</si>
  <si>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</si>
  <si>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</si>
  <si>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</si>
  <si>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</si>
  <si>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</si>
  <si>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</si>
  <si>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</si>
  <si>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</si>
  <si>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</si>
  <si>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</si>
  <si>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</si>
  <si>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</si>
  <si>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</si>
  <si>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</si>
  <si>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</si>
  <si>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</si>
  <si>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</si>
  <si>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</si>
  <si>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</si>
  <si>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</si>
  <si>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</si>
  <si>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</si>
  <si>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</si>
  <si>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</si>
  <si>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</si>
  <si>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</si>
  <si>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</si>
  <si>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</si>
  <si>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</si>
  <si>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</si>
  <si>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</si>
  <si>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</si>
  <si>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</si>
  <si>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</si>
  <si>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</si>
  <si>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</si>
  <si>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</si>
  <si>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</si>
  <si>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</si>
  <si>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</si>
  <si>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</si>
  <si>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</si>
  <si>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</si>
  <si>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</si>
  <si>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</si>
  <si>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</si>
  <si>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</si>
  <si>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</si>
  <si>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</si>
  <si>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</si>
  <si>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</si>
  <si>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</si>
  <si>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</si>
  <si>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</si>
  <si>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</si>
  <si>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</si>
  <si>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</si>
  <si>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</si>
  <si>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</si>
  <si>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</si>
  <si>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</si>
  <si>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</si>
  <si>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</si>
  <si>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</si>
  <si>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</si>
  <si>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</si>
  <si>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</si>
  <si>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</si>
  <si>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</si>
  <si>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</si>
  <si>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</si>
  <si>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</si>
  <si>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</si>
  <si>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</si>
  <si>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</si>
  <si>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</si>
  <si>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</si>
  <si>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</si>
  <si>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</si>
  <si>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</si>
  <si>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</si>
  <si>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</si>
  <si>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</si>
  <si>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</si>
  <si>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</si>
  <si>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</si>
  <si>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</si>
  <si>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</si>
  <si>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</si>
  <si>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</si>
  <si>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</si>
  <si>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</si>
  <si>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</si>
  <si>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</si>
  <si>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</si>
  <si>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</si>
  <si>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</si>
  <si>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</si>
  <si>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</si>
  <si>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</si>
  <si>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</si>
  <si>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</si>
  <si>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</si>
  <si>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</si>
  <si>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</si>
  <si>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</si>
  <si>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</si>
  <si>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</si>
  <si>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</si>
  <si>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</si>
  <si>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</si>
  <si>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</si>
  <si>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</si>
  <si>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</si>
  <si>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</si>
  <si>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</si>
  <si>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</si>
  <si>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</si>
  <si>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</si>
  <si>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</si>
  <si>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</si>
  <si>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</si>
  <si>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</si>
  <si>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</si>
  <si>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</si>
  <si>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</si>
  <si>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</si>
  <si>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</si>
  <si>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</si>
  <si>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</si>
  <si>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</si>
  <si>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</si>
  <si>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</si>
  <si>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</si>
  <si>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</si>
  <si>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</si>
  <si>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</si>
  <si>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</si>
  <si>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</si>
  <si>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</si>
  <si>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</si>
  <si>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</si>
  <si>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</si>
  <si>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</si>
  <si>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</si>
  <si>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</si>
  <si>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</si>
  <si>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</si>
  <si>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</si>
  <si>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</si>
  <si>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</si>
  <si>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</si>
  <si>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</si>
  <si>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</si>
  <si>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</si>
  <si>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</si>
  <si>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</si>
  <si>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</si>
  <si>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</si>
  <si>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</si>
  <si>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</si>
  <si>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</si>
  <si>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</si>
  <si>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</si>
  <si>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</si>
  <si>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</si>
  <si>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</si>
  <si>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</si>
  <si>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</si>
  <si>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</si>
  <si>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</si>
  <si>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</si>
  <si>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</si>
  <si>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</si>
  <si>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</si>
  <si>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</si>
  <si>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</si>
  <si>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</si>
  <si>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</si>
  <si>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</si>
  <si>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</si>
  <si>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</si>
  <si>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</si>
  <si>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</si>
  <si>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</si>
  <si>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</si>
  <si>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</si>
  <si>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</si>
  <si>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</si>
  <si>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</si>
  <si>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</si>
  <si>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</si>
  <si>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</si>
  <si>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</si>
  <si>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</si>
  <si>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</si>
  <si>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</si>
  <si>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</si>
  <si>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</si>
  <si>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</si>
  <si>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</si>
  <si>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</si>
  <si>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</si>
  <si>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</si>
  <si>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</si>
  <si>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</si>
  <si>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</si>
  <si>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</si>
  <si>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</si>
  <si>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</si>
  <si>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</si>
  <si>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</si>
  <si>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</si>
  <si>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</si>
  <si>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</si>
  <si>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</si>
  <si>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</si>
  <si>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</si>
  <si>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</si>
  <si>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</si>
  <si>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</si>
  <si>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</si>
  <si>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</si>
  <si>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</si>
  <si>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</si>
  <si>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</si>
  <si>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</si>
  <si>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</si>
  <si>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</si>
  <si>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</si>
  <si>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</si>
  <si>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</si>
  <si>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</si>
  <si>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</si>
  <si>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</si>
  <si>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</si>
  <si>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</si>
  <si>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</si>
  <si>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</si>
  <si>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</si>
  <si>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</si>
  <si>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</si>
  <si>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</si>
  <si>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</si>
  <si>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</si>
  <si>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</si>
  <si>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</si>
  <si>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</si>
  <si>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</si>
  <si>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</si>
  <si>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</si>
  <si>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</si>
  <si>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</si>
  <si>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</si>
  <si>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</si>
  <si>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</si>
  <si>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</si>
  <si>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</si>
  <si>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</si>
  <si>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</si>
  <si>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</si>
  <si>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</si>
  <si>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</si>
  <si>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</si>
  <si>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</si>
  <si>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</si>
  <si>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</si>
  <si>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</si>
  <si>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</si>
  <si>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</si>
  <si>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</si>
  <si>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</si>
  <si>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</si>
  <si>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</si>
  <si>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</si>
  <si>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</si>
  <si>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</si>
  <si>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</si>
  <si>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</si>
  <si>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</si>
  <si>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</si>
  <si>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</si>
  <si>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</si>
  <si>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</si>
  <si>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</si>
  <si>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</si>
  <si>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</si>
  <si>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</si>
  <si>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</si>
  <si>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</si>
  <si>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</si>
  <si>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</si>
  <si>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</si>
  <si>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</si>
  <si>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</si>
  <si>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</si>
  <si>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</si>
  <si>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</si>
  <si>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</si>
  <si>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</si>
  <si>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</si>
  <si>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</si>
  <si>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</si>
  <si>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</si>
  <si>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</si>
  <si>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</si>
  <si>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</si>
  <si>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</si>
  <si>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</si>
  <si>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</si>
  <si>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</si>
  <si>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</si>
  <si>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</si>
  <si>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</si>
  <si>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</si>
  <si>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</si>
  <si>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</si>
  <si>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</si>
  <si>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</si>
  <si>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</si>
  <si>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</si>
  <si>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</si>
  <si>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</si>
  <si>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</si>
  <si>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</si>
  <si>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</si>
  <si>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</si>
  <si>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</si>
  <si>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</si>
  <si>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</si>
  <si>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</si>
  <si>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</si>
  <si>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</si>
  <si>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</si>
  <si>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</si>
  <si>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</si>
  <si>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</si>
  <si>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</si>
  <si>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</si>
  <si>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</si>
  <si>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</si>
  <si>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</si>
  <si>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</si>
  <si>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</si>
  <si>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</si>
  <si>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</si>
  <si>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</si>
  <si>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</si>
  <si>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</si>
  <si>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</si>
  <si>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</si>
  <si>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</si>
  <si>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</si>
  <si>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</si>
  <si>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</si>
  <si>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</si>
  <si>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</si>
  <si>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</si>
  <si>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</si>
  <si>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</si>
  <si>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</si>
  <si>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</si>
  <si>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</si>
  <si>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</si>
  <si>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</si>
  <si>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</si>
  <si>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</si>
  <si>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</si>
  <si>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</si>
  <si>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</si>
  <si>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</si>
  <si>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</si>
  <si>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</si>
  <si>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</si>
  <si>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</si>
  <si>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</si>
  <si>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</si>
  <si>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</si>
  <si>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</si>
  <si>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</si>
  <si>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</si>
  <si>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</si>
  <si>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</si>
  <si>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</si>
  <si>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</si>
  <si>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</si>
  <si>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</si>
  <si>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</si>
  <si>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</si>
  <si>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</si>
  <si>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</si>
  <si>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</si>
  <si>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</si>
  <si>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</si>
  <si>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</si>
  <si>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</si>
  <si>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</si>
  <si>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</si>
  <si>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</si>
  <si>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</si>
  <si>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</si>
  <si>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</si>
  <si>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</si>
  <si>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</si>
  <si>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</si>
  <si>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</si>
  <si>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</si>
  <si>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</si>
  <si>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</si>
  <si>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</si>
  <si>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</si>
  <si>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</si>
  <si>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</si>
  <si>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</si>
  <si>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</si>
  <si>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</si>
  <si>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</si>
  <si>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</si>
  <si>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</si>
  <si>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</si>
  <si>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</si>
  <si>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</si>
  <si>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</si>
  <si>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</si>
  <si>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</si>
  <si>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</si>
  <si>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</si>
  <si>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</si>
  <si>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</si>
  <si>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</si>
  <si>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</si>
  <si>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</si>
  <si>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</si>
  <si>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</si>
  <si>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</si>
  <si>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</si>
  <si>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</si>
  <si>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</si>
  <si>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</si>
  <si>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</si>
  <si>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</si>
  <si>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</si>
  <si>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</si>
  <si>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</si>
  <si>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</si>
  <si>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</si>
  <si>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</si>
  <si>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</si>
  <si>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</si>
  <si>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</si>
  <si>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</si>
  <si>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</si>
  <si>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</si>
  <si>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</si>
  <si>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</si>
  <si>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</si>
  <si>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</si>
  <si>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</si>
  <si>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</si>
  <si>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</si>
  <si>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</si>
  <si>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</si>
  <si>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</si>
  <si>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</si>
  <si>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</si>
  <si>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</si>
  <si>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</si>
  <si>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</si>
  <si>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</si>
  <si>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</si>
  <si>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</si>
  <si>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</si>
  <si>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</si>
  <si>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</si>
  <si>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</si>
  <si>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</si>
  <si>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</si>
  <si>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</si>
  <si>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</si>
  <si>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</si>
  <si>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</si>
  <si>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</si>
  <si>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</si>
  <si>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</si>
  <si>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</si>
  <si>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</si>
  <si>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</si>
  <si>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</si>
  <si>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</si>
  <si>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</si>
  <si>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</si>
  <si>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</si>
  <si>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</si>
  <si>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</si>
  <si>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</si>
  <si>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</si>
  <si>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</si>
  <si>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</si>
  <si>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</si>
  <si>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</si>
  <si>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</si>
  <si>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</si>
  <si>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</si>
  <si>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</si>
  <si>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</si>
  <si>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</si>
  <si>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</si>
  <si>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</si>
  <si>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</si>
  <si>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</si>
  <si>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</si>
  <si>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</si>
  <si>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</si>
  <si>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</si>
  <si>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</si>
  <si>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</si>
  <si>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</si>
  <si>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</si>
  <si>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</si>
  <si>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</si>
  <si>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</si>
  <si>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</si>
  <si>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</si>
  <si>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</si>
  <si>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</si>
  <si>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</si>
  <si>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</si>
  <si>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</si>
  <si>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</si>
  <si>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</si>
  <si>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</si>
  <si>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</si>
  <si>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</si>
  <si>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</si>
  <si>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</si>
  <si>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</si>
  <si>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</si>
  <si>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</si>
  <si>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</si>
  <si>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</si>
  <si>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</si>
  <si>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</si>
  <si>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</si>
  <si>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</si>
  <si>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</si>
  <si>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</si>
  <si>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</si>
  <si>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</si>
  <si>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</si>
  <si>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</si>
  <si>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</si>
  <si>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</si>
  <si>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</si>
  <si>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</si>
  <si>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</si>
  <si>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</si>
  <si>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</si>
  <si>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</si>
  <si>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</si>
  <si>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</si>
  <si>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</si>
  <si>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</si>
  <si>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</si>
  <si>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</si>
  <si>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</si>
  <si>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</si>
  <si>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</si>
  <si>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</si>
  <si>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</si>
  <si>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</si>
  <si>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</si>
  <si>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</si>
  <si>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</si>
  <si>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</si>
  <si>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</si>
  <si>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</si>
  <si>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</si>
  <si>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</si>
  <si>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</si>
  <si>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</si>
  <si>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</si>
  <si>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</si>
  <si>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</si>
  <si>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</si>
  <si>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</si>
  <si>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</si>
  <si>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</si>
  <si>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</si>
  <si>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</si>
  <si>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</si>
  <si>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</si>
  <si>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</si>
  <si>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</si>
  <si>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</si>
  <si>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</si>
  <si>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</si>
  <si>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</si>
  <si>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</si>
  <si>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</si>
  <si>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</si>
  <si>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</si>
  <si>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</si>
  <si>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</si>
  <si>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</si>
  <si>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</si>
  <si>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</si>
  <si>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</si>
  <si>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</si>
  <si>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</si>
  <si>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</si>
  <si>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</si>
  <si>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</si>
  <si>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</si>
  <si>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</si>
  <si>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</si>
  <si>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</si>
  <si>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</si>
  <si>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</si>
  <si>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</si>
  <si>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</si>
  <si>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</si>
  <si>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</si>
  <si>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</si>
  <si>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</si>
  <si>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</si>
  <si>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</si>
  <si>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</si>
  <si>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</si>
  <si>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</si>
  <si>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</si>
  <si>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</si>
  <si>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</si>
  <si>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</si>
  <si>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</si>
  <si>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</si>
  <si>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</si>
  <si>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</si>
  <si>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</si>
  <si>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</si>
  <si>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</si>
  <si>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</si>
  <si>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</si>
  <si>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</si>
  <si>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</si>
  <si>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</si>
  <si>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</si>
  <si>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</si>
  <si>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</si>
  <si>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</si>
  <si>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</si>
  <si>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</si>
  <si>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</si>
  <si>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</si>
  <si>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</si>
  <si>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</si>
  <si>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</si>
  <si>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</si>
  <si>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</si>
  <si>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</si>
  <si>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</si>
  <si>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</si>
  <si>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</si>
  <si>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</si>
  <si>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</si>
  <si>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</si>
  <si>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</si>
  <si>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</si>
  <si>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</si>
  <si>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</si>
  <si>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</si>
  <si>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</si>
  <si>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</si>
  <si>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</si>
  <si>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</si>
  <si>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</si>
  <si>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</si>
  <si>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</si>
  <si>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</si>
  <si>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</si>
  <si>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</si>
  <si>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</si>
  <si>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</si>
  <si>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</si>
  <si>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</si>
  <si>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</si>
  <si>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</si>
  <si>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</si>
  <si>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</si>
  <si>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</si>
  <si>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</si>
  <si>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</si>
  <si>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</si>
  <si>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</si>
  <si>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</si>
  <si>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</si>
  <si>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</si>
  <si>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</si>
  <si>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</si>
  <si>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</si>
  <si>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</si>
  <si>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</si>
  <si>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</si>
  <si>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</si>
  <si>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</si>
  <si>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</si>
  <si>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</si>
  <si>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</si>
  <si>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</si>
  <si>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</si>
  <si>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</si>
  <si>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</si>
  <si>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</si>
  <si>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</si>
  <si>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</si>
  <si>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</si>
  <si>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</si>
  <si>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</si>
  <si>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</si>
  <si>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</si>
  <si>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</si>
  <si>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</si>
  <si>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</si>
  <si>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</si>
  <si>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</si>
  <si>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</si>
  <si>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</si>
  <si>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</si>
  <si>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</si>
  <si>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</si>
  <si>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</si>
  <si>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</si>
  <si>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</si>
  <si>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</si>
  <si>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</si>
  <si>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</si>
  <si>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</si>
  <si>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</si>
  <si>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</si>
  <si>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</si>
  <si>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</si>
  <si>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</si>
  <si>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</si>
  <si>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</si>
  <si>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</si>
  <si>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</si>
  <si>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</si>
  <si>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</si>
  <si>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</si>
  <si>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</si>
  <si>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</si>
  <si>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</si>
  <si>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</si>
  <si>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</si>
  <si>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</si>
  <si>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</si>
  <si>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</si>
  <si>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</si>
  <si>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</si>
  <si>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</si>
  <si>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</si>
  <si>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</si>
  <si>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</si>
  <si>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</si>
  <si>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</si>
  <si>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</si>
  <si>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</si>
  <si>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</si>
  <si>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</si>
  <si>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</si>
  <si>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</si>
  <si>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</si>
  <si>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</si>
  <si>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</si>
  <si>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</si>
  <si>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</si>
  <si>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</si>
  <si>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</si>
  <si>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</si>
  <si>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</si>
  <si>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</si>
  <si>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</si>
  <si>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</si>
  <si>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</si>
  <si>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</si>
  <si>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</si>
  <si>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</si>
  <si>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</si>
  <si>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</si>
  <si>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</si>
  <si>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</si>
  <si>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</si>
  <si>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</si>
  <si>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</si>
  <si>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</si>
  <si>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</si>
  <si>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</si>
  <si>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</si>
  <si>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</si>
  <si>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</si>
  <si>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</si>
  <si>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</si>
  <si>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</si>
  <si>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</si>
  <si>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</si>
  <si>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</si>
  <si>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</si>
  <si>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</si>
  <si>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</si>
  <si>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</si>
  <si>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</si>
  <si>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</si>
  <si>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</si>
  <si>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</si>
  <si>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</si>
  <si>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</si>
  <si>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</si>
  <si>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</si>
  <si>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</si>
  <si>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</si>
  <si>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</si>
  <si>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</si>
  <si>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</si>
  <si>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</si>
  <si>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</si>
  <si>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</si>
  <si>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</si>
  <si>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</si>
  <si>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</si>
  <si>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</si>
  <si>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</si>
  <si>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</si>
  <si>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</si>
  <si>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</si>
  <si>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</si>
  <si>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</si>
  <si>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</si>
  <si>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</si>
  <si>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</si>
  <si>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</si>
  <si>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</si>
  <si>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</si>
  <si>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</si>
  <si>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</si>
  <si>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</si>
  <si>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</si>
  <si>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</si>
  <si>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</si>
  <si>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</si>
  <si>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</si>
  <si>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</si>
  <si>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</si>
  <si>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</si>
  <si>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</si>
  <si>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</si>
  <si>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</si>
  <si>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</si>
  <si>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</si>
  <si>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</si>
  <si>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</si>
  <si>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</si>
  <si>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</si>
  <si>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</si>
  <si>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</si>
  <si>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</si>
  <si>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</si>
  <si>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</si>
  <si>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</si>
  <si>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</si>
  <si>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</si>
  <si>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</si>
  <si>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</si>
  <si>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</si>
  <si>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</si>
  <si>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</si>
  <si>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</si>
  <si>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</si>
  <si>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</si>
  <si>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</si>
  <si>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</si>
  <si>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</si>
  <si>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</si>
  <si>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</si>
  <si>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</si>
  <si>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</si>
  <si>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</si>
  <si>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</si>
  <si>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</si>
  <si>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</si>
  <si>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</si>
  <si>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</si>
  <si>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</si>
  <si>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</si>
  <si>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</si>
  <si>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</si>
  <si>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</si>
  <si>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</si>
  <si>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</si>
  <si>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</si>
  <si>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</si>
  <si>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</si>
  <si>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</si>
  <si>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</si>
  <si>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</si>
  <si>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</si>
  <si>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</si>
  <si>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</si>
  <si>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</si>
  <si>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</si>
  <si>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</si>
  <si>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</si>
  <si>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</si>
  <si>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</si>
  <si>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</si>
  <si>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</si>
  <si>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</si>
  <si>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</si>
  <si>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</si>
  <si>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</si>
  <si>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</si>
  <si>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</si>
  <si>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</si>
  <si>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</si>
  <si>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</si>
  <si>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</si>
  <si>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</si>
  <si>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</si>
  <si>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</si>
  <si>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</si>
  <si>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</si>
  <si>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</si>
  <si>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</si>
  <si>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</si>
  <si>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</si>
  <si>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</si>
  <si>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</si>
  <si>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</si>
  <si>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</si>
  <si>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</si>
  <si>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</si>
  <si>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</si>
  <si>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</si>
  <si>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</si>
  <si>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</si>
  <si>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</si>
  <si>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</si>
  <si>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</si>
  <si>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</si>
  <si>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</si>
  <si>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</si>
  <si>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</si>
  <si>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</si>
  <si>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</si>
  <si>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</si>
  <si>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</si>
  <si>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</si>
  <si>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</si>
  <si>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</si>
  <si>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</si>
  <si>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</si>
  <si>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</si>
  <si>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</si>
  <si>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</si>
  <si>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</si>
  <si>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</si>
  <si>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</si>
  <si>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</si>
  <si>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</si>
  <si>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</si>
  <si>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</si>
  <si>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</si>
  <si>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</si>
  <si>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</si>
  <si>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</si>
  <si>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</si>
  <si>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</si>
  <si>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</si>
  <si>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</si>
  <si>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</si>
  <si>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</si>
  <si>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</si>
  <si>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</si>
  <si>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</si>
  <si>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</si>
  <si>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</si>
  <si>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</si>
  <si>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</si>
  <si>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</si>
  <si>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</si>
  <si>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</si>
  <si>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</si>
  <si>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</si>
  <si>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</si>
  <si>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</si>
  <si>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</si>
  <si>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</si>
  <si>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</si>
  <si>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</si>
  <si>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</si>
  <si>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</si>
  <si>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</si>
  <si>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</si>
  <si>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</si>
  <si>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</si>
  <si>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</si>
  <si>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</si>
  <si>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</si>
  <si>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</si>
  <si>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</si>
  <si>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</si>
  <si>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</si>
  <si>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</si>
  <si>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</si>
  <si>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</si>
  <si>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</si>
  <si>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</si>
  <si>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</si>
  <si>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</si>
  <si>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</si>
  <si>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</si>
  <si>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</si>
  <si>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</si>
  <si>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</si>
  <si>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</si>
  <si>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</si>
  <si>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</si>
  <si>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</si>
  <si>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</si>
  <si>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</si>
  <si>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</si>
  <si>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</si>
  <si>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</si>
  <si>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</si>
  <si>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</si>
  <si>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</si>
  <si>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</si>
  <si>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</si>
  <si>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</si>
  <si>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</si>
  <si>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</si>
  <si>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</si>
  <si>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</si>
  <si>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</si>
  <si>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</si>
  <si>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</si>
  <si>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</si>
  <si>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</si>
  <si>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</si>
  <si>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</si>
  <si>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</si>
  <si>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</si>
  <si>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</si>
  <si>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</si>
  <si>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</si>
  <si>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</si>
  <si>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</si>
  <si>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</si>
  <si>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</si>
  <si>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</si>
  <si>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</si>
  <si>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</si>
  <si>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</si>
  <si>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</si>
  <si>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</si>
  <si>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</si>
  <si>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</si>
  <si>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</si>
  <si>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</si>
  <si>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</si>
  <si>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</si>
  <si>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</si>
  <si>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</si>
  <si>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</si>
  <si>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</si>
  <si>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</si>
  <si>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</si>
  <si>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</si>
  <si>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</si>
  <si>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</si>
  <si>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</si>
  <si>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</si>
  <si>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</si>
  <si>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</si>
  <si>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</si>
  <si>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</si>
  <si>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</si>
  <si>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</si>
  <si>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</si>
  <si>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</si>
  <si>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</si>
  <si>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</si>
  <si>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</si>
  <si>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</si>
  <si>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</si>
  <si>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</si>
  <si>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</si>
  <si>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</si>
  <si>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</si>
  <si>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</si>
  <si>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</si>
  <si>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</si>
  <si>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</si>
  <si>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</si>
  <si>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</si>
  <si>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</si>
  <si>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</si>
  <si>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</si>
  <si>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</si>
  <si>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</si>
  <si>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</si>
  <si>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</si>
  <si>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</si>
  <si>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</si>
  <si>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</si>
  <si>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</si>
  <si>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</si>
  <si>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</si>
  <si>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</si>
  <si>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</si>
  <si>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</si>
  <si>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</si>
  <si>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</si>
  <si>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</si>
  <si>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</si>
  <si>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</si>
  <si>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</si>
  <si>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</si>
  <si>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</si>
  <si>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</si>
  <si>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</si>
  <si>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</si>
  <si>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</si>
  <si>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</si>
  <si>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</si>
  <si>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</si>
  <si>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</si>
  <si>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</si>
  <si>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</si>
  <si>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</si>
  <si>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</si>
  <si>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</si>
  <si>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</si>
  <si>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</si>
  <si>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</si>
  <si>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</si>
  <si>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</si>
  <si>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</si>
  <si>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</si>
  <si>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</si>
  <si>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</si>
  <si>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</si>
  <si>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</si>
  <si>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</si>
  <si>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</si>
  <si>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</si>
  <si>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</si>
  <si>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</si>
  <si>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</si>
  <si>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</si>
  <si>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</si>
  <si>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</si>
  <si>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</si>
  <si>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</si>
  <si>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</si>
  <si>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</si>
  <si>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</si>
  <si>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</si>
  <si>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</si>
  <si>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</si>
  <si>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</si>
  <si>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</si>
  <si>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</si>
  <si>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</si>
  <si>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</si>
  <si>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</si>
  <si>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</si>
  <si>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</si>
  <si>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</si>
  <si>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</si>
  <si>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</si>
  <si>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</si>
  <si>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</si>
  <si>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</si>
  <si>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</si>
  <si>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</si>
  <si>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</si>
  <si>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</si>
  <si>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</si>
  <si>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</si>
  <si>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</si>
  <si>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</si>
  <si>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</si>
  <si>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</si>
  <si>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</si>
  <si>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</si>
  <si>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</si>
  <si>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</si>
  <si>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</si>
  <si>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</si>
  <si>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</si>
  <si>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</si>
  <si>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</si>
  <si>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</si>
  <si>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</si>
  <si>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</si>
  <si>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</si>
  <si>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</si>
  <si>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</si>
  <si>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</si>
  <si>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</si>
  <si>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</si>
  <si>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</si>
  <si>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</si>
  <si>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</si>
  <si>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</si>
  <si>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</si>
  <si>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</si>
  <si>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</si>
  <si>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</si>
  <si>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</si>
  <si>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</si>
  <si>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</si>
  <si>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</si>
  <si>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</si>
  <si>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</si>
  <si>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</si>
  <si>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</si>
  <si>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</si>
  <si>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</si>
  <si>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</si>
  <si>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</si>
  <si>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</si>
  <si>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</si>
  <si>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</si>
  <si>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</si>
  <si>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</si>
  <si>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</si>
  <si>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</si>
  <si>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</si>
  <si>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</si>
  <si>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</si>
  <si>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</si>
  <si>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</si>
  <si>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</si>
  <si>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</si>
  <si>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</si>
  <si>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</si>
  <si>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</si>
  <si>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</si>
  <si>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</si>
  <si>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</si>
  <si>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</si>
  <si>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</si>
  <si>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</si>
  <si>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</si>
  <si>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</si>
  <si>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</si>
  <si>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</si>
  <si>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</si>
  <si>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</si>
  <si>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</si>
  <si>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</si>
  <si>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</si>
  <si>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</si>
  <si>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</si>
  <si>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</si>
  <si>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</si>
  <si>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</si>
  <si>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</si>
  <si>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</si>
  <si>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</si>
  <si>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</si>
  <si>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</si>
  <si>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</si>
  <si>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</si>
  <si>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</si>
  <si>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</si>
  <si>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</si>
  <si>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</si>
  <si>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</si>
  <si>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</si>
  <si>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</si>
  <si>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</si>
  <si>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</si>
  <si>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</si>
  <si>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</si>
  <si>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</si>
  <si>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</si>
  <si>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</si>
  <si>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</si>
  <si>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</si>
  <si>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</si>
  <si>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</si>
  <si>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</si>
  <si>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</si>
  <si>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</si>
  <si>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</si>
  <si>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</si>
  <si>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</si>
  <si>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</si>
  <si>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</si>
  <si>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</si>
  <si>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</si>
  <si>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</si>
  <si>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</si>
  <si>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</si>
  <si>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</si>
  <si>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</si>
  <si>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</si>
  <si>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</si>
  <si>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</si>
  <si>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</si>
  <si>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</si>
  <si>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</si>
  <si>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</si>
  <si>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</si>
  <si>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</si>
  <si>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</si>
  <si>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</si>
  <si>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</si>
  <si>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</si>
  <si>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</si>
  <si>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</si>
  <si>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</si>
  <si>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</si>
  <si>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</si>
  <si>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</si>
  <si>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</si>
  <si>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</si>
  <si>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</si>
  <si>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</si>
  <si>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</si>
  <si>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</si>
  <si>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</si>
  <si>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</si>
  <si>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</si>
  <si>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</si>
  <si>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</si>
  <si>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</si>
  <si>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</si>
  <si>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</si>
  <si>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</si>
  <si>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</si>
  <si>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</si>
  <si>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</si>
  <si>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</si>
  <si>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</si>
  <si>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</si>
  <si>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</si>
  <si>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</si>
  <si>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</si>
  <si>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</si>
  <si>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</si>
  <si>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</si>
  <si>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</si>
  <si>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</si>
  <si>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</si>
  <si>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</si>
  <si>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</si>
  <si>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</si>
  <si>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</si>
  <si>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</si>
  <si>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</si>
  <si>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</si>
  <si>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</si>
  <si>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</si>
  <si>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</si>
  <si>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</si>
  <si>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</si>
  <si>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</si>
  <si>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</si>
  <si>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</si>
  <si>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</si>
  <si>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</si>
  <si>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</si>
  <si>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</si>
  <si>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</si>
  <si>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</si>
  <si>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</si>
  <si>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</si>
  <si>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</si>
  <si>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</si>
  <si>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</si>
  <si>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</si>
  <si>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</si>
  <si>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</si>
  <si>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</si>
  <si>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</si>
  <si>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</si>
  <si>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</si>
  <si>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</si>
  <si>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</si>
  <si>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</si>
  <si>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</si>
  <si>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</si>
  <si>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</si>
  <si>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</si>
  <si>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</si>
  <si>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</si>
  <si>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</si>
  <si>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</si>
  <si>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</si>
  <si>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</si>
  <si>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</si>
  <si>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</si>
  <si>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</si>
  <si>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</si>
  <si>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</si>
  <si>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</si>
  <si>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</si>
  <si>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</si>
  <si>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</si>
  <si>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</si>
  <si>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</si>
  <si>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</si>
  <si>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</si>
  <si>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</si>
  <si>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</si>
  <si>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</si>
  <si>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</si>
  <si>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</si>
  <si>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</si>
  <si>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</si>
  <si>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</si>
  <si>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</si>
  <si>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</si>
  <si>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</si>
  <si>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</si>
  <si>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</si>
  <si>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</si>
  <si>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</si>
  <si>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</si>
  <si>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</si>
  <si>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</si>
  <si>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</si>
  <si>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</si>
  <si>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</si>
  <si>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</si>
  <si>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</si>
  <si>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</si>
  <si>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</si>
  <si>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</si>
  <si>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</si>
  <si>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</si>
  <si>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</si>
  <si>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</si>
  <si>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</si>
  <si>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</si>
  <si>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</si>
  <si>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</si>
  <si>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</si>
  <si>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</si>
  <si>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</si>
  <si>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</si>
  <si>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</si>
  <si>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</si>
  <si>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</si>
  <si>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</si>
  <si>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</si>
  <si>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</si>
  <si>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</si>
  <si>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</si>
  <si>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</si>
  <si>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</si>
  <si>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</si>
  <si>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</si>
  <si>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</si>
  <si>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</si>
  <si>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</si>
  <si>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</si>
  <si>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</si>
  <si>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</si>
  <si>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</si>
  <si>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</si>
  <si>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</si>
  <si>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</si>
  <si>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</si>
  <si>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</si>
  <si>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</si>
  <si>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</si>
  <si>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</si>
  <si>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</si>
  <si>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</si>
  <si>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</si>
  <si>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</si>
  <si>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</si>
  <si>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</si>
  <si>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</si>
  <si>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</si>
  <si>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</si>
  <si>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</si>
  <si>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</si>
  <si>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</si>
  <si>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</si>
  <si>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</si>
  <si>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</si>
  <si>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</si>
  <si>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</si>
  <si>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</si>
  <si>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</si>
  <si>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</si>
  <si>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</si>
  <si>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</si>
  <si>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</si>
  <si>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</si>
  <si>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</si>
  <si>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</si>
  <si>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</si>
  <si>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</si>
  <si>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</si>
  <si>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</si>
  <si>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</si>
  <si>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</si>
  <si>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</si>
  <si>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</si>
  <si>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</si>
  <si>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</si>
  <si>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</si>
  <si>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</si>
  <si>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</si>
  <si>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</si>
  <si>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</si>
  <si>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</si>
  <si>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</si>
  <si>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</si>
  <si>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</si>
  <si>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</si>
  <si>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</si>
  <si>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</si>
  <si>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</si>
  <si>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</si>
  <si>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</si>
  <si>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</si>
  <si>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</si>
  <si>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</si>
  <si>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</si>
  <si>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</si>
  <si>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</si>
  <si>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</si>
  <si>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</si>
  <si>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</si>
  <si>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</si>
  <si>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</si>
  <si>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</si>
  <si>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</si>
  <si>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</si>
  <si>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</si>
  <si>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</si>
  <si>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</si>
  <si>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</si>
  <si>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</si>
  <si>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</si>
  <si>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</si>
  <si>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</si>
  <si>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</si>
  <si>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</si>
  <si>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</si>
  <si>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</si>
  <si>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</si>
  <si>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</si>
  <si>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</si>
  <si>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</si>
  <si>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</si>
  <si>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</si>
  <si>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</si>
  <si>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</si>
  <si>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</si>
  <si>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</si>
  <si>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</si>
  <si>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</si>
  <si>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</si>
  <si>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</si>
  <si>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</si>
  <si>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</si>
  <si>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</si>
  <si>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</si>
  <si>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</si>
  <si>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</si>
  <si>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</si>
  <si>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</si>
  <si>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</si>
  <si>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</si>
  <si>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</si>
  <si>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</si>
  <si>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</si>
  <si>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</si>
  <si>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</si>
  <si>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</si>
  <si>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</si>
  <si>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</si>
  <si>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</si>
  <si>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</si>
  <si>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</si>
  <si>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</si>
  <si>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</si>
  <si>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</si>
  <si>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</si>
  <si>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</si>
  <si>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</si>
  <si>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</si>
  <si>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</si>
  <si>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</si>
  <si>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</si>
  <si>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</si>
  <si>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</si>
  <si>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</si>
  <si>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</si>
  <si>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</si>
  <si>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</si>
  <si>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</si>
  <si>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</si>
  <si>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</si>
  <si>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</si>
  <si>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</si>
  <si>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</si>
  <si>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</si>
  <si>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</si>
  <si>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</si>
  <si>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</si>
  <si>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</si>
  <si>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</si>
  <si>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</si>
  <si>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</si>
  <si>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</si>
  <si>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</si>
  <si>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</si>
  <si>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</si>
  <si>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</si>
  <si>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</si>
  <si>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</si>
  <si>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</si>
  <si>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</si>
  <si>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</si>
  <si>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</si>
  <si>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</si>
  <si>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</si>
  <si>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</si>
  <si>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</si>
  <si>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</si>
  <si>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</si>
  <si>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</si>
  <si>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</si>
  <si>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</si>
  <si>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</si>
  <si>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</si>
  <si>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</si>
  <si>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</si>
  <si>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</si>
  <si>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</si>
  <si>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</si>
  <si>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</si>
  <si>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</si>
  <si>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</si>
  <si>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</si>
  <si>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</si>
  <si>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</si>
  <si>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</si>
  <si>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</si>
  <si>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</si>
  <si>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</si>
  <si>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</si>
  <si>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</si>
  <si>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</si>
  <si>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</si>
  <si>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</si>
  <si>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</si>
  <si>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</si>
  <si>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</si>
  <si>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</si>
  <si>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</si>
  <si>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</si>
  <si>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</si>
  <si>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</si>
  <si>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</si>
  <si>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</si>
  <si>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</si>
  <si>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</si>
  <si>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</si>
  <si>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</si>
  <si>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</si>
  <si>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</si>
  <si>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</si>
  <si>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</si>
  <si>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</si>
  <si>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</si>
  <si>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</si>
  <si>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</si>
  <si>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</si>
  <si>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</si>
  <si>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</si>
  <si>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</si>
  <si>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</si>
  <si>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</si>
  <si>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</si>
  <si>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</si>
  <si>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</si>
  <si>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</si>
  <si>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</si>
  <si>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</si>
  <si>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</si>
  <si>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</si>
  <si>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</si>
  <si>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</si>
  <si>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</si>
  <si>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</si>
  <si>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</si>
  <si>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</si>
  <si>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</si>
  <si>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</si>
  <si>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</si>
  <si>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</si>
  <si>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</si>
  <si>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</si>
  <si>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</si>
  <si>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</si>
  <si>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</si>
  <si>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</si>
  <si>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</si>
  <si>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</si>
  <si>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</si>
  <si>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</si>
  <si>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</si>
  <si>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</si>
  <si>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</si>
  <si>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</si>
  <si>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</si>
  <si>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</si>
  <si>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</si>
  <si>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</si>
  <si>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</si>
  <si>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</si>
  <si>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</si>
  <si>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</si>
  <si>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</si>
  <si>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</si>
  <si>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</si>
  <si>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</si>
  <si>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</si>
  <si>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</si>
  <si>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</si>
  <si>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</si>
  <si>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</si>
  <si>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</si>
  <si>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</si>
  <si>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</si>
  <si>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</si>
  <si>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</si>
  <si>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</si>
  <si>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</si>
  <si>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</si>
  <si>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</si>
  <si>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</si>
  <si>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</si>
  <si>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</si>
  <si>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</si>
  <si>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</si>
  <si>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</si>
  <si>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</si>
  <si>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</si>
  <si>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</si>
  <si>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</si>
  <si>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</si>
  <si>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</si>
  <si>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</si>
  <si>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</si>
  <si>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</si>
  <si>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</si>
  <si>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</si>
  <si>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</si>
  <si>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</si>
  <si>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</si>
  <si>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</si>
  <si>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</si>
  <si>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</si>
  <si>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</si>
  <si>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</si>
  <si>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</si>
  <si>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</si>
  <si>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</si>
  <si>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</si>
  <si>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</si>
  <si>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</si>
  <si>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</si>
  <si>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</si>
  <si>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</si>
  <si>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</si>
  <si>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</si>
  <si>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</si>
  <si>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</si>
  <si>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</si>
  <si>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</si>
  <si>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</si>
  <si>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</si>
  <si>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</si>
  <si>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</si>
  <si>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</si>
  <si>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</si>
  <si>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</si>
  <si>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</si>
  <si>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</si>
  <si>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</si>
  <si>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</si>
  <si>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</si>
  <si>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</si>
  <si>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</si>
  <si>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</si>
  <si>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</si>
  <si>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</si>
  <si>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</si>
  <si>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</si>
  <si>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</si>
  <si>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</si>
  <si>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320-302-0010-0000</t>
  </si>
  <si>
    <t>320-306-0010-0000</t>
  </si>
  <si>
    <t>320-316-0010-0000</t>
  </si>
  <si>
    <t>320-320-0010-0000</t>
  </si>
  <si>
    <t>320-320-0130-0000</t>
  </si>
  <si>
    <t>320-321-4999-0000</t>
  </si>
  <si>
    <t>320-322-0500-0000</t>
  </si>
  <si>
    <t>320-322-1000-0000</t>
  </si>
  <si>
    <t>320-322-1100-0000</t>
  </si>
  <si>
    <t>320-322-1110-0000</t>
  </si>
  <si>
    <t>320-322-1610-0000</t>
  </si>
  <si>
    <t>320-322-3128-0000</t>
  </si>
  <si>
    <t>320-322-3220-0000</t>
  </si>
  <si>
    <t>320-324-1000-0000</t>
  </si>
  <si>
    <t>320-324-1100-0000</t>
  </si>
  <si>
    <t>320-324-1600-0000</t>
  </si>
  <si>
    <t>320-326-0500-0000</t>
  </si>
  <si>
    <t>320-326-1000-0000</t>
  </si>
  <si>
    <t>320-326-1214-0000</t>
  </si>
  <si>
    <t>320-326-1410-0000</t>
  </si>
  <si>
    <t>320-326-1610-0000</t>
  </si>
  <si>
    <t>320-326-3026-0000</t>
  </si>
  <si>
    <t>320-326-3040-0000</t>
  </si>
  <si>
    <t>320-326-3202-0000</t>
  </si>
  <si>
    <t>320-326-3256-0000</t>
  </si>
  <si>
    <t>320-326-3338-0000</t>
  </si>
  <si>
    <t>320-328-0500-0000</t>
  </si>
  <si>
    <t>320-328-1000-0000</t>
  </si>
  <si>
    <t>320-328-1110-0000</t>
  </si>
  <si>
    <t>320-328-1214-0000</t>
  </si>
  <si>
    <t>320-328-1610-0000</t>
  </si>
  <si>
    <t>320-328-3026-0000</t>
  </si>
  <si>
    <t>320-328-3202-0000</t>
  </si>
  <si>
    <t>320-328-3300-0000</t>
  </si>
  <si>
    <t>320-330-1000-0000</t>
  </si>
  <si>
    <t>320-338-0010-0000</t>
  </si>
  <si>
    <t>320-340-0010-0000</t>
  </si>
  <si>
    <t>320-340-0312-0000</t>
  </si>
  <si>
    <t>320-358-0010-0000</t>
  </si>
  <si>
    <t>320-360-0220-0000</t>
  </si>
  <si>
    <t>320-362-0010-0000</t>
  </si>
  <si>
    <t>320-364-2054-0000</t>
  </si>
  <si>
    <t>320-995-0010-0000</t>
  </si>
  <si>
    <t>320-995-0220-0000</t>
  </si>
  <si>
    <t>320-995-0324-0000</t>
  </si>
  <si>
    <t>320-995-0600-0000</t>
  </si>
  <si>
    <t>320-995-2029-0000</t>
  </si>
  <si>
    <t>320-995-2058-0000</t>
  </si>
  <si>
    <t>320-995-3040-0000</t>
  </si>
  <si>
    <t>320-995-4999-0000</t>
  </si>
  <si>
    <t>SAN JOAQUIN VALLEY AIR BASIN</t>
  </si>
  <si>
    <t>040-005-0124-0000</t>
  </si>
  <si>
    <t>040-010-0120-0000</t>
  </si>
  <si>
    <t>040-045-1412-0000</t>
  </si>
  <si>
    <t>320-304-0010-0000</t>
  </si>
  <si>
    <t>320-308-0010-0000</t>
  </si>
  <si>
    <t>320-320-0120-0000</t>
  </si>
  <si>
    <t>320-322-1130-0000</t>
  </si>
  <si>
    <t>320-322-1214-0000</t>
  </si>
  <si>
    <t>320-322-1420-0000</t>
  </si>
  <si>
    <t>320-322-1600-0000</t>
  </si>
  <si>
    <t>320-324-1110-0000</t>
  </si>
  <si>
    <t>320-324-1224-0000</t>
  </si>
  <si>
    <t>320-326-0410-0000</t>
  </si>
  <si>
    <t>320-326-1110-0000</t>
  </si>
  <si>
    <t>320-326-1130-0000</t>
  </si>
  <si>
    <t>320-326-1530-0000</t>
  </si>
  <si>
    <t>320-328-0410-0000</t>
  </si>
  <si>
    <t>320-328-1120-0000</t>
  </si>
  <si>
    <t>320-328-1130-0000</t>
  </si>
  <si>
    <t>320-328-1410-0000</t>
  </si>
  <si>
    <t>320-328-1530-0000</t>
  </si>
  <si>
    <t>320-328-3220-0000</t>
  </si>
  <si>
    <t>320-332-0100-0000</t>
  </si>
  <si>
    <t>320-332-0110-0000</t>
  </si>
  <si>
    <t>320-390-0010-0000</t>
  </si>
  <si>
    <t>320-390-1600-0000</t>
  </si>
  <si>
    <t>320-995-0120-0000</t>
  </si>
  <si>
    <t>320-995-0210-0000</t>
  </si>
  <si>
    <t>320-995-0400-0000</t>
  </si>
  <si>
    <t>320-995-7050-0000</t>
  </si>
  <si>
    <t>SOUTH CENTRAL COAST AIR BASIN</t>
  </si>
  <si>
    <t>320-324-1410-0000</t>
  </si>
  <si>
    <t>320-324-1420-0000</t>
  </si>
  <si>
    <t>320-328-1420-0000</t>
  </si>
  <si>
    <t>320-390-1200-0000</t>
  </si>
  <si>
    <t>320-390-1400-0000</t>
  </si>
  <si>
    <t>SOUTH COAST AIR BASIN</t>
  </si>
  <si>
    <t>040-010-1220-0000</t>
  </si>
  <si>
    <t>040-010-1500-0000</t>
  </si>
  <si>
    <t>040-020-0110-0000</t>
  </si>
  <si>
    <t>040-040-0124-0000</t>
  </si>
  <si>
    <t>040-040-1100-0000</t>
  </si>
  <si>
    <t>040-045-0130-0000</t>
  </si>
  <si>
    <t>320-322-1120-0000</t>
  </si>
  <si>
    <t>320-322-1410-0000</t>
  </si>
  <si>
    <t>320-324-3128-0000</t>
  </si>
  <si>
    <t>320-326-1420-0000</t>
  </si>
  <si>
    <t>320-326-3128-0000</t>
  </si>
  <si>
    <t>320-326-3282-0000</t>
  </si>
  <si>
    <t>3282-O-XYLENES (UNSPECIFIED)</t>
  </si>
  <si>
    <t>320-326-3322-0000</t>
  </si>
  <si>
    <t>320-328-3282-0000</t>
  </si>
  <si>
    <t>320-328-3322-0000</t>
  </si>
  <si>
    <t>320-328-3338-0000</t>
  </si>
  <si>
    <t>320-330-1214-0000</t>
  </si>
  <si>
    <t>320-358-7000-0000</t>
  </si>
  <si>
    <t>320-362-0600-0000</t>
  </si>
  <si>
    <t>320-390-1100-0000</t>
  </si>
  <si>
    <t>320-390-1300-0000</t>
  </si>
  <si>
    <t>320-392-1100-0000</t>
  </si>
  <si>
    <t>320-995-0131-0000</t>
  </si>
  <si>
    <t>0131-PROCESS GAS - SOUR</t>
  </si>
  <si>
    <t>320-995-1100-0000</t>
  </si>
  <si>
    <t>320-995-1600-0000</t>
  </si>
  <si>
    <t>320-995-8000-0000</t>
  </si>
  <si>
    <t xml:space="preserve">TPD </t>
  </si>
  <si>
    <t>North Central Coast Basin</t>
  </si>
  <si>
    <t>San Joaquin Valley Air Basin</t>
  </si>
  <si>
    <t>South Central Coast Air Basin</t>
  </si>
  <si>
    <t>South Coast Air Basin</t>
  </si>
  <si>
    <t>2018 assumptions</t>
  </si>
  <si>
    <t xml:space="preserve">Great Basin Valley </t>
  </si>
  <si>
    <t>TPD</t>
  </si>
  <si>
    <t xml:space="preserve">North Central Cost </t>
  </si>
  <si>
    <t xml:space="preserve">Northeast Plateaus </t>
  </si>
  <si>
    <t xml:space="preserve">San Francisco Bay </t>
  </si>
  <si>
    <t>GREAT BASIN VALLEYS AIR BASIN</t>
  </si>
  <si>
    <t>810-808-1400-0000</t>
  </si>
  <si>
    <t>810-AIRCRAFT</t>
  </si>
  <si>
    <t>808-JET AIRCRAFT - MILITARY</t>
  </si>
  <si>
    <t>810-810-1400-0000</t>
  </si>
  <si>
    <t>810-JET AIRCRAFT - COMMERCIAL</t>
  </si>
  <si>
    <t>810-812-1400-0000</t>
  </si>
  <si>
    <t>812-JET AIRCRAFT - CIVIL</t>
  </si>
  <si>
    <t>SUM</t>
  </si>
  <si>
    <t>LAKE COUNTY AIR BASIN</t>
  </si>
  <si>
    <t>LAKE TAHOE AIR BASIN</t>
  </si>
  <si>
    <t>MOJAVE DESERT AIR BASIN</t>
  </si>
  <si>
    <t>810-800-1140-0000</t>
  </si>
  <si>
    <t>800-PISTON AIRCRAFT - MILITARY</t>
  </si>
  <si>
    <t>810-802-1140-0000</t>
  </si>
  <si>
    <t>802-PISTON AIRCRAFT - COMMERCIAL</t>
  </si>
  <si>
    <t>810-804-1140-0000</t>
  </si>
  <si>
    <t>804-PISTON AIRCRAFT - CIVIL</t>
  </si>
  <si>
    <t>810-806-1140-0000</t>
  </si>
  <si>
    <t>806-AGRICULTURAL AIRCRAFT (CROP DUSTING)</t>
  </si>
  <si>
    <t>---</t>
  </si>
  <si>
    <t>000-</t>
  </si>
  <si>
    <t>0000-</t>
  </si>
  <si>
    <t>MOUNTAIN COUNTIES AIR BASIN</t>
  </si>
  <si>
    <t>NORTH COAST AIR BASIN</t>
  </si>
  <si>
    <t>NORTHEAST PLATEAU AIR BASIN</t>
  </si>
  <si>
    <t>SACRAMENTO VALLEY AIR BASIN</t>
  </si>
  <si>
    <t>SALTON SEA AIR BASIN</t>
  </si>
  <si>
    <t>810-808-1430-0000</t>
  </si>
  <si>
    <t>810-810-1450-0000</t>
  </si>
  <si>
    <t>810-812-1450-0000</t>
  </si>
  <si>
    <t>SAN DIEGO AIR BASIN</t>
  </si>
  <si>
    <t>GREAT BASIN VALLEYS</t>
  </si>
  <si>
    <t>LAKE COUNTY</t>
  </si>
  <si>
    <t>LAKE TAHOE</t>
  </si>
  <si>
    <t>MOJAVE DESERT</t>
  </si>
  <si>
    <t>MOUNTAIN COUNTIES</t>
  </si>
  <si>
    <t>NORTH CENTRAL COAST</t>
  </si>
  <si>
    <t>NORTH COAST</t>
  </si>
  <si>
    <t>NORTHEAST PLATEAU</t>
  </si>
  <si>
    <t>SACRAMENTO VALLEY</t>
  </si>
  <si>
    <t>SALTON SEA</t>
  </si>
  <si>
    <t>SAN DIEGO</t>
  </si>
  <si>
    <t>SAN FRANCISCO BAY AREA</t>
  </si>
  <si>
    <t>SAN JOAQUIN VALLEY</t>
  </si>
  <si>
    <t>SOUTH CENTRAL COAST</t>
  </si>
  <si>
    <t>SOUTH COAST</t>
  </si>
  <si>
    <t xml:space="preserve">Air Basin </t>
  </si>
  <si>
    <t xml:space="preserve">Unit </t>
  </si>
  <si>
    <t>Mojave Dessert</t>
  </si>
  <si>
    <t xml:space="preserve">Northeast Plateau </t>
  </si>
  <si>
    <t xml:space="preserve">STATEWIDE </t>
  </si>
  <si>
    <t>Mojave Desert - Refining</t>
  </si>
  <si>
    <t>Mojave Desert - Combustion</t>
  </si>
  <si>
    <t>North Central Coast - Refining</t>
  </si>
  <si>
    <t>North Central Coast - Combustion</t>
  </si>
  <si>
    <t>San Francisco Bay Area - Refining</t>
  </si>
  <si>
    <t>San Francisco Bay Area - Combustion</t>
  </si>
  <si>
    <t>San Joaquin Valley - Refining</t>
  </si>
  <si>
    <t>San Joaquin Valley - Combustion</t>
  </si>
  <si>
    <t>South Central Coast - Refining</t>
  </si>
  <si>
    <t>South Central Coast - Combustion</t>
  </si>
  <si>
    <t>South Coast - Refining</t>
  </si>
  <si>
    <t>South Coast - Combustion</t>
  </si>
  <si>
    <t>TOTAL</t>
  </si>
  <si>
    <t xml:space="preserve">SC Petroleum Refining - Combustion </t>
  </si>
  <si>
    <t>SC Petroleum Refining</t>
  </si>
  <si>
    <t>SCC Petroleum Refining - Combustion</t>
  </si>
  <si>
    <t>SCC Petroleum Refining</t>
  </si>
  <si>
    <t xml:space="preserve">SJV Petroleum Refining </t>
  </si>
  <si>
    <t>SJV Petroleum Refinery - Combustion</t>
  </si>
  <si>
    <t>SF Petroleum Refinery</t>
  </si>
  <si>
    <t>SF Petroleum Refining - Combustion</t>
  </si>
  <si>
    <t>NCC Petroleum Refining</t>
  </si>
  <si>
    <t>Mojave Desert Petroleum Refining</t>
  </si>
  <si>
    <t>320-321-0320-0000</t>
  </si>
  <si>
    <t>320-995-0320-0000</t>
  </si>
  <si>
    <t xml:space="preserve">Mojave Desert </t>
  </si>
  <si>
    <t>San Joaquin Valley</t>
  </si>
  <si>
    <t>Source: http://biodiesel.org/production/plants/plants-listing</t>
  </si>
  <si>
    <t>Company</t>
  </si>
  <si>
    <t>Address</t>
  </si>
  <si>
    <t>State</t>
  </si>
  <si>
    <t>Zip</t>
  </si>
  <si>
    <t>BQ9000</t>
  </si>
  <si>
    <t>RFS</t>
  </si>
  <si>
    <t>WebSite</t>
  </si>
  <si>
    <t>Plant</t>
  </si>
  <si>
    <t>Last</t>
  </si>
  <si>
    <t>Status</t>
  </si>
  <si>
    <t>Reported</t>
  </si>
  <si>
    <t xml:space="preserve">AIR BASIN </t>
  </si>
  <si>
    <t>Agron Bioenergy</t>
  </si>
  <si>
    <t>860 W. Beach Street</t>
  </si>
  <si>
    <t>Watsonville</t>
  </si>
  <si>
    <t>CA</t>
  </si>
  <si>
    <t>www.northstarbiofuels.com</t>
  </si>
  <si>
    <t>Baker Commodities Los Angeles</t>
  </si>
  <si>
    <t>4020 Bandini Blvd</t>
  </si>
  <si>
    <t>Vernon</t>
  </si>
  <si>
    <t>www.bakercommodities.com</t>
  </si>
  <si>
    <t>Bay Biodiesel, LLC (San Jose)</t>
  </si>
  <si>
    <t>905 Stockton Ave</t>
  </si>
  <si>
    <t>San Jose</t>
  </si>
  <si>
    <t>www.baybiodiesel.com</t>
  </si>
  <si>
    <t>Biodico Westside, LLC</t>
  </si>
  <si>
    <t>15945 W. Oakland Ave</t>
  </si>
  <si>
    <t>Five Points</t>
  </si>
  <si>
    <t>www.biodico.com</t>
  </si>
  <si>
    <t>Biodiesel Industries of Ventura, LLC</t>
  </si>
  <si>
    <t>U.S. Naval Base Ventura, National Environmental Test Site</t>
  </si>
  <si>
    <t>Port Hueneme</t>
  </si>
  <si>
    <t>Community Fuels</t>
  </si>
  <si>
    <t>809-C Snedeker Ave.</t>
  </si>
  <si>
    <t>www.communityfuels.com</t>
  </si>
  <si>
    <t>Crimson Renewable Energy, LP</t>
  </si>
  <si>
    <t>17731 Millux Rd.</t>
  </si>
  <si>
    <t>www.crimsonrenewable.com</t>
  </si>
  <si>
    <t>GeoGreen Biofuels, Inc.</t>
  </si>
  <si>
    <t>6011 Malburg Way</t>
  </si>
  <si>
    <t>www.geogreen.com</t>
  </si>
  <si>
    <t>Imperial Western Products</t>
  </si>
  <si>
    <t>86600 54th Ave</t>
  </si>
  <si>
    <t>Coachella</t>
  </si>
  <si>
    <t>www.biotanefuels.com</t>
  </si>
  <si>
    <t xml:space="preserve">Salton Sea </t>
  </si>
  <si>
    <t>New Leaf Biofuel, LLC</t>
  </si>
  <si>
    <t>2285 Newton Ave.</t>
  </si>
  <si>
    <t>www.newleafbiofuel.com</t>
  </si>
  <si>
    <t>Simple Fuels Biodiesel, Inc.</t>
  </si>
  <si>
    <t>93232 Highway 70</t>
  </si>
  <si>
    <t>Chilcoot</t>
  </si>
  <si>
    <t>www.simplefuels.com</t>
  </si>
  <si>
    <t>Air Basin Diesel-Fueled Mobile Source NOx Emissions as % of Statewide NOx Emissions from Diesel-Fueled Mobile Sources</t>
  </si>
  <si>
    <t>NOx as % of Statewide Total NOx</t>
  </si>
  <si>
    <t>NTDE NOx as % of Statewide Total NTDE Nox</t>
  </si>
  <si>
    <t>Non-NTDE NOx as % of Statewide Total Non-NTDE NOx</t>
  </si>
  <si>
    <t>Outer Continental Shelf (within 3 miles)</t>
  </si>
  <si>
    <t>Summary of Diesel-Fueled Mobile Source PM Exhaust Emissions Inventory Data by Air Basin - Exclusive of OGVs</t>
  </si>
  <si>
    <t>Air Basin - Emission Categories</t>
  </si>
  <si>
    <t>Emissions Inventory - On-Road (Mobile) (TPY)</t>
  </si>
  <si>
    <t>Emissions Inventory - Off-Road (Mobile) (TPY)</t>
  </si>
  <si>
    <t xml:space="preserve">Emissions Inventory - Mobile Total (TPY) </t>
  </si>
  <si>
    <t>Mobile PM Emissions as % of Statewide Mobile PM Emissions</t>
  </si>
  <si>
    <t>Emissions Inventory - On-Road (Mobile) (TPD)</t>
  </si>
  <si>
    <t>Emissions Inventory - Off-Road (Mobile) (TPD)</t>
  </si>
  <si>
    <t xml:space="preserve">Emissions Inventory - Mobile Total (TPD) </t>
  </si>
  <si>
    <t>Statewide</t>
  </si>
  <si>
    <t xml:space="preserve">Emissions Inventory -  Mobile Total (TPD) </t>
  </si>
  <si>
    <t>Statewide - Sum of Air Basins (for QA/QC)</t>
  </si>
  <si>
    <t>Statewide - QA/QC Check</t>
  </si>
  <si>
    <t>PM decrease - Mobile (TPD)</t>
  </si>
  <si>
    <t>Notes:</t>
  </si>
  <si>
    <t>1. Emissions Inventory data from ARB Emissions Inventory; Particulate matter (PM2.5) data extracted using EMFAC2021 v1.02 for onroad and v1.0.3 for offroad</t>
  </si>
  <si>
    <t>2. All Emissions Inventory data filtered for the following fuel type:
     - Diesel</t>
  </si>
  <si>
    <t>3. PM emissions associated with "Diesel/Kerosene" fuel (EIMAT code 1299) excluded.</t>
  </si>
  <si>
    <t>4. Emissions Inventory - Off-Road (Mobile) emissions do not include Ocean-Going Vessel (OGV) emissions.</t>
  </si>
  <si>
    <t>5. Includes Outer Continental Shelf (OCS) Air Basin emissions only out to three miles (i.e., does not include emissions out to 24 miles or 100 miles).</t>
  </si>
  <si>
    <t>BAU Comparison NOx</t>
  </si>
  <si>
    <t>Upstream NOx Emission Changes from Declining Fossil Fuel Extraction</t>
  </si>
  <si>
    <t>San Francisco Bay Area</t>
  </si>
  <si>
    <t>Tailpipe/Mobile Source NOx Emissions Changes Due to Increased Use of BD/RD</t>
  </si>
  <si>
    <t>NOx Emissions Changes Due to Use of Alternative Jet Fuel vs. Conventional Jet Fuel</t>
  </si>
  <si>
    <t>NOx Emissions Changes Due to Increased Renewable Fuel Production from Dairy Gas</t>
  </si>
  <si>
    <t>NOx Emissions Changes Due to Increased Renewable Fuel Production from Oils</t>
  </si>
  <si>
    <t>NOx Emissions Changes Due to Changes Fuel Production from Fossil Natural Gas</t>
  </si>
  <si>
    <t>NOx Emissions Changes Due to Increased Truck Transportation of Biofuels</t>
  </si>
  <si>
    <t>NOx Emissions Changes Due to Increased Rail Transportation of Imported Biofuels</t>
  </si>
  <si>
    <t>Total NOx Emissions</t>
  </si>
  <si>
    <t>Criteria Pollutant</t>
  </si>
  <si>
    <t xml:space="preserve">NOx </t>
  </si>
  <si>
    <t>tons/day</t>
  </si>
  <si>
    <t>Upstream</t>
  </si>
  <si>
    <t>Biodiesel/Renewable Diesel Tailpipe</t>
  </si>
  <si>
    <t>Jet Fuel Tailpipe</t>
  </si>
  <si>
    <t>Biomethane Upgrading</t>
  </si>
  <si>
    <t>Renewable Fuel Production from Oils</t>
  </si>
  <si>
    <t>Fossil Natural Gas Production</t>
  </si>
  <si>
    <t>Feedstock/Fuel Transport - Truck</t>
  </si>
  <si>
    <t>Feedstock/Fuel Transport - Rail</t>
  </si>
  <si>
    <t xml:space="preserve">Total </t>
  </si>
  <si>
    <t>BAU Comparison PM2.5</t>
  </si>
  <si>
    <t>Upstream PM2.5 Emission Changes from Declining Fossil Fuel Extraction</t>
  </si>
  <si>
    <t>Sum TPY</t>
  </si>
  <si>
    <t>PM2.5 Emissions Changes Due to Increased Use of BD/RD</t>
  </si>
  <si>
    <t>PM2.5 Emissions Changes Due to Increased Use of Alternative Jet Fuel</t>
  </si>
  <si>
    <t>PM2.5 Emissions Changes Due to Increased Biofuel Production from Dairy Gas</t>
  </si>
  <si>
    <t>PM2.5 Emissions Changes Due to Increased Biofuel Production from Oils</t>
  </si>
  <si>
    <t>PM2.5 Emissions Changes Due to Changes Fuel Production from Fossil Natural Gas</t>
  </si>
  <si>
    <t>PM2.5 Emissions Changes Due to Increased Truck Transportation of Biofuels</t>
  </si>
  <si>
    <t>PM2.5 Emissions Changes Due to Increased Rail Transportation of Imported Biofuels</t>
  </si>
  <si>
    <t>Total PM2.5 Emissions</t>
  </si>
  <si>
    <t>PM2.5 Emissions Changes Due to Increased Biofuel Production from Dairy Biogas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</si>
</sst>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mmm\ dd\,\ yyyy"/>
    <numFmt numFmtId="167" formatCode="yyyy"/>
    <numFmt numFmtId="168" formatCode="#,##0.00%"/>
    <numFmt numFmtId="169" formatCode="_-* #,##0.00\ _z_ł_-;\-* #,##0.00\ _z_ł_-;_-* &quot;-&quot;??\ _z_ł_-;_-@_-"/>
    <numFmt numFmtId="170" formatCode="mmmm\ d\,\ yyyy"/>
    <numFmt numFmtId="171" formatCode="General_)"/>
    <numFmt numFmtId="172" formatCode="0.00000"/>
    <numFmt numFmtId="173" formatCode="0.0000"/>
    <numFmt numFmtId="174" formatCode="_(* #,##0_);_(* \(#,##0\);_(* &quot;-&quot;??_);_(@_)"/>
    <numFmt numFmtId="175" formatCode="0.000"/>
    <numFmt numFmtId="176" formatCode="0.0%"/>
    <numFmt numFmtId="177" formatCode="#,##0.000"/>
    <numFmt numFmtId="178" formatCode="0.0E+00"/>
    <numFmt numFmtId="179" formatCode="0.000000"/>
  </numFmts>
  <fonts count="1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Tahoma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2"/>
      <name val="Arial"/>
      <family val="2"/>
    </font>
    <font>
      <sz val="10"/>
      <color indexed="8"/>
      <name val="Verdana"/>
      <family val="2"/>
    </font>
    <font>
      <sz val="1"/>
      <color indexed="9"/>
      <name val="Verdana"/>
      <family val="2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2"/>
      <color rgb="FF9C0006"/>
      <name val="Arial"/>
      <family val="2"/>
    </font>
    <font>
      <b/>
      <sz val="11"/>
      <color indexed="52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i/>
      <sz val="12"/>
      <color rgb="FF7F7F7F"/>
      <name val="Arial"/>
      <family val="2"/>
    </font>
    <font>
      <u/>
      <sz val="11"/>
      <color rgb="FF004488"/>
      <name val="Calibri"/>
      <family val="2"/>
      <scheme val="minor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1"/>
      <color rgb="FF0066AA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1"/>
      <color indexed="52"/>
      <name val="Calibri"/>
      <family val="2"/>
    </font>
    <font>
      <sz val="12"/>
      <color rgb="FFFA7D00"/>
      <name val="Arial"/>
      <family val="2"/>
    </font>
    <font>
      <sz val="11"/>
      <color indexed="60"/>
      <name val="Calibri"/>
      <family val="2"/>
    </font>
    <font>
      <sz val="12"/>
      <color rgb="FF9C6500"/>
      <name val="Arial"/>
      <family val="2"/>
    </font>
    <font>
      <sz val="12"/>
      <name val="Times New Roman"/>
      <family val="1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2"/>
      <color rgb="FF3F3F3F"/>
      <name val="Arial"/>
      <family val="2"/>
    </font>
    <font>
      <sz val="10"/>
      <color indexed="63"/>
      <name val="Verdana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1"/>
      <color indexed="10"/>
      <name val="Calibri"/>
      <family val="2"/>
    </font>
    <font>
      <sz val="12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1576B"/>
      <name val="Arial"/>
      <family val="2"/>
    </font>
    <font>
      <sz val="12"/>
      <color rgb="FFFF0000"/>
      <name val="Calibri"/>
      <family val="2"/>
      <scheme val="minor"/>
    </font>
    <font>
      <b/>
      <sz val="10"/>
      <color rgb="FFFFFFFF"/>
      <name val="Arial"/>
      <family val="2"/>
    </font>
    <font>
      <sz val="9"/>
      <name val="Arial"/>
      <family val="2"/>
    </font>
    <font>
      <sz val="9"/>
      <color theme="5"/>
      <name val="Arial"/>
      <family val="2"/>
    </font>
    <font>
      <sz val="9"/>
      <color rgb="FFFF0000"/>
      <name val="Arial"/>
      <family val="2"/>
    </font>
    <font>
      <sz val="9"/>
      <color rgb="FFED7D31"/>
      <name val="Arial"/>
      <family val="2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rgb="FF000000"/>
      <name val="Avenir LT Std 35 Light"/>
      <family val="2"/>
      <charset val="1"/>
    </font>
    <font>
      <b/>
      <sz val="11"/>
      <color rgb="FF000000"/>
      <name val="Avenir LT Std 35 Light"/>
      <family val="2"/>
      <charset val="1"/>
    </font>
    <font>
      <sz val="11"/>
      <color rgb="FF000000"/>
      <name val="Avenir LT Std 35 Light"/>
      <family val="2"/>
      <charset val="1"/>
    </font>
    <font>
      <b/>
      <sz val="14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Avenir LT Std 35 Light"/>
      <family val="2"/>
    </font>
    <font>
      <b/>
      <sz val="12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507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034E6E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0CECE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34998626667073579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34E6E"/>
      </left>
      <right style="medium">
        <color rgb="FF034E6E"/>
      </right>
      <top style="medium">
        <color rgb="FF034E6E"/>
      </top>
      <bottom style="medium">
        <color rgb="FF034E6E"/>
      </bottom>
      <diagonal/>
    </border>
    <border>
      <left/>
      <right style="medium">
        <color rgb="FF034E6E"/>
      </right>
      <top style="medium">
        <color rgb="FF034E6E"/>
      </top>
      <bottom style="medium">
        <color rgb="FF034E6E"/>
      </bottom>
      <diagonal/>
    </border>
    <border>
      <left/>
      <right style="medium">
        <color rgb="FF034E6E"/>
      </right>
      <top style="medium">
        <color rgb="FF034E6E"/>
      </top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1"/>
      </top>
      <bottom/>
      <diagonal/>
    </border>
  </borders>
  <cellStyleXfs count="406">
    <xf numFmtId="0" fontId="0" fillId="0" borderId="0"/>
    <xf numFmtId="0" fontId="6" fillId="3" borderId="0" applyNumberFormat="0" applyBorder="0" applyAlignment="0" applyProtection="0"/>
    <xf numFmtId="0" fontId="9" fillId="0" borderId="0"/>
    <xf numFmtId="43" fontId="24" fillId="0" borderId="0" applyFont="0" applyFill="0" applyBorder="0" applyAlignment="0" applyProtection="0"/>
    <xf numFmtId="0" fontId="25" fillId="0" borderId="0"/>
    <xf numFmtId="0" fontId="22" fillId="0" borderId="0"/>
    <xf numFmtId="0" fontId="24" fillId="0" borderId="0"/>
    <xf numFmtId="0" fontId="24" fillId="0" borderId="0"/>
    <xf numFmtId="0" fontId="28" fillId="0" borderId="0" applyNumberFormat="0" applyFill="0" applyBorder="0" applyAlignment="0" applyProtection="0">
      <alignment vertical="top"/>
      <protection locked="0"/>
    </xf>
    <xf numFmtId="22" fontId="24" fillId="0" borderId="0" applyFont="0" applyFill="0" applyBorder="0" applyAlignment="0" applyProtection="0">
      <alignment wrapText="1"/>
    </xf>
    <xf numFmtId="0" fontId="23" fillId="34" borderId="19" applyNumberFormat="0" applyProtection="0">
      <alignment horizontal="center" wrapText="1"/>
    </xf>
    <xf numFmtId="0" fontId="23" fillId="34" borderId="20" applyNumberFormat="0" applyAlignment="0" applyProtection="0">
      <alignment wrapText="1"/>
    </xf>
    <xf numFmtId="0" fontId="24" fillId="35" borderId="0" applyNumberFormat="0" applyBorder="0">
      <alignment horizontal="center" wrapText="1"/>
    </xf>
    <xf numFmtId="0" fontId="24" fillId="35" borderId="0" applyNumberFormat="0" applyBorder="0">
      <alignment wrapText="1"/>
    </xf>
    <xf numFmtId="0" fontId="24" fillId="0" borderId="0" applyNumberFormat="0" applyFill="0" applyBorder="0" applyProtection="0">
      <alignment horizontal="right" wrapText="1"/>
    </xf>
    <xf numFmtId="166" fontId="24" fillId="0" borderId="0" applyFill="0" applyBorder="0" applyAlignment="0" applyProtection="0">
      <alignment wrapText="1"/>
    </xf>
    <xf numFmtId="0" fontId="24" fillId="0" borderId="0" applyNumberFormat="0" applyFill="0" applyBorder="0" applyProtection="0">
      <alignment horizontal="right" wrapText="1"/>
    </xf>
    <xf numFmtId="167" fontId="24" fillId="0" borderId="0" applyFill="0" applyBorder="0" applyAlignment="0" applyProtection="0">
      <alignment wrapText="1"/>
    </xf>
    <xf numFmtId="0" fontId="24" fillId="0" borderId="0" applyNumberFormat="0" applyFill="0" applyBorder="0" applyProtection="0">
      <alignment horizontal="right" wrapText="1"/>
    </xf>
    <xf numFmtId="0" fontId="24" fillId="0" borderId="0" applyNumberFormat="0" applyFill="0" applyBorder="0">
      <alignment horizontal="right" wrapText="1"/>
    </xf>
    <xf numFmtId="17" fontId="24" fillId="0" borderId="0" applyFill="0" applyBorder="0">
      <alignment horizontal="right" wrapText="1"/>
    </xf>
    <xf numFmtId="8" fontId="24" fillId="0" borderId="0" applyFill="0" applyBorder="0" applyAlignment="0" applyProtection="0">
      <alignment wrapText="1"/>
    </xf>
    <xf numFmtId="0" fontId="29" fillId="0" borderId="0" applyNumberFormat="0" applyFill="0" applyBorder="0">
      <alignment horizontal="left" wrapText="1"/>
    </xf>
    <xf numFmtId="0" fontId="23" fillId="0" borderId="0" applyNumberFormat="0" applyFill="0" applyBorder="0">
      <alignment horizontal="center" wrapText="1"/>
    </xf>
    <xf numFmtId="0" fontId="23" fillId="0" borderId="0" applyNumberFormat="0" applyFill="0" applyBorder="0">
      <alignment horizontal="center" wrapText="1"/>
    </xf>
    <xf numFmtId="0" fontId="23" fillId="0" borderId="0" applyNumberFormat="0" applyFill="0" applyBorder="0">
      <alignment horizontal="center" wrapText="1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1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168" fontId="30" fillId="0" borderId="0">
      <alignment readingOrder="1"/>
      <protection locked="0"/>
    </xf>
    <xf numFmtId="168" fontId="30" fillId="0" borderId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4" fontId="30" fillId="0" borderId="0">
      <alignment readingOrder="1"/>
      <protection locked="0"/>
    </xf>
    <xf numFmtId="4" fontId="30" fillId="0" borderId="0">
      <alignment readingOrder="1"/>
      <protection locked="0"/>
    </xf>
    <xf numFmtId="0" fontId="30" fillId="0" borderId="0" applyNumberFormat="0">
      <alignment horizontal="center" readingOrder="1"/>
      <protection locked="0"/>
    </xf>
    <xf numFmtId="4" fontId="30" fillId="0" borderId="0">
      <alignment readingOrder="1"/>
      <protection locked="0"/>
    </xf>
    <xf numFmtId="0" fontId="32" fillId="36" borderId="0" applyNumberFormat="0" applyBorder="0" applyAlignment="0" applyProtection="0"/>
    <xf numFmtId="0" fontId="9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2" fillId="37" borderId="0" applyNumberFormat="0" applyBorder="0" applyAlignment="0" applyProtection="0"/>
    <xf numFmtId="0" fontId="9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2" fillId="38" borderId="0" applyNumberFormat="0" applyBorder="0" applyAlignment="0" applyProtection="0"/>
    <xf numFmtId="0" fontId="9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2" fillId="39" borderId="0" applyNumberFormat="0" applyBorder="0" applyAlignment="0" applyProtection="0"/>
    <xf numFmtId="0" fontId="9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2" fillId="40" borderId="0" applyNumberFormat="0" applyBorder="0" applyAlignment="0" applyProtection="0"/>
    <xf numFmtId="0" fontId="9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2" fillId="41" borderId="0" applyNumberFormat="0" applyBorder="0" applyAlignment="0" applyProtection="0"/>
    <xf numFmtId="0" fontId="9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2" fillId="42" borderId="0" applyNumberFormat="0" applyBorder="0" applyAlignment="0" applyProtection="0"/>
    <xf numFmtId="0" fontId="9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2" fillId="43" borderId="0" applyNumberFormat="0" applyBorder="0" applyAlignment="0" applyProtection="0"/>
    <xf numFmtId="0" fontId="9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2" fillId="44" borderId="0" applyNumberFormat="0" applyBorder="0" applyAlignment="0" applyProtection="0"/>
    <xf numFmtId="0" fontId="9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2" fillId="39" borderId="0" applyNumberFormat="0" applyBorder="0" applyAlignment="0" applyProtection="0"/>
    <xf numFmtId="0" fontId="9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2" fillId="42" borderId="0" applyNumberFormat="0" applyBorder="0" applyAlignment="0" applyProtection="0"/>
    <xf numFmtId="0" fontId="9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2" fillId="45" borderId="0" applyNumberFormat="0" applyBorder="0" applyAlignment="0" applyProtection="0"/>
    <xf numFmtId="0" fontId="9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20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43" borderId="0" applyNumberFormat="0" applyBorder="0" applyAlignment="0" applyProtection="0"/>
    <xf numFmtId="0" fontId="20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44" borderId="0" applyNumberFormat="0" applyBorder="0" applyAlignment="0" applyProtection="0"/>
    <xf numFmtId="0" fontId="20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4" fillId="47" borderId="0" applyNumberFormat="0" applyBorder="0" applyAlignment="0" applyProtection="0"/>
    <xf numFmtId="0" fontId="20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48" borderId="0" applyNumberFormat="0" applyBorder="0" applyAlignment="0" applyProtection="0"/>
    <xf numFmtId="0" fontId="20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4" fillId="49" borderId="0" applyNumberFormat="0" applyBorder="0" applyAlignment="0" applyProtection="0"/>
    <xf numFmtId="0" fontId="20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4" fillId="50" borderId="0" applyNumberFormat="0" applyBorder="0" applyAlignment="0" applyProtection="0"/>
    <xf numFmtId="0" fontId="20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51" borderId="0" applyNumberFormat="0" applyBorder="0" applyAlignment="0" applyProtection="0"/>
    <xf numFmtId="0" fontId="20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4" fillId="52" borderId="0" applyNumberFormat="0" applyBorder="0" applyAlignment="0" applyProtection="0"/>
    <xf numFmtId="0" fontId="20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4" fillId="47" borderId="0" applyNumberFormat="0" applyBorder="0" applyAlignment="0" applyProtection="0"/>
    <xf numFmtId="0" fontId="20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48" borderId="0" applyNumberFormat="0" applyBorder="0" applyAlignment="0" applyProtection="0"/>
    <xf numFmtId="0" fontId="20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4" fillId="53" borderId="0" applyNumberFormat="0" applyBorder="0" applyAlignment="0" applyProtection="0"/>
    <xf numFmtId="0" fontId="20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6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8" fillId="54" borderId="21" applyNumberFormat="0" applyAlignment="0" applyProtection="0"/>
    <xf numFmtId="0" fontId="15" fillId="7" borderId="13" applyNumberFormat="0" applyAlignment="0" applyProtection="0"/>
    <xf numFmtId="0" fontId="38" fillId="54" borderId="21" applyNumberFormat="0" applyAlignment="0" applyProtection="0"/>
    <xf numFmtId="0" fontId="39" fillId="7" borderId="13" applyNumberFormat="0" applyAlignment="0" applyProtection="0"/>
    <xf numFmtId="0" fontId="39" fillId="7" borderId="13" applyNumberFormat="0" applyAlignment="0" applyProtection="0"/>
    <xf numFmtId="0" fontId="40" fillId="55" borderId="22" applyNumberFormat="0" applyAlignment="0" applyProtection="0"/>
    <xf numFmtId="0" fontId="17" fillId="8" borderId="16" applyNumberFormat="0" applyAlignment="0" applyProtection="0"/>
    <xf numFmtId="0" fontId="41" fillId="8" borderId="16" applyNumberFormat="0" applyAlignment="0" applyProtection="0"/>
    <xf numFmtId="0" fontId="41" fillId="8" borderId="16" applyNumberFormat="0" applyAlignment="0" applyProtection="0"/>
    <xf numFmtId="38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24" fillId="0" borderId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5" fontId="24" fillId="0" borderId="0" applyFill="0" applyBorder="0" applyAlignment="0" applyProtection="0"/>
    <xf numFmtId="170" fontId="24" fillId="0" borderId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24" fillId="0" borderId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2" fillId="0" borderId="23" applyNumberFormat="0" applyFill="0" applyAlignment="0" applyProtection="0"/>
    <xf numFmtId="0" fontId="10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4" fillId="0" borderId="24" applyNumberFormat="0" applyFill="0" applyAlignment="0" applyProtection="0"/>
    <xf numFmtId="0" fontId="11" fillId="0" borderId="11" applyNumberFormat="0" applyFill="0" applyAlignment="0" applyProtection="0"/>
    <xf numFmtId="0" fontId="55" fillId="0" borderId="11" applyNumberFormat="0" applyFill="0" applyAlignment="0" applyProtection="0"/>
    <xf numFmtId="0" fontId="55" fillId="0" borderId="11" applyNumberFormat="0" applyFill="0" applyAlignment="0" applyProtection="0"/>
    <xf numFmtId="0" fontId="56" fillId="0" borderId="25" applyNumberFormat="0" applyFill="0" applyAlignment="0" applyProtection="0"/>
    <xf numFmtId="0" fontId="12" fillId="0" borderId="12" applyNumberFormat="0" applyFill="0" applyAlignment="0" applyProtection="0"/>
    <xf numFmtId="0" fontId="57" fillId="0" borderId="12" applyNumberFormat="0" applyFill="0" applyAlignment="0" applyProtection="0"/>
    <xf numFmtId="0" fontId="57" fillId="0" borderId="12" applyNumberFormat="0" applyFill="0" applyAlignment="0" applyProtection="0"/>
    <xf numFmtId="0" fontId="5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60" fillId="41" borderId="21" applyNumberFormat="0" applyAlignment="0" applyProtection="0"/>
    <xf numFmtId="0" fontId="13" fillId="6" borderId="13" applyNumberFormat="0" applyAlignment="0" applyProtection="0"/>
    <xf numFmtId="0" fontId="60" fillId="41" borderId="21" applyNumberFormat="0" applyAlignment="0" applyProtection="0"/>
    <xf numFmtId="0" fontId="61" fillId="6" borderId="13" applyNumberFormat="0" applyAlignment="0" applyProtection="0"/>
    <xf numFmtId="0" fontId="61" fillId="6" borderId="13" applyNumberFormat="0" applyAlignment="0" applyProtection="0"/>
    <xf numFmtId="0" fontId="62" fillId="0" borderId="26" applyNumberFormat="0" applyFill="0" applyAlignment="0" applyProtection="0"/>
    <xf numFmtId="0" fontId="16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4" fillId="56" borderId="0" applyNumberFormat="0" applyBorder="0" applyAlignment="0" applyProtection="0"/>
    <xf numFmtId="0" fontId="7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44" fillId="0" borderId="0"/>
    <xf numFmtId="0" fontId="43" fillId="0" borderId="0"/>
    <xf numFmtId="0" fontId="22" fillId="0" borderId="0"/>
    <xf numFmtId="0" fontId="43" fillId="0" borderId="0"/>
    <xf numFmtId="165" fontId="6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66" fillId="0" borderId="0"/>
    <xf numFmtId="0" fontId="45" fillId="0" borderId="0" applyNumberFormat="0" applyFont="0">
      <alignment readingOrder="1"/>
      <protection locked="0"/>
    </xf>
    <xf numFmtId="0" fontId="9" fillId="0" borderId="0"/>
    <xf numFmtId="0" fontId="43" fillId="0" borderId="0"/>
    <xf numFmtId="0" fontId="33" fillId="0" borderId="0"/>
    <xf numFmtId="0" fontId="44" fillId="0" borderId="0"/>
    <xf numFmtId="171" fontId="67" fillId="0" borderId="0"/>
    <xf numFmtId="0" fontId="9" fillId="0" borderId="0"/>
    <xf numFmtId="0" fontId="24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46" fillId="0" borderId="0"/>
    <xf numFmtId="0" fontId="46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24" fillId="0" borderId="0"/>
    <xf numFmtId="0" fontId="9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46" fillId="57" borderId="27" applyNumberFormat="0" applyFont="0" applyAlignment="0" applyProtection="0"/>
    <xf numFmtId="0" fontId="32" fillId="57" borderId="27" applyNumberFormat="0" applyFont="0" applyAlignment="0" applyProtection="0"/>
    <xf numFmtId="0" fontId="9" fillId="9" borderId="17" applyNumberFormat="0" applyFont="0" applyAlignment="0" applyProtection="0"/>
    <xf numFmtId="0" fontId="32" fillId="57" borderId="27" applyNumberFormat="0" applyFont="0" applyAlignment="0" applyProtection="0"/>
    <xf numFmtId="0" fontId="33" fillId="9" borderId="17" applyNumberFormat="0" applyFont="0" applyAlignment="0" applyProtection="0"/>
    <xf numFmtId="0" fontId="46" fillId="57" borderId="27" applyNumberFormat="0" applyFont="0" applyAlignment="0" applyProtection="0"/>
    <xf numFmtId="0" fontId="33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68" fillId="54" borderId="28" applyNumberFormat="0" applyAlignment="0" applyProtection="0"/>
    <xf numFmtId="0" fontId="14" fillId="7" borderId="14" applyNumberFormat="0" applyAlignment="0" applyProtection="0"/>
    <xf numFmtId="0" fontId="68" fillId="54" borderId="28" applyNumberFormat="0" applyAlignment="0" applyProtection="0"/>
    <xf numFmtId="0" fontId="69" fillId="7" borderId="14" applyNumberFormat="0" applyAlignment="0" applyProtection="0"/>
    <xf numFmtId="0" fontId="69" fillId="7" borderId="14" applyNumberFormat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70" fillId="58" borderId="29" applyNumberFormat="0" applyAlignment="0" applyProtection="0"/>
    <xf numFmtId="0" fontId="70" fillId="58" borderId="29" applyNumberFormat="0" applyAlignment="0" applyProtection="0"/>
    <xf numFmtId="0" fontId="70" fillId="58" borderId="29" applyNumberFormat="0" applyAlignment="0" applyProtection="0"/>
    <xf numFmtId="2" fontId="70" fillId="59" borderId="29" applyProtection="0">
      <alignment horizontal="right"/>
    </xf>
    <xf numFmtId="2" fontId="70" fillId="59" borderId="29" applyProtection="0">
      <alignment horizontal="right"/>
    </xf>
    <xf numFmtId="164" fontId="30" fillId="60" borderId="29" applyProtection="0">
      <alignment horizontal="right"/>
    </xf>
    <xf numFmtId="164" fontId="30" fillId="60" borderId="29" applyProtection="0">
      <alignment horizontal="right"/>
    </xf>
    <xf numFmtId="164" fontId="30" fillId="60" borderId="29" applyProtection="0">
      <alignment horizontal="right"/>
    </xf>
    <xf numFmtId="2" fontId="30" fillId="60" borderId="29" applyProtection="0">
      <alignment horizontal="right"/>
    </xf>
    <xf numFmtId="2" fontId="30" fillId="60" borderId="29" applyProtection="0">
      <alignment horizontal="right"/>
    </xf>
    <xf numFmtId="2" fontId="30" fillId="60" borderId="29" applyProtection="0">
      <alignment horizontal="right"/>
    </xf>
    <xf numFmtId="14" fontId="71" fillId="61" borderId="29" applyProtection="0">
      <alignment horizontal="right"/>
    </xf>
    <xf numFmtId="14" fontId="71" fillId="61" borderId="29" applyProtection="0">
      <alignment horizontal="right"/>
    </xf>
    <xf numFmtId="14" fontId="71" fillId="61" borderId="29" applyProtection="0">
      <alignment horizontal="left"/>
    </xf>
    <xf numFmtId="14" fontId="71" fillId="61" borderId="29" applyProtection="0">
      <alignment horizontal="left"/>
    </xf>
    <xf numFmtId="0" fontId="72" fillId="58" borderId="29" applyNumberFormat="0" applyProtection="0">
      <alignment horizontal="left"/>
    </xf>
    <xf numFmtId="0" fontId="72" fillId="58" borderId="29" applyNumberFormat="0" applyProtection="0">
      <alignment horizontal="left"/>
    </xf>
    <xf numFmtId="0" fontId="7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1" fillId="0" borderId="18" applyNumberFormat="0" applyFill="0" applyAlignment="0" applyProtection="0"/>
    <xf numFmtId="0" fontId="74" fillId="0" borderId="30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/>
    <xf numFmtId="0" fontId="89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90" fillId="0" borderId="0"/>
    <xf numFmtId="0" fontId="24" fillId="0" borderId="0"/>
    <xf numFmtId="0" fontId="24" fillId="0" borderId="0"/>
  </cellStyleXfs>
  <cellXfs count="526">
    <xf numFmtId="0" fontId="0" fillId="0" borderId="0" xfId="0"/>
    <xf numFmtId="0" fontId="3" fillId="0" borderId="0" xfId="0" applyFont="1"/>
    <xf numFmtId="0" fontId="1" fillId="0" borderId="0" xfId="0" applyFont="1"/>
    <xf numFmtId="9" fontId="0" fillId="0" borderId="0" xfId="0" applyNumberFormat="1"/>
    <xf numFmtId="0" fontId="4" fillId="0" borderId="0" xfId="0" applyFont="1"/>
    <xf numFmtId="0" fontId="0" fillId="0" borderId="2" xfId="0" applyBorder="1"/>
    <xf numFmtId="0" fontId="0" fillId="0" borderId="1" xfId="0" applyBorder="1"/>
    <xf numFmtId="0" fontId="1" fillId="0" borderId="0" xfId="0" applyFont="1" applyAlignment="1">
      <alignment horizontal="center"/>
    </xf>
    <xf numFmtId="1" fontId="0" fillId="0" borderId="0" xfId="0" applyNumberFormat="1"/>
    <xf numFmtId="1" fontId="0" fillId="0" borderId="2" xfId="0" applyNumberFormat="1" applyBorder="1"/>
    <xf numFmtId="0" fontId="1" fillId="0" borderId="9" xfId="0" applyFont="1" applyBorder="1"/>
    <xf numFmtId="0" fontId="4" fillId="0" borderId="9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7" xfId="0" applyFont="1" applyBorder="1"/>
    <xf numFmtId="9" fontId="0" fillId="0" borderId="0" xfId="389" applyFont="1"/>
    <xf numFmtId="0" fontId="1" fillId="0" borderId="32" xfId="0" applyFont="1" applyBorder="1"/>
    <xf numFmtId="3" fontId="80" fillId="0" borderId="0" xfId="0" applyNumberFormat="1" applyFont="1" applyProtection="1">
      <protection locked="0"/>
    </xf>
    <xf numFmtId="0" fontId="1" fillId="0" borderId="8" xfId="0" applyFont="1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" fontId="0" fillId="0" borderId="1" xfId="0" applyNumberFormat="1" applyBorder="1"/>
    <xf numFmtId="1" fontId="0" fillId="0" borderId="3" xfId="0" applyNumberFormat="1" applyBorder="1"/>
    <xf numFmtId="1" fontId="0" fillId="0" borderId="4" xfId="0" applyNumberFormat="1" applyBorder="1"/>
    <xf numFmtId="1" fontId="0" fillId="0" borderId="5" xfId="0" applyNumberFormat="1" applyBorder="1"/>
    <xf numFmtId="0" fontId="4" fillId="0" borderId="6" xfId="0" applyFont="1" applyBorder="1"/>
    <xf numFmtId="4" fontId="0" fillId="0" borderId="0" xfId="0" applyNumberFormat="1"/>
    <xf numFmtId="9" fontId="0" fillId="0" borderId="0" xfId="389" applyFont="1" applyBorder="1"/>
    <xf numFmtId="3" fontId="0" fillId="0" borderId="0" xfId="0" applyNumberFormat="1"/>
    <xf numFmtId="11" fontId="0" fillId="0" borderId="0" xfId="0" applyNumberFormat="1"/>
    <xf numFmtId="11" fontId="0" fillId="0" borderId="4" xfId="0" applyNumberFormat="1" applyBorder="1"/>
    <xf numFmtId="0" fontId="1" fillId="0" borderId="33" xfId="0" applyFont="1" applyBorder="1"/>
    <xf numFmtId="0" fontId="0" fillId="63" borderId="0" xfId="0" applyFill="1"/>
    <xf numFmtId="0" fontId="17" fillId="64" borderId="0" xfId="0" applyFont="1" applyFill="1"/>
    <xf numFmtId="0" fontId="20" fillId="64" borderId="34" xfId="0" applyFont="1" applyFill="1" applyBorder="1" applyAlignment="1">
      <alignment horizontal="right"/>
    </xf>
    <xf numFmtId="4" fontId="0" fillId="0" borderId="35" xfId="0" applyNumberFormat="1" applyBorder="1"/>
    <xf numFmtId="4" fontId="0" fillId="0" borderId="36" xfId="0" applyNumberFormat="1" applyBorder="1"/>
    <xf numFmtId="0" fontId="20" fillId="64" borderId="37" xfId="0" applyFont="1" applyFill="1" applyBorder="1" applyAlignment="1">
      <alignment horizontal="right"/>
    </xf>
    <xf numFmtId="4" fontId="0" fillId="0" borderId="38" xfId="0" applyNumberFormat="1" applyBorder="1"/>
    <xf numFmtId="4" fontId="0" fillId="0" borderId="9" xfId="0" applyNumberFormat="1" applyBorder="1"/>
    <xf numFmtId="0" fontId="20" fillId="64" borderId="39" xfId="0" applyFont="1" applyFill="1" applyBorder="1" applyAlignment="1">
      <alignment horizontal="right"/>
    </xf>
    <xf numFmtId="4" fontId="0" fillId="0" borderId="40" xfId="0" applyNumberFormat="1" applyBorder="1"/>
    <xf numFmtId="4" fontId="0" fillId="0" borderId="41" xfId="0" applyNumberFormat="1" applyBorder="1"/>
    <xf numFmtId="0" fontId="17" fillId="64" borderId="39" xfId="0" applyFont="1" applyFill="1" applyBorder="1" applyAlignment="1">
      <alignment horizontal="right"/>
    </xf>
    <xf numFmtId="4" fontId="0" fillId="0" borderId="42" xfId="0" applyNumberFormat="1" applyBorder="1"/>
    <xf numFmtId="4" fontId="0" fillId="0" borderId="32" xfId="0" applyNumberFormat="1" applyBorder="1"/>
    <xf numFmtId="4" fontId="0" fillId="0" borderId="43" xfId="0" applyNumberFormat="1" applyBorder="1"/>
    <xf numFmtId="0" fontId="17" fillId="0" borderId="0" xfId="0" applyFont="1"/>
    <xf numFmtId="0" fontId="82" fillId="0" borderId="0" xfId="0" applyFont="1" applyAlignment="1">
      <alignment horizontal="right"/>
    </xf>
    <xf numFmtId="9" fontId="0" fillId="0" borderId="0" xfId="389" applyFont="1" applyFill="1" applyBorder="1"/>
    <xf numFmtId="0" fontId="1" fillId="0" borderId="32" xfId="0" applyFont="1" applyBorder="1" applyAlignment="1">
      <alignment horizontal="center"/>
    </xf>
    <xf numFmtId="0" fontId="1" fillId="0" borderId="2" xfId="0" applyFont="1" applyBorder="1"/>
    <xf numFmtId="0" fontId="1" fillId="0" borderId="5" xfId="0" applyFont="1" applyBorder="1"/>
    <xf numFmtId="0" fontId="1" fillId="0" borderId="1" xfId="0" applyFont="1" applyBorder="1"/>
    <xf numFmtId="0" fontId="1" fillId="0" borderId="4" xfId="0" applyFont="1" applyBorder="1" applyAlignment="1">
      <alignment horizontal="left"/>
    </xf>
    <xf numFmtId="0" fontId="84" fillId="0" borderId="0" xfId="0" applyFont="1"/>
    <xf numFmtId="0" fontId="0" fillId="0" borderId="0" xfId="0" applyAlignment="1">
      <alignment wrapText="1"/>
    </xf>
    <xf numFmtId="0" fontId="0" fillId="0" borderId="46" xfId="0" applyBorder="1"/>
    <xf numFmtId="1" fontId="1" fillId="0" borderId="0" xfId="0" applyNumberFormat="1" applyFont="1"/>
    <xf numFmtId="174" fontId="0" fillId="0" borderId="0" xfId="390" applyNumberFormat="1" applyFont="1"/>
    <xf numFmtId="2" fontId="0" fillId="0" borderId="0" xfId="0" applyNumberFormat="1"/>
    <xf numFmtId="2" fontId="0" fillId="0" borderId="2" xfId="0" applyNumberFormat="1" applyBorder="1"/>
    <xf numFmtId="2" fontId="1" fillId="0" borderId="0" xfId="389" applyNumberFormat="1" applyFont="1"/>
    <xf numFmtId="2" fontId="1" fillId="0" borderId="0" xfId="0" applyNumberFormat="1" applyFont="1"/>
    <xf numFmtId="2" fontId="0" fillId="0" borderId="4" xfId="0" applyNumberFormat="1" applyBorder="1"/>
    <xf numFmtId="2" fontId="0" fillId="0" borderId="5" xfId="0" applyNumberFormat="1" applyBorder="1"/>
    <xf numFmtId="173" fontId="0" fillId="0" borderId="0" xfId="0" applyNumberFormat="1"/>
    <xf numFmtId="0" fontId="1" fillId="0" borderId="3" xfId="0" applyFont="1" applyBorder="1"/>
    <xf numFmtId="0" fontId="0" fillId="0" borderId="9" xfId="0" applyBorder="1"/>
    <xf numFmtId="0" fontId="4" fillId="0" borderId="32" xfId="0" applyFont="1" applyBorder="1"/>
    <xf numFmtId="0" fontId="9" fillId="0" borderId="0" xfId="274"/>
    <xf numFmtId="0" fontId="0" fillId="0" borderId="50" xfId="0" applyBorder="1"/>
    <xf numFmtId="0" fontId="1" fillId="0" borderId="50" xfId="0" applyFont="1" applyBorder="1"/>
    <xf numFmtId="0" fontId="1" fillId="0" borderId="51" xfId="0" applyFont="1" applyBorder="1"/>
    <xf numFmtId="0" fontId="86" fillId="0" borderId="0" xfId="0" applyFont="1" applyAlignment="1">
      <alignment wrapText="1"/>
    </xf>
    <xf numFmtId="17" fontId="86" fillId="0" borderId="0" xfId="0" applyNumberFormat="1" applyFont="1" applyAlignment="1">
      <alignment horizontal="center" wrapText="1"/>
    </xf>
    <xf numFmtId="3" fontId="86" fillId="0" borderId="0" xfId="0" applyNumberFormat="1" applyFont="1" applyAlignment="1">
      <alignment horizontal="center" wrapText="1"/>
    </xf>
    <xf numFmtId="0" fontId="59" fillId="0" borderId="0" xfId="391" applyAlignment="1">
      <alignment wrapText="1"/>
    </xf>
    <xf numFmtId="0" fontId="4" fillId="0" borderId="50" xfId="0" applyFont="1" applyBorder="1"/>
    <xf numFmtId="2" fontId="0" fillId="0" borderId="48" xfId="0" applyNumberFormat="1" applyBorder="1"/>
    <xf numFmtId="2" fontId="0" fillId="0" borderId="49" xfId="0" applyNumberFormat="1" applyBorder="1"/>
    <xf numFmtId="2" fontId="1" fillId="0" borderId="50" xfId="0" applyNumberFormat="1" applyFont="1" applyBorder="1"/>
    <xf numFmtId="2" fontId="1" fillId="0" borderId="51" xfId="0" applyNumberFormat="1" applyFont="1" applyBorder="1"/>
    <xf numFmtId="0" fontId="1" fillId="0" borderId="48" xfId="0" applyFont="1" applyBorder="1"/>
    <xf numFmtId="0" fontId="1" fillId="0" borderId="49" xfId="0" applyFont="1" applyBorder="1"/>
    <xf numFmtId="0" fontId="0" fillId="0" borderId="51" xfId="0" applyBorder="1"/>
    <xf numFmtId="0" fontId="0" fillId="65" borderId="50" xfId="0" applyFill="1" applyBorder="1"/>
    <xf numFmtId="0" fontId="0" fillId="65" borderId="51" xfId="0" applyFill="1" applyBorder="1"/>
    <xf numFmtId="0" fontId="1" fillId="65" borderId="50" xfId="0" applyFont="1" applyFill="1" applyBorder="1" applyAlignment="1">
      <alignment horizontal="center"/>
    </xf>
    <xf numFmtId="0" fontId="1" fillId="65" borderId="50" xfId="0" applyFont="1" applyFill="1" applyBorder="1"/>
    <xf numFmtId="0" fontId="1" fillId="65" borderId="51" xfId="0" applyFont="1" applyFill="1" applyBorder="1"/>
    <xf numFmtId="0" fontId="1" fillId="65" borderId="50" xfId="0" applyFont="1" applyFill="1" applyBorder="1" applyAlignment="1">
      <alignment horizontal="center" vertical="center"/>
    </xf>
    <xf numFmtId="3" fontId="0" fillId="0" borderId="0" xfId="0" applyNumberFormat="1" applyAlignment="1">
      <alignment wrapText="1"/>
    </xf>
    <xf numFmtId="2" fontId="1" fillId="0" borderId="4" xfId="0" applyNumberFormat="1" applyFont="1" applyBorder="1"/>
    <xf numFmtId="2" fontId="1" fillId="0" borderId="5" xfId="0" applyNumberFormat="1" applyFont="1" applyBorder="1"/>
    <xf numFmtId="0" fontId="1" fillId="0" borderId="47" xfId="0" applyFont="1" applyBorder="1"/>
    <xf numFmtId="0" fontId="0" fillId="0" borderId="5" xfId="0" applyBorder="1"/>
    <xf numFmtId="9" fontId="0" fillId="0" borderId="48" xfId="389" applyFont="1" applyFill="1" applyBorder="1"/>
    <xf numFmtId="10" fontId="0" fillId="0" borderId="0" xfId="0" applyNumberFormat="1"/>
    <xf numFmtId="0" fontId="1" fillId="0" borderId="51" xfId="0" applyFont="1" applyBorder="1" applyAlignment="1">
      <alignment horizontal="center"/>
    </xf>
    <xf numFmtId="0" fontId="8" fillId="0" borderId="0" xfId="0" applyFont="1" applyAlignment="1">
      <alignment vertical="center" wrapText="1"/>
    </xf>
    <xf numFmtId="175" fontId="0" fillId="0" borderId="0" xfId="0" applyNumberFormat="1"/>
    <xf numFmtId="0" fontId="8" fillId="0" borderId="0" xfId="0" applyFont="1" applyAlignment="1">
      <alignment horizontal="center" vertical="center" wrapText="1"/>
    </xf>
    <xf numFmtId="0" fontId="4" fillId="0" borderId="51" xfId="0" applyFont="1" applyBorder="1"/>
    <xf numFmtId="2" fontId="0" fillId="0" borderId="47" xfId="0" applyNumberFormat="1" applyBorder="1"/>
    <xf numFmtId="0" fontId="83" fillId="0" borderId="0" xfId="0" applyFont="1"/>
    <xf numFmtId="9" fontId="0" fillId="0" borderId="4" xfId="0" applyNumberFormat="1" applyBorder="1"/>
    <xf numFmtId="9" fontId="0" fillId="0" borderId="5" xfId="0" applyNumberFormat="1" applyBorder="1"/>
    <xf numFmtId="1" fontId="0" fillId="0" borderId="47" xfId="0" applyNumberFormat="1" applyBorder="1"/>
    <xf numFmtId="1" fontId="0" fillId="0" borderId="48" xfId="0" applyNumberFormat="1" applyBorder="1"/>
    <xf numFmtId="1" fontId="0" fillId="0" borderId="49" xfId="0" applyNumberFormat="1" applyBorder="1"/>
    <xf numFmtId="0" fontId="1" fillId="0" borderId="6" xfId="0" applyFont="1" applyBorder="1"/>
    <xf numFmtId="0" fontId="0" fillId="0" borderId="7" xfId="0" applyBorder="1"/>
    <xf numFmtId="0" fontId="80" fillId="0" borderId="0" xfId="0" applyFont="1"/>
    <xf numFmtId="164" fontId="0" fillId="0" borderId="0" xfId="0" applyNumberFormat="1"/>
    <xf numFmtId="0" fontId="1" fillId="0" borderId="48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4" fillId="0" borderId="49" xfId="0" applyFont="1" applyBorder="1" applyAlignment="1">
      <alignment horizontal="left"/>
    </xf>
    <xf numFmtId="0" fontId="4" fillId="0" borderId="47" xfId="0" applyFont="1" applyBorder="1"/>
    <xf numFmtId="0" fontId="4" fillId="0" borderId="49" xfId="0" applyFont="1" applyBorder="1"/>
    <xf numFmtId="0" fontId="1" fillId="0" borderId="1" xfId="0" applyFont="1" applyBorder="1" applyAlignment="1">
      <alignment horizontal="left"/>
    </xf>
    <xf numFmtId="0" fontId="1" fillId="0" borderId="47" xfId="0" applyFont="1" applyBorder="1" applyAlignment="1">
      <alignment horizontal="center"/>
    </xf>
    <xf numFmtId="176" fontId="0" fillId="0" borderId="0" xfId="0" applyNumberFormat="1"/>
    <xf numFmtId="0" fontId="24" fillId="0" borderId="0" xfId="279"/>
    <xf numFmtId="174" fontId="0" fillId="0" borderId="0" xfId="0" applyNumberFormat="1"/>
    <xf numFmtId="175" fontId="0" fillId="67" borderId="0" xfId="0" applyNumberFormat="1" applyFill="1"/>
    <xf numFmtId="2" fontId="1" fillId="66" borderId="0" xfId="0" applyNumberFormat="1" applyFont="1" applyFill="1"/>
    <xf numFmtId="2" fontId="0" fillId="66" borderId="0" xfId="0" applyNumberFormat="1" applyFill="1"/>
    <xf numFmtId="2" fontId="0" fillId="66" borderId="53" xfId="0" applyNumberFormat="1" applyFill="1" applyBorder="1"/>
    <xf numFmtId="0" fontId="92" fillId="0" borderId="0" xfId="0" applyFont="1"/>
    <xf numFmtId="0" fontId="2" fillId="0" borderId="0" xfId="0" applyFont="1"/>
    <xf numFmtId="0" fontId="93" fillId="0" borderId="0" xfId="0" applyFont="1"/>
    <xf numFmtId="0" fontId="88" fillId="0" borderId="0" xfId="0" applyFont="1"/>
    <xf numFmtId="0" fontId="0" fillId="0" borderId="47" xfId="0" applyBorder="1"/>
    <xf numFmtId="0" fontId="0" fillId="0" borderId="48" xfId="0" applyBorder="1"/>
    <xf numFmtId="0" fontId="0" fillId="62" borderId="0" xfId="0" applyFill="1" applyAlignment="1">
      <alignment wrapText="1"/>
    </xf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0" borderId="8" xfId="0" applyBorder="1"/>
    <xf numFmtId="177" fontId="0" fillId="0" borderId="0" xfId="0" applyNumberFormat="1"/>
    <xf numFmtId="0" fontId="0" fillId="0" borderId="57" xfId="0" applyBorder="1" applyAlignment="1">
      <alignment horizontal="right"/>
    </xf>
    <xf numFmtId="0" fontId="0" fillId="0" borderId="7" xfId="0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4" xfId="0" applyNumberFormat="1" applyBorder="1" applyAlignment="1">
      <alignment horizontal="right"/>
    </xf>
    <xf numFmtId="0" fontId="8" fillId="0" borderId="0" xfId="0" applyFont="1"/>
    <xf numFmtId="0" fontId="4" fillId="0" borderId="51" xfId="0" applyFont="1" applyBorder="1" applyAlignment="1">
      <alignment horizontal="left"/>
    </xf>
    <xf numFmtId="0" fontId="1" fillId="0" borderId="50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3" fontId="1" fillId="0" borderId="0" xfId="0" applyNumberFormat="1" applyFont="1"/>
    <xf numFmtId="37" fontId="0" fillId="0" borderId="0" xfId="390" applyNumberFormat="1" applyFont="1"/>
    <xf numFmtId="37" fontId="1" fillId="0" borderId="0" xfId="0" applyNumberFormat="1" applyFont="1"/>
    <xf numFmtId="0" fontId="0" fillId="68" borderId="0" xfId="0" applyFill="1"/>
    <xf numFmtId="0" fontId="0" fillId="68" borderId="0" xfId="0" applyFill="1" applyAlignment="1">
      <alignment horizontal="right"/>
    </xf>
    <xf numFmtId="0" fontId="0" fillId="69" borderId="0" xfId="0" applyFill="1"/>
    <xf numFmtId="0" fontId="0" fillId="62" borderId="0" xfId="0" applyFill="1"/>
    <xf numFmtId="0" fontId="1" fillId="65" borderId="48" xfId="0" applyFont="1" applyFill="1" applyBorder="1"/>
    <xf numFmtId="0" fontId="1" fillId="65" borderId="49" xfId="0" applyFont="1" applyFill="1" applyBorder="1"/>
    <xf numFmtId="0" fontId="0" fillId="0" borderId="49" xfId="0" applyBorder="1"/>
    <xf numFmtId="2" fontId="0" fillId="62" borderId="0" xfId="0" applyNumberFormat="1" applyFill="1"/>
    <xf numFmtId="2" fontId="0" fillId="62" borderId="2" xfId="0" applyNumberFormat="1" applyFill="1" applyBorder="1"/>
    <xf numFmtId="3" fontId="0" fillId="62" borderId="0" xfId="0" applyNumberFormat="1" applyFill="1"/>
    <xf numFmtId="0" fontId="0" fillId="0" borderId="49" xfId="0" applyBorder="1" applyAlignment="1">
      <alignment horizontal="right"/>
    </xf>
    <xf numFmtId="164" fontId="0" fillId="0" borderId="48" xfId="0" applyNumberFormat="1" applyBorder="1"/>
    <xf numFmtId="0" fontId="0" fillId="0" borderId="2" xfId="0" applyBorder="1" applyAlignment="1">
      <alignment horizontal="right"/>
    </xf>
    <xf numFmtId="0" fontId="0" fillId="0" borderId="5" xfId="0" applyBorder="1" applyAlignment="1">
      <alignment horizontal="right"/>
    </xf>
    <xf numFmtId="164" fontId="0" fillId="0" borderId="4" xfId="0" applyNumberFormat="1" applyBorder="1"/>
    <xf numFmtId="41" fontId="0" fillId="0" borderId="0" xfId="0" applyNumberFormat="1"/>
    <xf numFmtId="10" fontId="1" fillId="0" borderId="0" xfId="0" applyNumberFormat="1" applyFont="1"/>
    <xf numFmtId="0" fontId="87" fillId="0" borderId="0" xfId="0" applyFont="1"/>
    <xf numFmtId="1" fontId="0" fillId="70" borderId="0" xfId="0" applyNumberFormat="1" applyFill="1"/>
    <xf numFmtId="0" fontId="0" fillId="70" borderId="0" xfId="0" applyFill="1"/>
    <xf numFmtId="0" fontId="94" fillId="0" borderId="0" xfId="0" applyFont="1"/>
    <xf numFmtId="0" fontId="79" fillId="0" borderId="0" xfId="0" applyFont="1"/>
    <xf numFmtId="0" fontId="4" fillId="0" borderId="9" xfId="0" applyFont="1" applyBorder="1"/>
    <xf numFmtId="2" fontId="0" fillId="0" borderId="9" xfId="0" applyNumberFormat="1" applyBorder="1"/>
    <xf numFmtId="0" fontId="95" fillId="0" borderId="0" xfId="0" applyFont="1"/>
    <xf numFmtId="178" fontId="0" fillId="0" borderId="0" xfId="0" applyNumberFormat="1"/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0" fontId="0" fillId="0" borderId="4" xfId="0" applyNumberFormat="1" applyBorder="1"/>
    <xf numFmtId="10" fontId="0" fillId="0" borderId="2" xfId="0" applyNumberFormat="1" applyBorder="1"/>
    <xf numFmtId="0" fontId="1" fillId="0" borderId="47" xfId="0" applyFont="1" applyBorder="1" applyAlignment="1">
      <alignment horizontal="left"/>
    </xf>
    <xf numFmtId="0" fontId="4" fillId="0" borderId="0" xfId="0" applyFont="1" applyAlignment="1">
      <alignment horizontal="right"/>
    </xf>
    <xf numFmtId="10" fontId="0" fillId="0" borderId="0" xfId="390" applyNumberFormat="1" applyFont="1" applyFill="1"/>
    <xf numFmtId="0" fontId="1" fillId="65" borderId="32" xfId="0" applyFont="1" applyFill="1" applyBorder="1" applyAlignment="1">
      <alignment horizontal="center"/>
    </xf>
    <xf numFmtId="0" fontId="0" fillId="65" borderId="32" xfId="0" applyFill="1" applyBorder="1"/>
    <xf numFmtId="0" fontId="1" fillId="0" borderId="4" xfId="0" applyFont="1" applyBorder="1"/>
    <xf numFmtId="173" fontId="0" fillId="0" borderId="4" xfId="0" applyNumberFormat="1" applyBorder="1"/>
    <xf numFmtId="0" fontId="1" fillId="72" borderId="0" xfId="0" applyFont="1" applyFill="1"/>
    <xf numFmtId="0" fontId="96" fillId="0" borderId="0" xfId="0" applyFont="1"/>
    <xf numFmtId="0" fontId="0" fillId="71" borderId="0" xfId="0" applyFill="1"/>
    <xf numFmtId="2" fontId="0" fillId="67" borderId="0" xfId="0" applyNumberFormat="1" applyFill="1"/>
    <xf numFmtId="1" fontId="0" fillId="0" borderId="9" xfId="0" applyNumberFormat="1" applyBorder="1"/>
    <xf numFmtId="2" fontId="0" fillId="71" borderId="0" xfId="0" applyNumberFormat="1" applyFill="1"/>
    <xf numFmtId="0" fontId="103" fillId="0" borderId="0" xfId="0" applyFont="1" applyAlignment="1">
      <alignment vertical="center"/>
    </xf>
    <xf numFmtId="0" fontId="104" fillId="75" borderId="60" xfId="0" applyFont="1" applyFill="1" applyBorder="1" applyAlignment="1">
      <alignment vertical="center"/>
    </xf>
    <xf numFmtId="0" fontId="104" fillId="75" borderId="61" xfId="0" applyFont="1" applyFill="1" applyBorder="1" applyAlignment="1">
      <alignment vertical="center"/>
    </xf>
    <xf numFmtId="0" fontId="104" fillId="75" borderId="62" xfId="0" applyFont="1" applyFill="1" applyBorder="1" applyAlignment="1">
      <alignment horizontal="right" vertical="center"/>
    </xf>
    <xf numFmtId="0" fontId="105" fillId="76" borderId="63" xfId="0" applyFont="1" applyFill="1" applyBorder="1" applyAlignment="1">
      <alignment vertical="center"/>
    </xf>
    <xf numFmtId="0" fontId="105" fillId="76" borderId="64" xfId="0" applyFont="1" applyFill="1" applyBorder="1" applyAlignment="1">
      <alignment vertical="center"/>
    </xf>
    <xf numFmtId="0" fontId="105" fillId="76" borderId="65" xfId="0" applyFont="1" applyFill="1" applyBorder="1" applyAlignment="1">
      <alignment vertical="center"/>
    </xf>
    <xf numFmtId="0" fontId="108" fillId="77" borderId="58" xfId="0" applyFont="1" applyFill="1" applyBorder="1" applyAlignment="1">
      <alignment horizontal="center" vertical="center"/>
    </xf>
    <xf numFmtId="0" fontId="78" fillId="0" borderId="0" xfId="0" applyFont="1"/>
    <xf numFmtId="0" fontId="109" fillId="0" borderId="0" xfId="0" applyFont="1" applyAlignment="1">
      <alignment horizontal="center"/>
    </xf>
    <xf numFmtId="9" fontId="0" fillId="0" borderId="48" xfId="389" applyFont="1" applyBorder="1"/>
    <xf numFmtId="2" fontId="0" fillId="70" borderId="0" xfId="0" applyNumberFormat="1" applyFill="1"/>
    <xf numFmtId="0" fontId="0" fillId="78" borderId="0" xfId="0" applyFill="1"/>
    <xf numFmtId="0" fontId="1" fillId="70" borderId="0" xfId="0" applyFont="1" applyFill="1"/>
    <xf numFmtId="0" fontId="1" fillId="70" borderId="1" xfId="0" applyFont="1" applyFill="1" applyBorder="1"/>
    <xf numFmtId="0" fontId="4" fillId="70" borderId="0" xfId="0" applyFont="1" applyFill="1"/>
    <xf numFmtId="2" fontId="0" fillId="70" borderId="2" xfId="0" applyNumberFormat="1" applyFill="1" applyBorder="1"/>
    <xf numFmtId="0" fontId="1" fillId="70" borderId="0" xfId="0" applyFont="1" applyFill="1" applyAlignment="1">
      <alignment horizontal="left"/>
    </xf>
    <xf numFmtId="0" fontId="1" fillId="70" borderId="4" xfId="0" applyFont="1" applyFill="1" applyBorder="1" applyAlignment="1">
      <alignment horizontal="left"/>
    </xf>
    <xf numFmtId="0" fontId="4" fillId="78" borderId="0" xfId="0" applyFont="1" applyFill="1"/>
    <xf numFmtId="9" fontId="0" fillId="70" borderId="0" xfId="0" applyNumberFormat="1" applyFill="1"/>
    <xf numFmtId="177" fontId="0" fillId="70" borderId="0" xfId="0" applyNumberFormat="1" applyFill="1"/>
    <xf numFmtId="0" fontId="1" fillId="74" borderId="48" xfId="0" applyFont="1" applyFill="1" applyBorder="1"/>
    <xf numFmtId="0" fontId="1" fillId="74" borderId="49" xfId="0" applyFont="1" applyFill="1" applyBorder="1"/>
    <xf numFmtId="0" fontId="4" fillId="0" borderId="66" xfId="0" applyFont="1" applyBorder="1"/>
    <xf numFmtId="0" fontId="4" fillId="0" borderId="67" xfId="0" applyFont="1" applyBorder="1" applyAlignment="1">
      <alignment horizontal="left"/>
    </xf>
    <xf numFmtId="0" fontId="1" fillId="0" borderId="68" xfId="0" applyFont="1" applyBorder="1"/>
    <xf numFmtId="0" fontId="1" fillId="0" borderId="69" xfId="0" applyFont="1" applyBorder="1"/>
    <xf numFmtId="0" fontId="1" fillId="0" borderId="70" xfId="0" applyFont="1" applyBorder="1"/>
    <xf numFmtId="0" fontId="1" fillId="0" borderId="68" xfId="0" applyFont="1" applyBorder="1" applyAlignment="1">
      <alignment horizontal="left"/>
    </xf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0" fontId="1" fillId="0" borderId="74" xfId="0" applyFont="1" applyBorder="1"/>
    <xf numFmtId="0" fontId="1" fillId="0" borderId="74" xfId="0" applyFont="1" applyBorder="1" applyAlignment="1">
      <alignment horizontal="left"/>
    </xf>
    <xf numFmtId="0" fontId="1" fillId="0" borderId="75" xfId="0" applyFont="1" applyBorder="1" applyAlignment="1">
      <alignment horizontal="left"/>
    </xf>
    <xf numFmtId="0" fontId="94" fillId="0" borderId="53" xfId="0" applyFont="1" applyBorder="1"/>
    <xf numFmtId="0" fontId="80" fillId="0" borderId="0" xfId="0" quotePrefix="1" applyFont="1"/>
    <xf numFmtId="0" fontId="80" fillId="0" borderId="53" xfId="0" applyFont="1" applyBorder="1"/>
    <xf numFmtId="11" fontId="80" fillId="0" borderId="0" xfId="0" applyNumberFormat="1" applyFont="1"/>
    <xf numFmtId="0" fontId="94" fillId="0" borderId="79" xfId="0" applyFont="1" applyBorder="1"/>
    <xf numFmtId="0" fontId="80" fillId="0" borderId="79" xfId="0" applyFont="1" applyBorder="1"/>
    <xf numFmtId="0" fontId="94" fillId="0" borderId="80" xfId="0" applyFont="1" applyBorder="1"/>
    <xf numFmtId="0" fontId="80" fillId="0" borderId="80" xfId="0" applyFont="1" applyBorder="1"/>
    <xf numFmtId="0" fontId="80" fillId="0" borderId="81" xfId="0" applyFont="1" applyBorder="1"/>
    <xf numFmtId="0" fontId="94" fillId="0" borderId="82" xfId="0" applyFont="1" applyBorder="1"/>
    <xf numFmtId="0" fontId="80" fillId="0" borderId="82" xfId="0" applyFont="1" applyBorder="1"/>
    <xf numFmtId="0" fontId="94" fillId="0" borderId="81" xfId="0" applyFont="1" applyBorder="1"/>
    <xf numFmtId="0" fontId="0" fillId="79" borderId="0" xfId="0" applyFill="1"/>
    <xf numFmtId="0" fontId="1" fillId="70" borderId="7" xfId="0" applyFont="1" applyFill="1" applyBorder="1"/>
    <xf numFmtId="0" fontId="1" fillId="70" borderId="47" xfId="0" applyFont="1" applyFill="1" applyBorder="1"/>
    <xf numFmtId="0" fontId="4" fillId="0" borderId="50" xfId="0" applyFont="1" applyBorder="1" applyAlignment="1">
      <alignment horizontal="left"/>
    </xf>
    <xf numFmtId="0" fontId="4" fillId="0" borderId="48" xfId="0" applyFont="1" applyBorder="1" applyAlignment="1">
      <alignment horizontal="left"/>
    </xf>
    <xf numFmtId="0" fontId="0" fillId="0" borderId="83" xfId="0" applyBorder="1"/>
    <xf numFmtId="9" fontId="4" fillId="70" borderId="0" xfId="0" applyNumberFormat="1" applyFont="1" applyFill="1"/>
    <xf numFmtId="0" fontId="1" fillId="70" borderId="8" xfId="0" applyFont="1" applyFill="1" applyBorder="1"/>
    <xf numFmtId="0" fontId="1" fillId="79" borderId="0" xfId="0" applyFont="1" applyFill="1"/>
    <xf numFmtId="0" fontId="4" fillId="0" borderId="76" xfId="0" applyFont="1" applyBorder="1"/>
    <xf numFmtId="0" fontId="4" fillId="0" borderId="84" xfId="0" applyFont="1" applyBorder="1" applyAlignment="1">
      <alignment horizontal="left"/>
    </xf>
    <xf numFmtId="0" fontId="1" fillId="0" borderId="85" xfId="0" applyFont="1" applyBorder="1" applyAlignment="1">
      <alignment horizontal="center"/>
    </xf>
    <xf numFmtId="0" fontId="1" fillId="70" borderId="77" xfId="0" applyFont="1" applyFill="1" applyBorder="1"/>
    <xf numFmtId="1" fontId="0" fillId="70" borderId="45" xfId="0" applyNumberFormat="1" applyFill="1" applyBorder="1"/>
    <xf numFmtId="1" fontId="0" fillId="0" borderId="45" xfId="0" applyNumberFormat="1" applyBorder="1"/>
    <xf numFmtId="0" fontId="1" fillId="0" borderId="77" xfId="0" applyFont="1" applyBorder="1"/>
    <xf numFmtId="0" fontId="1" fillId="70" borderId="77" xfId="0" applyFont="1" applyFill="1" applyBorder="1" applyAlignment="1">
      <alignment horizontal="left"/>
    </xf>
    <xf numFmtId="0" fontId="1" fillId="70" borderId="78" xfId="0" applyFont="1" applyFill="1" applyBorder="1" applyAlignment="1">
      <alignment horizontal="left"/>
    </xf>
    <xf numFmtId="0" fontId="1" fillId="0" borderId="53" xfId="0" applyFont="1" applyBorder="1"/>
    <xf numFmtId="1" fontId="0" fillId="0" borderId="53" xfId="0" applyNumberFormat="1" applyBorder="1"/>
    <xf numFmtId="1" fontId="0" fillId="0" borderId="59" xfId="0" applyNumberFormat="1" applyBorder="1"/>
    <xf numFmtId="0" fontId="1" fillId="80" borderId="0" xfId="0" applyFont="1" applyFill="1"/>
    <xf numFmtId="0" fontId="1" fillId="80" borderId="6" xfId="0" applyFont="1" applyFill="1" applyBorder="1"/>
    <xf numFmtId="1" fontId="0" fillId="80" borderId="48" xfId="0" applyNumberFormat="1" applyFill="1" applyBorder="1"/>
    <xf numFmtId="0" fontId="0" fillId="80" borderId="0" xfId="0" applyFill="1" applyAlignment="1">
      <alignment horizontal="right"/>
    </xf>
    <xf numFmtId="0" fontId="0" fillId="80" borderId="7" xfId="0" applyFill="1" applyBorder="1"/>
    <xf numFmtId="1" fontId="0" fillId="80" borderId="0" xfId="0" applyNumberFormat="1" applyFill="1"/>
    <xf numFmtId="9" fontId="0" fillId="70" borderId="48" xfId="389" applyFont="1" applyFill="1" applyBorder="1"/>
    <xf numFmtId="2" fontId="0" fillId="70" borderId="48" xfId="0" applyNumberFormat="1" applyFill="1" applyBorder="1"/>
    <xf numFmtId="2" fontId="0" fillId="70" borderId="49" xfId="0" applyNumberFormat="1" applyFill="1" applyBorder="1"/>
    <xf numFmtId="0" fontId="1" fillId="81" borderId="0" xfId="0" applyFont="1" applyFill="1"/>
    <xf numFmtId="9" fontId="0" fillId="81" borderId="0" xfId="0" applyNumberFormat="1" applyFill="1"/>
    <xf numFmtId="0" fontId="0" fillId="81" borderId="0" xfId="0" applyFill="1"/>
    <xf numFmtId="0" fontId="1" fillId="81" borderId="1" xfId="0" applyFont="1" applyFill="1" applyBorder="1"/>
    <xf numFmtId="2" fontId="0" fillId="81" borderId="0" xfId="0" applyNumberFormat="1" applyFill="1"/>
    <xf numFmtId="2" fontId="0" fillId="81" borderId="2" xfId="0" applyNumberFormat="1" applyFill="1" applyBorder="1"/>
    <xf numFmtId="0" fontId="4" fillId="81" borderId="0" xfId="0" applyFont="1" applyFill="1"/>
    <xf numFmtId="0" fontId="1" fillId="81" borderId="0" xfId="0" applyFont="1" applyFill="1" applyAlignment="1">
      <alignment horizontal="left"/>
    </xf>
    <xf numFmtId="0" fontId="1" fillId="0" borderId="86" xfId="0" applyFont="1" applyBorder="1"/>
    <xf numFmtId="0" fontId="1" fillId="0" borderId="87" xfId="0" applyFont="1" applyBorder="1"/>
    <xf numFmtId="0" fontId="1" fillId="0" borderId="88" xfId="0" applyFont="1" applyBorder="1"/>
    <xf numFmtId="9" fontId="4" fillId="81" borderId="0" xfId="0" applyNumberFormat="1" applyFont="1" applyFill="1"/>
    <xf numFmtId="0" fontId="109" fillId="0" borderId="4" xfId="0" applyFont="1" applyBorder="1"/>
    <xf numFmtId="11" fontId="1" fillId="0" borderId="89" xfId="0" applyNumberFormat="1" applyFont="1" applyBorder="1"/>
    <xf numFmtId="11" fontId="1" fillId="0" borderId="80" xfId="0" applyNumberFormat="1" applyFont="1" applyBorder="1"/>
    <xf numFmtId="11" fontId="1" fillId="0" borderId="67" xfId="0" applyNumberFormat="1" applyFont="1" applyBorder="1"/>
    <xf numFmtId="0" fontId="59" fillId="0" borderId="0" xfId="391"/>
    <xf numFmtId="9" fontId="0" fillId="0" borderId="0" xfId="389" applyFont="1" applyFill="1"/>
    <xf numFmtId="0" fontId="78" fillId="81" borderId="0" xfId="0" applyFont="1" applyFill="1"/>
    <xf numFmtId="0" fontId="0" fillId="69" borderId="0" xfId="0" applyFill="1" applyAlignment="1">
      <alignment horizontal="center" vertical="center" wrapText="1"/>
    </xf>
    <xf numFmtId="0" fontId="0" fillId="62" borderId="0" xfId="0" applyFill="1" applyAlignment="1">
      <alignment horizontal="center" vertical="center" wrapText="1"/>
    </xf>
    <xf numFmtId="0" fontId="0" fillId="62" borderId="0" xfId="0" applyFill="1" applyAlignment="1">
      <alignment horizontal="center" vertical="center"/>
    </xf>
    <xf numFmtId="0" fontId="0" fillId="65" borderId="0" xfId="0" applyFill="1"/>
    <xf numFmtId="0" fontId="1" fillId="65" borderId="48" xfId="0" applyFont="1" applyFill="1" applyBorder="1" applyAlignment="1">
      <alignment horizontal="center"/>
    </xf>
    <xf numFmtId="0" fontId="81" fillId="0" borderId="0" xfId="0" applyFont="1" applyAlignment="1">
      <alignment vertical="center"/>
    </xf>
    <xf numFmtId="0" fontId="116" fillId="0" borderId="9" xfId="0" applyFont="1" applyBorder="1" applyAlignment="1">
      <alignment horizontal="center" vertical="top"/>
    </xf>
    <xf numFmtId="0" fontId="1" fillId="81" borderId="9" xfId="0" applyFont="1" applyFill="1" applyBorder="1"/>
    <xf numFmtId="172" fontId="0" fillId="81" borderId="9" xfId="0" applyNumberFormat="1" applyFill="1" applyBorder="1"/>
    <xf numFmtId="0" fontId="1" fillId="78" borderId="9" xfId="0" applyFont="1" applyFill="1" applyBorder="1"/>
    <xf numFmtId="1" fontId="0" fillId="78" borderId="9" xfId="0" applyNumberFormat="1" applyFill="1" applyBorder="1"/>
    <xf numFmtId="172" fontId="0" fillId="0" borderId="9" xfId="0" applyNumberFormat="1" applyBorder="1"/>
    <xf numFmtId="2" fontId="0" fillId="78" borderId="9" xfId="0" applyNumberFormat="1" applyFill="1" applyBorder="1"/>
    <xf numFmtId="173" fontId="0" fillId="0" borderId="9" xfId="0" applyNumberFormat="1" applyBorder="1"/>
    <xf numFmtId="1" fontId="0" fillId="81" borderId="9" xfId="0" applyNumberFormat="1" applyFill="1" applyBorder="1"/>
    <xf numFmtId="0" fontId="1" fillId="81" borderId="9" xfId="0" applyFont="1" applyFill="1" applyBorder="1" applyAlignment="1">
      <alignment horizontal="left"/>
    </xf>
    <xf numFmtId="164" fontId="0" fillId="70" borderId="9" xfId="0" applyNumberFormat="1" applyFill="1" applyBorder="1"/>
    <xf numFmtId="0" fontId="1" fillId="70" borderId="9" xfId="0" applyFont="1" applyFill="1" applyBorder="1"/>
    <xf numFmtId="172" fontId="0" fillId="70" borderId="9" xfId="0" applyNumberFormat="1" applyFill="1" applyBorder="1"/>
    <xf numFmtId="1" fontId="0" fillId="70" borderId="9" xfId="0" applyNumberFormat="1" applyFill="1" applyBorder="1"/>
    <xf numFmtId="2" fontId="0" fillId="70" borderId="9" xfId="0" applyNumberFormat="1" applyFill="1" applyBorder="1"/>
    <xf numFmtId="0" fontId="1" fillId="70" borderId="9" xfId="0" applyFont="1" applyFill="1" applyBorder="1" applyAlignment="1">
      <alignment horizontal="left"/>
    </xf>
    <xf numFmtId="0" fontId="1" fillId="81" borderId="9" xfId="0" applyFont="1" applyFill="1" applyBorder="1" applyAlignment="1">
      <alignment horizontal="left" wrapText="1"/>
    </xf>
    <xf numFmtId="164" fontId="0" fillId="81" borderId="9" xfId="0" applyNumberFormat="1" applyFill="1" applyBorder="1"/>
    <xf numFmtId="2" fontId="0" fillId="81" borderId="9" xfId="0" applyNumberFormat="1" applyFill="1" applyBorder="1"/>
    <xf numFmtId="0" fontId="102" fillId="0" borderId="9" xfId="0" applyFont="1" applyBorder="1" applyAlignment="1">
      <alignment horizontal="right" vertical="center" wrapText="1"/>
    </xf>
    <xf numFmtId="0" fontId="101" fillId="0" borderId="9" xfId="0" applyFont="1" applyBorder="1" applyAlignment="1">
      <alignment horizontal="right" vertical="center"/>
    </xf>
    <xf numFmtId="0" fontId="101" fillId="0" borderId="9" xfId="0" applyFont="1" applyBorder="1" applyAlignment="1">
      <alignment horizontal="right" vertical="center" wrapText="1"/>
    </xf>
    <xf numFmtId="0" fontId="117" fillId="0" borderId="0" xfId="0" applyFont="1"/>
    <xf numFmtId="0" fontId="114" fillId="0" borderId="9" xfId="0" applyFont="1" applyBorder="1"/>
    <xf numFmtId="0" fontId="112" fillId="0" borderId="35" xfId="0" applyFont="1" applyBorder="1"/>
    <xf numFmtId="0" fontId="113" fillId="0" borderId="36" xfId="0" applyFont="1" applyBorder="1"/>
    <xf numFmtId="0" fontId="113" fillId="0" borderId="90" xfId="0" applyFont="1" applyBorder="1"/>
    <xf numFmtId="0" fontId="114" fillId="0" borderId="38" xfId="0" applyFont="1" applyBorder="1"/>
    <xf numFmtId="0" fontId="114" fillId="0" borderId="91" xfId="0" applyFont="1" applyBorder="1"/>
    <xf numFmtId="0" fontId="0" fillId="0" borderId="38" xfId="0" applyBorder="1"/>
    <xf numFmtId="0" fontId="0" fillId="0" borderId="91" xfId="0" applyBorder="1"/>
    <xf numFmtId="0" fontId="114" fillId="0" borderId="40" xfId="0" applyFont="1" applyBorder="1"/>
    <xf numFmtId="0" fontId="101" fillId="0" borderId="38" xfId="0" applyFont="1" applyBorder="1" applyAlignment="1">
      <alignment vertical="center"/>
    </xf>
    <xf numFmtId="0" fontId="102" fillId="0" borderId="91" xfId="0" applyFont="1" applyBorder="1" applyAlignment="1">
      <alignment horizontal="right" vertical="center" wrapText="1"/>
    </xf>
    <xf numFmtId="0" fontId="81" fillId="0" borderId="38" xfId="0" applyFont="1" applyBorder="1" applyAlignment="1">
      <alignment vertical="center"/>
    </xf>
    <xf numFmtId="0" fontId="81" fillId="0" borderId="40" xfId="0" applyFont="1" applyBorder="1" applyAlignment="1">
      <alignment vertical="center"/>
    </xf>
    <xf numFmtId="0" fontId="0" fillId="0" borderId="41" xfId="0" applyBorder="1"/>
    <xf numFmtId="0" fontId="0" fillId="0" borderId="92" xfId="0" applyBorder="1"/>
    <xf numFmtId="0" fontId="0" fillId="0" borderId="9" xfId="0" applyBorder="1" applyAlignment="1">
      <alignment wrapText="1"/>
    </xf>
    <xf numFmtId="0" fontId="81" fillId="0" borderId="38" xfId="0" applyFont="1" applyBorder="1" applyAlignment="1">
      <alignment horizontal="center" vertical="center" wrapText="1"/>
    </xf>
    <xf numFmtId="175" fontId="0" fillId="0" borderId="9" xfId="0" applyNumberFormat="1" applyBorder="1"/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75" fontId="0" fillId="0" borderId="9" xfId="0" applyNumberFormat="1" applyBorder="1" applyAlignment="1">
      <alignment horizontal="center" vertical="center"/>
    </xf>
    <xf numFmtId="2" fontId="114" fillId="0" borderId="9" xfId="0" applyNumberFormat="1" applyFont="1" applyBorder="1"/>
    <xf numFmtId="179" fontId="0" fillId="0" borderId="0" xfId="0" applyNumberFormat="1"/>
    <xf numFmtId="0" fontId="80" fillId="0" borderId="0" xfId="0" applyFont="1" applyAlignment="1">
      <alignment horizontal="right" vertical="center" wrapText="1"/>
    </xf>
    <xf numFmtId="0" fontId="1" fillId="0" borderId="9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0" fontId="0" fillId="0" borderId="0" xfId="389" applyNumberFormat="1" applyFont="1"/>
    <xf numFmtId="11" fontId="0" fillId="0" borderId="1" xfId="0" applyNumberFormat="1" applyBorder="1"/>
    <xf numFmtId="11" fontId="0" fillId="0" borderId="49" xfId="0" applyNumberFormat="1" applyBorder="1"/>
    <xf numFmtId="0" fontId="108" fillId="82" borderId="58" xfId="0" applyFont="1" applyFill="1" applyBorder="1" applyAlignment="1">
      <alignment horizontal="center" vertical="center"/>
    </xf>
    <xf numFmtId="0" fontId="85" fillId="0" borderId="0" xfId="0" applyFont="1" applyAlignment="1">
      <alignment vertical="center" wrapText="1"/>
    </xf>
    <xf numFmtId="2" fontId="97" fillId="0" borderId="0" xfId="0" applyNumberFormat="1" applyFont="1"/>
    <xf numFmtId="0" fontId="1" fillId="70" borderId="9" xfId="0" applyFont="1" applyFill="1" applyBorder="1" applyAlignment="1">
      <alignment horizontal="center"/>
    </xf>
    <xf numFmtId="9" fontId="0" fillId="70" borderId="9" xfId="389" applyFont="1" applyFill="1" applyBorder="1"/>
    <xf numFmtId="9" fontId="0" fillId="0" borderId="9" xfId="389" applyFont="1" applyFill="1" applyBorder="1"/>
    <xf numFmtId="9" fontId="0" fillId="0" borderId="9" xfId="389" applyFont="1" applyBorder="1"/>
    <xf numFmtId="0" fontId="109" fillId="0" borderId="9" xfId="0" applyFont="1" applyBorder="1" applyAlignment="1">
      <alignment horizontal="center"/>
    </xf>
    <xf numFmtId="9" fontId="78" fillId="0" borderId="9" xfId="389" applyFont="1" applyFill="1" applyBorder="1"/>
    <xf numFmtId="0" fontId="109" fillId="70" borderId="9" xfId="0" applyFont="1" applyFill="1" applyBorder="1" applyAlignment="1">
      <alignment horizontal="center"/>
    </xf>
    <xf numFmtId="0" fontId="1" fillId="81" borderId="9" xfId="0" applyFont="1" applyFill="1" applyBorder="1" applyAlignment="1">
      <alignment horizontal="center"/>
    </xf>
    <xf numFmtId="9" fontId="0" fillId="81" borderId="9" xfId="389" applyFont="1" applyFill="1" applyBorder="1"/>
    <xf numFmtId="3" fontId="79" fillId="0" borderId="9" xfId="0" applyNumberFormat="1" applyFont="1" applyBorder="1" applyProtection="1">
      <protection locked="0"/>
    </xf>
    <xf numFmtId="0" fontId="0" fillId="70" borderId="9" xfId="0" applyFill="1" applyBorder="1"/>
    <xf numFmtId="9" fontId="79" fillId="0" borderId="9" xfId="389" applyFont="1" applyBorder="1" applyProtection="1">
      <protection locked="0"/>
    </xf>
    <xf numFmtId="1" fontId="21" fillId="0" borderId="9" xfId="1" applyNumberFormat="1" applyFont="1" applyFill="1" applyBorder="1" applyProtection="1">
      <protection locked="0"/>
    </xf>
    <xf numFmtId="0" fontId="59" fillId="0" borderId="36" xfId="391" applyBorder="1"/>
    <xf numFmtId="0" fontId="0" fillId="0" borderId="36" xfId="0" applyBorder="1"/>
    <xf numFmtId="0" fontId="0" fillId="0" borderId="90" xfId="0" applyBorder="1"/>
    <xf numFmtId="3" fontId="114" fillId="0" borderId="91" xfId="0" applyNumberFormat="1" applyFont="1" applyBorder="1"/>
    <xf numFmtId="0" fontId="81" fillId="0" borderId="93" xfId="0" applyFont="1" applyBorder="1" applyAlignment="1">
      <alignment vertical="center"/>
    </xf>
    <xf numFmtId="0" fontId="99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3" fontId="100" fillId="0" borderId="0" xfId="0" applyNumberFormat="1" applyFont="1" applyAlignment="1">
      <alignment horizontal="right" vertical="center"/>
    </xf>
    <xf numFmtId="0" fontId="81" fillId="0" borderId="94" xfId="0" applyFont="1" applyBorder="1" applyAlignment="1">
      <alignment vertical="center"/>
    </xf>
    <xf numFmtId="0" fontId="101" fillId="0" borderId="0" xfId="0" applyFont="1" applyAlignment="1">
      <alignment horizontal="right" vertical="center"/>
    </xf>
    <xf numFmtId="0" fontId="101" fillId="0" borderId="0" xfId="0" applyFont="1" applyAlignment="1">
      <alignment horizontal="right" vertical="center" wrapText="1"/>
    </xf>
    <xf numFmtId="3" fontId="101" fillId="0" borderId="0" xfId="0" applyNumberFormat="1" applyFont="1" applyAlignment="1">
      <alignment horizontal="right" vertical="center"/>
    </xf>
    <xf numFmtId="3" fontId="101" fillId="0" borderId="0" xfId="0" applyNumberFormat="1" applyFont="1" applyAlignment="1">
      <alignment horizontal="right" vertical="center" wrapText="1"/>
    </xf>
    <xf numFmtId="0" fontId="101" fillId="0" borderId="41" xfId="0" applyFont="1" applyBorder="1" applyAlignment="1">
      <alignment horizontal="right" vertical="center"/>
    </xf>
    <xf numFmtId="0" fontId="101" fillId="0" borderId="41" xfId="0" applyFont="1" applyBorder="1" applyAlignment="1">
      <alignment horizontal="right" vertical="center" wrapText="1"/>
    </xf>
    <xf numFmtId="175" fontId="0" fillId="0" borderId="0" xfId="0" applyNumberFormat="1" applyAlignment="1">
      <alignment horizontal="center" vertical="center"/>
    </xf>
    <xf numFmtId="173" fontId="80" fillId="0" borderId="6" xfId="0" applyNumberFormat="1" applyFont="1" applyBorder="1" applyAlignment="1">
      <alignment horizontal="right" vertical="center"/>
    </xf>
    <xf numFmtId="173" fontId="0" fillId="0" borderId="6" xfId="0" applyNumberFormat="1" applyBorder="1"/>
    <xf numFmtId="173" fontId="80" fillId="0" borderId="95" xfId="0" applyNumberFormat="1" applyFont="1" applyBorder="1" applyAlignment="1">
      <alignment horizontal="right" vertical="center"/>
    </xf>
    <xf numFmtId="173" fontId="0" fillId="0" borderId="95" xfId="0" applyNumberFormat="1" applyBorder="1"/>
    <xf numFmtId="0" fontId="107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2" fontId="106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/>
    </xf>
    <xf numFmtId="2" fontId="0" fillId="0" borderId="1" xfId="0" applyNumberFormat="1" applyBorder="1"/>
    <xf numFmtId="2" fontId="0" fillId="0" borderId="3" xfId="0" applyNumberFormat="1" applyBorder="1"/>
    <xf numFmtId="9" fontId="0" fillId="0" borderId="49" xfId="389" applyFont="1" applyBorder="1"/>
    <xf numFmtId="9" fontId="0" fillId="0" borderId="2" xfId="389" applyFont="1" applyBorder="1"/>
    <xf numFmtId="9" fontId="0" fillId="0" borderId="32" xfId="389" applyFont="1" applyBorder="1"/>
    <xf numFmtId="9" fontId="0" fillId="0" borderId="50" xfId="389" applyFont="1" applyBorder="1"/>
    <xf numFmtId="9" fontId="0" fillId="0" borderId="51" xfId="389" applyFont="1" applyBorder="1"/>
    <xf numFmtId="0" fontId="1" fillId="0" borderId="97" xfId="0" applyFont="1" applyBorder="1"/>
    <xf numFmtId="9" fontId="0" fillId="0" borderId="48" xfId="0" applyNumberFormat="1" applyBorder="1"/>
    <xf numFmtId="9" fontId="0" fillId="0" borderId="49" xfId="0" applyNumberFormat="1" applyBorder="1"/>
    <xf numFmtId="9" fontId="0" fillId="0" borderId="2" xfId="0" applyNumberFormat="1" applyBorder="1"/>
    <xf numFmtId="0" fontId="0" fillId="0" borderId="32" xfId="0" applyBorder="1"/>
    <xf numFmtId="9" fontId="0" fillId="0" borderId="50" xfId="0" applyNumberFormat="1" applyBorder="1"/>
    <xf numFmtId="9" fontId="0" fillId="0" borderId="51" xfId="0" applyNumberFormat="1" applyBorder="1"/>
    <xf numFmtId="11" fontId="0" fillId="0" borderId="2" xfId="0" applyNumberFormat="1" applyBorder="1"/>
    <xf numFmtId="0" fontId="4" fillId="0" borderId="48" xfId="0" applyFont="1" applyBorder="1"/>
    <xf numFmtId="0" fontId="0" fillId="74" borderId="0" xfId="0" applyFill="1" applyAlignment="1">
      <alignment wrapText="1"/>
    </xf>
    <xf numFmtId="0" fontId="0" fillId="74" borderId="0" xfId="0" applyFill="1"/>
    <xf numFmtId="0" fontId="0" fillId="74" borderId="9" xfId="0" applyFill="1" applyBorder="1"/>
    <xf numFmtId="1" fontId="0" fillId="74" borderId="9" xfId="0" applyNumberFormat="1" applyFill="1" applyBorder="1"/>
    <xf numFmtId="10" fontId="0" fillId="0" borderId="9" xfId="0" applyNumberFormat="1" applyBorder="1"/>
    <xf numFmtId="1" fontId="80" fillId="0" borderId="9" xfId="0" applyNumberFormat="1" applyFont="1" applyBorder="1"/>
    <xf numFmtId="3" fontId="0" fillId="0" borderId="9" xfId="0" applyNumberFormat="1" applyBorder="1"/>
    <xf numFmtId="3" fontId="80" fillId="0" borderId="9" xfId="0" applyNumberFormat="1" applyFont="1" applyBorder="1"/>
    <xf numFmtId="2" fontId="1" fillId="0" borderId="9" xfId="0" applyNumberFormat="1" applyFont="1" applyBorder="1"/>
    <xf numFmtId="0" fontId="80" fillId="0" borderId="9" xfId="0" quotePrefix="1" applyFont="1" applyBorder="1"/>
    <xf numFmtId="164" fontId="0" fillId="0" borderId="7" xfId="0" applyNumberFormat="1" applyBorder="1"/>
    <xf numFmtId="164" fontId="0" fillId="0" borderId="9" xfId="0" applyNumberFormat="1" applyBorder="1"/>
    <xf numFmtId="0" fontId="114" fillId="5" borderId="9" xfId="0" applyFont="1" applyFill="1" applyBorder="1"/>
    <xf numFmtId="0" fontId="0" fillId="5" borderId="0" xfId="0" applyFill="1"/>
    <xf numFmtId="0" fontId="0" fillId="80" borderId="9" xfId="0" applyFill="1" applyBorder="1"/>
    <xf numFmtId="3" fontId="79" fillId="80" borderId="9" xfId="0" applyNumberFormat="1" applyFont="1" applyFill="1" applyBorder="1" applyProtection="1">
      <protection locked="0"/>
    </xf>
    <xf numFmtId="3" fontId="79" fillId="83" borderId="9" xfId="0" applyNumberFormat="1" applyFont="1" applyFill="1" applyBorder="1" applyProtection="1">
      <protection locked="0"/>
    </xf>
    <xf numFmtId="0" fontId="0" fillId="83" borderId="36" xfId="0" applyFill="1" applyBorder="1" applyAlignment="1">
      <alignment wrapText="1"/>
    </xf>
    <xf numFmtId="0" fontId="0" fillId="83" borderId="9" xfId="0" applyFill="1" applyBorder="1" applyAlignment="1">
      <alignment wrapText="1"/>
    </xf>
    <xf numFmtId="173" fontId="0" fillId="83" borderId="6" xfId="0" applyNumberFormat="1" applyFill="1" applyBorder="1"/>
    <xf numFmtId="173" fontId="0" fillId="83" borderId="95" xfId="0" applyNumberFormat="1" applyFill="1" applyBorder="1"/>
    <xf numFmtId="0" fontId="102" fillId="5" borderId="9" xfId="0" applyFont="1" applyFill="1" applyBorder="1" applyAlignment="1">
      <alignment horizontal="right" vertical="center" wrapText="1"/>
    </xf>
    <xf numFmtId="0" fontId="0" fillId="5" borderId="9" xfId="0" applyFill="1" applyBorder="1"/>
    <xf numFmtId="0" fontId="0" fillId="5" borderId="41" xfId="0" applyFill="1" applyBorder="1"/>
    <xf numFmtId="0" fontId="79" fillId="5" borderId="0" xfId="0" applyFont="1" applyFill="1"/>
    <xf numFmtId="1" fontId="21" fillId="5" borderId="0" xfId="0" applyNumberFormat="1" applyFont="1" applyFill="1"/>
    <xf numFmtId="4" fontId="0" fillId="5" borderId="0" xfId="0" applyNumberFormat="1" applyFill="1"/>
    <xf numFmtId="0" fontId="0" fillId="5" borderId="36" xfId="0" applyFill="1" applyBorder="1" applyAlignment="1">
      <alignment wrapText="1"/>
    </xf>
    <xf numFmtId="0" fontId="0" fillId="5" borderId="90" xfId="0" applyFill="1" applyBorder="1" applyAlignment="1">
      <alignment wrapText="1"/>
    </xf>
    <xf numFmtId="0" fontId="0" fillId="5" borderId="9" xfId="0" applyFill="1" applyBorder="1" applyAlignment="1">
      <alignment wrapText="1"/>
    </xf>
    <xf numFmtId="0" fontId="0" fillId="5" borderId="91" xfId="0" applyFill="1" applyBorder="1" applyAlignment="1">
      <alignment wrapText="1"/>
    </xf>
    <xf numFmtId="173" fontId="0" fillId="5" borderId="6" xfId="0" applyNumberFormat="1" applyFill="1" applyBorder="1"/>
    <xf numFmtId="173" fontId="0" fillId="5" borderId="54" xfId="0" applyNumberFormat="1" applyFill="1" applyBorder="1"/>
    <xf numFmtId="173" fontId="0" fillId="5" borderId="95" xfId="0" applyNumberFormat="1" applyFill="1" applyBorder="1"/>
    <xf numFmtId="173" fontId="0" fillId="5" borderId="96" xfId="0" applyNumberFormat="1" applyFill="1" applyBorder="1"/>
    <xf numFmtId="2" fontId="0" fillId="0" borderId="50" xfId="0" applyNumberFormat="1" applyBorder="1"/>
    <xf numFmtId="2" fontId="91" fillId="0" borderId="0" xfId="0" applyNumberFormat="1" applyFont="1"/>
    <xf numFmtId="173" fontId="91" fillId="0" borderId="0" xfId="0" applyNumberFormat="1" applyFont="1"/>
    <xf numFmtId="10" fontId="91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5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10" fillId="73" borderId="9" xfId="0" applyFont="1" applyFill="1" applyBorder="1" applyAlignment="1">
      <alignment horizontal="center" vertical="center" wrapText="1"/>
    </xf>
    <xf numFmtId="0" fontId="8" fillId="7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15" fillId="0" borderId="76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8" fillId="62" borderId="6" xfId="0" applyFont="1" applyFill="1" applyBorder="1" applyAlignment="1">
      <alignment horizontal="center" vertical="center" wrapText="1"/>
    </xf>
    <xf numFmtId="0" fontId="8" fillId="62" borderId="7" xfId="0" applyFont="1" applyFill="1" applyBorder="1" applyAlignment="1">
      <alignment horizontal="center" vertical="center" wrapText="1"/>
    </xf>
    <xf numFmtId="0" fontId="8" fillId="62" borderId="8" xfId="0" applyFont="1" applyFill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62" borderId="76" xfId="0" applyFont="1" applyFill="1" applyBorder="1" applyAlignment="1">
      <alignment horizontal="center" vertical="center" wrapText="1"/>
    </xf>
    <xf numFmtId="0" fontId="8" fillId="62" borderId="77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70" borderId="0" xfId="0" applyFill="1" applyAlignment="1">
      <alignment horizontal="center"/>
    </xf>
    <xf numFmtId="0" fontId="0" fillId="68" borderId="0" xfId="0" applyFill="1" applyAlignment="1">
      <alignment horizontal="center" wrapText="1"/>
    </xf>
    <xf numFmtId="0" fontId="0" fillId="70" borderId="0" xfId="0" applyFill="1" applyAlignment="1">
      <alignment horizontal="center" wrapText="1"/>
    </xf>
    <xf numFmtId="10" fontId="0" fillId="70" borderId="0" xfId="0" applyNumberFormat="1" applyFill="1" applyAlignment="1">
      <alignment horizontal="center"/>
    </xf>
    <xf numFmtId="9" fontId="0" fillId="70" borderId="0" xfId="0" applyNumberFormat="1" applyFill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76" xfId="0" applyFont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0" fillId="77" borderId="0" xfId="0" applyFont="1" applyFill="1" applyAlignment="1">
      <alignment horizontal="center" vertical="center" wrapText="1"/>
    </xf>
    <xf numFmtId="0" fontId="8" fillId="66" borderId="6" xfId="0" applyFont="1" applyFill="1" applyBorder="1" applyAlignment="1">
      <alignment horizontal="center" vertical="center" wrapText="1"/>
    </xf>
    <xf numFmtId="0" fontId="8" fillId="66" borderId="7" xfId="0" applyFont="1" applyFill="1" applyBorder="1" applyAlignment="1">
      <alignment horizontal="center" vertical="center" wrapText="1"/>
    </xf>
    <xf numFmtId="0" fontId="8" fillId="66" borderId="8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68" borderId="6" xfId="0" applyFont="1" applyFill="1" applyBorder="1" applyAlignment="1">
      <alignment horizontal="center" vertical="center" wrapText="1"/>
    </xf>
    <xf numFmtId="0" fontId="8" fillId="68" borderId="7" xfId="0" applyFont="1" applyFill="1" applyBorder="1" applyAlignment="1">
      <alignment horizontal="center" vertical="center" wrapText="1"/>
    </xf>
    <xf numFmtId="0" fontId="8" fillId="68" borderId="8" xfId="0" applyFont="1" applyFill="1" applyBorder="1" applyAlignment="1">
      <alignment horizontal="center" vertical="center" wrapText="1"/>
    </xf>
    <xf numFmtId="0" fontId="8" fillId="69" borderId="6" xfId="0" applyFont="1" applyFill="1" applyBorder="1" applyAlignment="1">
      <alignment horizontal="center" vertical="center" wrapText="1"/>
    </xf>
    <xf numFmtId="0" fontId="8" fillId="69" borderId="7" xfId="0" applyFont="1" applyFill="1" applyBorder="1" applyAlignment="1">
      <alignment horizontal="center" vertical="center" wrapText="1"/>
    </xf>
    <xf numFmtId="0" fontId="8" fillId="69" borderId="8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66" borderId="32" xfId="0" applyNumberFormat="1" applyFont="1" applyFill="1" applyBorder="1" applyAlignment="1">
      <alignment horizontal="center"/>
    </xf>
    <xf numFmtId="2" fontId="1" fillId="66" borderId="50" xfId="0" applyNumberFormat="1" applyFont="1" applyFill="1" applyBorder="1" applyAlignment="1">
      <alignment horizontal="center"/>
    </xf>
    <xf numFmtId="2" fontId="1" fillId="66" borderId="32" xfId="0" applyNumberFormat="1" applyFont="1" applyFill="1" applyBorder="1" applyAlignment="1">
      <alignment horizontal="center" wrapText="1"/>
    </xf>
    <xf numFmtId="2" fontId="1" fillId="66" borderId="50" xfId="0" applyNumberFormat="1" applyFont="1" applyFill="1" applyBorder="1" applyAlignment="1">
      <alignment horizontal="center" wrapText="1"/>
    </xf>
    <xf numFmtId="0" fontId="81" fillId="0" borderId="35" xfId="0" applyFont="1" applyBorder="1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87" fillId="65" borderId="3" xfId="0" applyFont="1" applyFill="1" applyBorder="1" applyAlignment="1">
      <alignment horizontal="center"/>
    </xf>
    <xf numFmtId="0" fontId="87" fillId="65" borderId="4" xfId="0" applyFont="1" applyFill="1" applyBorder="1" applyAlignment="1">
      <alignment horizontal="center"/>
    </xf>
    <xf numFmtId="0" fontId="88" fillId="65" borderId="0" xfId="0" applyFont="1" applyFill="1" applyAlignment="1">
      <alignment horizontal="center" vertical="center" wrapText="1"/>
    </xf>
    <xf numFmtId="0" fontId="88" fillId="65" borderId="4" xfId="0" applyFont="1" applyFill="1" applyBorder="1" applyAlignment="1">
      <alignment horizontal="center" vertical="center" wrapText="1"/>
    </xf>
    <xf numFmtId="0" fontId="1" fillId="65" borderId="0" xfId="0" applyFont="1" applyFill="1" applyAlignment="1">
      <alignment horizontal="center"/>
    </xf>
    <xf numFmtId="0" fontId="118" fillId="65" borderId="4" xfId="0" applyFont="1" applyFill="1" applyBorder="1" applyAlignment="1">
      <alignment horizontal="center"/>
    </xf>
    <xf numFmtId="0" fontId="87" fillId="65" borderId="32" xfId="0" applyFont="1" applyFill="1" applyBorder="1" applyAlignment="1">
      <alignment horizontal="center"/>
    </xf>
    <xf numFmtId="0" fontId="87" fillId="65" borderId="50" xfId="0" applyFont="1" applyFill="1" applyBorder="1" applyAlignment="1">
      <alignment horizontal="center"/>
    </xf>
  </cellXfs>
  <cellStyles count="406">
    <cellStyle name="_ColumnTitles" xfId="26" xr:uid="{00000000-0005-0000-0000-000000000000}"/>
    <cellStyle name="_ColumnTitles 2" xfId="27" xr:uid="{00000000-0005-0000-0000-000001000000}"/>
    <cellStyle name="_DateRange" xfId="28" xr:uid="{00000000-0005-0000-0000-000002000000}"/>
    <cellStyle name="_DateRange 2" xfId="29" xr:uid="{00000000-0005-0000-0000-000003000000}"/>
    <cellStyle name="_Hidden" xfId="30" xr:uid="{00000000-0005-0000-0000-000004000000}"/>
    <cellStyle name="_Normal" xfId="31" xr:uid="{00000000-0005-0000-0000-000005000000}"/>
    <cellStyle name="_Percentage" xfId="32" xr:uid="{00000000-0005-0000-0000-000006000000}"/>
    <cellStyle name="_PercentageBold" xfId="33" xr:uid="{00000000-0005-0000-0000-000007000000}"/>
    <cellStyle name="_SeriesAttributes" xfId="34" xr:uid="{00000000-0005-0000-0000-000008000000}"/>
    <cellStyle name="_SeriesAttributes 2" xfId="35" xr:uid="{00000000-0005-0000-0000-000009000000}"/>
    <cellStyle name="_SeriesData" xfId="36" xr:uid="{00000000-0005-0000-0000-00000A000000}"/>
    <cellStyle name="_SeriesData 2" xfId="37" xr:uid="{00000000-0005-0000-0000-00000B000000}"/>
    <cellStyle name="_SeriesDataNA" xfId="38" xr:uid="{00000000-0005-0000-0000-00000C000000}"/>
    <cellStyle name="_SeriesDataStatistics" xfId="39" xr:uid="{00000000-0005-0000-0000-00000D000000}"/>
    <cellStyle name="20% - Accent1 2" xfId="40" xr:uid="{00000000-0005-0000-0000-00000E000000}"/>
    <cellStyle name="20% - Accent1 2 2" xfId="41" xr:uid="{00000000-0005-0000-0000-00000F000000}"/>
    <cellStyle name="20% - Accent1 2 3" xfId="42" xr:uid="{00000000-0005-0000-0000-000010000000}"/>
    <cellStyle name="20% - Accent1 3" xfId="43" xr:uid="{00000000-0005-0000-0000-000011000000}"/>
    <cellStyle name="20% - Accent1 4" xfId="44" xr:uid="{00000000-0005-0000-0000-000012000000}"/>
    <cellStyle name="20% - Accent1 5" xfId="45" xr:uid="{00000000-0005-0000-0000-000013000000}"/>
    <cellStyle name="20% - Accent1 6" xfId="46" xr:uid="{00000000-0005-0000-0000-000014000000}"/>
    <cellStyle name="20% - Accent1 7" xfId="47" xr:uid="{00000000-0005-0000-0000-000015000000}"/>
    <cellStyle name="20% - Accent2 2" xfId="48" xr:uid="{00000000-0005-0000-0000-000016000000}"/>
    <cellStyle name="20% - Accent2 2 2" xfId="49" xr:uid="{00000000-0005-0000-0000-000017000000}"/>
    <cellStyle name="20% - Accent2 2 3" xfId="50" xr:uid="{00000000-0005-0000-0000-000018000000}"/>
    <cellStyle name="20% - Accent2 3" xfId="51" xr:uid="{00000000-0005-0000-0000-000019000000}"/>
    <cellStyle name="20% - Accent2 4" xfId="52" xr:uid="{00000000-0005-0000-0000-00001A000000}"/>
    <cellStyle name="20% - Accent2 5" xfId="53" xr:uid="{00000000-0005-0000-0000-00001B000000}"/>
    <cellStyle name="20% - Accent2 6" xfId="54" xr:uid="{00000000-0005-0000-0000-00001C000000}"/>
    <cellStyle name="20% - Accent2 7" xfId="55" xr:uid="{00000000-0005-0000-0000-00001D000000}"/>
    <cellStyle name="20% - Accent3 2" xfId="56" xr:uid="{00000000-0005-0000-0000-00001E000000}"/>
    <cellStyle name="20% - Accent3 2 2" xfId="57" xr:uid="{00000000-0005-0000-0000-00001F000000}"/>
    <cellStyle name="20% - Accent3 2 3" xfId="58" xr:uid="{00000000-0005-0000-0000-000020000000}"/>
    <cellStyle name="20% - Accent3 3" xfId="59" xr:uid="{00000000-0005-0000-0000-000021000000}"/>
    <cellStyle name="20% - Accent3 4" xfId="60" xr:uid="{00000000-0005-0000-0000-000022000000}"/>
    <cellStyle name="20% - Accent3 5" xfId="61" xr:uid="{00000000-0005-0000-0000-000023000000}"/>
    <cellStyle name="20% - Accent3 6" xfId="62" xr:uid="{00000000-0005-0000-0000-000024000000}"/>
    <cellStyle name="20% - Accent3 7" xfId="63" xr:uid="{00000000-0005-0000-0000-000025000000}"/>
    <cellStyle name="20% - Accent4 2" xfId="64" xr:uid="{00000000-0005-0000-0000-000026000000}"/>
    <cellStyle name="20% - Accent4 2 2" xfId="65" xr:uid="{00000000-0005-0000-0000-000027000000}"/>
    <cellStyle name="20% - Accent4 2 3" xfId="66" xr:uid="{00000000-0005-0000-0000-000028000000}"/>
    <cellStyle name="20% - Accent4 3" xfId="67" xr:uid="{00000000-0005-0000-0000-000029000000}"/>
    <cellStyle name="20% - Accent4 4" xfId="68" xr:uid="{00000000-0005-0000-0000-00002A000000}"/>
    <cellStyle name="20% - Accent4 5" xfId="69" xr:uid="{00000000-0005-0000-0000-00002B000000}"/>
    <cellStyle name="20% - Accent4 6" xfId="70" xr:uid="{00000000-0005-0000-0000-00002C000000}"/>
    <cellStyle name="20% - Accent4 7" xfId="71" xr:uid="{00000000-0005-0000-0000-00002D000000}"/>
    <cellStyle name="20% - Accent5 2" xfId="72" xr:uid="{00000000-0005-0000-0000-00002E000000}"/>
    <cellStyle name="20% - Accent5 2 2" xfId="73" xr:uid="{00000000-0005-0000-0000-00002F000000}"/>
    <cellStyle name="20% - Accent5 2 3" xfId="74" xr:uid="{00000000-0005-0000-0000-000030000000}"/>
    <cellStyle name="20% - Accent5 3" xfId="75" xr:uid="{00000000-0005-0000-0000-000031000000}"/>
    <cellStyle name="20% - Accent5 4" xfId="76" xr:uid="{00000000-0005-0000-0000-000032000000}"/>
    <cellStyle name="20% - Accent5 5" xfId="77" xr:uid="{00000000-0005-0000-0000-000033000000}"/>
    <cellStyle name="20% - Accent5 6" xfId="78" xr:uid="{00000000-0005-0000-0000-000034000000}"/>
    <cellStyle name="20% - Accent5 7" xfId="79" xr:uid="{00000000-0005-0000-0000-000035000000}"/>
    <cellStyle name="20% - Accent6 2" xfId="80" xr:uid="{00000000-0005-0000-0000-000036000000}"/>
    <cellStyle name="20% - Accent6 2 2" xfId="81" xr:uid="{00000000-0005-0000-0000-000037000000}"/>
    <cellStyle name="20% - Accent6 2 3" xfId="82" xr:uid="{00000000-0005-0000-0000-000038000000}"/>
    <cellStyle name="20% - Accent6 3" xfId="83" xr:uid="{00000000-0005-0000-0000-000039000000}"/>
    <cellStyle name="20% - Accent6 4" xfId="84" xr:uid="{00000000-0005-0000-0000-00003A000000}"/>
    <cellStyle name="20% - Accent6 5" xfId="85" xr:uid="{00000000-0005-0000-0000-00003B000000}"/>
    <cellStyle name="20% - Accent6 6" xfId="86" xr:uid="{00000000-0005-0000-0000-00003C000000}"/>
    <cellStyle name="20% - Accent6 7" xfId="87" xr:uid="{00000000-0005-0000-0000-00003D000000}"/>
    <cellStyle name="40% - Accent1 2" xfId="88" xr:uid="{00000000-0005-0000-0000-00003E000000}"/>
    <cellStyle name="40% - Accent1 2 2" xfId="89" xr:uid="{00000000-0005-0000-0000-00003F000000}"/>
    <cellStyle name="40% - Accent1 2 3" xfId="90" xr:uid="{00000000-0005-0000-0000-000040000000}"/>
    <cellStyle name="40% - Accent1 3" xfId="91" xr:uid="{00000000-0005-0000-0000-000041000000}"/>
    <cellStyle name="40% - Accent1 4" xfId="92" xr:uid="{00000000-0005-0000-0000-000042000000}"/>
    <cellStyle name="40% - Accent1 5" xfId="93" xr:uid="{00000000-0005-0000-0000-000043000000}"/>
    <cellStyle name="40% - Accent1 6" xfId="94" xr:uid="{00000000-0005-0000-0000-000044000000}"/>
    <cellStyle name="40% - Accent1 7" xfId="95" xr:uid="{00000000-0005-0000-0000-000045000000}"/>
    <cellStyle name="40% - Accent2 2" xfId="96" xr:uid="{00000000-0005-0000-0000-000046000000}"/>
    <cellStyle name="40% - Accent2 2 2" xfId="97" xr:uid="{00000000-0005-0000-0000-000047000000}"/>
    <cellStyle name="40% - Accent2 2 3" xfId="98" xr:uid="{00000000-0005-0000-0000-000048000000}"/>
    <cellStyle name="40% - Accent2 3" xfId="99" xr:uid="{00000000-0005-0000-0000-000049000000}"/>
    <cellStyle name="40% - Accent2 4" xfId="100" xr:uid="{00000000-0005-0000-0000-00004A000000}"/>
    <cellStyle name="40% - Accent2 5" xfId="101" xr:uid="{00000000-0005-0000-0000-00004B000000}"/>
    <cellStyle name="40% - Accent2 6" xfId="102" xr:uid="{00000000-0005-0000-0000-00004C000000}"/>
    <cellStyle name="40% - Accent2 7" xfId="103" xr:uid="{00000000-0005-0000-0000-00004D000000}"/>
    <cellStyle name="40% - Accent3 2" xfId="104" xr:uid="{00000000-0005-0000-0000-00004E000000}"/>
    <cellStyle name="40% - Accent3 2 2" xfId="105" xr:uid="{00000000-0005-0000-0000-00004F000000}"/>
    <cellStyle name="40% - Accent3 2 3" xfId="106" xr:uid="{00000000-0005-0000-0000-000050000000}"/>
    <cellStyle name="40% - Accent3 3" xfId="107" xr:uid="{00000000-0005-0000-0000-000051000000}"/>
    <cellStyle name="40% - Accent3 4" xfId="108" xr:uid="{00000000-0005-0000-0000-000052000000}"/>
    <cellStyle name="40% - Accent3 5" xfId="109" xr:uid="{00000000-0005-0000-0000-000053000000}"/>
    <cellStyle name="40% - Accent3 6" xfId="110" xr:uid="{00000000-0005-0000-0000-000054000000}"/>
    <cellStyle name="40% - Accent3 7" xfId="111" xr:uid="{00000000-0005-0000-0000-000055000000}"/>
    <cellStyle name="40% - Accent4 2" xfId="112" xr:uid="{00000000-0005-0000-0000-000056000000}"/>
    <cellStyle name="40% - Accent4 2 2" xfId="113" xr:uid="{00000000-0005-0000-0000-000057000000}"/>
    <cellStyle name="40% - Accent4 2 3" xfId="114" xr:uid="{00000000-0005-0000-0000-000058000000}"/>
    <cellStyle name="40% - Accent4 3" xfId="115" xr:uid="{00000000-0005-0000-0000-000059000000}"/>
    <cellStyle name="40% - Accent4 4" xfId="116" xr:uid="{00000000-0005-0000-0000-00005A000000}"/>
    <cellStyle name="40% - Accent4 5" xfId="117" xr:uid="{00000000-0005-0000-0000-00005B000000}"/>
    <cellStyle name="40% - Accent4 6" xfId="118" xr:uid="{00000000-0005-0000-0000-00005C000000}"/>
    <cellStyle name="40% - Accent4 7" xfId="119" xr:uid="{00000000-0005-0000-0000-00005D000000}"/>
    <cellStyle name="40% - Accent5 2" xfId="120" xr:uid="{00000000-0005-0000-0000-00005E000000}"/>
    <cellStyle name="40% - Accent5 2 2" xfId="121" xr:uid="{00000000-0005-0000-0000-00005F000000}"/>
    <cellStyle name="40% - Accent5 2 3" xfId="122" xr:uid="{00000000-0005-0000-0000-000060000000}"/>
    <cellStyle name="40% - Accent5 3" xfId="123" xr:uid="{00000000-0005-0000-0000-000061000000}"/>
    <cellStyle name="40% - Accent5 4" xfId="124" xr:uid="{00000000-0005-0000-0000-000062000000}"/>
    <cellStyle name="40% - Accent5 5" xfId="125" xr:uid="{00000000-0005-0000-0000-000063000000}"/>
    <cellStyle name="40% - Accent5 6" xfId="126" xr:uid="{00000000-0005-0000-0000-000064000000}"/>
    <cellStyle name="40% - Accent5 7" xfId="127" xr:uid="{00000000-0005-0000-0000-000065000000}"/>
    <cellStyle name="40% - Accent6 2" xfId="128" xr:uid="{00000000-0005-0000-0000-000066000000}"/>
    <cellStyle name="40% - Accent6 2 2" xfId="129" xr:uid="{00000000-0005-0000-0000-000067000000}"/>
    <cellStyle name="40% - Accent6 2 3" xfId="130" xr:uid="{00000000-0005-0000-0000-000068000000}"/>
    <cellStyle name="40% - Accent6 3" xfId="131" xr:uid="{00000000-0005-0000-0000-000069000000}"/>
    <cellStyle name="40% - Accent6 4" xfId="132" xr:uid="{00000000-0005-0000-0000-00006A000000}"/>
    <cellStyle name="40% - Accent6 5" xfId="133" xr:uid="{00000000-0005-0000-0000-00006B000000}"/>
    <cellStyle name="40% - Accent6 6" xfId="134" xr:uid="{00000000-0005-0000-0000-00006C000000}"/>
    <cellStyle name="40% - Accent6 7" xfId="135" xr:uid="{00000000-0005-0000-0000-00006D000000}"/>
    <cellStyle name="60% - Accent1 2" xfId="136" xr:uid="{00000000-0005-0000-0000-00006E000000}"/>
    <cellStyle name="60% - Accent1 2 2" xfId="137" xr:uid="{00000000-0005-0000-0000-00006F000000}"/>
    <cellStyle name="60% - Accent1 2 3" xfId="138" xr:uid="{00000000-0005-0000-0000-000070000000}"/>
    <cellStyle name="60% - Accent1 3" xfId="139" xr:uid="{00000000-0005-0000-0000-000071000000}"/>
    <cellStyle name="60% - Accent2 2" xfId="140" xr:uid="{00000000-0005-0000-0000-000072000000}"/>
    <cellStyle name="60% - Accent2 2 2" xfId="141" xr:uid="{00000000-0005-0000-0000-000073000000}"/>
    <cellStyle name="60% - Accent2 2 3" xfId="142" xr:uid="{00000000-0005-0000-0000-000074000000}"/>
    <cellStyle name="60% - Accent2 3" xfId="143" xr:uid="{00000000-0005-0000-0000-000075000000}"/>
    <cellStyle name="60% - Accent3 2" xfId="144" xr:uid="{00000000-0005-0000-0000-000076000000}"/>
    <cellStyle name="60% - Accent3 2 2" xfId="145" xr:uid="{00000000-0005-0000-0000-000077000000}"/>
    <cellStyle name="60% - Accent3 2 3" xfId="146" xr:uid="{00000000-0005-0000-0000-000078000000}"/>
    <cellStyle name="60% - Accent3 3" xfId="147" xr:uid="{00000000-0005-0000-0000-000079000000}"/>
    <cellStyle name="60% - Accent4 2" xfId="148" xr:uid="{00000000-0005-0000-0000-00007A000000}"/>
    <cellStyle name="60% - Accent4 2 2" xfId="149" xr:uid="{00000000-0005-0000-0000-00007B000000}"/>
    <cellStyle name="60% - Accent4 2 3" xfId="150" xr:uid="{00000000-0005-0000-0000-00007C000000}"/>
    <cellStyle name="60% - Accent4 3" xfId="151" xr:uid="{00000000-0005-0000-0000-00007D000000}"/>
    <cellStyle name="60% - Accent5 2" xfId="152" xr:uid="{00000000-0005-0000-0000-00007E000000}"/>
    <cellStyle name="60% - Accent5 2 2" xfId="153" xr:uid="{00000000-0005-0000-0000-00007F000000}"/>
    <cellStyle name="60% - Accent5 2 3" xfId="154" xr:uid="{00000000-0005-0000-0000-000080000000}"/>
    <cellStyle name="60% - Accent5 3" xfId="155" xr:uid="{00000000-0005-0000-0000-000081000000}"/>
    <cellStyle name="60% - Accent6 2" xfId="156" xr:uid="{00000000-0005-0000-0000-000082000000}"/>
    <cellStyle name="60% - Accent6 2 2" xfId="157" xr:uid="{00000000-0005-0000-0000-000083000000}"/>
    <cellStyle name="60% - Accent6 2 3" xfId="158" xr:uid="{00000000-0005-0000-0000-000084000000}"/>
    <cellStyle name="60% - Accent6 3" xfId="159" xr:uid="{00000000-0005-0000-0000-000085000000}"/>
    <cellStyle name="Accent1 2" xfId="160" xr:uid="{00000000-0005-0000-0000-000086000000}"/>
    <cellStyle name="Accent1 2 2" xfId="161" xr:uid="{00000000-0005-0000-0000-000087000000}"/>
    <cellStyle name="Accent1 2 3" xfId="162" xr:uid="{00000000-0005-0000-0000-000088000000}"/>
    <cellStyle name="Accent1 3" xfId="163" xr:uid="{00000000-0005-0000-0000-000089000000}"/>
    <cellStyle name="Accent2 2" xfId="164" xr:uid="{00000000-0005-0000-0000-00008A000000}"/>
    <cellStyle name="Accent2 2 2" xfId="165" xr:uid="{00000000-0005-0000-0000-00008B000000}"/>
    <cellStyle name="Accent2 2 3" xfId="166" xr:uid="{00000000-0005-0000-0000-00008C000000}"/>
    <cellStyle name="Accent2 3" xfId="167" xr:uid="{00000000-0005-0000-0000-00008D000000}"/>
    <cellStyle name="Accent3 2" xfId="168" xr:uid="{00000000-0005-0000-0000-00008E000000}"/>
    <cellStyle name="Accent3 2 2" xfId="169" xr:uid="{00000000-0005-0000-0000-00008F000000}"/>
    <cellStyle name="Accent3 2 3" xfId="170" xr:uid="{00000000-0005-0000-0000-000090000000}"/>
    <cellStyle name="Accent3 3" xfId="171" xr:uid="{00000000-0005-0000-0000-000091000000}"/>
    <cellStyle name="Accent4 2" xfId="172" xr:uid="{00000000-0005-0000-0000-000092000000}"/>
    <cellStyle name="Accent4 2 2" xfId="173" xr:uid="{00000000-0005-0000-0000-000093000000}"/>
    <cellStyle name="Accent4 2 3" xfId="174" xr:uid="{00000000-0005-0000-0000-000094000000}"/>
    <cellStyle name="Accent4 3" xfId="175" xr:uid="{00000000-0005-0000-0000-000095000000}"/>
    <cellStyle name="Accent5 2" xfId="176" xr:uid="{00000000-0005-0000-0000-000096000000}"/>
    <cellStyle name="Accent5 2 2" xfId="177" xr:uid="{00000000-0005-0000-0000-000097000000}"/>
    <cellStyle name="Accent5 2 3" xfId="178" xr:uid="{00000000-0005-0000-0000-000098000000}"/>
    <cellStyle name="Accent5 3" xfId="179" xr:uid="{00000000-0005-0000-0000-000099000000}"/>
    <cellStyle name="Accent6 2" xfId="180" xr:uid="{00000000-0005-0000-0000-00009A000000}"/>
    <cellStyle name="Accent6 2 2" xfId="181" xr:uid="{00000000-0005-0000-0000-00009B000000}"/>
    <cellStyle name="Accent6 2 3" xfId="182" xr:uid="{00000000-0005-0000-0000-00009C000000}"/>
    <cellStyle name="Accent6 3" xfId="183" xr:uid="{00000000-0005-0000-0000-00009D000000}"/>
    <cellStyle name="Bad" xfId="1" builtinId="27"/>
    <cellStyle name="Bad 2" xfId="184" xr:uid="{00000000-0005-0000-0000-00009F000000}"/>
    <cellStyle name="Bad 2 2" xfId="185" xr:uid="{00000000-0005-0000-0000-0000A0000000}"/>
    <cellStyle name="Bad 2 3" xfId="186" xr:uid="{00000000-0005-0000-0000-0000A1000000}"/>
    <cellStyle name="Bad 3" xfId="187" xr:uid="{00000000-0005-0000-0000-0000A2000000}"/>
    <cellStyle name="Calculation 2" xfId="188" xr:uid="{00000000-0005-0000-0000-0000A3000000}"/>
    <cellStyle name="Calculation 2 2" xfId="189" xr:uid="{00000000-0005-0000-0000-0000A4000000}"/>
    <cellStyle name="Calculation 2 2 2" xfId="190" xr:uid="{00000000-0005-0000-0000-0000A5000000}"/>
    <cellStyle name="Calculation 2 3" xfId="191" xr:uid="{00000000-0005-0000-0000-0000A6000000}"/>
    <cellStyle name="Calculation 3" xfId="192" xr:uid="{00000000-0005-0000-0000-0000A7000000}"/>
    <cellStyle name="Check Cell 2" xfId="193" xr:uid="{00000000-0005-0000-0000-0000A8000000}"/>
    <cellStyle name="Check Cell 2 2" xfId="194" xr:uid="{00000000-0005-0000-0000-0000A9000000}"/>
    <cellStyle name="Check Cell 2 3" xfId="195" xr:uid="{00000000-0005-0000-0000-0000AA000000}"/>
    <cellStyle name="Check Cell 3" xfId="196" xr:uid="{00000000-0005-0000-0000-0000AB000000}"/>
    <cellStyle name="Comma" xfId="390" builtinId="3"/>
    <cellStyle name="Comma [0] 2" xfId="197" xr:uid="{00000000-0005-0000-0000-0000AD000000}"/>
    <cellStyle name="Comma [0] 2 2" xfId="198" xr:uid="{00000000-0005-0000-0000-0000AE000000}"/>
    <cellStyle name="Comma [0] 3" xfId="199" xr:uid="{00000000-0005-0000-0000-0000AF000000}"/>
    <cellStyle name="Comma 10" xfId="200" xr:uid="{00000000-0005-0000-0000-0000B0000000}"/>
    <cellStyle name="Comma 11" xfId="201" xr:uid="{00000000-0005-0000-0000-0000B1000000}"/>
    <cellStyle name="Comma 11 2" xfId="202" xr:uid="{00000000-0005-0000-0000-0000B2000000}"/>
    <cellStyle name="Comma 12" xfId="388" xr:uid="{00000000-0005-0000-0000-0000B3000000}"/>
    <cellStyle name="Comma 13" xfId="394" xr:uid="{00000000-0005-0000-0000-0000B4000000}"/>
    <cellStyle name="Comma 14" xfId="395" xr:uid="{00000000-0005-0000-0000-0000B5000000}"/>
    <cellStyle name="Comma 15" xfId="396" xr:uid="{00000000-0005-0000-0000-0000B6000000}"/>
    <cellStyle name="Comma 16" xfId="397" xr:uid="{00000000-0005-0000-0000-0000B7000000}"/>
    <cellStyle name="Comma 17" xfId="398" xr:uid="{00000000-0005-0000-0000-0000B8000000}"/>
    <cellStyle name="Comma 18" xfId="399" xr:uid="{00000000-0005-0000-0000-0000B9000000}"/>
    <cellStyle name="Comma 19" xfId="400" xr:uid="{00000000-0005-0000-0000-0000BA000000}"/>
    <cellStyle name="Comma 2" xfId="3" xr:uid="{00000000-0005-0000-0000-0000BB000000}"/>
    <cellStyle name="Comma 2 2" xfId="203" xr:uid="{00000000-0005-0000-0000-0000BC000000}"/>
    <cellStyle name="Comma 2 2 2" xfId="204" xr:uid="{00000000-0005-0000-0000-0000BD000000}"/>
    <cellStyle name="Comma 2 3" xfId="205" xr:uid="{00000000-0005-0000-0000-0000BE000000}"/>
    <cellStyle name="Comma 2 4" xfId="206" xr:uid="{00000000-0005-0000-0000-0000BF000000}"/>
    <cellStyle name="Comma 2 5" xfId="207" xr:uid="{00000000-0005-0000-0000-0000C0000000}"/>
    <cellStyle name="Comma 2 6" xfId="208" xr:uid="{00000000-0005-0000-0000-0000C1000000}"/>
    <cellStyle name="Comma 20" xfId="401" xr:uid="{00000000-0005-0000-0000-0000C2000000}"/>
    <cellStyle name="Comma 21" xfId="402" xr:uid="{00000000-0005-0000-0000-0000C3000000}"/>
    <cellStyle name="Comma 3" xfId="209" xr:uid="{00000000-0005-0000-0000-0000C4000000}"/>
    <cellStyle name="Comma 3 2" xfId="210" xr:uid="{00000000-0005-0000-0000-0000C5000000}"/>
    <cellStyle name="Comma 3 3" xfId="211" xr:uid="{00000000-0005-0000-0000-0000C6000000}"/>
    <cellStyle name="Comma 3 4" xfId="212" xr:uid="{00000000-0005-0000-0000-0000C7000000}"/>
    <cellStyle name="Comma 4" xfId="213" xr:uid="{00000000-0005-0000-0000-0000C8000000}"/>
    <cellStyle name="Comma 4 2" xfId="214" xr:uid="{00000000-0005-0000-0000-0000C9000000}"/>
    <cellStyle name="Comma 5" xfId="215" xr:uid="{00000000-0005-0000-0000-0000CA000000}"/>
    <cellStyle name="Comma 5 2" xfId="216" xr:uid="{00000000-0005-0000-0000-0000CB000000}"/>
    <cellStyle name="Comma 5 3" xfId="217" xr:uid="{00000000-0005-0000-0000-0000CC000000}"/>
    <cellStyle name="Comma 5 4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221" xr:uid="{00000000-0005-0000-0000-0000D0000000}"/>
    <cellStyle name="Comma 9" xfId="222" xr:uid="{00000000-0005-0000-0000-0000D1000000}"/>
    <cellStyle name="Comma0" xfId="223" xr:uid="{00000000-0005-0000-0000-0000D2000000}"/>
    <cellStyle name="Currency 2" xfId="224" xr:uid="{00000000-0005-0000-0000-0000D3000000}"/>
    <cellStyle name="Currency 3" xfId="225" xr:uid="{00000000-0005-0000-0000-0000D4000000}"/>
    <cellStyle name="Currency0" xfId="226" xr:uid="{00000000-0005-0000-0000-0000D5000000}"/>
    <cellStyle name="Date" xfId="227" xr:uid="{00000000-0005-0000-0000-0000D6000000}"/>
    <cellStyle name="DateTime" xfId="9" xr:uid="{00000000-0005-0000-0000-0000D7000000}"/>
    <cellStyle name="Explanatory Text 2" xfId="228" xr:uid="{00000000-0005-0000-0000-0000D8000000}"/>
    <cellStyle name="Explanatory Text 2 2" xfId="229" xr:uid="{00000000-0005-0000-0000-0000D9000000}"/>
    <cellStyle name="Explanatory Text 2 3" xfId="230" xr:uid="{00000000-0005-0000-0000-0000DA000000}"/>
    <cellStyle name="Explanatory Text 3" xfId="231" xr:uid="{00000000-0005-0000-0000-0000DB000000}"/>
    <cellStyle name="Fixed" xfId="232" xr:uid="{00000000-0005-0000-0000-0000DC000000}"/>
    <cellStyle name="Followed Hyperlink 2" xfId="233" xr:uid="{00000000-0005-0000-0000-0000DD000000}"/>
    <cellStyle name="Good 2" xfId="234" xr:uid="{00000000-0005-0000-0000-0000DE000000}"/>
    <cellStyle name="Good 2 2" xfId="235" xr:uid="{00000000-0005-0000-0000-0000DF000000}"/>
    <cellStyle name="Good 2 3" xfId="236" xr:uid="{00000000-0005-0000-0000-0000E0000000}"/>
    <cellStyle name="Good 3" xfId="237" xr:uid="{00000000-0005-0000-0000-0000E1000000}"/>
    <cellStyle name="Heading 1 2" xfId="238" xr:uid="{00000000-0005-0000-0000-0000E2000000}"/>
    <cellStyle name="Heading 1 2 2" xfId="239" xr:uid="{00000000-0005-0000-0000-0000E3000000}"/>
    <cellStyle name="Heading 1 2 3" xfId="240" xr:uid="{00000000-0005-0000-0000-0000E4000000}"/>
    <cellStyle name="Heading 1 3" xfId="241" xr:uid="{00000000-0005-0000-0000-0000E5000000}"/>
    <cellStyle name="Heading 2 2" xfId="242" xr:uid="{00000000-0005-0000-0000-0000E6000000}"/>
    <cellStyle name="Heading 2 2 2" xfId="243" xr:uid="{00000000-0005-0000-0000-0000E7000000}"/>
    <cellStyle name="Heading 2 2 3" xfId="244" xr:uid="{00000000-0005-0000-0000-0000E8000000}"/>
    <cellStyle name="Heading 2 3" xfId="245" xr:uid="{00000000-0005-0000-0000-0000E9000000}"/>
    <cellStyle name="Heading 3 2" xfId="246" xr:uid="{00000000-0005-0000-0000-0000EA000000}"/>
    <cellStyle name="Heading 3 2 2" xfId="247" xr:uid="{00000000-0005-0000-0000-0000EB000000}"/>
    <cellStyle name="Heading 3 2 3" xfId="248" xr:uid="{00000000-0005-0000-0000-0000EC000000}"/>
    <cellStyle name="Heading 3 3" xfId="249" xr:uid="{00000000-0005-0000-0000-0000ED000000}"/>
    <cellStyle name="Heading 4 2" xfId="250" xr:uid="{00000000-0005-0000-0000-0000EE000000}"/>
    <cellStyle name="Heading 4 2 2" xfId="251" xr:uid="{00000000-0005-0000-0000-0000EF000000}"/>
    <cellStyle name="Heading 4 2 3" xfId="252" xr:uid="{00000000-0005-0000-0000-0000F0000000}"/>
    <cellStyle name="Heading 4 3" xfId="253" xr:uid="{00000000-0005-0000-0000-0000F1000000}"/>
    <cellStyle name="Hyperlink" xfId="391" builtinId="8"/>
    <cellStyle name="Hyperlink 2" xfId="8" xr:uid="{00000000-0005-0000-0000-0000F3000000}"/>
    <cellStyle name="Hyperlink 3" xfId="254" xr:uid="{00000000-0005-0000-0000-0000F4000000}"/>
    <cellStyle name="Hyperlink 4" xfId="255" xr:uid="{00000000-0005-0000-0000-0000F5000000}"/>
    <cellStyle name="Hyperlink 4 2" xfId="256" xr:uid="{00000000-0005-0000-0000-0000F6000000}"/>
    <cellStyle name="Hyperlink 5" xfId="257" xr:uid="{00000000-0005-0000-0000-0000F7000000}"/>
    <cellStyle name="Input 2" xfId="258" xr:uid="{00000000-0005-0000-0000-0000F8000000}"/>
    <cellStyle name="Input 2 2" xfId="259" xr:uid="{00000000-0005-0000-0000-0000F9000000}"/>
    <cellStyle name="Input 2 2 2" xfId="260" xr:uid="{00000000-0005-0000-0000-0000FA000000}"/>
    <cellStyle name="Input 2 3" xfId="261" xr:uid="{00000000-0005-0000-0000-0000FB000000}"/>
    <cellStyle name="Input 3" xfId="262" xr:uid="{00000000-0005-0000-0000-0000FC000000}"/>
    <cellStyle name="Linked Cell 2" xfId="263" xr:uid="{00000000-0005-0000-0000-0000FD000000}"/>
    <cellStyle name="Linked Cell 2 2" xfId="264" xr:uid="{00000000-0005-0000-0000-0000FE000000}"/>
    <cellStyle name="Linked Cell 2 3" xfId="265" xr:uid="{00000000-0005-0000-0000-0000FF000000}"/>
    <cellStyle name="Linked Cell 3" xfId="266" xr:uid="{00000000-0005-0000-0000-000000010000}"/>
    <cellStyle name="Neutral 2" xfId="267" xr:uid="{00000000-0005-0000-0000-000001010000}"/>
    <cellStyle name="Neutral 2 2" xfId="268" xr:uid="{00000000-0005-0000-0000-000002010000}"/>
    <cellStyle name="Neutral 2 3" xfId="269" xr:uid="{00000000-0005-0000-0000-000003010000}"/>
    <cellStyle name="Neutral 3" xfId="270" xr:uid="{00000000-0005-0000-0000-000004010000}"/>
    <cellStyle name="Normal" xfId="0" builtinId="0"/>
    <cellStyle name="Normal 10" xfId="271" xr:uid="{00000000-0005-0000-0000-000006010000}"/>
    <cellStyle name="Normal 11" xfId="272" xr:uid="{00000000-0005-0000-0000-000007010000}"/>
    <cellStyle name="Normal 12" xfId="273" xr:uid="{00000000-0005-0000-0000-000008010000}"/>
    <cellStyle name="Normal 13" xfId="274" xr:uid="{00000000-0005-0000-0000-000009010000}"/>
    <cellStyle name="Normal 14" xfId="275" xr:uid="{00000000-0005-0000-0000-00000A010000}"/>
    <cellStyle name="Normal 15" xfId="276" xr:uid="{00000000-0005-0000-0000-00000B010000}"/>
    <cellStyle name="Normal 15 2" xfId="277" xr:uid="{00000000-0005-0000-0000-00000C010000}"/>
    <cellStyle name="Normal 16" xfId="278" xr:uid="{00000000-0005-0000-0000-00000D010000}"/>
    <cellStyle name="Normal 16 2" xfId="279" xr:uid="{00000000-0005-0000-0000-00000E010000}"/>
    <cellStyle name="Normal 16 3" xfId="280" xr:uid="{00000000-0005-0000-0000-00000F010000}"/>
    <cellStyle name="Normal 17" xfId="281" xr:uid="{00000000-0005-0000-0000-000010010000}"/>
    <cellStyle name="Normal 17 2" xfId="282" xr:uid="{00000000-0005-0000-0000-000011010000}"/>
    <cellStyle name="Normal 18" xfId="283" xr:uid="{00000000-0005-0000-0000-000012010000}"/>
    <cellStyle name="Normal 19" xfId="284" xr:uid="{00000000-0005-0000-0000-000013010000}"/>
    <cellStyle name="Normal 2" xfId="4" xr:uid="{00000000-0005-0000-0000-000014010000}"/>
    <cellStyle name="Normal 2 2" xfId="285" xr:uid="{00000000-0005-0000-0000-000015010000}"/>
    <cellStyle name="Normal 2 2 2" xfId="286" xr:uid="{00000000-0005-0000-0000-000016010000}"/>
    <cellStyle name="Normal 2 2 2 2" xfId="287" xr:uid="{00000000-0005-0000-0000-000017010000}"/>
    <cellStyle name="Normal 2 3" xfId="2" xr:uid="{00000000-0005-0000-0000-000018010000}"/>
    <cellStyle name="Normal 2 3 2" xfId="288" xr:uid="{00000000-0005-0000-0000-000019010000}"/>
    <cellStyle name="Normal 2 4" xfId="289" xr:uid="{00000000-0005-0000-0000-00001A010000}"/>
    <cellStyle name="Normal 2 4 2" xfId="290" xr:uid="{00000000-0005-0000-0000-00001B010000}"/>
    <cellStyle name="Normal 2 4 2 2" xfId="291" xr:uid="{00000000-0005-0000-0000-00001C010000}"/>
    <cellStyle name="Normal 2 4 3" xfId="292" xr:uid="{00000000-0005-0000-0000-00001D010000}"/>
    <cellStyle name="Normal 2 5" xfId="293" xr:uid="{00000000-0005-0000-0000-00001E010000}"/>
    <cellStyle name="Normal 2 6" xfId="294" xr:uid="{00000000-0005-0000-0000-00001F010000}"/>
    <cellStyle name="Normal 20" xfId="387" xr:uid="{00000000-0005-0000-0000-000020010000}"/>
    <cellStyle name="Normal 21" xfId="392" xr:uid="{00000000-0005-0000-0000-000021010000}"/>
    <cellStyle name="Normal 22" xfId="393" xr:uid="{00000000-0005-0000-0000-000022010000}"/>
    <cellStyle name="Normal 23" xfId="403" xr:uid="{00000000-0005-0000-0000-000023010000}"/>
    <cellStyle name="Normal 23 2" xfId="405" xr:uid="{2FB84CC5-CF1E-47F4-82A9-7A8B12DD9D69}"/>
    <cellStyle name="Normal 23 3" xfId="404" xr:uid="{5FE98DCD-79BB-44FC-ACD3-6E9E3F68EB62}"/>
    <cellStyle name="Normal 3" xfId="5" xr:uid="{00000000-0005-0000-0000-000024010000}"/>
    <cellStyle name="Normal 3 2" xfId="7" xr:uid="{00000000-0005-0000-0000-000025010000}"/>
    <cellStyle name="Normal 3 2 2" xfId="295" xr:uid="{00000000-0005-0000-0000-000026010000}"/>
    <cellStyle name="Normal 3 3" xfId="296" xr:uid="{00000000-0005-0000-0000-000027010000}"/>
    <cellStyle name="Normal 3 4" xfId="297" xr:uid="{00000000-0005-0000-0000-000028010000}"/>
    <cellStyle name="Normal 3 5" xfId="298" xr:uid="{00000000-0005-0000-0000-000029010000}"/>
    <cellStyle name="Normal 4" xfId="6" xr:uid="{00000000-0005-0000-0000-00002A010000}"/>
    <cellStyle name="Normal 4 2" xfId="299" xr:uid="{00000000-0005-0000-0000-00002B010000}"/>
    <cellStyle name="Normal 4 2 2" xfId="300" xr:uid="{00000000-0005-0000-0000-00002C010000}"/>
    <cellStyle name="Normal 4 2 3" xfId="301" xr:uid="{00000000-0005-0000-0000-00002D010000}"/>
    <cellStyle name="Normal 4 3" xfId="302" xr:uid="{00000000-0005-0000-0000-00002E010000}"/>
    <cellStyle name="Normal 4 4" xfId="303" xr:uid="{00000000-0005-0000-0000-00002F010000}"/>
    <cellStyle name="Normal 4 5" xfId="304" xr:uid="{00000000-0005-0000-0000-000030010000}"/>
    <cellStyle name="Normal 4 6" xfId="305" xr:uid="{00000000-0005-0000-0000-000031010000}"/>
    <cellStyle name="Normal 5" xfId="306" xr:uid="{00000000-0005-0000-0000-000032010000}"/>
    <cellStyle name="Normal 5 2" xfId="307" xr:uid="{00000000-0005-0000-0000-000033010000}"/>
    <cellStyle name="Normal 5 2 2" xfId="308" xr:uid="{00000000-0005-0000-0000-000034010000}"/>
    <cellStyle name="Normal 5 3" xfId="309" xr:uid="{00000000-0005-0000-0000-000035010000}"/>
    <cellStyle name="Normal 6" xfId="310" xr:uid="{00000000-0005-0000-0000-000036010000}"/>
    <cellStyle name="Normal 6 2" xfId="311" xr:uid="{00000000-0005-0000-0000-000037010000}"/>
    <cellStyle name="Normal 6 2 2" xfId="312" xr:uid="{00000000-0005-0000-0000-000038010000}"/>
    <cellStyle name="Normal 6 3" xfId="313" xr:uid="{00000000-0005-0000-0000-000039010000}"/>
    <cellStyle name="Normal 6 4" xfId="314" xr:uid="{00000000-0005-0000-0000-00003A010000}"/>
    <cellStyle name="Normal 6 5" xfId="315" xr:uid="{00000000-0005-0000-0000-00003B010000}"/>
    <cellStyle name="Normal 7" xfId="316" xr:uid="{00000000-0005-0000-0000-00003C010000}"/>
    <cellStyle name="Normal 7 2" xfId="317" xr:uid="{00000000-0005-0000-0000-00003D010000}"/>
    <cellStyle name="Normal 8" xfId="318" xr:uid="{00000000-0005-0000-0000-00003E010000}"/>
    <cellStyle name="Normal 8 2" xfId="319" xr:uid="{00000000-0005-0000-0000-00003F010000}"/>
    <cellStyle name="Normal 9" xfId="320" xr:uid="{00000000-0005-0000-0000-000040010000}"/>
    <cellStyle name="Normal 9 2" xfId="321" xr:uid="{00000000-0005-0000-0000-000041010000}"/>
    <cellStyle name="Note 2" xfId="322" xr:uid="{00000000-0005-0000-0000-000042010000}"/>
    <cellStyle name="Note 2 2" xfId="323" xr:uid="{00000000-0005-0000-0000-000043010000}"/>
    <cellStyle name="Note 2 2 2" xfId="324" xr:uid="{00000000-0005-0000-0000-000044010000}"/>
    <cellStyle name="Note 2 2 2 2" xfId="325" xr:uid="{00000000-0005-0000-0000-000045010000}"/>
    <cellStyle name="Note 2 3" xfId="326" xr:uid="{00000000-0005-0000-0000-000046010000}"/>
    <cellStyle name="Note 2 3 2" xfId="327" xr:uid="{00000000-0005-0000-0000-000047010000}"/>
    <cellStyle name="Note 3" xfId="328" xr:uid="{00000000-0005-0000-0000-000048010000}"/>
    <cellStyle name="Note 3 2" xfId="329" xr:uid="{00000000-0005-0000-0000-000049010000}"/>
    <cellStyle name="Note 4" xfId="330" xr:uid="{00000000-0005-0000-0000-00004A010000}"/>
    <cellStyle name="Note 4 2" xfId="331" xr:uid="{00000000-0005-0000-0000-00004B010000}"/>
    <cellStyle name="Note 5" xfId="332" xr:uid="{00000000-0005-0000-0000-00004C010000}"/>
    <cellStyle name="Note 6" xfId="333" xr:uid="{00000000-0005-0000-0000-00004D010000}"/>
    <cellStyle name="Note 7" xfId="334" xr:uid="{00000000-0005-0000-0000-00004E010000}"/>
    <cellStyle name="Note 8" xfId="335" xr:uid="{00000000-0005-0000-0000-00004F010000}"/>
    <cellStyle name="Note 9" xfId="336" xr:uid="{00000000-0005-0000-0000-000050010000}"/>
    <cellStyle name="Output 2" xfId="337" xr:uid="{00000000-0005-0000-0000-000051010000}"/>
    <cellStyle name="Output 2 2" xfId="338" xr:uid="{00000000-0005-0000-0000-000052010000}"/>
    <cellStyle name="Output 2 2 2" xfId="339" xr:uid="{00000000-0005-0000-0000-000053010000}"/>
    <cellStyle name="Output 2 3" xfId="340" xr:uid="{00000000-0005-0000-0000-000054010000}"/>
    <cellStyle name="Output 3" xfId="341" xr:uid="{00000000-0005-0000-0000-000055010000}"/>
    <cellStyle name="Percent" xfId="389" builtinId="5"/>
    <cellStyle name="Percent 2" xfId="342" xr:uid="{00000000-0005-0000-0000-000057010000}"/>
    <cellStyle name="Percent 2 2" xfId="343" xr:uid="{00000000-0005-0000-0000-000058010000}"/>
    <cellStyle name="Percent 2 2 2" xfId="344" xr:uid="{00000000-0005-0000-0000-000059010000}"/>
    <cellStyle name="Percent 2 3" xfId="345" xr:uid="{00000000-0005-0000-0000-00005A010000}"/>
    <cellStyle name="Percent 2 4" xfId="346" xr:uid="{00000000-0005-0000-0000-00005B010000}"/>
    <cellStyle name="Percent 2 5" xfId="347" xr:uid="{00000000-0005-0000-0000-00005C010000}"/>
    <cellStyle name="Percent 3" xfId="348" xr:uid="{00000000-0005-0000-0000-00005D010000}"/>
    <cellStyle name="Percent 3 2" xfId="349" xr:uid="{00000000-0005-0000-0000-00005E010000}"/>
    <cellStyle name="Percent 3 3" xfId="350" xr:uid="{00000000-0005-0000-0000-00005F010000}"/>
    <cellStyle name="Percent 4" xfId="351" xr:uid="{00000000-0005-0000-0000-000060010000}"/>
    <cellStyle name="Percent 4 2" xfId="352" xr:uid="{00000000-0005-0000-0000-000061010000}"/>
    <cellStyle name="Percent 5" xfId="353" xr:uid="{00000000-0005-0000-0000-000062010000}"/>
    <cellStyle name="Percent 6" xfId="354" xr:uid="{00000000-0005-0000-0000-000063010000}"/>
    <cellStyle name="Percent 6 2" xfId="355" xr:uid="{00000000-0005-0000-0000-000064010000}"/>
    <cellStyle name="Percent 7" xfId="356" xr:uid="{00000000-0005-0000-0000-000065010000}"/>
    <cellStyle name="Percent 8" xfId="357" xr:uid="{00000000-0005-0000-0000-000066010000}"/>
    <cellStyle name="Percent 8 2" xfId="358" xr:uid="{00000000-0005-0000-0000-000067010000}"/>
    <cellStyle name="Style 21" xfId="10" xr:uid="{00000000-0005-0000-0000-000068010000}"/>
    <cellStyle name="Style 21 2" xfId="359" xr:uid="{00000000-0005-0000-0000-000069010000}"/>
    <cellStyle name="Style 21 2 2" xfId="360" xr:uid="{00000000-0005-0000-0000-00006A010000}"/>
    <cellStyle name="Style 21 3" xfId="361" xr:uid="{00000000-0005-0000-0000-00006B010000}"/>
    <cellStyle name="Style 22" xfId="11" xr:uid="{00000000-0005-0000-0000-00006C010000}"/>
    <cellStyle name="Style 22 2" xfId="362" xr:uid="{00000000-0005-0000-0000-00006D010000}"/>
    <cellStyle name="Style 22 3" xfId="363" xr:uid="{00000000-0005-0000-0000-00006E010000}"/>
    <cellStyle name="Style 23" xfId="12" xr:uid="{00000000-0005-0000-0000-00006F010000}"/>
    <cellStyle name="Style 23 2" xfId="364" xr:uid="{00000000-0005-0000-0000-000070010000}"/>
    <cellStyle name="Style 23 2 2" xfId="365" xr:uid="{00000000-0005-0000-0000-000071010000}"/>
    <cellStyle name="Style 23 2 3" xfId="366" xr:uid="{00000000-0005-0000-0000-000072010000}"/>
    <cellStyle name="Style 23 3" xfId="367" xr:uid="{00000000-0005-0000-0000-000073010000}"/>
    <cellStyle name="Style 23 3 2" xfId="368" xr:uid="{00000000-0005-0000-0000-000074010000}"/>
    <cellStyle name="Style 23 4" xfId="369" xr:uid="{00000000-0005-0000-0000-000075010000}"/>
    <cellStyle name="Style 24" xfId="13" xr:uid="{00000000-0005-0000-0000-000076010000}"/>
    <cellStyle name="Style 24 2" xfId="370" xr:uid="{00000000-0005-0000-0000-000077010000}"/>
    <cellStyle name="Style 24 3" xfId="371" xr:uid="{00000000-0005-0000-0000-000078010000}"/>
    <cellStyle name="Style 25" xfId="14" xr:uid="{00000000-0005-0000-0000-000079010000}"/>
    <cellStyle name="Style 25 2" xfId="372" xr:uid="{00000000-0005-0000-0000-00007A010000}"/>
    <cellStyle name="Style 25 3" xfId="373" xr:uid="{00000000-0005-0000-0000-00007B010000}"/>
    <cellStyle name="Style 26" xfId="15" xr:uid="{00000000-0005-0000-0000-00007C010000}"/>
    <cellStyle name="Style 26 2" xfId="374" xr:uid="{00000000-0005-0000-0000-00007D010000}"/>
    <cellStyle name="Style 26 3" xfId="375" xr:uid="{00000000-0005-0000-0000-00007E010000}"/>
    <cellStyle name="Style 27" xfId="16" xr:uid="{00000000-0005-0000-0000-00007F010000}"/>
    <cellStyle name="Style 28" xfId="17" xr:uid="{00000000-0005-0000-0000-000080010000}"/>
    <cellStyle name="Style 29" xfId="18" xr:uid="{00000000-0005-0000-0000-000081010000}"/>
    <cellStyle name="Style 30" xfId="19" xr:uid="{00000000-0005-0000-0000-000082010000}"/>
    <cellStyle name="Style 31" xfId="20" xr:uid="{00000000-0005-0000-0000-000083010000}"/>
    <cellStyle name="Style 32" xfId="21" xr:uid="{00000000-0005-0000-0000-000084010000}"/>
    <cellStyle name="Style 33" xfId="22" xr:uid="{00000000-0005-0000-0000-000085010000}"/>
    <cellStyle name="Style 34" xfId="23" xr:uid="{00000000-0005-0000-0000-000086010000}"/>
    <cellStyle name="Style 35" xfId="24" xr:uid="{00000000-0005-0000-0000-000087010000}"/>
    <cellStyle name="Style 36" xfId="25" xr:uid="{00000000-0005-0000-0000-000088010000}"/>
    <cellStyle name="Title 2" xfId="376" xr:uid="{00000000-0005-0000-0000-000089010000}"/>
    <cellStyle name="Title 2 2" xfId="377" xr:uid="{00000000-0005-0000-0000-00008A010000}"/>
    <cellStyle name="Total 2" xfId="378" xr:uid="{00000000-0005-0000-0000-00008B010000}"/>
    <cellStyle name="Total 2 2" xfId="379" xr:uid="{00000000-0005-0000-0000-00008C010000}"/>
    <cellStyle name="Total 2 2 2" xfId="380" xr:uid="{00000000-0005-0000-0000-00008D010000}"/>
    <cellStyle name="Total 2 3" xfId="381" xr:uid="{00000000-0005-0000-0000-00008E010000}"/>
    <cellStyle name="Total 3" xfId="382" xr:uid="{00000000-0005-0000-0000-00008F010000}"/>
    <cellStyle name="Warning Text 2" xfId="383" xr:uid="{00000000-0005-0000-0000-000090010000}"/>
    <cellStyle name="Warning Text 2 2" xfId="384" xr:uid="{00000000-0005-0000-0000-000091010000}"/>
    <cellStyle name="Warning Text 2 3" xfId="385" xr:uid="{00000000-0005-0000-0000-000092010000}"/>
    <cellStyle name="Warning Text 3" xfId="386" xr:uid="{00000000-0005-0000-0000-00009301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6F2507"/>
      <color rgb="FF006600"/>
      <color rgb="FF003300"/>
      <color rgb="FF0033CC"/>
      <color rgb="FF9E5ECE"/>
      <color rgb="FFCC3300"/>
      <color rgb="FF003399"/>
      <color rgb="FFFFFF66"/>
      <color rgb="FFFFFF99"/>
      <color rgb="FFB88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Estimated</a:t>
            </a:r>
            <a:r>
              <a:rPr lang="en-US" baseline="0"/>
              <a:t> Statewide NOx Emissions - Proposed Amendments (tons/year)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Upstream Emissions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NOx BAU'!$F$18:$AB$18</c:f>
              <c:numCache>
                <c:formatCode>0.00</c:formatCode>
                <c:ptCount val="23"/>
                <c:pt idx="0">
                  <c:v>-30.491412097211299</c:v>
                </c:pt>
                <c:pt idx="1">
                  <c:v>-60.982824194422598</c:v>
                </c:pt>
                <c:pt idx="2">
                  <c:v>-91.4742362916339</c:v>
                </c:pt>
                <c:pt idx="3">
                  <c:v>-121.9656483888452</c:v>
                </c:pt>
                <c:pt idx="4">
                  <c:v>-152.45706048605646</c:v>
                </c:pt>
                <c:pt idx="5">
                  <c:v>-182.94847258326777</c:v>
                </c:pt>
                <c:pt idx="6">
                  <c:v>-213.43988468047911</c:v>
                </c:pt>
                <c:pt idx="7">
                  <c:v>-243.93129677769039</c:v>
                </c:pt>
                <c:pt idx="8">
                  <c:v>-274.42270887490162</c:v>
                </c:pt>
                <c:pt idx="9">
                  <c:v>-304.91412097211298</c:v>
                </c:pt>
                <c:pt idx="10">
                  <c:v>-335.40553306932424</c:v>
                </c:pt>
                <c:pt idx="11">
                  <c:v>-365.8969451665356</c:v>
                </c:pt>
                <c:pt idx="12">
                  <c:v>-396.38835726374685</c:v>
                </c:pt>
                <c:pt idx="13">
                  <c:v>-426.87976936095822</c:v>
                </c:pt>
                <c:pt idx="14">
                  <c:v>-457.37118145816947</c:v>
                </c:pt>
                <c:pt idx="15">
                  <c:v>-487.86259355538078</c:v>
                </c:pt>
                <c:pt idx="16">
                  <c:v>-518.35400565259204</c:v>
                </c:pt>
                <c:pt idx="17">
                  <c:v>-548.84541774980335</c:v>
                </c:pt>
                <c:pt idx="18">
                  <c:v>-579.33682984701466</c:v>
                </c:pt>
                <c:pt idx="19">
                  <c:v>-609.82824194422585</c:v>
                </c:pt>
                <c:pt idx="20">
                  <c:v>-640.31965404143716</c:v>
                </c:pt>
                <c:pt idx="21">
                  <c:v>-670.81106613864847</c:v>
                </c:pt>
                <c:pt idx="22">
                  <c:v>-701.30247823585978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6-4FD2-B043-BE6FF3B63F85}"/>
            </c:ext>
          </c:extLst>
        </c:ser>
        <c:ser>
          <c:idx val="8"/>
          <c:order val="1"/>
          <c:tx>
            <c:v>Jet Fuel Tailpipe</c:v>
          </c:tx>
          <c:spPr>
            <a:pattFill prst="dkDnDiag">
              <a:fgClr>
                <a:srgbClr val="0066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BAU'!$F$56:$AB$56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6-4FD2-B043-BE6FF3B63F85}"/>
            </c:ext>
          </c:extLst>
        </c:ser>
        <c:ser>
          <c:idx val="0"/>
          <c:order val="2"/>
          <c:tx>
            <c:v>Fossil Gas Production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'Air Basin Summary NOx BAU'!$F$113:$AB$113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-1.3290086172723163</c:v>
                </c:pt>
                <c:pt idx="13">
                  <c:v>-4.7277463254767671</c:v>
                </c:pt>
                <c:pt idx="14">
                  <c:v>-8.2034699217306297</c:v>
                </c:pt>
                <c:pt idx="15">
                  <c:v>-11.750836162872623</c:v>
                </c:pt>
                <c:pt idx="16">
                  <c:v>-14.833645132792583</c:v>
                </c:pt>
                <c:pt idx="17">
                  <c:v>-18.132455585609122</c:v>
                </c:pt>
                <c:pt idx="18">
                  <c:v>-21.882832832921157</c:v>
                </c:pt>
                <c:pt idx="19">
                  <c:v>-23.863147559170599</c:v>
                </c:pt>
                <c:pt idx="20">
                  <c:v>-25.917766233177026</c:v>
                </c:pt>
                <c:pt idx="21">
                  <c:v>-27.967215219954618</c:v>
                </c:pt>
                <c:pt idx="22">
                  <c:v>-30.76528582283732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6-4FD2-B043-BE6FF3B63F85}"/>
            </c:ext>
          </c:extLst>
        </c:ser>
        <c:ser>
          <c:idx val="5"/>
          <c:order val="3"/>
          <c:tx>
            <c:v>Biodiesel/Renewable diesel tailpipe</c:v>
          </c:tx>
          <c:spPr>
            <a:solidFill>
              <a:srgbClr val="6F2507"/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BAU'!$F$37:$AB$37</c:f>
              <c:numCache>
                <c:formatCode>0.00</c:formatCode>
                <c:ptCount val="23"/>
                <c:pt idx="0">
                  <c:v>-748.59005673390527</c:v>
                </c:pt>
                <c:pt idx="1">
                  <c:v>-2027.032925127467</c:v>
                </c:pt>
                <c:pt idx="2">
                  <c:v>-2269.1674199728386</c:v>
                </c:pt>
                <c:pt idx="3">
                  <c:v>-2150.3243823701196</c:v>
                </c:pt>
                <c:pt idx="4">
                  <c:v>-1952.4397235425481</c:v>
                </c:pt>
                <c:pt idx="5">
                  <c:v>-1904.2401807827255</c:v>
                </c:pt>
                <c:pt idx="6">
                  <c:v>-1831.2908544819059</c:v>
                </c:pt>
                <c:pt idx="7">
                  <c:v>-1741.5516132101675</c:v>
                </c:pt>
                <c:pt idx="8">
                  <c:v>-1641.4684701594647</c:v>
                </c:pt>
                <c:pt idx="9">
                  <c:v>-1537.4158661168624</c:v>
                </c:pt>
                <c:pt idx="10">
                  <c:v>-1439.4764280410529</c:v>
                </c:pt>
                <c:pt idx="11">
                  <c:v>-1338.4352067506122</c:v>
                </c:pt>
                <c:pt idx="12">
                  <c:v>-1226.3888562395559</c:v>
                </c:pt>
                <c:pt idx="13">
                  <c:v>-1114.9897650799528</c:v>
                </c:pt>
                <c:pt idx="14">
                  <c:v>-1026.9380237068935</c:v>
                </c:pt>
                <c:pt idx="15">
                  <c:v>-1001.9159284858974</c:v>
                </c:pt>
                <c:pt idx="16">
                  <c:v>-973.89642719229641</c:v>
                </c:pt>
                <c:pt idx="17">
                  <c:v>-914.9108368195383</c:v>
                </c:pt>
                <c:pt idx="18">
                  <c:v>-834.41904088971216</c:v>
                </c:pt>
                <c:pt idx="19">
                  <c:v>-781.18942081636169</c:v>
                </c:pt>
                <c:pt idx="20">
                  <c:v>-722.56956325389899</c:v>
                </c:pt>
                <c:pt idx="21">
                  <c:v>-681.79232217065874</c:v>
                </c:pt>
                <c:pt idx="22">
                  <c:v>-629.67558215787028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6-4FD2-B043-BE6FF3B63F85}"/>
            </c:ext>
          </c:extLst>
        </c:ser>
        <c:ser>
          <c:idx val="7"/>
          <c:order val="4"/>
          <c:tx>
            <c:v>Renewable Fuel Production from Oils</c:v>
          </c:tx>
          <c:spPr>
            <a:pattFill prst="pct90">
              <a:fgClr>
                <a:srgbClr val="C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BAU'!$F$94:$AB$94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0.91152170904847418</c:v>
                </c:pt>
                <c:pt idx="3">
                  <c:v>7.8668254814235876</c:v>
                </c:pt>
                <c:pt idx="4">
                  <c:v>12.04000774484866</c:v>
                </c:pt>
                <c:pt idx="5">
                  <c:v>14.5439171029037</c:v>
                </c:pt>
                <c:pt idx="6">
                  <c:v>16.046262717736784</c:v>
                </c:pt>
                <c:pt idx="7">
                  <c:v>16.947670086636588</c:v>
                </c:pt>
                <c:pt idx="8">
                  <c:v>17.488514507976475</c:v>
                </c:pt>
                <c:pt idx="9">
                  <c:v>17.813021160780394</c:v>
                </c:pt>
                <c:pt idx="10">
                  <c:v>18.299781139986322</c:v>
                </c:pt>
                <c:pt idx="11">
                  <c:v>18.299781139986319</c:v>
                </c:pt>
                <c:pt idx="12">
                  <c:v>18.299781139986322</c:v>
                </c:pt>
                <c:pt idx="13">
                  <c:v>18.299781139986319</c:v>
                </c:pt>
                <c:pt idx="14">
                  <c:v>18.299781139986319</c:v>
                </c:pt>
                <c:pt idx="15">
                  <c:v>18.299781139986315</c:v>
                </c:pt>
                <c:pt idx="16">
                  <c:v>18.299781139986319</c:v>
                </c:pt>
                <c:pt idx="17">
                  <c:v>18.299781139986315</c:v>
                </c:pt>
                <c:pt idx="18">
                  <c:v>18.299781139986319</c:v>
                </c:pt>
                <c:pt idx="19">
                  <c:v>18.299781139986319</c:v>
                </c:pt>
                <c:pt idx="20">
                  <c:v>18.299781139986319</c:v>
                </c:pt>
                <c:pt idx="21">
                  <c:v>18.299781139986322</c:v>
                </c:pt>
                <c:pt idx="22">
                  <c:v>18.299781139986319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6-4FD2-B043-BE6FF3B63F85}"/>
            </c:ext>
          </c:extLst>
        </c:ser>
        <c:ser>
          <c:idx val="9"/>
          <c:order val="5"/>
          <c:tx>
            <c:v>Biomethane upgrading</c:v>
          </c:tx>
          <c:spPr>
            <a:pattFill prst="pct75">
              <a:fgClr>
                <a:srgbClr val="7030A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BAU'!$F$75:$AB$75</c:f>
              <c:numCache>
                <c:formatCode>0.00</c:formatCode>
                <c:ptCount val="23"/>
                <c:pt idx="0">
                  <c:v>0</c:v>
                </c:pt>
                <c:pt idx="1">
                  <c:v>33.567597408641817</c:v>
                </c:pt>
                <c:pt idx="2">
                  <c:v>37.725985464719706</c:v>
                </c:pt>
                <c:pt idx="3">
                  <c:v>14.606072812527225</c:v>
                </c:pt>
                <c:pt idx="4">
                  <c:v>25.213134185114022</c:v>
                </c:pt>
                <c:pt idx="5">
                  <c:v>6.424666657071219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0.46884574232936965</c:v>
                </c:pt>
                <c:pt idx="10">
                  <c:v>6.7334730736584527</c:v>
                </c:pt>
                <c:pt idx="11">
                  <c:v>10.989027695451286</c:v>
                </c:pt>
                <c:pt idx="12">
                  <c:v>10.989027695451284</c:v>
                </c:pt>
                <c:pt idx="13">
                  <c:v>26.257571333187045</c:v>
                </c:pt>
                <c:pt idx="14">
                  <c:v>26.25757133318703</c:v>
                </c:pt>
                <c:pt idx="15">
                  <c:v>31.512405243594511</c:v>
                </c:pt>
                <c:pt idx="16">
                  <c:v>39.334309042851693</c:v>
                </c:pt>
                <c:pt idx="17">
                  <c:v>38.59597485931269</c:v>
                </c:pt>
                <c:pt idx="18">
                  <c:v>38.812171245897233</c:v>
                </c:pt>
                <c:pt idx="19">
                  <c:v>39.062194867510428</c:v>
                </c:pt>
                <c:pt idx="20">
                  <c:v>33.940345453781056</c:v>
                </c:pt>
                <c:pt idx="21">
                  <c:v>31.344494173328929</c:v>
                </c:pt>
                <c:pt idx="22">
                  <c:v>29.309725037272173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E6-4FD2-B043-BE6FF3B63F85}"/>
            </c:ext>
          </c:extLst>
        </c:ser>
        <c:ser>
          <c:idx val="3"/>
          <c:order val="6"/>
          <c:tx>
            <c:v>Feedstock/Fuel Transport - Rail</c:v>
          </c:tx>
          <c:spPr>
            <a:pattFill prst="pct90">
              <a:fgClr>
                <a:srgbClr val="003399"/>
              </a:fgClr>
              <a:bgClr>
                <a:sysClr val="window" lastClr="FFFFFF"/>
              </a:bgClr>
            </a:pattFill>
            <a:ln>
              <a:gradFill>
                <a:gsLst>
                  <a:gs pos="0">
                    <a:srgbClr val="4F81BD">
                      <a:lumMod val="5000"/>
                      <a:lumOff val="95000"/>
                    </a:srgbClr>
                  </a:gs>
                  <a:gs pos="74000">
                    <a:srgbClr val="4F81BD">
                      <a:lumMod val="45000"/>
                      <a:lumOff val="55000"/>
                    </a:srgbClr>
                  </a:gs>
                  <a:gs pos="83000">
                    <a:srgbClr val="4F81BD">
                      <a:lumMod val="45000"/>
                      <a:lumOff val="55000"/>
                    </a:srgbClr>
                  </a:gs>
                  <a:gs pos="100000">
                    <a:srgbClr val="4F81BD">
                      <a:lumMod val="30000"/>
                      <a:lumOff val="70000"/>
                    </a:srgbClr>
                  </a:gs>
                </a:gsLst>
                <a:lin ang="5400000" scaled="1"/>
              </a:gradFill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BAU'!$F$151:$AB$151</c:f>
              <c:numCache>
                <c:formatCode>0.00</c:formatCode>
                <c:ptCount val="23"/>
                <c:pt idx="0">
                  <c:v>95.251785509184799</c:v>
                </c:pt>
                <c:pt idx="1">
                  <c:v>259.14458467621489</c:v>
                </c:pt>
                <c:pt idx="2">
                  <c:v>294.18044298145185</c:v>
                </c:pt>
                <c:pt idx="3">
                  <c:v>308.84958884001014</c:v>
                </c:pt>
                <c:pt idx="4">
                  <c:v>287.54402351401853</c:v>
                </c:pt>
                <c:pt idx="5">
                  <c:v>283.47367867101957</c:v>
                </c:pt>
                <c:pt idx="6">
                  <c:v>152.70861172534441</c:v>
                </c:pt>
                <c:pt idx="7">
                  <c:v>137.12915630292406</c:v>
                </c:pt>
                <c:pt idx="8">
                  <c:v>131.14249711031945</c:v>
                </c:pt>
                <c:pt idx="9">
                  <c:v>124.58537780575992</c:v>
                </c:pt>
                <c:pt idx="10">
                  <c:v>119.5414130816043</c:v>
                </c:pt>
                <c:pt idx="11">
                  <c:v>85.700295229376053</c:v>
                </c:pt>
                <c:pt idx="12">
                  <c:v>65.3519708701007</c:v>
                </c:pt>
                <c:pt idx="13">
                  <c:v>43.953501902698932</c:v>
                </c:pt>
                <c:pt idx="14">
                  <c:v>42.401894268632041</c:v>
                </c:pt>
                <c:pt idx="15">
                  <c:v>41.792303293600554</c:v>
                </c:pt>
                <c:pt idx="16">
                  <c:v>41.593958698682627</c:v>
                </c:pt>
                <c:pt idx="17">
                  <c:v>40.573438989569539</c:v>
                </c:pt>
                <c:pt idx="18">
                  <c:v>38.922880406611306</c:v>
                </c:pt>
                <c:pt idx="19">
                  <c:v>38.196027501486491</c:v>
                </c:pt>
                <c:pt idx="20">
                  <c:v>37.260521788341741</c:v>
                </c:pt>
                <c:pt idx="21">
                  <c:v>36.31509632166123</c:v>
                </c:pt>
                <c:pt idx="22">
                  <c:v>34.94471703701592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E6-4FD2-B043-BE6FF3B63F85}"/>
            </c:ext>
          </c:extLst>
        </c:ser>
        <c:ser>
          <c:idx val="6"/>
          <c:order val="8"/>
          <c:tx>
            <c:v>Feedstock/Fuel Transport - Truck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BAU'!$F$132:$AB$132</c:f>
              <c:numCache>
                <c:formatCode>0.00</c:formatCode>
                <c:ptCount val="23"/>
                <c:pt idx="0">
                  <c:v>17.711895326014307</c:v>
                </c:pt>
                <c:pt idx="1">
                  <c:v>35.577975851638257</c:v>
                </c:pt>
                <c:pt idx="2">
                  <c:v>36.822542204882645</c:v>
                </c:pt>
                <c:pt idx="3">
                  <c:v>32.099494416009456</c:v>
                </c:pt>
                <c:pt idx="4">
                  <c:v>25.394953587649475</c:v>
                </c:pt>
                <c:pt idx="5">
                  <c:v>22.744728323560334</c:v>
                </c:pt>
                <c:pt idx="6">
                  <c:v>20.376352262027115</c:v>
                </c:pt>
                <c:pt idx="7">
                  <c:v>18.208860659923626</c:v>
                </c:pt>
                <c:pt idx="8">
                  <c:v>16.348275136378795</c:v>
                </c:pt>
                <c:pt idx="9">
                  <c:v>14.819420583699713</c:v>
                </c:pt>
                <c:pt idx="10">
                  <c:v>13.447418990857653</c:v>
                </c:pt>
                <c:pt idx="11">
                  <c:v>12.163245241076293</c:v>
                </c:pt>
                <c:pt idx="12">
                  <c:v>11.583226115409385</c:v>
                </c:pt>
                <c:pt idx="13">
                  <c:v>10.634084063165897</c:v>
                </c:pt>
                <c:pt idx="14">
                  <c:v>9.8231442674288267</c:v>
                </c:pt>
                <c:pt idx="15">
                  <c:v>9.7170966025939745</c:v>
                </c:pt>
                <c:pt idx="16">
                  <c:v>9.7491398875352857</c:v>
                </c:pt>
                <c:pt idx="17">
                  <c:v>9.4941906930186217</c:v>
                </c:pt>
                <c:pt idx="18">
                  <c:v>9.0589915408159918</c:v>
                </c:pt>
                <c:pt idx="19">
                  <c:v>8.9393523859454369</c:v>
                </c:pt>
                <c:pt idx="20">
                  <c:v>8.7779731846368669</c:v>
                </c:pt>
                <c:pt idx="21">
                  <c:v>8.6388417981007848</c:v>
                </c:pt>
                <c:pt idx="22">
                  <c:v>8.3641086456655529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E6-4FD2-B043-BE6FF3B6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217615"/>
        <c:axId val="885220527"/>
        <c:extLst/>
      </c:barChart>
      <c:lineChart>
        <c:grouping val="standard"/>
        <c:varyColors val="0"/>
        <c:ser>
          <c:idx val="2"/>
          <c:order val="7"/>
          <c:tx>
            <c:v>Total NOx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NOx BAU'!$F$155:$AB$155</c:f>
              <c:numCache>
                <c:formatCode>0</c:formatCode>
                <c:ptCount val="23"/>
                <c:pt idx="0">
                  <c:v>-666.11778799591752</c:v>
                </c:pt>
                <c:pt idx="1">
                  <c:v>-1759.7255913853946</c:v>
                </c:pt>
                <c:pt idx="2">
                  <c:v>-1991.0011639043701</c:v>
                </c:pt>
                <c:pt idx="3">
                  <c:v>-1908.8680492089943</c:v>
                </c:pt>
                <c:pt idx="4">
                  <c:v>-1754.7046649969739</c:v>
                </c:pt>
                <c:pt idx="5">
                  <c:v>-1760.0016626114382</c:v>
                </c:pt>
                <c:pt idx="6">
                  <c:v>-1855.5995124572769</c:v>
                </c:pt>
                <c:pt idx="7">
                  <c:v>-1813.1972229383737</c:v>
                </c:pt>
                <c:pt idx="8">
                  <c:v>-1750.9118922796915</c:v>
                </c:pt>
                <c:pt idx="9">
                  <c:v>-1684.6433217964061</c:v>
                </c:pt>
                <c:pt idx="10">
                  <c:v>-1616.8598748242705</c:v>
                </c:pt>
                <c:pt idx="11">
                  <c:v>-1577.1798026112576</c:v>
                </c:pt>
                <c:pt idx="12">
                  <c:v>-1517.8822162996273</c:v>
                </c:pt>
                <c:pt idx="13">
                  <c:v>-1447.4523423273497</c:v>
                </c:pt>
                <c:pt idx="14">
                  <c:v>-1395.7302840775592</c:v>
                </c:pt>
                <c:pt idx="15">
                  <c:v>-1400.2077719243755</c:v>
                </c:pt>
                <c:pt idx="16">
                  <c:v>-1398.1068892086253</c:v>
                </c:pt>
                <c:pt idx="17">
                  <c:v>-1374.9253244730635</c:v>
                </c:pt>
                <c:pt idx="18">
                  <c:v>-1330.5448792363372</c:v>
                </c:pt>
                <c:pt idx="19">
                  <c:v>-1310.3834544248291</c:v>
                </c:pt>
                <c:pt idx="20">
                  <c:v>-1290.5283619617669</c:v>
                </c:pt>
                <c:pt idx="21">
                  <c:v>-1285.9723900961844</c:v>
                </c:pt>
                <c:pt idx="22">
                  <c:v>-1270.8250143566277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6-4FD2-B043-BE6FF3B6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217615"/>
        <c:axId val="885220527"/>
      </c:lineChart>
      <c:catAx>
        <c:axId val="88521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20527"/>
        <c:crosses val="autoZero"/>
        <c:auto val="1"/>
        <c:lblAlgn val="ctr"/>
        <c:lblOffset val="100"/>
        <c:tickLblSkip val="2"/>
        <c:noMultiLvlLbl val="0"/>
      </c:catAx>
      <c:valAx>
        <c:axId val="885220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Total NOx Emissions (tons/year)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1761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43563795529308"/>
          <c:y val="8.526479387637384E-2"/>
          <c:w val="0.27916959832559229"/>
          <c:h val="0.89275537754131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venir LT Std 35 Light" panose="020B0402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Estimated</a:t>
            </a:r>
            <a:r>
              <a:rPr lang="en-US" baseline="0"/>
              <a:t> Statewide NOx Emissions - Proposed Amendments (tons/day)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Upstream Emissions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NOx BAU tpd'!$E$160:$E$182</c:f>
              <c:numCache>
                <c:formatCode>0.000</c:formatCode>
                <c:ptCount val="23"/>
                <c:pt idx="0">
                  <c:v>-8.348093661111923E-2</c:v>
                </c:pt>
                <c:pt idx="1">
                  <c:v>-0.16696187322223846</c:v>
                </c:pt>
                <c:pt idx="2">
                  <c:v>-0.2504428098333577</c:v>
                </c:pt>
                <c:pt idx="3">
                  <c:v>-0.33392374644447692</c:v>
                </c:pt>
                <c:pt idx="4">
                  <c:v>-0.41740468305559608</c:v>
                </c:pt>
                <c:pt idx="5">
                  <c:v>-0.5008856196667153</c:v>
                </c:pt>
                <c:pt idx="6">
                  <c:v>-0.58436655627783463</c:v>
                </c:pt>
                <c:pt idx="7">
                  <c:v>-0.66784749288895384</c:v>
                </c:pt>
                <c:pt idx="8">
                  <c:v>-0.75132842950007295</c:v>
                </c:pt>
                <c:pt idx="9">
                  <c:v>-0.83480936611119227</c:v>
                </c:pt>
                <c:pt idx="10">
                  <c:v>-0.91829030272231138</c:v>
                </c:pt>
                <c:pt idx="11">
                  <c:v>-1.0017712393334308</c:v>
                </c:pt>
                <c:pt idx="12">
                  <c:v>-1.0852521759445499</c:v>
                </c:pt>
                <c:pt idx="13">
                  <c:v>-1.1687331125556693</c:v>
                </c:pt>
                <c:pt idx="14">
                  <c:v>-1.2522140491667884</c:v>
                </c:pt>
                <c:pt idx="15">
                  <c:v>-1.3356949857779077</c:v>
                </c:pt>
                <c:pt idx="16">
                  <c:v>-1.4191759223890268</c:v>
                </c:pt>
                <c:pt idx="17">
                  <c:v>-1.5026568590001461</c:v>
                </c:pt>
                <c:pt idx="18">
                  <c:v>-1.5861377956112652</c:v>
                </c:pt>
                <c:pt idx="19">
                  <c:v>-1.6696187322223843</c:v>
                </c:pt>
                <c:pt idx="20">
                  <c:v>-1.7530996688335037</c:v>
                </c:pt>
                <c:pt idx="21">
                  <c:v>-1.8365806054446228</c:v>
                </c:pt>
                <c:pt idx="22">
                  <c:v>-1.9200615420557421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D-43EA-BF2B-EF22FCF82F1D}"/>
            </c:ext>
          </c:extLst>
        </c:ser>
        <c:ser>
          <c:idx val="8"/>
          <c:order val="1"/>
          <c:tx>
            <c:v>Jet Fuel Tailpipe</c:v>
          </c:tx>
          <c:spPr>
            <a:pattFill prst="dkDnDiag">
              <a:fgClr>
                <a:srgbClr val="0066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tpd'!$G$160:$G$182</c:f>
              <c:numCache>
                <c:formatCode>0.000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D-43EA-BF2B-EF22FCF82F1D}"/>
            </c:ext>
          </c:extLst>
        </c:ser>
        <c:ser>
          <c:idx val="0"/>
          <c:order val="2"/>
          <c:tx>
            <c:v>Fossil Gas Production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'Air Basin Summary NOx BAU tpd'!$J$160:$J$182</c:f>
              <c:numCache>
                <c:formatCode>0.000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-3.6386272889043568E-3</c:v>
                </c:pt>
                <c:pt idx="13">
                  <c:v>-1.2943863998567466E-2</c:v>
                </c:pt>
                <c:pt idx="14">
                  <c:v>-2.2459876582424723E-2</c:v>
                </c:pt>
                <c:pt idx="15">
                  <c:v>-3.2172036037981175E-2</c:v>
                </c:pt>
                <c:pt idx="16">
                  <c:v>-4.0612307002854439E-2</c:v>
                </c:pt>
                <c:pt idx="17">
                  <c:v>-4.9643957797697799E-2</c:v>
                </c:pt>
                <c:pt idx="18">
                  <c:v>-5.9911931096293378E-2</c:v>
                </c:pt>
                <c:pt idx="19">
                  <c:v>-6.5333737328324704E-2</c:v>
                </c:pt>
                <c:pt idx="20">
                  <c:v>-7.0958976682209518E-2</c:v>
                </c:pt>
                <c:pt idx="21">
                  <c:v>-7.6570062203845629E-2</c:v>
                </c:pt>
                <c:pt idx="22">
                  <c:v>-8.4230762006399229E-2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D-43EA-BF2B-EF22FCF82F1D}"/>
            </c:ext>
          </c:extLst>
        </c:ser>
        <c:ser>
          <c:idx val="5"/>
          <c:order val="3"/>
          <c:tx>
            <c:v>Biodiesel/Renewable diesel tailpipe</c:v>
          </c:tx>
          <c:spPr>
            <a:solidFill>
              <a:srgbClr val="6F2507"/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tpd'!$F$160:$F$182</c:f>
              <c:numCache>
                <c:formatCode>0.000</c:formatCode>
                <c:ptCount val="23"/>
                <c:pt idx="0">
                  <c:v>-2.0495278760681868</c:v>
                </c:pt>
                <c:pt idx="1">
                  <c:v>-5.5497136896029211</c:v>
                </c:pt>
                <c:pt idx="2">
                  <c:v>-6.2126418069071558</c:v>
                </c:pt>
                <c:pt idx="3">
                  <c:v>-5.8872673028613818</c:v>
                </c:pt>
                <c:pt idx="4">
                  <c:v>-5.345488633928948</c:v>
                </c:pt>
                <c:pt idx="5">
                  <c:v>-5.2135254778445601</c:v>
                </c:pt>
                <c:pt idx="6">
                  <c:v>-5.013801107411104</c:v>
                </c:pt>
                <c:pt idx="7">
                  <c:v>-4.7681084550586377</c:v>
                </c:pt>
                <c:pt idx="8">
                  <c:v>-4.4940957430786161</c:v>
                </c:pt>
                <c:pt idx="9">
                  <c:v>-4.2092152391974329</c:v>
                </c:pt>
                <c:pt idx="10">
                  <c:v>-3.9410716715703025</c:v>
                </c:pt>
                <c:pt idx="11">
                  <c:v>-3.6644358843274802</c:v>
                </c:pt>
                <c:pt idx="12">
                  <c:v>-3.3576696953855056</c:v>
                </c:pt>
                <c:pt idx="13">
                  <c:v>-3.0526756059683855</c:v>
                </c:pt>
                <c:pt idx="14">
                  <c:v>-2.811603076541803</c:v>
                </c:pt>
                <c:pt idx="15">
                  <c:v>-2.7430963134453044</c:v>
                </c:pt>
                <c:pt idx="16">
                  <c:v>-2.66638309977357</c:v>
                </c:pt>
                <c:pt idx="17">
                  <c:v>-2.5048893547420623</c:v>
                </c:pt>
                <c:pt idx="18">
                  <c:v>-2.2845148278979113</c:v>
                </c:pt>
                <c:pt idx="19">
                  <c:v>-2.1387800706813462</c:v>
                </c:pt>
                <c:pt idx="20">
                  <c:v>-1.9782876475123861</c:v>
                </c:pt>
                <c:pt idx="21">
                  <c:v>-1.8666456459155611</c:v>
                </c:pt>
                <c:pt idx="22">
                  <c:v>-1.7239577882487893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DD-43EA-BF2B-EF22FCF82F1D}"/>
            </c:ext>
          </c:extLst>
        </c:ser>
        <c:ser>
          <c:idx val="7"/>
          <c:order val="4"/>
          <c:tx>
            <c:v>Renewable Fuel Production from Oils</c:v>
          </c:tx>
          <c:spPr>
            <a:pattFill prst="pct90">
              <a:fgClr>
                <a:srgbClr val="C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tpd'!$I$160:$I$182</c:f>
              <c:numCache>
                <c:formatCode>0.000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2.4956104286063632E-3</c:v>
                </c:pt>
                <c:pt idx="3">
                  <c:v>2.153819433654644E-2</c:v>
                </c:pt>
                <c:pt idx="4">
                  <c:v>3.2963744681310497E-2</c:v>
                </c:pt>
                <c:pt idx="5">
                  <c:v>3.9819074888168923E-2</c:v>
                </c:pt>
                <c:pt idx="6">
                  <c:v>4.3932273012284147E-2</c:v>
                </c:pt>
                <c:pt idx="7">
                  <c:v>4.640019188675315E-2</c:v>
                </c:pt>
                <c:pt idx="8">
                  <c:v>4.7880943211434566E-2</c:v>
                </c:pt>
                <c:pt idx="9">
                  <c:v>4.8769394006243381E-2</c:v>
                </c:pt>
                <c:pt idx="10">
                  <c:v>5.0102070198456736E-2</c:v>
                </c:pt>
                <c:pt idx="11">
                  <c:v>5.0102070198456722E-2</c:v>
                </c:pt>
                <c:pt idx="12">
                  <c:v>5.0102070198456736E-2</c:v>
                </c:pt>
                <c:pt idx="13">
                  <c:v>5.0102070198456722E-2</c:v>
                </c:pt>
                <c:pt idx="14">
                  <c:v>5.0102070198456722E-2</c:v>
                </c:pt>
                <c:pt idx="15">
                  <c:v>5.0102070198456715E-2</c:v>
                </c:pt>
                <c:pt idx="16">
                  <c:v>5.0102070198456722E-2</c:v>
                </c:pt>
                <c:pt idx="17">
                  <c:v>5.0102070198456715E-2</c:v>
                </c:pt>
                <c:pt idx="18">
                  <c:v>5.0102070198456722E-2</c:v>
                </c:pt>
                <c:pt idx="19">
                  <c:v>5.0102070198456722E-2</c:v>
                </c:pt>
                <c:pt idx="20">
                  <c:v>5.0102070198456722E-2</c:v>
                </c:pt>
                <c:pt idx="21">
                  <c:v>5.0102070198456736E-2</c:v>
                </c:pt>
                <c:pt idx="22">
                  <c:v>5.0102070198456722E-2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DD-43EA-BF2B-EF22FCF82F1D}"/>
            </c:ext>
          </c:extLst>
        </c:ser>
        <c:ser>
          <c:idx val="9"/>
          <c:order val="5"/>
          <c:tx>
            <c:v>Biomethane upgrading</c:v>
          </c:tx>
          <c:spPr>
            <a:pattFill prst="pct75">
              <a:fgClr>
                <a:srgbClr val="7030A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tpd'!$H$160:$H$182</c:f>
              <c:numCache>
                <c:formatCode>0.000</c:formatCode>
                <c:ptCount val="23"/>
                <c:pt idx="0">
                  <c:v>0</c:v>
                </c:pt>
                <c:pt idx="1">
                  <c:v>9.1903072987383483E-2</c:v>
                </c:pt>
                <c:pt idx="2">
                  <c:v>0.10328811899991706</c:v>
                </c:pt>
                <c:pt idx="3">
                  <c:v>3.998924794668645E-2</c:v>
                </c:pt>
                <c:pt idx="4">
                  <c:v>6.9029799274781714E-2</c:v>
                </c:pt>
                <c:pt idx="5">
                  <c:v>1.7589778664123801E-2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1.283629684679999E-3</c:v>
                </c:pt>
                <c:pt idx="10">
                  <c:v>1.8435244554848604E-2</c:v>
                </c:pt>
                <c:pt idx="11">
                  <c:v>3.0086318125807764E-2</c:v>
                </c:pt>
                <c:pt idx="12">
                  <c:v>3.0086318125807761E-2</c:v>
                </c:pt>
                <c:pt idx="13">
                  <c:v>7.1889312342743455E-2</c:v>
                </c:pt>
                <c:pt idx="14">
                  <c:v>7.1889312342743414E-2</c:v>
                </c:pt>
                <c:pt idx="15">
                  <c:v>8.6276263500600983E-2</c:v>
                </c:pt>
                <c:pt idx="16">
                  <c:v>0.10769146897426884</c:v>
                </c:pt>
                <c:pt idx="17">
                  <c:v>0.10567002014870004</c:v>
                </c:pt>
                <c:pt idx="18">
                  <c:v>0.10626193359588565</c:v>
                </c:pt>
                <c:pt idx="19">
                  <c:v>0.10694646096512095</c:v>
                </c:pt>
                <c:pt idx="20">
                  <c:v>9.2923601516169907E-2</c:v>
                </c:pt>
                <c:pt idx="21">
                  <c:v>8.5816548044706176E-2</c:v>
                </c:pt>
                <c:pt idx="22">
                  <c:v>8.0245653763921079E-2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D-43EA-BF2B-EF22FCF82F1D}"/>
            </c:ext>
          </c:extLst>
        </c:ser>
        <c:ser>
          <c:idx val="3"/>
          <c:order val="6"/>
          <c:tx>
            <c:v>Feedstock/Fuel Transport - Rail</c:v>
          </c:tx>
          <c:spPr>
            <a:pattFill prst="pct90">
              <a:fgClr>
                <a:srgbClr val="003399"/>
              </a:fgClr>
              <a:bgClr>
                <a:sysClr val="window" lastClr="FFFFFF"/>
              </a:bgClr>
            </a:pattFill>
            <a:ln>
              <a:gradFill>
                <a:gsLst>
                  <a:gs pos="0">
                    <a:srgbClr val="4F81BD">
                      <a:lumMod val="5000"/>
                      <a:lumOff val="95000"/>
                    </a:srgbClr>
                  </a:gs>
                  <a:gs pos="74000">
                    <a:srgbClr val="4F81BD">
                      <a:lumMod val="45000"/>
                      <a:lumOff val="55000"/>
                    </a:srgbClr>
                  </a:gs>
                  <a:gs pos="83000">
                    <a:srgbClr val="4F81BD">
                      <a:lumMod val="45000"/>
                      <a:lumOff val="55000"/>
                    </a:srgbClr>
                  </a:gs>
                  <a:gs pos="100000">
                    <a:srgbClr val="4F81BD">
                      <a:lumMod val="30000"/>
                      <a:lumOff val="70000"/>
                    </a:srgbClr>
                  </a:gs>
                </a:gsLst>
                <a:lin ang="5400000" scaled="1"/>
              </a:gradFill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tpd'!$L$160:$L$182</c:f>
              <c:numCache>
                <c:formatCode>0.000</c:formatCode>
                <c:ptCount val="23"/>
                <c:pt idx="0">
                  <c:v>0.26078517593205969</c:v>
                </c:pt>
                <c:pt idx="1">
                  <c:v>0.70949920513679643</c:v>
                </c:pt>
                <c:pt idx="2">
                  <c:v>0.80542215737563816</c:v>
                </c:pt>
                <c:pt idx="3">
                  <c:v>0.84558408991104761</c:v>
                </c:pt>
                <c:pt idx="4">
                  <c:v>0.78725263111298704</c:v>
                </c:pt>
                <c:pt idx="5">
                  <c:v>0.77610863428068333</c:v>
                </c:pt>
                <c:pt idx="6">
                  <c:v>0.41809339281408464</c:v>
                </c:pt>
                <c:pt idx="7">
                  <c:v>0.37543916852272158</c:v>
                </c:pt>
                <c:pt idx="8">
                  <c:v>0.35904858893995745</c:v>
                </c:pt>
                <c:pt idx="9">
                  <c:v>0.34109617469065001</c:v>
                </c:pt>
                <c:pt idx="10">
                  <c:v>0.32728655190035399</c:v>
                </c:pt>
                <c:pt idx="11">
                  <c:v>0.2346346207512007</c:v>
                </c:pt>
                <c:pt idx="12">
                  <c:v>0.17892394488733937</c:v>
                </c:pt>
                <c:pt idx="13">
                  <c:v>0.12033812978151658</c:v>
                </c:pt>
                <c:pt idx="14">
                  <c:v>0.11609005959926637</c:v>
                </c:pt>
                <c:pt idx="15">
                  <c:v>0.11442109046844778</c:v>
                </c:pt>
                <c:pt idx="16">
                  <c:v>0.11387805256312834</c:v>
                </c:pt>
                <c:pt idx="17">
                  <c:v>0.11108402187424925</c:v>
                </c:pt>
                <c:pt idx="18">
                  <c:v>0.1065650387586894</c:v>
                </c:pt>
                <c:pt idx="19">
                  <c:v>0.10457502396026418</c:v>
                </c:pt>
                <c:pt idx="20">
                  <c:v>0.10201374890716425</c:v>
                </c:pt>
                <c:pt idx="21">
                  <c:v>9.9425315049038274E-2</c:v>
                </c:pt>
                <c:pt idx="22">
                  <c:v>9.5673421045902582E-2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DD-43EA-BF2B-EF22FCF82F1D}"/>
            </c:ext>
          </c:extLst>
        </c:ser>
        <c:ser>
          <c:idx val="6"/>
          <c:order val="8"/>
          <c:tx>
            <c:v>Feedstock/Fuel Transport - Truck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NOx BAU tpd'!$K$160:$K$182</c:f>
              <c:numCache>
                <c:formatCode>0.000</c:formatCode>
                <c:ptCount val="23"/>
                <c:pt idx="0">
                  <c:v>4.8492526559929659E-2</c:v>
                </c:pt>
                <c:pt idx="1">
                  <c:v>9.7407189189974694E-2</c:v>
                </c:pt>
                <c:pt idx="2">
                  <c:v>0.10081462615984296</c:v>
                </c:pt>
                <c:pt idx="3">
                  <c:v>8.7883626053413974E-2</c:v>
                </c:pt>
                <c:pt idx="4">
                  <c:v>6.9527593669129292E-2</c:v>
                </c:pt>
                <c:pt idx="5">
                  <c:v>6.2271672343765461E-2</c:v>
                </c:pt>
                <c:pt idx="6">
                  <c:v>5.578741207947191E-2</c:v>
                </c:pt>
                <c:pt idx="7">
                  <c:v>4.9853143490550651E-2</c:v>
                </c:pt>
                <c:pt idx="8">
                  <c:v>4.4759137950386843E-2</c:v>
                </c:pt>
                <c:pt idx="9">
                  <c:v>4.0573362309923922E-2</c:v>
                </c:pt>
                <c:pt idx="10">
                  <c:v>3.6817026669014791E-2</c:v>
                </c:pt>
                <c:pt idx="11">
                  <c:v>3.3301150557361513E-2</c:v>
                </c:pt>
                <c:pt idx="12">
                  <c:v>3.17131447376027E-2</c:v>
                </c:pt>
                <c:pt idx="13">
                  <c:v>2.9114535422767686E-2</c:v>
                </c:pt>
                <c:pt idx="14">
                  <c:v>2.6894303264692204E-2</c:v>
                </c:pt>
                <c:pt idx="15">
                  <c:v>2.6603960582050581E-2</c:v>
                </c:pt>
                <c:pt idx="16">
                  <c:v>2.6691690314949449E-2</c:v>
                </c:pt>
                <c:pt idx="17">
                  <c:v>2.5993677462063304E-2</c:v>
                </c:pt>
                <c:pt idx="18">
                  <c:v>2.4802167120646111E-2</c:v>
                </c:pt>
                <c:pt idx="19">
                  <c:v>2.4474612966311943E-2</c:v>
                </c:pt>
                <c:pt idx="20">
                  <c:v>2.4032780792982524E-2</c:v>
                </c:pt>
                <c:pt idx="21">
                  <c:v>2.365185981683993E-2</c:v>
                </c:pt>
                <c:pt idx="22">
                  <c:v>2.2899681439193846E-2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DD-43EA-BF2B-EF22FCF8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217615"/>
        <c:axId val="885220527"/>
        <c:extLst/>
      </c:barChart>
      <c:lineChart>
        <c:grouping val="standard"/>
        <c:varyColors val="0"/>
        <c:ser>
          <c:idx val="2"/>
          <c:order val="7"/>
          <c:tx>
            <c:v>Total NOx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NOx BAU tpd'!$F$155:$AB$155</c:f>
              <c:numCache>
                <c:formatCode>0.0</c:formatCode>
                <c:ptCount val="23"/>
                <c:pt idx="0">
                  <c:v>-1.8237311101873164</c:v>
                </c:pt>
                <c:pt idx="1">
                  <c:v>-4.8178660955110049</c:v>
                </c:pt>
                <c:pt idx="2">
                  <c:v>-5.4510641037765097</c:v>
                </c:pt>
                <c:pt idx="3">
                  <c:v>-5.2261958910581647</c:v>
                </c:pt>
                <c:pt idx="4">
                  <c:v>-4.8041195482463355</c:v>
                </c:pt>
                <c:pt idx="5">
                  <c:v>-4.8186219373345338</c:v>
                </c:pt>
                <c:pt idx="6">
                  <c:v>-5.0803545857830983</c:v>
                </c:pt>
                <c:pt idx="7">
                  <c:v>-4.9642634440475666</c:v>
                </c:pt>
                <c:pt idx="8">
                  <c:v>-4.7937355024769097</c:v>
                </c:pt>
                <c:pt idx="9">
                  <c:v>-4.6123020446171275</c:v>
                </c:pt>
                <c:pt idx="10">
                  <c:v>-4.4267210809699398</c:v>
                </c:pt>
                <c:pt idx="11">
                  <c:v>-4.3180829640280836</c:v>
                </c:pt>
                <c:pt idx="12">
                  <c:v>-4.1557350206697521</c:v>
                </c:pt>
                <c:pt idx="13">
                  <c:v>-3.9629085347771387</c:v>
                </c:pt>
                <c:pt idx="14">
                  <c:v>-3.821301256885858</c:v>
                </c:pt>
                <c:pt idx="15">
                  <c:v>-3.8335599505116371</c:v>
                </c:pt>
                <c:pt idx="16">
                  <c:v>-3.8278080471146483</c:v>
                </c:pt>
                <c:pt idx="17">
                  <c:v>-3.7643403818564369</c:v>
                </c:pt>
                <c:pt idx="18">
                  <c:v>-3.642833344931792</c:v>
                </c:pt>
                <c:pt idx="19">
                  <c:v>-3.5876343721419013</c:v>
                </c:pt>
                <c:pt idx="20">
                  <c:v>-3.5332740916133258</c:v>
                </c:pt>
                <c:pt idx="21">
                  <c:v>-3.5208005204549888</c:v>
                </c:pt>
                <c:pt idx="22">
                  <c:v>-3.4793292658634565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D-43EA-BF2B-EF22FCF8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217615"/>
        <c:axId val="885220527"/>
      </c:lineChart>
      <c:catAx>
        <c:axId val="88521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20527"/>
        <c:crosses val="autoZero"/>
        <c:auto val="1"/>
        <c:lblAlgn val="ctr"/>
        <c:lblOffset val="100"/>
        <c:tickLblSkip val="2"/>
        <c:noMultiLvlLbl val="0"/>
      </c:catAx>
      <c:valAx>
        <c:axId val="885220527"/>
        <c:scaling>
          <c:orientation val="minMax"/>
          <c:max val="2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Total NOx Emissions (tons/day)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17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43563795529308"/>
          <c:y val="8.526479387637384E-2"/>
          <c:w val="0.27916959832559229"/>
          <c:h val="0.89275537754131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venir LT Std 35 Light" panose="020B0402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Estimated</a:t>
            </a:r>
            <a:r>
              <a:rPr lang="en-US" baseline="0"/>
              <a:t> Statewide NOx Emissions - Proposed Amendments (tons/year)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Upstream Emissions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PM2.5 BAU'!$F$18:$AB$18</c:f>
              <c:numCache>
                <c:formatCode>0.00</c:formatCode>
                <c:ptCount val="23"/>
                <c:pt idx="0">
                  <c:v>-8.2928796690037725</c:v>
                </c:pt>
                <c:pt idx="1">
                  <c:v>-16.585759338007545</c:v>
                </c:pt>
                <c:pt idx="2">
                  <c:v>-24.878639007011316</c:v>
                </c:pt>
                <c:pt idx="3">
                  <c:v>-33.17151867601509</c:v>
                </c:pt>
                <c:pt idx="4">
                  <c:v>-41.464398345018857</c:v>
                </c:pt>
                <c:pt idx="5">
                  <c:v>-49.757278014022624</c:v>
                </c:pt>
                <c:pt idx="6">
                  <c:v>-58.050157683026399</c:v>
                </c:pt>
                <c:pt idx="7">
                  <c:v>-66.343037352030166</c:v>
                </c:pt>
                <c:pt idx="8">
                  <c:v>-74.635917021033933</c:v>
                </c:pt>
                <c:pt idx="9">
                  <c:v>-82.928796690037714</c:v>
                </c:pt>
                <c:pt idx="10">
                  <c:v>-91.221676359041481</c:v>
                </c:pt>
                <c:pt idx="11">
                  <c:v>-99.514556028045249</c:v>
                </c:pt>
                <c:pt idx="12">
                  <c:v>-107.80743569704902</c:v>
                </c:pt>
                <c:pt idx="13">
                  <c:v>-116.1003153660528</c:v>
                </c:pt>
                <c:pt idx="14">
                  <c:v>-124.39319503505656</c:v>
                </c:pt>
                <c:pt idx="15">
                  <c:v>-132.68607470406036</c:v>
                </c:pt>
                <c:pt idx="16">
                  <c:v>-140.97895437306414</c:v>
                </c:pt>
                <c:pt idx="17">
                  <c:v>-149.27183404206792</c:v>
                </c:pt>
                <c:pt idx="18">
                  <c:v>-157.5647137110717</c:v>
                </c:pt>
                <c:pt idx="19">
                  <c:v>-165.85759338007549</c:v>
                </c:pt>
                <c:pt idx="20">
                  <c:v>-174.15047304907927</c:v>
                </c:pt>
                <c:pt idx="21">
                  <c:v>-182.44335271808305</c:v>
                </c:pt>
                <c:pt idx="22">
                  <c:v>-190.73623238708683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3-4B58-8048-697177B0343A}"/>
            </c:ext>
          </c:extLst>
        </c:ser>
        <c:ser>
          <c:idx val="8"/>
          <c:order val="1"/>
          <c:tx>
            <c:v>Jet Fuel Tailpipe</c:v>
          </c:tx>
          <c:spPr>
            <a:pattFill prst="dkDnDiag">
              <a:fgClr>
                <a:srgbClr val="0066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BAU'!$F$56:$AB$56</c:f>
              <c:numCache>
                <c:formatCode>0.00</c:formatCode>
                <c:ptCount val="23"/>
                <c:pt idx="0">
                  <c:v>-18.29471329297656</c:v>
                </c:pt>
                <c:pt idx="1">
                  <c:v>-29.176196214927923</c:v>
                </c:pt>
                <c:pt idx="2">
                  <c:v>-37.592115593715157</c:v>
                </c:pt>
                <c:pt idx="3">
                  <c:v>-45.855266105167772</c:v>
                </c:pt>
                <c:pt idx="4">
                  <c:v>-54.479046466905494</c:v>
                </c:pt>
                <c:pt idx="5">
                  <c:v>-62.622177076652136</c:v>
                </c:pt>
                <c:pt idx="6">
                  <c:v>-70.682777238636902</c:v>
                </c:pt>
                <c:pt idx="7">
                  <c:v>-78.966786179001161</c:v>
                </c:pt>
                <c:pt idx="8">
                  <c:v>-87.24188346345629</c:v>
                </c:pt>
                <c:pt idx="9">
                  <c:v>-95.511633754365789</c:v>
                </c:pt>
                <c:pt idx="10">
                  <c:v>-103.78539429043441</c:v>
                </c:pt>
                <c:pt idx="11">
                  <c:v>-112.04712409545893</c:v>
                </c:pt>
                <c:pt idx="12">
                  <c:v>-120.30885389605024</c:v>
                </c:pt>
                <c:pt idx="13">
                  <c:v>-128.57058369664148</c:v>
                </c:pt>
                <c:pt idx="14">
                  <c:v>-136.83231349723263</c:v>
                </c:pt>
                <c:pt idx="15">
                  <c:v>-145.1746169435603</c:v>
                </c:pt>
                <c:pt idx="16">
                  <c:v>-153.50551548829699</c:v>
                </c:pt>
                <c:pt idx="17">
                  <c:v>-161.7864122852605</c:v>
                </c:pt>
                <c:pt idx="18">
                  <c:v>-170.03125614950991</c:v>
                </c:pt>
                <c:pt idx="19">
                  <c:v>-178.31689143542246</c:v>
                </c:pt>
                <c:pt idx="20">
                  <c:v>-186.59095748005367</c:v>
                </c:pt>
                <c:pt idx="21">
                  <c:v>-194.8626679676936</c:v>
                </c:pt>
                <c:pt idx="22">
                  <c:v>-203.11045715511668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3-4B58-8048-697177B0343A}"/>
            </c:ext>
          </c:extLst>
        </c:ser>
        <c:ser>
          <c:idx val="0"/>
          <c:order val="2"/>
          <c:tx>
            <c:v>Fossil Gas Production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'Air Basin Summary PM2.5 BAU'!$F$113:$AB$113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-0.57411217841726903</c:v>
                </c:pt>
                <c:pt idx="13">
                  <c:v>-2.0423168869247066</c:v>
                </c:pt>
                <c:pt idx="14">
                  <c:v>-3.5437783669240766</c:v>
                </c:pt>
                <c:pt idx="15">
                  <c:v>-5.0761884159468122</c:v>
                </c:pt>
                <c:pt idx="16">
                  <c:v>-6.4079165555262074</c:v>
                </c:pt>
                <c:pt idx="17">
                  <c:v>-7.8329541592245278</c:v>
                </c:pt>
                <c:pt idx="18">
                  <c:v>-9.4530619774567484</c:v>
                </c:pt>
                <c:pt idx="19">
                  <c:v>-10.308528816921124</c:v>
                </c:pt>
                <c:pt idx="20">
                  <c:v>-11.196093869111399</c:v>
                </c:pt>
                <c:pt idx="21">
                  <c:v>-12.081425692443629</c:v>
                </c:pt>
                <c:pt idx="22">
                  <c:v>-13.290151044791855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3-4B58-8048-697177B0343A}"/>
            </c:ext>
          </c:extLst>
        </c:ser>
        <c:ser>
          <c:idx val="5"/>
          <c:order val="3"/>
          <c:tx>
            <c:v>Biodiesel/Renewable diesel tailpipe</c:v>
          </c:tx>
          <c:spPr>
            <a:solidFill>
              <a:srgbClr val="6F2507"/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BAU'!$F$37:$AB$37</c:f>
              <c:numCache>
                <c:formatCode>0.00</c:formatCode>
                <c:ptCount val="23"/>
                <c:pt idx="0">
                  <c:v>-101.12130273832463</c:v>
                </c:pt>
                <c:pt idx="1">
                  <c:v>-277.63921185985964</c:v>
                </c:pt>
                <c:pt idx="2">
                  <c:v>-314.5404866089475</c:v>
                </c:pt>
                <c:pt idx="3">
                  <c:v>-321.48526123718239</c:v>
                </c:pt>
                <c:pt idx="4">
                  <c:v>-295.12372736157204</c:v>
                </c:pt>
                <c:pt idx="5">
                  <c:v>-290.68520950193624</c:v>
                </c:pt>
                <c:pt idx="6">
                  <c:v>-283.00725422858204</c:v>
                </c:pt>
                <c:pt idx="7">
                  <c:v>-272.42906494346903</c:v>
                </c:pt>
                <c:pt idx="8">
                  <c:v>-260.5698468946357</c:v>
                </c:pt>
                <c:pt idx="9">
                  <c:v>-247.90791783212967</c:v>
                </c:pt>
                <c:pt idx="10">
                  <c:v>-236.04915550213195</c:v>
                </c:pt>
                <c:pt idx="11">
                  <c:v>-223.95548218489694</c:v>
                </c:pt>
                <c:pt idx="12">
                  <c:v>-209.95362391501612</c:v>
                </c:pt>
                <c:pt idx="13">
                  <c:v>-197.60926784074513</c:v>
                </c:pt>
                <c:pt idx="14">
                  <c:v>-186.88400842216015</c:v>
                </c:pt>
                <c:pt idx="15">
                  <c:v>-188.39452167521995</c:v>
                </c:pt>
                <c:pt idx="16">
                  <c:v>-188.54004698824224</c:v>
                </c:pt>
                <c:pt idx="17">
                  <c:v>-181.91890152360952</c:v>
                </c:pt>
                <c:pt idx="18">
                  <c:v>-170.56986861996984</c:v>
                </c:pt>
                <c:pt idx="19">
                  <c:v>-164.87169137760577</c:v>
                </c:pt>
                <c:pt idx="20">
                  <c:v>-158.18879911406975</c:v>
                </c:pt>
                <c:pt idx="21">
                  <c:v>-152.99314922086296</c:v>
                </c:pt>
                <c:pt idx="22">
                  <c:v>-145.24564716774944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C3-4B58-8048-697177B0343A}"/>
            </c:ext>
          </c:extLst>
        </c:ser>
        <c:ser>
          <c:idx val="7"/>
          <c:order val="4"/>
          <c:tx>
            <c:v>Renewable Fuel Production from Oils</c:v>
          </c:tx>
          <c:spPr>
            <a:pattFill prst="pct90">
              <a:fgClr>
                <a:srgbClr val="C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BAU'!$F$94:$AB$94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0.33804778613718234</c:v>
                </c:pt>
                <c:pt idx="3">
                  <c:v>2.9174981917862306</c:v>
                </c:pt>
                <c:pt idx="4">
                  <c:v>4.4651684351756629</c:v>
                </c:pt>
                <c:pt idx="5">
                  <c:v>5.3937705812093206</c:v>
                </c:pt>
                <c:pt idx="6">
                  <c:v>5.9509318688295343</c:v>
                </c:pt>
                <c:pt idx="7">
                  <c:v>6.2852286414016474</c:v>
                </c:pt>
                <c:pt idx="8">
                  <c:v>6.4858067049449186</c:v>
                </c:pt>
                <c:pt idx="9">
                  <c:v>6.6061535430708744</c:v>
                </c:pt>
                <c:pt idx="10">
                  <c:v>6.7866738002598277</c:v>
                </c:pt>
                <c:pt idx="11">
                  <c:v>6.7866738002598259</c:v>
                </c:pt>
                <c:pt idx="12">
                  <c:v>6.7866738002598268</c:v>
                </c:pt>
                <c:pt idx="13">
                  <c:v>6.7866738002598268</c:v>
                </c:pt>
                <c:pt idx="14">
                  <c:v>6.7866738002598241</c:v>
                </c:pt>
                <c:pt idx="15">
                  <c:v>6.7866738002598268</c:v>
                </c:pt>
                <c:pt idx="16">
                  <c:v>6.7866738002598268</c:v>
                </c:pt>
                <c:pt idx="17">
                  <c:v>6.786673800259825</c:v>
                </c:pt>
                <c:pt idx="18">
                  <c:v>6.7866738002598259</c:v>
                </c:pt>
                <c:pt idx="19">
                  <c:v>6.7866738002598268</c:v>
                </c:pt>
                <c:pt idx="20">
                  <c:v>6.7866738002598268</c:v>
                </c:pt>
                <c:pt idx="21">
                  <c:v>6.7866738002598286</c:v>
                </c:pt>
                <c:pt idx="22">
                  <c:v>6.786673800259825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C3-4B58-8048-697177B0343A}"/>
            </c:ext>
          </c:extLst>
        </c:ser>
        <c:ser>
          <c:idx val="9"/>
          <c:order val="5"/>
          <c:tx>
            <c:v>Biomethane upgrading</c:v>
          </c:tx>
          <c:spPr>
            <a:pattFill prst="pct75">
              <a:fgClr>
                <a:srgbClr val="7030A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BAU'!$F$75:$AB$75</c:f>
              <c:numCache>
                <c:formatCode>0.00</c:formatCode>
                <c:ptCount val="23"/>
                <c:pt idx="0">
                  <c:v>0</c:v>
                </c:pt>
                <c:pt idx="1">
                  <c:v>44.130085746507874</c:v>
                </c:pt>
                <c:pt idx="2">
                  <c:v>49.710017063658071</c:v>
                </c:pt>
                <c:pt idx="3">
                  <c:v>18.769481941989678</c:v>
                </c:pt>
                <c:pt idx="4">
                  <c:v>31.139371526939765</c:v>
                </c:pt>
                <c:pt idx="5">
                  <c:v>7.9856566741822999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0.53529421184767056</c:v>
                </c:pt>
                <c:pt idx="10">
                  <c:v>7.6877933114072885</c:v>
                </c:pt>
                <c:pt idx="11">
                  <c:v>12.54647827232777</c:v>
                </c:pt>
                <c:pt idx="12">
                  <c:v>12.546478272327764</c:v>
                </c:pt>
                <c:pt idx="13">
                  <c:v>29.978998810995218</c:v>
                </c:pt>
                <c:pt idx="14">
                  <c:v>29.978998810995208</c:v>
                </c:pt>
                <c:pt idx="15">
                  <c:v>36.808715470334953</c:v>
                </c:pt>
                <c:pt idx="16">
                  <c:v>46.974857273548892</c:v>
                </c:pt>
                <c:pt idx="17">
                  <c:v>46.015243067001059</c:v>
                </c:pt>
                <c:pt idx="18">
                  <c:v>46.296233881995427</c:v>
                </c:pt>
                <c:pt idx="19">
                  <c:v>46.621190012460019</c:v>
                </c:pt>
                <c:pt idx="20">
                  <c:v>39.964313531874083</c:v>
                </c:pt>
                <c:pt idx="21">
                  <c:v>36.590481163897778</c:v>
                </c:pt>
                <c:pt idx="22">
                  <c:v>33.945888222736755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C3-4B58-8048-697177B0343A}"/>
            </c:ext>
          </c:extLst>
        </c:ser>
        <c:ser>
          <c:idx val="3"/>
          <c:order val="6"/>
          <c:tx>
            <c:v>Feedstock/Fuel Transport - Rail</c:v>
          </c:tx>
          <c:spPr>
            <a:pattFill prst="pct90">
              <a:fgClr>
                <a:srgbClr val="003399"/>
              </a:fgClr>
              <a:bgClr>
                <a:sysClr val="window" lastClr="FFFFFF"/>
              </a:bgClr>
            </a:pattFill>
            <a:ln>
              <a:gradFill>
                <a:gsLst>
                  <a:gs pos="0">
                    <a:srgbClr val="4F81BD">
                      <a:lumMod val="5000"/>
                      <a:lumOff val="95000"/>
                    </a:srgbClr>
                  </a:gs>
                  <a:gs pos="74000">
                    <a:srgbClr val="4F81BD">
                      <a:lumMod val="45000"/>
                      <a:lumOff val="55000"/>
                    </a:srgbClr>
                  </a:gs>
                  <a:gs pos="83000">
                    <a:srgbClr val="4F81BD">
                      <a:lumMod val="45000"/>
                      <a:lumOff val="55000"/>
                    </a:srgbClr>
                  </a:gs>
                  <a:gs pos="100000">
                    <a:srgbClr val="4F81BD">
                      <a:lumMod val="30000"/>
                      <a:lumOff val="70000"/>
                    </a:srgbClr>
                  </a:gs>
                </a:gsLst>
                <a:lin ang="5400000" scaled="1"/>
              </a:gradFill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BAU'!$F$151:$AB$151</c:f>
              <c:numCache>
                <c:formatCode>0.00</c:formatCode>
                <c:ptCount val="23"/>
                <c:pt idx="0">
                  <c:v>2.0470617609042603</c:v>
                </c:pt>
                <c:pt idx="1">
                  <c:v>5.4772005885962711</c:v>
                </c:pt>
                <c:pt idx="2">
                  <c:v>6.1351677415648176</c:v>
                </c:pt>
                <c:pt idx="3">
                  <c:v>6.3688470357643752</c:v>
                </c:pt>
                <c:pt idx="4">
                  <c:v>5.8574698549791515</c:v>
                </c:pt>
                <c:pt idx="5">
                  <c:v>5.7173900994683446</c:v>
                </c:pt>
                <c:pt idx="6">
                  <c:v>2.2399968399498111</c:v>
                </c:pt>
                <c:pt idx="7">
                  <c:v>1.9947572267128337</c:v>
                </c:pt>
                <c:pt idx="8">
                  <c:v>1.9025726572628838</c:v>
                </c:pt>
                <c:pt idx="9">
                  <c:v>1.8025431991997058</c:v>
                </c:pt>
                <c:pt idx="10">
                  <c:v>1.7255423862609771</c:v>
                </c:pt>
                <c:pt idx="11">
                  <c:v>1.2240896012112237</c:v>
                </c:pt>
                <c:pt idx="12">
                  <c:v>0.92317147535531041</c:v>
                </c:pt>
                <c:pt idx="13">
                  <c:v>0.60655832625724548</c:v>
                </c:pt>
                <c:pt idx="14">
                  <c:v>0.58514614090712203</c:v>
                </c:pt>
                <c:pt idx="15">
                  <c:v>0.57673378545168752</c:v>
                </c:pt>
                <c:pt idx="16">
                  <c:v>0.57399663004182022</c:v>
                </c:pt>
                <c:pt idx="17">
                  <c:v>0.55991345805605963</c:v>
                </c:pt>
                <c:pt idx="18">
                  <c:v>0.537135749611236</c:v>
                </c:pt>
                <c:pt idx="19">
                  <c:v>0.52710517952051383</c:v>
                </c:pt>
                <c:pt idx="20">
                  <c:v>0.51419520067911617</c:v>
                </c:pt>
                <c:pt idx="21">
                  <c:v>0.50114832923892483</c:v>
                </c:pt>
                <c:pt idx="22">
                  <c:v>0.48223709511081969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3-4B58-8048-697177B0343A}"/>
            </c:ext>
          </c:extLst>
        </c:ser>
        <c:ser>
          <c:idx val="6"/>
          <c:order val="8"/>
          <c:tx>
            <c:v>Feedstock/Fuel Transport - Truck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'[5]Air Basin Summary NOx BAU'!$D$59:$AB$59</c:f>
              <c:strCache>
                <c:ptCount val="2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</c:strCache>
            </c:strRef>
          </c:cat>
          <c:val>
            <c:numRef>
              <c:f>'Air Basin Summary PM2.5 BAU'!$F$132:$AB$132</c:f>
              <c:numCache>
                <c:formatCode>0.00</c:formatCode>
                <c:ptCount val="23"/>
                <c:pt idx="0">
                  <c:v>0.58210110608720567</c:v>
                </c:pt>
                <c:pt idx="1">
                  <c:v>1.5990835487322206</c:v>
                </c:pt>
                <c:pt idx="2">
                  <c:v>1.8540088820437695</c:v>
                </c:pt>
                <c:pt idx="3">
                  <c:v>1.8217297084016018</c:v>
                </c:pt>
                <c:pt idx="4">
                  <c:v>1.6354707728182998</c:v>
                </c:pt>
                <c:pt idx="5">
                  <c:v>1.5979405607156516</c:v>
                </c:pt>
                <c:pt idx="6">
                  <c:v>1.5464990485354695</c:v>
                </c:pt>
                <c:pt idx="7">
                  <c:v>1.4914451660303272</c:v>
                </c:pt>
                <c:pt idx="8">
                  <c:v>1.4378545517175054</c:v>
                </c:pt>
                <c:pt idx="9">
                  <c:v>1.3904683468404586</c:v>
                </c:pt>
                <c:pt idx="10">
                  <c:v>1.3362319076310958</c:v>
                </c:pt>
                <c:pt idx="11">
                  <c:v>1.2814053251615589</c:v>
                </c:pt>
                <c:pt idx="12">
                  <c:v>1.220613524077369</c:v>
                </c:pt>
                <c:pt idx="13">
                  <c:v>1.1620777034402512</c:v>
                </c:pt>
                <c:pt idx="14">
                  <c:v>1.1056901342793752</c:v>
                </c:pt>
                <c:pt idx="15">
                  <c:v>1.1213840967558162</c:v>
                </c:pt>
                <c:pt idx="16">
                  <c:v>1.1348144728114724</c:v>
                </c:pt>
                <c:pt idx="17">
                  <c:v>1.1084968293893158</c:v>
                </c:pt>
                <c:pt idx="18">
                  <c:v>1.0557705541342948</c:v>
                </c:pt>
                <c:pt idx="19">
                  <c:v>1.0578846252669813</c:v>
                </c:pt>
                <c:pt idx="20">
                  <c:v>1.053256099861922</c:v>
                </c:pt>
                <c:pt idx="21">
                  <c:v>1.0488912014639133</c:v>
                </c:pt>
                <c:pt idx="22">
                  <c:v>1.02784463320055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C3-4B58-8048-697177B0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217615"/>
        <c:axId val="885220527"/>
        <c:extLst/>
      </c:barChart>
      <c:lineChart>
        <c:grouping val="standard"/>
        <c:varyColors val="0"/>
        <c:ser>
          <c:idx val="2"/>
          <c:order val="7"/>
          <c:tx>
            <c:v>Total PM2.5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'[5]Air Basin Summary NOx BAU'!$F$2:$AB$2</c:f>
              <c:strCache>
                <c:ptCount val="2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</c:strCache>
            </c:strRef>
          </c:cat>
          <c:val>
            <c:numRef>
              <c:f>'Air Basin Summary PM2.5 BAU'!$F$156:$AB$156</c:f>
              <c:numCache>
                <c:formatCode>0.000</c:formatCode>
                <c:ptCount val="23"/>
                <c:pt idx="0">
                  <c:v>-125.0797328333135</c:v>
                </c:pt>
                <c:pt idx="1">
                  <c:v>-272.19479752895882</c:v>
                </c:pt>
                <c:pt idx="2">
                  <c:v>-318.97399973627012</c:v>
                </c:pt>
                <c:pt idx="3">
                  <c:v>-370.63448914042334</c:v>
                </c:pt>
                <c:pt idx="4">
                  <c:v>-347.96969158358354</c:v>
                </c:pt>
                <c:pt idx="5">
                  <c:v>-382.36990667703543</c:v>
                </c:pt>
                <c:pt idx="6">
                  <c:v>-402.00276139293055</c:v>
                </c:pt>
                <c:pt idx="7">
                  <c:v>-407.96745744035553</c:v>
                </c:pt>
                <c:pt idx="8">
                  <c:v>-412.62141346520059</c:v>
                </c:pt>
                <c:pt idx="9">
                  <c:v>-416.01388897557445</c:v>
                </c:pt>
                <c:pt idx="10">
                  <c:v>-413.51998474604858</c:v>
                </c:pt>
                <c:pt idx="11">
                  <c:v>-413.67851530944068</c:v>
                </c:pt>
                <c:pt idx="12">
                  <c:v>-417.16708861451241</c:v>
                </c:pt>
                <c:pt idx="13">
                  <c:v>-405.78817514941153</c:v>
                </c:pt>
                <c:pt idx="14">
                  <c:v>-413.19678643493188</c:v>
                </c:pt>
                <c:pt idx="15">
                  <c:v>-426.03789458598516</c:v>
                </c:pt>
                <c:pt idx="16">
                  <c:v>-433.96209122846756</c:v>
                </c:pt>
                <c:pt idx="17">
                  <c:v>-446.33977485545614</c:v>
                </c:pt>
                <c:pt idx="18">
                  <c:v>-452.94308647200734</c:v>
                </c:pt>
                <c:pt idx="19">
                  <c:v>-464.36185139251751</c:v>
                </c:pt>
                <c:pt idx="20">
                  <c:v>-481.80788487963906</c:v>
                </c:pt>
                <c:pt idx="21">
                  <c:v>-497.45340110422279</c:v>
                </c:pt>
                <c:pt idx="22">
                  <c:v>-510.13984400343685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3-4B58-8048-697177B0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217615"/>
        <c:axId val="885220527"/>
      </c:lineChart>
      <c:catAx>
        <c:axId val="88521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20527"/>
        <c:crosses val="autoZero"/>
        <c:auto val="1"/>
        <c:lblAlgn val="ctr"/>
        <c:lblOffset val="100"/>
        <c:tickLblSkip val="2"/>
        <c:noMultiLvlLbl val="0"/>
      </c:catAx>
      <c:valAx>
        <c:axId val="885220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Total NOx Emissions (tons/year)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1761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43563795529308"/>
          <c:y val="8.526479387637384E-2"/>
          <c:w val="0.27916959832559229"/>
          <c:h val="0.89275537754131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venir LT Std 35 Light" panose="020B0402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Estimated</a:t>
            </a:r>
            <a:r>
              <a:rPr lang="en-US" baseline="0"/>
              <a:t> Statewide PM2.5 Emissions - Proposed Amendments (tons/day)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Upstream Emissions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'[5]Air Basin Summary NOx BAU'!$F$2:$AB$2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'Air Basin Summary PM2.5 BAU tpd'!$E$161:$E$183</c:f>
              <c:numCache>
                <c:formatCode>0.000</c:formatCode>
                <c:ptCount val="23"/>
                <c:pt idx="0">
                  <c:v>-2.270466712937378E-2</c:v>
                </c:pt>
                <c:pt idx="1">
                  <c:v>-4.5409334258747561E-2</c:v>
                </c:pt>
                <c:pt idx="2">
                  <c:v>-6.8114001388121334E-2</c:v>
                </c:pt>
                <c:pt idx="3">
                  <c:v>-9.0818668517495121E-2</c:v>
                </c:pt>
                <c:pt idx="4">
                  <c:v>-0.11352333564686888</c:v>
                </c:pt>
                <c:pt idx="5">
                  <c:v>-0.13622800277624264</c:v>
                </c:pt>
                <c:pt idx="6">
                  <c:v>-0.15893266990561641</c:v>
                </c:pt>
                <c:pt idx="7">
                  <c:v>-0.18163733703499019</c:v>
                </c:pt>
                <c:pt idx="8">
                  <c:v>-0.20434200416436396</c:v>
                </c:pt>
                <c:pt idx="9">
                  <c:v>-0.22704667129373773</c:v>
                </c:pt>
                <c:pt idx="10">
                  <c:v>-0.24975133842311151</c:v>
                </c:pt>
                <c:pt idx="11">
                  <c:v>-0.27245600555248528</c:v>
                </c:pt>
                <c:pt idx="12">
                  <c:v>-0.29516067268185903</c:v>
                </c:pt>
                <c:pt idx="13">
                  <c:v>-0.31786533981123283</c:v>
                </c:pt>
                <c:pt idx="14">
                  <c:v>-0.34057000694060663</c:v>
                </c:pt>
                <c:pt idx="15">
                  <c:v>-0.36327467406998049</c:v>
                </c:pt>
                <c:pt idx="16">
                  <c:v>-0.38597934119935429</c:v>
                </c:pt>
                <c:pt idx="17">
                  <c:v>-0.40868400832872809</c:v>
                </c:pt>
                <c:pt idx="18">
                  <c:v>-0.43138867545810189</c:v>
                </c:pt>
                <c:pt idx="19">
                  <c:v>-0.45409334258747569</c:v>
                </c:pt>
                <c:pt idx="20">
                  <c:v>-0.47679800971684944</c:v>
                </c:pt>
                <c:pt idx="21">
                  <c:v>-0.49950267684622324</c:v>
                </c:pt>
                <c:pt idx="22">
                  <c:v>-0.52220734397559709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05B-A08D-0BF26DCC013C}"/>
            </c:ext>
          </c:extLst>
        </c:ser>
        <c:ser>
          <c:idx val="8"/>
          <c:order val="1"/>
          <c:tx>
            <c:v>Jet Fuel Tailpipe</c:v>
          </c:tx>
          <c:spPr>
            <a:pattFill prst="dkDnDiag">
              <a:fgClr>
                <a:srgbClr val="0066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tpd'!$G$161:$G$183</c:f>
              <c:numCache>
                <c:formatCode>0.000</c:formatCode>
                <c:ptCount val="23"/>
                <c:pt idx="0">
                  <c:v>-5.0088195189531989E-2</c:v>
                </c:pt>
                <c:pt idx="1">
                  <c:v>-7.9880071772561054E-2</c:v>
                </c:pt>
                <c:pt idx="2">
                  <c:v>-0.10292160326821398</c:v>
                </c:pt>
                <c:pt idx="3">
                  <c:v>-0.12554487640018555</c:v>
                </c:pt>
                <c:pt idx="4">
                  <c:v>-0.14915550025162352</c:v>
                </c:pt>
                <c:pt idx="5">
                  <c:v>-0.17145017680123789</c:v>
                </c:pt>
                <c:pt idx="6">
                  <c:v>-0.19351889729948502</c:v>
                </c:pt>
                <c:pt idx="7">
                  <c:v>-0.21619927769747066</c:v>
                </c:pt>
                <c:pt idx="8">
                  <c:v>-0.23885525931131085</c:v>
                </c:pt>
                <c:pt idx="9">
                  <c:v>-0.26149660165466337</c:v>
                </c:pt>
                <c:pt idx="10">
                  <c:v>-0.28414892345088133</c:v>
                </c:pt>
                <c:pt idx="11">
                  <c:v>-0.30676830690064044</c:v>
                </c:pt>
                <c:pt idx="12">
                  <c:v>-0.3293876903382621</c:v>
                </c:pt>
                <c:pt idx="13">
                  <c:v>-0.35200707377588358</c:v>
                </c:pt>
                <c:pt idx="14">
                  <c:v>-0.37462645721350479</c:v>
                </c:pt>
                <c:pt idx="15">
                  <c:v>-0.39746643927052783</c:v>
                </c:pt>
                <c:pt idx="16">
                  <c:v>-0.42027519640875288</c:v>
                </c:pt>
                <c:pt idx="17">
                  <c:v>-0.4429470562224791</c:v>
                </c:pt>
                <c:pt idx="18">
                  <c:v>-0.46552020848599568</c:v>
                </c:pt>
                <c:pt idx="19">
                  <c:v>-0.48820504157542083</c:v>
                </c:pt>
                <c:pt idx="20">
                  <c:v>-0.51085819980849745</c:v>
                </c:pt>
                <c:pt idx="21">
                  <c:v>-0.53350490887801116</c:v>
                </c:pt>
                <c:pt idx="22">
                  <c:v>-0.55608612499689714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05B-A08D-0BF26DCC013C}"/>
            </c:ext>
          </c:extLst>
        </c:ser>
        <c:ser>
          <c:idx val="0"/>
          <c:order val="2"/>
          <c:tx>
            <c:v>Fossil Gas Production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'Air Basin Summary PM2.5 BAU tpd'!$J$161:$J$183</c:f>
              <c:numCache>
                <c:formatCode>0.000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-1.5718334795818453E-3</c:v>
                </c:pt>
                <c:pt idx="13">
                  <c:v>-5.5915588964399908E-3</c:v>
                </c:pt>
                <c:pt idx="14">
                  <c:v>-9.7023363913047948E-3</c:v>
                </c:pt>
                <c:pt idx="15">
                  <c:v>-1.3897846450230834E-2</c:v>
                </c:pt>
                <c:pt idx="16">
                  <c:v>-1.754391938542425E-2</c:v>
                </c:pt>
                <c:pt idx="17">
                  <c:v>-2.1445459710402539E-2</c:v>
                </c:pt>
                <c:pt idx="18">
                  <c:v>-2.5881073175788496E-2</c:v>
                </c:pt>
                <c:pt idx="19">
                  <c:v>-2.8223213735581447E-2</c:v>
                </c:pt>
                <c:pt idx="20">
                  <c:v>-3.0653234412351536E-2</c:v>
                </c:pt>
                <c:pt idx="21">
                  <c:v>-3.3077140841734784E-2</c:v>
                </c:pt>
                <c:pt idx="22">
                  <c:v>-3.6386450499087897E-2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C-405B-A08D-0BF26DCC013C}"/>
            </c:ext>
          </c:extLst>
        </c:ser>
        <c:ser>
          <c:idx val="5"/>
          <c:order val="3"/>
          <c:tx>
            <c:v>Biodiesel/Renewable diesel tailpipe</c:v>
          </c:tx>
          <c:spPr>
            <a:solidFill>
              <a:srgbClr val="6F2507"/>
            </a:solidFill>
            <a:ln>
              <a:noFill/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tpd'!$F$161:$F$183</c:f>
              <c:numCache>
                <c:formatCode>0.000</c:formatCode>
                <c:ptCount val="23"/>
                <c:pt idx="0">
                  <c:v>-0.27685503829794561</c:v>
                </c:pt>
                <c:pt idx="1">
                  <c:v>-0.76013473472925297</c:v>
                </c:pt>
                <c:pt idx="2">
                  <c:v>-0.86116491884722113</c:v>
                </c:pt>
                <c:pt idx="3">
                  <c:v>-0.88017867552958906</c:v>
                </c:pt>
                <c:pt idx="4">
                  <c:v>-0.80800472925823963</c:v>
                </c:pt>
                <c:pt idx="5">
                  <c:v>-0.79585272964253595</c:v>
                </c:pt>
                <c:pt idx="6">
                  <c:v>-0.77483163375381803</c:v>
                </c:pt>
                <c:pt idx="7">
                  <c:v>-0.74587012989313906</c:v>
                </c:pt>
                <c:pt idx="8">
                  <c:v>-0.71340136042336944</c:v>
                </c:pt>
                <c:pt idx="9">
                  <c:v>-0.67873488797297654</c:v>
                </c:pt>
                <c:pt idx="10">
                  <c:v>-0.64626736619337977</c:v>
                </c:pt>
                <c:pt idx="11">
                  <c:v>-0.61315669318246935</c:v>
                </c:pt>
                <c:pt idx="12">
                  <c:v>-0.57482169449696408</c:v>
                </c:pt>
                <c:pt idx="13">
                  <c:v>-0.54102468950238225</c:v>
                </c:pt>
                <c:pt idx="14">
                  <c:v>-0.51166052956101338</c:v>
                </c:pt>
                <c:pt idx="15">
                  <c:v>-0.51579608945987665</c:v>
                </c:pt>
                <c:pt idx="16">
                  <c:v>-0.51619451605268241</c:v>
                </c:pt>
                <c:pt idx="17">
                  <c:v>-0.49806680773062156</c:v>
                </c:pt>
                <c:pt idx="18">
                  <c:v>-0.46699484906220351</c:v>
                </c:pt>
                <c:pt idx="19">
                  <c:v>-0.45139409001397884</c:v>
                </c:pt>
                <c:pt idx="20">
                  <c:v>-0.43309732816993773</c:v>
                </c:pt>
                <c:pt idx="21">
                  <c:v>-0.41887241402015868</c:v>
                </c:pt>
                <c:pt idx="22">
                  <c:v>-0.39766090942573429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C-405B-A08D-0BF26DCC013C}"/>
            </c:ext>
          </c:extLst>
        </c:ser>
        <c:ser>
          <c:idx val="7"/>
          <c:order val="4"/>
          <c:tx>
            <c:v>Renewable Fuel Production from Oils</c:v>
          </c:tx>
          <c:spPr>
            <a:pattFill prst="pct90">
              <a:fgClr>
                <a:srgbClr val="C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tpd'!$I$161:$I$183</c:f>
              <c:numCache>
                <c:formatCode>0.000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9.2552439736394887E-4</c:v>
                </c:pt>
                <c:pt idx="3">
                  <c:v>7.9876747208384134E-3</c:v>
                </c:pt>
                <c:pt idx="4">
                  <c:v>1.2224964914923102E-2</c:v>
                </c:pt>
                <c:pt idx="5">
                  <c:v>1.476733903137391E-2</c:v>
                </c:pt>
                <c:pt idx="6">
                  <c:v>1.6292763501244447E-2</c:v>
                </c:pt>
                <c:pt idx="7">
                  <c:v>1.7208018183166727E-2</c:v>
                </c:pt>
                <c:pt idx="8">
                  <c:v>1.7757170992320107E-2</c:v>
                </c:pt>
                <c:pt idx="9">
                  <c:v>1.8086662677812112E-2</c:v>
                </c:pt>
                <c:pt idx="10">
                  <c:v>1.8580900206050178E-2</c:v>
                </c:pt>
                <c:pt idx="11">
                  <c:v>1.8580900206050174E-2</c:v>
                </c:pt>
                <c:pt idx="12">
                  <c:v>1.8580900206050174E-2</c:v>
                </c:pt>
                <c:pt idx="13">
                  <c:v>1.8580900206050174E-2</c:v>
                </c:pt>
                <c:pt idx="14">
                  <c:v>1.8580900206050167E-2</c:v>
                </c:pt>
                <c:pt idx="15">
                  <c:v>1.8580900206050174E-2</c:v>
                </c:pt>
                <c:pt idx="16">
                  <c:v>1.8580900206050174E-2</c:v>
                </c:pt>
                <c:pt idx="17">
                  <c:v>1.8580900206050171E-2</c:v>
                </c:pt>
                <c:pt idx="18">
                  <c:v>1.8580900206050174E-2</c:v>
                </c:pt>
                <c:pt idx="19">
                  <c:v>1.8580900206050174E-2</c:v>
                </c:pt>
                <c:pt idx="20">
                  <c:v>1.8580900206050174E-2</c:v>
                </c:pt>
                <c:pt idx="21">
                  <c:v>1.8580900206050181E-2</c:v>
                </c:pt>
                <c:pt idx="22">
                  <c:v>1.8580900206050171E-2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1C-405B-A08D-0BF26DCC013C}"/>
            </c:ext>
          </c:extLst>
        </c:ser>
        <c:ser>
          <c:idx val="9"/>
          <c:order val="5"/>
          <c:tx>
            <c:v>Biomethane upgrading</c:v>
          </c:tx>
          <c:spPr>
            <a:pattFill prst="pct75">
              <a:fgClr>
                <a:srgbClr val="7030A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tpd'!$H$161:$H$183</c:f>
              <c:numCache>
                <c:formatCode>0.000</c:formatCode>
                <c:ptCount val="23"/>
                <c:pt idx="0">
                  <c:v>0</c:v>
                </c:pt>
                <c:pt idx="1">
                  <c:v>0.12082158999728371</c:v>
                </c:pt>
                <c:pt idx="2">
                  <c:v>0.13609860934608645</c:v>
                </c:pt>
                <c:pt idx="3">
                  <c:v>5.1388040908938198E-2</c:v>
                </c:pt>
                <c:pt idx="4">
                  <c:v>8.5254952845830984E-2</c:v>
                </c:pt>
                <c:pt idx="5">
                  <c:v>2.1863536411176727E-2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1.4655556792544026E-3</c:v>
                </c:pt>
                <c:pt idx="10">
                  <c:v>2.104803096894535E-2</c:v>
                </c:pt>
                <c:pt idx="11">
                  <c:v>3.4350385413628393E-2</c:v>
                </c:pt>
                <c:pt idx="12">
                  <c:v>3.4350385413628379E-2</c:v>
                </c:pt>
                <c:pt idx="13">
                  <c:v>8.2078025492115583E-2</c:v>
                </c:pt>
                <c:pt idx="14">
                  <c:v>8.2078025492115556E-2</c:v>
                </c:pt>
                <c:pt idx="15">
                  <c:v>0.1007767706237781</c:v>
                </c:pt>
                <c:pt idx="16">
                  <c:v>0.12861014996180395</c:v>
                </c:pt>
                <c:pt idx="17">
                  <c:v>0.12598286945106382</c:v>
                </c:pt>
                <c:pt idx="18">
                  <c:v>0.12675218037507305</c:v>
                </c:pt>
                <c:pt idx="19">
                  <c:v>0.12764186177264891</c:v>
                </c:pt>
                <c:pt idx="20">
                  <c:v>0.10941632726043554</c:v>
                </c:pt>
                <c:pt idx="21">
                  <c:v>0.10017927765611985</c:v>
                </c:pt>
                <c:pt idx="22">
                  <c:v>9.2938776790518152E-2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1C-405B-A08D-0BF26DCC013C}"/>
            </c:ext>
          </c:extLst>
        </c:ser>
        <c:ser>
          <c:idx val="3"/>
          <c:order val="6"/>
          <c:tx>
            <c:v>Feedstock/Fuel Transport - Rail</c:v>
          </c:tx>
          <c:spPr>
            <a:pattFill prst="pct90">
              <a:fgClr>
                <a:srgbClr val="003399"/>
              </a:fgClr>
              <a:bgClr>
                <a:sysClr val="window" lastClr="FFFFFF"/>
              </a:bgClr>
            </a:pattFill>
            <a:ln>
              <a:gradFill>
                <a:gsLst>
                  <a:gs pos="0">
                    <a:srgbClr val="4F81BD">
                      <a:lumMod val="5000"/>
                      <a:lumOff val="95000"/>
                    </a:srgbClr>
                  </a:gs>
                  <a:gs pos="74000">
                    <a:srgbClr val="4F81BD">
                      <a:lumMod val="45000"/>
                      <a:lumOff val="55000"/>
                    </a:srgbClr>
                  </a:gs>
                  <a:gs pos="83000">
                    <a:srgbClr val="4F81BD">
                      <a:lumMod val="45000"/>
                      <a:lumOff val="55000"/>
                    </a:srgbClr>
                  </a:gs>
                  <a:gs pos="100000">
                    <a:srgbClr val="4F81BD">
                      <a:lumMod val="30000"/>
                      <a:lumOff val="70000"/>
                    </a:srgbClr>
                  </a:gs>
                </a:gsLst>
                <a:lin ang="5400000" scaled="1"/>
              </a:gradFill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tpd'!$L$161:$L$183</c:f>
              <c:numCache>
                <c:formatCode>0.000</c:formatCode>
                <c:ptCount val="23"/>
                <c:pt idx="0">
                  <c:v>5.6045496533997548E-3</c:v>
                </c:pt>
                <c:pt idx="1">
                  <c:v>1.4995757942768709E-2</c:v>
                </c:pt>
                <c:pt idx="2">
                  <c:v>1.6797173830430712E-2</c:v>
                </c:pt>
                <c:pt idx="3">
                  <c:v>1.7436952869991446E-2</c:v>
                </c:pt>
                <c:pt idx="4">
                  <c:v>1.6036878453057225E-2</c:v>
                </c:pt>
                <c:pt idx="5">
                  <c:v>1.5653360984170691E-2</c:v>
                </c:pt>
                <c:pt idx="6">
                  <c:v>6.13277711143001E-3</c:v>
                </c:pt>
                <c:pt idx="7">
                  <c:v>5.4613476432931792E-3</c:v>
                </c:pt>
                <c:pt idx="8">
                  <c:v>5.2089600472631998E-3</c:v>
                </c:pt>
                <c:pt idx="9">
                  <c:v>4.9350943167685308E-3</c:v>
                </c:pt>
                <c:pt idx="10">
                  <c:v>4.7242775804544205E-3</c:v>
                </c:pt>
                <c:pt idx="11">
                  <c:v>3.3513746781963687E-3</c:v>
                </c:pt>
                <c:pt idx="12">
                  <c:v>2.52750575045944E-3</c:v>
                </c:pt>
                <c:pt idx="13">
                  <c:v>1.6606661909849294E-3</c:v>
                </c:pt>
                <c:pt idx="14">
                  <c:v>1.6020428224698755E-3</c:v>
                </c:pt>
                <c:pt idx="15">
                  <c:v>1.5790110484645791E-3</c:v>
                </c:pt>
                <c:pt idx="16">
                  <c:v>1.571517125371171E-3</c:v>
                </c:pt>
                <c:pt idx="17">
                  <c:v>1.5329595018646397E-3</c:v>
                </c:pt>
                <c:pt idx="18">
                  <c:v>1.4705975348699137E-3</c:v>
                </c:pt>
                <c:pt idx="19">
                  <c:v>1.4431353306516464E-3</c:v>
                </c:pt>
                <c:pt idx="20">
                  <c:v>1.4077897349188671E-3</c:v>
                </c:pt>
                <c:pt idx="21">
                  <c:v>1.3720693476767278E-3</c:v>
                </c:pt>
                <c:pt idx="22">
                  <c:v>1.3202932104334558E-3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1C-405B-A08D-0BF26DCC013C}"/>
            </c:ext>
          </c:extLst>
        </c:ser>
        <c:ser>
          <c:idx val="6"/>
          <c:order val="8"/>
          <c:tx>
            <c:v>Feedstock/Fuel Transport - Truck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'[5]Air Basin Summary NOx BAU'!$D$59:$AB$59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'Air Basin Summary PM2.5 BAU tpd'!$K$161:$K$183</c:f>
              <c:numCache>
                <c:formatCode>0.000</c:formatCode>
                <c:ptCount val="23"/>
                <c:pt idx="0">
                  <c:v>1.5937059714913229E-3</c:v>
                </c:pt>
                <c:pt idx="1">
                  <c:v>4.3780521525865037E-3</c:v>
                </c:pt>
                <c:pt idx="2">
                  <c:v>5.0759996770534414E-3</c:v>
                </c:pt>
                <c:pt idx="3">
                  <c:v>4.9876241160892584E-3</c:v>
                </c:pt>
                <c:pt idx="4">
                  <c:v>4.4776749426921284E-3</c:v>
                </c:pt>
                <c:pt idx="5">
                  <c:v>4.3749228219456581E-3</c:v>
                </c:pt>
                <c:pt idx="6">
                  <c:v>4.2340836373318804E-3</c:v>
                </c:pt>
                <c:pt idx="7">
                  <c:v>4.0833543217804989E-3</c:v>
                </c:pt>
                <c:pt idx="8">
                  <c:v>3.9366312162012465E-3</c:v>
                </c:pt>
                <c:pt idx="9">
                  <c:v>3.806894857879421E-3</c:v>
                </c:pt>
                <c:pt idx="10">
                  <c:v>3.6584035800988251E-3</c:v>
                </c:pt>
                <c:pt idx="11">
                  <c:v>3.5082965781288401E-3</c:v>
                </c:pt>
                <c:pt idx="12">
                  <c:v>3.3418576976793129E-3</c:v>
                </c:pt>
                <c:pt idx="13">
                  <c:v>3.1815953550725562E-3</c:v>
                </c:pt>
                <c:pt idx="14">
                  <c:v>3.0272146044609863E-3</c:v>
                </c:pt>
                <c:pt idx="15">
                  <c:v>3.070182331980332E-3</c:v>
                </c:pt>
                <c:pt idx="16">
                  <c:v>3.1069526976357903E-3</c:v>
                </c:pt>
                <c:pt idx="17">
                  <c:v>3.034898916876977E-3</c:v>
                </c:pt>
                <c:pt idx="18">
                  <c:v>2.8905422426674736E-3</c:v>
                </c:pt>
                <c:pt idx="19">
                  <c:v>2.8963302539821529E-3</c:v>
                </c:pt>
                <c:pt idx="20">
                  <c:v>2.8836580420586503E-3</c:v>
                </c:pt>
                <c:pt idx="21">
                  <c:v>2.8717076015439104E-3</c:v>
                </c:pt>
                <c:pt idx="22">
                  <c:v>2.8140852380576318E-3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C-405B-A08D-0BF26DCC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217615"/>
        <c:axId val="885220527"/>
        <c:extLst/>
      </c:barChart>
      <c:lineChart>
        <c:grouping val="standard"/>
        <c:varyColors val="0"/>
        <c:ser>
          <c:idx val="2"/>
          <c:order val="7"/>
          <c:tx>
            <c:v>Total NOx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'[5]Air Basin Summary NOx BAU'!$F$2:$AB$2</c:f>
              <c:multiLvlStrCache>
                <c:ptCount val="1"/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'Air Basin Summary PM2.5 BAU tpd'!$M$161:$M$183</c:f>
              <c:numCache>
                <c:formatCode>0.0</c:formatCode>
                <c:ptCount val="23"/>
                <c:pt idx="0">
                  <c:v>-0.34244964499196034</c:v>
                </c:pt>
                <c:pt idx="1">
                  <c:v>-0.74522874066792266</c:v>
                </c:pt>
                <c:pt idx="2">
                  <c:v>-0.87330321625262208</c:v>
                </c:pt>
                <c:pt idx="3">
                  <c:v>-1.0147419278314123</c:v>
                </c:pt>
                <c:pt idx="4">
                  <c:v>-0.95268909400022872</c:v>
                </c:pt>
                <c:pt idx="5">
                  <c:v>-1.0468717499713496</c:v>
                </c:pt>
                <c:pt idx="6">
                  <c:v>-1.1006235767089132</c:v>
                </c:pt>
                <c:pt idx="7">
                  <c:v>-1.1169540244773597</c:v>
                </c:pt>
                <c:pt idx="8">
                  <c:v>-1.1296958616432597</c:v>
                </c:pt>
                <c:pt idx="9">
                  <c:v>-1.1389839533896633</c:v>
                </c:pt>
                <c:pt idx="10">
                  <c:v>-1.1321560157318238</c:v>
                </c:pt>
                <c:pt idx="11">
                  <c:v>-1.1325900487595912</c:v>
                </c:pt>
                <c:pt idx="12">
                  <c:v>-1.1421412419288497</c:v>
                </c:pt>
                <c:pt idx="13">
                  <c:v>-1.1109874747417152</c:v>
                </c:pt>
                <c:pt idx="14">
                  <c:v>-1.1312711469813328</c:v>
                </c:pt>
                <c:pt idx="15">
                  <c:v>-1.1664281850403426</c:v>
                </c:pt>
                <c:pt idx="16">
                  <c:v>-1.1881234530553528</c:v>
                </c:pt>
                <c:pt idx="17">
                  <c:v>-1.2220117039163756</c:v>
                </c:pt>
                <c:pt idx="18">
                  <c:v>-1.240090585823429</c:v>
                </c:pt>
                <c:pt idx="19">
                  <c:v>-1.2713534603491239</c:v>
                </c:pt>
                <c:pt idx="20">
                  <c:v>-1.3191180968641729</c:v>
                </c:pt>
                <c:pt idx="21">
                  <c:v>-1.3619531857747371</c:v>
                </c:pt>
                <c:pt idx="22">
                  <c:v>-1.396686773452257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C-405B-A08D-0BF26DCC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217615"/>
        <c:axId val="885220527"/>
      </c:lineChart>
      <c:catAx>
        <c:axId val="88521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20527"/>
        <c:crosses val="autoZero"/>
        <c:auto val="1"/>
        <c:lblAlgn val="ctr"/>
        <c:lblOffset val="100"/>
        <c:tickLblSkip val="2"/>
        <c:noMultiLvlLbl val="0"/>
      </c:catAx>
      <c:valAx>
        <c:axId val="885220527"/>
        <c:scaling>
          <c:orientation val="minMax"/>
          <c:max val="0.5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venir LT Std 35 Light" panose="020B0402020203020204" pitchFamily="34" charset="0"/>
                  </a:rPr>
                  <a:t>Total NOx Emissions (tons/day)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venir LT Std 35 Light" panose="020B0402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venir LT Std 35 Light" panose="020B0402020203020204" pitchFamily="34" charset="0"/>
                <a:ea typeface="+mn-ea"/>
                <a:cs typeface="+mn-cs"/>
              </a:defRPr>
            </a:pPr>
            <a:endParaRPr lang="en-US"/>
          </a:p>
        </c:txPr>
        <c:crossAx val="885217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43563795529308"/>
          <c:y val="8.526479387637384E-2"/>
          <c:w val="0.27916959832559229"/>
          <c:h val="0.89275537754131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venir LT Std 35 Light" panose="020B0402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157</xdr:row>
      <xdr:rowOff>0</xdr:rowOff>
    </xdr:from>
    <xdr:to>
      <xdr:col>21</xdr:col>
      <xdr:colOff>299320</xdr:colOff>
      <xdr:row>186</xdr:row>
      <xdr:rowOff>142875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8ED26E6A-9809-4450-A8C2-5AF24065B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158</xdr:row>
      <xdr:rowOff>0</xdr:rowOff>
    </xdr:from>
    <xdr:to>
      <xdr:col>34</xdr:col>
      <xdr:colOff>17290</xdr:colOff>
      <xdr:row>184</xdr:row>
      <xdr:rowOff>106004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5277B68E-C1E2-4CF5-B916-98BC36A8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158</xdr:row>
      <xdr:rowOff>0</xdr:rowOff>
    </xdr:from>
    <xdr:to>
      <xdr:col>20</xdr:col>
      <xdr:colOff>433910</xdr:colOff>
      <xdr:row>187</xdr:row>
      <xdr:rowOff>49239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3B839E6D-85D1-4ED9-AD9A-BC726CC3C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500062</xdr:colOff>
      <xdr:row>159</xdr:row>
      <xdr:rowOff>0</xdr:rowOff>
    </xdr:from>
    <xdr:to>
      <xdr:col>32</xdr:col>
      <xdr:colOff>495460</xdr:colOff>
      <xdr:row>184</xdr:row>
      <xdr:rowOff>142875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D9900C54-AC7F-4F84-97D5-EDCFDDA38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C_MINER/International/Intl%202011/111212%202012%20Intl%20forecast%20t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neneh\Downloads\pathways_main_outputs_final_17jan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USERDATA/Work/Mid%20Year%20FY06%20OMB%20Trust%20Fund%20Update/FY06%20Midterm%20OMB%20Update%20International%20Market%20Foreca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Terminal%20Area%20Forecast%20Central%20File/International/FAA%20Forecast/Intl%202011/111115%20Intl%20forecast%20with%20INS%20data%20-%20SAS%20input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rb.sharepoint.com/sites/ISD/TFB/202X%20LCFS%20Rulemaking/ISOR%20(Pre-Rulemaking)/Air%20Quality%20Calculations/ISOR%20Scenarios/2022%20LCFS_Amendments_Air_Quality_Calculations_ISOR%20Proposed_399.xlsx" TargetMode="External"/><Relationship Id="rId1" Type="http://schemas.openxmlformats.org/officeDocument/2006/relationships/externalLinkPath" Target="/sites/ISD/TFB/202X%20LCFS%20Rulemaking/ISOR%20(Pre-Rulemaking)/Air%20Quality%20Calculations/ISOR%20Scenarios/2022%20LCFS_Amendments_Air_Quality_Calculations_ISOR%20Proposed_39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 TABLE 3"/>
      <sheetName val="2012 TABLE 3"/>
      <sheetName val="2011 TABLE 4"/>
      <sheetName val="2012 TABLE 4"/>
      <sheetName val="2012 Tables 3 4 data"/>
      <sheetName val="2011 TABLE 5"/>
      <sheetName val="2012 TABLE 5"/>
      <sheetName val="2011 TABLE 6"/>
      <sheetName val="2012 TABLE 6 "/>
      <sheetName val="2011 TABLE 7"/>
      <sheetName val="2012 Table 7"/>
      <sheetName val="2011 TABLE 8"/>
      <sheetName val="2012 TABLE 8"/>
      <sheetName val="2012 table 8 data"/>
      <sheetName val="2011 TABLE 9"/>
      <sheetName val="2012 TABLE 9"/>
      <sheetName val="2012 Table 9 system data"/>
      <sheetName val="2012 Table 9 intl data"/>
      <sheetName val="2012 Table 9 data"/>
      <sheetName val="2011 TABLE 10"/>
      <sheetName val="2012 TABLE 10"/>
      <sheetName val="2011 TABLE 11"/>
      <sheetName val="2012 TABLE 11"/>
      <sheetName val="2011 TABLE 12"/>
      <sheetName val="2012 TABLE 12"/>
      <sheetName val="2012 Tables 5 7 10 12 Pax data"/>
      <sheetName val="2011 TABLE 13"/>
      <sheetName val="2012 TABLE 13"/>
      <sheetName val="Intl charts 4 &amp; 5"/>
      <sheetName val="2012 Table 13 LF data"/>
      <sheetName val="2012 Tables 6 10 13 ASMs data"/>
      <sheetName val="2012 Tables 5 6 7 11 13 RPMs"/>
      <sheetName val="2011 TABLE 14"/>
      <sheetName val="2012 TABLE 14"/>
      <sheetName val="2011 TABLE 15"/>
      <sheetName val="2012 TABLE 15"/>
      <sheetName val="2011 TABLE 16"/>
      <sheetName val="2012 TABLE 16"/>
      <sheetName val="Tables 14 15 16 data"/>
      <sheetName val="2011 TABLE 17"/>
      <sheetName val="2012 TABLE 17"/>
      <sheetName val="2011 TABLE 18"/>
      <sheetName val="2012 TABLE 18"/>
      <sheetName val="2011 TABLE 19"/>
      <sheetName val="2012 TABLE 19"/>
      <sheetName val="2011 TABLE 22"/>
      <sheetName val="2012 TABLE 22"/>
      <sheetName val="2011 TABLE 23"/>
      <sheetName val="2012 TABLE 23"/>
      <sheetName val="2011 TABLE 24"/>
      <sheetName val="2012 TABLE 24"/>
      <sheetName val="2012 Tables 23 24 system data"/>
      <sheetName val="2011 TABLE 25"/>
      <sheetName val="2012 TABLE 25"/>
      <sheetName val="Tables 23 24 25 intl data"/>
      <sheetName val="2012 Tables 23 24 25 data"/>
      <sheetName val="2011 U.S. Carrier data"/>
      <sheetName val="2011 PIVOT"/>
      <sheetName val="Intl tables 1 &amp; 2"/>
      <sheetName val="Data for Fig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nnual GHG Emissions - Sector"/>
      <sheetName val="Summary Tables"/>
      <sheetName val="Final Energy Demand"/>
      <sheetName val="Generation Portfolio"/>
      <sheetName val="Generation Snapshot"/>
      <sheetName val="Electricity Retail Sales"/>
      <sheetName val="Energy Intensity"/>
      <sheetName val="Annual Costs"/>
      <sheetName val="Fuel Shares"/>
      <sheetName val="NonEnergy GHGs"/>
      <sheetName val="Non_Energy_GHGs"/>
      <sheetName val="Energy_GHGs_by_Sect1"/>
      <sheetName val="Liquid_Biofuel_Comp"/>
      <sheetName val="Gen_by_category"/>
      <sheetName val="Delivered_Renewable1"/>
      <sheetName val="Renewable_Curtailmen"/>
      <sheetName val="Electricity_Summary"/>
      <sheetName val="Final_Energy1"/>
      <sheetName val="Population1"/>
      <sheetName val="Total_Costs1"/>
      <sheetName val="Households4"/>
      <sheetName val="Pipeline_Share"/>
      <sheetName val="Gasoline_Fuel_Supply"/>
      <sheetName val="Liquid_Fuel_Supply"/>
      <sheetName val="Control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02 Econ Assump"/>
      <sheetName val="Pacific Pax"/>
      <sheetName val="Atlantic Pax"/>
      <sheetName val="Latin Pax"/>
      <sheetName val="Canada Pax"/>
      <sheetName val="Total Int Pax"/>
      <sheetName val="Int Traffic History"/>
      <sheetName val="LATGDP"/>
      <sheetName val="US and Canada GDP"/>
      <sheetName val="Pacific GDP Detail"/>
      <sheetName val="European GDP Detail"/>
      <sheetName val="Middle East GDP Detail"/>
      <sheetName val="Africa GDP Detail"/>
      <sheetName val="Latin GDP Detail"/>
      <sheetName val="t100int"/>
      <sheetName val="QTRLY FCST"/>
      <sheetName val="INTPASS"/>
      <sheetName val="Sum 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 pax data"/>
      <sheetName val="Real GDP"/>
      <sheetName val="Raw GDP data"/>
      <sheetName val="UK"/>
      <sheetName val="Germany"/>
      <sheetName val="France"/>
      <sheetName val="Netherlands"/>
      <sheetName val="Italy"/>
      <sheetName val="Ireland"/>
      <sheetName val="Spain"/>
      <sheetName val="Other Europe"/>
      <sheetName val="Mexico"/>
      <sheetName val="Dominican Rep"/>
      <sheetName val="Bahamas"/>
      <sheetName val="Jamaica"/>
      <sheetName val="Brazil"/>
      <sheetName val="Other LtnAm"/>
      <sheetName val="Japan"/>
      <sheetName val="S Korea"/>
      <sheetName val="Taiwan"/>
      <sheetName val="Hong Kong"/>
      <sheetName val="China"/>
      <sheetName val="India"/>
      <sheetName val="Other Pacific"/>
      <sheetName val="Pacific F41"/>
      <sheetName val="Atlantic F41"/>
      <sheetName val="Latin F41"/>
      <sheetName val="F41 data"/>
      <sheetName val="Exchange rates"/>
      <sheetName val="Transborder"/>
      <sheetName val="Transborder 2010"/>
      <sheetName val="Transborder 2009"/>
      <sheetName val="Transborder 2008"/>
      <sheetName val="Transborder 2007"/>
      <sheetName val="Transborder 2006"/>
      <sheetName val="Transborder 2005"/>
      <sheetName val="Transborder 2004"/>
      <sheetName val="Transborder 2003"/>
      <sheetName val="Transborder 2002"/>
      <sheetName val="Transborder 2001"/>
      <sheetName val="Transborder 2000"/>
      <sheetName val="Yield forecast"/>
      <sheetName val="DB Products yield"/>
      <sheetName val="Original yield data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posed Amendments Scenario"/>
      <sheetName val="Proposed CATS Output"/>
      <sheetName val="BAU Scenario"/>
      <sheetName val="BAU CATS Output"/>
      <sheetName val="BAU Comparison"/>
      <sheetName val="BAU Comparison Production"/>
      <sheetName val="BAU Cmparison AJF"/>
      <sheetName val="BAU Comparison FS &amp; Fuel Tr"/>
      <sheetName val="ACF Apportionment"/>
      <sheetName val="BAU Comp-Data for AQ Figures"/>
      <sheetName val="BAU-Figure_Total-NOx"/>
      <sheetName val="BAU-Figure_Total-PM2.5"/>
      <sheetName val="Emission factors Trucks&amp;Trains"/>
      <sheetName val="Emission Factors - AJF"/>
      <sheetName val="Emission Factors - CJF"/>
      <sheetName val="Emission Factors - Production"/>
      <sheetName val="Emission Factors - Dairy Gas"/>
      <sheetName val="Emission Factors - Solar Steam"/>
      <sheetName val="Emission Factors - Electricity "/>
      <sheetName val="Attribution Assumptions"/>
      <sheetName val="Petrol Refining NOx by AB"/>
      <sheetName val="Diesel NOx by AB"/>
      <sheetName val="Gasoline NOx by AB"/>
      <sheetName val="Dairy NOx by AB"/>
      <sheetName val="Jet Fuel NOx by AB"/>
      <sheetName val="Electricity NOx by AB"/>
      <sheetName val="Petrol Refining PM2.5 by AB"/>
      <sheetName val="Diesel PM2.5 by AB"/>
      <sheetName val="Gasoline PM2.5 by AB"/>
      <sheetName val="Jet Fuel PM2.5 by AB"/>
      <sheetName val="Electricity PM2.5 by AB"/>
      <sheetName val="Biodiesel Facility Location"/>
      <sheetName val="LTO cycle fuel consumption"/>
      <sheetName val="Air Basin NOx % of State BAU"/>
      <sheetName val="Air Basin NOx Analysis BAU"/>
      <sheetName val="Mobile Sources-PM (BAU)"/>
      <sheetName val="Air Basin PM Analysis BAU"/>
      <sheetName val="Air Basin Summary NOx BAU"/>
      <sheetName val="Air Basin Summary NOx BAU tpd"/>
      <sheetName val="Air Basin Summary PM2.5 BAU"/>
      <sheetName val="Air Basin Summary PM2.5 BAU tp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F2">
            <v>2024</v>
          </cell>
          <cell r="G2">
            <v>2025</v>
          </cell>
          <cell r="H2">
            <v>2026</v>
          </cell>
          <cell r="I2">
            <v>2027</v>
          </cell>
          <cell r="J2">
            <v>2028</v>
          </cell>
          <cell r="K2">
            <v>2029</v>
          </cell>
          <cell r="L2">
            <v>2030</v>
          </cell>
          <cell r="M2">
            <v>2031</v>
          </cell>
          <cell r="N2">
            <v>2032</v>
          </cell>
          <cell r="O2">
            <v>2033</v>
          </cell>
          <cell r="P2">
            <v>2034</v>
          </cell>
          <cell r="Q2">
            <v>2035</v>
          </cell>
          <cell r="R2">
            <v>2036</v>
          </cell>
          <cell r="S2">
            <v>2037</v>
          </cell>
          <cell r="T2">
            <v>2038</v>
          </cell>
          <cell r="U2">
            <v>2039</v>
          </cell>
          <cell r="V2">
            <v>2040</v>
          </cell>
          <cell r="W2">
            <v>2041</v>
          </cell>
          <cell r="X2">
            <v>2042</v>
          </cell>
          <cell r="Y2">
            <v>2043</v>
          </cell>
          <cell r="Z2">
            <v>2044</v>
          </cell>
          <cell r="AA2">
            <v>2045</v>
          </cell>
          <cell r="AB2">
            <v>2046</v>
          </cell>
        </row>
        <row r="59">
          <cell r="D59">
            <v>2022</v>
          </cell>
          <cell r="E59">
            <v>2023</v>
          </cell>
          <cell r="F59">
            <v>2024</v>
          </cell>
          <cell r="G59">
            <v>2025</v>
          </cell>
          <cell r="H59">
            <v>2026</v>
          </cell>
          <cell r="I59">
            <v>2027</v>
          </cell>
          <cell r="J59">
            <v>2028</v>
          </cell>
          <cell r="K59">
            <v>2029</v>
          </cell>
          <cell r="L59">
            <v>2030</v>
          </cell>
          <cell r="M59">
            <v>2031</v>
          </cell>
          <cell r="N59">
            <v>2032</v>
          </cell>
          <cell r="O59">
            <v>2033</v>
          </cell>
          <cell r="P59">
            <v>2034</v>
          </cell>
          <cell r="Q59">
            <v>2035</v>
          </cell>
          <cell r="R59">
            <v>2036</v>
          </cell>
          <cell r="S59">
            <v>2037</v>
          </cell>
          <cell r="T59">
            <v>2038</v>
          </cell>
          <cell r="U59">
            <v>2039</v>
          </cell>
          <cell r="V59">
            <v>2040</v>
          </cell>
          <cell r="W59">
            <v>2041</v>
          </cell>
          <cell r="X59">
            <v>2042</v>
          </cell>
          <cell r="Y59">
            <v>2043</v>
          </cell>
          <cell r="Z59">
            <v>2044</v>
          </cell>
          <cell r="AA59">
            <v>2045</v>
          </cell>
          <cell r="AB59">
            <v>2046</v>
          </cell>
        </row>
      </sheetData>
      <sheetData sheetId="38"/>
      <sheetData sheetId="39"/>
      <sheetData sheetId="4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A2:Y1156" totalsRowCount="1">
  <autoFilter ref="A2:Y1155" xr:uid="{00000000-0009-0000-0100-000005000000}">
    <filterColumn colId="2">
      <filters>
        <filter val="010-ELECTRIC UTILITIES"/>
      </filters>
    </filterColumn>
  </autoFilter>
  <tableColumns count="25">
    <tableColumn id="1" xr3:uid="{00000000-0010-0000-0000-000001000000}" name="AREA"/>
    <tableColumn id="2" xr3:uid="{00000000-0010-0000-0000-000002000000}" name="EIC"/>
    <tableColumn id="3" xr3:uid="{00000000-0010-0000-0000-000003000000}" name="EICSUM"/>
    <tableColumn id="4" xr3:uid="{00000000-0010-0000-0000-000004000000}" name="EICSOU"/>
    <tableColumn id="5" xr3:uid="{00000000-0010-0000-0000-000005000000}" name="EICMAT"/>
    <tableColumn id="6" xr3:uid="{00000000-0010-0000-0000-000006000000}" name="EICSUB"/>
    <tableColumn id="7" xr3:uid="{00000000-0010-0000-0000-000007000000}" name="POLLUTANT"/>
    <tableColumn id="8" xr3:uid="{00000000-0010-0000-0000-000008000000}" name="SEASON"/>
    <tableColumn id="9" xr3:uid="{00000000-0010-0000-0000-000009000000}" name="CONTROL_TYPE"/>
    <tableColumn id="10" xr3:uid="{00000000-0010-0000-0000-00000A000000}" name="2015" totalsRowFunction="custom">
      <totalsRowFormula>SUM(J3:J28)</totalsRowFormula>
    </tableColumn>
    <tableColumn id="11" xr3:uid="{00000000-0010-0000-0000-00000B000000}" name="2016" totalsRowFunction="custom">
      <totalsRowFormula>SUM(K3:K28)</totalsRowFormula>
    </tableColumn>
    <tableColumn id="12" xr3:uid="{00000000-0010-0000-0000-00000C000000}" name="2017" totalsRowFunction="custom">
      <totalsRowFormula>SUM(L3:L28)</totalsRowFormula>
    </tableColumn>
    <tableColumn id="13" xr3:uid="{00000000-0010-0000-0000-00000D000000}" name="2018" totalsRowFunction="custom">
      <totalsRowFormula>SUM(M3:M28)</totalsRowFormula>
    </tableColumn>
    <tableColumn id="14" xr3:uid="{00000000-0010-0000-0000-00000E000000}" name="2019" totalsRowFunction="custom">
      <totalsRowFormula>SUM(N3:N28)</totalsRowFormula>
    </tableColumn>
    <tableColumn id="15" xr3:uid="{00000000-0010-0000-0000-00000F000000}" name="2020" totalsRowFunction="custom">
      <totalsRowFormula>SUM(O3:O28)</totalsRowFormula>
    </tableColumn>
    <tableColumn id="16" xr3:uid="{00000000-0010-0000-0000-000010000000}" name="2021" totalsRowFunction="custom">
      <totalsRowFormula>SUM(P3:P28)</totalsRowFormula>
    </tableColumn>
    <tableColumn id="17" xr3:uid="{00000000-0010-0000-0000-000011000000}" name="2022" totalsRowFunction="custom">
      <totalsRowFormula>SUM(Q3:Q28)</totalsRowFormula>
    </tableColumn>
    <tableColumn id="18" xr3:uid="{00000000-0010-0000-0000-000012000000}" name="2023" totalsRowFunction="custom">
      <totalsRowFormula>SUM(R3:R28)</totalsRowFormula>
    </tableColumn>
    <tableColumn id="19" xr3:uid="{00000000-0010-0000-0000-000013000000}" name="2024" totalsRowFunction="custom">
      <totalsRowFormula>SUM(S3:S28)</totalsRowFormula>
    </tableColumn>
    <tableColumn id="20" xr3:uid="{00000000-0010-0000-0000-000014000000}" name="2025" totalsRowFunction="custom">
      <totalsRowFormula>SUM(T3:T28)</totalsRowFormula>
    </tableColumn>
    <tableColumn id="21" xr3:uid="{00000000-0010-0000-0000-000015000000}" name="2026" totalsRowFunction="custom">
      <totalsRowFormula>SUM(U3:U28)</totalsRowFormula>
    </tableColumn>
    <tableColumn id="22" xr3:uid="{00000000-0010-0000-0000-000016000000}" name="2027" totalsRowFunction="custom">
      <totalsRowFormula>SUM(V3:V28)</totalsRowFormula>
    </tableColumn>
    <tableColumn id="23" xr3:uid="{00000000-0010-0000-0000-000017000000}" name="2028" totalsRowFunction="custom">
      <totalsRowFormula>SUM(W3:W28)</totalsRowFormula>
    </tableColumn>
    <tableColumn id="24" xr3:uid="{00000000-0010-0000-0000-000018000000}" name="2029" totalsRowFunction="custom">
      <totalsRowFormula>SUM(X3:X28)</totalsRowFormula>
    </tableColumn>
    <tableColumn id="25" xr3:uid="{00000000-0010-0000-0000-000019000000}" name="2030" totalsRowFunction="custom">
      <totalsRowFormula>SUM(Y3:Y28)</totalsRow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D418B534-B94B-4744-882E-779310686338}" name="Table58" displayName="Table58" ref="A157:AG163" totalsRowCount="1">
  <autoFilter ref="A157:AG162" xr:uid="{D418B534-B94B-4744-882E-779310686338}"/>
  <tableColumns count="33">
    <tableColumn id="1" xr3:uid="{DFD115E9-2F4F-43BD-9C5D-B73B191F648A}" name="AREA"/>
    <tableColumn id="2" xr3:uid="{7C79EF54-82A9-4082-ACDD-49EFADCD90C6}" name="EIC"/>
    <tableColumn id="3" xr3:uid="{F4CCBEBD-6AFE-452E-AB3E-30BE45EA9B8D}" name="EICSUM"/>
    <tableColumn id="4" xr3:uid="{79681503-870C-45FB-8F6A-455A0EEB7D52}" name="EICSOU"/>
    <tableColumn id="5" xr3:uid="{5E7A48EE-3239-4EE2-97D6-D3AED644A6D9}" name="EICMAT"/>
    <tableColumn id="6" xr3:uid="{6F27D42C-66BE-41F3-9DFB-F8BAD04732E4}" name="EICSUB"/>
    <tableColumn id="7" xr3:uid="{397D0CDF-F33F-4F26-A060-02C113AB06E9}" name="POLLUTANT"/>
    <tableColumn id="8" xr3:uid="{D9EFD620-8968-48A0-BF40-D8517636F72B}" name="SEASON"/>
    <tableColumn id="9" xr3:uid="{5AB62F57-7623-4C54-B538-B3B788B111E5}" name="CONTROL_TYPE"/>
    <tableColumn id="10" xr3:uid="{7481DDF0-6B43-4F78-B840-E78B13C0C8FA}" name="2023" totalsRowFunction="sum"/>
    <tableColumn id="11" xr3:uid="{22F654FE-95E8-4A87-ADD1-2E42EF65391F}" name="2024" totalsRowFunction="sum"/>
    <tableColumn id="12" xr3:uid="{265A218E-81A9-438D-8401-A39962D2E223}" name="2025" totalsRowFunction="sum"/>
    <tableColumn id="13" xr3:uid="{25E2C341-6135-4D26-BE8C-345AC0AB7356}" name="2026" totalsRowFunction="sum"/>
    <tableColumn id="14" xr3:uid="{A856693B-1171-4A53-B3A4-80D16121A3B4}" name="2027" totalsRowFunction="sum"/>
    <tableColumn id="15" xr3:uid="{BD439FB2-9C04-4A0B-A902-2B080A73A2A0}" name="2028" totalsRowFunction="sum"/>
    <tableColumn id="16" xr3:uid="{CA85ED8D-97C3-4763-8A31-70C6712BBC4D}" name="2029" totalsRowFunction="sum"/>
    <tableColumn id="17" xr3:uid="{EB85E132-915A-4475-8E4F-8864C49163A3}" name="2030" totalsRowFunction="sum"/>
    <tableColumn id="18" xr3:uid="{BF10BCF3-F678-463F-8C1F-CF788602AA17}" name="2031" totalsRowFunction="sum"/>
    <tableColumn id="19" xr3:uid="{AC6CC011-168C-4190-A46F-339C964482B1}" name="2032" totalsRowFunction="sum"/>
    <tableColumn id="20" xr3:uid="{B370C7C1-6BF0-4DA6-A496-C1022D8AE3A6}" name="2033" totalsRowFunction="sum"/>
    <tableColumn id="21" xr3:uid="{B946A732-11AD-4479-A83A-04CF544D1C56}" name="2034" totalsRowFunction="sum"/>
    <tableColumn id="22" xr3:uid="{A1F818D1-4089-440A-9AA7-7BBAEA330C0F}" name="2035" totalsRowFunction="sum"/>
    <tableColumn id="23" xr3:uid="{AC27B6F7-6357-4043-9BE1-6F7935629D48}" name="2036" totalsRowFunction="sum"/>
    <tableColumn id="24" xr3:uid="{C642126A-0E45-471E-803D-0395B4DF5C79}" name="2037" totalsRowFunction="sum"/>
    <tableColumn id="25" xr3:uid="{E66BC009-6D60-45A5-8847-3F70C8CFCBA4}" name="2038" totalsRowFunction="sum"/>
    <tableColumn id="26" xr3:uid="{1CF91706-04B3-4815-8F0A-CF7C4A642087}" name="2039" totalsRowFunction="sum"/>
    <tableColumn id="27" xr3:uid="{75309D71-E722-4115-8DB5-A1B9C4A0C6C7}" name="2040" totalsRowFunction="sum"/>
    <tableColumn id="28" xr3:uid="{E34B5EB3-9D2E-4541-B3EB-E826E1043DF3}" name="2041" totalsRowFunction="sum"/>
    <tableColumn id="29" xr3:uid="{8C55EDD7-906D-47A2-84F7-C8F33E061AEC}" name="2042" totalsRowFunction="sum"/>
    <tableColumn id="30" xr3:uid="{C7EF5DD6-4FA5-478B-80BE-31114690C34D}" name="2043" totalsRowFunction="sum"/>
    <tableColumn id="31" xr3:uid="{BF51C766-F60F-4710-B670-7A29B100A6F9}" name="2044" totalsRowFunction="sum"/>
    <tableColumn id="32" xr3:uid="{8A55CE6A-75DA-427B-9D3D-1D5648D1458F}" name="2045" totalsRowFunction="sum"/>
    <tableColumn id="33" xr3:uid="{B21F75F0-2432-4709-B726-7D36E4F3E27A}" name="2046" totalsRowFunction="sum"/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2793F416-51CA-4AEE-9ACB-D12FC451EAE0}" name="Table133" displayName="Table133" ref="A194:AG215" totalsRowCount="1">
  <autoFilter ref="A194:AG214" xr:uid="{2793F416-51CA-4AEE-9ACB-D12FC451EAE0}"/>
  <tableColumns count="33">
    <tableColumn id="1" xr3:uid="{2651F241-50CD-4250-932C-3382A04150D7}" name="AREA"/>
    <tableColumn id="2" xr3:uid="{59E92081-989F-4661-9585-80E3BE1B620C}" name="EIC"/>
    <tableColumn id="3" xr3:uid="{13B3DA2E-D176-457A-A014-CC0636B57768}" name="EICSUM"/>
    <tableColumn id="4" xr3:uid="{B5F00F5A-C200-45BF-8292-1FFFE5EE8B56}" name="EICSOU"/>
    <tableColumn id="5" xr3:uid="{0F07696B-9904-4F6C-9979-F1191977A0AD}" name="EICMAT"/>
    <tableColumn id="6" xr3:uid="{D2DB808C-6564-4134-A7F2-EC0E80D710FF}" name="EICSUB"/>
    <tableColumn id="7" xr3:uid="{62180FB0-CD3B-4EDC-90F8-22F9FAB6FE1E}" name="POLLUTANT"/>
    <tableColumn id="8" xr3:uid="{C5C6EE0C-04D3-435E-BCBE-FF91FC3A4FE9}" name="SEASON"/>
    <tableColumn id="9" xr3:uid="{87B5383C-AC6C-4000-B777-7BFDD2DB1B46}" name="CONTROL_TYPE"/>
    <tableColumn id="10" xr3:uid="{F3695DBB-7FBF-493B-9607-49E62145A4AD}" name="2023" totalsRowFunction="sum"/>
    <tableColumn id="11" xr3:uid="{475352F6-B094-4756-8CB1-DA3E9C9F6514}" name="2024" totalsRowFunction="sum"/>
    <tableColumn id="12" xr3:uid="{A81A2D32-A992-4354-B018-E26BB5ADB7FA}" name="2025" totalsRowFunction="sum"/>
    <tableColumn id="13" xr3:uid="{2E2E429F-C9F4-4D2F-BBA0-FB7E404812F6}" name="2026" totalsRowFunction="sum"/>
    <tableColumn id="14" xr3:uid="{541D3EEB-B9A2-48D0-A565-83F1CA09962A}" name="2027" totalsRowFunction="sum"/>
    <tableColumn id="15" xr3:uid="{3C3095BB-D504-456C-B7DC-071DED367992}" name="2028" totalsRowFunction="sum"/>
    <tableColumn id="16" xr3:uid="{B4485088-503E-415B-902E-EFE2FCCDDC50}" name="2029" totalsRowFunction="sum"/>
    <tableColumn id="17" xr3:uid="{0672B948-D58A-4612-8FD4-3E2FF2A08A65}" name="2030" totalsRowFunction="sum"/>
    <tableColumn id="18" xr3:uid="{37DCC243-8D33-4526-8CD3-3830AFC79BE7}" name="2031" totalsRowFunction="sum"/>
    <tableColumn id="19" xr3:uid="{CF686911-A195-47FD-A637-DE87C5DD81BD}" name="2032" totalsRowFunction="sum"/>
    <tableColumn id="20" xr3:uid="{16D4104E-CF43-4B91-B03C-FA618207BF5C}" name="2033" totalsRowFunction="sum"/>
    <tableColumn id="21" xr3:uid="{0C19552A-EA27-4F39-9777-3F2749A0D6F1}" name="2034" totalsRowFunction="sum"/>
    <tableColumn id="22" xr3:uid="{C8194189-7077-4620-AC39-D63DE50A763C}" name="2035" totalsRowFunction="sum"/>
    <tableColumn id="23" xr3:uid="{170C7434-C4B9-4942-A8E5-EA09084F8DBA}" name="2036" totalsRowFunction="sum"/>
    <tableColumn id="24" xr3:uid="{05346594-C45F-4F71-9212-9E01DC0480DA}" name="2037" totalsRowFunction="sum"/>
    <tableColumn id="25" xr3:uid="{FD6095D3-B932-4E41-B49D-962C2C3437F3}" name="2038" totalsRowFunction="sum"/>
    <tableColumn id="26" xr3:uid="{6FF24E69-2291-44E7-88AC-5E8B86D9BB53}" name="2039" totalsRowFunction="sum"/>
    <tableColumn id="27" xr3:uid="{B75B36A3-FCA3-4EE6-812D-C8880AE9FAFA}" name="2040" totalsRowFunction="sum"/>
    <tableColumn id="28" xr3:uid="{DC95A581-1AAD-4C3D-BE74-CD821ADE15BA}" name="2041" totalsRowFunction="sum"/>
    <tableColumn id="29" xr3:uid="{1978C119-CF22-4D51-B027-424A03080220}" name="2042" totalsRowFunction="sum"/>
    <tableColumn id="30" xr3:uid="{7A32D3E2-922D-4A82-8D56-EE41BEE462D3}" name="2043" totalsRowFunction="sum"/>
    <tableColumn id="31" xr3:uid="{EE2395EF-3AD6-48A5-9F54-1939C7265BA4}" name="2044" totalsRowFunction="sum"/>
    <tableColumn id="32" xr3:uid="{2CFB154B-48F8-4AA5-ABFA-6F289087AA6C}" name="2045" totalsRowFunction="sum"/>
    <tableColumn id="33" xr3:uid="{4628C719-2923-4EF0-AE9F-F346ABDEA003}" name="2046" totalsRowFunction="sum"/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F000000}" name="Table119" displayName="Table119" ref="A1:Y68" totalsRowCount="1">
  <autoFilter ref="A1:Y67" xr:uid="{00000000-0009-0000-0100-000076000000}">
    <filterColumn colId="2">
      <filters>
        <filter val="010-ELECTRIC UTILITIES"/>
      </filters>
    </filterColumn>
  </autoFilter>
  <tableColumns count="25">
    <tableColumn id="1" xr3:uid="{00000000-0010-0000-2F00-000001000000}" name="AREA"/>
    <tableColumn id="2" xr3:uid="{00000000-0010-0000-2F00-000002000000}" name="EIC"/>
    <tableColumn id="3" xr3:uid="{00000000-0010-0000-2F00-000003000000}" name="EICSUM"/>
    <tableColumn id="4" xr3:uid="{00000000-0010-0000-2F00-000004000000}" name="EICSOU"/>
    <tableColumn id="5" xr3:uid="{00000000-0010-0000-2F00-000005000000}" name="EICMAT"/>
    <tableColumn id="6" xr3:uid="{00000000-0010-0000-2F00-000006000000}" name="EICSUB"/>
    <tableColumn id="7" xr3:uid="{00000000-0010-0000-2F00-000007000000}" name="POLLUTANT"/>
    <tableColumn id="8" xr3:uid="{00000000-0010-0000-2F00-000008000000}" name="SEASON"/>
    <tableColumn id="9" xr3:uid="{00000000-0010-0000-2F00-000009000000}" name="CONTROL_TYPE"/>
    <tableColumn id="10" xr3:uid="{00000000-0010-0000-2F00-00000A000000}" name="2015" totalsRowFunction="custom">
      <totalsRowFormula>SUBTOTAL(109,J2:J67)</totalsRowFormula>
    </tableColumn>
    <tableColumn id="11" xr3:uid="{00000000-0010-0000-2F00-00000B000000}" name="2016" totalsRowFunction="custom">
      <totalsRowFormula>SUBTOTAL(109,K2:K67)</totalsRowFormula>
    </tableColumn>
    <tableColumn id="12" xr3:uid="{00000000-0010-0000-2F00-00000C000000}" name="2017" totalsRowFunction="custom">
      <totalsRowFormula>SUBTOTAL(109,L2:L67)</totalsRowFormula>
    </tableColumn>
    <tableColumn id="13" xr3:uid="{00000000-0010-0000-2F00-00000D000000}" name="2018" totalsRowFunction="custom">
      <totalsRowFormula>SUBTOTAL(109,M2:M67)</totalsRowFormula>
    </tableColumn>
    <tableColumn id="14" xr3:uid="{00000000-0010-0000-2F00-00000E000000}" name="2019" totalsRowFunction="custom">
      <totalsRowFormula>SUBTOTAL(109,N2:N67)</totalsRowFormula>
    </tableColumn>
    <tableColumn id="15" xr3:uid="{00000000-0010-0000-2F00-00000F000000}" name="2020" totalsRowFunction="custom">
      <totalsRowFormula>SUBTOTAL(109,O2:O67)</totalsRowFormula>
    </tableColumn>
    <tableColumn id="16" xr3:uid="{00000000-0010-0000-2F00-000010000000}" name="2021" totalsRowFunction="custom">
      <totalsRowFormula>SUBTOTAL(109,P2:P67)</totalsRowFormula>
    </tableColumn>
    <tableColumn id="17" xr3:uid="{00000000-0010-0000-2F00-000011000000}" name="2022" totalsRowFunction="custom">
      <totalsRowFormula>SUBTOTAL(109,Q2:Q67)</totalsRowFormula>
    </tableColumn>
    <tableColumn id="18" xr3:uid="{00000000-0010-0000-2F00-000012000000}" name="2023" totalsRowFunction="custom">
      <totalsRowFormula>SUBTOTAL(109,R2:R67)</totalsRowFormula>
    </tableColumn>
    <tableColumn id="19" xr3:uid="{00000000-0010-0000-2F00-000013000000}" name="2024" totalsRowFunction="custom">
      <totalsRowFormula>SUBTOTAL(109,S2:S67)</totalsRowFormula>
    </tableColumn>
    <tableColumn id="20" xr3:uid="{00000000-0010-0000-2F00-000014000000}" name="2025" totalsRowFunction="custom">
      <totalsRowFormula>SUBTOTAL(109,T2:T67)</totalsRowFormula>
    </tableColumn>
    <tableColumn id="21" xr3:uid="{00000000-0010-0000-2F00-000015000000}" name="2026" totalsRowFunction="custom">
      <totalsRowFormula>SUBTOTAL(109,U2:U67)</totalsRowFormula>
    </tableColumn>
    <tableColumn id="22" xr3:uid="{00000000-0010-0000-2F00-000016000000}" name="2027" totalsRowFunction="custom">
      <totalsRowFormula>SUBTOTAL(109,V2:V67)</totalsRowFormula>
    </tableColumn>
    <tableColumn id="23" xr3:uid="{00000000-0010-0000-2F00-000017000000}" name="2028" totalsRowFunction="custom">
      <totalsRowFormula>SUBTOTAL(109,W2:W67)</totalsRowFormula>
    </tableColumn>
    <tableColumn id="24" xr3:uid="{00000000-0010-0000-2F00-000018000000}" name="2029" totalsRowFunction="custom">
      <totalsRowFormula>SUBTOTAL(109,X2:X67)</totalsRowFormula>
    </tableColumn>
    <tableColumn id="25" xr3:uid="{00000000-0010-0000-2F00-000019000000}" name="2030" totalsRowFunction="custom">
      <totalsRowFormula>SUBTOTAL(109,Y2:Y67)</totalsRow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30000000}" name="Table120" displayName="Table120" ref="A70:Y136" totalsRowCount="1">
  <autoFilter ref="A70:Y135" xr:uid="{00000000-0009-0000-0100-000077000000}">
    <filterColumn colId="2">
      <filters>
        <filter val="010-ELECTRIC UTILITIES"/>
      </filters>
    </filterColumn>
  </autoFilter>
  <tableColumns count="25">
    <tableColumn id="1" xr3:uid="{00000000-0010-0000-3000-000001000000}" name="AREA"/>
    <tableColumn id="2" xr3:uid="{00000000-0010-0000-3000-000002000000}" name="EIC"/>
    <tableColumn id="3" xr3:uid="{00000000-0010-0000-3000-000003000000}" name="EICSUM"/>
    <tableColumn id="4" xr3:uid="{00000000-0010-0000-3000-000004000000}" name="EICSOU"/>
    <tableColumn id="5" xr3:uid="{00000000-0010-0000-3000-000005000000}" name="EICMAT"/>
    <tableColumn id="6" xr3:uid="{00000000-0010-0000-3000-000006000000}" name="EICSUB"/>
    <tableColumn id="7" xr3:uid="{00000000-0010-0000-3000-000007000000}" name="POLLUTANT"/>
    <tableColumn id="8" xr3:uid="{00000000-0010-0000-3000-000008000000}" name="SEASON"/>
    <tableColumn id="9" xr3:uid="{00000000-0010-0000-3000-000009000000}" name="CONTROL_TYPE"/>
    <tableColumn id="10" xr3:uid="{00000000-0010-0000-3000-00000A000000}" name="2015" totalsRowFunction="custom">
      <totalsRowFormula>SUBTOTAL(109,J71:J135)</totalsRowFormula>
    </tableColumn>
    <tableColumn id="11" xr3:uid="{00000000-0010-0000-3000-00000B000000}" name="2016" totalsRowFunction="custom">
      <totalsRowFormula>SUBTOTAL(109,K71:K135)</totalsRowFormula>
    </tableColumn>
    <tableColumn id="12" xr3:uid="{00000000-0010-0000-3000-00000C000000}" name="2017" totalsRowFunction="custom">
      <totalsRowFormula>SUBTOTAL(109,L71:L135)</totalsRowFormula>
    </tableColumn>
    <tableColumn id="13" xr3:uid="{00000000-0010-0000-3000-00000D000000}" name="2018" totalsRowFunction="custom">
      <totalsRowFormula>SUBTOTAL(109,M71:M135)</totalsRowFormula>
    </tableColumn>
    <tableColumn id="14" xr3:uid="{00000000-0010-0000-3000-00000E000000}" name="2019" totalsRowFunction="custom">
      <totalsRowFormula>SUBTOTAL(109,N71:N135)</totalsRowFormula>
    </tableColumn>
    <tableColumn id="15" xr3:uid="{00000000-0010-0000-3000-00000F000000}" name="2020" totalsRowFunction="custom">
      <totalsRowFormula>SUBTOTAL(109,O71:O135)</totalsRowFormula>
    </tableColumn>
    <tableColumn id="16" xr3:uid="{00000000-0010-0000-3000-000010000000}" name="2021" totalsRowFunction="custom">
      <totalsRowFormula>SUBTOTAL(109,P71:P135)</totalsRowFormula>
    </tableColumn>
    <tableColumn id="17" xr3:uid="{00000000-0010-0000-3000-000011000000}" name="2022" totalsRowFunction="custom">
      <totalsRowFormula>SUBTOTAL(109,Q71:Q135)</totalsRowFormula>
    </tableColumn>
    <tableColumn id="18" xr3:uid="{00000000-0010-0000-3000-000012000000}" name="2023" totalsRowFunction="custom">
      <totalsRowFormula>SUBTOTAL(109,R71:R135)</totalsRowFormula>
    </tableColumn>
    <tableColumn id="19" xr3:uid="{00000000-0010-0000-3000-000013000000}" name="2024" totalsRowFunction="custom">
      <totalsRowFormula>SUBTOTAL(109,S71:S135)</totalsRowFormula>
    </tableColumn>
    <tableColumn id="20" xr3:uid="{00000000-0010-0000-3000-000014000000}" name="2025" totalsRowFunction="custom">
      <totalsRowFormula>SUBTOTAL(109,T71:T135)</totalsRowFormula>
    </tableColumn>
    <tableColumn id="21" xr3:uid="{00000000-0010-0000-3000-000015000000}" name="2026" totalsRowFunction="custom">
      <totalsRowFormula>SUBTOTAL(109,U71:U135)</totalsRowFormula>
    </tableColumn>
    <tableColumn id="22" xr3:uid="{00000000-0010-0000-3000-000016000000}" name="2027" totalsRowFunction="custom">
      <totalsRowFormula>SUBTOTAL(109,V71:V135)</totalsRowFormula>
    </tableColumn>
    <tableColumn id="23" xr3:uid="{00000000-0010-0000-3000-000017000000}" name="2028" totalsRowFunction="custom">
      <totalsRowFormula>SUBTOTAL(109,W71:W135)</totalsRowFormula>
    </tableColumn>
    <tableColumn id="24" xr3:uid="{00000000-0010-0000-3000-000018000000}" name="2029" totalsRowFunction="custom">
      <totalsRowFormula>SUBTOTAL(109,X71:X135)</totalsRowFormula>
    </tableColumn>
    <tableColumn id="25" xr3:uid="{00000000-0010-0000-3000-000019000000}" name="2030" totalsRowFunction="custom">
      <totalsRowFormula>SUBTOTAL(109,Y71:Y135)</totalsRow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31000000}" name="Table121" displayName="Table121" ref="A138:Y202" totalsRowCount="1">
  <autoFilter ref="A138:Y201" xr:uid="{00000000-0009-0000-0100-000078000000}">
    <filterColumn colId="2">
      <filters>
        <filter val="010-ELECTRIC UTILITIES"/>
      </filters>
    </filterColumn>
  </autoFilter>
  <tableColumns count="25">
    <tableColumn id="1" xr3:uid="{00000000-0010-0000-3100-000001000000}" name="AREA"/>
    <tableColumn id="2" xr3:uid="{00000000-0010-0000-3100-000002000000}" name="EIC"/>
    <tableColumn id="3" xr3:uid="{00000000-0010-0000-3100-000003000000}" name="EICSUM"/>
    <tableColumn id="4" xr3:uid="{00000000-0010-0000-3100-000004000000}" name="EICSOU"/>
    <tableColumn id="5" xr3:uid="{00000000-0010-0000-3100-000005000000}" name="EICMAT"/>
    <tableColumn id="6" xr3:uid="{00000000-0010-0000-3100-000006000000}" name="EICSUB"/>
    <tableColumn id="7" xr3:uid="{00000000-0010-0000-3100-000007000000}" name="POLLUTANT"/>
    <tableColumn id="8" xr3:uid="{00000000-0010-0000-3100-000008000000}" name="SEASON"/>
    <tableColumn id="9" xr3:uid="{00000000-0010-0000-3100-000009000000}" name="CONTROL_TYPE"/>
    <tableColumn id="10" xr3:uid="{00000000-0010-0000-3100-00000A000000}" name="2015" totalsRowFunction="custom">
      <totalsRowFormula>SUBTOTAL(109,J139:J201)</totalsRowFormula>
    </tableColumn>
    <tableColumn id="11" xr3:uid="{00000000-0010-0000-3100-00000B000000}" name="2016" totalsRowFunction="custom">
      <totalsRowFormula>SUBTOTAL(109,K139:K201)</totalsRowFormula>
    </tableColumn>
    <tableColumn id="12" xr3:uid="{00000000-0010-0000-3100-00000C000000}" name="2017" totalsRowFunction="custom">
      <totalsRowFormula>SUBTOTAL(109,L139:L201)</totalsRowFormula>
    </tableColumn>
    <tableColumn id="13" xr3:uid="{00000000-0010-0000-3100-00000D000000}" name="2018" totalsRowFunction="custom">
      <totalsRowFormula>SUBTOTAL(109,M139:M201)</totalsRowFormula>
    </tableColumn>
    <tableColumn id="14" xr3:uid="{00000000-0010-0000-3100-00000E000000}" name="2019" totalsRowFunction="custom">
      <totalsRowFormula>SUBTOTAL(109,N139:N201)</totalsRowFormula>
    </tableColumn>
    <tableColumn id="15" xr3:uid="{00000000-0010-0000-3100-00000F000000}" name="2020" totalsRowFunction="custom">
      <totalsRowFormula>SUBTOTAL(109,O139:O201)</totalsRowFormula>
    </tableColumn>
    <tableColumn id="16" xr3:uid="{00000000-0010-0000-3100-000010000000}" name="2021" totalsRowFunction="custom">
      <totalsRowFormula>SUBTOTAL(109,P139:P201)</totalsRowFormula>
    </tableColumn>
    <tableColumn id="17" xr3:uid="{00000000-0010-0000-3100-000011000000}" name="2022" totalsRowFunction="custom">
      <totalsRowFormula>SUBTOTAL(109,Q139:Q201)</totalsRowFormula>
    </tableColumn>
    <tableColumn id="18" xr3:uid="{00000000-0010-0000-3100-000012000000}" name="2023" totalsRowFunction="custom">
      <totalsRowFormula>SUBTOTAL(109,R139:R201)</totalsRowFormula>
    </tableColumn>
    <tableColumn id="19" xr3:uid="{00000000-0010-0000-3100-000013000000}" name="2024" totalsRowFunction="custom">
      <totalsRowFormula>SUBTOTAL(109,S139:S201)</totalsRowFormula>
    </tableColumn>
    <tableColumn id="20" xr3:uid="{00000000-0010-0000-3100-000014000000}" name="2025" totalsRowFunction="custom">
      <totalsRowFormula>SUBTOTAL(109,T139:T201)</totalsRowFormula>
    </tableColumn>
    <tableColumn id="21" xr3:uid="{00000000-0010-0000-3100-000015000000}" name="2026" totalsRowFunction="custom">
      <totalsRowFormula>SUBTOTAL(109,U139:U201)</totalsRowFormula>
    </tableColumn>
    <tableColumn id="22" xr3:uid="{00000000-0010-0000-3100-000016000000}" name="2027" totalsRowFunction="custom">
      <totalsRowFormula>SUBTOTAL(109,V139:V201)</totalsRowFormula>
    </tableColumn>
    <tableColumn id="23" xr3:uid="{00000000-0010-0000-3100-000017000000}" name="2028" totalsRowFunction="custom">
      <totalsRowFormula>SUBTOTAL(109,W139:W201)</totalsRowFormula>
    </tableColumn>
    <tableColumn id="24" xr3:uid="{00000000-0010-0000-3100-000018000000}" name="2029" totalsRowFunction="custom">
      <totalsRowFormula>SUBTOTAL(109,X139:X201)</totalsRowFormula>
    </tableColumn>
    <tableColumn id="25" xr3:uid="{00000000-0010-0000-3100-000019000000}" name="2030" totalsRowFunction="custom">
      <totalsRowFormula>SUBTOTAL(109,Y139:Y201)</totalsRow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32000000}" name="Table122" displayName="Table122" ref="A204:Y510" totalsRowCount="1">
  <autoFilter ref="A204:Y509" xr:uid="{00000000-0009-0000-0100-000079000000}">
    <filterColumn colId="2">
      <filters>
        <filter val="010-ELECTRIC UTILITIES"/>
      </filters>
    </filterColumn>
  </autoFilter>
  <tableColumns count="25">
    <tableColumn id="1" xr3:uid="{00000000-0010-0000-3200-000001000000}" name="AREA"/>
    <tableColumn id="2" xr3:uid="{00000000-0010-0000-3200-000002000000}" name="EIC"/>
    <tableColumn id="3" xr3:uid="{00000000-0010-0000-3200-000003000000}" name="EICSUM"/>
    <tableColumn id="4" xr3:uid="{00000000-0010-0000-3200-000004000000}" name="EICSOU"/>
    <tableColumn id="5" xr3:uid="{00000000-0010-0000-3200-000005000000}" name="EICMAT"/>
    <tableColumn id="6" xr3:uid="{00000000-0010-0000-3200-000006000000}" name="EICSUB"/>
    <tableColumn id="7" xr3:uid="{00000000-0010-0000-3200-000007000000}" name="POLLUTANT"/>
    <tableColumn id="8" xr3:uid="{00000000-0010-0000-3200-000008000000}" name="SEASON"/>
    <tableColumn id="9" xr3:uid="{00000000-0010-0000-3200-000009000000}" name="CONTROL_TYPE"/>
    <tableColumn id="10" xr3:uid="{00000000-0010-0000-3200-00000A000000}" name="2015" totalsRowFunction="custom">
      <totalsRowFormula>SUBTOTAL(109,J205:J509)</totalsRowFormula>
    </tableColumn>
    <tableColumn id="11" xr3:uid="{00000000-0010-0000-3200-00000B000000}" name="2016" totalsRowFunction="custom">
      <totalsRowFormula>SUBTOTAL(109,K205:K509)</totalsRowFormula>
    </tableColumn>
    <tableColumn id="12" xr3:uid="{00000000-0010-0000-3200-00000C000000}" name="2017" totalsRowFunction="custom">
      <totalsRowFormula>SUBTOTAL(109,L205:L509)</totalsRowFormula>
    </tableColumn>
    <tableColumn id="13" xr3:uid="{00000000-0010-0000-3200-00000D000000}" name="2018" totalsRowFunction="custom">
      <totalsRowFormula>SUBTOTAL(109,M205:M509)</totalsRowFormula>
    </tableColumn>
    <tableColumn id="14" xr3:uid="{00000000-0010-0000-3200-00000E000000}" name="2019" totalsRowFunction="custom">
      <totalsRowFormula>SUBTOTAL(109,N205:N509)</totalsRowFormula>
    </tableColumn>
    <tableColumn id="15" xr3:uid="{00000000-0010-0000-3200-00000F000000}" name="2020" totalsRowFunction="custom">
      <totalsRowFormula>SUBTOTAL(109,O205:O509)</totalsRowFormula>
    </tableColumn>
    <tableColumn id="16" xr3:uid="{00000000-0010-0000-3200-000010000000}" name="2021" totalsRowFunction="custom">
      <totalsRowFormula>SUBTOTAL(109,P205:P509)</totalsRowFormula>
    </tableColumn>
    <tableColumn id="17" xr3:uid="{00000000-0010-0000-3200-000011000000}" name="2022" totalsRowFunction="custom">
      <totalsRowFormula>SUBTOTAL(109,Q205:Q509)</totalsRowFormula>
    </tableColumn>
    <tableColumn id="18" xr3:uid="{00000000-0010-0000-3200-000012000000}" name="2023" totalsRowFunction="custom">
      <totalsRowFormula>SUBTOTAL(109,R205:R509)</totalsRowFormula>
    </tableColumn>
    <tableColumn id="19" xr3:uid="{00000000-0010-0000-3200-000013000000}" name="2024" totalsRowFunction="custom">
      <totalsRowFormula>SUBTOTAL(109,S205:S509)</totalsRowFormula>
    </tableColumn>
    <tableColumn id="20" xr3:uid="{00000000-0010-0000-3200-000014000000}" name="2025" totalsRowFunction="custom">
      <totalsRowFormula>SUBTOTAL(109,T205:T509)</totalsRowFormula>
    </tableColumn>
    <tableColumn id="21" xr3:uid="{00000000-0010-0000-3200-000015000000}" name="2026" totalsRowFunction="custom">
      <totalsRowFormula>SUBTOTAL(109,U205:U509)</totalsRowFormula>
    </tableColumn>
    <tableColumn id="22" xr3:uid="{00000000-0010-0000-3200-000016000000}" name="2027" totalsRowFunction="custom">
      <totalsRowFormula>SUBTOTAL(109,V205:V509)</totalsRowFormula>
    </tableColumn>
    <tableColumn id="23" xr3:uid="{00000000-0010-0000-3200-000017000000}" name="2028" totalsRowFunction="custom">
      <totalsRowFormula>SUBTOTAL(109,W205:W509)</totalsRowFormula>
    </tableColumn>
    <tableColumn id="24" xr3:uid="{00000000-0010-0000-3200-000018000000}" name="2029" totalsRowFunction="custom">
      <totalsRowFormula>SUBTOTAL(109,X205:X509)</totalsRowFormula>
    </tableColumn>
    <tableColumn id="25" xr3:uid="{00000000-0010-0000-3200-000019000000}" name="2030" totalsRowFunction="custom">
      <totalsRowFormula>SUBTOTAL(109,Y205:Y509)</totalsRow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33000000}" name="Table123" displayName="Table123" ref="A512:Y654" totalsRowCount="1">
  <autoFilter ref="A512:Y653" xr:uid="{00000000-0009-0000-0100-00007A000000}">
    <filterColumn colId="2">
      <filters>
        <filter val="010-ELECTRIC UTILITIES"/>
      </filters>
    </filterColumn>
  </autoFilter>
  <tableColumns count="25">
    <tableColumn id="1" xr3:uid="{00000000-0010-0000-3300-000001000000}" name="AREA"/>
    <tableColumn id="2" xr3:uid="{00000000-0010-0000-3300-000002000000}" name="EIC"/>
    <tableColumn id="3" xr3:uid="{00000000-0010-0000-3300-000003000000}" name="EICSUM"/>
    <tableColumn id="4" xr3:uid="{00000000-0010-0000-3300-000004000000}" name="EICSOU"/>
    <tableColumn id="5" xr3:uid="{00000000-0010-0000-3300-000005000000}" name="EICMAT"/>
    <tableColumn id="6" xr3:uid="{00000000-0010-0000-3300-000006000000}" name="EICSUB"/>
    <tableColumn id="7" xr3:uid="{00000000-0010-0000-3300-000007000000}" name="POLLUTANT"/>
    <tableColumn id="8" xr3:uid="{00000000-0010-0000-3300-000008000000}" name="SEASON"/>
    <tableColumn id="9" xr3:uid="{00000000-0010-0000-3300-000009000000}" name="CONTROL_TYPE"/>
    <tableColumn id="10" xr3:uid="{00000000-0010-0000-3300-00000A000000}" name="2015" totalsRowFunction="sum"/>
    <tableColumn id="11" xr3:uid="{00000000-0010-0000-3300-00000B000000}" name="2016" totalsRowFunction="sum"/>
    <tableColumn id="12" xr3:uid="{00000000-0010-0000-3300-00000C000000}" name="2017" totalsRowFunction="sum"/>
    <tableColumn id="13" xr3:uid="{00000000-0010-0000-3300-00000D000000}" name="2018" totalsRowFunction="sum"/>
    <tableColumn id="14" xr3:uid="{00000000-0010-0000-3300-00000E000000}" name="2019" totalsRowFunction="sum"/>
    <tableColumn id="15" xr3:uid="{00000000-0010-0000-3300-00000F000000}" name="2020" totalsRowFunction="sum"/>
    <tableColumn id="16" xr3:uid="{00000000-0010-0000-3300-000010000000}" name="2021" totalsRowFunction="sum"/>
    <tableColumn id="17" xr3:uid="{00000000-0010-0000-3300-000011000000}" name="2022" totalsRowFunction="sum"/>
    <tableColumn id="18" xr3:uid="{00000000-0010-0000-3300-000012000000}" name="2023" totalsRowFunction="sum"/>
    <tableColumn id="19" xr3:uid="{00000000-0010-0000-3300-000013000000}" name="2024" totalsRowFunction="sum"/>
    <tableColumn id="20" xr3:uid="{00000000-0010-0000-3300-000014000000}" name="2025" totalsRowFunction="sum"/>
    <tableColumn id="21" xr3:uid="{00000000-0010-0000-3300-000015000000}" name="2026" totalsRowFunction="sum"/>
    <tableColumn id="22" xr3:uid="{00000000-0010-0000-3300-000016000000}" name="2027" totalsRowFunction="sum"/>
    <tableColumn id="23" xr3:uid="{00000000-0010-0000-3300-000017000000}" name="2028" totalsRowFunction="sum"/>
    <tableColumn id="24" xr3:uid="{00000000-0010-0000-3300-000018000000}" name="2029" totalsRowFunction="sum"/>
    <tableColumn id="25" xr3:uid="{00000000-0010-0000-3300-000019000000}" name="2030" totalsRowFunction="custom">
      <totalsRowFormula>SUBTOTAL(109,Table123[2016])</totalsRow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34000000}" name="Table124" displayName="Table124" ref="A656:Y837" totalsRowCount="1">
  <autoFilter ref="A656:Y836" xr:uid="{00000000-0009-0000-0100-00007B000000}">
    <filterColumn colId="2">
      <filters>
        <filter val="010-ELECTRIC UTILITIES"/>
      </filters>
    </filterColumn>
  </autoFilter>
  <tableColumns count="25">
    <tableColumn id="1" xr3:uid="{00000000-0010-0000-3400-000001000000}" name="AREA"/>
    <tableColumn id="2" xr3:uid="{00000000-0010-0000-3400-000002000000}" name="EIC"/>
    <tableColumn id="3" xr3:uid="{00000000-0010-0000-3400-000003000000}" name="EICSUM"/>
    <tableColumn id="4" xr3:uid="{00000000-0010-0000-3400-000004000000}" name="EICSOU"/>
    <tableColumn id="5" xr3:uid="{00000000-0010-0000-3400-000005000000}" name="EICMAT"/>
    <tableColumn id="6" xr3:uid="{00000000-0010-0000-3400-000006000000}" name="EICSUB"/>
    <tableColumn id="7" xr3:uid="{00000000-0010-0000-3400-000007000000}" name="POLLUTANT"/>
    <tableColumn id="8" xr3:uid="{00000000-0010-0000-3400-000008000000}" name="SEASON"/>
    <tableColumn id="9" xr3:uid="{00000000-0010-0000-3400-000009000000}" name="CONTROL_TYPE"/>
    <tableColumn id="10" xr3:uid="{00000000-0010-0000-3400-00000A000000}" name="2015" totalsRowFunction="custom">
      <totalsRowFormula>SUBTOTAL(109,J657:J836)</totalsRowFormula>
    </tableColumn>
    <tableColumn id="11" xr3:uid="{00000000-0010-0000-3400-00000B000000}" name="2016" totalsRowFunction="custom">
      <totalsRowFormula>SUBTOTAL(109,K657:K836)</totalsRowFormula>
    </tableColumn>
    <tableColumn id="12" xr3:uid="{00000000-0010-0000-3400-00000C000000}" name="2017" totalsRowFunction="custom">
      <totalsRowFormula>SUBTOTAL(109,L657:L836)</totalsRowFormula>
    </tableColumn>
    <tableColumn id="13" xr3:uid="{00000000-0010-0000-3400-00000D000000}" name="2018" totalsRowFunction="custom">
      <totalsRowFormula>SUBTOTAL(109,M657:M836)</totalsRowFormula>
    </tableColumn>
    <tableColumn id="14" xr3:uid="{00000000-0010-0000-3400-00000E000000}" name="2019" totalsRowFunction="custom">
      <totalsRowFormula>SUBTOTAL(109,N657:N836)</totalsRowFormula>
    </tableColumn>
    <tableColumn id="15" xr3:uid="{00000000-0010-0000-3400-00000F000000}" name="2020" totalsRowFunction="custom">
      <totalsRowFormula>SUBTOTAL(109,O657:O836)</totalsRowFormula>
    </tableColumn>
    <tableColumn id="16" xr3:uid="{00000000-0010-0000-3400-000010000000}" name="2021" totalsRowFunction="custom">
      <totalsRowFormula>SUBTOTAL(109,P657:P836)</totalsRowFormula>
    </tableColumn>
    <tableColumn id="17" xr3:uid="{00000000-0010-0000-3400-000011000000}" name="2022" totalsRowFunction="custom">
      <totalsRowFormula>SUBTOTAL(109,Q657:Q836)</totalsRowFormula>
    </tableColumn>
    <tableColumn id="18" xr3:uid="{00000000-0010-0000-3400-000012000000}" name="2023" totalsRowFunction="custom">
      <totalsRowFormula>SUBTOTAL(109,R657:R836)</totalsRowFormula>
    </tableColumn>
    <tableColumn id="19" xr3:uid="{00000000-0010-0000-3400-000013000000}" name="2024" totalsRowFunction="custom">
      <totalsRowFormula>SUBTOTAL(109,S657:S836)</totalsRowFormula>
    </tableColumn>
    <tableColumn id="20" xr3:uid="{00000000-0010-0000-3400-000014000000}" name="2025" totalsRowFunction="custom">
      <totalsRowFormula>SUBTOTAL(109,T657:T836)</totalsRowFormula>
    </tableColumn>
    <tableColumn id="21" xr3:uid="{00000000-0010-0000-3400-000015000000}" name="2026" totalsRowFunction="custom">
      <totalsRowFormula>SUBTOTAL(109,U657:U836)</totalsRowFormula>
    </tableColumn>
    <tableColumn id="22" xr3:uid="{00000000-0010-0000-3400-000016000000}" name="2027" totalsRowFunction="custom">
      <totalsRowFormula>SUBTOTAL(109,V657:V836)</totalsRowFormula>
    </tableColumn>
    <tableColumn id="23" xr3:uid="{00000000-0010-0000-3400-000017000000}" name="2028" totalsRowFunction="custom">
      <totalsRowFormula>SUBTOTAL(109,W657:W836)</totalsRowFormula>
    </tableColumn>
    <tableColumn id="24" xr3:uid="{00000000-0010-0000-3400-000018000000}" name="2029" totalsRowFunction="custom">
      <totalsRowFormula>SUBTOTAL(109,X657:X836)</totalsRowFormula>
    </tableColumn>
    <tableColumn id="25" xr3:uid="{00000000-0010-0000-3400-000019000000}" name="2030" totalsRowFunction="custom">
      <totalsRowFormula>SUBTOTAL(109,Y657:Y836)</totalsRow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35000000}" name="Table125" displayName="Table125" ref="A839:Y947" totalsRowCount="1">
  <autoFilter ref="A839:Y946" xr:uid="{00000000-0009-0000-0100-00007C000000}">
    <filterColumn colId="2">
      <filters>
        <filter val="010-ELECTRIC UTILITIES"/>
      </filters>
    </filterColumn>
  </autoFilter>
  <tableColumns count="25">
    <tableColumn id="1" xr3:uid="{00000000-0010-0000-3500-000001000000}" name="AREA"/>
    <tableColumn id="2" xr3:uid="{00000000-0010-0000-3500-000002000000}" name="EIC"/>
    <tableColumn id="3" xr3:uid="{00000000-0010-0000-3500-000003000000}" name="EICSUM"/>
    <tableColumn id="4" xr3:uid="{00000000-0010-0000-3500-000004000000}" name="EICSOU"/>
    <tableColumn id="5" xr3:uid="{00000000-0010-0000-3500-000005000000}" name="EICMAT"/>
    <tableColumn id="6" xr3:uid="{00000000-0010-0000-3500-000006000000}" name="EICSUB"/>
    <tableColumn id="7" xr3:uid="{00000000-0010-0000-3500-000007000000}" name="POLLUTANT"/>
    <tableColumn id="8" xr3:uid="{00000000-0010-0000-3500-000008000000}" name="SEASON"/>
    <tableColumn id="9" xr3:uid="{00000000-0010-0000-3500-000009000000}" name="CONTROL_TYPE"/>
    <tableColumn id="10" xr3:uid="{00000000-0010-0000-3500-00000A000000}" name="2015" totalsRowFunction="custom">
      <totalsRowFormula>SUBTOTAL(109,J840:J946)</totalsRowFormula>
    </tableColumn>
    <tableColumn id="11" xr3:uid="{00000000-0010-0000-3500-00000B000000}" name="2016" totalsRowFunction="custom">
      <totalsRowFormula>SUBTOTAL(109,K840:K946)</totalsRowFormula>
    </tableColumn>
    <tableColumn id="12" xr3:uid="{00000000-0010-0000-3500-00000C000000}" name="2017" totalsRowFunction="custom">
      <totalsRowFormula>SUBTOTAL(109,L840:L946)</totalsRowFormula>
    </tableColumn>
    <tableColumn id="13" xr3:uid="{00000000-0010-0000-3500-00000D000000}" name="2018" totalsRowFunction="custom">
      <totalsRowFormula>SUBTOTAL(109,M840:M946)</totalsRowFormula>
    </tableColumn>
    <tableColumn id="14" xr3:uid="{00000000-0010-0000-3500-00000E000000}" name="2019" totalsRowFunction="custom">
      <totalsRowFormula>SUBTOTAL(109,N840:N946)</totalsRowFormula>
    </tableColumn>
    <tableColumn id="15" xr3:uid="{00000000-0010-0000-3500-00000F000000}" name="2020" totalsRowFunction="custom">
      <totalsRowFormula>SUBTOTAL(109,O840:O946)</totalsRowFormula>
    </tableColumn>
    <tableColumn id="16" xr3:uid="{00000000-0010-0000-3500-000010000000}" name="2021" totalsRowFunction="custom">
      <totalsRowFormula>SUBTOTAL(109,P840:P946)</totalsRowFormula>
    </tableColumn>
    <tableColumn id="17" xr3:uid="{00000000-0010-0000-3500-000011000000}" name="2022" totalsRowFunction="custom">
      <totalsRowFormula>SUBTOTAL(109,Q840:Q946)</totalsRowFormula>
    </tableColumn>
    <tableColumn id="18" xr3:uid="{00000000-0010-0000-3500-000012000000}" name="2023" totalsRowFunction="custom">
      <totalsRowFormula>SUBTOTAL(109,R840:R946)</totalsRowFormula>
    </tableColumn>
    <tableColumn id="19" xr3:uid="{00000000-0010-0000-3500-000013000000}" name="2024" totalsRowFunction="custom">
      <totalsRowFormula>SUBTOTAL(109,S840:S946)</totalsRowFormula>
    </tableColumn>
    <tableColumn id="20" xr3:uid="{00000000-0010-0000-3500-000014000000}" name="2025" totalsRowFunction="custom">
      <totalsRowFormula>SUBTOTAL(109,T840:T946)</totalsRowFormula>
    </tableColumn>
    <tableColumn id="21" xr3:uid="{00000000-0010-0000-3500-000015000000}" name="2026" totalsRowFunction="custom">
      <totalsRowFormula>SUBTOTAL(109,U840:U946)</totalsRowFormula>
    </tableColumn>
    <tableColumn id="22" xr3:uid="{00000000-0010-0000-3500-000016000000}" name="2027" totalsRowFunction="custom">
      <totalsRowFormula>SUBTOTAL(109,V840:V946)</totalsRowFormula>
    </tableColumn>
    <tableColumn id="23" xr3:uid="{00000000-0010-0000-3500-000017000000}" name="2028" totalsRowFunction="custom">
      <totalsRowFormula>SUBTOTAL(109,W840:W946)</totalsRowFormula>
    </tableColumn>
    <tableColumn id="24" xr3:uid="{00000000-0010-0000-3500-000018000000}" name="2029" totalsRowFunction="custom">
      <totalsRowFormula>SUBTOTAL(109,X840:X946)</totalsRowFormula>
    </tableColumn>
    <tableColumn id="25" xr3:uid="{00000000-0010-0000-3500-000019000000}" name="2030" totalsRowFunction="custom">
      <totalsRowFormula>SUBTOTAL(109,Y840:Y946)</totalsRow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6000000}" name="Table126" displayName="Table126" ref="A1012:Y1406" totalsRowCount="1">
  <autoFilter ref="A1012:Y1405" xr:uid="{00000000-0009-0000-0100-00007D000000}">
    <filterColumn colId="2">
      <filters>
        <filter val="010-ELECTRIC UTILITIES"/>
      </filters>
    </filterColumn>
  </autoFilter>
  <tableColumns count="25">
    <tableColumn id="1" xr3:uid="{00000000-0010-0000-3600-000001000000}" name="AREA"/>
    <tableColumn id="2" xr3:uid="{00000000-0010-0000-3600-000002000000}" name="EIC"/>
    <tableColumn id="3" xr3:uid="{00000000-0010-0000-3600-000003000000}" name="EICSUM"/>
    <tableColumn id="4" xr3:uid="{00000000-0010-0000-3600-000004000000}" name="EICSOU"/>
    <tableColumn id="5" xr3:uid="{00000000-0010-0000-3600-000005000000}" name="EICMAT"/>
    <tableColumn id="6" xr3:uid="{00000000-0010-0000-3600-000006000000}" name="EICSUB"/>
    <tableColumn id="7" xr3:uid="{00000000-0010-0000-3600-000007000000}" name="POLLUTANT"/>
    <tableColumn id="8" xr3:uid="{00000000-0010-0000-3600-000008000000}" name="SEASON"/>
    <tableColumn id="9" xr3:uid="{00000000-0010-0000-3600-000009000000}" name="CONTROL_TYPE"/>
    <tableColumn id="10" xr3:uid="{00000000-0010-0000-3600-00000A000000}" name="2015" totalsRowFunction="custom">
      <totalsRowFormula>SUBTOTAL(109,J1013:J1405)</totalsRowFormula>
    </tableColumn>
    <tableColumn id="11" xr3:uid="{00000000-0010-0000-3600-00000B000000}" name="2016" totalsRowFunction="custom">
      <totalsRowFormula>SUBTOTAL(109,K1013:K1405)</totalsRowFormula>
    </tableColumn>
    <tableColumn id="12" xr3:uid="{00000000-0010-0000-3600-00000C000000}" name="2017" totalsRowFunction="custom">
      <totalsRowFormula>SUBTOTAL(109,L1013:L1405)</totalsRowFormula>
    </tableColumn>
    <tableColumn id="13" xr3:uid="{00000000-0010-0000-3600-00000D000000}" name="2018" totalsRowFunction="custom">
      <totalsRowFormula>SUBTOTAL(109,M1013:M1405)</totalsRowFormula>
    </tableColumn>
    <tableColumn id="14" xr3:uid="{00000000-0010-0000-3600-00000E000000}" name="2019" totalsRowFunction="custom">
      <totalsRowFormula>SUBTOTAL(109,N1013:N1405)</totalsRowFormula>
    </tableColumn>
    <tableColumn id="15" xr3:uid="{00000000-0010-0000-3600-00000F000000}" name="2020" totalsRowFunction="custom">
      <totalsRowFormula>SUBTOTAL(109,O1013:O1405)</totalsRowFormula>
    </tableColumn>
    <tableColumn id="16" xr3:uid="{00000000-0010-0000-3600-000010000000}" name="2021" totalsRowFunction="custom">
      <totalsRowFormula>SUBTOTAL(109,P1013:P1405)</totalsRowFormula>
    </tableColumn>
    <tableColumn id="17" xr3:uid="{00000000-0010-0000-3600-000011000000}" name="2022" totalsRowFunction="custom">
      <totalsRowFormula>SUBTOTAL(109,Q1013:Q1405)</totalsRowFormula>
    </tableColumn>
    <tableColumn id="18" xr3:uid="{00000000-0010-0000-3600-000012000000}" name="2023" totalsRowFunction="custom">
      <totalsRowFormula>SUBTOTAL(109,R1013:R1405)</totalsRowFormula>
    </tableColumn>
    <tableColumn id="19" xr3:uid="{00000000-0010-0000-3600-000013000000}" name="2024" totalsRowFunction="custom">
      <totalsRowFormula>SUBTOTAL(109,S1013:S1405)</totalsRowFormula>
    </tableColumn>
    <tableColumn id="20" xr3:uid="{00000000-0010-0000-3600-000014000000}" name="2025" totalsRowFunction="custom">
      <totalsRowFormula>SUBTOTAL(109,T1013:T1405)</totalsRowFormula>
    </tableColumn>
    <tableColumn id="21" xr3:uid="{00000000-0010-0000-3600-000015000000}" name="2026" totalsRowFunction="custom">
      <totalsRowFormula>SUBTOTAL(109,U1013:U1405)</totalsRowFormula>
    </tableColumn>
    <tableColumn id="22" xr3:uid="{00000000-0010-0000-3600-000016000000}" name="2027" totalsRowFunction="custom">
      <totalsRowFormula>SUBTOTAL(109,V1013:V1405)</totalsRowFormula>
    </tableColumn>
    <tableColumn id="23" xr3:uid="{00000000-0010-0000-3600-000017000000}" name="2028" totalsRowFunction="custom">
      <totalsRowFormula>SUBTOTAL(109,W1013:W1405)</totalsRowFormula>
    </tableColumn>
    <tableColumn id="24" xr3:uid="{00000000-0010-0000-3600-000018000000}" name="2029" totalsRowFunction="custom">
      <totalsRowFormula>SUBTOTAL(109,X1013:X1405)</totalsRowFormula>
    </tableColumn>
    <tableColumn id="25" xr3:uid="{00000000-0010-0000-3600-000019000000}" name="2030" totalsRowFunction="custom">
      <totalsRowFormula>SUBTOTAL(109,Y1013:Y1405)</totalsRow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1" displayName="Table1" ref="A1158:Y1185" totalsRowCount="1">
  <autoFilter ref="A1158:Y1184" xr:uid="{00000000-0009-0000-0100-000006000000}"/>
  <tableColumns count="25">
    <tableColumn id="1" xr3:uid="{00000000-0010-0000-0100-000001000000}" name="AREA"/>
    <tableColumn id="2" xr3:uid="{00000000-0010-0000-0100-000002000000}" name="EIC"/>
    <tableColumn id="3" xr3:uid="{00000000-0010-0000-0100-000003000000}" name="EICSUM"/>
    <tableColumn id="4" xr3:uid="{00000000-0010-0000-0100-000004000000}" name="EICSOU"/>
    <tableColumn id="5" xr3:uid="{00000000-0010-0000-0100-000005000000}" name="EICMAT"/>
    <tableColumn id="6" xr3:uid="{00000000-0010-0000-0100-000006000000}" name="EICSUB"/>
    <tableColumn id="7" xr3:uid="{00000000-0010-0000-0100-000007000000}" name="POLLUTANT"/>
    <tableColumn id="8" xr3:uid="{00000000-0010-0000-0100-000008000000}" name="SEASON"/>
    <tableColumn id="9" xr3:uid="{00000000-0010-0000-0100-000009000000}" name="CONTROL_TYPE"/>
    <tableColumn id="10" xr3:uid="{00000000-0010-0000-0100-00000A000000}" name="2015" totalsRowFunction="custom">
      <totalsRowFormula>SUM(Table1[2015])</totalsRowFormula>
    </tableColumn>
    <tableColumn id="11" xr3:uid="{00000000-0010-0000-0100-00000B000000}" name="2016" totalsRowFunction="custom">
      <totalsRowFormula>SUM(Table1[2016])</totalsRowFormula>
    </tableColumn>
    <tableColumn id="12" xr3:uid="{00000000-0010-0000-0100-00000C000000}" name="2017" totalsRowFunction="custom">
      <totalsRowFormula>SUM(Table1[2017])</totalsRowFormula>
    </tableColumn>
    <tableColumn id="13" xr3:uid="{00000000-0010-0000-0100-00000D000000}" name="2018" totalsRowFunction="custom">
      <totalsRowFormula>SUM(Table1[2018])</totalsRowFormula>
    </tableColumn>
    <tableColumn id="14" xr3:uid="{00000000-0010-0000-0100-00000E000000}" name="2019" totalsRowFunction="custom">
      <totalsRowFormula>SUM(Table1[2019])</totalsRowFormula>
    </tableColumn>
    <tableColumn id="15" xr3:uid="{00000000-0010-0000-0100-00000F000000}" name="2020" totalsRowFunction="custom">
      <totalsRowFormula>SUM(Table1[2020])</totalsRowFormula>
    </tableColumn>
    <tableColumn id="16" xr3:uid="{00000000-0010-0000-0100-000010000000}" name="2021" totalsRowFunction="custom">
      <totalsRowFormula>SUM(Table1[2021])</totalsRowFormula>
    </tableColumn>
    <tableColumn id="17" xr3:uid="{00000000-0010-0000-0100-000011000000}" name="2022" totalsRowFunction="custom">
      <totalsRowFormula>SUM(Table1[2022])</totalsRowFormula>
    </tableColumn>
    <tableColumn id="18" xr3:uid="{00000000-0010-0000-0100-000012000000}" name="2023" totalsRowFunction="custom">
      <totalsRowFormula>SUM(Table1[2023])</totalsRowFormula>
    </tableColumn>
    <tableColumn id="19" xr3:uid="{00000000-0010-0000-0100-000013000000}" name="2024" totalsRowFunction="custom">
      <totalsRowFormula>SUM(Table1[2024])</totalsRowFormula>
    </tableColumn>
    <tableColumn id="20" xr3:uid="{00000000-0010-0000-0100-000014000000}" name="2025" totalsRowFunction="custom">
      <totalsRowFormula>SUM(Table1[2025])</totalsRowFormula>
    </tableColumn>
    <tableColumn id="21" xr3:uid="{00000000-0010-0000-0100-000015000000}" name="2026" totalsRowFunction="custom">
      <totalsRowFormula>SUM(Table1[2026])</totalsRowFormula>
    </tableColumn>
    <tableColumn id="22" xr3:uid="{00000000-0010-0000-0100-000016000000}" name="2027" totalsRowFunction="custom">
      <totalsRowFormula>SUM(Table1[2027])</totalsRowFormula>
    </tableColumn>
    <tableColumn id="23" xr3:uid="{00000000-0010-0000-0100-000017000000}" name="2028" totalsRowFunction="custom">
      <totalsRowFormula>SUM(Table1[2028])</totalsRowFormula>
    </tableColumn>
    <tableColumn id="24" xr3:uid="{00000000-0010-0000-0100-000018000000}" name="2029" totalsRowFunction="custom">
      <totalsRowFormula>SUM(Table1[2029])</totalsRowFormula>
    </tableColumn>
    <tableColumn id="25" xr3:uid="{00000000-0010-0000-0100-000019000000}" name="2030" totalsRowFunction="custom">
      <totalsRowFormula>SUM(Table1[2030])</totalsRow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7000000}" name="Table127" displayName="Table127" ref="A1408:Y1566" totalsRowCount="1">
  <autoFilter ref="A1408:Y1565" xr:uid="{00000000-0009-0000-0100-00007E000000}">
    <filterColumn colId="2">
      <filters>
        <filter val="010-ELECTRIC UTILITIES"/>
      </filters>
    </filterColumn>
  </autoFilter>
  <tableColumns count="25">
    <tableColumn id="1" xr3:uid="{00000000-0010-0000-3700-000001000000}" name="AREA"/>
    <tableColumn id="2" xr3:uid="{00000000-0010-0000-3700-000002000000}" name="EIC"/>
    <tableColumn id="3" xr3:uid="{00000000-0010-0000-3700-000003000000}" name="EICSUM"/>
    <tableColumn id="4" xr3:uid="{00000000-0010-0000-3700-000004000000}" name="EICSOU"/>
    <tableColumn id="5" xr3:uid="{00000000-0010-0000-3700-000005000000}" name="EICMAT"/>
    <tableColumn id="6" xr3:uid="{00000000-0010-0000-3700-000006000000}" name="EICSUB"/>
    <tableColumn id="7" xr3:uid="{00000000-0010-0000-3700-000007000000}" name="POLLUTANT"/>
    <tableColumn id="8" xr3:uid="{00000000-0010-0000-3700-000008000000}" name="SEASON"/>
    <tableColumn id="9" xr3:uid="{00000000-0010-0000-3700-000009000000}" name="CONTROL_TYPE"/>
    <tableColumn id="10" xr3:uid="{00000000-0010-0000-3700-00000A000000}" name="2015" totalsRowFunction="custom">
      <totalsRowFormula>SUBTOTAL(109,J1409:J1565)</totalsRowFormula>
    </tableColumn>
    <tableColumn id="11" xr3:uid="{00000000-0010-0000-3700-00000B000000}" name="2016" totalsRowFunction="custom">
      <totalsRowFormula>SUBTOTAL(109,K1409:K1565)</totalsRowFormula>
    </tableColumn>
    <tableColumn id="12" xr3:uid="{00000000-0010-0000-3700-00000C000000}" name="2017" totalsRowFunction="custom">
      <totalsRowFormula>SUBTOTAL(109,L1409:L1565)</totalsRowFormula>
    </tableColumn>
    <tableColumn id="13" xr3:uid="{00000000-0010-0000-3700-00000D000000}" name="2018" totalsRowFunction="custom">
      <totalsRowFormula>SUBTOTAL(109,M1409:M1565)</totalsRowFormula>
    </tableColumn>
    <tableColumn id="14" xr3:uid="{00000000-0010-0000-3700-00000E000000}" name="2019" totalsRowFunction="custom">
      <totalsRowFormula>SUBTOTAL(109,N1409:N1565)</totalsRowFormula>
    </tableColumn>
    <tableColumn id="15" xr3:uid="{00000000-0010-0000-3700-00000F000000}" name="2020" totalsRowFunction="custom">
      <totalsRowFormula>SUBTOTAL(109,O1409:O1565)</totalsRowFormula>
    </tableColumn>
    <tableColumn id="16" xr3:uid="{00000000-0010-0000-3700-000010000000}" name="2021" totalsRowFunction="custom">
      <totalsRowFormula>SUBTOTAL(109,P1409:P1565)</totalsRowFormula>
    </tableColumn>
    <tableColumn id="17" xr3:uid="{00000000-0010-0000-3700-000011000000}" name="2022" totalsRowFunction="custom">
      <totalsRowFormula>SUBTOTAL(109,Q1409:Q1565)</totalsRowFormula>
    </tableColumn>
    <tableColumn id="18" xr3:uid="{00000000-0010-0000-3700-000012000000}" name="2023" totalsRowFunction="custom">
      <totalsRowFormula>SUBTOTAL(109,R1409:R1565)</totalsRowFormula>
    </tableColumn>
    <tableColumn id="19" xr3:uid="{00000000-0010-0000-3700-000013000000}" name="2024" totalsRowFunction="custom">
      <totalsRowFormula>SUBTOTAL(109,S1409:S1565)</totalsRowFormula>
    </tableColumn>
    <tableColumn id="20" xr3:uid="{00000000-0010-0000-3700-000014000000}" name="2025" totalsRowFunction="custom">
      <totalsRowFormula>SUBTOTAL(109,T1409:T1565)</totalsRowFormula>
    </tableColumn>
    <tableColumn id="21" xr3:uid="{00000000-0010-0000-3700-000015000000}" name="2026" totalsRowFunction="custom">
      <totalsRowFormula>SUBTOTAL(109,U1409:U1565)</totalsRowFormula>
    </tableColumn>
    <tableColumn id="22" xr3:uid="{00000000-0010-0000-3700-000016000000}" name="2027" totalsRowFunction="custom">
      <totalsRowFormula>SUBTOTAL(109,V1409:V1565)</totalsRowFormula>
    </tableColumn>
    <tableColumn id="23" xr3:uid="{00000000-0010-0000-3700-000017000000}" name="2028" totalsRowFunction="custom">
      <totalsRowFormula>SUBTOTAL(109,W1409:W1565)</totalsRowFormula>
    </tableColumn>
    <tableColumn id="24" xr3:uid="{00000000-0010-0000-3700-000018000000}" name="2029" totalsRowFunction="custom">
      <totalsRowFormula>SUBTOTAL(109,X1409:X1565)</totalsRowFormula>
    </tableColumn>
    <tableColumn id="25" xr3:uid="{00000000-0010-0000-3700-000019000000}" name="2030" totalsRowFunction="custom">
      <totalsRowFormula>SUBTOTAL(109,Y1409:Y1565)</totalsRow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8000000}" name="Table128" displayName="Table128" ref="A1568:Y1711" totalsRowCount="1">
  <autoFilter ref="A1568:Y1710" xr:uid="{00000000-0009-0000-0100-00007F000000}">
    <filterColumn colId="2">
      <filters>
        <filter val="010-ELECTRIC UTILITIES"/>
      </filters>
    </filterColumn>
  </autoFilter>
  <tableColumns count="25">
    <tableColumn id="1" xr3:uid="{00000000-0010-0000-3800-000001000000}" name="AREA"/>
    <tableColumn id="2" xr3:uid="{00000000-0010-0000-3800-000002000000}" name="EIC"/>
    <tableColumn id="3" xr3:uid="{00000000-0010-0000-3800-000003000000}" name="EICSUM"/>
    <tableColumn id="4" xr3:uid="{00000000-0010-0000-3800-000004000000}" name="EICSOU"/>
    <tableColumn id="5" xr3:uid="{00000000-0010-0000-3800-000005000000}" name="EICMAT"/>
    <tableColumn id="6" xr3:uid="{00000000-0010-0000-3800-000006000000}" name="EICSUB"/>
    <tableColumn id="7" xr3:uid="{00000000-0010-0000-3800-000007000000}" name="POLLUTANT"/>
    <tableColumn id="8" xr3:uid="{00000000-0010-0000-3800-000008000000}" name="SEASON"/>
    <tableColumn id="9" xr3:uid="{00000000-0010-0000-3800-000009000000}" name="CONTROL_TYPE"/>
    <tableColumn id="10" xr3:uid="{00000000-0010-0000-3800-00000A000000}" name="2015" totalsRowFunction="custom">
      <totalsRowFormula>SUBTOTAL(109,J1569:J1710)</totalsRowFormula>
    </tableColumn>
    <tableColumn id="11" xr3:uid="{00000000-0010-0000-3800-00000B000000}" name="2016" totalsRowFunction="custom">
      <totalsRowFormula>SUBTOTAL(109,K1569:K1710)</totalsRowFormula>
    </tableColumn>
    <tableColumn id="12" xr3:uid="{00000000-0010-0000-3800-00000C000000}" name="2017" totalsRowFunction="custom">
      <totalsRowFormula>SUBTOTAL(109,L1569:L1710)</totalsRowFormula>
    </tableColumn>
    <tableColumn id="13" xr3:uid="{00000000-0010-0000-3800-00000D000000}" name="2018" totalsRowFunction="custom">
      <totalsRowFormula>SUBTOTAL(109,M1569:M1710)</totalsRowFormula>
    </tableColumn>
    <tableColumn id="14" xr3:uid="{00000000-0010-0000-3800-00000E000000}" name="2019" totalsRowFunction="custom">
      <totalsRowFormula>SUBTOTAL(109,N1569:N1710)</totalsRowFormula>
    </tableColumn>
    <tableColumn id="15" xr3:uid="{00000000-0010-0000-3800-00000F000000}" name="2020" totalsRowFunction="custom">
      <totalsRowFormula>SUBTOTAL(109,O1569:O1710)</totalsRowFormula>
    </tableColumn>
    <tableColumn id="16" xr3:uid="{00000000-0010-0000-3800-000010000000}" name="2021" totalsRowFunction="custom">
      <totalsRowFormula>SUBTOTAL(109,P1569:P1710)</totalsRowFormula>
    </tableColumn>
    <tableColumn id="17" xr3:uid="{00000000-0010-0000-3800-000011000000}" name="2022" totalsRowFunction="custom">
      <totalsRowFormula>SUBTOTAL(109,Q1569:Q1710)</totalsRowFormula>
    </tableColumn>
    <tableColumn id="18" xr3:uid="{00000000-0010-0000-3800-000012000000}" name="2023" totalsRowFunction="custom">
      <totalsRowFormula>SUBTOTAL(109,R1569:R1710)</totalsRowFormula>
    </tableColumn>
    <tableColumn id="19" xr3:uid="{00000000-0010-0000-3800-000013000000}" name="2024" totalsRowFunction="custom">
      <totalsRowFormula>SUBTOTAL(109,S1569:S1710)</totalsRowFormula>
    </tableColumn>
    <tableColumn id="20" xr3:uid="{00000000-0010-0000-3800-000014000000}" name="2025" totalsRowFunction="custom">
      <totalsRowFormula>SUBTOTAL(109,T1569:T1710)</totalsRowFormula>
    </tableColumn>
    <tableColumn id="21" xr3:uid="{00000000-0010-0000-3800-000015000000}" name="2026" totalsRowFunction="custom">
      <totalsRowFormula>SUBTOTAL(109,U1569:U1710)</totalsRowFormula>
    </tableColumn>
    <tableColumn id="22" xr3:uid="{00000000-0010-0000-3800-000016000000}" name="2027" totalsRowFunction="custom">
      <totalsRowFormula>SUBTOTAL(109,V1569:V1710)</totalsRowFormula>
    </tableColumn>
    <tableColumn id="23" xr3:uid="{00000000-0010-0000-3800-000017000000}" name="2028" totalsRowFunction="custom">
      <totalsRowFormula>SUBTOTAL(109,W1569:W1710)</totalsRowFormula>
    </tableColumn>
    <tableColumn id="24" xr3:uid="{00000000-0010-0000-3800-000018000000}" name="2029" totalsRowFunction="custom">
      <totalsRowFormula>SUBTOTAL(109,X1569:X1710)</totalsRowFormula>
    </tableColumn>
    <tableColumn id="25" xr3:uid="{00000000-0010-0000-3800-000019000000}" name="2030" totalsRowFunction="custom">
      <totalsRowFormula>SUBTOTAL(109,Y1569:Y1710)</totalsRow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9000000}" name="Table129" displayName="Table129" ref="A1713:Y2228" totalsRowCount="1">
  <autoFilter ref="A1713:Y2227" xr:uid="{00000000-0009-0000-0100-000080000000}">
    <filterColumn colId="2">
      <filters>
        <filter val="010-ELECTRIC UTILITIES"/>
      </filters>
    </filterColumn>
  </autoFilter>
  <tableColumns count="25">
    <tableColumn id="1" xr3:uid="{00000000-0010-0000-3900-000001000000}" name="AREA"/>
    <tableColumn id="2" xr3:uid="{00000000-0010-0000-3900-000002000000}" name="EIC"/>
    <tableColumn id="3" xr3:uid="{00000000-0010-0000-3900-000003000000}" name="EICSUM"/>
    <tableColumn id="4" xr3:uid="{00000000-0010-0000-3900-000004000000}" name="EICSOU"/>
    <tableColumn id="5" xr3:uid="{00000000-0010-0000-3900-000005000000}" name="EICMAT"/>
    <tableColumn id="6" xr3:uid="{00000000-0010-0000-3900-000006000000}" name="EICSUB"/>
    <tableColumn id="7" xr3:uid="{00000000-0010-0000-3900-000007000000}" name="POLLUTANT"/>
    <tableColumn id="8" xr3:uid="{00000000-0010-0000-3900-000008000000}" name="SEASON"/>
    <tableColumn id="9" xr3:uid="{00000000-0010-0000-3900-000009000000}" name="CONTROL_TYPE"/>
    <tableColumn id="10" xr3:uid="{00000000-0010-0000-3900-00000A000000}" name="2015" totalsRowFunction="custom">
      <totalsRowFormula>SUBTOTAL(109,J1714:J2227)</totalsRowFormula>
    </tableColumn>
    <tableColumn id="11" xr3:uid="{00000000-0010-0000-3900-00000B000000}" name="2016" totalsRowFunction="custom">
      <totalsRowFormula>SUBTOTAL(109,K1714:K2227)</totalsRowFormula>
    </tableColumn>
    <tableColumn id="12" xr3:uid="{00000000-0010-0000-3900-00000C000000}" name="2017" totalsRowFunction="custom">
      <totalsRowFormula>SUBTOTAL(109,L1714:L2227)</totalsRowFormula>
    </tableColumn>
    <tableColumn id="13" xr3:uid="{00000000-0010-0000-3900-00000D000000}" name="2018" totalsRowFunction="custom">
      <totalsRowFormula>SUBTOTAL(109,M1714:M2227)</totalsRowFormula>
    </tableColumn>
    <tableColumn id="14" xr3:uid="{00000000-0010-0000-3900-00000E000000}" name="2019" totalsRowFunction="custom">
      <totalsRowFormula>SUBTOTAL(109,N1714:N2227)</totalsRowFormula>
    </tableColumn>
    <tableColumn id="15" xr3:uid="{00000000-0010-0000-3900-00000F000000}" name="2020" totalsRowFunction="custom">
      <totalsRowFormula>SUBTOTAL(109,O1714:O2227)</totalsRowFormula>
    </tableColumn>
    <tableColumn id="16" xr3:uid="{00000000-0010-0000-3900-000010000000}" name="2021" totalsRowFunction="custom">
      <totalsRowFormula>SUBTOTAL(109,P1714:P2227)</totalsRowFormula>
    </tableColumn>
    <tableColumn id="17" xr3:uid="{00000000-0010-0000-3900-000011000000}" name="2022" totalsRowFunction="custom">
      <totalsRowFormula>SUBTOTAL(109,Q1714:Q2227)</totalsRowFormula>
    </tableColumn>
    <tableColumn id="18" xr3:uid="{00000000-0010-0000-3900-000012000000}" name="2023" totalsRowFunction="custom">
      <totalsRowFormula>SUBTOTAL(109,R1714:R2227)</totalsRowFormula>
    </tableColumn>
    <tableColumn id="19" xr3:uid="{00000000-0010-0000-3900-000013000000}" name="2024" totalsRowFunction="custom">
      <totalsRowFormula>SUBTOTAL(109,S1714:S2227)</totalsRowFormula>
    </tableColumn>
    <tableColumn id="20" xr3:uid="{00000000-0010-0000-3900-000014000000}" name="2025" totalsRowFunction="custom">
      <totalsRowFormula>SUBTOTAL(109,T1714:T2227)</totalsRowFormula>
    </tableColumn>
    <tableColumn id="21" xr3:uid="{00000000-0010-0000-3900-000015000000}" name="2026" totalsRowFunction="custom">
      <totalsRowFormula>SUBTOTAL(109,U1714:U2227)</totalsRowFormula>
    </tableColumn>
    <tableColumn id="22" xr3:uid="{00000000-0010-0000-3900-000016000000}" name="2027" totalsRowFunction="custom">
      <totalsRowFormula>SUBTOTAL(109,V1714:V2227)</totalsRowFormula>
    </tableColumn>
    <tableColumn id="23" xr3:uid="{00000000-0010-0000-3900-000017000000}" name="2028" totalsRowFunction="custom">
      <totalsRowFormula>SUBTOTAL(109,W1714:W2227)</totalsRowFormula>
    </tableColumn>
    <tableColumn id="24" xr3:uid="{00000000-0010-0000-3900-000018000000}" name="2029" totalsRowFunction="custom">
      <totalsRowFormula>SUBTOTAL(109,X1714:X2227)</totalsRowFormula>
    </tableColumn>
    <tableColumn id="25" xr3:uid="{00000000-0010-0000-3900-000019000000}" name="2030" totalsRowFunction="custom">
      <totalsRowFormula>SUBTOTAL(109,Y1714:Y2227)</totalsRow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A000000}" name="Table130" displayName="Table130" ref="A2230:Y2862" totalsRowCount="1">
  <autoFilter ref="A2230:Y2861" xr:uid="{00000000-0009-0000-0100-000081000000}">
    <filterColumn colId="2">
      <filters>
        <filter val="010-ELECTRIC UTILITIES"/>
      </filters>
    </filterColumn>
  </autoFilter>
  <tableColumns count="25">
    <tableColumn id="1" xr3:uid="{00000000-0010-0000-3A00-000001000000}" name="AREA"/>
    <tableColumn id="2" xr3:uid="{00000000-0010-0000-3A00-000002000000}" name="EIC"/>
    <tableColumn id="3" xr3:uid="{00000000-0010-0000-3A00-000003000000}" name="EICSUM"/>
    <tableColumn id="4" xr3:uid="{00000000-0010-0000-3A00-000004000000}" name="EICSOU"/>
    <tableColumn id="5" xr3:uid="{00000000-0010-0000-3A00-000005000000}" name="EICMAT"/>
    <tableColumn id="6" xr3:uid="{00000000-0010-0000-3A00-000006000000}" name="EICSUB"/>
    <tableColumn id="7" xr3:uid="{00000000-0010-0000-3A00-000007000000}" name="POLLUTANT"/>
    <tableColumn id="8" xr3:uid="{00000000-0010-0000-3A00-000008000000}" name="SEASON"/>
    <tableColumn id="9" xr3:uid="{00000000-0010-0000-3A00-000009000000}" name="CONTROL_TYPE"/>
    <tableColumn id="10" xr3:uid="{00000000-0010-0000-3A00-00000A000000}" name="2015" totalsRowFunction="custom">
      <totalsRowFormula>SUBTOTAL(109,J2231:J2861)</totalsRowFormula>
    </tableColumn>
    <tableColumn id="11" xr3:uid="{00000000-0010-0000-3A00-00000B000000}" name="2016" totalsRowFunction="custom">
      <totalsRowFormula>SUBTOTAL(109,K2231:K2861)</totalsRowFormula>
    </tableColumn>
    <tableColumn id="12" xr3:uid="{00000000-0010-0000-3A00-00000C000000}" name="2017" totalsRowFunction="custom">
      <totalsRowFormula>SUBTOTAL(109,L2231:L2861)</totalsRowFormula>
    </tableColumn>
    <tableColumn id="13" xr3:uid="{00000000-0010-0000-3A00-00000D000000}" name="2018" totalsRowFunction="custom">
      <totalsRowFormula>SUBTOTAL(109,M2231:M2861)</totalsRowFormula>
    </tableColumn>
    <tableColumn id="14" xr3:uid="{00000000-0010-0000-3A00-00000E000000}" name="2019" totalsRowFunction="custom">
      <totalsRowFormula>SUBTOTAL(109,N2231:N2861)</totalsRowFormula>
    </tableColumn>
    <tableColumn id="15" xr3:uid="{00000000-0010-0000-3A00-00000F000000}" name="2020" totalsRowFunction="custom">
      <totalsRowFormula>SUBTOTAL(109,O2231:O2861)</totalsRowFormula>
    </tableColumn>
    <tableColumn id="16" xr3:uid="{00000000-0010-0000-3A00-000010000000}" name="2021" totalsRowFunction="custom">
      <totalsRowFormula>SUBTOTAL(109,P2231:P2861)</totalsRowFormula>
    </tableColumn>
    <tableColumn id="17" xr3:uid="{00000000-0010-0000-3A00-000011000000}" name="2022" totalsRowFunction="custom">
      <totalsRowFormula>SUBTOTAL(109,Q2231:Q2861)</totalsRowFormula>
    </tableColumn>
    <tableColumn id="18" xr3:uid="{00000000-0010-0000-3A00-000012000000}" name="2023" totalsRowFunction="custom">
      <totalsRowFormula>SUBTOTAL(109,R2231:R2861)</totalsRowFormula>
    </tableColumn>
    <tableColumn id="19" xr3:uid="{00000000-0010-0000-3A00-000013000000}" name="2024" totalsRowFunction="custom">
      <totalsRowFormula>SUBTOTAL(109,S2231:S2861)</totalsRowFormula>
    </tableColumn>
    <tableColumn id="20" xr3:uid="{00000000-0010-0000-3A00-000014000000}" name="2025" totalsRowFunction="custom">
      <totalsRowFormula>SUBTOTAL(109,T2231:T2861)</totalsRowFormula>
    </tableColumn>
    <tableColumn id="21" xr3:uid="{00000000-0010-0000-3A00-000015000000}" name="2026" totalsRowFunction="custom">
      <totalsRowFormula>SUBTOTAL(109,U2231:U2861)</totalsRowFormula>
    </tableColumn>
    <tableColumn id="22" xr3:uid="{00000000-0010-0000-3A00-000016000000}" name="2027" totalsRowFunction="custom">
      <totalsRowFormula>SUBTOTAL(109,V2231:V2861)</totalsRowFormula>
    </tableColumn>
    <tableColumn id="23" xr3:uid="{00000000-0010-0000-3A00-000017000000}" name="2028" totalsRowFunction="custom">
      <totalsRowFormula>SUBTOTAL(109,W2231:W2861)</totalsRowFormula>
    </tableColumn>
    <tableColumn id="24" xr3:uid="{00000000-0010-0000-3A00-000018000000}" name="2029" totalsRowFunction="custom">
      <totalsRowFormula>SUBTOTAL(109,X2231:X2861)</totalsRowFormula>
    </tableColumn>
    <tableColumn id="25" xr3:uid="{00000000-0010-0000-3A00-000019000000}" name="2030" totalsRowFunction="custom">
      <totalsRowFormula>SUBTOTAL(109,Y2231:Y2861)</totalsRow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B000000}" name="Table131" displayName="Table131" ref="A2864:Y3215" totalsRowCount="1">
  <autoFilter ref="A2864:Y3214" xr:uid="{00000000-0009-0000-0100-000082000000}">
    <filterColumn colId="2">
      <filters>
        <filter val="010-ELECTRIC UTILITIES"/>
      </filters>
    </filterColumn>
  </autoFilter>
  <tableColumns count="25">
    <tableColumn id="1" xr3:uid="{00000000-0010-0000-3B00-000001000000}" name="AREA"/>
    <tableColumn id="2" xr3:uid="{00000000-0010-0000-3B00-000002000000}" name="EIC"/>
    <tableColumn id="3" xr3:uid="{00000000-0010-0000-3B00-000003000000}" name="EICSUM"/>
    <tableColumn id="4" xr3:uid="{00000000-0010-0000-3B00-000004000000}" name="EICSOU"/>
    <tableColumn id="5" xr3:uid="{00000000-0010-0000-3B00-000005000000}" name="EICMAT"/>
    <tableColumn id="6" xr3:uid="{00000000-0010-0000-3B00-000006000000}" name="EICSUB"/>
    <tableColumn id="7" xr3:uid="{00000000-0010-0000-3B00-000007000000}" name="POLLUTANT"/>
    <tableColumn id="8" xr3:uid="{00000000-0010-0000-3B00-000008000000}" name="SEASON"/>
    <tableColumn id="9" xr3:uid="{00000000-0010-0000-3B00-000009000000}" name="CONTROL_TYPE"/>
    <tableColumn id="10" xr3:uid="{00000000-0010-0000-3B00-00000A000000}" name="2015" totalsRowFunction="custom">
      <totalsRowFormula>SUBTOTAL(109,J2865:J3214)</totalsRowFormula>
    </tableColumn>
    <tableColumn id="11" xr3:uid="{00000000-0010-0000-3B00-00000B000000}" name="2016" totalsRowFunction="custom">
      <totalsRowFormula>SUBTOTAL(109,K2865:K3214)</totalsRowFormula>
    </tableColumn>
    <tableColumn id="12" xr3:uid="{00000000-0010-0000-3B00-00000C000000}" name="2017" totalsRowFunction="custom">
      <totalsRowFormula>SUBTOTAL(109,L2865:L3214)</totalsRowFormula>
    </tableColumn>
    <tableColumn id="13" xr3:uid="{00000000-0010-0000-3B00-00000D000000}" name="2018" totalsRowFunction="custom">
      <totalsRowFormula>SUBTOTAL(109,M2865:M3214)</totalsRowFormula>
    </tableColumn>
    <tableColumn id="14" xr3:uid="{00000000-0010-0000-3B00-00000E000000}" name="2019" totalsRowFunction="custom">
      <totalsRowFormula>SUBTOTAL(109,N2865:N3214)</totalsRowFormula>
    </tableColumn>
    <tableColumn id="15" xr3:uid="{00000000-0010-0000-3B00-00000F000000}" name="2020" totalsRowFunction="custom">
      <totalsRowFormula>SUBTOTAL(109,O2865:O3214)</totalsRowFormula>
    </tableColumn>
    <tableColumn id="16" xr3:uid="{00000000-0010-0000-3B00-000010000000}" name="2021" totalsRowFunction="custom">
      <totalsRowFormula>SUBTOTAL(109,P2865:P3214)</totalsRowFormula>
    </tableColumn>
    <tableColumn id="17" xr3:uid="{00000000-0010-0000-3B00-000011000000}" name="2022" totalsRowFunction="custom">
      <totalsRowFormula>SUBTOTAL(109,Q2865:Q3214)</totalsRowFormula>
    </tableColumn>
    <tableColumn id="18" xr3:uid="{00000000-0010-0000-3B00-000012000000}" name="2023" totalsRowFunction="custom">
      <totalsRowFormula>SUBTOTAL(109,R2865:R3214)</totalsRowFormula>
    </tableColumn>
    <tableColumn id="19" xr3:uid="{00000000-0010-0000-3B00-000013000000}" name="2024" totalsRowFunction="custom">
      <totalsRowFormula>SUBTOTAL(109,S2865:S3214)</totalsRowFormula>
    </tableColumn>
    <tableColumn id="20" xr3:uid="{00000000-0010-0000-3B00-000014000000}" name="2025" totalsRowFunction="custom">
      <totalsRowFormula>SUBTOTAL(109,T2865:T3214)</totalsRowFormula>
    </tableColumn>
    <tableColumn id="21" xr3:uid="{00000000-0010-0000-3B00-000015000000}" name="2026" totalsRowFunction="custom">
      <totalsRowFormula>SUBTOTAL(109,U2865:U3214)</totalsRowFormula>
    </tableColumn>
    <tableColumn id="22" xr3:uid="{00000000-0010-0000-3B00-000016000000}" name="2027" totalsRowFunction="custom">
      <totalsRowFormula>SUBTOTAL(109,V2865:V3214)</totalsRowFormula>
    </tableColumn>
    <tableColumn id="23" xr3:uid="{00000000-0010-0000-3B00-000017000000}" name="2028" totalsRowFunction="custom">
      <totalsRowFormula>SUBTOTAL(109,W2865:W3214)</totalsRowFormula>
    </tableColumn>
    <tableColumn id="24" xr3:uid="{00000000-0010-0000-3B00-000018000000}" name="2029" totalsRowFunction="custom">
      <totalsRowFormula>SUBTOTAL(109,X2865:X3214)</totalsRowFormula>
    </tableColumn>
    <tableColumn id="25" xr3:uid="{00000000-0010-0000-3B00-000019000000}" name="2030" totalsRowFunction="custom">
      <totalsRowFormula>SUBTOTAL(109,Y2865:Y3214)</totalsRow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C000000}" name="Table132" displayName="Table132" ref="A3217:Y3796" totalsRowCount="1">
  <autoFilter ref="A3217:Y3795" xr:uid="{00000000-0009-0000-0100-000083000000}">
    <filterColumn colId="2">
      <filters>
        <filter val="010-ELECTRIC UTILITIES"/>
      </filters>
    </filterColumn>
  </autoFilter>
  <tableColumns count="25">
    <tableColumn id="1" xr3:uid="{00000000-0010-0000-3C00-000001000000}" name="AREA"/>
    <tableColumn id="2" xr3:uid="{00000000-0010-0000-3C00-000002000000}" name="EIC"/>
    <tableColumn id="3" xr3:uid="{00000000-0010-0000-3C00-000003000000}" name="EICSUM"/>
    <tableColumn id="4" xr3:uid="{00000000-0010-0000-3C00-000004000000}" name="EICSOU"/>
    <tableColumn id="5" xr3:uid="{00000000-0010-0000-3C00-000005000000}" name="EICMAT"/>
    <tableColumn id="6" xr3:uid="{00000000-0010-0000-3C00-000006000000}" name="EICSUB"/>
    <tableColumn id="7" xr3:uid="{00000000-0010-0000-3C00-000007000000}" name="POLLUTANT"/>
    <tableColumn id="8" xr3:uid="{00000000-0010-0000-3C00-000008000000}" name="SEASON"/>
    <tableColumn id="9" xr3:uid="{00000000-0010-0000-3C00-000009000000}" name="CONTROL_TYPE"/>
    <tableColumn id="10" xr3:uid="{00000000-0010-0000-3C00-00000A000000}" name="2015" totalsRowFunction="custom">
      <totalsRowFormula>SUBTOTAL(109,J3218:J3795)</totalsRowFormula>
    </tableColumn>
    <tableColumn id="11" xr3:uid="{00000000-0010-0000-3C00-00000B000000}" name="2016" totalsRowFunction="custom">
      <totalsRowFormula>SUBTOTAL(109,K3218:K3795)</totalsRowFormula>
    </tableColumn>
    <tableColumn id="12" xr3:uid="{00000000-0010-0000-3C00-00000C000000}" name="2017" totalsRowFunction="custom">
      <totalsRowFormula>SUBTOTAL(109,L3218:L3795)</totalsRowFormula>
    </tableColumn>
    <tableColumn id="13" xr3:uid="{00000000-0010-0000-3C00-00000D000000}" name="2018" totalsRowFunction="custom">
      <totalsRowFormula>SUBTOTAL(109,M3218:M3795)</totalsRowFormula>
    </tableColumn>
    <tableColumn id="14" xr3:uid="{00000000-0010-0000-3C00-00000E000000}" name="2019" totalsRowFunction="custom">
      <totalsRowFormula>SUBTOTAL(109,N3218:N3795)</totalsRowFormula>
    </tableColumn>
    <tableColumn id="15" xr3:uid="{00000000-0010-0000-3C00-00000F000000}" name="2020" totalsRowFunction="custom">
      <totalsRowFormula>SUBTOTAL(109,O3218:O3795)</totalsRowFormula>
    </tableColumn>
    <tableColumn id="16" xr3:uid="{00000000-0010-0000-3C00-000010000000}" name="2021" totalsRowFunction="custom">
      <totalsRowFormula>SUBTOTAL(109,P3218:P3795)</totalsRowFormula>
    </tableColumn>
    <tableColumn id="17" xr3:uid="{00000000-0010-0000-3C00-000011000000}" name="2022" totalsRowFunction="custom">
      <totalsRowFormula>SUBTOTAL(109,Q3218:Q3795)</totalsRowFormula>
    </tableColumn>
    <tableColumn id="18" xr3:uid="{00000000-0010-0000-3C00-000012000000}" name="2023" totalsRowFunction="custom">
      <totalsRowFormula>SUBTOTAL(109,R3218:R3795)</totalsRowFormula>
    </tableColumn>
    <tableColumn id="19" xr3:uid="{00000000-0010-0000-3C00-000013000000}" name="2024" totalsRowFunction="custom">
      <totalsRowFormula>SUBTOTAL(109,S3218:S3795)</totalsRowFormula>
    </tableColumn>
    <tableColumn id="20" xr3:uid="{00000000-0010-0000-3C00-000014000000}" name="2025" totalsRowFunction="custom">
      <totalsRowFormula>SUBTOTAL(109,T3218:T3795)</totalsRowFormula>
    </tableColumn>
    <tableColumn id="21" xr3:uid="{00000000-0010-0000-3C00-000015000000}" name="2026" totalsRowFunction="custom">
      <totalsRowFormula>SUBTOTAL(109,U3218:U3795)</totalsRowFormula>
    </tableColumn>
    <tableColumn id="22" xr3:uid="{00000000-0010-0000-3C00-000016000000}" name="2027" totalsRowFunction="custom">
      <totalsRowFormula>SUBTOTAL(109,V3218:V3795)</totalsRowFormula>
    </tableColumn>
    <tableColumn id="23" xr3:uid="{00000000-0010-0000-3C00-000017000000}" name="2028" totalsRowFunction="custom">
      <totalsRowFormula>SUBTOTAL(109,W3218:W3795)</totalsRowFormula>
    </tableColumn>
    <tableColumn id="24" xr3:uid="{00000000-0010-0000-3C00-000018000000}" name="2029" totalsRowFunction="custom">
      <totalsRowFormula>SUBTOTAL(109,X3218:X3795)</totalsRowFormula>
    </tableColumn>
    <tableColumn id="25" xr3:uid="{00000000-0010-0000-3C00-000019000000}" name="2030" totalsRowFunction="custom">
      <totalsRowFormula>SUBTOTAL(109,Y3218:Y3795)</totalsRow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A000000}" name="Table103" displayName="Table103" ref="A1:Y68" totalsRowCount="1">
  <autoFilter ref="A1:Y67" xr:uid="{00000000-0009-0000-0100-000067000000}">
    <filterColumn colId="2">
      <filters>
        <filter val="010-ELECTRIC UTILITIES"/>
      </filters>
    </filterColumn>
  </autoFilter>
  <tableColumns count="25">
    <tableColumn id="1" xr3:uid="{00000000-0010-0000-6A00-000001000000}" name="AREA"/>
    <tableColumn id="2" xr3:uid="{00000000-0010-0000-6A00-000002000000}" name="EIC"/>
    <tableColumn id="3" xr3:uid="{00000000-0010-0000-6A00-000003000000}" name="EICSUM"/>
    <tableColumn id="4" xr3:uid="{00000000-0010-0000-6A00-000004000000}" name="EICSOU"/>
    <tableColumn id="5" xr3:uid="{00000000-0010-0000-6A00-000005000000}" name="EICMAT"/>
    <tableColumn id="6" xr3:uid="{00000000-0010-0000-6A00-000006000000}" name="EICSUB"/>
    <tableColumn id="7" xr3:uid="{00000000-0010-0000-6A00-000007000000}" name="POLLUTANT"/>
    <tableColumn id="8" xr3:uid="{00000000-0010-0000-6A00-000008000000}" name="SEASON"/>
    <tableColumn id="9" xr3:uid="{00000000-0010-0000-6A00-000009000000}" name="CONTROL_TYPE"/>
    <tableColumn id="10" xr3:uid="{00000000-0010-0000-6A00-00000A000000}" name="2015" totalsRowFunction="sum"/>
    <tableColumn id="11" xr3:uid="{00000000-0010-0000-6A00-00000B000000}" name="2016" totalsRowFunction="sum"/>
    <tableColumn id="12" xr3:uid="{00000000-0010-0000-6A00-00000C000000}" name="2017" totalsRowFunction="sum"/>
    <tableColumn id="13" xr3:uid="{00000000-0010-0000-6A00-00000D000000}" name="2018" totalsRowFunction="sum"/>
    <tableColumn id="14" xr3:uid="{00000000-0010-0000-6A00-00000E000000}" name="2019" totalsRowFunction="sum"/>
    <tableColumn id="15" xr3:uid="{00000000-0010-0000-6A00-00000F000000}" name="2020" totalsRowFunction="sum"/>
    <tableColumn id="16" xr3:uid="{00000000-0010-0000-6A00-000010000000}" name="2021" totalsRowFunction="sum"/>
    <tableColumn id="17" xr3:uid="{00000000-0010-0000-6A00-000011000000}" name="2022" totalsRowFunction="sum"/>
    <tableColumn id="18" xr3:uid="{00000000-0010-0000-6A00-000012000000}" name="2023" totalsRowFunction="sum"/>
    <tableColumn id="19" xr3:uid="{00000000-0010-0000-6A00-000013000000}" name="2024" totalsRowFunction="sum"/>
    <tableColumn id="20" xr3:uid="{00000000-0010-0000-6A00-000014000000}" name="2025" totalsRowFunction="sum"/>
    <tableColumn id="21" xr3:uid="{00000000-0010-0000-6A00-000015000000}" name="2026" totalsRowFunction="sum"/>
    <tableColumn id="22" xr3:uid="{00000000-0010-0000-6A00-000016000000}" name="2027" totalsRowFunction="sum"/>
    <tableColumn id="23" xr3:uid="{00000000-0010-0000-6A00-000017000000}" name="2028" totalsRowFunction="sum"/>
    <tableColumn id="24" xr3:uid="{00000000-0010-0000-6A00-000018000000}" name="2029" totalsRowFunction="sum"/>
    <tableColumn id="25" xr3:uid="{00000000-0010-0000-6A00-000019000000}" name="2030" totalsRowFunction="sum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B000000}" name="Table104" displayName="Table104" ref="A70:Y136" totalsRowCount="1">
  <autoFilter ref="A70:Y135" xr:uid="{00000000-0009-0000-0100-000068000000}">
    <filterColumn colId="2">
      <filters>
        <filter val="010-ELECTRIC UTILITIES"/>
      </filters>
    </filterColumn>
  </autoFilter>
  <tableColumns count="25">
    <tableColumn id="1" xr3:uid="{00000000-0010-0000-6B00-000001000000}" name="AREA"/>
    <tableColumn id="2" xr3:uid="{00000000-0010-0000-6B00-000002000000}" name="EIC"/>
    <tableColumn id="3" xr3:uid="{00000000-0010-0000-6B00-000003000000}" name="EICSUM"/>
    <tableColumn id="4" xr3:uid="{00000000-0010-0000-6B00-000004000000}" name="EICSOU"/>
    <tableColumn id="5" xr3:uid="{00000000-0010-0000-6B00-000005000000}" name="EICMAT"/>
    <tableColumn id="6" xr3:uid="{00000000-0010-0000-6B00-000006000000}" name="EICSUB"/>
    <tableColumn id="7" xr3:uid="{00000000-0010-0000-6B00-000007000000}" name="POLLUTANT"/>
    <tableColumn id="8" xr3:uid="{00000000-0010-0000-6B00-000008000000}" name="SEASON"/>
    <tableColumn id="9" xr3:uid="{00000000-0010-0000-6B00-000009000000}" name="CONTROL_TYPE"/>
    <tableColumn id="10" xr3:uid="{00000000-0010-0000-6B00-00000A000000}" name="2015" totalsRowFunction="sum"/>
    <tableColumn id="11" xr3:uid="{00000000-0010-0000-6B00-00000B000000}" name="2016" totalsRowFunction="sum"/>
    <tableColumn id="12" xr3:uid="{00000000-0010-0000-6B00-00000C000000}" name="2017" totalsRowFunction="sum"/>
    <tableColumn id="13" xr3:uid="{00000000-0010-0000-6B00-00000D000000}" name="2018" totalsRowFunction="sum"/>
    <tableColumn id="14" xr3:uid="{00000000-0010-0000-6B00-00000E000000}" name="2019" totalsRowFunction="sum"/>
    <tableColumn id="15" xr3:uid="{00000000-0010-0000-6B00-00000F000000}" name="2020" totalsRowFunction="sum"/>
    <tableColumn id="16" xr3:uid="{00000000-0010-0000-6B00-000010000000}" name="2021" totalsRowFunction="sum"/>
    <tableColumn id="17" xr3:uid="{00000000-0010-0000-6B00-000011000000}" name="2022" totalsRowFunction="sum"/>
    <tableColumn id="18" xr3:uid="{00000000-0010-0000-6B00-000012000000}" name="2023" totalsRowFunction="sum"/>
    <tableColumn id="19" xr3:uid="{00000000-0010-0000-6B00-000013000000}" name="2024" totalsRowFunction="sum"/>
    <tableColumn id="20" xr3:uid="{00000000-0010-0000-6B00-000014000000}" name="2025" totalsRowFunction="sum"/>
    <tableColumn id="21" xr3:uid="{00000000-0010-0000-6B00-000015000000}" name="2026" totalsRowFunction="sum"/>
    <tableColumn id="22" xr3:uid="{00000000-0010-0000-6B00-000016000000}" name="2027" totalsRowFunction="sum"/>
    <tableColumn id="23" xr3:uid="{00000000-0010-0000-6B00-000017000000}" name="2028" totalsRowFunction="sum"/>
    <tableColumn id="24" xr3:uid="{00000000-0010-0000-6B00-000018000000}" name="2029" totalsRowFunction="sum"/>
    <tableColumn id="25" xr3:uid="{00000000-0010-0000-6B00-000019000000}" name="2030" totalsRowFunction="sum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C000000}" name="Table105" displayName="Table105" ref="A138:Y202" totalsRowShown="0">
  <autoFilter ref="A138:Y202" xr:uid="{00000000-0009-0000-0100-000069000000}">
    <filterColumn colId="2">
      <filters>
        <filter val="010-ELECTRIC UTILITIES"/>
      </filters>
    </filterColumn>
  </autoFilter>
  <tableColumns count="25">
    <tableColumn id="1" xr3:uid="{00000000-0010-0000-6C00-000001000000}" name="Column1"/>
    <tableColumn id="2" xr3:uid="{00000000-0010-0000-6C00-000002000000}" name="Column2"/>
    <tableColumn id="3" xr3:uid="{00000000-0010-0000-6C00-000003000000}" name="Column3"/>
    <tableColumn id="4" xr3:uid="{00000000-0010-0000-6C00-000004000000}" name="Column4"/>
    <tableColumn id="5" xr3:uid="{00000000-0010-0000-6C00-000005000000}" name="Column5"/>
    <tableColumn id="6" xr3:uid="{00000000-0010-0000-6C00-000006000000}" name="Column6"/>
    <tableColumn id="7" xr3:uid="{00000000-0010-0000-6C00-000007000000}" name="Column7"/>
    <tableColumn id="8" xr3:uid="{00000000-0010-0000-6C00-000008000000}" name="Column8"/>
    <tableColumn id="9" xr3:uid="{00000000-0010-0000-6C00-000009000000}" name="Column9"/>
    <tableColumn id="10" xr3:uid="{00000000-0010-0000-6C00-00000A000000}" name="Column10"/>
    <tableColumn id="11" xr3:uid="{00000000-0010-0000-6C00-00000B000000}" name="Column11"/>
    <tableColumn id="12" xr3:uid="{00000000-0010-0000-6C00-00000C000000}" name="Column12"/>
    <tableColumn id="13" xr3:uid="{00000000-0010-0000-6C00-00000D000000}" name="Column13"/>
    <tableColumn id="14" xr3:uid="{00000000-0010-0000-6C00-00000E000000}" name="Column14"/>
    <tableColumn id="15" xr3:uid="{00000000-0010-0000-6C00-00000F000000}" name="Column15"/>
    <tableColumn id="16" xr3:uid="{00000000-0010-0000-6C00-000010000000}" name="Column16"/>
    <tableColumn id="17" xr3:uid="{00000000-0010-0000-6C00-000011000000}" name="Column17"/>
    <tableColumn id="18" xr3:uid="{00000000-0010-0000-6C00-000012000000}" name="Column18"/>
    <tableColumn id="19" xr3:uid="{00000000-0010-0000-6C00-000013000000}" name="Column19"/>
    <tableColumn id="20" xr3:uid="{00000000-0010-0000-6C00-000014000000}" name="Column20"/>
    <tableColumn id="21" xr3:uid="{00000000-0010-0000-6C00-000015000000}" name="Column21"/>
    <tableColumn id="22" xr3:uid="{00000000-0010-0000-6C00-000016000000}" name="Column22"/>
    <tableColumn id="23" xr3:uid="{00000000-0010-0000-6C00-000017000000}" name="Column23"/>
    <tableColumn id="24" xr3:uid="{00000000-0010-0000-6C00-000018000000}" name="Column24"/>
    <tableColumn id="25" xr3:uid="{00000000-0010-0000-6C00-000019000000}" name="Column25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D000000}" name="Table106" displayName="Table106" ref="A204:Y510" totalsRowCount="1">
  <autoFilter ref="A204:Y509" xr:uid="{00000000-0009-0000-0100-00006A000000}">
    <filterColumn colId="2">
      <filters>
        <filter val="010-ELECTRIC UTILITIES"/>
      </filters>
    </filterColumn>
  </autoFilter>
  <tableColumns count="25">
    <tableColumn id="1" xr3:uid="{00000000-0010-0000-6D00-000001000000}" name="AREA"/>
    <tableColumn id="2" xr3:uid="{00000000-0010-0000-6D00-000002000000}" name="EIC"/>
    <tableColumn id="3" xr3:uid="{00000000-0010-0000-6D00-000003000000}" name="EICSUM"/>
    <tableColumn id="4" xr3:uid="{00000000-0010-0000-6D00-000004000000}" name="EICSOU"/>
    <tableColumn id="5" xr3:uid="{00000000-0010-0000-6D00-000005000000}" name="EICMAT"/>
    <tableColumn id="6" xr3:uid="{00000000-0010-0000-6D00-000006000000}" name="EICSUB"/>
    <tableColumn id="7" xr3:uid="{00000000-0010-0000-6D00-000007000000}" name="POLLUTANT"/>
    <tableColumn id="8" xr3:uid="{00000000-0010-0000-6D00-000008000000}" name="SEASON"/>
    <tableColumn id="9" xr3:uid="{00000000-0010-0000-6D00-000009000000}" name="CONTROL_TYPE"/>
    <tableColumn id="10" xr3:uid="{00000000-0010-0000-6D00-00000A000000}" name="2015" totalsRowFunction="sum"/>
    <tableColumn id="11" xr3:uid="{00000000-0010-0000-6D00-00000B000000}" name="2016" totalsRowFunction="sum"/>
    <tableColumn id="12" xr3:uid="{00000000-0010-0000-6D00-00000C000000}" name="2017" totalsRowFunction="sum"/>
    <tableColumn id="13" xr3:uid="{00000000-0010-0000-6D00-00000D000000}" name="2018" totalsRowFunction="sum"/>
    <tableColumn id="14" xr3:uid="{00000000-0010-0000-6D00-00000E000000}" name="2019" totalsRowFunction="sum"/>
    <tableColumn id="15" xr3:uid="{00000000-0010-0000-6D00-00000F000000}" name="2020" totalsRowFunction="sum"/>
    <tableColumn id="16" xr3:uid="{00000000-0010-0000-6D00-000010000000}" name="2021" totalsRowFunction="sum"/>
    <tableColumn id="17" xr3:uid="{00000000-0010-0000-6D00-000011000000}" name="2022" totalsRowFunction="sum"/>
    <tableColumn id="18" xr3:uid="{00000000-0010-0000-6D00-000012000000}" name="2023" totalsRowFunction="sum"/>
    <tableColumn id="19" xr3:uid="{00000000-0010-0000-6D00-000013000000}" name="2024" totalsRowFunction="sum"/>
    <tableColumn id="20" xr3:uid="{00000000-0010-0000-6D00-000014000000}" name="2025" totalsRowFunction="sum"/>
    <tableColumn id="21" xr3:uid="{00000000-0010-0000-6D00-000015000000}" name="2026" totalsRowFunction="sum"/>
    <tableColumn id="22" xr3:uid="{00000000-0010-0000-6D00-000016000000}" name="2027" totalsRowFunction="sum"/>
    <tableColumn id="23" xr3:uid="{00000000-0010-0000-6D00-000017000000}" name="2028" totalsRowFunction="sum"/>
    <tableColumn id="24" xr3:uid="{00000000-0010-0000-6D00-000018000000}" name="2029" totalsRowFunction="sum"/>
    <tableColumn id="25" xr3:uid="{00000000-0010-0000-6D00-000019000000}" name="2030" totalsRowFunction="sum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2EF8C78-C5DF-4325-97F2-50BD9DE29399}" name="Table2" displayName="Table2" ref="A1:AG4" totalsRowCount="1">
  <autoFilter ref="A1:AG3" xr:uid="{F2EF8C78-C5DF-4325-97F2-50BD9DE29399}"/>
  <tableColumns count="33">
    <tableColumn id="1" xr3:uid="{D6A31F9C-E5AA-42AA-AB3C-36849368AAE7}" name="AREA"/>
    <tableColumn id="2" xr3:uid="{A01305EB-7D30-43FB-B0D3-6E3EF0B2512B}" name="EIC"/>
    <tableColumn id="3" xr3:uid="{92E72031-7BA8-4FDE-AE66-99E50952AB48}" name="EICSUM"/>
    <tableColumn id="4" xr3:uid="{FB4450DE-6C7B-47FC-90FD-30843BB001C4}" name="EICSOU"/>
    <tableColumn id="5" xr3:uid="{72585561-03C9-4200-AA4E-F46E18AD8179}" name="EICMAT"/>
    <tableColumn id="6" xr3:uid="{8DEDDD1B-FF5D-44DA-988B-8FA1682D9B36}" name="EICSUB"/>
    <tableColumn id="7" xr3:uid="{2AB5C940-020B-4425-8192-C8BBA231F209}" name="POLLUTANT"/>
    <tableColumn id="8" xr3:uid="{76A63AB5-EF8D-4B69-93B0-1B1A3E3298EF}" name="SEASON"/>
    <tableColumn id="9" xr3:uid="{C8B18205-EF51-4357-8E7F-BC185BFEE0DE}" name="CONTROL_TYPE"/>
    <tableColumn id="10" xr3:uid="{DC64D9D6-7E57-4B51-9D24-9D300F9061A5}" name="2023" totalsRowFunction="sum"/>
    <tableColumn id="11" xr3:uid="{C7E997DC-4C8B-426A-95A5-C3D32CFB74F3}" name="2024" totalsRowFunction="sum"/>
    <tableColumn id="12" xr3:uid="{7FC90E65-3F53-42F6-8563-A1506A5ECE0E}" name="2025" totalsRowFunction="sum"/>
    <tableColumn id="13" xr3:uid="{04EB3575-872F-4AF8-B2B9-740E212029CF}" name="2026" totalsRowFunction="sum"/>
    <tableColumn id="14" xr3:uid="{F62274D4-31F5-48F1-9122-4FF4756458FC}" name="2027" totalsRowFunction="sum"/>
    <tableColumn id="15" xr3:uid="{BCD64544-5195-40AB-8F2C-86E625FAFAF7}" name="2028" totalsRowFunction="sum"/>
    <tableColumn id="16" xr3:uid="{F6B50745-7F19-45D6-A612-7634940B91C8}" name="2029" totalsRowFunction="sum"/>
    <tableColumn id="17" xr3:uid="{EE53021E-E511-4788-983A-3992AEFA920D}" name="2030" totalsRowFunction="sum"/>
    <tableColumn id="18" xr3:uid="{BBDA3752-676E-4D1F-B062-518BC719134E}" name="2031" totalsRowFunction="sum"/>
    <tableColumn id="19" xr3:uid="{0F0743F9-C76C-4B9C-871B-335E67E120FC}" name="2032" totalsRowFunction="sum"/>
    <tableColumn id="20" xr3:uid="{CF8077D2-4AE5-457E-A9A4-7CDE222848EF}" name="2033" totalsRowFunction="sum"/>
    <tableColumn id="21" xr3:uid="{C885CFF2-73DE-48E3-813F-4362479F6813}" name="2034" totalsRowFunction="sum"/>
    <tableColumn id="22" xr3:uid="{8963E045-114E-4890-BDC0-811F91131D6A}" name="2035" totalsRowFunction="sum"/>
    <tableColumn id="23" xr3:uid="{0D699453-C11B-432D-B9AF-89A25D57720E}" name="2036" totalsRowFunction="sum"/>
    <tableColumn id="24" xr3:uid="{930D8E77-8284-4350-B04C-11EDB6E7741B}" name="2037" totalsRowFunction="sum"/>
    <tableColumn id="25" xr3:uid="{95271CEB-8F7B-44EA-BD68-30CF789459EF}" name="2038" totalsRowFunction="sum"/>
    <tableColumn id="26" xr3:uid="{CBF6E103-9CA3-428C-ABB4-C24358F5A6E8}" name="2039" totalsRowFunction="sum"/>
    <tableColumn id="27" xr3:uid="{C2C0F6DE-17B3-490C-8FB2-7A5C8F001350}" name="2040" totalsRowFunction="sum"/>
    <tableColumn id="28" xr3:uid="{8B0A89B9-42D7-4964-AF71-4469F0EB0E9D}" name="2041" totalsRowFunction="sum"/>
    <tableColumn id="29" xr3:uid="{BEDD9F28-8380-4BC3-AF59-6B9D6E566540}" name="2042" totalsRowFunction="sum"/>
    <tableColumn id="30" xr3:uid="{86E749EA-D716-4CAB-8F23-457004EFCC06}" name="2043" totalsRowFunction="sum"/>
    <tableColumn id="31" xr3:uid="{0D3ACDDF-2223-4CD7-92A9-82230D7D19AD}" name="2044" totalsRowFunction="sum"/>
    <tableColumn id="32" xr3:uid="{6291DEB0-96E4-4BE7-AA48-C3DAF32445B2}" name="2045" totalsRowFunction="sum"/>
    <tableColumn id="33" xr3:uid="{18BABFD2-4772-489E-A641-0630BA724431}" name="2046" totalsRowFunction="sum"/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E000000}" name="Table107" displayName="Table107" ref="A512:Y654" totalsRowCount="1">
  <autoFilter ref="A512:Y653" xr:uid="{00000000-0009-0000-0100-00006B000000}">
    <filterColumn colId="2">
      <filters>
        <filter val="010-ELECTRIC UTILITIES"/>
      </filters>
    </filterColumn>
  </autoFilter>
  <tableColumns count="25">
    <tableColumn id="1" xr3:uid="{00000000-0010-0000-6E00-000001000000}" name="AREA"/>
    <tableColumn id="2" xr3:uid="{00000000-0010-0000-6E00-000002000000}" name="EIC"/>
    <tableColumn id="3" xr3:uid="{00000000-0010-0000-6E00-000003000000}" name="EICSUM"/>
    <tableColumn id="4" xr3:uid="{00000000-0010-0000-6E00-000004000000}" name="EICSOU"/>
    <tableColumn id="5" xr3:uid="{00000000-0010-0000-6E00-000005000000}" name="EICMAT"/>
    <tableColumn id="6" xr3:uid="{00000000-0010-0000-6E00-000006000000}" name="EICSUB"/>
    <tableColumn id="7" xr3:uid="{00000000-0010-0000-6E00-000007000000}" name="POLLUTANT"/>
    <tableColumn id="8" xr3:uid="{00000000-0010-0000-6E00-000008000000}" name="SEASON"/>
    <tableColumn id="9" xr3:uid="{00000000-0010-0000-6E00-000009000000}" name="CONTROL_TYPE"/>
    <tableColumn id="10" xr3:uid="{00000000-0010-0000-6E00-00000A000000}" name="2015" totalsRowFunction="sum"/>
    <tableColumn id="11" xr3:uid="{00000000-0010-0000-6E00-00000B000000}" name="2016" totalsRowFunction="sum"/>
    <tableColumn id="12" xr3:uid="{00000000-0010-0000-6E00-00000C000000}" name="2017" totalsRowFunction="sum"/>
    <tableColumn id="13" xr3:uid="{00000000-0010-0000-6E00-00000D000000}" name="2018" totalsRowFunction="sum"/>
    <tableColumn id="14" xr3:uid="{00000000-0010-0000-6E00-00000E000000}" name="2019" totalsRowFunction="sum"/>
    <tableColumn id="15" xr3:uid="{00000000-0010-0000-6E00-00000F000000}" name="2020" totalsRowFunction="sum"/>
    <tableColumn id="16" xr3:uid="{00000000-0010-0000-6E00-000010000000}" name="2021" totalsRowFunction="sum"/>
    <tableColumn id="17" xr3:uid="{00000000-0010-0000-6E00-000011000000}" name="2022" totalsRowFunction="sum"/>
    <tableColumn id="18" xr3:uid="{00000000-0010-0000-6E00-000012000000}" name="2023" totalsRowFunction="sum"/>
    <tableColumn id="19" xr3:uid="{00000000-0010-0000-6E00-000013000000}" name="2024" totalsRowFunction="sum"/>
    <tableColumn id="20" xr3:uid="{00000000-0010-0000-6E00-000014000000}" name="2025" totalsRowFunction="sum"/>
    <tableColumn id="21" xr3:uid="{00000000-0010-0000-6E00-000015000000}" name="2026" totalsRowFunction="sum"/>
    <tableColumn id="22" xr3:uid="{00000000-0010-0000-6E00-000016000000}" name="2027" totalsRowFunction="sum"/>
    <tableColumn id="23" xr3:uid="{00000000-0010-0000-6E00-000017000000}" name="2028" totalsRowFunction="sum"/>
    <tableColumn id="24" xr3:uid="{00000000-0010-0000-6E00-000018000000}" name="2029" totalsRowFunction="sum"/>
    <tableColumn id="25" xr3:uid="{00000000-0010-0000-6E00-000019000000}" name="2030" totalsRowFunction="sum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F000000}" name="Table108" displayName="Table108" ref="A656:Y837" totalsRowCount="1">
  <autoFilter ref="A656:Y836" xr:uid="{00000000-0009-0000-0100-00006C000000}">
    <filterColumn colId="2">
      <filters>
        <filter val="010-ELECTRIC UTILITIES"/>
      </filters>
    </filterColumn>
  </autoFilter>
  <tableColumns count="25">
    <tableColumn id="1" xr3:uid="{00000000-0010-0000-6F00-000001000000}" name="AREA"/>
    <tableColumn id="2" xr3:uid="{00000000-0010-0000-6F00-000002000000}" name="EIC"/>
    <tableColumn id="3" xr3:uid="{00000000-0010-0000-6F00-000003000000}" name="EICSUM"/>
    <tableColumn id="4" xr3:uid="{00000000-0010-0000-6F00-000004000000}" name="EICSOU"/>
    <tableColumn id="5" xr3:uid="{00000000-0010-0000-6F00-000005000000}" name="EICMAT"/>
    <tableColumn id="6" xr3:uid="{00000000-0010-0000-6F00-000006000000}" name="EICSUB"/>
    <tableColumn id="7" xr3:uid="{00000000-0010-0000-6F00-000007000000}" name="POLLUTANT"/>
    <tableColumn id="8" xr3:uid="{00000000-0010-0000-6F00-000008000000}" name="SEASON"/>
    <tableColumn id="9" xr3:uid="{00000000-0010-0000-6F00-000009000000}" name="CONTROL_TYPE"/>
    <tableColumn id="10" xr3:uid="{00000000-0010-0000-6F00-00000A000000}" name="2015" totalsRowFunction="sum"/>
    <tableColumn id="11" xr3:uid="{00000000-0010-0000-6F00-00000B000000}" name="2016" totalsRowFunction="sum"/>
    <tableColumn id="12" xr3:uid="{00000000-0010-0000-6F00-00000C000000}" name="2017" totalsRowFunction="sum"/>
    <tableColumn id="13" xr3:uid="{00000000-0010-0000-6F00-00000D000000}" name="2018" totalsRowFunction="sum"/>
    <tableColumn id="14" xr3:uid="{00000000-0010-0000-6F00-00000E000000}" name="2019" totalsRowFunction="sum"/>
    <tableColumn id="15" xr3:uid="{00000000-0010-0000-6F00-00000F000000}" name="2020" totalsRowFunction="sum"/>
    <tableColumn id="16" xr3:uid="{00000000-0010-0000-6F00-000010000000}" name="2021" totalsRowFunction="sum"/>
    <tableColumn id="17" xr3:uid="{00000000-0010-0000-6F00-000011000000}" name="2022" totalsRowFunction="sum"/>
    <tableColumn id="18" xr3:uid="{00000000-0010-0000-6F00-000012000000}" name="2023" totalsRowFunction="sum"/>
    <tableColumn id="19" xr3:uid="{00000000-0010-0000-6F00-000013000000}" name="2024" totalsRowFunction="sum"/>
    <tableColumn id="20" xr3:uid="{00000000-0010-0000-6F00-000014000000}" name="2025" totalsRowFunction="sum"/>
    <tableColumn id="21" xr3:uid="{00000000-0010-0000-6F00-000015000000}" name="2026" totalsRowFunction="sum"/>
    <tableColumn id="22" xr3:uid="{00000000-0010-0000-6F00-000016000000}" name="2027" totalsRowFunction="sum"/>
    <tableColumn id="23" xr3:uid="{00000000-0010-0000-6F00-000017000000}" name="2028" totalsRowFunction="sum"/>
    <tableColumn id="24" xr3:uid="{00000000-0010-0000-6F00-000018000000}" name="2029" totalsRowFunction="sum"/>
    <tableColumn id="25" xr3:uid="{00000000-0010-0000-6F00-000019000000}" name="2030" totalsRowFunction="sum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70000000}" name="Table109" displayName="Table109" ref="A839:Y947" totalsRowCount="1">
  <autoFilter ref="A839:Y946" xr:uid="{00000000-0009-0000-0100-00006D000000}">
    <filterColumn colId="2">
      <filters>
        <filter val="010-ELECTRIC UTILITIES"/>
      </filters>
    </filterColumn>
  </autoFilter>
  <tableColumns count="25">
    <tableColumn id="1" xr3:uid="{00000000-0010-0000-7000-000001000000}" name="AREA"/>
    <tableColumn id="2" xr3:uid="{00000000-0010-0000-7000-000002000000}" name="EIC"/>
    <tableColumn id="3" xr3:uid="{00000000-0010-0000-7000-000003000000}" name="EICSUM"/>
    <tableColumn id="4" xr3:uid="{00000000-0010-0000-7000-000004000000}" name="EICSOU"/>
    <tableColumn id="5" xr3:uid="{00000000-0010-0000-7000-000005000000}" name="EICMAT"/>
    <tableColumn id="6" xr3:uid="{00000000-0010-0000-7000-000006000000}" name="EICSUB"/>
    <tableColumn id="7" xr3:uid="{00000000-0010-0000-7000-000007000000}" name="POLLUTANT"/>
    <tableColumn id="8" xr3:uid="{00000000-0010-0000-7000-000008000000}" name="SEASON"/>
    <tableColumn id="9" xr3:uid="{00000000-0010-0000-7000-000009000000}" name="CONTROL_TYPE"/>
    <tableColumn id="10" xr3:uid="{00000000-0010-0000-7000-00000A000000}" name="2015" totalsRowFunction="sum"/>
    <tableColumn id="11" xr3:uid="{00000000-0010-0000-7000-00000B000000}" name="2016" totalsRowFunction="sum"/>
    <tableColumn id="12" xr3:uid="{00000000-0010-0000-7000-00000C000000}" name="2017" totalsRowFunction="sum"/>
    <tableColumn id="13" xr3:uid="{00000000-0010-0000-7000-00000D000000}" name="2018" totalsRowFunction="sum"/>
    <tableColumn id="14" xr3:uid="{00000000-0010-0000-7000-00000E000000}" name="2019" totalsRowFunction="sum"/>
    <tableColumn id="15" xr3:uid="{00000000-0010-0000-7000-00000F000000}" name="2020" totalsRowFunction="sum"/>
    <tableColumn id="16" xr3:uid="{00000000-0010-0000-7000-000010000000}" name="2021" totalsRowFunction="sum"/>
    <tableColumn id="17" xr3:uid="{00000000-0010-0000-7000-000011000000}" name="2022" totalsRowFunction="sum"/>
    <tableColumn id="18" xr3:uid="{00000000-0010-0000-7000-000012000000}" name="2023" totalsRowFunction="sum"/>
    <tableColumn id="19" xr3:uid="{00000000-0010-0000-7000-000013000000}" name="2024" totalsRowFunction="sum"/>
    <tableColumn id="20" xr3:uid="{00000000-0010-0000-7000-000014000000}" name="2025" totalsRowFunction="sum"/>
    <tableColumn id="21" xr3:uid="{00000000-0010-0000-7000-000015000000}" name="2026" totalsRowFunction="sum"/>
    <tableColumn id="22" xr3:uid="{00000000-0010-0000-7000-000016000000}" name="2027" totalsRowFunction="sum"/>
    <tableColumn id="23" xr3:uid="{00000000-0010-0000-7000-000017000000}" name="2028" totalsRowFunction="sum"/>
    <tableColumn id="24" xr3:uid="{00000000-0010-0000-7000-000018000000}" name="2029" totalsRowFunction="sum"/>
    <tableColumn id="25" xr3:uid="{00000000-0010-0000-7000-000019000000}" name="2030" totalsRowFunction="sum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71000000}" name="Table111" displayName="Table111" ref="A948:Y1009" totalsRowShown="0">
  <autoFilter ref="A948:Y1009" xr:uid="{00000000-0009-0000-0100-00006E000000}"/>
  <tableColumns count="25">
    <tableColumn id="1" xr3:uid="{00000000-0010-0000-7100-000001000000}" name="AREA"/>
    <tableColumn id="2" xr3:uid="{00000000-0010-0000-7100-000002000000}" name="EIC"/>
    <tableColumn id="3" xr3:uid="{00000000-0010-0000-7100-000003000000}" name="EICSUM"/>
    <tableColumn id="4" xr3:uid="{00000000-0010-0000-7100-000004000000}" name="EICSOU"/>
    <tableColumn id="5" xr3:uid="{00000000-0010-0000-7100-000005000000}" name="EICMAT"/>
    <tableColumn id="6" xr3:uid="{00000000-0010-0000-7100-000006000000}" name="EICSUB"/>
    <tableColumn id="7" xr3:uid="{00000000-0010-0000-7100-000007000000}" name="POLLUTANT"/>
    <tableColumn id="8" xr3:uid="{00000000-0010-0000-7100-000008000000}" name="SEASON"/>
    <tableColumn id="9" xr3:uid="{00000000-0010-0000-7100-000009000000}" name="CONTROL_TYPE"/>
    <tableColumn id="10" xr3:uid="{00000000-0010-0000-7100-00000A000000}" name="2015"/>
    <tableColumn id="11" xr3:uid="{00000000-0010-0000-7100-00000B000000}" name="2016"/>
    <tableColumn id="12" xr3:uid="{00000000-0010-0000-7100-00000C000000}" name="2017"/>
    <tableColumn id="13" xr3:uid="{00000000-0010-0000-7100-00000D000000}" name="2018"/>
    <tableColumn id="14" xr3:uid="{00000000-0010-0000-7100-00000E000000}" name="2019"/>
    <tableColumn id="15" xr3:uid="{00000000-0010-0000-7100-00000F000000}" name="2020"/>
    <tableColumn id="16" xr3:uid="{00000000-0010-0000-7100-000010000000}" name="2021"/>
    <tableColumn id="17" xr3:uid="{00000000-0010-0000-7100-000011000000}" name="2022"/>
    <tableColumn id="18" xr3:uid="{00000000-0010-0000-7100-000012000000}" name="2023"/>
    <tableColumn id="19" xr3:uid="{00000000-0010-0000-7100-000013000000}" name="2024"/>
    <tableColumn id="20" xr3:uid="{00000000-0010-0000-7100-000014000000}" name="2025"/>
    <tableColumn id="21" xr3:uid="{00000000-0010-0000-7100-000015000000}" name="2026"/>
    <tableColumn id="22" xr3:uid="{00000000-0010-0000-7100-000016000000}" name="2027"/>
    <tableColumn id="23" xr3:uid="{00000000-0010-0000-7100-000017000000}" name="2028"/>
    <tableColumn id="24" xr3:uid="{00000000-0010-0000-7100-000018000000}" name="2029"/>
    <tableColumn id="25" xr3:uid="{00000000-0010-0000-7100-000019000000}" name="2030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72000000}" name="Table112" displayName="Table112" ref="A1011:Y1405" totalsRowCount="1">
  <autoFilter ref="A1011:Y1404" xr:uid="{00000000-0009-0000-0100-00006F000000}">
    <filterColumn colId="2">
      <filters>
        <filter val="010-ELECTRIC UTILITIES"/>
      </filters>
    </filterColumn>
  </autoFilter>
  <tableColumns count="25">
    <tableColumn id="1" xr3:uid="{00000000-0010-0000-7200-000001000000}" name="AREA"/>
    <tableColumn id="2" xr3:uid="{00000000-0010-0000-7200-000002000000}" name="EIC"/>
    <tableColumn id="3" xr3:uid="{00000000-0010-0000-7200-000003000000}" name="EICSUM"/>
    <tableColumn id="4" xr3:uid="{00000000-0010-0000-7200-000004000000}" name="EICSOU"/>
    <tableColumn id="5" xr3:uid="{00000000-0010-0000-7200-000005000000}" name="EICMAT"/>
    <tableColumn id="6" xr3:uid="{00000000-0010-0000-7200-000006000000}" name="EICSUB"/>
    <tableColumn id="7" xr3:uid="{00000000-0010-0000-7200-000007000000}" name="POLLUTANT"/>
    <tableColumn id="8" xr3:uid="{00000000-0010-0000-7200-000008000000}" name="SEASON"/>
    <tableColumn id="9" xr3:uid="{00000000-0010-0000-7200-000009000000}" name="CONTROL_TYPE"/>
    <tableColumn id="10" xr3:uid="{00000000-0010-0000-7200-00000A000000}" name="2015" totalsRowFunction="sum"/>
    <tableColumn id="11" xr3:uid="{00000000-0010-0000-7200-00000B000000}" name="2016" totalsRowFunction="sum"/>
    <tableColumn id="12" xr3:uid="{00000000-0010-0000-7200-00000C000000}" name="2017" totalsRowFunction="sum"/>
    <tableColumn id="13" xr3:uid="{00000000-0010-0000-7200-00000D000000}" name="2018" totalsRowFunction="sum"/>
    <tableColumn id="14" xr3:uid="{00000000-0010-0000-7200-00000E000000}" name="2019" totalsRowFunction="sum"/>
    <tableColumn id="15" xr3:uid="{00000000-0010-0000-7200-00000F000000}" name="2020" totalsRowFunction="sum"/>
    <tableColumn id="16" xr3:uid="{00000000-0010-0000-7200-000010000000}" name="2021" totalsRowFunction="sum"/>
    <tableColumn id="17" xr3:uid="{00000000-0010-0000-7200-000011000000}" name="2022" totalsRowFunction="sum"/>
    <tableColumn id="18" xr3:uid="{00000000-0010-0000-7200-000012000000}" name="2023" totalsRowFunction="sum"/>
    <tableColumn id="19" xr3:uid="{00000000-0010-0000-7200-000013000000}" name="2024" totalsRowFunction="sum"/>
    <tableColumn id="20" xr3:uid="{00000000-0010-0000-7200-000014000000}" name="2025" totalsRowFunction="sum"/>
    <tableColumn id="21" xr3:uid="{00000000-0010-0000-7200-000015000000}" name="2026" totalsRowFunction="sum"/>
    <tableColumn id="22" xr3:uid="{00000000-0010-0000-7200-000016000000}" name="2027" totalsRowFunction="sum"/>
    <tableColumn id="23" xr3:uid="{00000000-0010-0000-7200-000017000000}" name="2028" totalsRowFunction="sum"/>
    <tableColumn id="24" xr3:uid="{00000000-0010-0000-7200-000018000000}" name="2029" totalsRowFunction="sum"/>
    <tableColumn id="25" xr3:uid="{00000000-0010-0000-7200-000019000000}" name="2030" totalsRowFunction="sum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73000000}" name="Table113" displayName="Table113" ref="A1407:Y1565" totalsRowCount="1">
  <autoFilter ref="A1407:Y1564" xr:uid="{00000000-0009-0000-0100-000070000000}">
    <filterColumn colId="2">
      <filters>
        <filter val="010-ELECTRIC UTILITIES"/>
      </filters>
    </filterColumn>
  </autoFilter>
  <tableColumns count="25">
    <tableColumn id="1" xr3:uid="{00000000-0010-0000-7300-000001000000}" name="AREA"/>
    <tableColumn id="2" xr3:uid="{00000000-0010-0000-7300-000002000000}" name="EIC"/>
    <tableColumn id="3" xr3:uid="{00000000-0010-0000-7300-000003000000}" name="EICSUM"/>
    <tableColumn id="4" xr3:uid="{00000000-0010-0000-7300-000004000000}" name="EICSOU"/>
    <tableColumn id="5" xr3:uid="{00000000-0010-0000-7300-000005000000}" name="EICMAT"/>
    <tableColumn id="6" xr3:uid="{00000000-0010-0000-7300-000006000000}" name="EICSUB"/>
    <tableColumn id="7" xr3:uid="{00000000-0010-0000-7300-000007000000}" name="POLLUTANT"/>
    <tableColumn id="8" xr3:uid="{00000000-0010-0000-7300-000008000000}" name="SEASON"/>
    <tableColumn id="9" xr3:uid="{00000000-0010-0000-7300-000009000000}" name="CONTROL_TYPE"/>
    <tableColumn id="10" xr3:uid="{00000000-0010-0000-7300-00000A000000}" name="2015" totalsRowFunction="sum"/>
    <tableColumn id="11" xr3:uid="{00000000-0010-0000-7300-00000B000000}" name="2016" totalsRowFunction="sum"/>
    <tableColumn id="12" xr3:uid="{00000000-0010-0000-7300-00000C000000}" name="2017" totalsRowFunction="sum"/>
    <tableColumn id="13" xr3:uid="{00000000-0010-0000-7300-00000D000000}" name="2018" totalsRowFunction="sum"/>
    <tableColumn id="14" xr3:uid="{00000000-0010-0000-7300-00000E000000}" name="2019" totalsRowFunction="sum"/>
    <tableColumn id="15" xr3:uid="{00000000-0010-0000-7300-00000F000000}" name="2020" totalsRowFunction="sum"/>
    <tableColumn id="16" xr3:uid="{00000000-0010-0000-7300-000010000000}" name="2021" totalsRowFunction="sum"/>
    <tableColumn id="17" xr3:uid="{00000000-0010-0000-7300-000011000000}" name="2022" totalsRowFunction="sum"/>
    <tableColumn id="18" xr3:uid="{00000000-0010-0000-7300-000012000000}" name="2023" totalsRowFunction="sum"/>
    <tableColumn id="19" xr3:uid="{00000000-0010-0000-7300-000013000000}" name="2024" totalsRowFunction="sum"/>
    <tableColumn id="20" xr3:uid="{00000000-0010-0000-7300-000014000000}" name="2025" totalsRowFunction="sum"/>
    <tableColumn id="21" xr3:uid="{00000000-0010-0000-7300-000015000000}" name="2026" totalsRowFunction="sum"/>
    <tableColumn id="22" xr3:uid="{00000000-0010-0000-7300-000016000000}" name="2027" totalsRowFunction="sum"/>
    <tableColumn id="23" xr3:uid="{00000000-0010-0000-7300-000017000000}" name="2028" totalsRowFunction="sum"/>
    <tableColumn id="24" xr3:uid="{00000000-0010-0000-7300-000018000000}" name="2029" totalsRowFunction="sum"/>
    <tableColumn id="25" xr3:uid="{00000000-0010-0000-7300-000019000000}" name="2030" totalsRowFunction="sum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74000000}" name="Table114" displayName="Table114" ref="A1567:Y1710" totalsRowCount="1">
  <autoFilter ref="A1567:Y1709" xr:uid="{00000000-0009-0000-0100-000071000000}">
    <filterColumn colId="2">
      <filters>
        <filter val="010-ELECTRIC UTILITIES"/>
      </filters>
    </filterColumn>
  </autoFilter>
  <tableColumns count="25">
    <tableColumn id="1" xr3:uid="{00000000-0010-0000-7400-000001000000}" name="AREA"/>
    <tableColumn id="2" xr3:uid="{00000000-0010-0000-7400-000002000000}" name="EIC"/>
    <tableColumn id="3" xr3:uid="{00000000-0010-0000-7400-000003000000}" name="EICSUM"/>
    <tableColumn id="4" xr3:uid="{00000000-0010-0000-7400-000004000000}" name="EICSOU"/>
    <tableColumn id="5" xr3:uid="{00000000-0010-0000-7400-000005000000}" name="EICMAT"/>
    <tableColumn id="6" xr3:uid="{00000000-0010-0000-7400-000006000000}" name="EICSUB"/>
    <tableColumn id="7" xr3:uid="{00000000-0010-0000-7400-000007000000}" name="POLLUTANT"/>
    <tableColumn id="8" xr3:uid="{00000000-0010-0000-7400-000008000000}" name="SEASON"/>
    <tableColumn id="9" xr3:uid="{00000000-0010-0000-7400-000009000000}" name="CONTROL_TYPE"/>
    <tableColumn id="10" xr3:uid="{00000000-0010-0000-7400-00000A000000}" name="2015" totalsRowFunction="sum"/>
    <tableColumn id="11" xr3:uid="{00000000-0010-0000-7400-00000B000000}" name="2016" totalsRowFunction="sum"/>
    <tableColumn id="12" xr3:uid="{00000000-0010-0000-7400-00000C000000}" name="2017" totalsRowFunction="sum"/>
    <tableColumn id="13" xr3:uid="{00000000-0010-0000-7400-00000D000000}" name="2018" totalsRowFunction="sum"/>
    <tableColumn id="14" xr3:uid="{00000000-0010-0000-7400-00000E000000}" name="2019" totalsRowFunction="sum"/>
    <tableColumn id="15" xr3:uid="{00000000-0010-0000-7400-00000F000000}" name="2020" totalsRowFunction="sum"/>
    <tableColumn id="16" xr3:uid="{00000000-0010-0000-7400-000010000000}" name="2021" totalsRowFunction="sum"/>
    <tableColumn id="17" xr3:uid="{00000000-0010-0000-7400-000011000000}" name="2022" totalsRowFunction="sum"/>
    <tableColumn id="18" xr3:uid="{00000000-0010-0000-7400-000012000000}" name="2023" totalsRowFunction="sum"/>
    <tableColumn id="19" xr3:uid="{00000000-0010-0000-7400-000013000000}" name="2024" totalsRowFunction="sum"/>
    <tableColumn id="20" xr3:uid="{00000000-0010-0000-7400-000014000000}" name="2025" totalsRowFunction="sum"/>
    <tableColumn id="21" xr3:uid="{00000000-0010-0000-7400-000015000000}" name="2026" totalsRowFunction="sum"/>
    <tableColumn id="22" xr3:uid="{00000000-0010-0000-7400-000016000000}" name="2027" totalsRowFunction="sum"/>
    <tableColumn id="23" xr3:uid="{00000000-0010-0000-7400-000017000000}" name="2028" totalsRowFunction="sum"/>
    <tableColumn id="24" xr3:uid="{00000000-0010-0000-7400-000018000000}" name="2029" totalsRowFunction="sum"/>
    <tableColumn id="25" xr3:uid="{00000000-0010-0000-7400-000019000000}" name="2030" totalsRowFunction="sum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75000000}" name="Table115" displayName="Table115" ref="A1712:Y2227" totalsRowCount="1">
  <autoFilter ref="A1712:Y2226" xr:uid="{00000000-0009-0000-0100-000072000000}">
    <filterColumn colId="2">
      <filters>
        <filter val="010-ELECTRIC UTILITIES"/>
      </filters>
    </filterColumn>
  </autoFilter>
  <tableColumns count="25">
    <tableColumn id="1" xr3:uid="{00000000-0010-0000-7500-000001000000}" name="AREA"/>
    <tableColumn id="2" xr3:uid="{00000000-0010-0000-7500-000002000000}" name="EIC"/>
    <tableColumn id="3" xr3:uid="{00000000-0010-0000-7500-000003000000}" name="EICSUM"/>
    <tableColumn id="4" xr3:uid="{00000000-0010-0000-7500-000004000000}" name="EICSOU"/>
    <tableColumn id="5" xr3:uid="{00000000-0010-0000-7500-000005000000}" name="EICMAT"/>
    <tableColumn id="6" xr3:uid="{00000000-0010-0000-7500-000006000000}" name="EICSUB"/>
    <tableColumn id="7" xr3:uid="{00000000-0010-0000-7500-000007000000}" name="POLLUTANT"/>
    <tableColumn id="8" xr3:uid="{00000000-0010-0000-7500-000008000000}" name="SEASON"/>
    <tableColumn id="9" xr3:uid="{00000000-0010-0000-7500-000009000000}" name="CONTROL_TYPE"/>
    <tableColumn id="10" xr3:uid="{00000000-0010-0000-7500-00000A000000}" name="2015" totalsRowFunction="sum"/>
    <tableColumn id="11" xr3:uid="{00000000-0010-0000-7500-00000B000000}" name="2016" totalsRowFunction="sum"/>
    <tableColumn id="12" xr3:uid="{00000000-0010-0000-7500-00000C000000}" name="2017" totalsRowFunction="sum"/>
    <tableColumn id="13" xr3:uid="{00000000-0010-0000-7500-00000D000000}" name="2018" totalsRowFunction="sum"/>
    <tableColumn id="14" xr3:uid="{00000000-0010-0000-7500-00000E000000}" name="2019" totalsRowFunction="sum"/>
    <tableColumn id="15" xr3:uid="{00000000-0010-0000-7500-00000F000000}" name="2020" totalsRowFunction="sum"/>
    <tableColumn id="16" xr3:uid="{00000000-0010-0000-7500-000010000000}" name="2021" totalsRowFunction="sum"/>
    <tableColumn id="17" xr3:uid="{00000000-0010-0000-7500-000011000000}" name="2022" totalsRowFunction="sum"/>
    <tableColumn id="18" xr3:uid="{00000000-0010-0000-7500-000012000000}" name="2023" totalsRowFunction="sum"/>
    <tableColumn id="19" xr3:uid="{00000000-0010-0000-7500-000013000000}" name="2024" totalsRowFunction="sum"/>
    <tableColumn id="20" xr3:uid="{00000000-0010-0000-7500-000014000000}" name="2025" totalsRowFunction="sum"/>
    <tableColumn id="21" xr3:uid="{00000000-0010-0000-7500-000015000000}" name="2026" totalsRowFunction="sum"/>
    <tableColumn id="22" xr3:uid="{00000000-0010-0000-7500-000016000000}" name="2027" totalsRowFunction="sum"/>
    <tableColumn id="23" xr3:uid="{00000000-0010-0000-7500-000017000000}" name="2028" totalsRowFunction="sum"/>
    <tableColumn id="24" xr3:uid="{00000000-0010-0000-7500-000018000000}" name="2029" totalsRowFunction="sum"/>
    <tableColumn id="25" xr3:uid="{00000000-0010-0000-7500-000019000000}" name="2030" totalsRowFunction="sum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6000000}" name="Table116" displayName="Table116" ref="A2229:Y2861" totalsRowCount="1">
  <autoFilter ref="A2229:Y2860" xr:uid="{00000000-0009-0000-0100-000073000000}">
    <filterColumn colId="2">
      <filters>
        <filter val="010-ELECTRIC UTILITIES"/>
      </filters>
    </filterColumn>
  </autoFilter>
  <tableColumns count="25">
    <tableColumn id="1" xr3:uid="{00000000-0010-0000-7600-000001000000}" name="AREA"/>
    <tableColumn id="2" xr3:uid="{00000000-0010-0000-7600-000002000000}" name="EIC"/>
    <tableColumn id="3" xr3:uid="{00000000-0010-0000-7600-000003000000}" name="EICSUM"/>
    <tableColumn id="4" xr3:uid="{00000000-0010-0000-7600-000004000000}" name="EICSOU"/>
    <tableColumn id="5" xr3:uid="{00000000-0010-0000-7600-000005000000}" name="EICMAT"/>
    <tableColumn id="6" xr3:uid="{00000000-0010-0000-7600-000006000000}" name="EICSUB"/>
    <tableColumn id="7" xr3:uid="{00000000-0010-0000-7600-000007000000}" name="POLLUTANT"/>
    <tableColumn id="8" xr3:uid="{00000000-0010-0000-7600-000008000000}" name="SEASON"/>
    <tableColumn id="9" xr3:uid="{00000000-0010-0000-7600-000009000000}" name="CONTROL_TYPE"/>
    <tableColumn id="10" xr3:uid="{00000000-0010-0000-7600-00000A000000}" name="2015" totalsRowFunction="sum"/>
    <tableColumn id="11" xr3:uid="{00000000-0010-0000-7600-00000B000000}" name="2016" totalsRowFunction="sum"/>
    <tableColumn id="12" xr3:uid="{00000000-0010-0000-7600-00000C000000}" name="2017" totalsRowFunction="sum"/>
    <tableColumn id="13" xr3:uid="{00000000-0010-0000-7600-00000D000000}" name="2018" totalsRowFunction="sum"/>
    <tableColumn id="14" xr3:uid="{00000000-0010-0000-7600-00000E000000}" name="2019" totalsRowFunction="sum"/>
    <tableColumn id="15" xr3:uid="{00000000-0010-0000-7600-00000F000000}" name="2020" totalsRowFunction="sum"/>
    <tableColumn id="16" xr3:uid="{00000000-0010-0000-7600-000010000000}" name="2021" totalsRowFunction="sum"/>
    <tableColumn id="17" xr3:uid="{00000000-0010-0000-7600-000011000000}" name="2022" totalsRowFunction="sum"/>
    <tableColumn id="18" xr3:uid="{00000000-0010-0000-7600-000012000000}" name="2023" totalsRowFunction="sum"/>
    <tableColumn id="19" xr3:uid="{00000000-0010-0000-7600-000013000000}" name="2024" totalsRowFunction="sum"/>
    <tableColumn id="20" xr3:uid="{00000000-0010-0000-7600-000014000000}" name="2025" totalsRowFunction="sum"/>
    <tableColumn id="21" xr3:uid="{00000000-0010-0000-7600-000015000000}" name="2026" totalsRowFunction="sum"/>
    <tableColumn id="22" xr3:uid="{00000000-0010-0000-7600-000016000000}" name="2027" totalsRowFunction="sum"/>
    <tableColumn id="23" xr3:uid="{00000000-0010-0000-7600-000017000000}" name="2028" totalsRowFunction="sum"/>
    <tableColumn id="24" xr3:uid="{00000000-0010-0000-7600-000018000000}" name="2029" totalsRowFunction="sum"/>
    <tableColumn id="25" xr3:uid="{00000000-0010-0000-7600-000019000000}" name="2030" totalsRowFunction="sum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7000000}" name="Table117" displayName="Table117" ref="A2863:Y3214" totalsRowCount="1">
  <autoFilter ref="A2863:Y3213" xr:uid="{00000000-0009-0000-0100-000074000000}">
    <filterColumn colId="2">
      <filters>
        <filter val="010-ELECTRIC UTILITIES"/>
      </filters>
    </filterColumn>
  </autoFilter>
  <tableColumns count="25">
    <tableColumn id="1" xr3:uid="{00000000-0010-0000-7700-000001000000}" name="AREA"/>
    <tableColumn id="2" xr3:uid="{00000000-0010-0000-7700-000002000000}" name="EIC"/>
    <tableColumn id="3" xr3:uid="{00000000-0010-0000-7700-000003000000}" name="EICSUM"/>
    <tableColumn id="4" xr3:uid="{00000000-0010-0000-7700-000004000000}" name="EICSOU"/>
    <tableColumn id="5" xr3:uid="{00000000-0010-0000-7700-000005000000}" name="EICMAT"/>
    <tableColumn id="6" xr3:uid="{00000000-0010-0000-7700-000006000000}" name="EICSUB"/>
    <tableColumn id="7" xr3:uid="{00000000-0010-0000-7700-000007000000}" name="POLLUTANT"/>
    <tableColumn id="8" xr3:uid="{00000000-0010-0000-7700-000008000000}" name="SEASON"/>
    <tableColumn id="9" xr3:uid="{00000000-0010-0000-7700-000009000000}" name="CONTROL_TYPE"/>
    <tableColumn id="10" xr3:uid="{00000000-0010-0000-7700-00000A000000}" name="2015" totalsRowFunction="sum"/>
    <tableColumn id="11" xr3:uid="{00000000-0010-0000-7700-00000B000000}" name="2016" totalsRowFunction="sum"/>
    <tableColumn id="12" xr3:uid="{00000000-0010-0000-7700-00000C000000}" name="2017" totalsRowFunction="sum"/>
    <tableColumn id="13" xr3:uid="{00000000-0010-0000-7700-00000D000000}" name="2018" totalsRowFunction="sum"/>
    <tableColumn id="14" xr3:uid="{00000000-0010-0000-7700-00000E000000}" name="2019" totalsRowFunction="sum"/>
    <tableColumn id="15" xr3:uid="{00000000-0010-0000-7700-00000F000000}" name="2020" totalsRowFunction="sum"/>
    <tableColumn id="16" xr3:uid="{00000000-0010-0000-7700-000010000000}" name="2021" totalsRowFunction="sum"/>
    <tableColumn id="17" xr3:uid="{00000000-0010-0000-7700-000011000000}" name="2022" totalsRowFunction="sum"/>
    <tableColumn id="18" xr3:uid="{00000000-0010-0000-7700-000012000000}" name="2023" totalsRowFunction="sum"/>
    <tableColumn id="19" xr3:uid="{00000000-0010-0000-7700-000013000000}" name="2024" totalsRowFunction="sum"/>
    <tableColumn id="20" xr3:uid="{00000000-0010-0000-7700-000014000000}" name="2025" totalsRowFunction="sum"/>
    <tableColumn id="21" xr3:uid="{00000000-0010-0000-7700-000015000000}" name="2026" totalsRowFunction="sum"/>
    <tableColumn id="22" xr3:uid="{00000000-0010-0000-7700-000016000000}" name="2027" totalsRowFunction="sum"/>
    <tableColumn id="23" xr3:uid="{00000000-0010-0000-7700-000017000000}" name="2028" totalsRowFunction="sum"/>
    <tableColumn id="24" xr3:uid="{00000000-0010-0000-7700-000018000000}" name="2029" totalsRowFunction="sum"/>
    <tableColumn id="25" xr3:uid="{00000000-0010-0000-7700-000019000000}" name="2030" totalsRowFunction="sum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72D0BD2-F589-44FA-8A91-CC6C48483230}" name="Table4" displayName="Table4" ref="A29:XFD82" totalsRowCount="1">
  <autoFilter ref="A29:XFD81" xr:uid="{272D0BD2-F589-44FA-8A91-CC6C48483230}"/>
  <tableColumns count="16384">
    <tableColumn id="1" xr3:uid="{E0C50A1E-968D-4851-B122-D7A1C291ACC2}" name="AREA"/>
    <tableColumn id="2" xr3:uid="{4ABCA222-C44E-4321-A629-D28CF456FAD4}" name="EIC"/>
    <tableColumn id="3" xr3:uid="{5130CF73-E06F-48C2-AA66-775986BD9388}" name="EICSUM"/>
    <tableColumn id="4" xr3:uid="{A4F53B8D-DDA7-4A06-90FD-E8D379938E1A}" name="EICSOU"/>
    <tableColumn id="5" xr3:uid="{BA30B809-FF27-40FF-99D8-D5A9FCFC14A2}" name="EICMAT"/>
    <tableColumn id="6" xr3:uid="{4FD7ABEE-F978-459A-B52D-453BBD990DFC}" name="EICSUB"/>
    <tableColumn id="7" xr3:uid="{D11083EF-B044-4DE9-A300-8B79A119ADF8}" name="POLLUTANT"/>
    <tableColumn id="8" xr3:uid="{7D4C78E4-5CD2-48FD-8A38-BA8741DC9E18}" name="SEASON"/>
    <tableColumn id="9" xr3:uid="{06FE1808-B08A-41BD-9671-FDC70ADAEE5F}" name="CONTROL_TYPE"/>
    <tableColumn id="10" xr3:uid="{C2A04219-8289-47FC-BE02-23D4835127C4}" name="2023" totalsRowFunction="custom">
      <totalsRowFormula>SUBTOTAL(109,Table4[2023])</totalsRowFormula>
    </tableColumn>
    <tableColumn id="11" xr3:uid="{C24FEEA0-3ABB-4B66-9BAF-B38C7D6E9C4F}" name="2024" totalsRowFunction="custom">
      <totalsRowFormula>SUBTOTAL(109,Table4[2024])</totalsRowFormula>
    </tableColumn>
    <tableColumn id="12" xr3:uid="{08FD8631-D6C1-42F2-AC2F-8481101ADE72}" name="2025" totalsRowFunction="custom">
      <totalsRowFormula>SUBTOTAL(109,Table4[2025])</totalsRowFormula>
    </tableColumn>
    <tableColumn id="13" xr3:uid="{7F87B54F-0E1C-4832-8A99-9C65E84B2175}" name="2026" totalsRowFunction="custom">
      <totalsRowFormula>SUBTOTAL(109,Table4[2026])</totalsRowFormula>
    </tableColumn>
    <tableColumn id="14" xr3:uid="{9A551CBC-8EB2-41D7-B1C5-EF0976B82CF3}" name="2027" totalsRowFunction="custom">
      <totalsRowFormula>SUBTOTAL(109,Table4[2027])</totalsRowFormula>
    </tableColumn>
    <tableColumn id="15" xr3:uid="{76B269F3-984C-477F-9EB6-8280F581E59A}" name="2028" totalsRowFunction="custom">
      <totalsRowFormula>SUBTOTAL(109,Table4[2028])</totalsRowFormula>
    </tableColumn>
    <tableColumn id="16" xr3:uid="{8364840D-BDD3-4D12-85AC-13F3325B5C58}" name="2029" totalsRowFunction="custom">
      <totalsRowFormula>SUBTOTAL(109,Table4[2029])</totalsRowFormula>
    </tableColumn>
    <tableColumn id="17" xr3:uid="{21508DB8-654B-4BAE-9EBE-1FE4144B31BF}" name="2030" totalsRowFunction="custom">
      <totalsRowFormula>SUBTOTAL(109,Table4[2030])</totalsRowFormula>
    </tableColumn>
    <tableColumn id="18" xr3:uid="{171AA19E-60CD-4712-8398-112A2CBE6338}" name="2031" totalsRowFunction="custom">
      <totalsRowFormula>SUBTOTAL(109,Table4[2031])</totalsRowFormula>
    </tableColumn>
    <tableColumn id="19" xr3:uid="{928ADAB9-959C-4A6C-98B6-7F45A1034B8C}" name="2032" totalsRowFunction="custom">
      <totalsRowFormula>SUBTOTAL(109,Table4[2032])</totalsRowFormula>
    </tableColumn>
    <tableColumn id="20" xr3:uid="{9647FC95-0746-47E9-84D2-D77252D969E3}" name="2033" totalsRowFunction="custom">
      <totalsRowFormula>SUBTOTAL(109,Table4[2033])</totalsRowFormula>
    </tableColumn>
    <tableColumn id="21" xr3:uid="{D9E0E7B8-3086-4203-920D-8720011EC240}" name="2034" totalsRowFunction="custom">
      <totalsRowFormula>SUBTOTAL(109,Table4[2034])</totalsRowFormula>
    </tableColumn>
    <tableColumn id="22" xr3:uid="{8E45F21B-1E5A-4093-9C3A-89F8E668167C}" name="2035" totalsRowFunction="custom">
      <totalsRowFormula>SUBTOTAL(109,Table4[2035])</totalsRowFormula>
    </tableColumn>
    <tableColumn id="23" xr3:uid="{BC9F0EA2-6A02-4883-B074-F77633B5D260}" name="2036" totalsRowFunction="custom">
      <totalsRowFormula>SUBTOTAL(109,Table4[2036])</totalsRowFormula>
    </tableColumn>
    <tableColumn id="24" xr3:uid="{36D5D5AE-956F-4F77-A7BC-417B1F7E1831}" name="2037" totalsRowFunction="custom">
      <totalsRowFormula>SUBTOTAL(109,Table4[2037])</totalsRowFormula>
    </tableColumn>
    <tableColumn id="25" xr3:uid="{0475D734-1E39-4954-B404-5D28B8AD951E}" name="2038" totalsRowFunction="custom">
      <totalsRowFormula>SUBTOTAL(109,Table4[2038])</totalsRowFormula>
    </tableColumn>
    <tableColumn id="26" xr3:uid="{3DD7AA08-FA41-419C-BAAB-495296C42AB8}" name="2039" totalsRowFunction="custom">
      <totalsRowFormula>SUBTOTAL(109,Table4[2039])</totalsRowFormula>
    </tableColumn>
    <tableColumn id="27" xr3:uid="{77BB9BFF-2F52-40DE-B376-6B840878AF49}" name="2040" totalsRowFunction="custom">
      <totalsRowFormula>SUBTOTAL(109,Table4[2040])</totalsRowFormula>
    </tableColumn>
    <tableColumn id="28" xr3:uid="{C1F56AAD-8DD2-408C-B206-FEE18A1147FA}" name="2041" totalsRowFunction="custom">
      <totalsRowFormula>SUBTOTAL(109,Table4[2041])</totalsRowFormula>
    </tableColumn>
    <tableColumn id="29" xr3:uid="{705620FB-F14C-4F85-80DB-96AE32795520}" name="2042" totalsRowFunction="custom">
      <totalsRowFormula>SUBTOTAL(109,Table4[2042])</totalsRowFormula>
    </tableColumn>
    <tableColumn id="30" xr3:uid="{36E2F158-D37F-4FAB-A2FB-82484B951103}" name="2043" totalsRowFunction="custom">
      <totalsRowFormula>SUBTOTAL(109,Table4[2043])</totalsRowFormula>
    </tableColumn>
    <tableColumn id="31" xr3:uid="{E7F506D5-4CD2-4D4E-B3C9-F83F7ED40BBE}" name="2044" totalsRowFunction="custom">
      <totalsRowFormula>SUBTOTAL(109,Table4[2044])</totalsRowFormula>
    </tableColumn>
    <tableColumn id="32" xr3:uid="{FFA89A84-DB6B-4C27-ADF6-1C06297C20E3}" name="2045" totalsRowFunction="custom">
      <totalsRowFormula>SUBTOTAL(109,Table4[2045])</totalsRowFormula>
    </tableColumn>
    <tableColumn id="33" xr3:uid="{3DC05404-30A9-4CD7-8C52-B8488F2396DE}" name="2046" totalsRowFunction="custom">
      <totalsRowFormula>SUBTOTAL(109,Table4[2046])</totalsRowFormula>
    </tableColumn>
    <tableColumn id="34" xr3:uid="{AAC08CE8-361A-489E-B5F4-A9537B0422A8}" name="Column1"/>
    <tableColumn id="35" xr3:uid="{AEB32CB6-8A10-4B0F-8256-B7D594760425}" name="Column2"/>
    <tableColumn id="36" xr3:uid="{1796DED9-D2EE-4832-B180-DC12B10E928F}" name="Column3"/>
    <tableColumn id="37" xr3:uid="{4C6CB282-7DB8-4EDC-A278-70794E399B84}" name="Column4"/>
    <tableColumn id="38" xr3:uid="{E3FE275C-34F4-46CB-A5AD-60BC95176444}" name="Column5"/>
    <tableColumn id="39" xr3:uid="{A1D5DA81-9CDA-4F95-B525-E1C2D1FBB39D}" name="Column6"/>
    <tableColumn id="40" xr3:uid="{387A492F-44DA-489B-A64C-30C5399DEB37}" name="Column7"/>
    <tableColumn id="41" xr3:uid="{0D12B14E-4F54-4776-BC95-1A8073AA2F4E}" name="Column8"/>
    <tableColumn id="42" xr3:uid="{4CBE7CE6-6C4D-455B-BE60-DE4777D38A4F}" name="Column9"/>
    <tableColumn id="43" xr3:uid="{4E5E55C9-A084-4848-9A68-D1371D6F2CB7}" name="Column10"/>
    <tableColumn id="44" xr3:uid="{ED70AD05-5197-4E81-82D3-4F72B2CF1833}" name="Column11"/>
    <tableColumn id="45" xr3:uid="{129BA880-F513-4DFE-B99F-ACDAA6F7BCB5}" name="Column12"/>
    <tableColumn id="46" xr3:uid="{B4769FE5-2FC3-4C26-9CFD-76A11CFA88F6}" name="Column13"/>
    <tableColumn id="47" xr3:uid="{0588AD0E-B83E-42BF-B100-F24F57797303}" name="Column14"/>
    <tableColumn id="48" xr3:uid="{BBF4D2DB-3F33-41F2-A170-EAF5DD240FCC}" name="Column15"/>
    <tableColumn id="49" xr3:uid="{2F886A5D-8E48-419B-947B-968C01811182}" name="Column16"/>
    <tableColumn id="50" xr3:uid="{ECAD7859-E7CA-4DE9-AD22-DE0F3049FC54}" name="Column17"/>
    <tableColumn id="51" xr3:uid="{C1785D99-D952-4F31-A570-AED46634F9A9}" name="Column18"/>
    <tableColumn id="52" xr3:uid="{91703F78-3F73-4BE6-A4B0-4A83FFC849F4}" name="Column19"/>
    <tableColumn id="53" xr3:uid="{67B88B7D-E236-4BC3-BAF9-4BCF1F7A1B1E}" name="Column20"/>
    <tableColumn id="54" xr3:uid="{6D159D17-3B16-4811-AE90-2B3C78AE1F85}" name="Column21"/>
    <tableColumn id="55" xr3:uid="{19DB8FE8-0D15-4F92-BD6A-492ADD620AA3}" name="Column22"/>
    <tableColumn id="56" xr3:uid="{0609D9CB-B82A-48A1-997C-6355D41CC2AC}" name="Column23"/>
    <tableColumn id="57" xr3:uid="{25270D66-6524-49AF-B969-891AD6ACA361}" name="Column24"/>
    <tableColumn id="58" xr3:uid="{76D8CFA9-B9E5-4FC1-9E0F-3F6D5DB87713}" name="Column25"/>
    <tableColumn id="59" xr3:uid="{B220770E-5377-4A14-88F4-384935BA7402}" name="Column26"/>
    <tableColumn id="60" xr3:uid="{63093253-8AC5-4D90-A8DF-B94B59A2B5A8}" name="Column27"/>
    <tableColumn id="61" xr3:uid="{8C93BDFF-2952-4CE3-8C20-C239E64B89E1}" name="Column28"/>
    <tableColumn id="62" xr3:uid="{36B25860-90AF-474D-837E-8DD604464A31}" name="Column29"/>
    <tableColumn id="63" xr3:uid="{40E7C148-C9F4-49D1-B649-568D4ECB4987}" name="Column30"/>
    <tableColumn id="64" xr3:uid="{BE2D7D46-EC7A-4050-941A-A1CF2A231DDC}" name="Column31"/>
    <tableColumn id="65" xr3:uid="{98C0D52E-10AB-45B5-A0F7-C0DC076189B6}" name="Column32"/>
    <tableColumn id="66" xr3:uid="{82F676F8-C738-44D3-8646-FF748980D665}" name="Column33"/>
    <tableColumn id="67" xr3:uid="{93E588B7-A856-42A7-A24C-BB1BA1E715A5}" name="Column34"/>
    <tableColumn id="68" xr3:uid="{2A68F7A2-F844-47FE-B571-79A370A74F4C}" name="Column35"/>
    <tableColumn id="69" xr3:uid="{9E77C4AF-ABFD-468A-90E8-C84446C18B65}" name="Column36"/>
    <tableColumn id="70" xr3:uid="{9835AFAF-BB3D-46B5-8B85-55445BD37347}" name="Column37"/>
    <tableColumn id="71" xr3:uid="{93F5273B-7213-496C-97B6-08E23877EDC7}" name="Column38"/>
    <tableColumn id="72" xr3:uid="{2F4FAC05-0C27-4947-B26D-B1846C1B08EC}" name="Column39"/>
    <tableColumn id="73" xr3:uid="{8A0A7537-5184-44C5-98E1-1D6060190177}" name="Column40"/>
    <tableColumn id="74" xr3:uid="{F75BA672-9DEF-4E14-A100-16E1C81A8ADB}" name="Column41"/>
    <tableColumn id="75" xr3:uid="{946ADF8B-E384-4647-944A-FE9AB662246A}" name="Column42"/>
    <tableColumn id="76" xr3:uid="{615D4D8C-D0A6-452E-9691-DD6A213BD238}" name="Column43"/>
    <tableColumn id="77" xr3:uid="{4AC391CA-7366-4F31-9571-BABAADF653BD}" name="Column44"/>
    <tableColumn id="78" xr3:uid="{F7BAB7A4-9257-4BC5-BA80-F1E721AEE42B}" name="Column45"/>
    <tableColumn id="79" xr3:uid="{8A0D3258-1A8D-4B5E-8278-FFCC55C4105C}" name="Column46"/>
    <tableColumn id="80" xr3:uid="{5CC6FC04-6400-4DBD-8275-AB5F4CECAA1C}" name="Column47"/>
    <tableColumn id="81" xr3:uid="{1C330C2D-B60A-413E-8A9F-6794410C0B8F}" name="Column48"/>
    <tableColumn id="82" xr3:uid="{5CC40413-7ED1-487E-BF11-12464147338D}" name="Column49"/>
    <tableColumn id="83" xr3:uid="{D3499AE4-30E5-46A6-BB22-6B5DE5717B5B}" name="Column50"/>
    <tableColumn id="84" xr3:uid="{B949D2C0-C453-4438-94A1-81BA4457B6D5}" name="Column51"/>
    <tableColumn id="85" xr3:uid="{76AD09D0-7B1D-48DF-A0FA-08FC3AB6E1ED}" name="Column52"/>
    <tableColumn id="86" xr3:uid="{098EF56B-A5BC-445A-82A2-F962BBA6F440}" name="Column53"/>
    <tableColumn id="87" xr3:uid="{2FD31D90-0DC8-4ED0-9189-697B2239FE44}" name="Column54"/>
    <tableColumn id="88" xr3:uid="{BA4BB3BC-A006-43CF-B923-4C9D40485496}" name="Column55"/>
    <tableColumn id="89" xr3:uid="{4CE6F3A0-972C-4381-BEED-FCD8F51B8839}" name="Column56"/>
    <tableColumn id="90" xr3:uid="{0D2DE1DC-EBEA-416A-BEAF-C4A406C02A2A}" name="Column57"/>
    <tableColumn id="91" xr3:uid="{1308FCF1-1487-464B-83B7-9094E4496ED8}" name="Column58"/>
    <tableColumn id="92" xr3:uid="{8366394F-0F30-4C49-8600-93E08E304D7D}" name="Column59"/>
    <tableColumn id="93" xr3:uid="{8CCE2C96-3C9F-48F1-A98E-D1882CAA3F60}" name="Column60"/>
    <tableColumn id="94" xr3:uid="{0C17C162-B0DA-4308-A696-243F8E50AAE9}" name="Column61"/>
    <tableColumn id="95" xr3:uid="{515EE53C-A414-49EF-ACAE-497D4827F230}" name="Column62"/>
    <tableColumn id="96" xr3:uid="{18996058-3B07-4978-A69C-69C7106F3F09}" name="Column63"/>
    <tableColumn id="97" xr3:uid="{93B5C9CE-D4B8-48DC-B8CA-9EA8D328DC6E}" name="Column64"/>
    <tableColumn id="98" xr3:uid="{D90EEE4D-B8CC-449A-BE31-E43A134C13B8}" name="Column65"/>
    <tableColumn id="99" xr3:uid="{62F3E993-435B-4193-ADC6-99BC1363574A}" name="Column66"/>
    <tableColumn id="100" xr3:uid="{AA72881A-053C-4149-BDA1-7D1D24C704EE}" name="Column67"/>
    <tableColumn id="101" xr3:uid="{58E9D629-3D7A-4AAD-B055-0C0F881C0C5E}" name="Column68"/>
    <tableColumn id="102" xr3:uid="{5CD8D332-CFA4-4CC5-A1C2-80785EBEFCBF}" name="Column69"/>
    <tableColumn id="103" xr3:uid="{31FDDF62-C1C0-4E67-8C27-0506BC562165}" name="Column70"/>
    <tableColumn id="104" xr3:uid="{A111274E-ECF0-4112-9EFC-91DE5E470D37}" name="Column71"/>
    <tableColumn id="105" xr3:uid="{0E0BC944-EADE-4AB0-9511-3E61630BBE90}" name="Column72"/>
    <tableColumn id="106" xr3:uid="{ECE9FC94-CCF6-48E4-B259-6D0FFFC00FED}" name="Column73"/>
    <tableColumn id="107" xr3:uid="{9848DE66-B421-4D85-9268-E128A754D0F8}" name="Column74"/>
    <tableColumn id="108" xr3:uid="{1E937FC6-C986-493F-9962-3A9A8E7B7B29}" name="Column75"/>
    <tableColumn id="109" xr3:uid="{31F1B111-DF1F-470B-B6C2-7A8FCAE11A2E}" name="Column76"/>
    <tableColumn id="110" xr3:uid="{0AA579DA-6100-4581-96D0-7309A967D688}" name="Column77"/>
    <tableColumn id="111" xr3:uid="{FEB1248D-7347-437E-918D-1ADA4719D5EC}" name="Column78"/>
    <tableColumn id="112" xr3:uid="{CC7D7966-BC76-4E8B-BBFC-F9C1B66E0B43}" name="Column79"/>
    <tableColumn id="113" xr3:uid="{ABFFF78A-2FA0-49CE-8242-3BEE290BE226}" name="Column80"/>
    <tableColumn id="114" xr3:uid="{94074A61-33C6-40C9-991C-03AC0F4B0E51}" name="Column81"/>
    <tableColumn id="115" xr3:uid="{9AFC6058-05AC-4B92-A6A0-01DE7783EA7D}" name="Column82"/>
    <tableColumn id="116" xr3:uid="{3AD203A3-EBC0-41CE-8E90-9C38E45A4DE7}" name="Column83"/>
    <tableColumn id="117" xr3:uid="{F6BFD4FC-3EDF-4182-89AB-C3443A16AE48}" name="Column84"/>
    <tableColumn id="118" xr3:uid="{F53DBD31-C1C5-4DED-B0A2-C7F4BB481F3A}" name="Column85"/>
    <tableColumn id="119" xr3:uid="{4B66BFCA-D03C-4755-98F5-6C02F63CB91A}" name="Column86"/>
    <tableColumn id="120" xr3:uid="{1E715874-14A3-4EF9-AA01-AEFB13DBD31C}" name="Column87"/>
    <tableColumn id="121" xr3:uid="{7AEFC5EA-AAAC-49D8-ABB6-B1434F19634B}" name="Column88"/>
    <tableColumn id="122" xr3:uid="{7568C155-DC11-44C0-877E-C52CA9CB60CC}" name="Column89"/>
    <tableColumn id="123" xr3:uid="{40F5476C-EDA5-4E17-AA16-0DBE9820C063}" name="Column90"/>
    <tableColumn id="124" xr3:uid="{5AFC25C7-D526-4F7D-838C-8FB71628B164}" name="Column91"/>
    <tableColumn id="125" xr3:uid="{90C24DD9-8E4A-41EC-8D1D-ED2B587B2D7F}" name="Column92"/>
    <tableColumn id="126" xr3:uid="{7DE71E1C-F7AD-4F22-8C22-6159742EB3B8}" name="Column93"/>
    <tableColumn id="127" xr3:uid="{954D0141-6115-428A-A049-4F67CBDC0DE7}" name="Column94"/>
    <tableColumn id="128" xr3:uid="{1F1932E4-D511-480D-9E06-DA6727C42E43}" name="Column95"/>
    <tableColumn id="129" xr3:uid="{AB1850D9-DE7A-4199-9FC6-1A49EB23FF37}" name="Column96"/>
    <tableColumn id="130" xr3:uid="{945BD1FE-AB11-43A9-82A1-B2FFA55C7799}" name="Column97"/>
    <tableColumn id="131" xr3:uid="{1CC68F67-6CDA-4D17-964C-0F9E3C60F413}" name="Column98"/>
    <tableColumn id="132" xr3:uid="{A1618E2F-C284-4D08-B70A-CB36AF403DC4}" name="Column99"/>
    <tableColumn id="133" xr3:uid="{B529BEE7-7697-4733-8AC3-B233C42EE92F}" name="Column100"/>
    <tableColumn id="134" xr3:uid="{B8BC2686-AAC4-41BB-A410-3F7FC2A561BC}" name="Column101"/>
    <tableColumn id="135" xr3:uid="{6BB60819-DDE1-4966-BAE3-818E95192684}" name="Column102"/>
    <tableColumn id="136" xr3:uid="{AB5FE3CA-FDB6-41F6-B6E5-1F6C0C1EFB1B}" name="Column103"/>
    <tableColumn id="137" xr3:uid="{FF276BF8-922A-4D11-98ED-82FB6250A612}" name="Column104"/>
    <tableColumn id="138" xr3:uid="{FA68CDD3-8151-4D76-92B6-DC4D0C915F59}" name="Column105"/>
    <tableColumn id="139" xr3:uid="{6163BD5A-A03A-42F5-9375-12B9105E01EC}" name="Column106"/>
    <tableColumn id="140" xr3:uid="{037D7E82-B6A9-4E5D-8F57-5BD2B3037C73}" name="Column107"/>
    <tableColumn id="141" xr3:uid="{1F4DF51E-52D9-4DB7-AB4A-1E76E9AB31FB}" name="Column108"/>
    <tableColumn id="142" xr3:uid="{CFB320F5-B83D-42F0-B74E-AAC2CE976F96}" name="Column109"/>
    <tableColumn id="143" xr3:uid="{5777A877-DB36-4DCF-AA71-0AB6AFA34D7F}" name="Column110"/>
    <tableColumn id="144" xr3:uid="{BF337817-5BE4-4CC1-B9C6-8213E91B468A}" name="Column111"/>
    <tableColumn id="145" xr3:uid="{3610B495-D818-4D31-ABB8-FC24DCAA1771}" name="Column112"/>
    <tableColumn id="146" xr3:uid="{3450DD92-BE11-4201-9FFD-8D5108359DBC}" name="Column113"/>
    <tableColumn id="147" xr3:uid="{B54C6462-0D93-4127-9BE0-B3746D5D1E67}" name="Column114"/>
    <tableColumn id="148" xr3:uid="{5092088A-02FE-4E02-B4B3-564A8D3342FD}" name="Column115"/>
    <tableColumn id="149" xr3:uid="{02BD7C29-5B6E-432E-9293-0A7E82B63DA6}" name="Column116"/>
    <tableColumn id="150" xr3:uid="{6E167C42-9CDF-4917-8054-3474CA3583E5}" name="Column117"/>
    <tableColumn id="151" xr3:uid="{ECE7F9AC-B366-45B7-9C5E-A4CCAA980EE9}" name="Column118"/>
    <tableColumn id="152" xr3:uid="{2946EB01-DF94-4B75-848D-FC9830246C80}" name="Column119"/>
    <tableColumn id="153" xr3:uid="{760C89F4-4B59-44F6-91F5-16555C9FDB74}" name="Column120"/>
    <tableColumn id="154" xr3:uid="{A45269B8-2D7E-4923-8AB5-39EB5A104B02}" name="Column121"/>
    <tableColumn id="155" xr3:uid="{B4A6A566-0F61-434D-92ED-8504038F0A8C}" name="Column122"/>
    <tableColumn id="156" xr3:uid="{F5E9F791-0EA2-4CB4-B712-59472AB7534A}" name="Column123"/>
    <tableColumn id="157" xr3:uid="{909FA3DC-DC74-4055-9A10-606ED165BE2D}" name="Column124"/>
    <tableColumn id="158" xr3:uid="{F123BB08-476E-4C64-AD6F-AD01DB11968F}" name="Column125"/>
    <tableColumn id="159" xr3:uid="{AF40C5B4-4EA3-403F-8143-1FF221C13F93}" name="Column126"/>
    <tableColumn id="160" xr3:uid="{387CDC1D-FA59-42F7-96F3-B1615D5A94D1}" name="Column127"/>
    <tableColumn id="161" xr3:uid="{7F5CF391-C8DA-4B5F-8EAE-034B70C86FE3}" name="Column128"/>
    <tableColumn id="162" xr3:uid="{03F41191-4ABE-4207-B181-B1912F74E291}" name="Column129"/>
    <tableColumn id="163" xr3:uid="{4F5840AD-8F6D-4532-8062-DB255759C9DE}" name="Column130"/>
    <tableColumn id="164" xr3:uid="{ADA18148-7897-4BBD-8CD3-8DBA7E3F5449}" name="Column131"/>
    <tableColumn id="165" xr3:uid="{5A57CA7B-9DFF-454E-B229-546C548A7334}" name="Column132"/>
    <tableColumn id="166" xr3:uid="{2821F076-96E8-4B1D-9EAE-D330F7F5F66C}" name="Column133"/>
    <tableColumn id="167" xr3:uid="{EF5C425C-9ECD-4339-A885-F744AA730E4E}" name="Column134"/>
    <tableColumn id="168" xr3:uid="{5194B39C-C0BF-4685-9183-F595D5246C94}" name="Column135"/>
    <tableColumn id="169" xr3:uid="{13F7A534-232A-438B-A546-0F622A566F83}" name="Column136"/>
    <tableColumn id="170" xr3:uid="{114953DF-3179-4D9E-A634-32801A27C810}" name="Column137"/>
    <tableColumn id="171" xr3:uid="{C512F08F-D237-4ECA-9A30-7711A9426594}" name="Column138"/>
    <tableColumn id="172" xr3:uid="{EBC3FEA0-4A14-4BE1-ABAA-1EF1EA8E2198}" name="Column139"/>
    <tableColumn id="173" xr3:uid="{1912CFB0-14C8-4C39-845E-9D9D787A96C7}" name="Column140"/>
    <tableColumn id="174" xr3:uid="{333A3277-F6FD-46ED-859E-FCBBD52DA19C}" name="Column141"/>
    <tableColumn id="175" xr3:uid="{8A91F5C2-0FF6-447E-99AC-8F8E86DAB802}" name="Column142"/>
    <tableColumn id="176" xr3:uid="{C838475E-22EA-4200-BB3C-952AA413112C}" name="Column143"/>
    <tableColumn id="177" xr3:uid="{279E3C82-1F81-4256-84BF-F3E6EDBD27D5}" name="Column144"/>
    <tableColumn id="178" xr3:uid="{83ECA7D5-13C4-4EA8-A23B-04F871D50824}" name="Column145"/>
    <tableColumn id="179" xr3:uid="{5C2CA3BA-CE4C-4D5C-93E2-F4A9BD2AF88A}" name="Column146"/>
    <tableColumn id="180" xr3:uid="{B0BDE478-D679-4A60-B45F-BDED06514B7C}" name="Column147"/>
    <tableColumn id="181" xr3:uid="{98751C89-992E-44F8-8FCE-76A19FF122C1}" name="Column148"/>
    <tableColumn id="182" xr3:uid="{18C4837D-FAF3-4C6D-ABE8-0D922EAA42A4}" name="Column149"/>
    <tableColumn id="183" xr3:uid="{4F4A203D-6EFD-4419-8FE8-DC928AA97C7F}" name="Column150"/>
    <tableColumn id="184" xr3:uid="{1A9C2E61-C425-4E81-884C-8FF941EF11E3}" name="Column151"/>
    <tableColumn id="185" xr3:uid="{6EFBC5BF-B536-49DA-8139-DDD1524D7C51}" name="Column152"/>
    <tableColumn id="186" xr3:uid="{F241A318-AFD7-4A09-BB07-A7D4D7688CAD}" name="Column153"/>
    <tableColumn id="187" xr3:uid="{2F0AE508-716B-49B8-8F1F-33852F6F76D3}" name="Column154"/>
    <tableColumn id="188" xr3:uid="{0633C4E4-BD12-4BB4-AC72-8AAEC1C3528A}" name="Column155"/>
    <tableColumn id="189" xr3:uid="{066D90AF-F2DE-471F-AF52-40443990DC75}" name="Column156"/>
    <tableColumn id="190" xr3:uid="{2F32736F-44BD-4744-BA13-9E5A1D28472C}" name="Column157"/>
    <tableColumn id="191" xr3:uid="{AC3F3DE9-30A7-4033-AA77-0625C0F2FEAD}" name="Column158"/>
    <tableColumn id="192" xr3:uid="{6FF97064-1B98-4704-BD70-BE0DC8EE0BDE}" name="Column159"/>
    <tableColumn id="193" xr3:uid="{59637B89-D96A-414D-A30D-CC48E074B301}" name="Column160"/>
    <tableColumn id="194" xr3:uid="{E0938163-60EA-464E-8A6D-3C23EC1DAA73}" name="Column161"/>
    <tableColumn id="195" xr3:uid="{41FAC174-4A8B-49FF-B27B-FC6997230C4D}" name="Column162"/>
    <tableColumn id="196" xr3:uid="{40AA199F-D577-4789-AA1A-AC17B24C7C9F}" name="Column163"/>
    <tableColumn id="197" xr3:uid="{EEF0BE2A-CB73-4185-8655-7A9B49F2DE1D}" name="Column164"/>
    <tableColumn id="198" xr3:uid="{45DA4176-40A3-455F-8DF6-9F35796A001F}" name="Column165"/>
    <tableColumn id="199" xr3:uid="{372AEDBA-8009-41D4-9325-BB49BBA6C144}" name="Column166"/>
    <tableColumn id="200" xr3:uid="{129EF485-E63E-4A07-9468-9B4D4FA588EC}" name="Column167"/>
    <tableColumn id="201" xr3:uid="{06D037A0-24AB-499F-ABDB-6D4E55869EEC}" name="Column168"/>
    <tableColumn id="202" xr3:uid="{292AC513-6B12-4A0D-9ED2-9E4393CB8BC8}" name="Column169"/>
    <tableColumn id="203" xr3:uid="{47AB5E8A-AD0F-4289-8DE6-2E5BCABA209F}" name="Column170"/>
    <tableColumn id="204" xr3:uid="{A83AB44B-5476-44FD-B69F-A05581E9E7D3}" name="Column171"/>
    <tableColumn id="205" xr3:uid="{7311AD25-BBF1-464E-8A95-781F602C1AAF}" name="Column172"/>
    <tableColumn id="206" xr3:uid="{A7F3B21E-7188-4F2B-8411-69355076500F}" name="Column173"/>
    <tableColumn id="207" xr3:uid="{D53BD3B3-0498-46D8-BE75-20B858D8D9EA}" name="Column174"/>
    <tableColumn id="208" xr3:uid="{B551EC64-95D5-473D-AA15-330A554FACD9}" name="Column175"/>
    <tableColumn id="209" xr3:uid="{CFC6D2B1-E8AC-4D3E-8577-081E21C49081}" name="Column176"/>
    <tableColumn id="210" xr3:uid="{77021629-14B4-49BB-B2A5-91830CB41B00}" name="Column177"/>
    <tableColumn id="211" xr3:uid="{4BC96C11-2084-48E2-B821-55469424569C}" name="Column178"/>
    <tableColumn id="212" xr3:uid="{C0611634-AB33-4F92-857B-D65EDE1FB951}" name="Column179"/>
    <tableColumn id="213" xr3:uid="{D185E255-46D8-4860-B495-C70660AD631B}" name="Column180"/>
    <tableColumn id="214" xr3:uid="{B0B64A00-7C92-4E06-A23E-D16DC3D8FC89}" name="Column181"/>
    <tableColumn id="215" xr3:uid="{87A90DDE-EC06-42DA-8D9B-6687521DD624}" name="Column182"/>
    <tableColumn id="216" xr3:uid="{B137414A-FF37-4643-A04B-59228FC567D3}" name="Column183"/>
    <tableColumn id="217" xr3:uid="{DD410F04-3D2C-42C1-BA7D-3AEECB2EB81E}" name="Column184"/>
    <tableColumn id="218" xr3:uid="{58260831-5904-44BE-9984-A453B1E491E9}" name="Column185"/>
    <tableColumn id="219" xr3:uid="{6477AA56-52A1-4450-B42F-D0ACC73CF50A}" name="Column186"/>
    <tableColumn id="220" xr3:uid="{84EF6F5C-4DD8-4A2E-BDB2-254A61288E19}" name="Column187"/>
    <tableColumn id="221" xr3:uid="{14FF996B-F885-4A8F-BF56-14B54E2AF740}" name="Column188"/>
    <tableColumn id="222" xr3:uid="{54E172DF-E863-47B3-B939-9496D188F1AC}" name="Column189"/>
    <tableColumn id="223" xr3:uid="{E038679C-49BE-42A3-8E1C-7438B2431765}" name="Column190"/>
    <tableColumn id="224" xr3:uid="{273DC2B3-8F40-4548-A36C-57AD96E5F712}" name="Column191"/>
    <tableColumn id="225" xr3:uid="{5981A998-CFDA-4F55-A415-9D1BBD1488F5}" name="Column192"/>
    <tableColumn id="226" xr3:uid="{214C1F9D-C5CA-43BC-9AAD-A9B56A1AF627}" name="Column193"/>
    <tableColumn id="227" xr3:uid="{D4461C0E-DFFD-40F2-87A4-32B64BE744F9}" name="Column194"/>
    <tableColumn id="228" xr3:uid="{457E75A4-807D-4365-AFD4-FD2C2EBDB97B}" name="Column195"/>
    <tableColumn id="229" xr3:uid="{5B54B583-8A08-4795-A419-9FF64FC046A6}" name="Column196"/>
    <tableColumn id="230" xr3:uid="{88AA0218-8A29-48B9-8851-982110BEDFAA}" name="Column197"/>
    <tableColumn id="231" xr3:uid="{A4EB45E9-10E5-4D3C-ABB0-B4BCAB265276}" name="Column198"/>
    <tableColumn id="232" xr3:uid="{2FB5FE12-544C-4475-B9B0-16A0ACFF9F6A}" name="Column199"/>
    <tableColumn id="233" xr3:uid="{99DD49B5-94E4-4636-936A-BC724C8E9BD4}" name="Column200"/>
    <tableColumn id="234" xr3:uid="{49C48D89-1FC5-4DAA-9F94-286E5DA111D9}" name="Column201"/>
    <tableColumn id="235" xr3:uid="{25002084-98BB-4188-86FB-608B3F68AD40}" name="Column202"/>
    <tableColumn id="236" xr3:uid="{12530C8B-9A36-4597-B4B0-94DBD08D2A3A}" name="Column203"/>
    <tableColumn id="237" xr3:uid="{ACD260E4-7E70-4DC9-B732-9617B0270EDD}" name="Column204"/>
    <tableColumn id="238" xr3:uid="{0543F5AA-ACB5-4625-B625-4BBDC12A703C}" name="Column205"/>
    <tableColumn id="239" xr3:uid="{D5147B7B-B05E-4646-9E7F-A2238CD27391}" name="Column206"/>
    <tableColumn id="240" xr3:uid="{33AD07E3-807D-4EF2-989D-27E99165FB72}" name="Column207"/>
    <tableColumn id="241" xr3:uid="{BA5BEF6C-C7EF-4A23-BED3-242F2CDFCC47}" name="Column208"/>
    <tableColumn id="242" xr3:uid="{B1A8CE8B-0781-4D5E-B09F-620400E9270B}" name="Column209"/>
    <tableColumn id="243" xr3:uid="{ACB9574B-450A-4BBC-9893-6A517AC2EBA5}" name="Column210"/>
    <tableColumn id="244" xr3:uid="{6B93A88C-38A9-418D-A0AD-7476520DE628}" name="Column211"/>
    <tableColumn id="245" xr3:uid="{675E64DD-74A6-4834-81CC-A7E07FE3F31B}" name="Column212"/>
    <tableColumn id="246" xr3:uid="{BD20B997-101F-4CAF-93D2-B32190333431}" name="Column213"/>
    <tableColumn id="247" xr3:uid="{195F1617-E2EC-4553-97EF-81C4C207F251}" name="Column214"/>
    <tableColumn id="248" xr3:uid="{B86B804A-CF18-48B1-8512-BFDFF5796416}" name="Column215"/>
    <tableColumn id="249" xr3:uid="{A54DA7E0-3139-442A-9801-20D1BC872881}" name="Column216"/>
    <tableColumn id="250" xr3:uid="{FB1D54D5-42FA-443D-8FF3-7593903E8D5B}" name="Column217"/>
    <tableColumn id="251" xr3:uid="{492B8C4F-07C4-4A1A-B15D-204C5194611F}" name="Column218"/>
    <tableColumn id="252" xr3:uid="{2A563CBD-EED8-4042-A999-DFD90C9BFA30}" name="Column219"/>
    <tableColumn id="253" xr3:uid="{85222DC7-0B48-4DAE-9CFA-2F5C0443DF2F}" name="Column220"/>
    <tableColumn id="254" xr3:uid="{BF45179C-0A8C-447E-B22B-063937EB5A5B}" name="Column221"/>
    <tableColumn id="255" xr3:uid="{9083DDFA-36F1-4CB9-AE59-EB1287E2B044}" name="Column222"/>
    <tableColumn id="256" xr3:uid="{DDF831A1-5803-44C3-8CD6-DD6DD682B88B}" name="Column223"/>
    <tableColumn id="257" xr3:uid="{37197800-EF1E-489C-956E-E733723A97CF}" name="Column224"/>
    <tableColumn id="258" xr3:uid="{600A64CC-92BC-4C9F-9F80-9D25210EB0A5}" name="Column225"/>
    <tableColumn id="259" xr3:uid="{641C91E0-4168-416B-B88A-DCFC6EE9350D}" name="Column226"/>
    <tableColumn id="260" xr3:uid="{374C829A-454F-42B9-BABE-748B5506F926}" name="Column227"/>
    <tableColumn id="261" xr3:uid="{39E6458C-5421-49E5-93B8-CBF447ED1D09}" name="Column228"/>
    <tableColumn id="262" xr3:uid="{878E7619-25CC-4D23-B74E-D323A76CE019}" name="Column229"/>
    <tableColumn id="263" xr3:uid="{B2862F88-2FB6-48BC-AA54-944498D03B7B}" name="Column230"/>
    <tableColumn id="264" xr3:uid="{49648058-11B8-442E-A41A-7E33DA5B6477}" name="Column231"/>
    <tableColumn id="265" xr3:uid="{75ED09B0-854E-4A20-AAE3-07CDA8482F92}" name="Column232"/>
    <tableColumn id="266" xr3:uid="{73CA5E2A-A5B4-4302-9D98-BB0966326E0B}" name="Column233"/>
    <tableColumn id="267" xr3:uid="{6A8AD2FA-73CA-4C97-82A2-9810C159B8CB}" name="Column234"/>
    <tableColumn id="268" xr3:uid="{2CB09838-24D5-45B9-B820-628C475EF6AC}" name="Column235"/>
    <tableColumn id="269" xr3:uid="{A3AB89AD-66E1-4E06-816C-505D94A7B8B1}" name="Column236"/>
    <tableColumn id="270" xr3:uid="{D0F39F56-63DB-4C12-9E7A-BC13B56D3D52}" name="Column237"/>
    <tableColumn id="271" xr3:uid="{220F8BB1-A540-4279-9AAC-9BBD0D41084A}" name="Column238"/>
    <tableColumn id="272" xr3:uid="{864CC0D3-FA91-42DC-A6AF-3C2BFCA3392B}" name="Column239"/>
    <tableColumn id="273" xr3:uid="{41A0DC22-022A-489F-BBE5-F835E2513560}" name="Column240"/>
    <tableColumn id="274" xr3:uid="{36EAF86F-412D-4333-8E2B-F04C6CC314BF}" name="Column241"/>
    <tableColumn id="275" xr3:uid="{907DB1DD-4D4F-4345-B75A-2F5B17181016}" name="Column242"/>
    <tableColumn id="276" xr3:uid="{7B45F273-B8D5-4442-B051-5C5FF08036BC}" name="Column243"/>
    <tableColumn id="277" xr3:uid="{1AE2FE8A-1082-4585-A1C2-ABE0044F53F6}" name="Column244"/>
    <tableColumn id="278" xr3:uid="{F2334AE8-B820-44D1-9715-B8620CA6E4BC}" name="Column245"/>
    <tableColumn id="279" xr3:uid="{6B6DA374-5265-491E-8ED2-0E74F528AEFF}" name="Column246"/>
    <tableColumn id="280" xr3:uid="{D9FC7BB6-CCAD-46F3-B547-384AA1B17562}" name="Column247"/>
    <tableColumn id="281" xr3:uid="{2DBC0864-9D0D-4194-A1B0-3A3656126EEC}" name="Column248"/>
    <tableColumn id="282" xr3:uid="{85094591-45D0-4441-9C36-F06BD34E1C9C}" name="Column249"/>
    <tableColumn id="283" xr3:uid="{8D9A1E92-7A03-4318-80BA-BA8106B74359}" name="Column250"/>
    <tableColumn id="284" xr3:uid="{0DC3E6ED-E54A-4C71-A4DA-87319BBDC940}" name="Column251"/>
    <tableColumn id="285" xr3:uid="{9DD694D3-2CC9-450B-A05E-463E2B3AD603}" name="Column252"/>
    <tableColumn id="286" xr3:uid="{A0E38479-9FD5-439D-BE40-A15F1D703487}" name="Column253"/>
    <tableColumn id="287" xr3:uid="{98472C10-55AE-43AB-9556-C1C9DECCD9A9}" name="Column254"/>
    <tableColumn id="288" xr3:uid="{0AC21C73-B2BA-4255-BC91-E50F1DC5E0DD}" name="Column255"/>
    <tableColumn id="289" xr3:uid="{860FB6BE-F65F-4187-8600-383DB58359BF}" name="Column256"/>
    <tableColumn id="290" xr3:uid="{011955E9-750A-4FCB-BC0D-5696D14EADB2}" name="Column257"/>
    <tableColumn id="291" xr3:uid="{0DDE5DE2-60A4-4CD8-BFF1-1CBE1CB151AD}" name="Column258"/>
    <tableColumn id="292" xr3:uid="{731521E3-6A9D-4420-AB13-6CA774A318AA}" name="Column259"/>
    <tableColumn id="293" xr3:uid="{A042B475-8691-46A5-832C-9FB45AEE3168}" name="Column260"/>
    <tableColumn id="294" xr3:uid="{8514CEC5-5445-4916-AD95-0F88C58FEB86}" name="Column261"/>
    <tableColumn id="295" xr3:uid="{52F76DC0-6589-4436-B68B-84C095013F06}" name="Column262"/>
    <tableColumn id="296" xr3:uid="{811C2171-8389-4AF4-894C-64879A1D1724}" name="Column263"/>
    <tableColumn id="297" xr3:uid="{25934939-13AB-478D-B370-31340F27CE86}" name="Column264"/>
    <tableColumn id="298" xr3:uid="{0871FE94-B36C-4554-A630-B60092CA1C44}" name="Column265"/>
    <tableColumn id="299" xr3:uid="{D08596C6-D253-48AB-BA07-B9317C396BED}" name="Column266"/>
    <tableColumn id="300" xr3:uid="{83AAE805-EB6D-4727-B012-421E8558F569}" name="Column267"/>
    <tableColumn id="301" xr3:uid="{53446251-4893-4F00-971A-ACDBB661F3D9}" name="Column268"/>
    <tableColumn id="302" xr3:uid="{6F80DB0A-87D4-47EB-9827-DFAF6A61FDDB}" name="Column269"/>
    <tableColumn id="303" xr3:uid="{5210430C-7B48-4F8F-B833-0403E70F1E48}" name="Column270"/>
    <tableColumn id="304" xr3:uid="{0399F788-8E86-4E61-A52F-A5849180A5C1}" name="Column271"/>
    <tableColumn id="305" xr3:uid="{0EE6DA7A-4EEA-4DCA-8FCE-0AAA78553D70}" name="Column272"/>
    <tableColumn id="306" xr3:uid="{103191C4-FBB0-46A0-8014-0F5D8EFAFC42}" name="Column273"/>
    <tableColumn id="307" xr3:uid="{A9CDA14C-C4E0-44A9-9294-DD10F691599C}" name="Column274"/>
    <tableColumn id="308" xr3:uid="{0BBCC6DC-3012-4478-B254-C1630CAA1AA9}" name="Column275"/>
    <tableColumn id="309" xr3:uid="{212FC913-C919-41AC-8DA5-EE3CA44FDB96}" name="Column276"/>
    <tableColumn id="310" xr3:uid="{306CC225-B77E-4DDC-B514-C0668B37D5C4}" name="Column277"/>
    <tableColumn id="311" xr3:uid="{D362C8C2-D683-40DD-9908-33C57A66A4E8}" name="Column278"/>
    <tableColumn id="312" xr3:uid="{33407F9A-89EB-41AB-8117-0AEF6B51F90C}" name="Column279"/>
    <tableColumn id="313" xr3:uid="{CC396575-9FF9-4DA3-A8E9-48D69D6EC917}" name="Column280"/>
    <tableColumn id="314" xr3:uid="{6C0B324C-5692-4D95-9975-70535C6AC8EC}" name="Column281"/>
    <tableColumn id="315" xr3:uid="{82844F63-AC92-41ED-BDA2-7DE0AC61DBFF}" name="Column282"/>
    <tableColumn id="316" xr3:uid="{D7B6E382-F91C-4B1B-ADCD-B5BB1158DCEF}" name="Column283"/>
    <tableColumn id="317" xr3:uid="{AB09B5FD-BF89-4501-A5A8-B0FF3628DB46}" name="Column284"/>
    <tableColumn id="318" xr3:uid="{283AD1B8-BF8B-4E7B-BA95-5EBE904DC265}" name="Column285"/>
    <tableColumn id="319" xr3:uid="{4AED33AF-D6FD-42C4-B200-AB56F5F98087}" name="Column286"/>
    <tableColumn id="320" xr3:uid="{C1CED7DC-7ACA-4CC2-B4F4-254332437241}" name="Column287"/>
    <tableColumn id="321" xr3:uid="{F20CD44B-1AA8-40C3-A45E-061D2CB362DE}" name="Column288"/>
    <tableColumn id="322" xr3:uid="{FA2D2EC4-F19C-4D2B-9D50-BD99B404901A}" name="Column289"/>
    <tableColumn id="323" xr3:uid="{5946BD4D-6BD5-4985-A818-042AFFFC1A4A}" name="Column290"/>
    <tableColumn id="324" xr3:uid="{AB0E32D5-F245-4177-9570-B3C830E108C2}" name="Column291"/>
    <tableColumn id="325" xr3:uid="{13549CC9-747D-4A1A-B7C7-86323989E2C2}" name="Column292"/>
    <tableColumn id="326" xr3:uid="{3F7714E2-2D73-443B-9CFE-93FD77FFE9CC}" name="Column293"/>
    <tableColumn id="327" xr3:uid="{E22FA818-4C4E-4B9B-9A71-F83FC325A291}" name="Column294"/>
    <tableColumn id="328" xr3:uid="{2C37301A-0E58-4B8E-A304-0612775E45A8}" name="Column295"/>
    <tableColumn id="329" xr3:uid="{8EFD0113-47FF-4234-B66E-882E1EDCB3B7}" name="Column296"/>
    <tableColumn id="330" xr3:uid="{1018E3DD-E56B-4A30-B5BB-3ECB7A162B02}" name="Column297"/>
    <tableColumn id="331" xr3:uid="{581CE2E4-E6EC-44B9-8177-EDD944E23345}" name="Column298"/>
    <tableColumn id="332" xr3:uid="{26F89A0B-D222-40E7-BB93-A77BF2B450BA}" name="Column299"/>
    <tableColumn id="333" xr3:uid="{3F2D8172-7F9A-4AF3-B157-201AF82A81F7}" name="Column300"/>
    <tableColumn id="334" xr3:uid="{01A84FB4-DDF3-413C-9C49-6A512C35A1B4}" name="Column301"/>
    <tableColumn id="335" xr3:uid="{206AD3C3-4714-4542-9F7D-35C1F0F33CF7}" name="Column302"/>
    <tableColumn id="336" xr3:uid="{0B9A445D-E75E-4DDA-8E9A-CE5C3E086974}" name="Column303"/>
    <tableColumn id="337" xr3:uid="{7A1DD5C4-CFD8-47DB-BA76-902E3B968D30}" name="Column304"/>
    <tableColumn id="338" xr3:uid="{10930FBD-F7E5-4E26-8CAC-20F937E8CC68}" name="Column305"/>
    <tableColumn id="339" xr3:uid="{8D122307-755C-4539-B95A-97592DEDC507}" name="Column306"/>
    <tableColumn id="340" xr3:uid="{B5B23F6D-8A7A-42E0-9EBA-8B4456DF4C05}" name="Column307"/>
    <tableColumn id="341" xr3:uid="{A7F4C9DA-EAE7-4F21-A448-A1AA919632C7}" name="Column308"/>
    <tableColumn id="342" xr3:uid="{3F7AC9A3-1746-4A26-9904-07B1CD03B7C3}" name="Column309"/>
    <tableColumn id="343" xr3:uid="{A3419D74-EC80-4579-8C1A-08F1598B4133}" name="Column310"/>
    <tableColumn id="344" xr3:uid="{0D0CB2BE-6DA6-47E1-BE81-192F83637B62}" name="Column311"/>
    <tableColumn id="345" xr3:uid="{BD2B0809-C18E-423C-BB97-E308A0E38E84}" name="Column312"/>
    <tableColumn id="346" xr3:uid="{5281FA63-2A9F-4D57-A6AB-13CAD3D6BEB1}" name="Column313"/>
    <tableColumn id="347" xr3:uid="{87EAEDE2-F85B-444F-BF8E-BE17E16A57DA}" name="Column314"/>
    <tableColumn id="348" xr3:uid="{F6588CB7-13A8-4FE4-AF27-FB9D0202CBB9}" name="Column315"/>
    <tableColumn id="349" xr3:uid="{462E202C-4F5F-4595-9364-F33BCFA2EFAF}" name="Column316"/>
    <tableColumn id="350" xr3:uid="{A0DC1DF5-42F6-4AAA-981C-0B6AFC8EFBA7}" name="Column317"/>
    <tableColumn id="351" xr3:uid="{5CA11807-E2ED-46E7-B08F-2C4464EC8816}" name="Column318"/>
    <tableColumn id="352" xr3:uid="{1CF5D543-76EA-440E-8ABD-9639316C389E}" name="Column319"/>
    <tableColumn id="353" xr3:uid="{547FAA66-74FB-44E5-9C58-1895C6BACD2D}" name="Column320"/>
    <tableColumn id="354" xr3:uid="{D325AE77-58AA-4290-A4ED-802B5CBF97FA}" name="Column321"/>
    <tableColumn id="355" xr3:uid="{A88DCC15-ED6B-4B6F-BDC6-0878388C136D}" name="Column322"/>
    <tableColumn id="356" xr3:uid="{6863F937-42A0-4742-A00A-ACCC16C5373D}" name="Column323"/>
    <tableColumn id="357" xr3:uid="{C7CD521B-9DCC-4D41-B6F0-51D30A6ECA95}" name="Column324"/>
    <tableColumn id="358" xr3:uid="{F3D79496-788B-41D1-8CD3-7C638BF7C224}" name="Column325"/>
    <tableColumn id="359" xr3:uid="{14BB5778-F89F-4015-91EF-978AABEE5FB1}" name="Column326"/>
    <tableColumn id="360" xr3:uid="{6F3B7063-B83D-4D22-A528-08A6B1B8BD71}" name="Column327"/>
    <tableColumn id="361" xr3:uid="{538BC9FC-3B06-42BF-85D0-AC75327A765A}" name="Column328"/>
    <tableColumn id="362" xr3:uid="{5F084930-136A-49C5-8E7C-ADB711B7EA3F}" name="Column329"/>
    <tableColumn id="363" xr3:uid="{04A5B651-8B4B-4BCA-BA40-672BF7C2CB2D}" name="Column330"/>
    <tableColumn id="364" xr3:uid="{9E9F1D1E-A4B2-4CAB-9B98-CCA9DC65AEFF}" name="Column331"/>
    <tableColumn id="365" xr3:uid="{5230FE6C-D302-4AFC-BB62-35A1CEBFECDB}" name="Column332"/>
    <tableColumn id="366" xr3:uid="{9817FA8E-7019-4BD3-8987-7E344FBC51EC}" name="Column333"/>
    <tableColumn id="367" xr3:uid="{FF296C9F-F3C7-426B-A901-E73A718A0E3C}" name="Column334"/>
    <tableColumn id="368" xr3:uid="{F616ED42-88D4-44D9-8326-0BB108BA3D5A}" name="Column335"/>
    <tableColumn id="369" xr3:uid="{1E7B271C-BC37-435B-AFC0-67A3F3812AC5}" name="Column336"/>
    <tableColumn id="370" xr3:uid="{63694ED6-8F83-4C7A-A7B6-8E8D3F61F4A9}" name="Column337"/>
    <tableColumn id="371" xr3:uid="{0D8CA9A1-D10E-455D-BD4E-5EA55698FD66}" name="Column338"/>
    <tableColumn id="372" xr3:uid="{786F565B-8BA9-4585-8112-5795109B1688}" name="Column339"/>
    <tableColumn id="373" xr3:uid="{F7B3028C-0180-4296-A72E-EE24D5D1D058}" name="Column340"/>
    <tableColumn id="374" xr3:uid="{E591715D-A907-4C77-8F84-DA5D88BFF8A9}" name="Column341"/>
    <tableColumn id="375" xr3:uid="{402F0C1D-5219-4770-AE97-D87557357F28}" name="Column342"/>
    <tableColumn id="376" xr3:uid="{4BF6E718-0A05-432B-B40C-EF6E096D99E0}" name="Column343"/>
    <tableColumn id="377" xr3:uid="{640AAAE8-01CF-4C65-9194-1063637E6F7D}" name="Column344"/>
    <tableColumn id="378" xr3:uid="{B2FF1442-050C-4103-AFC3-F6AA737DA277}" name="Column345"/>
    <tableColumn id="379" xr3:uid="{EDDCE810-054D-475F-A764-002425FDBBEA}" name="Column346"/>
    <tableColumn id="380" xr3:uid="{E9F73B76-8BA5-4C14-B531-34D27F38A4C4}" name="Column347"/>
    <tableColumn id="381" xr3:uid="{5458974C-7401-4B00-9D79-60F113C5778F}" name="Column348"/>
    <tableColumn id="382" xr3:uid="{A26F51F7-7B25-4C33-B1E8-E3F1AFBABE50}" name="Column349"/>
    <tableColumn id="383" xr3:uid="{E3A3F6E0-9115-4E77-B019-F1CB27CC6782}" name="Column350"/>
    <tableColumn id="384" xr3:uid="{5F3B82FA-47EB-4D90-9F29-C9BE9F313010}" name="Column351"/>
    <tableColumn id="385" xr3:uid="{1568FF64-4D44-4D1B-BAD2-4574B6CE44A6}" name="Column352"/>
    <tableColumn id="386" xr3:uid="{49C7B539-F16F-4D69-AAF8-4CC4432539AF}" name="Column353"/>
    <tableColumn id="387" xr3:uid="{1FE58408-5FF6-4E45-9BC6-89A85EA786BE}" name="Column354"/>
    <tableColumn id="388" xr3:uid="{7BCD0A4B-9BF1-4810-A374-C6EC4D141686}" name="Column355"/>
    <tableColumn id="389" xr3:uid="{E1BCBF3A-69EB-47FD-9AED-3D457A4FBD41}" name="Column356"/>
    <tableColumn id="390" xr3:uid="{78F03507-6C0A-4DB5-9EFF-172425AC766B}" name="Column357"/>
    <tableColumn id="391" xr3:uid="{112186F2-A498-460C-9E8B-04E8570A389A}" name="Column358"/>
    <tableColumn id="392" xr3:uid="{1C42A4C7-49CB-47E0-A974-FC59DEE36C80}" name="Column359"/>
    <tableColumn id="393" xr3:uid="{A2C7A3EB-2966-41A7-879A-B7BB55623D41}" name="Column360"/>
    <tableColumn id="394" xr3:uid="{1E6B1AEE-BA66-4C9D-BD7C-9CE8E45C33E4}" name="Column361"/>
    <tableColumn id="395" xr3:uid="{28F869BA-745B-4117-9ABD-DE9FD8A25A70}" name="Column362"/>
    <tableColumn id="396" xr3:uid="{08828D31-FE91-49CB-9F19-B39F4E42348E}" name="Column363"/>
    <tableColumn id="397" xr3:uid="{DBFE626A-8BF5-4D9D-91E6-8F284EACD9F2}" name="Column364"/>
    <tableColumn id="398" xr3:uid="{D825D5AB-54A4-4F0B-A0AB-7C7EE4C61E94}" name="Column365"/>
    <tableColumn id="399" xr3:uid="{D8EC3E00-C9A1-44D9-9D15-193EACB8CEA2}" name="Column366"/>
    <tableColumn id="400" xr3:uid="{DA5482F1-E792-45DD-9BFC-17D041FCF093}" name="Column367"/>
    <tableColumn id="401" xr3:uid="{1827E8DF-D8FF-4551-BFB1-42162084A8F7}" name="Column368"/>
    <tableColumn id="402" xr3:uid="{4D1B685B-014B-4A7B-812C-7BD0FFDE9034}" name="Column369"/>
    <tableColumn id="403" xr3:uid="{B158EE5E-A493-49F0-86A1-01B07F47E6C0}" name="Column370"/>
    <tableColumn id="404" xr3:uid="{5B9FF6F3-B867-413E-AA9D-3FF7CF77EEF8}" name="Column371"/>
    <tableColumn id="405" xr3:uid="{01FD2DE7-135E-417A-89D0-65BC4B9DBAAC}" name="Column372"/>
    <tableColumn id="406" xr3:uid="{1A473B0D-7424-4829-BCE6-D0A0815040BE}" name="Column373"/>
    <tableColumn id="407" xr3:uid="{10FC29A7-EB2C-4193-B5CE-4D5A0090C66E}" name="Column374"/>
    <tableColumn id="408" xr3:uid="{EDFA4F84-C393-485B-9584-F9280A914D47}" name="Column375"/>
    <tableColumn id="409" xr3:uid="{371D4125-B29F-4F89-B857-22D77C95AF4B}" name="Column376"/>
    <tableColumn id="410" xr3:uid="{5AF665C5-B641-4985-A37E-9012C9892A83}" name="Column377"/>
    <tableColumn id="411" xr3:uid="{C8847ADF-E576-41CE-A3DB-6932BD85FE3F}" name="Column378"/>
    <tableColumn id="412" xr3:uid="{101B3923-16C2-46AD-9DE8-99B7EFD12E12}" name="Column379"/>
    <tableColumn id="413" xr3:uid="{371E4DA1-84D1-4B12-9813-6CB257526807}" name="Column380"/>
    <tableColumn id="414" xr3:uid="{1AD70F92-C54F-4F40-B00D-2ECAEF73C457}" name="Column381"/>
    <tableColumn id="415" xr3:uid="{A8351231-79A2-45A7-867D-F95543E3758D}" name="Column382"/>
    <tableColumn id="416" xr3:uid="{A054D48F-EF33-4A2E-B19B-A4C40194AFA0}" name="Column383"/>
    <tableColumn id="417" xr3:uid="{9AD06D19-6B4C-4C4D-B5FA-787A272AA73E}" name="Column384"/>
    <tableColumn id="418" xr3:uid="{31966E1D-7699-47F8-AB8B-F72E8129B91A}" name="Column385"/>
    <tableColumn id="419" xr3:uid="{3A9AF449-7B68-4056-843E-948AFE998B39}" name="Column386"/>
    <tableColumn id="420" xr3:uid="{AFFF7B79-182B-4CFA-9026-30C867C0DF02}" name="Column387"/>
    <tableColumn id="421" xr3:uid="{A9FC984A-071D-42A5-9516-6B7F91BBBE30}" name="Column388"/>
    <tableColumn id="422" xr3:uid="{B5511DB2-B294-493D-82F0-88430F7D9ACF}" name="Column389"/>
    <tableColumn id="423" xr3:uid="{5600147B-1B86-439C-BCFA-6850E31980F0}" name="Column390"/>
    <tableColumn id="424" xr3:uid="{3C713E56-282E-4446-A3F6-ECA89BB27055}" name="Column391"/>
    <tableColumn id="425" xr3:uid="{2C3C7834-583C-47A5-B9AF-9A610333F846}" name="Column392"/>
    <tableColumn id="426" xr3:uid="{3DB2D3BB-3DDF-4EC1-AFF1-AC569EF032EB}" name="Column393"/>
    <tableColumn id="427" xr3:uid="{931850F4-C1F1-4896-AD44-923ADEBFD118}" name="Column394"/>
    <tableColumn id="428" xr3:uid="{7153790A-452C-4271-BBD2-2FA0BFA4E2C5}" name="Column395"/>
    <tableColumn id="429" xr3:uid="{B0C511B8-9647-46F2-9248-14F0AB683984}" name="Column396"/>
    <tableColumn id="430" xr3:uid="{BAD61674-34D4-43D9-9EFA-5495BB6BE9D1}" name="Column397"/>
    <tableColumn id="431" xr3:uid="{852DD109-8AC3-422E-B5A5-39B3B974A1C8}" name="Column398"/>
    <tableColumn id="432" xr3:uid="{7A27BE0B-AFA9-4DD5-BFE6-D66C8A3EA9EC}" name="Column399"/>
    <tableColumn id="433" xr3:uid="{02D5B237-0ED4-4E20-9333-A0EB51DE6653}" name="Column400"/>
    <tableColumn id="434" xr3:uid="{A875E377-224B-4FDD-8074-4096183428A3}" name="Column401"/>
    <tableColumn id="435" xr3:uid="{6F5493E7-0CDC-4A12-9D51-0BAFF348225B}" name="Column402"/>
    <tableColumn id="436" xr3:uid="{2C34C2C3-329E-4C67-BBA3-7002749CAD93}" name="Column403"/>
    <tableColumn id="437" xr3:uid="{C343F3D6-CCEE-4D58-AAC0-90FB7C9AA3EA}" name="Column404"/>
    <tableColumn id="438" xr3:uid="{F6D7F1F0-A0AE-402F-92DA-9DA1F0A2E8F4}" name="Column405"/>
    <tableColumn id="439" xr3:uid="{CBBC4659-D174-4846-86C1-E9B8B2211EBC}" name="Column406"/>
    <tableColumn id="440" xr3:uid="{00B2D04C-492A-46E4-8FF1-5069B81F455A}" name="Column407"/>
    <tableColumn id="441" xr3:uid="{7306F607-2027-4519-9DA2-D81C58A8696F}" name="Column408"/>
    <tableColumn id="442" xr3:uid="{7852875D-E71D-41E4-8651-3B9AF95EDA45}" name="Column409"/>
    <tableColumn id="443" xr3:uid="{B4710DBA-33E1-4C2F-B52C-C7C15F610D67}" name="Column410"/>
    <tableColumn id="444" xr3:uid="{9A69FFBB-B875-4AD1-9A61-55D58CD3C68E}" name="Column411"/>
    <tableColumn id="445" xr3:uid="{3FEF32B2-07E0-406B-9E34-E4B3AB9DBC16}" name="Column412"/>
    <tableColumn id="446" xr3:uid="{A073A75E-459C-425E-92FE-D50EA58CB53D}" name="Column413"/>
    <tableColumn id="447" xr3:uid="{5884998F-E165-4877-9373-34F1A28D90A2}" name="Column414"/>
    <tableColumn id="448" xr3:uid="{16B87F90-2D7B-4B98-97C7-3F9069632233}" name="Column415"/>
    <tableColumn id="449" xr3:uid="{5DA31F64-EC02-4017-9F80-2A10F56919BB}" name="Column416"/>
    <tableColumn id="450" xr3:uid="{788893D4-B961-4072-B208-1D7D4B9F3AFF}" name="Column417"/>
    <tableColumn id="451" xr3:uid="{394F5354-D8AC-49F8-8B0E-9D3EC8B49762}" name="Column418"/>
    <tableColumn id="452" xr3:uid="{5FE5DEE5-98D4-4CEA-80C5-11DC155FD09F}" name="Column419"/>
    <tableColumn id="453" xr3:uid="{E5879819-9B21-4FA1-BFDB-5F159890E175}" name="Column420"/>
    <tableColumn id="454" xr3:uid="{BB1E8116-B08D-4844-85EA-7E07AEB088B9}" name="Column421"/>
    <tableColumn id="455" xr3:uid="{A665C65F-DB06-4B08-AA3F-EF24C1ED9FDB}" name="Column422"/>
    <tableColumn id="456" xr3:uid="{B04113C5-671D-44F5-A1DA-37C6A955795D}" name="Column423"/>
    <tableColumn id="457" xr3:uid="{6F710DEE-C137-40EE-949E-477E3F6DCC45}" name="Column424"/>
    <tableColumn id="458" xr3:uid="{3A64D625-2C7B-4930-8B1E-5F492E9D1CD7}" name="Column425"/>
    <tableColumn id="459" xr3:uid="{7AEED871-A14D-458B-802B-C6EC0D890CBE}" name="Column426"/>
    <tableColumn id="460" xr3:uid="{A74FADC0-C7FD-4B0B-A8A8-9D954A681A60}" name="Column427"/>
    <tableColumn id="461" xr3:uid="{9866D5BE-81BC-4BB9-954C-45BA35AD5CAD}" name="Column428"/>
    <tableColumn id="462" xr3:uid="{81A1557B-C648-4C1D-A0E9-788179EDEBAF}" name="Column429"/>
    <tableColumn id="463" xr3:uid="{CDFFA08D-F57D-4E46-A7EE-6AEFC96CA86C}" name="Column430"/>
    <tableColumn id="464" xr3:uid="{6E0D84B1-D771-4A5D-B504-F09028DE5521}" name="Column431"/>
    <tableColumn id="465" xr3:uid="{14741455-7BC8-408A-91E1-BE19B31A4755}" name="Column432"/>
    <tableColumn id="466" xr3:uid="{87E13FF2-66E9-42B0-B876-30913A8B6A1D}" name="Column433"/>
    <tableColumn id="467" xr3:uid="{39074D0A-DF40-4B24-8A2B-C79FCCA8F3A4}" name="Column434"/>
    <tableColumn id="468" xr3:uid="{CDCADA2E-CD1A-4C72-9E94-2ADB88D63571}" name="Column435"/>
    <tableColumn id="469" xr3:uid="{0543C2AA-4A03-413D-8DF9-981CCB3CFA0D}" name="Column436"/>
    <tableColumn id="470" xr3:uid="{602B197D-7CA5-4386-91AA-BE7B705A1466}" name="Column437"/>
    <tableColumn id="471" xr3:uid="{3A8C14F1-BA3F-4A34-9BC8-F2EC7E14EA62}" name="Column438"/>
    <tableColumn id="472" xr3:uid="{AB671C83-3B9B-4098-A696-FF04DE0FCC55}" name="Column439"/>
    <tableColumn id="473" xr3:uid="{19ADF915-5461-433A-997A-C0B047184E4A}" name="Column440"/>
    <tableColumn id="474" xr3:uid="{0C8CAFB7-949F-42ED-8078-8C3FF4A47B23}" name="Column441"/>
    <tableColumn id="475" xr3:uid="{4D5F3A4D-590C-4300-AC5D-0425EA9DF665}" name="Column442"/>
    <tableColumn id="476" xr3:uid="{B4E63459-AA30-42B7-B878-745893491CBD}" name="Column443"/>
    <tableColumn id="477" xr3:uid="{92598A66-83B7-4B28-9F6B-B25453FCB8DC}" name="Column444"/>
    <tableColumn id="478" xr3:uid="{7FBA9E58-19E6-4A05-8668-4DF0BF5C7BBB}" name="Column445"/>
    <tableColumn id="479" xr3:uid="{555D60A8-3D67-429E-898C-B7E89765BBAE}" name="Column446"/>
    <tableColumn id="480" xr3:uid="{7B667D72-D734-4FD3-B69E-B67449BF0CAD}" name="Column447"/>
    <tableColumn id="481" xr3:uid="{A9F86EA1-E6F3-4477-BCD5-17E8E6299BBA}" name="Column448"/>
    <tableColumn id="482" xr3:uid="{128AEF4A-E216-4D5B-B4D3-9AB7C593CAB7}" name="Column449"/>
    <tableColumn id="483" xr3:uid="{9775A0E6-BEBE-4BAC-ACB9-816342A6654E}" name="Column450"/>
    <tableColumn id="484" xr3:uid="{F29EF648-FAF9-4645-A8CF-887F10F7853A}" name="Column451"/>
    <tableColumn id="485" xr3:uid="{D436B631-D7EC-4629-8D46-FC2A0204D3D4}" name="Column452"/>
    <tableColumn id="486" xr3:uid="{E696105F-DFDB-4844-B9AD-7F8E3287D2A7}" name="Column453"/>
    <tableColumn id="487" xr3:uid="{F990E421-6A1B-4C8E-9906-E6521723040C}" name="Column454"/>
    <tableColumn id="488" xr3:uid="{A2DA40CC-4266-4031-B682-43DE1CA9E40B}" name="Column455"/>
    <tableColumn id="489" xr3:uid="{3E903CE7-EAB4-4629-89B0-B0C8F9530FB1}" name="Column456"/>
    <tableColumn id="490" xr3:uid="{15984785-9C11-4DD1-AFA4-B287C2CC6136}" name="Column457"/>
    <tableColumn id="491" xr3:uid="{5DB78311-177D-4CFD-91AA-9635E075D571}" name="Column458"/>
    <tableColumn id="492" xr3:uid="{A730D11D-5623-46E5-A3B0-64288E8E0558}" name="Column459"/>
    <tableColumn id="493" xr3:uid="{810208A5-0D72-4AD4-B5CC-0128B561C730}" name="Column460"/>
    <tableColumn id="494" xr3:uid="{D176B5FD-9497-4067-BE35-AC96F1A1340D}" name="Column461"/>
    <tableColumn id="495" xr3:uid="{C870FA48-ACAF-4693-9888-96CEB752D266}" name="Column462"/>
    <tableColumn id="496" xr3:uid="{3EBE225F-44C8-4388-97C6-A335A36B436A}" name="Column463"/>
    <tableColumn id="497" xr3:uid="{2EECAAF9-4F2E-4738-BAEF-CA5966138BCF}" name="Column464"/>
    <tableColumn id="498" xr3:uid="{38DE8E77-4C2F-44CD-9D84-AD4D49A95775}" name="Column465"/>
    <tableColumn id="499" xr3:uid="{7834AF13-2A77-4809-8C1D-59E845B03934}" name="Column466"/>
    <tableColumn id="500" xr3:uid="{B76A90ED-A57E-45EC-AF5E-8FEC7B3C2702}" name="Column467"/>
    <tableColumn id="501" xr3:uid="{A0736273-3B3A-4D5E-8D6B-36D1805B73D8}" name="Column468"/>
    <tableColumn id="502" xr3:uid="{6513E417-EFFE-439C-82FC-A62BC932E726}" name="Column469"/>
    <tableColumn id="503" xr3:uid="{BE20000E-C6A0-49D4-87E8-BC540B5424DE}" name="Column470"/>
    <tableColumn id="504" xr3:uid="{BC987D43-4FD7-42A9-B2C3-4BAABA7ACE00}" name="Column471"/>
    <tableColumn id="505" xr3:uid="{804F3016-6332-4C36-A751-461C35CF881D}" name="Column472"/>
    <tableColumn id="506" xr3:uid="{ED5710A5-8F2D-492A-83E6-524D47A4F915}" name="Column473"/>
    <tableColumn id="507" xr3:uid="{7173EBD7-CE64-48AB-B5D4-15E3565FCF0B}" name="Column474"/>
    <tableColumn id="508" xr3:uid="{FC8A24F7-C7C1-4326-875A-24B9985808C3}" name="Column475"/>
    <tableColumn id="509" xr3:uid="{C32437C8-B5E6-4AFE-A456-97F768D12882}" name="Column476"/>
    <tableColumn id="510" xr3:uid="{20238DFE-4C1F-4E05-ABF9-3C457C30F3E7}" name="Column477"/>
    <tableColumn id="511" xr3:uid="{F39AB12D-9885-48A9-ACC8-E17438DEE251}" name="Column478"/>
    <tableColumn id="512" xr3:uid="{0A477CA4-A8F7-4218-A4F1-B1E2BCA100D5}" name="Column479"/>
    <tableColumn id="513" xr3:uid="{8EA3B22D-C1C6-4975-8884-8393B1DBB4C0}" name="Column480"/>
    <tableColumn id="514" xr3:uid="{18B8F043-9B29-41F5-B8CD-CC131BABB25D}" name="Column481"/>
    <tableColumn id="515" xr3:uid="{9BCBBBA4-0D20-45AC-BABE-D362ED2B5A56}" name="Column482"/>
    <tableColumn id="516" xr3:uid="{847254FA-8C37-44DF-A243-CD4C778C7E56}" name="Column483"/>
    <tableColumn id="517" xr3:uid="{4194E043-4C70-4337-82BF-5EAA5F4E2536}" name="Column484"/>
    <tableColumn id="518" xr3:uid="{E033DF64-D0C8-4AFB-AADC-A73A50E77ABA}" name="Column485"/>
    <tableColumn id="519" xr3:uid="{FF9E468B-5473-4C65-B7D1-AD8D2C383E77}" name="Column486"/>
    <tableColumn id="520" xr3:uid="{80EA7BA6-3A65-4394-A881-5BF3214B83A2}" name="Column487"/>
    <tableColumn id="521" xr3:uid="{E970744E-8AF3-455E-9B77-4A1249B0083C}" name="Column488"/>
    <tableColumn id="522" xr3:uid="{E391DC9B-667D-47B8-956B-2286EE82C4F8}" name="Column489"/>
    <tableColumn id="523" xr3:uid="{338C78FA-45C2-4901-BEC1-F2573F5F957D}" name="Column490"/>
    <tableColumn id="524" xr3:uid="{3CA0C493-B8F4-4C9D-89DD-01952CF8C6DE}" name="Column491"/>
    <tableColumn id="525" xr3:uid="{15412CA6-3664-4059-BB55-36E998F9448B}" name="Column492"/>
    <tableColumn id="526" xr3:uid="{87C52524-AC2C-495D-9E77-D198A8C589F3}" name="Column493"/>
    <tableColumn id="527" xr3:uid="{58963DBD-2517-4020-B349-B383DAFB864E}" name="Column494"/>
    <tableColumn id="528" xr3:uid="{CE3BB670-3B2B-4BBC-9390-A94FB3B57F92}" name="Column495"/>
    <tableColumn id="529" xr3:uid="{83D8F538-4C95-46B5-B535-70E4945832B5}" name="Column496"/>
    <tableColumn id="530" xr3:uid="{951AD7B5-2333-4B35-AB00-D3A3A62D2818}" name="Column497"/>
    <tableColumn id="531" xr3:uid="{32A53BEC-C35D-4DFB-AF97-D1EB78244E59}" name="Column498"/>
    <tableColumn id="532" xr3:uid="{7EDDA127-669A-44C5-896E-C8A65DF3ADC1}" name="Column499"/>
    <tableColumn id="533" xr3:uid="{DEB07CB9-57CA-4853-B4EE-2B3992504343}" name="Column500"/>
    <tableColumn id="534" xr3:uid="{4492E909-3668-44B7-933A-4A25E14F8807}" name="Column501"/>
    <tableColumn id="535" xr3:uid="{6C26AEE8-9544-4565-9BAC-7C24A82E2C02}" name="Column502"/>
    <tableColumn id="536" xr3:uid="{ED5840D5-FF46-408C-81E2-9AFC27B160DB}" name="Column503"/>
    <tableColumn id="537" xr3:uid="{BCE586C1-92E2-462E-A35C-318283CC9372}" name="Column504"/>
    <tableColumn id="538" xr3:uid="{91D9A8F9-71EA-49AB-8FB0-FB1BB4DD4206}" name="Column505"/>
    <tableColumn id="539" xr3:uid="{56B7FD3C-9C1E-4C6E-BC4A-C0854F17628E}" name="Column506"/>
    <tableColumn id="540" xr3:uid="{74A4624D-2BE5-46B3-8855-C9DC26262854}" name="Column507"/>
    <tableColumn id="541" xr3:uid="{162C5FB0-156E-4242-B390-F0308C4CB9A6}" name="Column508"/>
    <tableColumn id="542" xr3:uid="{37C24552-4CFF-4A7F-8B5D-B66319D598E6}" name="Column509"/>
    <tableColumn id="543" xr3:uid="{929CC312-4E09-4946-944C-314AF41D2291}" name="Column510"/>
    <tableColumn id="544" xr3:uid="{34BA5FBF-16B5-4499-87C0-05704FE9D010}" name="Column511"/>
    <tableColumn id="545" xr3:uid="{D112FE20-2AD6-4230-80C4-BBBB11218264}" name="Column512"/>
    <tableColumn id="546" xr3:uid="{7FE4DD57-1F0A-4AE9-A8C2-8BFFD86F3B4B}" name="Column513"/>
    <tableColumn id="547" xr3:uid="{E7A7D21F-01B2-4900-A921-C6D24D850CFC}" name="Column514"/>
    <tableColumn id="548" xr3:uid="{209595E9-96BA-43CD-B94A-DA019F050B90}" name="Column515"/>
    <tableColumn id="549" xr3:uid="{DCA08ABC-1C88-4B42-A669-F45AE058627E}" name="Column516"/>
    <tableColumn id="550" xr3:uid="{183CDE41-30B8-45F5-A4BC-C4F91DE59581}" name="Column517"/>
    <tableColumn id="551" xr3:uid="{9EF220EB-8AA7-4541-BCD6-D226EDF6E30D}" name="Column518"/>
    <tableColumn id="552" xr3:uid="{2BFCF59A-8DD6-4D83-A87B-2B51EB3D04BE}" name="Column519"/>
    <tableColumn id="553" xr3:uid="{B775A52A-A4AA-4C83-8217-ABA582965320}" name="Column520"/>
    <tableColumn id="554" xr3:uid="{3F4FC3B7-CCD5-4B09-A929-37C0493A9E8C}" name="Column521"/>
    <tableColumn id="555" xr3:uid="{E5A198F8-F607-4CE3-BF56-9F030D03C01A}" name="Column522"/>
    <tableColumn id="556" xr3:uid="{02A92D3E-DC3F-4206-8506-B5C7510E61FC}" name="Column523"/>
    <tableColumn id="557" xr3:uid="{6A8D4203-85F2-47CA-A67D-B0EAAB226862}" name="Column524"/>
    <tableColumn id="558" xr3:uid="{0899557A-2B87-4D9A-921F-14963AB6BE7B}" name="Column525"/>
    <tableColumn id="559" xr3:uid="{C8A4A288-03AB-4511-ABB4-55A73AA13F59}" name="Column526"/>
    <tableColumn id="560" xr3:uid="{56265BD1-DD90-4A1D-A0FE-3D4A75DBC135}" name="Column527"/>
    <tableColumn id="561" xr3:uid="{229C7D45-2882-4F00-8984-BE2AE5245824}" name="Column528"/>
    <tableColumn id="562" xr3:uid="{628A5433-E961-4A40-8920-7C8238F47FBA}" name="Column529"/>
    <tableColumn id="563" xr3:uid="{23494BCA-3B17-48CC-817C-AEEE50A1CFEC}" name="Column530"/>
    <tableColumn id="564" xr3:uid="{BDB92309-C2A9-4DD8-820D-1514B7D3D84A}" name="Column531"/>
    <tableColumn id="565" xr3:uid="{FC3FEA99-A8A0-4917-94AD-3CC197710E0B}" name="Column532"/>
    <tableColumn id="566" xr3:uid="{9C9B0C12-4C05-41C8-8559-3D32F8B390BC}" name="Column533"/>
    <tableColumn id="567" xr3:uid="{669BEFCC-F731-40D6-81EA-57BE1FCB1E30}" name="Column534"/>
    <tableColumn id="568" xr3:uid="{8E90731E-2E15-47C6-BEA0-D9320E080100}" name="Column535"/>
    <tableColumn id="569" xr3:uid="{767C0A56-8D18-41AB-97F5-BA8FF7068517}" name="Column536"/>
    <tableColumn id="570" xr3:uid="{53205D9A-0C83-4C62-B52C-9D466D7D00C6}" name="Column537"/>
    <tableColumn id="571" xr3:uid="{8A06EA63-923F-4295-BECD-7C1491AE337C}" name="Column538"/>
    <tableColumn id="572" xr3:uid="{0CA67771-C902-4BF4-9CB9-9664F3CC7D26}" name="Column539"/>
    <tableColumn id="573" xr3:uid="{6DCC1F93-3492-4D6B-BCD6-2CE7E7345984}" name="Column540"/>
    <tableColumn id="574" xr3:uid="{1768C61A-E66D-4500-B5B1-BBB06171D95A}" name="Column541"/>
    <tableColumn id="575" xr3:uid="{C17B7937-30FD-41FE-B1AB-A2169C2452BD}" name="Column542"/>
    <tableColumn id="576" xr3:uid="{C91FB669-9846-46F9-B0AF-60E3C1B9198E}" name="Column543"/>
    <tableColumn id="577" xr3:uid="{8AE2B936-D7E5-4953-9BD2-6F5EDC912432}" name="Column544"/>
    <tableColumn id="578" xr3:uid="{0DB78ADC-4952-4C7E-8D00-C8A583944A26}" name="Column545"/>
    <tableColumn id="579" xr3:uid="{8E6E22E5-722B-4B8A-A76D-CAC7C0D0AB08}" name="Column546"/>
    <tableColumn id="580" xr3:uid="{E0CC32C4-FD87-44B5-9B14-02A20D80D4E4}" name="Column547"/>
    <tableColumn id="581" xr3:uid="{A521CE33-6C28-4E31-9D52-B7B93E31EDF0}" name="Column548"/>
    <tableColumn id="582" xr3:uid="{FAF88890-D3C0-4821-9532-1A77348D199D}" name="Column549"/>
    <tableColumn id="583" xr3:uid="{F63FDD20-D5E5-477D-BED8-BCB4B45F53FF}" name="Column550"/>
    <tableColumn id="584" xr3:uid="{73327F6F-93F8-40A6-A072-C993A15B4D43}" name="Column551"/>
    <tableColumn id="585" xr3:uid="{DB75B78F-2711-4DD0-A36F-BA4684003AFE}" name="Column552"/>
    <tableColumn id="586" xr3:uid="{937358A3-74BE-49A8-810A-381FD6231B0A}" name="Column553"/>
    <tableColumn id="587" xr3:uid="{CB9E7617-100B-4724-90CF-292026E51D2F}" name="Column554"/>
    <tableColumn id="588" xr3:uid="{1CCEF850-34EC-43D1-8383-85E25A1CB633}" name="Column555"/>
    <tableColumn id="589" xr3:uid="{BD59A5AD-BA44-4556-913C-DDD5D2D3CBF0}" name="Column556"/>
    <tableColumn id="590" xr3:uid="{0CD685D3-B2BA-4837-9D04-FA79EF96E878}" name="Column557"/>
    <tableColumn id="591" xr3:uid="{54A63E52-9C13-4F93-96EA-5ABC7111C170}" name="Column558"/>
    <tableColumn id="592" xr3:uid="{4A6A4B0A-3593-46EE-A1D6-7E1E3ED5FEDE}" name="Column559"/>
    <tableColumn id="593" xr3:uid="{4F5028AC-D43C-4F9D-9AC5-73F4DEC9D518}" name="Column560"/>
    <tableColumn id="594" xr3:uid="{3332ECA8-B5D5-4681-B998-72683A71295E}" name="Column561"/>
    <tableColumn id="595" xr3:uid="{9FB6811C-CB6D-4D60-A839-5A545E5BD704}" name="Column562"/>
    <tableColumn id="596" xr3:uid="{5A9A69C0-9B69-437A-BD12-E89B327997EC}" name="Column563"/>
    <tableColumn id="597" xr3:uid="{834E1F17-927E-469F-9F07-C142C21903F4}" name="Column564"/>
    <tableColumn id="598" xr3:uid="{A385D354-910A-4F10-983C-F86494F392CF}" name="Column565"/>
    <tableColumn id="599" xr3:uid="{508AA9A8-F32A-42E2-A9A5-14D2BD116482}" name="Column566"/>
    <tableColumn id="600" xr3:uid="{CB00B08B-4700-4EBE-9C17-C55BC1F52A95}" name="Column567"/>
    <tableColumn id="601" xr3:uid="{DB0E1F72-A6CE-4744-83AA-5120F151EEE5}" name="Column568"/>
    <tableColumn id="602" xr3:uid="{B1CD106A-AA03-499E-AA8E-5DFBC7DD3465}" name="Column569"/>
    <tableColumn id="603" xr3:uid="{5203C97C-7B2A-4CE7-A84C-A75B1BFCD109}" name="Column570"/>
    <tableColumn id="604" xr3:uid="{909A2F23-F407-43D1-99B4-47E1E8CB9A44}" name="Column571"/>
    <tableColumn id="605" xr3:uid="{34B2A978-AD55-408D-B040-27531F9622F6}" name="Column572"/>
    <tableColumn id="606" xr3:uid="{A26034E7-BB19-4F7D-8BD3-39A4B5680245}" name="Column573"/>
    <tableColumn id="607" xr3:uid="{7FFBD6F0-6DFE-46E5-8ECF-51E2938D2ACB}" name="Column574"/>
    <tableColumn id="608" xr3:uid="{3FDCE866-F9B9-45DC-9F8F-79D9377BEBA2}" name="Column575"/>
    <tableColumn id="609" xr3:uid="{200593AB-EF71-471B-8AD9-68240BBEDD8B}" name="Column576"/>
    <tableColumn id="610" xr3:uid="{62102DE0-DBF0-4728-96A4-2FDEDB0ABDE4}" name="Column577"/>
    <tableColumn id="611" xr3:uid="{60397B79-4463-40F2-9343-18FD6FEC365E}" name="Column578"/>
    <tableColumn id="612" xr3:uid="{9898587D-9A5E-4A5C-9420-CF42855206A2}" name="Column579"/>
    <tableColumn id="613" xr3:uid="{BB8C7B06-454C-4663-8344-273F7487B512}" name="Column580"/>
    <tableColumn id="614" xr3:uid="{FA986A3A-140A-49A5-8C95-316C120649C0}" name="Column581"/>
    <tableColumn id="615" xr3:uid="{5307661D-A5C9-4350-B61C-EC55A2173BB9}" name="Column582"/>
    <tableColumn id="616" xr3:uid="{D9B05819-E87D-4B02-89BF-23AF915FF9BC}" name="Column583"/>
    <tableColumn id="617" xr3:uid="{58AC65EA-E1A2-417D-AF4F-5F017C0117D5}" name="Column584"/>
    <tableColumn id="618" xr3:uid="{6F331F39-5C69-47F3-8032-5CEE08811736}" name="Column585"/>
    <tableColumn id="619" xr3:uid="{BA545747-CCBF-4C71-BDC7-B09CD1C1BFDD}" name="Column586"/>
    <tableColumn id="620" xr3:uid="{C953BF2C-65B2-4E1A-BC84-154C96F1838F}" name="Column587"/>
    <tableColumn id="621" xr3:uid="{A3B5C05E-AD3C-4845-80F2-914770809BD2}" name="Column588"/>
    <tableColumn id="622" xr3:uid="{BA0EB359-D8C6-4E3F-BA75-D8CF15C2D196}" name="Column589"/>
    <tableColumn id="623" xr3:uid="{DA46F3F7-06CD-4B3E-8C3A-CB805FAB08B7}" name="Column590"/>
    <tableColumn id="624" xr3:uid="{BD6CC38C-023C-4484-BAF1-B6CDD09F5783}" name="Column591"/>
    <tableColumn id="625" xr3:uid="{1076E59C-2A3A-4978-8062-99A1356627EA}" name="Column592"/>
    <tableColumn id="626" xr3:uid="{FB224F8A-8D66-4993-AB2F-92A60391EA3A}" name="Column593"/>
    <tableColumn id="627" xr3:uid="{E8F574DB-BDAB-4921-8A91-72E9A37B848F}" name="Column594"/>
    <tableColumn id="628" xr3:uid="{23D3F389-7E44-4798-9E76-295920712E0B}" name="Column595"/>
    <tableColumn id="629" xr3:uid="{081E4859-5FA4-4714-97AB-C051893DA046}" name="Column596"/>
    <tableColumn id="630" xr3:uid="{F6E67351-DCD3-4FB5-913B-B7AB7EC80C1D}" name="Column597"/>
    <tableColumn id="631" xr3:uid="{D05EC2B3-EDE4-489A-BD98-63F111315C72}" name="Column598"/>
    <tableColumn id="632" xr3:uid="{98B2327B-584D-4D2F-8B76-9F3A7C0EC31E}" name="Column599"/>
    <tableColumn id="633" xr3:uid="{1188285E-8B10-48D9-853B-09BA6AB65831}" name="Column600"/>
    <tableColumn id="634" xr3:uid="{92E70419-9B12-4D7F-89B5-299801765E71}" name="Column601"/>
    <tableColumn id="635" xr3:uid="{AB746ED1-9C29-411F-A13B-C0C4773BCAC8}" name="Column602"/>
    <tableColumn id="636" xr3:uid="{58443002-9F7D-45E2-A535-4569799CD801}" name="Column603"/>
    <tableColumn id="637" xr3:uid="{66570F6A-6043-455E-905D-D91903AA764F}" name="Column604"/>
    <tableColumn id="638" xr3:uid="{9087EA12-22B1-44CF-9943-7239EB873C5D}" name="Column605"/>
    <tableColumn id="639" xr3:uid="{57318009-8CE7-4785-A67A-E24BF2EACD01}" name="Column606"/>
    <tableColumn id="640" xr3:uid="{4163F386-E7B5-4E28-861E-CCB907D6403C}" name="Column607"/>
    <tableColumn id="641" xr3:uid="{B2E37FA5-562B-45B7-A551-FE04ED7C338C}" name="Column608"/>
    <tableColumn id="642" xr3:uid="{0431B750-1943-4593-81C8-C79075128846}" name="Column609"/>
    <tableColumn id="643" xr3:uid="{2B5ED84C-0B43-4537-96E8-DBF9FEE597A2}" name="Column610"/>
    <tableColumn id="644" xr3:uid="{B09D98FD-E123-4BC0-B8F1-9613B35EC79D}" name="Column611"/>
    <tableColumn id="645" xr3:uid="{CAE00380-B7FD-4D51-8495-FD11AA4E767A}" name="Column612"/>
    <tableColumn id="646" xr3:uid="{C0E5BC52-2044-4FC4-9A63-CCE3DADE0761}" name="Column613"/>
    <tableColumn id="647" xr3:uid="{27FFB2A9-F410-4937-81A0-AD66E4061DCF}" name="Column614"/>
    <tableColumn id="648" xr3:uid="{7F477AB3-7757-485F-AD2F-B2960F1D7F70}" name="Column615"/>
    <tableColumn id="649" xr3:uid="{BA4286D8-9DCD-4F05-A7FE-0358F49CBBE4}" name="Column616"/>
    <tableColumn id="650" xr3:uid="{443BC178-2B63-44A5-AFD8-FB8D342A0110}" name="Column617"/>
    <tableColumn id="651" xr3:uid="{639FA252-D664-4D3B-878B-A17740DA5D48}" name="Column618"/>
    <tableColumn id="652" xr3:uid="{D46F5D24-27E0-41CA-B4D1-27218FCFB850}" name="Column619"/>
    <tableColumn id="653" xr3:uid="{56861D08-7C63-461E-94BD-87D4C479B723}" name="Column620"/>
    <tableColumn id="654" xr3:uid="{61C7327C-0E2B-44EA-8659-164B0CE3CDAB}" name="Column621"/>
    <tableColumn id="655" xr3:uid="{0466E9B2-D42F-43E4-A89C-CE890FBC0AD9}" name="Column622"/>
    <tableColumn id="656" xr3:uid="{3D08446D-8CCD-4055-B56A-B2B2860588CA}" name="Column623"/>
    <tableColumn id="657" xr3:uid="{5FFE9FC0-632E-45F2-9829-A25D7EFB60E1}" name="Column624"/>
    <tableColumn id="658" xr3:uid="{B53A4B69-526F-43E0-9B77-71EE560A648A}" name="Column625"/>
    <tableColumn id="659" xr3:uid="{582E0595-02DB-4648-9CC1-A0F732807C59}" name="Column626"/>
    <tableColumn id="660" xr3:uid="{A623A2AC-30DD-4E75-A638-70BB28729981}" name="Column627"/>
    <tableColumn id="661" xr3:uid="{D3971729-6316-43B7-A31D-D3FE30048102}" name="Column628"/>
    <tableColumn id="662" xr3:uid="{247D510B-ECC2-4C5C-8C92-1B23D9887B54}" name="Column629"/>
    <tableColumn id="663" xr3:uid="{3B832C84-36A8-48A6-9CF8-9EF5C7E22BBA}" name="Column630"/>
    <tableColumn id="664" xr3:uid="{7D41F851-B097-4615-84DB-657B76C3BE5D}" name="Column631"/>
    <tableColumn id="665" xr3:uid="{279D8B65-4D7D-47BA-A04B-9F19F6275CA0}" name="Column632"/>
    <tableColumn id="666" xr3:uid="{5960C19C-BB94-4E85-A524-5CDC239CE3FA}" name="Column633"/>
    <tableColumn id="667" xr3:uid="{59393729-1062-4DB2-B3DD-666C643216C1}" name="Column634"/>
    <tableColumn id="668" xr3:uid="{3D7AE9FF-D736-4690-9AAD-B6AB4F3EB43A}" name="Column635"/>
    <tableColumn id="669" xr3:uid="{DFFACCE0-FA7E-4290-9A40-673BEA99B0DE}" name="Column636"/>
    <tableColumn id="670" xr3:uid="{3D4A90EC-16DC-4191-991F-395F60781A07}" name="Column637"/>
    <tableColumn id="671" xr3:uid="{C70CF4B7-D44F-4FFE-8B1E-F0350EFC9CC9}" name="Column638"/>
    <tableColumn id="672" xr3:uid="{EF24897C-EE70-4BC0-850B-F55B703E5892}" name="Column639"/>
    <tableColumn id="673" xr3:uid="{E1A3ACA3-3E97-476F-9DCF-165C5BBDE335}" name="Column640"/>
    <tableColumn id="674" xr3:uid="{D04449EB-73F2-4BBE-98F5-B7FC0BBE3FA1}" name="Column641"/>
    <tableColumn id="675" xr3:uid="{3F7EF92A-7FC2-45B1-9B9D-43FE62116757}" name="Column642"/>
    <tableColumn id="676" xr3:uid="{449E17A2-CDE2-4372-8A6D-D9B5959756C2}" name="Column643"/>
    <tableColumn id="677" xr3:uid="{3EA0C31B-3917-4750-8365-B093D2E95F26}" name="Column644"/>
    <tableColumn id="678" xr3:uid="{8A989905-E06F-44A6-BE10-DA358FCFFD86}" name="Column645"/>
    <tableColumn id="679" xr3:uid="{FDC305DF-A1F7-49BE-B875-977AC1FA56A2}" name="Column646"/>
    <tableColumn id="680" xr3:uid="{D5BF66F3-7AF7-4E24-9036-3532A314C17C}" name="Column647"/>
    <tableColumn id="681" xr3:uid="{AB34402E-DE5D-453B-97B7-9C9D54DB718B}" name="Column648"/>
    <tableColumn id="682" xr3:uid="{F19A43C5-6158-4C8E-9167-EA4105FAD86D}" name="Column649"/>
    <tableColumn id="683" xr3:uid="{5690AD55-1098-4260-93B6-06787DB90D80}" name="Column650"/>
    <tableColumn id="684" xr3:uid="{5F5532FF-A121-4E18-8572-9496CFEBE3E3}" name="Column651"/>
    <tableColumn id="685" xr3:uid="{C12DC239-BCD3-4C35-AC7C-D9CC7C6428C1}" name="Column652"/>
    <tableColumn id="686" xr3:uid="{C68939FC-A4BE-4760-8EFF-C32385E9EE8C}" name="Column653"/>
    <tableColumn id="687" xr3:uid="{687233B1-A8A0-4525-9A16-893E01D944F0}" name="Column654"/>
    <tableColumn id="688" xr3:uid="{A585DC36-7C86-4D6E-85F9-2D8B561541F6}" name="Column655"/>
    <tableColumn id="689" xr3:uid="{207E3B26-D107-4BED-AC9D-9E01DD850909}" name="Column656"/>
    <tableColumn id="690" xr3:uid="{9C4F7EAC-B0F9-4E73-9D29-52D841B54556}" name="Column657"/>
    <tableColumn id="691" xr3:uid="{33A179E7-C369-4898-9CA7-C576550564A2}" name="Column658"/>
    <tableColumn id="692" xr3:uid="{6A4B693A-353A-4C51-9582-505F08DDBA4E}" name="Column659"/>
    <tableColumn id="693" xr3:uid="{1B6BC2D4-F31A-4D82-8E3F-90BA5AC101D7}" name="Column660"/>
    <tableColumn id="694" xr3:uid="{02778930-D6FB-445F-A9EE-3618267837CF}" name="Column661"/>
    <tableColumn id="695" xr3:uid="{7EEF052E-5286-40DF-9500-23CA7F85DAE3}" name="Column662"/>
    <tableColumn id="696" xr3:uid="{337C3E1E-BCD8-4607-A111-260643460062}" name="Column663"/>
    <tableColumn id="697" xr3:uid="{158D4DC2-E4BE-4A77-AD9D-D45A872A6EB3}" name="Column664"/>
    <tableColumn id="698" xr3:uid="{ABF065BD-2895-4396-8644-C9A5FF78E10E}" name="Column665"/>
    <tableColumn id="699" xr3:uid="{C323BCA5-B1B1-4B2E-BC0C-A218105F4884}" name="Column666"/>
    <tableColumn id="700" xr3:uid="{679C291F-D077-40A8-82B6-AFD6ABF429F8}" name="Column667"/>
    <tableColumn id="701" xr3:uid="{7D502728-5226-4D02-AB9A-2C0EDF743E3A}" name="Column668"/>
    <tableColumn id="702" xr3:uid="{F4EA7803-128B-4455-B26B-5EA1AD527076}" name="Column669"/>
    <tableColumn id="703" xr3:uid="{F7FC5D14-125E-4ECD-9B98-0253041834EF}" name="Column670"/>
    <tableColumn id="704" xr3:uid="{88248CB5-C940-42A7-8FA9-344270F8F83E}" name="Column671"/>
    <tableColumn id="705" xr3:uid="{DFB48A0D-1BB3-4E96-B90F-AA203FC523A9}" name="Column672"/>
    <tableColumn id="706" xr3:uid="{23E8F2C3-23CC-4995-B79B-596C6D42B82E}" name="Column673"/>
    <tableColumn id="707" xr3:uid="{9D0BF89D-1A21-4D4D-986E-D26D92A98D30}" name="Column674"/>
    <tableColumn id="708" xr3:uid="{775D0F5A-305C-4DEC-B7EF-D4FED97FDD73}" name="Column675"/>
    <tableColumn id="709" xr3:uid="{7E0A3D8A-216A-406B-B03D-76881308EEAF}" name="Column676"/>
    <tableColumn id="710" xr3:uid="{C7557B61-8776-418A-B9AA-C5C8A8666680}" name="Column677"/>
    <tableColumn id="711" xr3:uid="{F5C20CE8-51B0-4FEA-B7DA-8C422118C883}" name="Column678"/>
    <tableColumn id="712" xr3:uid="{F0EEE45A-A53D-469D-8CFF-95DD2F618FD3}" name="Column679"/>
    <tableColumn id="713" xr3:uid="{9E46A07E-4194-4168-9F18-D58AB01C6893}" name="Column680"/>
    <tableColumn id="714" xr3:uid="{80D1D775-BB63-45E7-BBEE-DDCE5FCD988D}" name="Column681"/>
    <tableColumn id="715" xr3:uid="{DCAB64E5-3391-431E-9816-CAD5A3ECC2E1}" name="Column682"/>
    <tableColumn id="716" xr3:uid="{C369B1BB-E40D-43BF-A4C7-77E6360417F9}" name="Column683"/>
    <tableColumn id="717" xr3:uid="{B3B187E0-87FC-4718-B04A-2DF57BFC5493}" name="Column684"/>
    <tableColumn id="718" xr3:uid="{3C2EE7E3-13A5-405E-A4BB-61D3E1539AAE}" name="Column685"/>
    <tableColumn id="719" xr3:uid="{ACAB37BA-FEE6-4511-949E-196DBD7F4CA2}" name="Column686"/>
    <tableColumn id="720" xr3:uid="{E14880C8-BFFC-43DA-B974-79E8E0A6CEFB}" name="Column687"/>
    <tableColumn id="721" xr3:uid="{7D992AA8-FC54-478F-AD02-23F448015F2C}" name="Column688"/>
    <tableColumn id="722" xr3:uid="{22511835-7F68-470D-AFE2-09944E90A412}" name="Column689"/>
    <tableColumn id="723" xr3:uid="{76FBD674-51FA-4A32-B0B7-04BB9B58345A}" name="Column690"/>
    <tableColumn id="724" xr3:uid="{DD65F840-178F-4794-8C19-FD3285A7F32B}" name="Column691"/>
    <tableColumn id="725" xr3:uid="{08357A13-8A1E-4246-8F79-9154DE75D903}" name="Column692"/>
    <tableColumn id="726" xr3:uid="{FCB42340-F29D-4F0D-95DD-82E6A43570F7}" name="Column693"/>
    <tableColumn id="727" xr3:uid="{00046F22-B667-48A4-ADCC-80707B4A8A26}" name="Column694"/>
    <tableColumn id="728" xr3:uid="{472DC375-D791-4E20-BE88-527A2A509544}" name="Column695"/>
    <tableColumn id="729" xr3:uid="{CB1B5F5F-A505-4B50-B749-684B466C58F8}" name="Column696"/>
    <tableColumn id="730" xr3:uid="{7B0644A2-B0C8-4145-88BB-F076F6F7A4C7}" name="Column697"/>
    <tableColumn id="731" xr3:uid="{DF4F7857-69F4-418D-9C1B-AD5B35E94509}" name="Column698"/>
    <tableColumn id="732" xr3:uid="{98C39081-3735-40EB-86BC-708D99B2894B}" name="Column699"/>
    <tableColumn id="733" xr3:uid="{D70B0041-47BB-4B94-BF37-BA11E4B301D8}" name="Column700"/>
    <tableColumn id="734" xr3:uid="{39DF7380-1909-4340-AC52-43F25116170D}" name="Column701"/>
    <tableColumn id="735" xr3:uid="{CFE6B675-945F-46BD-B70C-EEAD7CB071FD}" name="Column702"/>
    <tableColumn id="736" xr3:uid="{CA9FD858-53C1-4F41-9988-29182196E846}" name="Column703"/>
    <tableColumn id="737" xr3:uid="{C905B3AB-3CC7-4121-AF09-26C464A07453}" name="Column704"/>
    <tableColumn id="738" xr3:uid="{8369114F-DDE1-4184-8738-D83ADF81086B}" name="Column705"/>
    <tableColumn id="739" xr3:uid="{EA50776A-2531-4791-AA93-71C85175D615}" name="Column706"/>
    <tableColumn id="740" xr3:uid="{D3D2A3C7-2C87-4104-A85A-88B2138B3E85}" name="Column707"/>
    <tableColumn id="741" xr3:uid="{6E6AA833-B28A-4D1A-9B4E-B7191FE9DCCB}" name="Column708"/>
    <tableColumn id="742" xr3:uid="{D7EC3A2C-676A-4169-9B34-333AD3619DC8}" name="Column709"/>
    <tableColumn id="743" xr3:uid="{9378849A-3E54-464B-94F6-8834EAA3221C}" name="Column710"/>
    <tableColumn id="744" xr3:uid="{86CC1AEC-C029-4F18-9F4B-ECB24238CEC8}" name="Column711"/>
    <tableColumn id="745" xr3:uid="{2121B9F9-4E84-4FC6-8FA7-FF2E380479B4}" name="Column712"/>
    <tableColumn id="746" xr3:uid="{5E8C96FE-11AF-4ED3-A937-7660416C49A3}" name="Column713"/>
    <tableColumn id="747" xr3:uid="{2295659D-4F08-4D77-AB2F-8C974CA2DEC3}" name="Column714"/>
    <tableColumn id="748" xr3:uid="{7B0D0367-13F9-4E06-A5AC-7A3DA25D4326}" name="Column715"/>
    <tableColumn id="749" xr3:uid="{789C7761-CEA7-488D-9D9B-880C659CC788}" name="Column716"/>
    <tableColumn id="750" xr3:uid="{251B16A6-3171-41D4-BAB9-4FBA7ABAF663}" name="Column717"/>
    <tableColumn id="751" xr3:uid="{F0DC70CB-0FC3-4497-9EDF-BD3E06E16DE9}" name="Column718"/>
    <tableColumn id="752" xr3:uid="{E82BE2F2-5FC9-4552-96C9-87470CEB998E}" name="Column719"/>
    <tableColumn id="753" xr3:uid="{C5D8B8C2-B850-4507-9E8F-A79EA066EA9B}" name="Column720"/>
    <tableColumn id="754" xr3:uid="{31966C6C-903A-4CB8-B747-2592F3411D74}" name="Column721"/>
    <tableColumn id="755" xr3:uid="{E900B2F4-77A4-477A-B1D5-3CB90C898CEE}" name="Column722"/>
    <tableColumn id="756" xr3:uid="{D8889808-9111-4F2D-8AE5-B78E6CA11651}" name="Column723"/>
    <tableColumn id="757" xr3:uid="{D04743F6-8073-42FB-950D-9C530A6EDAFA}" name="Column724"/>
    <tableColumn id="758" xr3:uid="{90736BFE-4DDC-4E13-BBE2-EE2B75ADFF37}" name="Column725"/>
    <tableColumn id="759" xr3:uid="{2E178104-9157-4667-838F-4D8823B4B77C}" name="Column726"/>
    <tableColumn id="760" xr3:uid="{CAFACB9C-B906-4FB7-842B-7B8080549FE2}" name="Column727"/>
    <tableColumn id="761" xr3:uid="{202CA75F-B051-429C-A54A-B2D6382CB7F1}" name="Column728"/>
    <tableColumn id="762" xr3:uid="{3EE7F35F-7B6F-434F-9818-F697E2C39894}" name="Column729"/>
    <tableColumn id="763" xr3:uid="{136AE142-37DB-4355-99F1-FBDEEFB98F6E}" name="Column730"/>
    <tableColumn id="764" xr3:uid="{4EC10673-33A0-4341-980A-7D177522FFBF}" name="Column731"/>
    <tableColumn id="765" xr3:uid="{03F9349C-CB3E-4741-AF9B-5314CBF96521}" name="Column732"/>
    <tableColumn id="766" xr3:uid="{2E794D3A-583F-4107-A86A-5E85A4EA46B0}" name="Column733"/>
    <tableColumn id="767" xr3:uid="{44EA7387-FB2E-4032-B7DC-B509FD0EF15F}" name="Column734"/>
    <tableColumn id="768" xr3:uid="{1090E650-15C2-4CD2-B089-E252BC27B773}" name="Column735"/>
    <tableColumn id="769" xr3:uid="{B07422B2-4EC6-48ED-B104-58911A3B9B49}" name="Column736"/>
    <tableColumn id="770" xr3:uid="{78BEA9E2-AF57-48B2-8C7F-39047B14F210}" name="Column737"/>
    <tableColumn id="771" xr3:uid="{12A9147B-98FA-499D-829F-AA8F73A79C66}" name="Column738"/>
    <tableColumn id="772" xr3:uid="{4B5847F6-0E3E-423D-8068-856BED28C9A3}" name="Column739"/>
    <tableColumn id="773" xr3:uid="{D477ECAD-C729-4F13-B698-700CA8C36564}" name="Column740"/>
    <tableColumn id="774" xr3:uid="{A39D031D-A4A0-4531-BE52-AEE80C1417A2}" name="Column741"/>
    <tableColumn id="775" xr3:uid="{69F9170A-C87F-4E5E-8714-E4117E73BFA2}" name="Column742"/>
    <tableColumn id="776" xr3:uid="{AFA0A142-7417-456D-8A8B-7BEE6A735DED}" name="Column743"/>
    <tableColumn id="777" xr3:uid="{A014DB06-183B-4A37-97FF-F588FA0CD2AE}" name="Column744"/>
    <tableColumn id="778" xr3:uid="{7DF6DAE2-8961-4705-A184-814A93ADBCE6}" name="Column745"/>
    <tableColumn id="779" xr3:uid="{F6F6853F-EDC3-46F3-9BFD-9E5BFC40CFC3}" name="Column746"/>
    <tableColumn id="780" xr3:uid="{314733EA-92F5-45EC-A648-20F6B18DEF42}" name="Column747"/>
    <tableColumn id="781" xr3:uid="{D061E46C-FC3B-4432-ADB1-F38A41B8DF4C}" name="Column748"/>
    <tableColumn id="782" xr3:uid="{C9DB625C-28DA-42B7-AFB0-542FF3E355DB}" name="Column749"/>
    <tableColumn id="783" xr3:uid="{16EAEEC3-5C3A-4373-8B50-2E8C2A32C2AD}" name="Column750"/>
    <tableColumn id="784" xr3:uid="{587509A4-1DD4-4514-B06B-FA696C1F7276}" name="Column751"/>
    <tableColumn id="785" xr3:uid="{632F0A13-97AC-400B-801D-597F62BFC9A1}" name="Column752"/>
    <tableColumn id="786" xr3:uid="{64372BA8-7D9F-4C2A-8778-4F27B8EFFCE9}" name="Column753"/>
    <tableColumn id="787" xr3:uid="{2F26D5A9-5C96-47ED-8AC5-4A300AADC313}" name="Column754"/>
    <tableColumn id="788" xr3:uid="{4F1A7225-9105-4318-82BA-8FEB121C272B}" name="Column755"/>
    <tableColumn id="789" xr3:uid="{AB479534-BA93-4C60-8070-68867C1D358A}" name="Column756"/>
    <tableColumn id="790" xr3:uid="{6F99AF76-86CF-4E00-8536-69B7601B3DBD}" name="Column757"/>
    <tableColumn id="791" xr3:uid="{465A35EF-E0DB-4FFA-88F0-25CC9CF973F7}" name="Column758"/>
    <tableColumn id="792" xr3:uid="{C9B8F907-47B2-4E40-88F1-316B38EA56FA}" name="Column759"/>
    <tableColumn id="793" xr3:uid="{D7CB4B7E-0BDF-400A-B496-14973ADED366}" name="Column760"/>
    <tableColumn id="794" xr3:uid="{A0AFD67A-7D2F-4C3E-989C-5FBEBB6AE19D}" name="Column761"/>
    <tableColumn id="795" xr3:uid="{1696D974-18BB-496B-8112-48FE5332B999}" name="Column762"/>
    <tableColumn id="796" xr3:uid="{9B442133-6009-40C3-A3EB-DC7F5B5B60B8}" name="Column763"/>
    <tableColumn id="797" xr3:uid="{1AE66BF2-1F75-4AFD-8A0C-F25A1F60F67D}" name="Column764"/>
    <tableColumn id="798" xr3:uid="{29946ECA-C228-413D-8884-E9CECDA7F4E0}" name="Column765"/>
    <tableColumn id="799" xr3:uid="{3178DC06-4505-404F-BD7F-84F4D311ED44}" name="Column766"/>
    <tableColumn id="800" xr3:uid="{E9316A36-1453-48B6-A242-D3FC759E2669}" name="Column767"/>
    <tableColumn id="801" xr3:uid="{B1295650-0302-4BFD-B763-BB03FE4F14D8}" name="Column768"/>
    <tableColumn id="802" xr3:uid="{3CC459E2-8197-4BE7-A815-01A63C5332BD}" name="Column769"/>
    <tableColumn id="803" xr3:uid="{8CD721AF-8F9F-47E0-A770-40E3A5129407}" name="Column770"/>
    <tableColumn id="804" xr3:uid="{315BE40E-15A3-4584-8B9B-20BDA01CDFF7}" name="Column771"/>
    <tableColumn id="805" xr3:uid="{9FA30F48-D01C-40D9-B6CF-E8524167A9AB}" name="Column772"/>
    <tableColumn id="806" xr3:uid="{F900AD92-ABD4-4B04-8990-DAF253111F37}" name="Column773"/>
    <tableColumn id="807" xr3:uid="{1EB86E13-4101-49FC-82DF-72A16B3B3735}" name="Column774"/>
    <tableColumn id="808" xr3:uid="{3E16620A-A5CB-4C03-9763-520570CF732D}" name="Column775"/>
    <tableColumn id="809" xr3:uid="{F2A340CC-1ECD-4D20-9543-6E3E0A1962EC}" name="Column776"/>
    <tableColumn id="810" xr3:uid="{AFC039AA-AF22-4221-B252-C900C9741E72}" name="Column777"/>
    <tableColumn id="811" xr3:uid="{08EC103F-2177-499C-9A09-F3A524590703}" name="Column778"/>
    <tableColumn id="812" xr3:uid="{A83736E4-58E5-4143-A7F2-49D92BD29AAE}" name="Column779"/>
    <tableColumn id="813" xr3:uid="{E7E7A5C0-E809-43BF-B628-FDBD8CF4CDF6}" name="Column780"/>
    <tableColumn id="814" xr3:uid="{483103B1-9F9D-49B4-A075-5C1BD0CEEAA4}" name="Column781"/>
    <tableColumn id="815" xr3:uid="{1B8ACBB8-4A69-4434-8B37-3CCF0D37B16E}" name="Column782"/>
    <tableColumn id="816" xr3:uid="{4D710418-292B-4666-8059-E1BD000D8F66}" name="Column783"/>
    <tableColumn id="817" xr3:uid="{B33FC16B-6AF7-43EB-B8D2-7732BA16166A}" name="Column784"/>
    <tableColumn id="818" xr3:uid="{BF24757F-4340-4562-87BB-F40D7E1489C5}" name="Column785"/>
    <tableColumn id="819" xr3:uid="{4784E395-36B1-452B-A3B4-A8F517B59DDF}" name="Column786"/>
    <tableColumn id="820" xr3:uid="{375A17E3-43BF-4F07-A0CE-B5205B357E37}" name="Column787"/>
    <tableColumn id="821" xr3:uid="{ABEE55BD-DFE8-4DD9-95AD-39CC06F152F9}" name="Column788"/>
    <tableColumn id="822" xr3:uid="{AF2343F5-8CDE-48E7-B009-3027628C37AE}" name="Column789"/>
    <tableColumn id="823" xr3:uid="{B92FB8A2-F490-41DB-A25A-D689BB106B98}" name="Column790"/>
    <tableColumn id="824" xr3:uid="{08590CB9-9522-415F-BB69-E3276CE95E20}" name="Column791"/>
    <tableColumn id="825" xr3:uid="{F8EA1451-580E-4EDF-A071-3EA457B94862}" name="Column792"/>
    <tableColumn id="826" xr3:uid="{03F6A8BA-47A8-4199-A806-7EA9768FD1B6}" name="Column793"/>
    <tableColumn id="827" xr3:uid="{22C949D1-4B96-497D-8292-D4E3D24F1F28}" name="Column794"/>
    <tableColumn id="828" xr3:uid="{CAD31E2A-B896-4AF3-8533-707234DD27C3}" name="Column795"/>
    <tableColumn id="829" xr3:uid="{BC262619-C5D9-4511-9CC0-A3D87CDEB88F}" name="Column796"/>
    <tableColumn id="830" xr3:uid="{7242717E-52AE-43BF-9DBA-8C96288E7020}" name="Column797"/>
    <tableColumn id="831" xr3:uid="{2775C6D1-3C9C-4EB3-8800-122AA035D135}" name="Column798"/>
    <tableColumn id="832" xr3:uid="{807A7A86-493A-4D5B-A038-DC79BBF6C4DF}" name="Column799"/>
    <tableColumn id="833" xr3:uid="{AF810166-2FA5-403F-9D9D-C9AA77588971}" name="Column800"/>
    <tableColumn id="834" xr3:uid="{C0C4646C-F8D1-4219-B940-9EFEEA7634AF}" name="Column801"/>
    <tableColumn id="835" xr3:uid="{878C3D01-32C7-4923-B921-7DBE4D06B260}" name="Column802"/>
    <tableColumn id="836" xr3:uid="{46661A64-2E6E-40CA-AEE5-87A02F5CDB41}" name="Column803"/>
    <tableColumn id="837" xr3:uid="{5B68B585-D539-4B4C-9B0A-80AF7CFF0EB0}" name="Column804"/>
    <tableColumn id="838" xr3:uid="{5837CC36-2E32-49D2-94ED-E6DFDD9B2FE7}" name="Column805"/>
    <tableColumn id="839" xr3:uid="{CC212CFD-28A6-4385-BADE-BDEF0912A52C}" name="Column806"/>
    <tableColumn id="840" xr3:uid="{2F0F6AD9-CD68-44BE-A9AC-6EE99C0DB652}" name="Column807"/>
    <tableColumn id="841" xr3:uid="{B45DE024-765B-46F3-B5F3-D9427276A7E7}" name="Column808"/>
    <tableColumn id="842" xr3:uid="{50BACACB-0153-46B8-8693-156E267EB5BF}" name="Column809"/>
    <tableColumn id="843" xr3:uid="{27A10210-3E79-4E26-8D1E-7D76661BAA24}" name="Column810"/>
    <tableColumn id="844" xr3:uid="{8166668A-5F29-4A2E-80E6-8F4959EE6289}" name="Column811"/>
    <tableColumn id="845" xr3:uid="{B925B120-33DC-4957-AC4D-E5C047196358}" name="Column812"/>
    <tableColumn id="846" xr3:uid="{E3CFCC90-11C2-46C3-A859-B0043F936E0C}" name="Column813"/>
    <tableColumn id="847" xr3:uid="{476F5807-5E39-4C8B-A3E9-C2980BFFE63F}" name="Column814"/>
    <tableColumn id="848" xr3:uid="{4D3BC207-9D08-4833-A092-A8689873D42E}" name="Column815"/>
    <tableColumn id="849" xr3:uid="{13467B48-6795-4674-ADF3-492306130568}" name="Column816"/>
    <tableColumn id="850" xr3:uid="{36F82DD0-EB61-4EB5-8545-1354F4A9BEF3}" name="Column817"/>
    <tableColumn id="851" xr3:uid="{ABFB2B9D-68A4-4F60-AFAF-6650877CB8E9}" name="Column818"/>
    <tableColumn id="852" xr3:uid="{89905AB7-34EB-4BCE-A666-E54B3C8C7929}" name="Column819"/>
    <tableColumn id="853" xr3:uid="{8A756E73-CA6B-4676-B7E7-EE051AAE11D7}" name="Column820"/>
    <tableColumn id="854" xr3:uid="{816019B9-FED9-400B-B8EC-E609751B356D}" name="Column821"/>
    <tableColumn id="855" xr3:uid="{0B9F6EE5-4099-471A-8EDF-CD99A44544AA}" name="Column822"/>
    <tableColumn id="856" xr3:uid="{3525B7F7-93DC-4AAC-AA39-5D8F4E2FB67D}" name="Column823"/>
    <tableColumn id="857" xr3:uid="{99742CE8-27ED-4AE9-B1FB-1E9AD072CABE}" name="Column824"/>
    <tableColumn id="858" xr3:uid="{1D3B2A68-B2D1-43BC-9711-106337093FE8}" name="Column825"/>
    <tableColumn id="859" xr3:uid="{126A1F56-3377-4D3B-A4A4-B8E51D0E139F}" name="Column826"/>
    <tableColumn id="860" xr3:uid="{76F0C702-9F64-4032-9008-A52B88115C07}" name="Column827"/>
    <tableColumn id="861" xr3:uid="{F6572E79-264F-4DEC-AB12-00EE1DC51F85}" name="Column828"/>
    <tableColumn id="862" xr3:uid="{20963268-79A2-43B6-9006-64801C8FFF86}" name="Column829"/>
    <tableColumn id="863" xr3:uid="{D6C8272F-05E8-4A0E-962B-A2FCB4F8CED0}" name="Column830"/>
    <tableColumn id="864" xr3:uid="{B7FF9E84-A4A0-4EE8-9C0A-A892DE3DFF07}" name="Column831"/>
    <tableColumn id="865" xr3:uid="{46B7C1F5-35E9-4D12-B49D-D9F75CBB86C3}" name="Column832"/>
    <tableColumn id="866" xr3:uid="{8368C59C-3B6E-4214-809D-1EBE8DEDBD90}" name="Column833"/>
    <tableColumn id="867" xr3:uid="{85F613DD-EB9F-4621-A854-3E0EBE9E6F93}" name="Column834"/>
    <tableColumn id="868" xr3:uid="{A08BFD03-DF3F-4865-AB38-D761C4A08EF1}" name="Column835"/>
    <tableColumn id="869" xr3:uid="{93F20CF2-E0C9-4C02-8D2B-0950C2BD4FC8}" name="Column836"/>
    <tableColumn id="870" xr3:uid="{C4DC3A6B-959D-4AAA-962D-A36620CEF226}" name="Column837"/>
    <tableColumn id="871" xr3:uid="{2E38212F-4F72-41BB-920F-D4CCD4EECD04}" name="Column838"/>
    <tableColumn id="872" xr3:uid="{4E07392B-9F53-453A-8543-E3FB52FD41FE}" name="Column839"/>
    <tableColumn id="873" xr3:uid="{4A96BD6E-A3F7-4DF3-8E3C-22D831F9DA42}" name="Column840"/>
    <tableColumn id="874" xr3:uid="{A6F54FED-0905-45E7-9A3F-A71BE7D1E3E0}" name="Column841"/>
    <tableColumn id="875" xr3:uid="{72B3979A-1F1E-4EBB-8F5D-52A67F91452C}" name="Column842"/>
    <tableColumn id="876" xr3:uid="{D1DCDA75-F753-4CB4-B5DA-FF695C9E6648}" name="Column843"/>
    <tableColumn id="877" xr3:uid="{D058F62D-B25D-4FD3-9C53-6DA9E4741586}" name="Column844"/>
    <tableColumn id="878" xr3:uid="{99CF2FA3-798C-41F0-8D1A-CEE470A3A3FB}" name="Column845"/>
    <tableColumn id="879" xr3:uid="{64CC05F1-C0D1-40B3-BD24-736D000546A8}" name="Column846"/>
    <tableColumn id="880" xr3:uid="{F1CF3EBE-4115-4BEC-ADC2-E46F97F82A31}" name="Column847"/>
    <tableColumn id="881" xr3:uid="{44E8D54F-C222-40F4-AF59-D029E9F5F674}" name="Column848"/>
    <tableColumn id="882" xr3:uid="{9E41F542-F854-4D0C-8986-A071F010F7A6}" name="Column849"/>
    <tableColumn id="883" xr3:uid="{C7F75048-1DFF-478D-AE1B-69612D6A1673}" name="Column850"/>
    <tableColumn id="884" xr3:uid="{1A81BBCA-7341-49FE-B27A-45381F15AD79}" name="Column851"/>
    <tableColumn id="885" xr3:uid="{A7A82131-3ED8-4306-A23D-B3B96E30B5D8}" name="Column852"/>
    <tableColumn id="886" xr3:uid="{BAC5E1E1-CE2C-4013-83AF-E6C22EB617F0}" name="Column853"/>
    <tableColumn id="887" xr3:uid="{9F364DC8-3B25-4D9C-9AED-E380CCDADB0F}" name="Column854"/>
    <tableColumn id="888" xr3:uid="{A9C30795-C1AA-4AA6-8632-4744C7676CA5}" name="Column855"/>
    <tableColumn id="889" xr3:uid="{FBD68644-3CA7-4AA8-85E9-88DC6B8A0860}" name="Column856"/>
    <tableColumn id="890" xr3:uid="{B49724AE-E842-4092-9152-2B98D0E275E2}" name="Column857"/>
    <tableColumn id="891" xr3:uid="{1239F59E-AF16-4354-8C7A-96760025DD36}" name="Column858"/>
    <tableColumn id="892" xr3:uid="{9A79516E-6A5A-46A9-A8AE-4CAB7877CEC0}" name="Column859"/>
    <tableColumn id="893" xr3:uid="{ACA2634A-545D-40F4-B3AA-63752CC0D9FF}" name="Column860"/>
    <tableColumn id="894" xr3:uid="{BC85244B-3A5D-446A-B313-C30B1D21E3DD}" name="Column861"/>
    <tableColumn id="895" xr3:uid="{1ED274F8-D05F-48A6-B63C-94A69894BA68}" name="Column862"/>
    <tableColumn id="896" xr3:uid="{A6AF67F6-3D9E-4FFE-B667-D32CEF6C08B6}" name="Column863"/>
    <tableColumn id="897" xr3:uid="{9C7A12E3-1D45-4EC2-9A38-2FCCE8850CAB}" name="Column864"/>
    <tableColumn id="898" xr3:uid="{C1D8CEEB-8505-4A6E-8684-97BDA1A86AE3}" name="Column865"/>
    <tableColumn id="899" xr3:uid="{B93ED15D-4270-4490-94AD-5194C9DBD5FC}" name="Column866"/>
    <tableColumn id="900" xr3:uid="{59882036-71D2-48FD-ACAB-3B54D8B549D8}" name="Column867"/>
    <tableColumn id="901" xr3:uid="{F8D73247-C807-4264-BA4F-579955293A62}" name="Column868"/>
    <tableColumn id="902" xr3:uid="{C5B349D5-73A2-4AA1-A376-EC3494920B52}" name="Column869"/>
    <tableColumn id="903" xr3:uid="{814B7F77-1D74-4339-812F-06E7599A28A2}" name="Column870"/>
    <tableColumn id="904" xr3:uid="{197343D1-3E23-4555-9646-2F2AEC991818}" name="Column871"/>
    <tableColumn id="905" xr3:uid="{94FF222F-1B03-4639-B52F-72BA8A2D9E18}" name="Column872"/>
    <tableColumn id="906" xr3:uid="{2E66CD29-9E11-43F9-82E3-8593C4DAD580}" name="Column873"/>
    <tableColumn id="907" xr3:uid="{2FB5355A-BE36-43D6-850E-BCA18F6E3ED4}" name="Column874"/>
    <tableColumn id="908" xr3:uid="{771BF4E7-1A16-44BD-B18C-424CEA74A8F2}" name="Column875"/>
    <tableColumn id="909" xr3:uid="{9C47FDE5-E9A8-43AE-B568-8D16F2EE90B3}" name="Column876"/>
    <tableColumn id="910" xr3:uid="{71A3895E-6D85-4BB6-8C08-507FB15E9FEF}" name="Column877"/>
    <tableColumn id="911" xr3:uid="{35675E35-ED3E-4D75-9DD5-5FDD10564935}" name="Column878"/>
    <tableColumn id="912" xr3:uid="{EBB933B0-1AE2-468B-966D-0CCA5568E1CA}" name="Column879"/>
    <tableColumn id="913" xr3:uid="{3F306AC8-8769-4805-ABFC-A4FA38C319C3}" name="Column880"/>
    <tableColumn id="914" xr3:uid="{CF10D795-CD2C-4A1D-8E1B-C341D891A598}" name="Column881"/>
    <tableColumn id="915" xr3:uid="{53413D08-DFF5-41BC-BE7B-8B4875AF160B}" name="Column882"/>
    <tableColumn id="916" xr3:uid="{A7E269C2-FCFD-4D10-8036-8899B1772640}" name="Column883"/>
    <tableColumn id="917" xr3:uid="{BFCDCFDE-6472-4629-B9F4-5A738128B5FF}" name="Column884"/>
    <tableColumn id="918" xr3:uid="{74FC132D-33A1-4F4A-853C-3B827D3293A4}" name="Column885"/>
    <tableColumn id="919" xr3:uid="{25B1A51D-8C3D-4E7B-A66B-D830F399AB0D}" name="Column886"/>
    <tableColumn id="920" xr3:uid="{A3F5AF2B-29C1-4F7D-A2E4-1946C8D3F8F6}" name="Column887"/>
    <tableColumn id="921" xr3:uid="{EDC286F3-1D7F-434A-AD5D-27BEF5FA3DA5}" name="Column888"/>
    <tableColumn id="922" xr3:uid="{775CD44C-15FB-42C2-9518-212D04DC47CA}" name="Column889"/>
    <tableColumn id="923" xr3:uid="{BB5FDD35-F79A-4CE5-B1B8-5B86FAB35EB8}" name="Column890"/>
    <tableColumn id="924" xr3:uid="{BA8945A6-37D3-4A7C-A571-5FDC2E1AD03E}" name="Column891"/>
    <tableColumn id="925" xr3:uid="{1B073455-4C52-48A3-B687-B4481D79D72C}" name="Column892"/>
    <tableColumn id="926" xr3:uid="{183C8148-95BD-40E1-A1AA-8C7B45F103E4}" name="Column893"/>
    <tableColumn id="927" xr3:uid="{0206000A-5281-478B-B876-542AF9EDA54D}" name="Column894"/>
    <tableColumn id="928" xr3:uid="{3C4FF8B0-124F-480B-9CAF-88FAE52BF27E}" name="Column895"/>
    <tableColumn id="929" xr3:uid="{2A03EB8A-0EDF-40DF-A075-4AFBA277C5C9}" name="Column896"/>
    <tableColumn id="930" xr3:uid="{ECCB014D-B9E0-40A8-8154-6AF56C8EEE2A}" name="Column897"/>
    <tableColumn id="931" xr3:uid="{A73637F2-858E-4ADC-9FC8-A046AFF323EE}" name="Column898"/>
    <tableColumn id="932" xr3:uid="{680083D5-F1EF-4FD5-8833-47084B39E45F}" name="Column899"/>
    <tableColumn id="933" xr3:uid="{84B30857-0972-4E2E-B454-0D8326A5F3D4}" name="Column900"/>
    <tableColumn id="934" xr3:uid="{EA0B2A33-940E-4E94-9B62-F4A97E92E038}" name="Column901"/>
    <tableColumn id="935" xr3:uid="{0AB4B5D7-03C4-44B4-8215-464610CBF9B5}" name="Column902"/>
    <tableColumn id="936" xr3:uid="{5509ADD3-4D47-465C-AB23-108EFE665F53}" name="Column903"/>
    <tableColumn id="937" xr3:uid="{4440D66C-609F-4242-99CD-9DD64A59AC3A}" name="Column904"/>
    <tableColumn id="938" xr3:uid="{13C1337D-B6F9-4EDE-A2E6-BE3D5EB595D4}" name="Column905"/>
    <tableColumn id="939" xr3:uid="{E65E910D-2AA8-4A28-908C-8274D1EC7F0C}" name="Column906"/>
    <tableColumn id="940" xr3:uid="{C7D6A30F-0D3F-4B20-8EE1-A6374D83427C}" name="Column907"/>
    <tableColumn id="941" xr3:uid="{A8D254AC-DF4E-413B-B9E7-0994635E5819}" name="Column908"/>
    <tableColumn id="942" xr3:uid="{2DE1853F-683E-499C-AD87-4222B154FA0D}" name="Column909"/>
    <tableColumn id="943" xr3:uid="{970B5291-3541-453F-82CD-DF77891F1CB7}" name="Column910"/>
    <tableColumn id="944" xr3:uid="{39F70E8C-355D-40C9-8764-B487DB2630C8}" name="Column911"/>
    <tableColumn id="945" xr3:uid="{D2D706D7-A728-44EA-991C-D38682485EC4}" name="Column912"/>
    <tableColumn id="946" xr3:uid="{C85B13C3-A609-4149-9BCF-42FEC5E7B6D7}" name="Column913"/>
    <tableColumn id="947" xr3:uid="{7C1979CC-EB97-480A-AD79-0EFFE3FB507B}" name="Column914"/>
    <tableColumn id="948" xr3:uid="{6791CDA5-BDCC-406A-AE13-BA2E531F173E}" name="Column915"/>
    <tableColumn id="949" xr3:uid="{8820ADB4-15B5-454F-9788-90C78AC59E59}" name="Column916"/>
    <tableColumn id="950" xr3:uid="{C7ADBB5C-14ED-4471-BD08-24A18B03F85D}" name="Column917"/>
    <tableColumn id="951" xr3:uid="{DB8E3541-577C-490A-B7D5-1709918BB100}" name="Column918"/>
    <tableColumn id="952" xr3:uid="{6EE5E0AC-8758-4B5A-91D4-C170B642A5AB}" name="Column919"/>
    <tableColumn id="953" xr3:uid="{9CE1604C-8DE9-426C-8DA7-7118455F6608}" name="Column920"/>
    <tableColumn id="954" xr3:uid="{D11F25DD-83B6-4986-B990-260CD2412109}" name="Column921"/>
    <tableColumn id="955" xr3:uid="{F97BD98E-9C88-4A5C-85C3-29AFED0BE28B}" name="Column922"/>
    <tableColumn id="956" xr3:uid="{61D45651-92FD-48D4-A4B5-FF7BEF62F0D2}" name="Column923"/>
    <tableColumn id="957" xr3:uid="{1CD01936-F7AF-4215-8E2C-6D1020BBF1DF}" name="Column924"/>
    <tableColumn id="958" xr3:uid="{28270AED-289B-44BE-8129-2FFD4E6A1E1C}" name="Column925"/>
    <tableColumn id="959" xr3:uid="{390134AF-FFB9-4594-B1FE-C03FB79867D3}" name="Column926"/>
    <tableColumn id="960" xr3:uid="{2DF2096C-ACDE-4613-AE25-196FF56AAA9F}" name="Column927"/>
    <tableColumn id="961" xr3:uid="{B2B2C559-BA15-4DCE-A775-FE019B2C335B}" name="Column928"/>
    <tableColumn id="962" xr3:uid="{5A045CB2-1144-450B-AE0A-F51AADD07E3E}" name="Column929"/>
    <tableColumn id="963" xr3:uid="{E17F5FDF-0F47-486E-A1B7-E7BE403D7CE2}" name="Column930"/>
    <tableColumn id="964" xr3:uid="{F8E5BEFC-3A7A-4B04-A7B5-602F3311CCC9}" name="Column931"/>
    <tableColumn id="965" xr3:uid="{1B2BF42A-F89A-47A0-9EA6-1887025C76AC}" name="Column932"/>
    <tableColumn id="966" xr3:uid="{A2B3E0EC-F3CD-44C1-A623-3CA5C614F90B}" name="Column933"/>
    <tableColumn id="967" xr3:uid="{6D9FAF90-26E9-4405-90EA-38E7328BE4C8}" name="Column934"/>
    <tableColumn id="968" xr3:uid="{1B26A084-44B9-454D-B5E0-80F0647ACEA0}" name="Column935"/>
    <tableColumn id="969" xr3:uid="{FB5663F3-FFCA-412A-8FB1-F9486F4B9BC9}" name="Column936"/>
    <tableColumn id="970" xr3:uid="{7651168E-244C-4606-9E6C-A75A4B80627D}" name="Column937"/>
    <tableColumn id="971" xr3:uid="{34BE0C8F-0B91-44D9-931F-E067B48DF503}" name="Column938"/>
    <tableColumn id="972" xr3:uid="{CBE08E67-B709-4498-AF8F-4FD0F034524C}" name="Column939"/>
    <tableColumn id="973" xr3:uid="{110B6563-FDC3-4279-9415-8CCBD749D1A5}" name="Column940"/>
    <tableColumn id="974" xr3:uid="{7026A428-1B52-4EEA-9CB1-24FD8829B07B}" name="Column941"/>
    <tableColumn id="975" xr3:uid="{40CBD722-DBD7-4F13-B74D-B025D9F64FF3}" name="Column942"/>
    <tableColumn id="976" xr3:uid="{F02E61AE-6553-4835-A7A4-B0A503FDCCE1}" name="Column943"/>
    <tableColumn id="977" xr3:uid="{CB27BDBE-FF8A-46D7-A2CD-BC0AA6361AAE}" name="Column944"/>
    <tableColumn id="978" xr3:uid="{652A6F35-1D3D-4051-B740-4EAF1536D9DC}" name="Column945"/>
    <tableColumn id="979" xr3:uid="{31DA6A90-681D-4EF5-A918-798F175C29F8}" name="Column946"/>
    <tableColumn id="980" xr3:uid="{69804801-C960-453F-9591-4DC9055F5536}" name="Column947"/>
    <tableColumn id="981" xr3:uid="{7E93C24A-C65D-4B40-B233-F8B1C78EB108}" name="Column948"/>
    <tableColumn id="982" xr3:uid="{6B6DA0AC-2750-4997-B7F9-2DD530511176}" name="Column949"/>
    <tableColumn id="983" xr3:uid="{865E3775-9487-4F6B-8C62-ADE5F814CE0B}" name="Column950"/>
    <tableColumn id="984" xr3:uid="{675EC825-D161-44E4-B692-D629EBC0F0F6}" name="Column951"/>
    <tableColumn id="985" xr3:uid="{FADAF41F-1BCF-4F64-8E49-323E90AECA3D}" name="Column952"/>
    <tableColumn id="986" xr3:uid="{CE52886F-BF4C-4D3D-878E-1BF02F6E4471}" name="Column953"/>
    <tableColumn id="987" xr3:uid="{52F892F5-4893-476B-8A35-38269AB12DEC}" name="Column954"/>
    <tableColumn id="988" xr3:uid="{CACABE11-57A1-4E39-A1BF-0AB1416485C2}" name="Column955"/>
    <tableColumn id="989" xr3:uid="{C78CC4BF-4B58-4866-A04F-93FB82175020}" name="Column956"/>
    <tableColumn id="990" xr3:uid="{EF06ECF7-8068-42D0-A54B-62DA3E37A9B1}" name="Column957"/>
    <tableColumn id="991" xr3:uid="{652BEB2D-AB2B-4A30-830C-086939C334CF}" name="Column958"/>
    <tableColumn id="992" xr3:uid="{85A1F5F6-AF92-4CD3-8D22-DDE4450F2A2A}" name="Column959"/>
    <tableColumn id="993" xr3:uid="{F2E96867-CD0E-43D9-8A20-AFBDE8F559C8}" name="Column960"/>
    <tableColumn id="994" xr3:uid="{6D5C2E86-D34C-42D9-BAFA-BC5E1D0D9F4B}" name="Column961"/>
    <tableColumn id="995" xr3:uid="{12381993-BA4A-4070-A9D4-426EFC61A535}" name="Column962"/>
    <tableColumn id="996" xr3:uid="{1DA273A5-4B42-4DB0-9AA7-AC3AE68CE081}" name="Column963"/>
    <tableColumn id="997" xr3:uid="{AD1195FA-C580-4111-9A70-B056DD3908A0}" name="Column964"/>
    <tableColumn id="998" xr3:uid="{4378955F-8354-43E1-BDBC-6AC81DA44EA4}" name="Column965"/>
    <tableColumn id="999" xr3:uid="{29F48334-DBB1-4C95-A453-FAB697C4A5D5}" name="Column966"/>
    <tableColumn id="1000" xr3:uid="{81AD2CE7-E601-46F2-898C-417319E7289E}" name="Column967"/>
    <tableColumn id="1001" xr3:uid="{39E498A5-4785-4B83-87F6-CC18D0C458E9}" name="Column968"/>
    <tableColumn id="1002" xr3:uid="{B199D443-3891-4DFA-A0EF-717BEBF7FEA3}" name="Column969"/>
    <tableColumn id="1003" xr3:uid="{7485058B-1C90-49B4-92A5-B4DE6A6AEF49}" name="Column970"/>
    <tableColumn id="1004" xr3:uid="{7D1B3029-0A65-41F3-89CA-FD3DE806F11E}" name="Column971"/>
    <tableColumn id="1005" xr3:uid="{99644A59-A2AE-4CB6-BD54-B80225CC4F4B}" name="Column972"/>
    <tableColumn id="1006" xr3:uid="{128C3B58-06F8-4A11-BB6B-6A28D5A7A3D2}" name="Column973"/>
    <tableColumn id="1007" xr3:uid="{CF761AF4-495F-42E7-8642-9821BD3AC317}" name="Column974"/>
    <tableColumn id="1008" xr3:uid="{C75BA94F-26EF-4F68-8A3C-EA03146B0982}" name="Column975"/>
    <tableColumn id="1009" xr3:uid="{B1B90A25-D4F0-48D7-9F52-83FA52F30E0C}" name="Column976"/>
    <tableColumn id="1010" xr3:uid="{BC8D47C7-2CC1-4F91-9B69-2A4524D1ABDC}" name="Column977"/>
    <tableColumn id="1011" xr3:uid="{FA4A599C-46CD-4AAE-BC5C-5BEC7563CD6C}" name="Column978"/>
    <tableColumn id="1012" xr3:uid="{93AABE59-84AF-4B21-AB49-921BEED69CA4}" name="Column979"/>
    <tableColumn id="1013" xr3:uid="{296F3B1E-2D31-47DA-8E84-72968EC5B9FF}" name="Column980"/>
    <tableColumn id="1014" xr3:uid="{2A7D55EA-3D84-471D-8ED6-B55CEFD63E03}" name="Column981"/>
    <tableColumn id="1015" xr3:uid="{98025343-EF52-4CFB-90D7-6BDA56D74379}" name="Column982"/>
    <tableColumn id="1016" xr3:uid="{98304069-1ED5-4411-A46B-332C8004A208}" name="Column983"/>
    <tableColumn id="1017" xr3:uid="{EF0B72BC-EE32-4589-8B23-EC7FD86C630A}" name="Column984"/>
    <tableColumn id="1018" xr3:uid="{7E695C7C-E584-444D-9369-3B81CDF464BA}" name="Column985"/>
    <tableColumn id="1019" xr3:uid="{DB296A0B-2888-46A1-8696-BB5A018FA562}" name="Column986"/>
    <tableColumn id="1020" xr3:uid="{2299E96E-ACD3-49BA-B3F3-85E3EAC5903F}" name="Column987"/>
    <tableColumn id="1021" xr3:uid="{8D9D777E-072E-4820-8A2A-CB1ABA0D1509}" name="Column988"/>
    <tableColumn id="1022" xr3:uid="{F58F489E-5715-4950-8569-C6F338653EC1}" name="Column989"/>
    <tableColumn id="1023" xr3:uid="{0CC114BC-3C91-40A8-9692-3E92997A9F2E}" name="Column990"/>
    <tableColumn id="1024" xr3:uid="{0E28E8E9-70F1-4003-8416-86845912DFF6}" name="Column991"/>
    <tableColumn id="1025" xr3:uid="{41F368B2-B438-4D77-9019-31F324C38768}" name="Column992"/>
    <tableColumn id="1026" xr3:uid="{6A64D9AE-AFB6-4884-AE51-40A4641DA235}" name="Column993"/>
    <tableColumn id="1027" xr3:uid="{31C2053B-5F7A-4AF4-933C-CA89F685C929}" name="Column994"/>
    <tableColumn id="1028" xr3:uid="{B9F0B922-7BDF-423B-917C-FA30CBCA2B23}" name="Column995"/>
    <tableColumn id="1029" xr3:uid="{9E03EA33-DC2E-4956-B888-5C00A2C07775}" name="Column996"/>
    <tableColumn id="1030" xr3:uid="{84D02BA8-2574-4CDC-AC61-39A8BD31143D}" name="Column997"/>
    <tableColumn id="1031" xr3:uid="{E2C2F4C1-03A6-412F-A08A-BC83311DA398}" name="Column998"/>
    <tableColumn id="1032" xr3:uid="{CF665593-463E-4F1D-AE08-06E9F8CDBB34}" name="Column999"/>
    <tableColumn id="1033" xr3:uid="{E73DDC4D-A07F-4F9D-91F9-8B8971ADA008}" name="Column1000"/>
    <tableColumn id="1034" xr3:uid="{C0C3798F-A580-48BF-9479-B80907AC818A}" name="Column1001"/>
    <tableColumn id="1035" xr3:uid="{7C6AA88B-939B-4753-B1DA-A9BAB78E3018}" name="Column1002"/>
    <tableColumn id="1036" xr3:uid="{EA68642C-D9B7-4835-B200-69BD4735D6DD}" name="Column1003"/>
    <tableColumn id="1037" xr3:uid="{2A22DC5D-E819-4535-B507-FB64354028E3}" name="Column1004"/>
    <tableColumn id="1038" xr3:uid="{7644B15B-FAED-43C3-A0DD-9312034D2471}" name="Column1005"/>
    <tableColumn id="1039" xr3:uid="{8491EBB8-CBAA-4D4E-AEB0-9D1BF47B120D}" name="Column1006"/>
    <tableColumn id="1040" xr3:uid="{1046F27B-782E-4986-BE65-DA5CA16104BD}" name="Column1007"/>
    <tableColumn id="1041" xr3:uid="{A6C8FC6C-5DE9-43D6-86E8-B2C5D1050CC1}" name="Column1008"/>
    <tableColumn id="1042" xr3:uid="{90B751C7-7977-4D69-85FE-260B54413B3D}" name="Column1009"/>
    <tableColumn id="1043" xr3:uid="{F0A1CCCC-54DE-4BEF-BA6A-763DB65540CC}" name="Column1010"/>
    <tableColumn id="1044" xr3:uid="{BC82BB4C-4B8D-4AD1-A095-994475A2E6DA}" name="Column1011"/>
    <tableColumn id="1045" xr3:uid="{6B3D6F5A-E5A5-46F8-8D12-5F9D50A68DA2}" name="Column1012"/>
    <tableColumn id="1046" xr3:uid="{20221B74-6E29-454E-9B65-00DA8D1A3165}" name="Column1013"/>
    <tableColumn id="1047" xr3:uid="{7B334370-111A-497A-B6D9-303066FCEF4A}" name="Column1014"/>
    <tableColumn id="1048" xr3:uid="{B52110AA-04E0-4F09-B670-98B5DB59185C}" name="Column1015"/>
    <tableColumn id="1049" xr3:uid="{BB91A149-30C7-4367-8C11-1DDE45D66CE5}" name="Column1016"/>
    <tableColumn id="1050" xr3:uid="{57C8636F-4463-4340-BED3-59A0B9C7C1E6}" name="Column1017"/>
    <tableColumn id="1051" xr3:uid="{8D078B98-AA9E-411D-A987-367F4F46D5C9}" name="Column1018"/>
    <tableColumn id="1052" xr3:uid="{C6DE5DC4-F56E-4300-B04C-EA1407B0A24C}" name="Column1019"/>
    <tableColumn id="1053" xr3:uid="{968F98D8-626B-4B61-B13A-2BAF3540A7FB}" name="Column1020"/>
    <tableColumn id="1054" xr3:uid="{61C829EB-5250-411F-8B43-F30834BCC160}" name="Column1021"/>
    <tableColumn id="1055" xr3:uid="{56D28185-7B76-4D42-820A-9CCEA815EA56}" name="Column1022"/>
    <tableColumn id="1056" xr3:uid="{2336B2AD-573C-4C91-93E9-638E787EA3C9}" name="Column1023"/>
    <tableColumn id="1057" xr3:uid="{8FFD0E4E-3592-437C-BB79-C35EC1489F16}" name="Column1024"/>
    <tableColumn id="1058" xr3:uid="{B1B43A30-4B4C-4E4C-BE78-B22A6DBFBE12}" name="Column1025"/>
    <tableColumn id="1059" xr3:uid="{7882C2DA-2CCE-4884-A762-6734D2FBA8EB}" name="Column1026"/>
    <tableColumn id="1060" xr3:uid="{B0BC3EE1-2D9A-416A-9B05-4FF0E1A9994C}" name="Column1027"/>
    <tableColumn id="1061" xr3:uid="{EE19A005-B157-4631-9351-255A135E8830}" name="Column1028"/>
    <tableColumn id="1062" xr3:uid="{4A75D17A-9444-4E36-8E90-F9DA0C5FA5CE}" name="Column1029"/>
    <tableColumn id="1063" xr3:uid="{AC7C3B8E-E1F3-4285-9E2F-FE288B5F5C40}" name="Column1030"/>
    <tableColumn id="1064" xr3:uid="{A310CABD-0EBF-4594-9408-D45D72B1494E}" name="Column1031"/>
    <tableColumn id="1065" xr3:uid="{3C95FF8B-2E2B-477D-BFE7-BBDF024969C5}" name="Column1032"/>
    <tableColumn id="1066" xr3:uid="{36A309E8-98E1-4AB0-AD3F-D082F0D3DAED}" name="Column1033"/>
    <tableColumn id="1067" xr3:uid="{08812951-B20E-46E7-93C3-1C993C52E420}" name="Column1034"/>
    <tableColumn id="1068" xr3:uid="{EB5C7B12-A026-44EE-AD9F-59CD9E62AF21}" name="Column1035"/>
    <tableColumn id="1069" xr3:uid="{A3D760E9-C76F-4BE2-BFDC-7CA1539E8A4D}" name="Column1036"/>
    <tableColumn id="1070" xr3:uid="{A48C2EF3-873A-4641-8355-EAEFEC1CEAAE}" name="Column1037"/>
    <tableColumn id="1071" xr3:uid="{9F32FA8E-3E6C-41D7-962D-08EF43007B90}" name="Column1038"/>
    <tableColumn id="1072" xr3:uid="{57DD6BF6-3A75-44F8-93E5-184BE03F12CE}" name="Column1039"/>
    <tableColumn id="1073" xr3:uid="{C3DF1C0F-8FE2-4D06-BA45-D6725E1FBDF6}" name="Column1040"/>
    <tableColumn id="1074" xr3:uid="{AC332D0C-00F0-47C6-BFDB-37B8CABA9F48}" name="Column1041"/>
    <tableColumn id="1075" xr3:uid="{2C9A08F1-F537-4993-90D6-BB9AAD624BBA}" name="Column1042"/>
    <tableColumn id="1076" xr3:uid="{F05C6FC2-FD0C-46F5-A1E6-3DF59AD204E4}" name="Column1043"/>
    <tableColumn id="1077" xr3:uid="{4C33BDF0-1F64-46F8-A5EF-C9863AFE4FDD}" name="Column1044"/>
    <tableColumn id="1078" xr3:uid="{0DACCD2C-1B6D-432E-B3D5-3934DE79D217}" name="Column1045"/>
    <tableColumn id="1079" xr3:uid="{C73113C1-60B6-4C89-8061-FF75973DC571}" name="Column1046"/>
    <tableColumn id="1080" xr3:uid="{AD907721-DDB2-434B-A90F-1DF6BE82B5DD}" name="Column1047"/>
    <tableColumn id="1081" xr3:uid="{F654D437-3E00-4A9F-9BAB-47B4315CA430}" name="Column1048"/>
    <tableColumn id="1082" xr3:uid="{A49D55C0-0211-47BA-85AF-C5986D00CAA4}" name="Column1049"/>
    <tableColumn id="1083" xr3:uid="{37088226-E997-433C-B72C-167F0243C1C4}" name="Column1050"/>
    <tableColumn id="1084" xr3:uid="{CDBD8FD2-3DE2-4434-9687-B3DAD5B30CDD}" name="Column1051"/>
    <tableColumn id="1085" xr3:uid="{816D83DC-327C-4C05-8661-AFEB9454399F}" name="Column1052"/>
    <tableColumn id="1086" xr3:uid="{9C44C84E-0AA4-47D5-BBE0-8628EF6D76AD}" name="Column1053"/>
    <tableColumn id="1087" xr3:uid="{0F3575F9-6163-4AE1-A9FD-5CEAAA7ED979}" name="Column1054"/>
    <tableColumn id="1088" xr3:uid="{34EFEC60-F011-4975-A6C0-04A5A30EE576}" name="Column1055"/>
    <tableColumn id="1089" xr3:uid="{E5A967F2-0E9D-402D-ADF5-F4173AF6D15B}" name="Column1056"/>
    <tableColumn id="1090" xr3:uid="{F3450F31-309D-4A05-B509-EE73D1458B05}" name="Column1057"/>
    <tableColumn id="1091" xr3:uid="{7552C81C-7DB9-42F9-AE1C-6693F580A2E7}" name="Column1058"/>
    <tableColumn id="1092" xr3:uid="{46B650D1-8E67-4C6F-A205-8143716D7361}" name="Column1059"/>
    <tableColumn id="1093" xr3:uid="{FAD58079-DB9E-4074-A62F-60670546A329}" name="Column1060"/>
    <tableColumn id="1094" xr3:uid="{31DFCB92-A522-49D1-94D2-798C9239E22A}" name="Column1061"/>
    <tableColumn id="1095" xr3:uid="{CEEE6848-7E18-489C-8D6C-7A0CD5BF6DD0}" name="Column1062"/>
    <tableColumn id="1096" xr3:uid="{987DC066-9C80-4445-8712-7C383E7C7060}" name="Column1063"/>
    <tableColumn id="1097" xr3:uid="{6D8D1FDA-214E-4441-9017-61ADA5D55DEC}" name="Column1064"/>
    <tableColumn id="1098" xr3:uid="{DE5037E6-5532-46E1-9CA2-A6FC8126EC0F}" name="Column1065"/>
    <tableColumn id="1099" xr3:uid="{A047D55F-124C-40E3-9AC5-5E9B0F44AA2F}" name="Column1066"/>
    <tableColumn id="1100" xr3:uid="{D7E074D7-1E5A-49A2-B865-AEA2BB6C32C9}" name="Column1067"/>
    <tableColumn id="1101" xr3:uid="{739F5053-F433-4805-8047-5827DAEF5F3F}" name="Column1068"/>
    <tableColumn id="1102" xr3:uid="{0388C6B5-75F9-47E4-8A89-4003CCB018EC}" name="Column1069"/>
    <tableColumn id="1103" xr3:uid="{704B077A-B944-4C02-B04D-1B4AF8EFDA25}" name="Column1070"/>
    <tableColumn id="1104" xr3:uid="{589F85A9-80E0-45CD-9515-14B8E3471225}" name="Column1071"/>
    <tableColumn id="1105" xr3:uid="{EE0FD85D-C7DD-40BC-90B4-15822E5B2A24}" name="Column1072"/>
    <tableColumn id="1106" xr3:uid="{F7FAE8C9-5844-42B0-A85D-EFF86A00B89C}" name="Column1073"/>
    <tableColumn id="1107" xr3:uid="{5E83C4E7-2545-445E-B79B-908CDBAC891D}" name="Column1074"/>
    <tableColumn id="1108" xr3:uid="{1E017762-4F6B-444E-907F-B5F68131B16E}" name="Column1075"/>
    <tableColumn id="1109" xr3:uid="{0892B07A-0642-4E14-B1A8-740870581EAA}" name="Column1076"/>
    <tableColumn id="1110" xr3:uid="{D9B7C5E7-0E41-4134-BF35-73D487DD3DD0}" name="Column1077"/>
    <tableColumn id="1111" xr3:uid="{3E79F6E0-79AA-476D-8819-C0ECBD0BBAF4}" name="Column1078"/>
    <tableColumn id="1112" xr3:uid="{C74A1580-D358-475E-8114-660E90F37A5E}" name="Column1079"/>
    <tableColumn id="1113" xr3:uid="{A75FA61B-C05F-4CF9-9DBD-A713CA080449}" name="Column1080"/>
    <tableColumn id="1114" xr3:uid="{728DFB00-5A6E-4DAE-9827-89D1860C6DFA}" name="Column1081"/>
    <tableColumn id="1115" xr3:uid="{F534758E-758E-48AC-A59A-09EA6D3B8977}" name="Column1082"/>
    <tableColumn id="1116" xr3:uid="{9EFAE07B-9D81-4958-8678-FC457F84BE4C}" name="Column1083"/>
    <tableColumn id="1117" xr3:uid="{DF6266CC-1EDF-4DB8-B133-9EAA6FFA5792}" name="Column1084"/>
    <tableColumn id="1118" xr3:uid="{C3F5810F-AF0B-4189-AB12-F5E40242E6CC}" name="Column1085"/>
    <tableColumn id="1119" xr3:uid="{047F84A2-2BCF-4A5F-8D77-DF38A2FFBCE3}" name="Column1086"/>
    <tableColumn id="1120" xr3:uid="{A85A80BE-2C2F-4F57-869F-F9C0550CCCA3}" name="Column1087"/>
    <tableColumn id="1121" xr3:uid="{75B34801-F53A-4B3E-A419-8095C24179EF}" name="Column1088"/>
    <tableColumn id="1122" xr3:uid="{0A85D6D4-9C16-479E-9B1A-DB0531A30802}" name="Column1089"/>
    <tableColumn id="1123" xr3:uid="{B6E0D524-80F6-48E5-8036-DAD6478B94E9}" name="Column1090"/>
    <tableColumn id="1124" xr3:uid="{089810DF-B455-4F6F-8A8C-2970ABEE576C}" name="Column1091"/>
    <tableColumn id="1125" xr3:uid="{ECED3429-4B14-43AD-B17C-B784017EEE3D}" name="Column1092"/>
    <tableColumn id="1126" xr3:uid="{79783D9B-9B89-4EDA-ABB2-E7F74C7F390B}" name="Column1093"/>
    <tableColumn id="1127" xr3:uid="{EBE51DB6-B52E-43F4-BCCB-6716040D7B1D}" name="Column1094"/>
    <tableColumn id="1128" xr3:uid="{326DC501-985E-4C33-A510-6B4C2102D84F}" name="Column1095"/>
    <tableColumn id="1129" xr3:uid="{3B10F376-9EA5-4CB8-AAFE-9CE07A2C504B}" name="Column1096"/>
    <tableColumn id="1130" xr3:uid="{774E7F2D-265A-44BB-B7BF-75BC20E073B3}" name="Column1097"/>
    <tableColumn id="1131" xr3:uid="{4F40A10A-B019-4C84-AE42-F5C3FD3F0BAA}" name="Column1098"/>
    <tableColumn id="1132" xr3:uid="{2A5242A5-0E3C-4EFC-98A6-A520C544C314}" name="Column1099"/>
    <tableColumn id="1133" xr3:uid="{A758CDF4-AC35-413F-AFAA-6CFD48E91859}" name="Column1100"/>
    <tableColumn id="1134" xr3:uid="{5DA30591-6EBF-4FE2-812E-9DCCD5914FC5}" name="Column1101"/>
    <tableColumn id="1135" xr3:uid="{C3202B68-4E30-483B-AA8F-4DDCCF0504DF}" name="Column1102"/>
    <tableColumn id="1136" xr3:uid="{63795B59-C1B4-4F67-AE92-AB5F482FFBA8}" name="Column1103"/>
    <tableColumn id="1137" xr3:uid="{5EED319A-0951-463E-97F3-56E5FFC7DAA7}" name="Column1104"/>
    <tableColumn id="1138" xr3:uid="{F5F60128-B88D-4368-87DC-31E3BA180C2F}" name="Column1105"/>
    <tableColumn id="1139" xr3:uid="{84929EEC-2953-4DD9-A2DD-D0AA4EF74C91}" name="Column1106"/>
    <tableColumn id="1140" xr3:uid="{F73D7C49-0715-4A18-B8EC-65423118ED07}" name="Column1107"/>
    <tableColumn id="1141" xr3:uid="{E49C6174-ABC3-4A58-B393-CBA4650992DB}" name="Column1108"/>
    <tableColumn id="1142" xr3:uid="{9BC008DA-11A5-46D3-B3C0-E73A7072AFFD}" name="Column1109"/>
    <tableColumn id="1143" xr3:uid="{8B57473A-8CD6-4464-9AE9-9A2DFADE204E}" name="Column1110"/>
    <tableColumn id="1144" xr3:uid="{826D8807-93DD-4B0E-9ED3-614224304B1C}" name="Column1111"/>
    <tableColumn id="1145" xr3:uid="{DE12463B-6943-49C2-9E8A-B599284CB7E2}" name="Column1112"/>
    <tableColumn id="1146" xr3:uid="{42DB1EF4-7C23-45C7-B91A-7AD66D3811A1}" name="Column1113"/>
    <tableColumn id="1147" xr3:uid="{E73F9C20-A6F9-4371-BD60-5CE9D917CF5F}" name="Column1114"/>
    <tableColumn id="1148" xr3:uid="{CCA24860-824F-4B8E-993A-4AA2B313FB39}" name="Column1115"/>
    <tableColumn id="1149" xr3:uid="{CA1B9930-74A1-482F-885A-63132C5C8F4F}" name="Column1116"/>
    <tableColumn id="1150" xr3:uid="{A61C3CE6-8AD0-4907-B180-61EF26378964}" name="Column1117"/>
    <tableColumn id="1151" xr3:uid="{DD74A9D7-68C5-4A01-B353-856478532630}" name="Column1118"/>
    <tableColumn id="1152" xr3:uid="{D4BE55F5-78BF-424B-8793-F88666819E51}" name="Column1119"/>
    <tableColumn id="1153" xr3:uid="{9E19F5E3-ED6B-4351-8586-BB6CD7C55A6C}" name="Column1120"/>
    <tableColumn id="1154" xr3:uid="{1C0B7109-4740-49A7-A751-2BBD443CDD9E}" name="Column1121"/>
    <tableColumn id="1155" xr3:uid="{B0C92C90-BC24-456D-934C-347352B019C4}" name="Column1122"/>
    <tableColumn id="1156" xr3:uid="{7D6C32CF-D82A-4EE1-955F-9D685927F997}" name="Column1123"/>
    <tableColumn id="1157" xr3:uid="{35EC40BC-79EB-4D6A-8FBB-B81ACDD0AD2C}" name="Column1124"/>
    <tableColumn id="1158" xr3:uid="{C09D2097-10F4-49DD-BFE6-E9FFC472256E}" name="Column1125"/>
    <tableColumn id="1159" xr3:uid="{FF9579E6-C714-448A-B4CC-3C555D24AAC1}" name="Column1126"/>
    <tableColumn id="1160" xr3:uid="{92E9A22B-5B4C-4CC5-8E91-4E8F78B67E30}" name="Column1127"/>
    <tableColumn id="1161" xr3:uid="{45065AC5-BC01-4432-940B-EC9F6F1C8451}" name="Column1128"/>
    <tableColumn id="1162" xr3:uid="{C7A62A4C-FCD6-4D50-8BDD-09D8304611A5}" name="Column1129"/>
    <tableColumn id="1163" xr3:uid="{1CB70D2D-EA82-4BAC-9D8C-1F071EB3EFC1}" name="Column1130"/>
    <tableColumn id="1164" xr3:uid="{62BB2649-2BE5-4344-B6B4-A3A8CE57ED03}" name="Column1131"/>
    <tableColumn id="1165" xr3:uid="{3D4F7F75-DF5A-4B4C-ABF6-962C037B3644}" name="Column1132"/>
    <tableColumn id="1166" xr3:uid="{92792444-BC70-41E7-8777-716CD9BAB4A1}" name="Column1133"/>
    <tableColumn id="1167" xr3:uid="{5F8672D7-9C20-4279-84E7-6B3F881D200C}" name="Column1134"/>
    <tableColumn id="1168" xr3:uid="{97AC4638-7019-4A4B-9ED4-F4945EF513FA}" name="Column1135"/>
    <tableColumn id="1169" xr3:uid="{C409B3CE-DDBA-4083-B8F5-8DA04949624B}" name="Column1136"/>
    <tableColumn id="1170" xr3:uid="{D41DF194-848F-4822-8BE4-4E97BF9DEE3D}" name="Column1137"/>
    <tableColumn id="1171" xr3:uid="{ABF2FBBF-F201-4052-B1DA-3565E09BB505}" name="Column1138"/>
    <tableColumn id="1172" xr3:uid="{B4BE8D8F-53CB-45C2-991C-D189AD626654}" name="Column1139"/>
    <tableColumn id="1173" xr3:uid="{65EAB30F-E25F-4439-A7C4-BB22E42C3C51}" name="Column1140"/>
    <tableColumn id="1174" xr3:uid="{F52E4AA8-E40E-46BC-8515-3DF204B8C094}" name="Column1141"/>
    <tableColumn id="1175" xr3:uid="{15EFE48D-8C73-4BFE-9E39-350A4315C480}" name="Column1142"/>
    <tableColumn id="1176" xr3:uid="{E9BD17AE-AF5D-410E-A7DC-18D834BE528A}" name="Column1143"/>
    <tableColumn id="1177" xr3:uid="{666340A2-4F40-4E61-9BE2-3C78DCFCFC62}" name="Column1144"/>
    <tableColumn id="1178" xr3:uid="{31E52A91-7DEC-47C0-8AC2-B2467348B241}" name="Column1145"/>
    <tableColumn id="1179" xr3:uid="{149FBAF6-F4DB-4975-A96F-0A4C1FD1B42A}" name="Column1146"/>
    <tableColumn id="1180" xr3:uid="{A8B8A052-7060-40DF-8865-37AAEBD25356}" name="Column1147"/>
    <tableColumn id="1181" xr3:uid="{9A6634A2-1D1B-4A99-8E75-37462795F44E}" name="Column1148"/>
    <tableColumn id="1182" xr3:uid="{9587DE38-98F9-4E57-BF79-DA23E00A97B5}" name="Column1149"/>
    <tableColumn id="1183" xr3:uid="{5843E3DF-5BA1-4701-ACD4-A85F0DB56979}" name="Column1150"/>
    <tableColumn id="1184" xr3:uid="{4EA54160-37A2-4588-A8C3-172F318901BE}" name="Column1151"/>
    <tableColumn id="1185" xr3:uid="{573348D1-C666-40CA-AD13-1E077BA05AF0}" name="Column1152"/>
    <tableColumn id="1186" xr3:uid="{B743CC71-BC20-4EE3-96B1-78FA2E4EA3A2}" name="Column1153"/>
    <tableColumn id="1187" xr3:uid="{609286A1-B9DC-4136-B708-D72909DE7393}" name="Column1154"/>
    <tableColumn id="1188" xr3:uid="{8C768764-ED06-48BA-8D08-4412D58530B9}" name="Column1155"/>
    <tableColumn id="1189" xr3:uid="{5D3F3D1E-D162-4EE7-8D39-A20DBF1ADEB0}" name="Column1156"/>
    <tableColumn id="1190" xr3:uid="{C694651E-6A36-4350-8DF8-7B765C79C728}" name="Column1157"/>
    <tableColumn id="1191" xr3:uid="{9EBD3A76-D60F-49F8-A31A-4FC65E401F35}" name="Column1158"/>
    <tableColumn id="1192" xr3:uid="{AE1BEEF3-60DD-4FEF-8CDC-8EDF3E2B53DE}" name="Column1159"/>
    <tableColumn id="1193" xr3:uid="{B3026F1A-0FD9-4B96-A62C-274AF9DF4730}" name="Column1160"/>
    <tableColumn id="1194" xr3:uid="{D7865403-B114-427A-A7B5-85CA1C470979}" name="Column1161"/>
    <tableColumn id="1195" xr3:uid="{294F486E-20F6-444D-BBCD-D9859DDBDDF9}" name="Column1162"/>
    <tableColumn id="1196" xr3:uid="{B47215CE-4A6E-4152-B60B-032B85DF495B}" name="Column1163"/>
    <tableColumn id="1197" xr3:uid="{EBCAD0F3-CE4A-4BEB-9BB1-5C261335D3F7}" name="Column1164"/>
    <tableColumn id="1198" xr3:uid="{2E9D4DCF-9779-4FF8-9B89-3627427454FD}" name="Column1165"/>
    <tableColumn id="1199" xr3:uid="{680D5174-C032-4653-BD80-60BA493614D0}" name="Column1166"/>
    <tableColumn id="1200" xr3:uid="{01284FA0-6614-44AD-81B3-AF5FD04F35CF}" name="Column1167"/>
    <tableColumn id="1201" xr3:uid="{83F875C7-163F-47A3-B257-470FDCA56745}" name="Column1168"/>
    <tableColumn id="1202" xr3:uid="{1F271AC8-9AD7-4668-B393-F23DA9B5986B}" name="Column1169"/>
    <tableColumn id="1203" xr3:uid="{455218D7-E8CB-4946-94BB-C6EFB5F4372F}" name="Column1170"/>
    <tableColumn id="1204" xr3:uid="{656ED76D-C44A-4B41-9771-BBA513CD7D51}" name="Column1171"/>
    <tableColumn id="1205" xr3:uid="{BF79A096-A4DD-4C13-9C2A-B4D08832FF7F}" name="Column1172"/>
    <tableColumn id="1206" xr3:uid="{3E9F253C-0B0A-4DDD-97E1-CEA6886D8523}" name="Column1173"/>
    <tableColumn id="1207" xr3:uid="{FDA1AE83-2CAE-48F4-AE63-B831D74A389A}" name="Column1174"/>
    <tableColumn id="1208" xr3:uid="{7843182F-2AF4-492A-9432-06CBA9F6543D}" name="Column1175"/>
    <tableColumn id="1209" xr3:uid="{7C0E8E47-8059-49DA-8D76-3E7CD2880854}" name="Column1176"/>
    <tableColumn id="1210" xr3:uid="{CC2B24E3-4C09-4810-A608-0ADFACD4470F}" name="Column1177"/>
    <tableColumn id="1211" xr3:uid="{51AF02B8-925C-4F72-89A5-BDFA44BB7FA5}" name="Column1178"/>
    <tableColumn id="1212" xr3:uid="{147ED9A0-D5A2-49B3-B9E0-735E805B8934}" name="Column1179"/>
    <tableColumn id="1213" xr3:uid="{ABA2BA5E-C357-4005-AEDA-F8448DAB1C35}" name="Column1180"/>
    <tableColumn id="1214" xr3:uid="{18B9A22D-2C6D-4E6C-8755-625A3F9B3EFD}" name="Column1181"/>
    <tableColumn id="1215" xr3:uid="{318AC5CB-EF50-4F48-B0FE-6080109E00D6}" name="Column1182"/>
    <tableColumn id="1216" xr3:uid="{75AC0D26-2D4F-4908-A856-504598D58A6A}" name="Column1183"/>
    <tableColumn id="1217" xr3:uid="{8F3FD64C-9B7F-4566-B2A5-D59B90330F4C}" name="Column1184"/>
    <tableColumn id="1218" xr3:uid="{5C52CFB3-55B9-4310-B4F2-3A0C1BC4415D}" name="Column1185"/>
    <tableColumn id="1219" xr3:uid="{0359B66E-66CE-4000-882C-F8D1AA61E3F8}" name="Column1186"/>
    <tableColumn id="1220" xr3:uid="{3C1EEB0D-DF04-4F0C-810C-8F506916D4C3}" name="Column1187"/>
    <tableColumn id="1221" xr3:uid="{0A730277-4756-471E-8C67-73C7F4D3EDFA}" name="Column1188"/>
    <tableColumn id="1222" xr3:uid="{05EDB1BE-ABD7-4D29-ABA8-40B58F15AA0A}" name="Column1189"/>
    <tableColumn id="1223" xr3:uid="{638C5740-4DE1-47BD-8089-4D854791564D}" name="Column1190"/>
    <tableColumn id="1224" xr3:uid="{3FF9D32D-F8BA-4A96-AFA3-5128302F85A1}" name="Column1191"/>
    <tableColumn id="1225" xr3:uid="{44DF4937-1FDC-451F-83FD-13478A52A836}" name="Column1192"/>
    <tableColumn id="1226" xr3:uid="{CFD859BE-99A7-4614-99BF-E0F63165193F}" name="Column1193"/>
    <tableColumn id="1227" xr3:uid="{ED03CC51-F48E-4B04-8376-E09B7ABA1E3E}" name="Column1194"/>
    <tableColumn id="1228" xr3:uid="{04A78A92-1309-434B-86DD-FBFFEBD15C7C}" name="Column1195"/>
    <tableColumn id="1229" xr3:uid="{AD9842D9-5510-4E09-9F8A-80147C2E5340}" name="Column1196"/>
    <tableColumn id="1230" xr3:uid="{CBCBC12C-2A2A-4E6C-86C0-6D6764621A20}" name="Column1197"/>
    <tableColumn id="1231" xr3:uid="{CDECDC57-36CB-4DF4-B41F-436047610955}" name="Column1198"/>
    <tableColumn id="1232" xr3:uid="{D755EAE0-4C4D-43B0-B8A1-976498D771B1}" name="Column1199"/>
    <tableColumn id="1233" xr3:uid="{748E3CA6-B444-4C36-8956-BBC78D8ED591}" name="Column1200"/>
    <tableColumn id="1234" xr3:uid="{0B2E8D4B-3FC4-4BE2-A2A7-6E405782AA5A}" name="Column1201"/>
    <tableColumn id="1235" xr3:uid="{31C535B3-50B4-4A62-AA6B-80660E1B7910}" name="Column1202"/>
    <tableColumn id="1236" xr3:uid="{28D6321C-D308-4D7D-87EC-E80BC84C58E5}" name="Column1203"/>
    <tableColumn id="1237" xr3:uid="{19F60EBA-3A67-4012-B96F-5DA744D6EC97}" name="Column1204"/>
    <tableColumn id="1238" xr3:uid="{61C857B8-D568-4C70-806E-5F1CF63CBC08}" name="Column1205"/>
    <tableColumn id="1239" xr3:uid="{3461FFBC-65CB-4055-A97C-29C28A9DB0AC}" name="Column1206"/>
    <tableColumn id="1240" xr3:uid="{0E3FA7DA-12B1-4209-936F-A96E329C0F90}" name="Column1207"/>
    <tableColumn id="1241" xr3:uid="{F60B125A-E583-418D-BD87-97A6AE3C2995}" name="Column1208"/>
    <tableColumn id="1242" xr3:uid="{BF73CA93-BBAA-4E1B-B07C-F21A788F9F4E}" name="Column1209"/>
    <tableColumn id="1243" xr3:uid="{AE8EC045-7E2A-4262-AD21-28AC025F9E64}" name="Column1210"/>
    <tableColumn id="1244" xr3:uid="{AFB0BB58-ABCF-4B05-AF3E-D79DBFD7CC30}" name="Column1211"/>
    <tableColumn id="1245" xr3:uid="{E67EF223-1937-498A-9F3A-5D4A9BA86F5A}" name="Column1212"/>
    <tableColumn id="1246" xr3:uid="{64787926-D5CA-4483-BB6B-E9826B21243E}" name="Column1213"/>
    <tableColumn id="1247" xr3:uid="{C2250A34-A032-4D15-9ADC-662B98F40D0F}" name="Column1214"/>
    <tableColumn id="1248" xr3:uid="{73F70376-CA18-4480-9615-4143A1910F43}" name="Column1215"/>
    <tableColumn id="1249" xr3:uid="{55A118C2-62DF-4B59-B920-7B1D4F4E9C6A}" name="Column1216"/>
    <tableColumn id="1250" xr3:uid="{E5956EFF-E310-44E9-B919-6A1A7FC93E28}" name="Column1217"/>
    <tableColumn id="1251" xr3:uid="{E9EA403D-6180-4E0E-8A0F-4859DBA361F0}" name="Column1218"/>
    <tableColumn id="1252" xr3:uid="{0BC91503-8AEB-425F-A2CE-8A6EAEC57178}" name="Column1219"/>
    <tableColumn id="1253" xr3:uid="{B623D635-7C28-4597-9CB6-DC9E4ADF40B8}" name="Column1220"/>
    <tableColumn id="1254" xr3:uid="{F7D5D876-C606-4C98-8E88-636E1DBD4E28}" name="Column1221"/>
    <tableColumn id="1255" xr3:uid="{4CFB0B76-B346-4BB8-BED8-33EFFD302D23}" name="Column1222"/>
    <tableColumn id="1256" xr3:uid="{5648D12F-54AF-4FB8-B898-B2FE39C13E3C}" name="Column1223"/>
    <tableColumn id="1257" xr3:uid="{4D3EF4B8-3A8A-488E-AED2-584EEB9A776A}" name="Column1224"/>
    <tableColumn id="1258" xr3:uid="{762357D9-9A3B-4340-8EB7-42B2FE29C504}" name="Column1225"/>
    <tableColumn id="1259" xr3:uid="{5F66876A-D0FA-4E34-9376-D05263178204}" name="Column1226"/>
    <tableColumn id="1260" xr3:uid="{5F41D089-1569-4EAD-A7A2-1A44D6040DAD}" name="Column1227"/>
    <tableColumn id="1261" xr3:uid="{8C0EFC4E-A8EB-4FE0-90EC-9753D7A7B463}" name="Column1228"/>
    <tableColumn id="1262" xr3:uid="{B4D6E891-D981-4287-A9DB-EF27C4C31716}" name="Column1229"/>
    <tableColumn id="1263" xr3:uid="{83B7039D-ED7A-4E2B-B43C-3680FE2D35E9}" name="Column1230"/>
    <tableColumn id="1264" xr3:uid="{DF522C91-9182-4BFE-A5DF-26191B4FC8CD}" name="Column1231"/>
    <tableColumn id="1265" xr3:uid="{12FBF24A-8802-4B10-83EF-A49DCF0B203F}" name="Column1232"/>
    <tableColumn id="1266" xr3:uid="{ED42DE85-026A-429B-BD76-0CF14B287115}" name="Column1233"/>
    <tableColumn id="1267" xr3:uid="{9CE10FF0-6729-48BD-A6E8-E036E59373D3}" name="Column1234"/>
    <tableColumn id="1268" xr3:uid="{876D2390-F7F6-4830-BBA8-C6D8129C167E}" name="Column1235"/>
    <tableColumn id="1269" xr3:uid="{A8C94DE2-591A-4E2E-8348-20AB0A7F5DF2}" name="Column1236"/>
    <tableColumn id="1270" xr3:uid="{CE9C7063-FE36-464E-B076-449B64516098}" name="Column1237"/>
    <tableColumn id="1271" xr3:uid="{BEB24D8F-C488-4EEE-A7AC-93E7E90BB29F}" name="Column1238"/>
    <tableColumn id="1272" xr3:uid="{8A95B47E-7912-4A3B-88CD-849FEAF4B2B1}" name="Column1239"/>
    <tableColumn id="1273" xr3:uid="{5E99517D-F6CD-4933-9DF3-6650790E8C0D}" name="Column1240"/>
    <tableColumn id="1274" xr3:uid="{F313D1F8-034E-4693-8FB4-27103AC7361D}" name="Column1241"/>
    <tableColumn id="1275" xr3:uid="{780A0E05-2E97-4C3F-8C20-7D57707BC4DA}" name="Column1242"/>
    <tableColumn id="1276" xr3:uid="{6F17EB07-7439-4AC3-AA86-D4281AAC87CA}" name="Column1243"/>
    <tableColumn id="1277" xr3:uid="{D9259C5D-BB52-40AE-9868-7C607A4945C0}" name="Column1244"/>
    <tableColumn id="1278" xr3:uid="{0857D775-7834-4C59-835F-CDB29594DD2F}" name="Column1245"/>
    <tableColumn id="1279" xr3:uid="{60CBB254-EE12-4B60-A031-86B48F6A8AE6}" name="Column1246"/>
    <tableColumn id="1280" xr3:uid="{03BDC51B-F374-4CA2-9E14-94D3D68C5982}" name="Column1247"/>
    <tableColumn id="1281" xr3:uid="{E6ABF271-639B-406D-92E5-33EF380BD096}" name="Column1248"/>
    <tableColumn id="1282" xr3:uid="{361800E8-49B0-4C75-9886-C12F7B7D0F8B}" name="Column1249"/>
    <tableColumn id="1283" xr3:uid="{01041C8C-4CED-451B-B8F6-B01FFC05FDB0}" name="Column1250"/>
    <tableColumn id="1284" xr3:uid="{BFAC78CF-75F2-4697-8BBA-64D448B47BB0}" name="Column1251"/>
    <tableColumn id="1285" xr3:uid="{5037F458-8065-461D-B800-7A519CA2B3E7}" name="Column1252"/>
    <tableColumn id="1286" xr3:uid="{C573246A-2F22-4499-9EF0-55AF10D00B58}" name="Column1253"/>
    <tableColumn id="1287" xr3:uid="{ED04D460-C5F7-42A2-A5ED-4F20FDB0230B}" name="Column1254"/>
    <tableColumn id="1288" xr3:uid="{B6AEA3D1-176A-4FAF-BC4D-D65CBD9860DC}" name="Column1255"/>
    <tableColumn id="1289" xr3:uid="{983CF5CF-2172-4A97-B3D2-396470D2949D}" name="Column1256"/>
    <tableColumn id="1290" xr3:uid="{1EBA74EC-FEE9-4F6B-AC88-F8EAFCFCBDCA}" name="Column1257"/>
    <tableColumn id="1291" xr3:uid="{F9C67305-872D-4525-9343-C12FA035099E}" name="Column1258"/>
    <tableColumn id="1292" xr3:uid="{12D8D98A-D8B9-4031-A4FC-EFF9BFD810C7}" name="Column1259"/>
    <tableColumn id="1293" xr3:uid="{C22ABF59-14CC-4F4A-8EAB-9F0DA79B54EF}" name="Column1260"/>
    <tableColumn id="1294" xr3:uid="{28082B94-EAE7-4FCD-9812-0AEF42338711}" name="Column1261"/>
    <tableColumn id="1295" xr3:uid="{A8759AC5-91CC-4457-B26F-930CEAF853A7}" name="Column1262"/>
    <tableColumn id="1296" xr3:uid="{532A8801-BB68-4D91-A20E-39450E65E1E8}" name="Column1263"/>
    <tableColumn id="1297" xr3:uid="{B0C2E0ED-2A4B-4D0D-BB8B-C5C0EDE9F970}" name="Column1264"/>
    <tableColumn id="1298" xr3:uid="{C03294BD-0996-43F6-939A-A9CAD906CC55}" name="Column1265"/>
    <tableColumn id="1299" xr3:uid="{7442ACE5-621A-4B25-A604-E074B5961233}" name="Column1266"/>
    <tableColumn id="1300" xr3:uid="{CE030F40-B34A-467C-A7C1-24959687D087}" name="Column1267"/>
    <tableColumn id="1301" xr3:uid="{B8C1735B-A235-47CB-B1A2-996AC565A22E}" name="Column1268"/>
    <tableColumn id="1302" xr3:uid="{EA5CA0FA-B438-486E-B02C-E36CE31E78CB}" name="Column1269"/>
    <tableColumn id="1303" xr3:uid="{D2D87761-541C-4233-85FD-25ADBF57B0CB}" name="Column1270"/>
    <tableColumn id="1304" xr3:uid="{D3FE5709-13C9-4806-BDDD-DD7C209C9700}" name="Column1271"/>
    <tableColumn id="1305" xr3:uid="{22F8FFEA-E2B0-4900-A82E-77DDC8B75756}" name="Column1272"/>
    <tableColumn id="1306" xr3:uid="{E325F972-DCEE-4D67-BA7B-A9B933BEB054}" name="Column1273"/>
    <tableColumn id="1307" xr3:uid="{62EF7061-95FD-4946-BEB5-9E098A64A780}" name="Column1274"/>
    <tableColumn id="1308" xr3:uid="{48073FEC-93FA-4154-9712-D470BDFF244C}" name="Column1275"/>
    <tableColumn id="1309" xr3:uid="{B7C31598-FBB9-4D1D-8F56-F5D2C3162768}" name="Column1276"/>
    <tableColumn id="1310" xr3:uid="{5F1F2856-337F-4A20-B026-4049B2A226FF}" name="Column1277"/>
    <tableColumn id="1311" xr3:uid="{1E279DB7-6206-4886-B3E6-E510A8D955AD}" name="Column1278"/>
    <tableColumn id="1312" xr3:uid="{15850FB6-585A-4262-B48F-FB910F12AEE2}" name="Column1279"/>
    <tableColumn id="1313" xr3:uid="{54C34CCF-7106-4926-9ED0-BC6A029EC60B}" name="Column1280"/>
    <tableColumn id="1314" xr3:uid="{3C5553D2-BD4D-4E58-9B74-504FB2367D1D}" name="Column1281"/>
    <tableColumn id="1315" xr3:uid="{A8D538DC-7095-434F-80E6-D4F2FEACF212}" name="Column1282"/>
    <tableColumn id="1316" xr3:uid="{8ECD48BD-362C-44F3-B61F-8860A5815BC4}" name="Column1283"/>
    <tableColumn id="1317" xr3:uid="{FF9D80B3-CB51-4BB4-B2A2-57CC6B684F42}" name="Column1284"/>
    <tableColumn id="1318" xr3:uid="{9E9E6CAB-2DA3-4F5B-9252-6ADF25D377D2}" name="Column1285"/>
    <tableColumn id="1319" xr3:uid="{8CDBCCC7-89D2-4668-8667-7A13523FC595}" name="Column1286"/>
    <tableColumn id="1320" xr3:uid="{724EE696-A906-4AC8-9BF0-0F8C222C9CD8}" name="Column1287"/>
    <tableColumn id="1321" xr3:uid="{BAA7555B-5C48-43AD-9134-12E45CF507AA}" name="Column1288"/>
    <tableColumn id="1322" xr3:uid="{90EBF1CC-EBCC-4DC7-9093-6D2174BD18E5}" name="Column1289"/>
    <tableColumn id="1323" xr3:uid="{AD60411A-969A-42E7-A109-82CC8DCEE1A1}" name="Column1290"/>
    <tableColumn id="1324" xr3:uid="{F4265441-0F20-4003-AFE0-5B1E5A273464}" name="Column1291"/>
    <tableColumn id="1325" xr3:uid="{4DA89E3D-3E4D-4378-83F2-F68A6B1547F4}" name="Column1292"/>
    <tableColumn id="1326" xr3:uid="{2EEC2FB1-0581-4E19-A8F8-2DBBE45757B8}" name="Column1293"/>
    <tableColumn id="1327" xr3:uid="{08B436E0-62D7-46EE-A520-5D41B3334D21}" name="Column1294"/>
    <tableColumn id="1328" xr3:uid="{085BCB08-2828-4E1D-B000-9F6D37485F8E}" name="Column1295"/>
    <tableColumn id="1329" xr3:uid="{3A47A222-4B9D-4B7D-96C7-3B18D13CD91C}" name="Column1296"/>
    <tableColumn id="1330" xr3:uid="{928B1E79-032A-4A12-94CB-31AA5B119D90}" name="Column1297"/>
    <tableColumn id="1331" xr3:uid="{162B8D34-3D77-4D47-940C-9387CF82AFB7}" name="Column1298"/>
    <tableColumn id="1332" xr3:uid="{E82E0879-1F67-4B38-ADD3-15A226EC24EC}" name="Column1299"/>
    <tableColumn id="1333" xr3:uid="{94A4ADE1-C4A3-4482-8368-7A99EBBE269F}" name="Column1300"/>
    <tableColumn id="1334" xr3:uid="{DEED7978-985D-48F1-92EA-80A0F0EA0440}" name="Column1301"/>
    <tableColumn id="1335" xr3:uid="{95164A57-2D54-4AEC-B789-C67BABCBFCC3}" name="Column1302"/>
    <tableColumn id="1336" xr3:uid="{36B407F8-9282-462F-91BC-342332B8FCBF}" name="Column1303"/>
    <tableColumn id="1337" xr3:uid="{5FAFDA7B-2371-4E44-91B2-76A9F638A596}" name="Column1304"/>
    <tableColumn id="1338" xr3:uid="{B1AA8BEF-B5AC-48C0-A0EC-0250970BA668}" name="Column1305"/>
    <tableColumn id="1339" xr3:uid="{29632625-C327-4FE1-8F8B-AADCF074E2BE}" name="Column1306"/>
    <tableColumn id="1340" xr3:uid="{373CD944-7D42-46C4-A2BA-68A9BC6F99D1}" name="Column1307"/>
    <tableColumn id="1341" xr3:uid="{AD9AC7D4-C3CF-4ABD-92F1-81C0A8BBA5A8}" name="Column1308"/>
    <tableColumn id="1342" xr3:uid="{CFE9E2ED-E36E-4C00-8E08-C5003C6A1164}" name="Column1309"/>
    <tableColumn id="1343" xr3:uid="{98C284F3-D4F7-4F38-B01D-E60A5098445D}" name="Column1310"/>
    <tableColumn id="1344" xr3:uid="{3A9BEED9-0467-4B31-8A41-8E57D457F943}" name="Column1311"/>
    <tableColumn id="1345" xr3:uid="{541E8D08-B1B7-4203-B392-18D5C0CFBF63}" name="Column1312"/>
    <tableColumn id="1346" xr3:uid="{DB8BE238-748F-4BC8-BE5A-E08344583D66}" name="Column1313"/>
    <tableColumn id="1347" xr3:uid="{9B4947E3-6986-49B2-A536-91E35F797A2A}" name="Column1314"/>
    <tableColumn id="1348" xr3:uid="{AB5255A9-43D7-4703-976F-33E8CE7D2B39}" name="Column1315"/>
    <tableColumn id="1349" xr3:uid="{AED9BCC7-3861-4DD1-9B01-AC454D2F6518}" name="Column1316"/>
    <tableColumn id="1350" xr3:uid="{52B895A9-BC75-4819-B7D5-C5FC72D43961}" name="Column1317"/>
    <tableColumn id="1351" xr3:uid="{D073E7BD-288E-47EC-BE06-1085B63145F2}" name="Column1318"/>
    <tableColumn id="1352" xr3:uid="{3F7EB589-EE44-439B-B909-C575C5D68474}" name="Column1319"/>
    <tableColumn id="1353" xr3:uid="{96BADD4D-9069-47C3-91A7-161E373384C7}" name="Column1320"/>
    <tableColumn id="1354" xr3:uid="{8F28984D-8C0E-4DE0-9304-A81CCAA139F2}" name="Column1321"/>
    <tableColumn id="1355" xr3:uid="{B9DCF225-FEE4-4B6A-8232-6C38DFBA4AF6}" name="Column1322"/>
    <tableColumn id="1356" xr3:uid="{CEE07890-C7B4-4158-AD44-8B529A84ABB3}" name="Column1323"/>
    <tableColumn id="1357" xr3:uid="{658EDA4D-ED79-48EE-8C1B-2B176BFA6195}" name="Column1324"/>
    <tableColumn id="1358" xr3:uid="{21E1F53D-F743-45F8-86ED-69601EAE3542}" name="Column1325"/>
    <tableColumn id="1359" xr3:uid="{0AD06C73-127F-4A3A-A8DA-19CBE71F2265}" name="Column1326"/>
    <tableColumn id="1360" xr3:uid="{C8C4EC75-C637-4FA0-8ABA-C2BF7D83BF07}" name="Column1327"/>
    <tableColumn id="1361" xr3:uid="{D2FEE2E2-FC1C-47BA-AB78-87BA0FF4A729}" name="Column1328"/>
    <tableColumn id="1362" xr3:uid="{10746609-48E4-417D-8F6A-8461CEB82281}" name="Column1329"/>
    <tableColumn id="1363" xr3:uid="{EF9AC333-B425-42C4-A8AA-7C8C610C248F}" name="Column1330"/>
    <tableColumn id="1364" xr3:uid="{16D38D32-80AC-4C78-B9DD-63BB07EB6775}" name="Column1331"/>
    <tableColumn id="1365" xr3:uid="{ADF07824-98CF-4A00-83AD-4D3E2E6C857F}" name="Column1332"/>
    <tableColumn id="1366" xr3:uid="{B78665B4-86C9-4C76-9447-C2BAEB3BD831}" name="Column1333"/>
    <tableColumn id="1367" xr3:uid="{478FBFC4-B319-4BC4-A174-4AB5E19617CF}" name="Column1334"/>
    <tableColumn id="1368" xr3:uid="{A7C6C5AD-F290-4C19-93F8-A85E1AED6859}" name="Column1335"/>
    <tableColumn id="1369" xr3:uid="{F5F2E0A6-D3E9-4061-938D-2716D01D343B}" name="Column1336"/>
    <tableColumn id="1370" xr3:uid="{27B678B2-A288-41B8-8F4E-B76039025A7F}" name="Column1337"/>
    <tableColumn id="1371" xr3:uid="{40BE06CC-0588-4C7F-918F-950A709298F1}" name="Column1338"/>
    <tableColumn id="1372" xr3:uid="{6DB45115-730D-447F-8E37-5A82E901EB68}" name="Column1339"/>
    <tableColumn id="1373" xr3:uid="{F0F0672A-9400-4643-BA6D-F7989B854922}" name="Column1340"/>
    <tableColumn id="1374" xr3:uid="{960BADF4-6E00-41B0-B352-8C5A62C312FF}" name="Column1341"/>
    <tableColumn id="1375" xr3:uid="{564EB665-F284-41F9-B002-7C25E0AB7BAF}" name="Column1342"/>
    <tableColumn id="1376" xr3:uid="{03E7853B-6992-4E59-B43A-92E826693C85}" name="Column1343"/>
    <tableColumn id="1377" xr3:uid="{4DB14FF6-A899-4371-9E50-70A4772569B3}" name="Column1344"/>
    <tableColumn id="1378" xr3:uid="{F85EE2EE-E3AD-4E74-8343-DBA8EED2640E}" name="Column1345"/>
    <tableColumn id="1379" xr3:uid="{7504B991-F507-41DC-9C58-C2EDF5DE04CE}" name="Column1346"/>
    <tableColumn id="1380" xr3:uid="{2370478D-69CC-4EA8-9789-C14CF5576496}" name="Column1347"/>
    <tableColumn id="1381" xr3:uid="{131250EB-1B37-4CA4-97F3-557C18C4954F}" name="Column1348"/>
    <tableColumn id="1382" xr3:uid="{7F2B6E6D-0ECF-4AE8-A8BC-F3C3A01C4FC2}" name="Column1349"/>
    <tableColumn id="1383" xr3:uid="{80C47E8C-CD9E-43C9-9DC7-A255F3333A8C}" name="Column1350"/>
    <tableColumn id="1384" xr3:uid="{A6DEC09B-7E26-4A78-9A15-8F7540E374C0}" name="Column1351"/>
    <tableColumn id="1385" xr3:uid="{8863E92A-B63A-4436-A382-113370A5CF0C}" name="Column1352"/>
    <tableColumn id="1386" xr3:uid="{47A25F23-4643-43E1-921C-7050189E4CC2}" name="Column1353"/>
    <tableColumn id="1387" xr3:uid="{72C25D59-D814-476B-8CB3-D2B738AB4681}" name="Column1354"/>
    <tableColumn id="1388" xr3:uid="{07252C9C-8CB9-4173-8269-4FD06F9B9DF3}" name="Column1355"/>
    <tableColumn id="1389" xr3:uid="{C3070533-398B-4840-8C06-929385DFEA5C}" name="Column1356"/>
    <tableColumn id="1390" xr3:uid="{9AD441F5-8DCC-4A51-9449-E41E46E65A33}" name="Column1357"/>
    <tableColumn id="1391" xr3:uid="{D2269F70-3582-496B-86CE-5C78B5F990D4}" name="Column1358"/>
    <tableColumn id="1392" xr3:uid="{A4A2CAC3-93A1-4F1E-98A5-3693833B7C34}" name="Column1359"/>
    <tableColumn id="1393" xr3:uid="{DAA7A7D8-9189-4D2C-980B-4E14282C0258}" name="Column1360"/>
    <tableColumn id="1394" xr3:uid="{29BD5182-F6AA-433A-9F21-46EF99CA8708}" name="Column1361"/>
    <tableColumn id="1395" xr3:uid="{5F093D9B-1D59-41DA-AE81-BDE6668D5DCE}" name="Column1362"/>
    <tableColumn id="1396" xr3:uid="{2E08B55C-CAFD-467C-9881-CD614781F667}" name="Column1363"/>
    <tableColumn id="1397" xr3:uid="{69674082-28C4-4A33-8B08-45B762AAC376}" name="Column1364"/>
    <tableColumn id="1398" xr3:uid="{A63DE511-2784-4CB9-B706-3028DB820C12}" name="Column1365"/>
    <tableColumn id="1399" xr3:uid="{B3023E1D-75FE-47FE-983C-A3C9A3C3BCD3}" name="Column1366"/>
    <tableColumn id="1400" xr3:uid="{89E7E35D-F0B6-4CCB-B5C9-820319470DD4}" name="Column1367"/>
    <tableColumn id="1401" xr3:uid="{6763D831-D5D2-4136-B881-1B67FAFF972D}" name="Column1368"/>
    <tableColumn id="1402" xr3:uid="{141C28D0-FDDD-443A-89C2-9D4AA0198F2B}" name="Column1369"/>
    <tableColumn id="1403" xr3:uid="{F2283C48-93F7-4B68-8577-8E09E6902CF5}" name="Column1370"/>
    <tableColumn id="1404" xr3:uid="{C4AE49DC-5CA7-45FA-94F3-C325D0BAE38C}" name="Column1371"/>
    <tableColumn id="1405" xr3:uid="{ECCD1EB2-E162-4C87-B1A9-5FB9C8EBB22E}" name="Column1372"/>
    <tableColumn id="1406" xr3:uid="{251550ED-8595-4433-AF11-6A3AF7AAB4FB}" name="Column1373"/>
    <tableColumn id="1407" xr3:uid="{FC615F39-B88D-4829-AC23-2D2C9ECE93DA}" name="Column1374"/>
    <tableColumn id="1408" xr3:uid="{405CA989-1EF1-4A67-A136-0AEE22514F8E}" name="Column1375"/>
    <tableColumn id="1409" xr3:uid="{D93CB0E1-7390-4495-84B8-A5FDDB3318E7}" name="Column1376"/>
    <tableColumn id="1410" xr3:uid="{ECA4DF0A-826C-410C-8A37-BC594BD1A581}" name="Column1377"/>
    <tableColumn id="1411" xr3:uid="{43B71BE8-D076-489C-8290-EC9C376B4A86}" name="Column1378"/>
    <tableColumn id="1412" xr3:uid="{CC31E960-C62B-4061-9284-314CD83531B0}" name="Column1379"/>
    <tableColumn id="1413" xr3:uid="{ACEC164C-D9F6-48C0-A0F4-DFC1B1F47717}" name="Column1380"/>
    <tableColumn id="1414" xr3:uid="{A875F01C-772D-40C1-B042-72D8D6191E9F}" name="Column1381"/>
    <tableColumn id="1415" xr3:uid="{BDFF6E03-92BE-44AF-A345-92A2D7486DC8}" name="Column1382"/>
    <tableColumn id="1416" xr3:uid="{D4CA6EC1-6535-4CD2-8A54-11E2B2471A21}" name="Column1383"/>
    <tableColumn id="1417" xr3:uid="{1AC84E08-4C38-4614-9766-CD759DBDE99A}" name="Column1384"/>
    <tableColumn id="1418" xr3:uid="{D254505E-5D4C-4207-A02C-B23A85097030}" name="Column1385"/>
    <tableColumn id="1419" xr3:uid="{391936FE-8568-4E9B-81A2-BEB0020F083A}" name="Column1386"/>
    <tableColumn id="1420" xr3:uid="{9B4D2C24-3545-409A-9108-ABED488BD596}" name="Column1387"/>
    <tableColumn id="1421" xr3:uid="{F4F6E7EF-7EBF-4262-B02B-D3D8D7BD4E52}" name="Column1388"/>
    <tableColumn id="1422" xr3:uid="{C0DB6076-4DB1-4C80-83A7-34CCEC9FA633}" name="Column1389"/>
    <tableColumn id="1423" xr3:uid="{9E960CA8-E480-43DC-BFE2-B0057D0B15CD}" name="Column1390"/>
    <tableColumn id="1424" xr3:uid="{8E2A85B4-74E6-4579-9C3C-13508CBB316D}" name="Column1391"/>
    <tableColumn id="1425" xr3:uid="{47DB07DD-4B1D-431D-B051-5EF991E00AD7}" name="Column1392"/>
    <tableColumn id="1426" xr3:uid="{42E553F3-E76B-4BD4-805F-5FC677A7EC16}" name="Column1393"/>
    <tableColumn id="1427" xr3:uid="{B1F6FE88-E117-4C2F-AA45-07414614A62D}" name="Column1394"/>
    <tableColumn id="1428" xr3:uid="{2A52B7C0-3BC9-4992-95B2-92C0848F186C}" name="Column1395"/>
    <tableColumn id="1429" xr3:uid="{A665071C-8EAA-41A6-BC10-C4690C2B69A7}" name="Column1396"/>
    <tableColumn id="1430" xr3:uid="{9F935D61-7A09-4E69-8868-296A9D6E7D95}" name="Column1397"/>
    <tableColumn id="1431" xr3:uid="{ABCC948D-DE68-4F64-8F85-911A1B24DD33}" name="Column1398"/>
    <tableColumn id="1432" xr3:uid="{C694DF13-5EC6-433E-842E-CA1B918C5C80}" name="Column1399"/>
    <tableColumn id="1433" xr3:uid="{FD811C6C-D36F-474B-9664-F53EDDE204B1}" name="Column1400"/>
    <tableColumn id="1434" xr3:uid="{9D11274E-AC81-44DF-A2CF-6C872C55827B}" name="Column1401"/>
    <tableColumn id="1435" xr3:uid="{547E7098-3238-478E-ACCE-3421D1FFE86B}" name="Column1402"/>
    <tableColumn id="1436" xr3:uid="{D12893B9-65FC-410E-B439-2CEF5E10BECF}" name="Column1403"/>
    <tableColumn id="1437" xr3:uid="{27DC1410-1352-4A56-9203-F4F0C5F93ACA}" name="Column1404"/>
    <tableColumn id="1438" xr3:uid="{33390A3A-DF0A-4E7F-9DAA-73310F9378AE}" name="Column1405"/>
    <tableColumn id="1439" xr3:uid="{431285E7-6842-4E16-8FF9-DFEC865303EB}" name="Column1406"/>
    <tableColumn id="1440" xr3:uid="{8DED9A6B-0DD8-4456-B588-CB70D0BE2A30}" name="Column1407"/>
    <tableColumn id="1441" xr3:uid="{E207F310-9304-48E3-AB6D-250E209F68FA}" name="Column1408"/>
    <tableColumn id="1442" xr3:uid="{3DBE7DCE-94EE-41F9-BB7E-A3C95F1A2878}" name="Column1409"/>
    <tableColumn id="1443" xr3:uid="{8CC414A4-64AD-48B6-85D9-A26B36D07BCC}" name="Column1410"/>
    <tableColumn id="1444" xr3:uid="{061D881E-8811-4FBF-807F-49C2B2080AEE}" name="Column1411"/>
    <tableColumn id="1445" xr3:uid="{02D05EF6-83B2-4C35-869E-4167209923AD}" name="Column1412"/>
    <tableColumn id="1446" xr3:uid="{1AD1138B-0EA6-498D-B20E-2575FBC14931}" name="Column1413"/>
    <tableColumn id="1447" xr3:uid="{17C62D43-F8A8-4420-8A8B-55A039ADF147}" name="Column1414"/>
    <tableColumn id="1448" xr3:uid="{05FE081B-6704-4271-808B-0A63ADA0D1BD}" name="Column1415"/>
    <tableColumn id="1449" xr3:uid="{9D2EFCD7-D0ED-496D-92A8-F48309998068}" name="Column1416"/>
    <tableColumn id="1450" xr3:uid="{E7D5B751-1059-44D5-A432-07C611876E92}" name="Column1417"/>
    <tableColumn id="1451" xr3:uid="{F23AF915-FBA2-46B7-8E9E-98FECBBC0B33}" name="Column1418"/>
    <tableColumn id="1452" xr3:uid="{02B1CDA2-6A93-4732-9CEC-0FF4191ABE49}" name="Column1419"/>
    <tableColumn id="1453" xr3:uid="{001CE790-7EBC-427D-B21F-541C21321D61}" name="Column1420"/>
    <tableColumn id="1454" xr3:uid="{10500AB2-B1EB-4335-A543-B5F53E091130}" name="Column1421"/>
    <tableColumn id="1455" xr3:uid="{FA416231-C3F4-4B65-9417-C911687BE027}" name="Column1422"/>
    <tableColumn id="1456" xr3:uid="{E4171FF9-1B49-4C68-AE6D-6540AB811D10}" name="Column1423"/>
    <tableColumn id="1457" xr3:uid="{C7728B18-3C4A-4BD2-8F64-86ED42482894}" name="Column1424"/>
    <tableColumn id="1458" xr3:uid="{7961228B-95D9-4C0A-AA31-0866E97F49FA}" name="Column1425"/>
    <tableColumn id="1459" xr3:uid="{18E82DCD-4025-423F-9001-9E20963CBFB3}" name="Column1426"/>
    <tableColumn id="1460" xr3:uid="{C9ACD0EF-05CE-42FF-AF20-D222376E661B}" name="Column1427"/>
    <tableColumn id="1461" xr3:uid="{AE440399-D4F5-4684-A46E-25B8F1836356}" name="Column1428"/>
    <tableColumn id="1462" xr3:uid="{0B8C4FFD-434F-42C1-B231-BE51FF781750}" name="Column1429"/>
    <tableColumn id="1463" xr3:uid="{1979069B-1A81-4471-A06B-0075F89F9B05}" name="Column1430"/>
    <tableColumn id="1464" xr3:uid="{73A0AAD0-9E69-46D3-87B0-037A6D4664FF}" name="Column1431"/>
    <tableColumn id="1465" xr3:uid="{4E5E2655-0007-4787-93E2-CB468FAE1148}" name="Column1432"/>
    <tableColumn id="1466" xr3:uid="{9E8FD0FB-07F1-4CB6-95FE-FC2C6E83882B}" name="Column1433"/>
    <tableColumn id="1467" xr3:uid="{716D0CA0-7250-46CB-AD6D-58315DDB02DE}" name="Column1434"/>
    <tableColumn id="1468" xr3:uid="{026C1B21-69E2-4477-9CF0-18C72634779B}" name="Column1435"/>
    <tableColumn id="1469" xr3:uid="{80EEABCC-BC49-4198-B93A-1CF9593EF214}" name="Column1436"/>
    <tableColumn id="1470" xr3:uid="{DE9C758F-5803-413A-847E-E6956D16BEB1}" name="Column1437"/>
    <tableColumn id="1471" xr3:uid="{F49BA957-3DE7-4149-B2FF-23FD5DFD368A}" name="Column1438"/>
    <tableColumn id="1472" xr3:uid="{4B68A417-0926-4132-8F1B-90B01D186C46}" name="Column1439"/>
    <tableColumn id="1473" xr3:uid="{A0ED1D87-8738-4322-96FD-C487C5E2394B}" name="Column1440"/>
    <tableColumn id="1474" xr3:uid="{06C00E60-C1EF-40E0-9635-16E6549B676D}" name="Column1441"/>
    <tableColumn id="1475" xr3:uid="{9953748D-45FE-4FDA-9DC3-542B2031F3E2}" name="Column1442"/>
    <tableColumn id="1476" xr3:uid="{DC9D2438-5030-4A74-A2CD-2A20BA19254A}" name="Column1443"/>
    <tableColumn id="1477" xr3:uid="{31AF8B86-8432-460B-B714-4AB7F26EE83B}" name="Column1444"/>
    <tableColumn id="1478" xr3:uid="{A341709C-2476-4111-95F4-B07C21BE160D}" name="Column1445"/>
    <tableColumn id="1479" xr3:uid="{5BA209C1-C6C0-4741-A810-F76553985C9A}" name="Column1446"/>
    <tableColumn id="1480" xr3:uid="{A5AD6640-F1E3-4ED1-B073-066147137AEC}" name="Column1447"/>
    <tableColumn id="1481" xr3:uid="{39DF20D2-7CEB-44C9-9C62-AEFD00A987C6}" name="Column1448"/>
    <tableColumn id="1482" xr3:uid="{96269E43-7964-4EF1-94DC-A5338DD6AF34}" name="Column1449"/>
    <tableColumn id="1483" xr3:uid="{C3D1B937-3512-45D4-8AA9-402DCCA5A588}" name="Column1450"/>
    <tableColumn id="1484" xr3:uid="{39A4251B-FD86-4BCD-8F0E-A5AD650F1C65}" name="Column1451"/>
    <tableColumn id="1485" xr3:uid="{E345494E-C111-4847-B5BF-A5D1EE8D8F91}" name="Column1452"/>
    <tableColumn id="1486" xr3:uid="{CF2D2CBC-3AD7-45E8-BED6-5F80B663A754}" name="Column1453"/>
    <tableColumn id="1487" xr3:uid="{99313CF9-DE62-4A7E-B311-B81DC282C31E}" name="Column1454"/>
    <tableColumn id="1488" xr3:uid="{BDB4EB9F-C354-4604-81CE-7ADCAAA32C36}" name="Column1455"/>
    <tableColumn id="1489" xr3:uid="{4EA9010D-144A-4300-9672-C0BF7AC4FA16}" name="Column1456"/>
    <tableColumn id="1490" xr3:uid="{A02A092A-E168-4533-8F02-D3A5FB93255C}" name="Column1457"/>
    <tableColumn id="1491" xr3:uid="{DCD2BB7D-1DC1-45B8-9BCE-C1529A75D290}" name="Column1458"/>
    <tableColumn id="1492" xr3:uid="{C2CDA53E-BAEF-47FA-8817-A6C25A27BCEF}" name="Column1459"/>
    <tableColumn id="1493" xr3:uid="{E5D5E50C-6604-4918-87BD-7986E9FBE01B}" name="Column1460"/>
    <tableColumn id="1494" xr3:uid="{59EC8D10-9835-409B-9572-77F7C80FAC92}" name="Column1461"/>
    <tableColumn id="1495" xr3:uid="{DA3A1FE6-6136-4A47-92E7-20C5FEE20558}" name="Column1462"/>
    <tableColumn id="1496" xr3:uid="{1CA5E3E9-78E0-48BB-AECB-D5AF29E4B33B}" name="Column1463"/>
    <tableColumn id="1497" xr3:uid="{2AF8D053-A042-4D8E-888D-553B8753F38D}" name="Column1464"/>
    <tableColumn id="1498" xr3:uid="{EF481BDD-CD51-4354-9DD5-F7F66EA11ADA}" name="Column1465"/>
    <tableColumn id="1499" xr3:uid="{185EE372-72A3-4663-A836-58A11F417AFD}" name="Column1466"/>
    <tableColumn id="1500" xr3:uid="{B4C8AF4E-EF75-4B1B-B32A-114BCC90F688}" name="Column1467"/>
    <tableColumn id="1501" xr3:uid="{D448F0F3-8209-4086-AB0C-7895368653BA}" name="Column1468"/>
    <tableColumn id="1502" xr3:uid="{8219C77F-049D-44EA-A4F9-4BBF9449ADEA}" name="Column1469"/>
    <tableColumn id="1503" xr3:uid="{3EDFCD32-9BF2-423D-B7AE-4EB037511816}" name="Column1470"/>
    <tableColumn id="1504" xr3:uid="{39B02C04-D99B-4377-96F4-7413E223B21D}" name="Column1471"/>
    <tableColumn id="1505" xr3:uid="{209DEC63-7545-48F4-988A-7DADBDAF6BE3}" name="Column1472"/>
    <tableColumn id="1506" xr3:uid="{EDCF539D-D8CC-4627-9D03-2FBCB4EA1716}" name="Column1473"/>
    <tableColumn id="1507" xr3:uid="{9E7D61B7-2980-481C-8A1E-EB61F22B63BA}" name="Column1474"/>
    <tableColumn id="1508" xr3:uid="{BE9E5F77-B2A5-43BC-B32D-76A48C3EB1F2}" name="Column1475"/>
    <tableColumn id="1509" xr3:uid="{7805F879-44CA-477F-A4C4-CC57B00B6351}" name="Column1476"/>
    <tableColumn id="1510" xr3:uid="{F41379F9-1929-4A64-9700-9A204E7FDD4F}" name="Column1477"/>
    <tableColumn id="1511" xr3:uid="{0834FE04-29B9-4C7D-895D-F34557B03967}" name="Column1478"/>
    <tableColumn id="1512" xr3:uid="{531D8761-97E4-4E21-BAC6-D567FE131885}" name="Column1479"/>
    <tableColumn id="1513" xr3:uid="{8C82B78C-F245-4170-8E48-8F473EE5CC20}" name="Column1480"/>
    <tableColumn id="1514" xr3:uid="{E21B7EA1-5710-4946-9D43-BA20BF3EE41C}" name="Column1481"/>
    <tableColumn id="1515" xr3:uid="{019F9C56-78D8-474B-9BF7-13DE48D0FAB0}" name="Column1482"/>
    <tableColumn id="1516" xr3:uid="{C921C6DA-AB4E-460E-A06F-03D30DC254A3}" name="Column1483"/>
    <tableColumn id="1517" xr3:uid="{303EAD66-906B-4855-A300-F9D41A3A873C}" name="Column1484"/>
    <tableColumn id="1518" xr3:uid="{F2E633DC-1026-450A-9ADB-CDB1ADE0AE2D}" name="Column1485"/>
    <tableColumn id="1519" xr3:uid="{63C0B41B-0B2B-408A-B194-E9E50CB7F64B}" name="Column1486"/>
    <tableColumn id="1520" xr3:uid="{890AE54A-69B5-4E55-BD9E-A19ECCB6CEC8}" name="Column1487"/>
    <tableColumn id="1521" xr3:uid="{D1E45637-B0E4-4305-ABE0-1B8089D8DB81}" name="Column1488"/>
    <tableColumn id="1522" xr3:uid="{B1D95980-3812-4A8F-BC37-7019BEE5C72D}" name="Column1489"/>
    <tableColumn id="1523" xr3:uid="{1CC0C134-A0ED-4F0C-B464-BAB0FFAB2B38}" name="Column1490"/>
    <tableColumn id="1524" xr3:uid="{39615804-EDF6-4EF7-9A99-ECFC3FC3CCAD}" name="Column1491"/>
    <tableColumn id="1525" xr3:uid="{5FC92EAA-514F-4A91-86B4-7EFCBF057A73}" name="Column1492"/>
    <tableColumn id="1526" xr3:uid="{FF865E04-41EC-4283-8694-152B28FEB636}" name="Column1493"/>
    <tableColumn id="1527" xr3:uid="{712184D5-F495-4F44-85F6-230844B2A8EA}" name="Column1494"/>
    <tableColumn id="1528" xr3:uid="{29106E77-89A3-4843-91D6-EE3D367E1327}" name="Column1495"/>
    <tableColumn id="1529" xr3:uid="{C9077A89-A235-4385-AC6C-65BFF4D86A16}" name="Column1496"/>
    <tableColumn id="1530" xr3:uid="{B971D90C-EF6B-4284-B324-762968A93103}" name="Column1497"/>
    <tableColumn id="1531" xr3:uid="{4A0B9B8E-31BD-40CF-80FD-6DBFDBD88E34}" name="Column1498"/>
    <tableColumn id="1532" xr3:uid="{DA4E38FA-9353-481D-8421-B8ECF9F6853E}" name="Column1499"/>
    <tableColumn id="1533" xr3:uid="{3F46DC26-193E-443E-A6EF-EFE3B117AF7E}" name="Column1500"/>
    <tableColumn id="1534" xr3:uid="{F536A9AC-69FA-4D09-BE98-38AF418699C6}" name="Column1501"/>
    <tableColumn id="1535" xr3:uid="{E16F82AA-22D0-4EC3-885B-2026A02DA1B5}" name="Column1502"/>
    <tableColumn id="1536" xr3:uid="{5BF4CEBB-827F-42E8-9AB0-6819967754B8}" name="Column1503"/>
    <tableColumn id="1537" xr3:uid="{2E7386FE-40F0-4A4C-BC63-D95F3CD2BC82}" name="Column1504"/>
    <tableColumn id="1538" xr3:uid="{1983C664-332A-438D-9A31-85897552E91A}" name="Column1505"/>
    <tableColumn id="1539" xr3:uid="{B42DC95A-C08E-4544-A249-F719E746F5A1}" name="Column1506"/>
    <tableColumn id="1540" xr3:uid="{83AC49C9-0510-4298-93C0-AB7B7CC830B1}" name="Column1507"/>
    <tableColumn id="1541" xr3:uid="{5B1A5590-967E-4B5F-BBF9-77066F31910C}" name="Column1508"/>
    <tableColumn id="1542" xr3:uid="{F0BB9D5D-86E8-4567-B8E7-FC5EE4DF5339}" name="Column1509"/>
    <tableColumn id="1543" xr3:uid="{7295E909-4580-47EA-804C-FEAD8735D6D4}" name="Column1510"/>
    <tableColumn id="1544" xr3:uid="{860394D1-11A8-409F-A0C4-41BD26963442}" name="Column1511"/>
    <tableColumn id="1545" xr3:uid="{CF61674A-90D5-4309-BABC-31AFA1170C33}" name="Column1512"/>
    <tableColumn id="1546" xr3:uid="{EE0D4892-5182-4328-99D8-EAC016063D43}" name="Column1513"/>
    <tableColumn id="1547" xr3:uid="{36E8AAAF-F61B-4A21-90D3-25BD2E68FB8D}" name="Column1514"/>
    <tableColumn id="1548" xr3:uid="{6CA47D9B-D13B-4B08-969F-D6EF38A51D71}" name="Column1515"/>
    <tableColumn id="1549" xr3:uid="{1DE7337E-A5FB-410C-AB55-817BA9EC2EB2}" name="Column1516"/>
    <tableColumn id="1550" xr3:uid="{0ED7636D-7126-4C10-9AE7-7B048B0F3A4B}" name="Column1517"/>
    <tableColumn id="1551" xr3:uid="{2DFDC7B5-37AF-442B-9E97-9CFDED2E0BFB}" name="Column1518"/>
    <tableColumn id="1552" xr3:uid="{2923A0C1-B816-422A-869F-5CC3A6F2D665}" name="Column1519"/>
    <tableColumn id="1553" xr3:uid="{77EE80DD-7A7E-4D0A-97EE-30D3E0147B8F}" name="Column1520"/>
    <tableColumn id="1554" xr3:uid="{6DF6D9E3-013D-49CB-A148-F2E03D831A59}" name="Column1521"/>
    <tableColumn id="1555" xr3:uid="{AB9ED651-A433-4E5D-A66A-22175A927A00}" name="Column1522"/>
    <tableColumn id="1556" xr3:uid="{C7865917-942A-4FD8-88DB-5859DCDB200A}" name="Column1523"/>
    <tableColumn id="1557" xr3:uid="{F2256B19-5786-46CB-A161-7C20916D004A}" name="Column1524"/>
    <tableColumn id="1558" xr3:uid="{9DEE3CFE-A392-41AB-B966-4F49FBD7B7C0}" name="Column1525"/>
    <tableColumn id="1559" xr3:uid="{78B90E37-F665-40EF-91FD-88A142CF6174}" name="Column1526"/>
    <tableColumn id="1560" xr3:uid="{E04797CB-825A-4C56-9701-F912B5429B05}" name="Column1527"/>
    <tableColumn id="1561" xr3:uid="{2B6BE385-79AE-4ED2-81DB-39C21F9B623C}" name="Column1528"/>
    <tableColumn id="1562" xr3:uid="{5F077509-C3BD-4AE5-9691-909110FD4DDD}" name="Column1529"/>
    <tableColumn id="1563" xr3:uid="{054AD4D3-6CBA-4881-832B-97F560BA5625}" name="Column1530"/>
    <tableColumn id="1564" xr3:uid="{A8B4CBA8-9951-4349-B748-FBD5ECFDC3C0}" name="Column1531"/>
    <tableColumn id="1565" xr3:uid="{611A093A-3B8B-434B-8DE9-347E0AC7BD54}" name="Column1532"/>
    <tableColumn id="1566" xr3:uid="{16F037D6-E977-4AFF-8FC8-2F253B7A647B}" name="Column1533"/>
    <tableColumn id="1567" xr3:uid="{A5DFB2C5-714D-43BC-84B3-FDECE9D0D4BB}" name="Column1534"/>
    <tableColumn id="1568" xr3:uid="{1E7531E8-963D-4166-AF83-673AB77EC0CC}" name="Column1535"/>
    <tableColumn id="1569" xr3:uid="{56D5F35C-1128-407A-8D4A-B2898F7E1B95}" name="Column1536"/>
    <tableColumn id="1570" xr3:uid="{BED43381-B414-460E-9514-CE9B6086CD35}" name="Column1537"/>
    <tableColumn id="1571" xr3:uid="{9E80355E-358D-40AA-ACBD-421CC4E7FF91}" name="Column1538"/>
    <tableColumn id="1572" xr3:uid="{84A0B4DB-AF77-4BBB-AF97-6FA0AB73F338}" name="Column1539"/>
    <tableColumn id="1573" xr3:uid="{E2D8B972-E0B8-400C-BE93-E3104C766274}" name="Column1540"/>
    <tableColumn id="1574" xr3:uid="{B251EBAC-9513-46B1-B10B-C33AABFD6385}" name="Column1541"/>
    <tableColumn id="1575" xr3:uid="{46D40F9B-FC2D-4565-9B93-7462BCA99F24}" name="Column1542"/>
    <tableColumn id="1576" xr3:uid="{7D06E513-0E0A-4981-9DE6-72F16B78B09E}" name="Column1543"/>
    <tableColumn id="1577" xr3:uid="{902C14EE-4C76-4161-AB8B-698F7D7A9F92}" name="Column1544"/>
    <tableColumn id="1578" xr3:uid="{1FD6B16D-D687-4221-9D24-DD9A7AD02F79}" name="Column1545"/>
    <tableColumn id="1579" xr3:uid="{6C89CAB7-5CD5-4A05-919A-E8743F36CE4B}" name="Column1546"/>
    <tableColumn id="1580" xr3:uid="{0E39DCB5-5B99-4516-9D99-BBB86A4C9249}" name="Column1547"/>
    <tableColumn id="1581" xr3:uid="{382D4BFF-5267-4D1A-9014-28EDFA639194}" name="Column1548"/>
    <tableColumn id="1582" xr3:uid="{394443F5-D375-4FFB-8D67-19CA7937C1DF}" name="Column1549"/>
    <tableColumn id="1583" xr3:uid="{2EDD3AEF-3E7E-4F19-815B-BB98F3D962C8}" name="Column1550"/>
    <tableColumn id="1584" xr3:uid="{0419878C-9EB0-4394-AD15-D8430E9A77B8}" name="Column1551"/>
    <tableColumn id="1585" xr3:uid="{AF777164-5EDE-4626-BC3C-222EC43D35E5}" name="Column1552"/>
    <tableColumn id="1586" xr3:uid="{303EE52D-39EB-40A3-B47D-5DA9E43244C1}" name="Column1553"/>
    <tableColumn id="1587" xr3:uid="{40F4D997-28E1-4973-896E-C5B838060B3A}" name="Column1554"/>
    <tableColumn id="1588" xr3:uid="{EB0F3E54-B75E-47BD-B3AC-EE7C6D80B805}" name="Column1555"/>
    <tableColumn id="1589" xr3:uid="{E33758B5-46C4-4190-B28B-2602180BB18B}" name="Column1556"/>
    <tableColumn id="1590" xr3:uid="{8261C017-1828-4CED-89B1-5B510B7C51D0}" name="Column1557"/>
    <tableColumn id="1591" xr3:uid="{002FB6DC-8C71-4D84-BF6E-273EBCE427CC}" name="Column1558"/>
    <tableColumn id="1592" xr3:uid="{DFE78EFB-5F07-467D-86A1-64A64522A2EA}" name="Column1559"/>
    <tableColumn id="1593" xr3:uid="{325A43E4-A196-46F3-A9DD-9674A52A2F53}" name="Column1560"/>
    <tableColumn id="1594" xr3:uid="{B32677DB-CA3A-4E02-9670-EE83BD272B51}" name="Column1561"/>
    <tableColumn id="1595" xr3:uid="{285D5125-ADA6-4A92-BC51-2DD4A7E90A60}" name="Column1562"/>
    <tableColumn id="1596" xr3:uid="{C077BE3F-737B-47A3-8401-B0569EF93637}" name="Column1563"/>
    <tableColumn id="1597" xr3:uid="{C8B0904F-7058-4047-BDF6-2E6D89978187}" name="Column1564"/>
    <tableColumn id="1598" xr3:uid="{7612EEC7-0F96-42B4-A367-30FD26A4A34F}" name="Column1565"/>
    <tableColumn id="1599" xr3:uid="{A117373E-F914-4BCF-B583-129393CD96BE}" name="Column1566"/>
    <tableColumn id="1600" xr3:uid="{82FB42D2-3675-410E-8B59-7535DA7C17E8}" name="Column1567"/>
    <tableColumn id="1601" xr3:uid="{B6BCB540-F646-47AF-BB64-3DC5D1859EF9}" name="Column1568"/>
    <tableColumn id="1602" xr3:uid="{89A53EEE-D92F-47F3-9114-33EA18B16A85}" name="Column1569"/>
    <tableColumn id="1603" xr3:uid="{4BD7FD6F-6AC3-4B89-8F4D-36E4252BD450}" name="Column1570"/>
    <tableColumn id="1604" xr3:uid="{1AC0A833-128F-4A0B-A313-FFFCBF977C48}" name="Column1571"/>
    <tableColumn id="1605" xr3:uid="{89BD679D-9CD3-42B0-B800-D55E3474E5F0}" name="Column1572"/>
    <tableColumn id="1606" xr3:uid="{CD9C4614-4D1B-4C49-B003-B6495983F166}" name="Column1573"/>
    <tableColumn id="1607" xr3:uid="{D232E14E-D6DC-417B-901A-E265C215A0F0}" name="Column1574"/>
    <tableColumn id="1608" xr3:uid="{E68CBB28-BD62-4BC2-B5B0-674B3E6B001A}" name="Column1575"/>
    <tableColumn id="1609" xr3:uid="{F953CB18-FEC9-4D39-9338-5959383633CE}" name="Column1576"/>
    <tableColumn id="1610" xr3:uid="{7DFBC9B9-0976-4AA8-B1C8-57D7016AB2DA}" name="Column1577"/>
    <tableColumn id="1611" xr3:uid="{8CEF8532-A591-495A-9453-BB3FA9A26266}" name="Column1578"/>
    <tableColumn id="1612" xr3:uid="{2F2C0F04-3CB3-4B81-A533-792DD50CA780}" name="Column1579"/>
    <tableColumn id="1613" xr3:uid="{DCD57B48-C919-446C-9068-8A08E504EAA3}" name="Column1580"/>
    <tableColumn id="1614" xr3:uid="{52104F3B-9537-4454-9C36-3E352564BE4F}" name="Column1581"/>
    <tableColumn id="1615" xr3:uid="{A7A57710-5F0D-4295-81E6-2793113606A2}" name="Column1582"/>
    <tableColumn id="1616" xr3:uid="{D1477F73-4F44-42EF-A03E-F9144605C880}" name="Column1583"/>
    <tableColumn id="1617" xr3:uid="{C26F0201-EFE1-40EE-8DBE-F7FF6969CEC4}" name="Column1584"/>
    <tableColumn id="1618" xr3:uid="{933ED2E0-B9E2-464A-8560-98F855898DFD}" name="Column1585"/>
    <tableColumn id="1619" xr3:uid="{E581583D-F29F-4290-9271-FDD8D30DFB97}" name="Column1586"/>
    <tableColumn id="1620" xr3:uid="{CABE4CE3-5280-4667-B3B5-927470D5C024}" name="Column1587"/>
    <tableColumn id="1621" xr3:uid="{90182801-2A6A-4995-83A8-E9D590D85D0D}" name="Column1588"/>
    <tableColumn id="1622" xr3:uid="{6A142099-C658-4EC0-94F5-48FB58B4169C}" name="Column1589"/>
    <tableColumn id="1623" xr3:uid="{14138B70-F152-4C7A-B610-9C00E4C2268B}" name="Column1590"/>
    <tableColumn id="1624" xr3:uid="{E2A9FD38-11E5-46B1-9A6F-92F97D8358FC}" name="Column1591"/>
    <tableColumn id="1625" xr3:uid="{6B15EFBD-1E5B-4972-9205-A5B5EDE4B3FE}" name="Column1592"/>
    <tableColumn id="1626" xr3:uid="{3D712E13-15F5-4646-82CB-7E0310B351D0}" name="Column1593"/>
    <tableColumn id="1627" xr3:uid="{5D9DBA64-718F-417B-88ED-139FD7B69AA5}" name="Column1594"/>
    <tableColumn id="1628" xr3:uid="{CEA4A6EE-C62C-4FF6-B03E-AD627FCE9297}" name="Column1595"/>
    <tableColumn id="1629" xr3:uid="{8BB7F600-2D51-420F-9F9D-5BFEB321516D}" name="Column1596"/>
    <tableColumn id="1630" xr3:uid="{5960EE7C-EC45-4D65-BA89-4CF4823824EB}" name="Column1597"/>
    <tableColumn id="1631" xr3:uid="{DD473DFE-48BB-486F-B03F-D8F2CFF61DE9}" name="Column1598"/>
    <tableColumn id="1632" xr3:uid="{C9928307-84B7-410A-915C-A6F536B4421C}" name="Column1599"/>
    <tableColumn id="1633" xr3:uid="{0B81ADBE-89DF-463D-9597-985037ADA880}" name="Column1600"/>
    <tableColumn id="1634" xr3:uid="{E398BF51-0E9A-481E-A701-929E94B4E651}" name="Column1601"/>
    <tableColumn id="1635" xr3:uid="{053A08B6-640B-4336-A144-A1CB512CE0D0}" name="Column1602"/>
    <tableColumn id="1636" xr3:uid="{6FC9EC0B-2861-4FB0-81CC-897734A48F03}" name="Column1603"/>
    <tableColumn id="1637" xr3:uid="{F31A0BF5-FD1A-43DC-A68A-B793DDA5DB15}" name="Column1604"/>
    <tableColumn id="1638" xr3:uid="{B78F51E1-2A0F-4349-BC2C-7C00A813E963}" name="Column1605"/>
    <tableColumn id="1639" xr3:uid="{3F1DEB87-B42A-4477-9B9E-7EECC1CD879B}" name="Column1606"/>
    <tableColumn id="1640" xr3:uid="{3CD01BA1-EBD1-4D6A-A0E0-3FA7B8E5EC15}" name="Column1607"/>
    <tableColumn id="1641" xr3:uid="{D6CB04A9-D0BA-483D-9731-7369037366D8}" name="Column1608"/>
    <tableColumn id="1642" xr3:uid="{A5219361-1399-480E-95DC-ED3DBC9C3965}" name="Column1609"/>
    <tableColumn id="1643" xr3:uid="{095C59E4-7DDA-463C-9547-44851EEEA985}" name="Column1610"/>
    <tableColumn id="1644" xr3:uid="{11401BDA-6AD6-4AEE-8F87-20CD60AA0376}" name="Column1611"/>
    <tableColumn id="1645" xr3:uid="{3AFBBED2-6513-492C-8494-E7C577DCC049}" name="Column1612"/>
    <tableColumn id="1646" xr3:uid="{ADC08803-938C-4CD7-B73D-3F9D65EB0098}" name="Column1613"/>
    <tableColumn id="1647" xr3:uid="{9045A494-5A31-4136-AE05-C1BE933CB980}" name="Column1614"/>
    <tableColumn id="1648" xr3:uid="{A13EED9C-E104-4D5C-8B68-E2FAF68019FA}" name="Column1615"/>
    <tableColumn id="1649" xr3:uid="{E73EE926-19C0-406D-B331-22A6282285A7}" name="Column1616"/>
    <tableColumn id="1650" xr3:uid="{BDE15228-813D-4322-92FA-6588BDB45B80}" name="Column1617"/>
    <tableColumn id="1651" xr3:uid="{879B562F-8608-4D70-9D46-3148B3E36F93}" name="Column1618"/>
    <tableColumn id="1652" xr3:uid="{7366E4CB-269E-40BD-889B-6FC0B85DEBA0}" name="Column1619"/>
    <tableColumn id="1653" xr3:uid="{106F3835-35C7-47CF-B45A-B98645E364F6}" name="Column1620"/>
    <tableColumn id="1654" xr3:uid="{D56FB98E-665B-4F06-8DC1-DBDA06BA6724}" name="Column1621"/>
    <tableColumn id="1655" xr3:uid="{5C257AED-D7FC-4513-955E-7193940CA4B0}" name="Column1622"/>
    <tableColumn id="1656" xr3:uid="{C47B935F-1F03-444C-B529-AAE1FA7D157F}" name="Column1623"/>
    <tableColumn id="1657" xr3:uid="{9B4B2557-37C0-45D6-90C4-6B8946146368}" name="Column1624"/>
    <tableColumn id="1658" xr3:uid="{244DD01F-28C8-4E08-9999-FE3620D5A1FB}" name="Column1625"/>
    <tableColumn id="1659" xr3:uid="{0E97A865-3195-4E17-ADC1-2BF98FF29A4A}" name="Column1626"/>
    <tableColumn id="1660" xr3:uid="{DFC44A2D-0B89-4CEA-BC12-842DAE6D7F4F}" name="Column1627"/>
    <tableColumn id="1661" xr3:uid="{29E71AE4-67F1-4246-A595-D8DC3FDDA7EC}" name="Column1628"/>
    <tableColumn id="1662" xr3:uid="{B86B249C-C579-494B-8158-75A8D7B7F495}" name="Column1629"/>
    <tableColumn id="1663" xr3:uid="{42BDED8F-F892-454A-ADF3-AB650D8A4092}" name="Column1630"/>
    <tableColumn id="1664" xr3:uid="{E7218129-7375-4390-AD34-AA45B32F2D68}" name="Column1631"/>
    <tableColumn id="1665" xr3:uid="{8151ABC4-185F-494B-A60E-0B8BD33BF6EE}" name="Column1632"/>
    <tableColumn id="1666" xr3:uid="{CE0CD1E9-D1BC-4719-98A1-815EC9873339}" name="Column1633"/>
    <tableColumn id="1667" xr3:uid="{23B3D07D-5100-481B-9E5F-63820AB58F61}" name="Column1634"/>
    <tableColumn id="1668" xr3:uid="{A1CB25F4-7CF2-47A4-9D3B-6D7544057342}" name="Column1635"/>
    <tableColumn id="1669" xr3:uid="{0B620302-E2AC-4A4E-89F9-E5689B1A31A6}" name="Column1636"/>
    <tableColumn id="1670" xr3:uid="{F8D838E9-AD27-4BE8-A381-6F3EC0D3CFE3}" name="Column1637"/>
    <tableColumn id="1671" xr3:uid="{B6C23E08-D50A-437B-A852-9891B80BED23}" name="Column1638"/>
    <tableColumn id="1672" xr3:uid="{B7BC0FCE-A40A-4E3F-913E-312D07C65E0D}" name="Column1639"/>
    <tableColumn id="1673" xr3:uid="{CDAFBFB1-8F69-430B-BCDA-3C18D79CC164}" name="Column1640"/>
    <tableColumn id="1674" xr3:uid="{81293F1F-978D-4AD3-9542-749028121F93}" name="Column1641"/>
    <tableColumn id="1675" xr3:uid="{31EC5EF4-A3BE-4482-995A-1F908F60EF58}" name="Column1642"/>
    <tableColumn id="1676" xr3:uid="{3E3C8729-93C1-47EC-9778-0AD4D73D7EB7}" name="Column1643"/>
    <tableColumn id="1677" xr3:uid="{BCC3BC1C-6117-4402-9114-B9AD71BDEC3D}" name="Column1644"/>
    <tableColumn id="1678" xr3:uid="{4603A1E2-7F60-4CCD-BC4F-DC2B4D448BF3}" name="Column1645"/>
    <tableColumn id="1679" xr3:uid="{2D2320D4-47F5-41AF-9492-6B75FE9F60E6}" name="Column1646"/>
    <tableColumn id="1680" xr3:uid="{068BF246-0A51-42FE-AA7B-1BB427EE126C}" name="Column1647"/>
    <tableColumn id="1681" xr3:uid="{D26643D2-0DFB-468A-93BF-0DCDE017F7BF}" name="Column1648"/>
    <tableColumn id="1682" xr3:uid="{B0BB153C-3777-448E-9997-E62A8C8FEEC1}" name="Column1649"/>
    <tableColumn id="1683" xr3:uid="{FE1FA290-205B-47A6-BDB7-B9682057719A}" name="Column1650"/>
    <tableColumn id="1684" xr3:uid="{4292CA1D-EA65-4CF7-BA7F-442BCCB1D4FC}" name="Column1651"/>
    <tableColumn id="1685" xr3:uid="{8138C8E8-560B-4129-A814-34464FFD5CE7}" name="Column1652"/>
    <tableColumn id="1686" xr3:uid="{45E708D3-B760-4846-B668-881BDC850657}" name="Column1653"/>
    <tableColumn id="1687" xr3:uid="{3489EE82-8514-4FB3-89FC-9F3DF6CECE2A}" name="Column1654"/>
    <tableColumn id="1688" xr3:uid="{BAE017F6-D3B9-4D16-B588-2692AD04E252}" name="Column1655"/>
    <tableColumn id="1689" xr3:uid="{1EA482E7-65BA-40D4-B76F-F972099C9132}" name="Column1656"/>
    <tableColumn id="1690" xr3:uid="{09F7E608-BA5D-4348-BA4E-29142BD1B572}" name="Column1657"/>
    <tableColumn id="1691" xr3:uid="{81C4736C-69A2-4369-92D0-C016714F1038}" name="Column1658"/>
    <tableColumn id="1692" xr3:uid="{567B17C6-1509-450E-B996-E1182ADFF88B}" name="Column1659"/>
    <tableColumn id="1693" xr3:uid="{6005B7F7-6376-4AC9-BBEF-4A21BAB1DF22}" name="Column1660"/>
    <tableColumn id="1694" xr3:uid="{803C47B4-269E-40A0-B0EB-0249044B1737}" name="Column1661"/>
    <tableColumn id="1695" xr3:uid="{19117ADB-A532-4ADC-88E4-376E9D71DDD0}" name="Column1662"/>
    <tableColumn id="1696" xr3:uid="{329F43E2-1584-4BD6-B04E-DF955BB72084}" name="Column1663"/>
    <tableColumn id="1697" xr3:uid="{BF121574-E29E-4B48-9A86-176EB8497B06}" name="Column1664"/>
    <tableColumn id="1698" xr3:uid="{DA307333-723E-445E-B6CB-63D6C3442B46}" name="Column1665"/>
    <tableColumn id="1699" xr3:uid="{35850A08-AB80-4120-9A07-72083B6B50B1}" name="Column1666"/>
    <tableColumn id="1700" xr3:uid="{A07D83A5-E631-4881-9303-284A03976314}" name="Column1667"/>
    <tableColumn id="1701" xr3:uid="{4595573B-4B20-462F-AF85-B01E304BFBD8}" name="Column1668"/>
    <tableColumn id="1702" xr3:uid="{9C13B178-1220-4423-B73F-21595FED1D9A}" name="Column1669"/>
    <tableColumn id="1703" xr3:uid="{410D1D4D-F888-4770-9D7B-22EEBEF62359}" name="Column1670"/>
    <tableColumn id="1704" xr3:uid="{59503BFF-67C0-4D60-BB47-A653FAD33CF9}" name="Column1671"/>
    <tableColumn id="1705" xr3:uid="{60FC29A9-7C1A-4F21-B185-5A0C67C65C2C}" name="Column1672"/>
    <tableColumn id="1706" xr3:uid="{51B0D96E-0B37-4C5C-AC2B-0DDD85C57431}" name="Column1673"/>
    <tableColumn id="1707" xr3:uid="{4E8C5F6A-1A45-4A6F-AE40-E5FEDCE00095}" name="Column1674"/>
    <tableColumn id="1708" xr3:uid="{73293BCE-AEA4-46CC-8A84-A62EEE15DE14}" name="Column1675"/>
    <tableColumn id="1709" xr3:uid="{5DC1635C-F3AD-4460-A46D-BC29E8B9DC35}" name="Column1676"/>
    <tableColumn id="1710" xr3:uid="{B800802D-E3D9-4AE4-A0D1-C02B5F43160B}" name="Column1677"/>
    <tableColumn id="1711" xr3:uid="{99785AEF-56F6-4980-A078-8709584DA6B9}" name="Column1678"/>
    <tableColumn id="1712" xr3:uid="{425A5F23-EAA4-40B1-A6C0-00BC99376BD3}" name="Column1679"/>
    <tableColumn id="1713" xr3:uid="{0279230E-7A48-4F13-BCBE-AAD79CD2C04D}" name="Column1680"/>
    <tableColumn id="1714" xr3:uid="{A7DB2EEA-8276-460C-A52D-73E642DA6A00}" name="Column1681"/>
    <tableColumn id="1715" xr3:uid="{746E0C5D-279F-4172-9131-66E3CB278DD7}" name="Column1682"/>
    <tableColumn id="1716" xr3:uid="{3631C381-841A-4C67-8BE9-C59479F4F960}" name="Column1683"/>
    <tableColumn id="1717" xr3:uid="{898AEB90-7DCA-4055-9D58-2B1E8304F5C9}" name="Column1684"/>
    <tableColumn id="1718" xr3:uid="{BD5D086E-3C5E-47E9-9B46-D33CE30E4944}" name="Column1685"/>
    <tableColumn id="1719" xr3:uid="{2779EC9C-4C5D-495D-990F-19F8D84012CC}" name="Column1686"/>
    <tableColumn id="1720" xr3:uid="{A6227728-BE4B-4BEC-A844-A063DA5E0021}" name="Column1687"/>
    <tableColumn id="1721" xr3:uid="{99C8E676-D828-4235-B85E-57FFC67F662E}" name="Column1688"/>
    <tableColumn id="1722" xr3:uid="{EE6CAEF5-BDD7-44BE-A6E7-055C33073870}" name="Column1689"/>
    <tableColumn id="1723" xr3:uid="{47499E18-2D36-422A-ADCD-E828DBE16F2B}" name="Column1690"/>
    <tableColumn id="1724" xr3:uid="{1F138D3A-2D18-4A36-8EF5-F3B0249AFB93}" name="Column1691"/>
    <tableColumn id="1725" xr3:uid="{D18C9125-9EB4-4C95-AB78-59050EBB78F7}" name="Column1692"/>
    <tableColumn id="1726" xr3:uid="{A91887F1-45C4-4BEB-90CA-BC658693D998}" name="Column1693"/>
    <tableColumn id="1727" xr3:uid="{52E584C0-A702-4199-BED1-C1E94516E15E}" name="Column1694"/>
    <tableColumn id="1728" xr3:uid="{AC349AAF-40DC-4168-BB7D-69EF4BF73E75}" name="Column1695"/>
    <tableColumn id="1729" xr3:uid="{F62BCED0-807C-464F-BEBA-0DD17EA633F9}" name="Column1696"/>
    <tableColumn id="1730" xr3:uid="{E89F7E47-5531-4A4D-83D0-67432D4224CA}" name="Column1697"/>
    <tableColumn id="1731" xr3:uid="{9C3F7CBC-A773-4A9B-AED2-F56494F0BB24}" name="Column1698"/>
    <tableColumn id="1732" xr3:uid="{B2CD6403-BC4D-4252-B3B1-DB452985B092}" name="Column1699"/>
    <tableColumn id="1733" xr3:uid="{1C849859-A3A5-455B-978A-755796E08891}" name="Column1700"/>
    <tableColumn id="1734" xr3:uid="{85F12E32-0BE7-4602-9511-854C49C970A8}" name="Column1701"/>
    <tableColumn id="1735" xr3:uid="{3253DDED-170C-4274-94D9-E21639162F07}" name="Column1702"/>
    <tableColumn id="1736" xr3:uid="{9F9BAE4C-79C1-4304-A2E7-974BE82E7AEA}" name="Column1703"/>
    <tableColumn id="1737" xr3:uid="{DB8844AE-129F-4108-8BD7-D35E686B0C56}" name="Column1704"/>
    <tableColumn id="1738" xr3:uid="{FCF10F7D-A0CF-47A6-B5A1-DC48E875C5A9}" name="Column1705"/>
    <tableColumn id="1739" xr3:uid="{09BCF8D6-40C4-4CB9-B45A-0BF1651C0036}" name="Column1706"/>
    <tableColumn id="1740" xr3:uid="{03F75874-1FF2-428B-A6AB-380AEB7DCA69}" name="Column1707"/>
    <tableColumn id="1741" xr3:uid="{7E426BF9-06B8-45A7-AAB4-3B8DFA505196}" name="Column1708"/>
    <tableColumn id="1742" xr3:uid="{3A5B5044-9EC0-4282-8AF1-9A4BCFA22054}" name="Column1709"/>
    <tableColumn id="1743" xr3:uid="{C5149F42-61D5-44BA-8372-C28BC2C2C3C4}" name="Column1710"/>
    <tableColumn id="1744" xr3:uid="{E1C25230-BCF5-4CEF-9590-A98F9F07E3FA}" name="Column1711"/>
    <tableColumn id="1745" xr3:uid="{70E9F1A2-986D-49F7-A2D4-30200D311030}" name="Column1712"/>
    <tableColumn id="1746" xr3:uid="{A5EC7729-DC47-4684-82B5-75EDE5DA1CF4}" name="Column1713"/>
    <tableColumn id="1747" xr3:uid="{44767B00-B79E-40EE-8B36-C887128379CD}" name="Column1714"/>
    <tableColumn id="1748" xr3:uid="{3F99215A-0AB9-435C-B8F4-CCC17A1E83F2}" name="Column1715"/>
    <tableColumn id="1749" xr3:uid="{DFB88E48-9160-4EA3-9FF2-C8B57DD7E4CE}" name="Column1716"/>
    <tableColumn id="1750" xr3:uid="{3141554F-46CB-4F35-A0A9-FEB0B19EEF5E}" name="Column1717"/>
    <tableColumn id="1751" xr3:uid="{524EFC08-7FD3-481D-9D17-D6EAB5025104}" name="Column1718"/>
    <tableColumn id="1752" xr3:uid="{98D90225-19C4-487F-85EF-6CDEA6C190AA}" name="Column1719"/>
    <tableColumn id="1753" xr3:uid="{CE87AAED-8874-4B60-B91C-56A8BBC01584}" name="Column1720"/>
    <tableColumn id="1754" xr3:uid="{46C3C654-E2CB-4F53-BF95-6BA54FFB17BE}" name="Column1721"/>
    <tableColumn id="1755" xr3:uid="{A3C65FE0-31B1-465E-B503-7A9C1E9FB596}" name="Column1722"/>
    <tableColumn id="1756" xr3:uid="{3DBF420B-A056-47B5-B735-9A8C0421824E}" name="Column1723"/>
    <tableColumn id="1757" xr3:uid="{7EA0BA80-437E-4A30-B720-88B1DBDD04BF}" name="Column1724"/>
    <tableColumn id="1758" xr3:uid="{9158456A-EE9E-4EE9-929E-2B1803D2E21C}" name="Column1725"/>
    <tableColumn id="1759" xr3:uid="{099D6A51-E187-4F77-9B03-01933F691654}" name="Column1726"/>
    <tableColumn id="1760" xr3:uid="{324B5CC8-6FC7-4FF2-AD76-C380D114BF76}" name="Column1727"/>
    <tableColumn id="1761" xr3:uid="{763B8471-6EC8-4AD5-AFB4-7DF229FD22A0}" name="Column1728"/>
    <tableColumn id="1762" xr3:uid="{1639DE14-59CC-4A83-A1E4-FF753F70144B}" name="Column1729"/>
    <tableColumn id="1763" xr3:uid="{09F376C5-8B64-42D5-91D1-949612637700}" name="Column1730"/>
    <tableColumn id="1764" xr3:uid="{F54DAFE2-4B72-491C-B7AC-46A2966F86BC}" name="Column1731"/>
    <tableColumn id="1765" xr3:uid="{DD436B91-F8E5-4702-9F3C-08BD2FB319FB}" name="Column1732"/>
    <tableColumn id="1766" xr3:uid="{C3A8FB6E-AD7F-4AD9-AEC7-70360E26F0CC}" name="Column1733"/>
    <tableColumn id="1767" xr3:uid="{4E02B9C7-DCF2-4426-8E17-32B4CAB48ABF}" name="Column1734"/>
    <tableColumn id="1768" xr3:uid="{58853E02-F97C-41EA-A45C-26C32515259F}" name="Column1735"/>
    <tableColumn id="1769" xr3:uid="{BC2BD66D-D089-4212-B666-064AA2A893EE}" name="Column1736"/>
    <tableColumn id="1770" xr3:uid="{C3FED9F2-1F3B-428E-99AD-C45445C9D3C5}" name="Column1737"/>
    <tableColumn id="1771" xr3:uid="{A779117B-FAF4-4A0D-8907-AE0924A259E6}" name="Column1738"/>
    <tableColumn id="1772" xr3:uid="{82F50840-92A8-4A2A-BC13-C563E0383323}" name="Column1739"/>
    <tableColumn id="1773" xr3:uid="{34C012EE-24B7-4ACA-9FC8-5019AD8603D1}" name="Column1740"/>
    <tableColumn id="1774" xr3:uid="{BE93DC3A-8DE6-404B-8069-A99A23D34C93}" name="Column1741"/>
    <tableColumn id="1775" xr3:uid="{9D5C54E6-D2EC-4BB1-9A2C-DFADD7A6FA18}" name="Column1742"/>
    <tableColumn id="1776" xr3:uid="{D681142E-E5E6-444F-B129-894748EE550A}" name="Column1743"/>
    <tableColumn id="1777" xr3:uid="{5C902615-D128-4616-85D8-29FBACC1C600}" name="Column1744"/>
    <tableColumn id="1778" xr3:uid="{5A03DA6B-99A4-47EF-BA7F-87218F8D8798}" name="Column1745"/>
    <tableColumn id="1779" xr3:uid="{135A0059-A96E-4AD5-82B1-7CBD2CDAC323}" name="Column1746"/>
    <tableColumn id="1780" xr3:uid="{0142AD31-9671-4EDE-8131-FD32424B72D0}" name="Column1747"/>
    <tableColumn id="1781" xr3:uid="{BF623184-15C5-40F9-8C02-4718A2075E1D}" name="Column1748"/>
    <tableColumn id="1782" xr3:uid="{B0A10B65-0F63-43D1-B531-C4DC49E2CEE7}" name="Column1749"/>
    <tableColumn id="1783" xr3:uid="{82426F69-130E-4CE4-8D3F-1EBA17C3FA2E}" name="Column1750"/>
    <tableColumn id="1784" xr3:uid="{E0498892-E8DE-4DC5-BC37-56F95CE43C93}" name="Column1751"/>
    <tableColumn id="1785" xr3:uid="{7618B370-A6EC-4D65-A219-5270A4DFB8B0}" name="Column1752"/>
    <tableColumn id="1786" xr3:uid="{9D6B364D-C13C-4112-BF2B-0DC8C1C71EA3}" name="Column1753"/>
    <tableColumn id="1787" xr3:uid="{EECA84A1-A9DD-4ACB-9F46-E61B7C471BC5}" name="Column1754"/>
    <tableColumn id="1788" xr3:uid="{A4678D0D-2BE9-49EE-AED1-FD816BF2BFE4}" name="Column1755"/>
    <tableColumn id="1789" xr3:uid="{C30FE988-E939-4A4A-B716-750C314A92D3}" name="Column1756"/>
    <tableColumn id="1790" xr3:uid="{88A1768E-9A70-4066-AC87-441DC380B17A}" name="Column1757"/>
    <tableColumn id="1791" xr3:uid="{C400F0D5-5E5D-4474-A364-CDCBFC25BB8F}" name="Column1758"/>
    <tableColumn id="1792" xr3:uid="{A2FDB3CF-5CC7-4199-8BE3-841728177A9A}" name="Column1759"/>
    <tableColumn id="1793" xr3:uid="{1EED30F2-7B6C-4168-B181-4183ACCD26A8}" name="Column1760"/>
    <tableColumn id="1794" xr3:uid="{3050235A-2232-42AA-B0FE-03E605BF8D20}" name="Column1761"/>
    <tableColumn id="1795" xr3:uid="{3E20C0CD-F924-429D-BCA7-13D63D0F8DBF}" name="Column1762"/>
    <tableColumn id="1796" xr3:uid="{3294BBC2-99A8-45A2-B83C-8FDBA97187CE}" name="Column1763"/>
    <tableColumn id="1797" xr3:uid="{1D511677-95DE-4ABB-8218-2756547DD3CB}" name="Column1764"/>
    <tableColumn id="1798" xr3:uid="{F5D55557-E2E5-41EF-A1DD-B4934A7FC925}" name="Column1765"/>
    <tableColumn id="1799" xr3:uid="{416EA90A-AAF1-4644-8E91-E1BF8B518300}" name="Column1766"/>
    <tableColumn id="1800" xr3:uid="{AA4DE318-8620-4EBA-B60B-4DFE7FD212C4}" name="Column1767"/>
    <tableColumn id="1801" xr3:uid="{0480B482-1493-4370-9F34-7DD928AECB6F}" name="Column1768"/>
    <tableColumn id="1802" xr3:uid="{F9BACF9F-F09C-42BE-8DC1-13529C0E75C2}" name="Column1769"/>
    <tableColumn id="1803" xr3:uid="{35652C43-AC9C-40AD-A8E7-6B2743D58D7D}" name="Column1770"/>
    <tableColumn id="1804" xr3:uid="{84260DFE-A82C-4927-8F46-ECADB73A0F61}" name="Column1771"/>
    <tableColumn id="1805" xr3:uid="{3CD6EE59-38B6-4EB2-953C-44B62236A111}" name="Column1772"/>
    <tableColumn id="1806" xr3:uid="{758946D8-0DC6-4C3D-AF60-C811F1BDEF03}" name="Column1773"/>
    <tableColumn id="1807" xr3:uid="{61DD99F2-458A-4401-8F9A-84E40ED10271}" name="Column1774"/>
    <tableColumn id="1808" xr3:uid="{D5CED30F-752D-461F-AFE5-5EDEB92EEE8F}" name="Column1775"/>
    <tableColumn id="1809" xr3:uid="{5113144F-2E6C-4A68-9C90-C35DE8A784F5}" name="Column1776"/>
    <tableColumn id="1810" xr3:uid="{CACC7662-06E9-44DF-990C-10CF20A5E5A0}" name="Column1777"/>
    <tableColumn id="1811" xr3:uid="{D5FE409E-F54F-49E2-BD1D-BF80F6E3B6CE}" name="Column1778"/>
    <tableColumn id="1812" xr3:uid="{7CFB69B3-0574-43D6-A855-32E06596B7F5}" name="Column1779"/>
    <tableColumn id="1813" xr3:uid="{07584F3D-4CCC-40C9-B546-5B5910CA14E8}" name="Column1780"/>
    <tableColumn id="1814" xr3:uid="{71F8BF51-1C17-446E-881D-B5DC087F0856}" name="Column1781"/>
    <tableColumn id="1815" xr3:uid="{99576F64-05D1-4CCA-84D3-5F0E3A32BF60}" name="Column1782"/>
    <tableColumn id="1816" xr3:uid="{61E13123-AA1F-48CE-9C76-20A6D7DD89D5}" name="Column1783"/>
    <tableColumn id="1817" xr3:uid="{A044ADE9-A0A0-4271-A526-E258FB2F9B91}" name="Column1784"/>
    <tableColumn id="1818" xr3:uid="{AF6C2648-F3CA-4CF6-B922-61124E1B5205}" name="Column1785"/>
    <tableColumn id="1819" xr3:uid="{784F5BE1-1AB2-44DE-B78B-5C51460384E2}" name="Column1786"/>
    <tableColumn id="1820" xr3:uid="{88B36100-A875-4552-90AE-61E0B8FBBB9B}" name="Column1787"/>
    <tableColumn id="1821" xr3:uid="{9EC1C9BF-D188-4873-9DE6-7B84BDF689F1}" name="Column1788"/>
    <tableColumn id="1822" xr3:uid="{E4B2364C-52FC-46D7-8439-5FA1DC04BC62}" name="Column1789"/>
    <tableColumn id="1823" xr3:uid="{05159DD7-C4C1-4214-A736-7777793D1E68}" name="Column1790"/>
    <tableColumn id="1824" xr3:uid="{AFA58BD9-1E77-4828-B86A-970CE1F696CA}" name="Column1791"/>
    <tableColumn id="1825" xr3:uid="{EB1FCF0A-D75D-4EF8-B235-345E58C09788}" name="Column1792"/>
    <tableColumn id="1826" xr3:uid="{848640B3-BA13-464E-A459-5EF8512B1F56}" name="Column1793"/>
    <tableColumn id="1827" xr3:uid="{73A3A2CC-C6C6-4D19-9FA7-9334215778F5}" name="Column1794"/>
    <tableColumn id="1828" xr3:uid="{EEEC4802-1763-484C-9847-E7E8816AF2D1}" name="Column1795"/>
    <tableColumn id="1829" xr3:uid="{D4577E12-8CAC-4B47-86E3-E315C7E88644}" name="Column1796"/>
    <tableColumn id="1830" xr3:uid="{C6B0282F-9BF0-4EEE-BF74-EABC9150F4CA}" name="Column1797"/>
    <tableColumn id="1831" xr3:uid="{B2102994-1E3F-4F2D-BC01-6799B5D73381}" name="Column1798"/>
    <tableColumn id="1832" xr3:uid="{02888BC1-5086-47BD-9A18-DB414739AB63}" name="Column1799"/>
    <tableColumn id="1833" xr3:uid="{29ACD8B1-2563-4109-9F91-3C582F8333CC}" name="Column1800"/>
    <tableColumn id="1834" xr3:uid="{8DB2BF86-71DB-42CC-A133-3AD77FF8D75C}" name="Column1801"/>
    <tableColumn id="1835" xr3:uid="{6F8778F4-4400-4504-BC9C-28C53962B6AC}" name="Column1802"/>
    <tableColumn id="1836" xr3:uid="{781CB75D-9125-4947-9B37-DC40FE3B5571}" name="Column1803"/>
    <tableColumn id="1837" xr3:uid="{07D60AF7-52B6-4C9C-B74E-E03FBB1E153C}" name="Column1804"/>
    <tableColumn id="1838" xr3:uid="{D44484C1-7FB0-439A-8F3C-3C4711FE46E7}" name="Column1805"/>
    <tableColumn id="1839" xr3:uid="{09B9F73F-6F56-4A38-971B-A12D2B316A6E}" name="Column1806"/>
    <tableColumn id="1840" xr3:uid="{1315DE11-ADD9-4A5C-873E-A55C280E7F34}" name="Column1807"/>
    <tableColumn id="1841" xr3:uid="{F9548F3A-F3BB-480F-A0CB-4AADC824BC4B}" name="Column1808"/>
    <tableColumn id="1842" xr3:uid="{0B9AA856-65C0-4990-8C5E-48FA7E361D0D}" name="Column1809"/>
    <tableColumn id="1843" xr3:uid="{00DC7D6D-8854-4B25-A41F-ED57C9B73B6D}" name="Column1810"/>
    <tableColumn id="1844" xr3:uid="{EFECE0EF-C1D3-4CEE-ABCA-7022380C4FB2}" name="Column1811"/>
    <tableColumn id="1845" xr3:uid="{7CB96CB3-CE2E-46F3-8A7D-A22F9E4D3C5A}" name="Column1812"/>
    <tableColumn id="1846" xr3:uid="{D345D820-92F8-4C69-989F-2FF36FD5F20B}" name="Column1813"/>
    <tableColumn id="1847" xr3:uid="{BF5023F5-F44E-45E1-AB5F-1AFB05137814}" name="Column1814"/>
    <tableColumn id="1848" xr3:uid="{ECB04F30-B66B-4247-A33F-2AF45AA5AD2C}" name="Column1815"/>
    <tableColumn id="1849" xr3:uid="{432B9AFB-5BA3-4FB0-B600-B0CE27E16965}" name="Column1816"/>
    <tableColumn id="1850" xr3:uid="{E311EB81-7C85-4FDC-85EC-8EAB7F5CC965}" name="Column1817"/>
    <tableColumn id="1851" xr3:uid="{B3C01523-1754-44E0-A58F-52DCA9EA4F82}" name="Column1818"/>
    <tableColumn id="1852" xr3:uid="{7274DD5A-C4D9-4ECA-B835-DE7D38D0FE44}" name="Column1819"/>
    <tableColumn id="1853" xr3:uid="{0B47C92E-3D59-4BE8-849C-EA2641DC9BDD}" name="Column1820"/>
    <tableColumn id="1854" xr3:uid="{A67FA8EB-B623-40E2-881E-0AE2534590DA}" name="Column1821"/>
    <tableColumn id="1855" xr3:uid="{153D63CC-9B39-4D11-BBAF-4E69E4272519}" name="Column1822"/>
    <tableColumn id="1856" xr3:uid="{F427F3D1-AA29-46C0-81E6-479D477B7C59}" name="Column1823"/>
    <tableColumn id="1857" xr3:uid="{0C5F2424-4194-4B93-BCDF-1AAAB8448276}" name="Column1824"/>
    <tableColumn id="1858" xr3:uid="{8EDB48E0-A0FA-498C-9D3B-97A136248404}" name="Column1825"/>
    <tableColumn id="1859" xr3:uid="{A96167C9-E977-4E3C-A687-7AE3C6EC6A66}" name="Column1826"/>
    <tableColumn id="1860" xr3:uid="{ABB5C318-B557-4B8A-BC71-3A48E1E1BFC8}" name="Column1827"/>
    <tableColumn id="1861" xr3:uid="{51D07224-F4C5-4D2D-B2EF-C6ED02C35F0F}" name="Column1828"/>
    <tableColumn id="1862" xr3:uid="{A49BAEDC-0207-4BA6-A771-EB0980F64F0C}" name="Column1829"/>
    <tableColumn id="1863" xr3:uid="{BDD9562A-8326-4A77-AC3F-E9A49915EC86}" name="Column1830"/>
    <tableColumn id="1864" xr3:uid="{3F275431-B328-4F00-BDB5-D9B51EA66EBA}" name="Column1831"/>
    <tableColumn id="1865" xr3:uid="{53F9E8AE-9EAC-4082-B61B-FF8E04E87378}" name="Column1832"/>
    <tableColumn id="1866" xr3:uid="{2D693129-22E7-45DA-8097-44D5C516567C}" name="Column1833"/>
    <tableColumn id="1867" xr3:uid="{B7DA6FB6-89DB-4C87-862B-E34EB8CB2A54}" name="Column1834"/>
    <tableColumn id="1868" xr3:uid="{FE0FCA50-783C-4996-A756-6A760B547612}" name="Column1835"/>
    <tableColumn id="1869" xr3:uid="{0FD45D95-85DC-4ED5-84E0-D830F9523F44}" name="Column1836"/>
    <tableColumn id="1870" xr3:uid="{78672311-CB7E-4A33-AA93-FE4A62ACC727}" name="Column1837"/>
    <tableColumn id="1871" xr3:uid="{8F139105-1355-4549-9206-ECC451A5696A}" name="Column1838"/>
    <tableColumn id="1872" xr3:uid="{5AEC5445-4BFA-46B5-BA23-658EEB3489D3}" name="Column1839"/>
    <tableColumn id="1873" xr3:uid="{41CD5F9F-3B64-4ED1-8451-0E482E740096}" name="Column1840"/>
    <tableColumn id="1874" xr3:uid="{8CE1D39E-FF4E-4DDA-B0B5-54BDD38E7D89}" name="Column1841"/>
    <tableColumn id="1875" xr3:uid="{5CCECFF9-7541-4B82-B63A-1FA47414E16B}" name="Column1842"/>
    <tableColumn id="1876" xr3:uid="{FB9A02B0-F1CE-4356-8C7B-2076046D1E3F}" name="Column1843"/>
    <tableColumn id="1877" xr3:uid="{41D2F95A-9E56-49E9-8E84-DB38490A0E03}" name="Column1844"/>
    <tableColumn id="1878" xr3:uid="{5EDA150C-E99A-45FC-A5C9-C8893701676B}" name="Column1845"/>
    <tableColumn id="1879" xr3:uid="{1E7F3061-3D9F-44C6-8F93-5501DEEE8AC3}" name="Column1846"/>
    <tableColumn id="1880" xr3:uid="{E18CD7EA-8965-4304-8C92-9A63D00A1E21}" name="Column1847"/>
    <tableColumn id="1881" xr3:uid="{DD27F4DA-7439-441F-A787-C09B36A9B601}" name="Column1848"/>
    <tableColumn id="1882" xr3:uid="{1701B26E-7EFC-4D86-8263-7507C484CDFD}" name="Column1849"/>
    <tableColumn id="1883" xr3:uid="{8D2A7F0E-A0B5-457E-B2B0-EF648009BC5F}" name="Column1850"/>
    <tableColumn id="1884" xr3:uid="{2E02F77D-7509-461A-992F-CEBEACD293E6}" name="Column1851"/>
    <tableColumn id="1885" xr3:uid="{7CAF5D2E-9687-4DB4-A5C1-F3AEB6B6AA63}" name="Column1852"/>
    <tableColumn id="1886" xr3:uid="{CEA83521-5313-4AB0-98CF-D62B3A7BA0BA}" name="Column1853"/>
    <tableColumn id="1887" xr3:uid="{4BA6B16F-B51F-49DD-A7BC-7DDA5B1C7BD9}" name="Column1854"/>
    <tableColumn id="1888" xr3:uid="{80AA8BB3-F5D6-4A57-8DF3-E3A30587849B}" name="Column1855"/>
    <tableColumn id="1889" xr3:uid="{AFCFD975-B0F2-4603-856D-29B8AA4DDBB1}" name="Column1856"/>
    <tableColumn id="1890" xr3:uid="{101BEE53-CC36-401F-8DE2-7CEE265516BD}" name="Column1857"/>
    <tableColumn id="1891" xr3:uid="{E6E508FD-0849-4110-885F-D86018037C76}" name="Column1858"/>
    <tableColumn id="1892" xr3:uid="{89D90CC8-0C21-4B69-AEF0-455C5F0C1882}" name="Column1859"/>
    <tableColumn id="1893" xr3:uid="{E59C9F8D-4C88-4995-B28C-16B0FF1F4B60}" name="Column1860"/>
    <tableColumn id="1894" xr3:uid="{BCCCC974-92E5-431A-B53A-EF9A2B50B869}" name="Column1861"/>
    <tableColumn id="1895" xr3:uid="{CF41D766-6809-4A07-8DF4-5AD465D4E4F0}" name="Column1862"/>
    <tableColumn id="1896" xr3:uid="{89ED5CE7-E759-49D0-A29B-386CA226C052}" name="Column1863"/>
    <tableColumn id="1897" xr3:uid="{8151DCD1-A999-4585-8D8A-0B23ABE52750}" name="Column1864"/>
    <tableColumn id="1898" xr3:uid="{8CB0DFE5-D0D8-492C-8EDE-E2BADE4B5339}" name="Column1865"/>
    <tableColumn id="1899" xr3:uid="{8738A51E-6475-41E2-94C4-B438268F57AB}" name="Column1866"/>
    <tableColumn id="1900" xr3:uid="{78F4D154-71C6-4625-A4DB-FA80BE1D7699}" name="Column1867"/>
    <tableColumn id="1901" xr3:uid="{38809EF5-EDC6-4B21-9C94-D47930E8DE2F}" name="Column1868"/>
    <tableColumn id="1902" xr3:uid="{6726DBB7-3BC5-4748-8D3C-B7928D541DB1}" name="Column1869"/>
    <tableColumn id="1903" xr3:uid="{16E6573E-2854-4DA0-A35B-8A2E54DD6679}" name="Column1870"/>
    <tableColumn id="1904" xr3:uid="{DAB407E3-DFEC-4111-97C5-CF4E7AC748F4}" name="Column1871"/>
    <tableColumn id="1905" xr3:uid="{DBAC00E5-3F58-4197-8C98-E7EB6F69A8E9}" name="Column1872"/>
    <tableColumn id="1906" xr3:uid="{F1E78AA9-5157-43E2-BA16-8CB20F8A8935}" name="Column1873"/>
    <tableColumn id="1907" xr3:uid="{32ABB7CC-F305-4DB5-9A94-0D2B4284663C}" name="Column1874"/>
    <tableColumn id="1908" xr3:uid="{57693854-E61C-4998-9C28-AEEA4696E7C1}" name="Column1875"/>
    <tableColumn id="1909" xr3:uid="{1E49E019-5109-48BC-A1E7-B42AF1E43A7C}" name="Column1876"/>
    <tableColumn id="1910" xr3:uid="{F4ADC6B3-625D-4B7E-A65F-DECE2CA73935}" name="Column1877"/>
    <tableColumn id="1911" xr3:uid="{893E7D52-8777-490B-8CF7-87F1D5D88E85}" name="Column1878"/>
    <tableColumn id="1912" xr3:uid="{45BC8800-8BFE-45E7-90B8-B681AB726E02}" name="Column1879"/>
    <tableColumn id="1913" xr3:uid="{814FECD9-40AE-495A-929C-17F29080C975}" name="Column1880"/>
    <tableColumn id="1914" xr3:uid="{84C5349B-415E-451E-AA46-C39BFE8ABFD5}" name="Column1881"/>
    <tableColumn id="1915" xr3:uid="{D9C2C799-C767-40B5-B627-9413F1DAB54D}" name="Column1882"/>
    <tableColumn id="1916" xr3:uid="{BA566B13-9189-4AAA-BB73-37ECCD0F4982}" name="Column1883"/>
    <tableColumn id="1917" xr3:uid="{D76EEC09-92F1-4EB7-9B21-ECE3832E4ED1}" name="Column1884"/>
    <tableColumn id="1918" xr3:uid="{A9CD7F38-AA69-4BF5-871D-C9FB0D8E169A}" name="Column1885"/>
    <tableColumn id="1919" xr3:uid="{275795F2-674D-477D-A690-CBB0BB0E05AC}" name="Column1886"/>
    <tableColumn id="1920" xr3:uid="{5727507B-5030-4CA2-9EAA-5476C8EEB873}" name="Column1887"/>
    <tableColumn id="1921" xr3:uid="{0B3095BC-E904-4DDF-86A2-214A306A98B0}" name="Column1888"/>
    <tableColumn id="1922" xr3:uid="{C427F057-33E0-483C-A1E3-73B76DE347A2}" name="Column1889"/>
    <tableColumn id="1923" xr3:uid="{B0E4B2EF-D222-4638-8E64-0A6AE746D383}" name="Column1890"/>
    <tableColumn id="1924" xr3:uid="{1F352FB9-A23D-43B5-B8BE-B7F6C51FB985}" name="Column1891"/>
    <tableColumn id="1925" xr3:uid="{8CAD2A85-904E-420A-94B7-7EA8F2D6745A}" name="Column1892"/>
    <tableColumn id="1926" xr3:uid="{E23D5E22-54F8-4E66-8D61-A68E10A4B48C}" name="Column1893"/>
    <tableColumn id="1927" xr3:uid="{FCA31CC3-9858-4FA1-9896-6FF22A28D741}" name="Column1894"/>
    <tableColumn id="1928" xr3:uid="{6F0BBF44-1018-4D87-83E9-A2D20DF82E91}" name="Column1895"/>
    <tableColumn id="1929" xr3:uid="{46AFF249-FF28-49A7-BE5C-E59FF554EE5A}" name="Column1896"/>
    <tableColumn id="1930" xr3:uid="{94FF3048-273B-47D2-A48E-71FB1E103707}" name="Column1897"/>
    <tableColumn id="1931" xr3:uid="{2C37B143-060D-454E-8B06-A9F0C1BD850A}" name="Column1898"/>
    <tableColumn id="1932" xr3:uid="{C405E01C-4219-4CDB-A924-3E9FD95FE21A}" name="Column1899"/>
    <tableColumn id="1933" xr3:uid="{CFF003F8-B50A-418E-9236-0430220D462C}" name="Column1900"/>
    <tableColumn id="1934" xr3:uid="{8224EE81-7E97-4E92-B26C-855D0A88F08F}" name="Column1901"/>
    <tableColumn id="1935" xr3:uid="{DA8C0CC4-F3E3-42C7-B7ED-2C018120F8EC}" name="Column1902"/>
    <tableColumn id="1936" xr3:uid="{0F70D33B-D5AF-4E30-9772-95CEFC0D6081}" name="Column1903"/>
    <tableColumn id="1937" xr3:uid="{13A8AC7F-877F-4EF9-9573-8B965CE7C7C6}" name="Column1904"/>
    <tableColumn id="1938" xr3:uid="{E88E87BF-D4AC-475A-B6B9-97C111472BE1}" name="Column1905"/>
    <tableColumn id="1939" xr3:uid="{641EC0AF-FB58-4590-8228-D693DBF15ED8}" name="Column1906"/>
    <tableColumn id="1940" xr3:uid="{704FE149-725D-4F8E-A6C1-141FC27E8A4B}" name="Column1907"/>
    <tableColumn id="1941" xr3:uid="{8B50872F-B494-419A-B576-D4782D073050}" name="Column1908"/>
    <tableColumn id="1942" xr3:uid="{B1ABB15C-2368-4CC4-908A-FE18F88C3802}" name="Column1909"/>
    <tableColumn id="1943" xr3:uid="{DE7FABBB-6D40-4858-80D5-C8F8E533120C}" name="Column1910"/>
    <tableColumn id="1944" xr3:uid="{58001599-A561-47C2-A88A-9800E0844C0B}" name="Column1911"/>
    <tableColumn id="1945" xr3:uid="{2FF0ACC4-3C50-4F24-BA6B-515F67FC44F7}" name="Column1912"/>
    <tableColumn id="1946" xr3:uid="{BBBD0C86-A9EC-4216-9F94-43F1ED8D44A2}" name="Column1913"/>
    <tableColumn id="1947" xr3:uid="{736F5935-CCA5-4FE3-88DB-97F5A13AEE89}" name="Column1914"/>
    <tableColumn id="1948" xr3:uid="{F59AA137-1A9F-48FC-9E1C-799CDD458587}" name="Column1915"/>
    <tableColumn id="1949" xr3:uid="{D094E8B1-45AF-4C74-AD6F-E1EBEFF1B685}" name="Column1916"/>
    <tableColumn id="1950" xr3:uid="{6EA15300-5F2E-4F14-AAD8-506229B55CA2}" name="Column1917"/>
    <tableColumn id="1951" xr3:uid="{3ADA0CE0-9C24-4C66-9808-E65942299EDE}" name="Column1918"/>
    <tableColumn id="1952" xr3:uid="{45193297-5A04-414A-B3C3-12B6A18E3B9B}" name="Column1919"/>
    <tableColumn id="1953" xr3:uid="{6BBCAFA3-4E08-458D-96CF-4926228FCD63}" name="Column1920"/>
    <tableColumn id="1954" xr3:uid="{3456B7A8-516B-47FE-B0CF-F0BEB1DBED27}" name="Column1921"/>
    <tableColumn id="1955" xr3:uid="{3E6A9B63-4CA4-4923-8AD9-17CB21587392}" name="Column1922"/>
    <tableColumn id="1956" xr3:uid="{14984C16-EF63-4F27-8FE7-5C366966E1A7}" name="Column1923"/>
    <tableColumn id="1957" xr3:uid="{CF3B323C-34EE-483C-AF2C-87E2CC4851AE}" name="Column1924"/>
    <tableColumn id="1958" xr3:uid="{4F24C37B-FEF6-4271-A381-E3D3A5A25105}" name="Column1925"/>
    <tableColumn id="1959" xr3:uid="{D9BAB2C6-E2F2-4F43-900C-58BFFF1A7043}" name="Column1926"/>
    <tableColumn id="1960" xr3:uid="{4BF0E449-3405-48C7-9568-E0C023841073}" name="Column1927"/>
    <tableColumn id="1961" xr3:uid="{390B6589-F17F-4B5F-82E7-93AB4FB68D49}" name="Column1928"/>
    <tableColumn id="1962" xr3:uid="{0A566FCD-5C00-4497-A7BF-FE04F2AFB179}" name="Column1929"/>
    <tableColumn id="1963" xr3:uid="{719E5B9A-32EF-4E9C-921E-8C360584C294}" name="Column1930"/>
    <tableColumn id="1964" xr3:uid="{BACD9FD7-6533-4C23-B835-857251C9D7F4}" name="Column1931"/>
    <tableColumn id="1965" xr3:uid="{47430DB1-2335-4EBA-9B54-7E479ABBB431}" name="Column1932"/>
    <tableColumn id="1966" xr3:uid="{F0EC182E-FBD2-41DC-AC02-063BB76B71E8}" name="Column1933"/>
    <tableColumn id="1967" xr3:uid="{962E6BA0-BE31-47ED-BAE9-E9EB32B43BAC}" name="Column1934"/>
    <tableColumn id="1968" xr3:uid="{44B66855-3EE3-4918-93FC-89796F6A9A3E}" name="Column1935"/>
    <tableColumn id="1969" xr3:uid="{897F2CE0-D49B-4F64-A20B-AE6946AD10AD}" name="Column1936"/>
    <tableColumn id="1970" xr3:uid="{15C04406-2CB0-44E7-9564-880430F6F799}" name="Column1937"/>
    <tableColumn id="1971" xr3:uid="{1D9551E3-9A6E-420E-9888-459ACF095241}" name="Column1938"/>
    <tableColumn id="1972" xr3:uid="{5F97750C-0E9C-406B-83AD-EACD3823C46A}" name="Column1939"/>
    <tableColumn id="1973" xr3:uid="{B7953062-D2AA-4610-8097-8245279A3A8B}" name="Column1940"/>
    <tableColumn id="1974" xr3:uid="{EB819370-96D5-4BEE-9410-8CBEB9779390}" name="Column1941"/>
    <tableColumn id="1975" xr3:uid="{F4F9EA3F-5E1E-4494-8BEE-EB97CC75C6CE}" name="Column1942"/>
    <tableColumn id="1976" xr3:uid="{E9B50C7E-F124-46A6-B890-CA0D0601FECC}" name="Column1943"/>
    <tableColumn id="1977" xr3:uid="{0724092A-3785-4353-A6D5-C827FF8ABC42}" name="Column1944"/>
    <tableColumn id="1978" xr3:uid="{E78EB83A-1603-4190-9DED-4879409F0508}" name="Column1945"/>
    <tableColumn id="1979" xr3:uid="{441EA9B4-BCBA-4746-B775-8A6093DB8692}" name="Column1946"/>
    <tableColumn id="1980" xr3:uid="{89DB4137-3E7F-4345-84C2-9BDF51EF3BA5}" name="Column1947"/>
    <tableColumn id="1981" xr3:uid="{A2E13E2E-1B87-4BFB-9A26-1E4FDE7580AA}" name="Column1948"/>
    <tableColumn id="1982" xr3:uid="{4DB7DEAE-0FAC-4C24-AA15-59747B82A7BD}" name="Column1949"/>
    <tableColumn id="1983" xr3:uid="{208CB4A2-8D92-4501-AAF1-9FE683CA850E}" name="Column1950"/>
    <tableColumn id="1984" xr3:uid="{AFD44262-84DD-4343-BAE7-AAB10F65CE11}" name="Column1951"/>
    <tableColumn id="1985" xr3:uid="{84EFBBF4-01A9-4386-927D-6000BB015A1D}" name="Column1952"/>
    <tableColumn id="1986" xr3:uid="{FD76024D-E9E7-4300-8880-E453BF1FD3DD}" name="Column1953"/>
    <tableColumn id="1987" xr3:uid="{B856D93E-D14B-4FA4-90A3-F5B75EFEE129}" name="Column1954"/>
    <tableColumn id="1988" xr3:uid="{59542155-169D-406D-BCCC-98DAC1223E3B}" name="Column1955"/>
    <tableColumn id="1989" xr3:uid="{9B6AF056-753B-4D2A-97AC-81D3EE0DA90C}" name="Column1956"/>
    <tableColumn id="1990" xr3:uid="{1190F8C3-B2E5-4DEE-AEB1-D714C2F46FBA}" name="Column1957"/>
    <tableColumn id="1991" xr3:uid="{BA1135DB-8E4C-46A5-9D96-1A51BD076BBA}" name="Column1958"/>
    <tableColumn id="1992" xr3:uid="{25537962-A84F-4D8A-BDBE-2B91D2CFFE11}" name="Column1959"/>
    <tableColumn id="1993" xr3:uid="{2181AA15-6FD2-41CA-BFFD-39632A736222}" name="Column1960"/>
    <tableColumn id="1994" xr3:uid="{432B545C-574C-4B4F-B5C7-A4BA08E0511D}" name="Column1961"/>
    <tableColumn id="1995" xr3:uid="{C2868FC9-93C7-4349-BC05-3044A7B723D8}" name="Column1962"/>
    <tableColumn id="1996" xr3:uid="{247E22D0-7B1E-4356-B1A1-86EC70A5CD8A}" name="Column1963"/>
    <tableColumn id="1997" xr3:uid="{EA57471D-F1CE-4E47-B382-57FEC86071AC}" name="Column1964"/>
    <tableColumn id="1998" xr3:uid="{1A30E332-98E2-4531-8B15-1B3E9C2CBB3D}" name="Column1965"/>
    <tableColumn id="1999" xr3:uid="{25EEE8ED-1091-4B40-A52E-798E6CA737B0}" name="Column1966"/>
    <tableColumn id="2000" xr3:uid="{9C14E999-0880-4C6D-AEFF-A1B2D086ADE9}" name="Column1967"/>
    <tableColumn id="2001" xr3:uid="{B1E7D250-2BB8-4CD5-93D3-EFCF877E2237}" name="Column1968"/>
    <tableColumn id="2002" xr3:uid="{1CCE721B-171A-42FE-8866-321C61E8FEF0}" name="Column1969"/>
    <tableColumn id="2003" xr3:uid="{2F6ADA24-3F70-4C70-8735-5632E4BDC250}" name="Column1970"/>
    <tableColumn id="2004" xr3:uid="{C0ADA67F-00F7-4543-A91E-17EC3B02F00C}" name="Column1971"/>
    <tableColumn id="2005" xr3:uid="{D61F56B5-725C-426B-BFD4-86D5C4960A3F}" name="Column1972"/>
    <tableColumn id="2006" xr3:uid="{638740E7-B9F7-4290-BA60-D60A06A6F11F}" name="Column1973"/>
    <tableColumn id="2007" xr3:uid="{FA074688-9F02-4615-AD93-82C9B8F39926}" name="Column1974"/>
    <tableColumn id="2008" xr3:uid="{FE335AF5-9D2F-42FF-B764-983E06497A1C}" name="Column1975"/>
    <tableColumn id="2009" xr3:uid="{03475361-A46E-4421-B284-E154C3305924}" name="Column1976"/>
    <tableColumn id="2010" xr3:uid="{56CDBB6E-1CD8-4F12-B5E1-51C621D947D2}" name="Column1977"/>
    <tableColumn id="2011" xr3:uid="{9B95F9B1-7B4D-4361-A927-67598728EB0F}" name="Column1978"/>
    <tableColumn id="2012" xr3:uid="{2615204D-2D76-466A-A7DF-D428AF6F95B5}" name="Column1979"/>
    <tableColumn id="2013" xr3:uid="{59E3B998-DACF-42EE-8392-C0E1ACF7E6C2}" name="Column1980"/>
    <tableColumn id="2014" xr3:uid="{C44BC80A-4E85-45C4-A019-AE81A1301EDF}" name="Column1981"/>
    <tableColumn id="2015" xr3:uid="{534796E3-DF27-4F17-95CD-B304F4A7F1EE}" name="Column1982"/>
    <tableColumn id="2016" xr3:uid="{975D45F0-44C0-4287-BA28-FA9B66A58C9E}" name="Column1983"/>
    <tableColumn id="2017" xr3:uid="{034FBB4E-BDEF-4D5D-8820-E3A3E37C4773}" name="Column1984"/>
    <tableColumn id="2018" xr3:uid="{05EEF4DC-C874-4ECC-92B8-37CD6E51E295}" name="Column1985"/>
    <tableColumn id="2019" xr3:uid="{4888C863-D52D-49DE-A3EF-E52C94B97B18}" name="Column1986"/>
    <tableColumn id="2020" xr3:uid="{1AED4EB0-11DB-405E-A2C5-8FA5A99D1962}" name="Column1987"/>
    <tableColumn id="2021" xr3:uid="{66945403-F99A-4FED-B544-4A7E9A365562}" name="Column1988"/>
    <tableColumn id="2022" xr3:uid="{B4CEA7E9-82FB-4DB5-A5E6-9E9AB2DC6F50}" name="Column1989"/>
    <tableColumn id="2023" xr3:uid="{F1798277-0BF8-4F21-B96A-46BE3CC5F88D}" name="Column1990"/>
    <tableColumn id="2024" xr3:uid="{783EAC6F-A57B-48E0-B776-09CC8302F87F}" name="Column1991"/>
    <tableColumn id="2025" xr3:uid="{461AE83D-A839-4F7D-957B-EB02D816FDAF}" name="Column1992"/>
    <tableColumn id="2026" xr3:uid="{8BEFA31C-E38A-4DB4-8FB8-71D8F6EFFB8A}" name="Column1993"/>
    <tableColumn id="2027" xr3:uid="{1200E4C7-90B3-4EAA-8F5B-38896A5BF8EB}" name="Column1994"/>
    <tableColumn id="2028" xr3:uid="{5BB4E5CC-D535-4502-9443-28BD8A43658F}" name="Column1995"/>
    <tableColumn id="2029" xr3:uid="{ED754C1C-FD44-4855-A858-582F37F9AAAC}" name="Column1996"/>
    <tableColumn id="2030" xr3:uid="{2987CF28-E3B5-4165-AB85-5F54CD858EE0}" name="Column1997"/>
    <tableColumn id="2031" xr3:uid="{718F1A9C-F7EF-44BA-B340-EA5B10FE2F4D}" name="Column1998"/>
    <tableColumn id="2032" xr3:uid="{DBA3142D-F5F6-4558-9A8B-96A118FF0B08}" name="Column1999"/>
    <tableColumn id="2033" xr3:uid="{9B6DA01E-66A9-4841-A3B4-97FCBE892A73}" name="Column2000"/>
    <tableColumn id="2034" xr3:uid="{DD8CA1FD-ECBB-4B6C-A9DE-94E6A2999BFE}" name="Column2001"/>
    <tableColumn id="2035" xr3:uid="{D5A88651-0E77-47C9-882A-012FE70E2E21}" name="Column2002"/>
    <tableColumn id="2036" xr3:uid="{D5F00455-7A64-4610-A6D5-8E3001BB97A3}" name="Column2003"/>
    <tableColumn id="2037" xr3:uid="{31B1004C-A1B6-4FC3-9A6D-6C91E9A312A4}" name="Column2004"/>
    <tableColumn id="2038" xr3:uid="{0CFB6D71-51B1-480C-BB79-130ED0639C5D}" name="Column2005"/>
    <tableColumn id="2039" xr3:uid="{DADCA5BB-62AF-438E-ACA1-8122B499FC67}" name="Column2006"/>
    <tableColumn id="2040" xr3:uid="{F570FAEB-9BDC-42AC-8818-C52BA040DF13}" name="Column2007"/>
    <tableColumn id="2041" xr3:uid="{FD5D5238-D6B6-422C-8E59-2F5AC9B46493}" name="Column2008"/>
    <tableColumn id="2042" xr3:uid="{93A0D5B3-AA93-40A9-B4AF-EC010327DBDD}" name="Column2009"/>
    <tableColumn id="2043" xr3:uid="{E8BD11E5-C593-44F1-8828-004E6D7FE36F}" name="Column2010"/>
    <tableColumn id="2044" xr3:uid="{926A84A4-4A66-4E30-B791-D299A831204A}" name="Column2011"/>
    <tableColumn id="2045" xr3:uid="{0E875F60-97E4-40D0-B928-986C51C722BD}" name="Column2012"/>
    <tableColumn id="2046" xr3:uid="{472106FD-32EF-4734-9C66-DA7F0C4B392B}" name="Column2013"/>
    <tableColumn id="2047" xr3:uid="{123ECDB4-397E-41E6-826F-97DA69233297}" name="Column2014"/>
    <tableColumn id="2048" xr3:uid="{EBA6D259-C23A-4387-B866-E67B73A94B17}" name="Column2015"/>
    <tableColumn id="2049" xr3:uid="{1D6BF563-7948-4337-943C-0188280BC12D}" name="Column2016"/>
    <tableColumn id="2050" xr3:uid="{B28C78F5-FC0A-4E89-8AE1-B397D1E8CF5C}" name="Column2017"/>
    <tableColumn id="2051" xr3:uid="{A7F44C43-3EE0-4F9A-B4A0-B7B5710B371B}" name="Column2018"/>
    <tableColumn id="2052" xr3:uid="{FF604B4A-EF40-48CD-BD91-0CEA0B71FD32}" name="Column2019"/>
    <tableColumn id="2053" xr3:uid="{99B90551-ECF6-497C-9606-5F3C705178ED}" name="Column2020"/>
    <tableColumn id="2054" xr3:uid="{A2E77DF4-56F7-4ABF-95E9-0A8FE21C258E}" name="Column2021"/>
    <tableColumn id="2055" xr3:uid="{8741FAA1-983C-413A-B8AC-E3F7A1006437}" name="Column2022"/>
    <tableColumn id="2056" xr3:uid="{6677EE42-C46B-4FBE-9827-B3E481CCB92A}" name="Column2023"/>
    <tableColumn id="2057" xr3:uid="{E8DD86CF-34CD-4C39-9F05-ECE15458361E}" name="Column2024"/>
    <tableColumn id="2058" xr3:uid="{9782FE05-3C23-43C3-9184-859C73CD24C7}" name="Column2025"/>
    <tableColumn id="2059" xr3:uid="{B2CFF471-E8AD-4AB1-A28E-FFEFEE48BC75}" name="Column2026"/>
    <tableColumn id="2060" xr3:uid="{E43E5ACC-B407-4773-A35A-C995B960CEA2}" name="Column2027"/>
    <tableColumn id="2061" xr3:uid="{2045D23C-783C-4CAD-A4F0-9EC828A98AE4}" name="Column2028"/>
    <tableColumn id="2062" xr3:uid="{FC7DFC1C-C86F-4A1B-B481-4AFA0CABC3A9}" name="Column2029"/>
    <tableColumn id="2063" xr3:uid="{F6F2049F-9D8B-4AC0-ADD7-62C105EECF83}" name="Column2030"/>
    <tableColumn id="2064" xr3:uid="{443E8EA8-9703-4411-AF98-C8EC916810DE}" name="Column2031"/>
    <tableColumn id="2065" xr3:uid="{4C394C20-6097-4022-A6DA-04724D59BE06}" name="Column2032"/>
    <tableColumn id="2066" xr3:uid="{00967976-4BCA-4AAB-A726-25E1A5748320}" name="Column2033"/>
    <tableColumn id="2067" xr3:uid="{F5616CF0-7D00-4C60-A255-81F3941C586A}" name="Column2034"/>
    <tableColumn id="2068" xr3:uid="{A38C7286-D0B9-49B6-944D-386ED7CC39BD}" name="Column2035"/>
    <tableColumn id="2069" xr3:uid="{9D4AA7DB-4CF4-49C3-98B2-DC86FA6C2068}" name="Column2036"/>
    <tableColumn id="2070" xr3:uid="{A75719ED-72BC-408F-B9DA-F6A3729DEA0B}" name="Column2037"/>
    <tableColumn id="2071" xr3:uid="{5ABAE74E-2D92-4181-A59A-EFA8B082797A}" name="Column2038"/>
    <tableColumn id="2072" xr3:uid="{FA66A58C-ED73-4A33-868D-7E95FA561A55}" name="Column2039"/>
    <tableColumn id="2073" xr3:uid="{043666A6-27FA-422D-B1D5-1452916FB65B}" name="Column2040"/>
    <tableColumn id="2074" xr3:uid="{310AF240-D0B6-4DD0-AEF0-226426174427}" name="Column2041"/>
    <tableColumn id="2075" xr3:uid="{10DAD4E9-5E25-410C-A669-4B2F3D74A313}" name="Column2042"/>
    <tableColumn id="2076" xr3:uid="{85BABE33-CFC2-4F35-9BC2-44F5503B5B3A}" name="Column2043"/>
    <tableColumn id="2077" xr3:uid="{AC6EC256-52EF-4C3F-A839-41DC82E4E3B7}" name="Column2044"/>
    <tableColumn id="2078" xr3:uid="{BE76A83D-A3D3-4FBF-927C-0C1A897A0852}" name="Column2045"/>
    <tableColumn id="2079" xr3:uid="{215EB1F9-3DE5-4B9E-8A00-A5FE00011D3C}" name="Column2046"/>
    <tableColumn id="2080" xr3:uid="{9C2C1A12-EB1E-4241-84C9-904CBE744C5B}" name="Column2047"/>
    <tableColumn id="2081" xr3:uid="{CC2D88C2-A480-4428-85A5-17030A576245}" name="Column2048"/>
    <tableColumn id="2082" xr3:uid="{7A7A213E-8244-4A28-9398-2F0A751B298D}" name="Column2049"/>
    <tableColumn id="2083" xr3:uid="{9AB453A8-4624-4963-AC57-3C6C3340EEE2}" name="Column2050"/>
    <tableColumn id="2084" xr3:uid="{B69068E0-4300-49B6-BE1E-6C867C0F6628}" name="Column2051"/>
    <tableColumn id="2085" xr3:uid="{4CC23237-39EF-4B4B-B5A6-D36F1EF61FF3}" name="Column2052"/>
    <tableColumn id="2086" xr3:uid="{DC262DD0-B47E-4177-B209-170E53CFCE4F}" name="Column2053"/>
    <tableColumn id="2087" xr3:uid="{91D3A139-B21A-4CCC-B8C1-4BB272F3AE41}" name="Column2054"/>
    <tableColumn id="2088" xr3:uid="{66D256B1-0F6A-4413-AEC1-0A46D990F384}" name="Column2055"/>
    <tableColumn id="2089" xr3:uid="{EFE83138-F51A-4AE6-B834-51475BCB2C54}" name="Column2056"/>
    <tableColumn id="2090" xr3:uid="{48078E82-B159-4022-B208-15DE8827C464}" name="Column2057"/>
    <tableColumn id="2091" xr3:uid="{A739D40B-66B4-40C9-9099-49C01B73F79B}" name="Column2058"/>
    <tableColumn id="2092" xr3:uid="{C4574EED-E7C9-405B-B1B7-43FF81982F2C}" name="Column2059"/>
    <tableColumn id="2093" xr3:uid="{CA2CB3B0-071B-483A-9B77-167ADF90E89B}" name="Column2060"/>
    <tableColumn id="2094" xr3:uid="{2BBEFBEB-2214-419B-9A23-CA72F5103929}" name="Column2061"/>
    <tableColumn id="2095" xr3:uid="{6D3C09A5-43E2-4BC6-9285-5D2978D5DC87}" name="Column2062"/>
    <tableColumn id="2096" xr3:uid="{31F16C96-5820-41E7-B4F9-FBBB8D855088}" name="Column2063"/>
    <tableColumn id="2097" xr3:uid="{D067F5FF-DC1F-4C78-9BFD-AE5238E9D518}" name="Column2064"/>
    <tableColumn id="2098" xr3:uid="{4930C3F1-D2F5-470E-95F1-5478A6954F2E}" name="Column2065"/>
    <tableColumn id="2099" xr3:uid="{EB651479-6C11-4E23-B683-B47F99263984}" name="Column2066"/>
    <tableColumn id="2100" xr3:uid="{F44DA14B-2594-4773-9799-5CBFB6D189B0}" name="Column2067"/>
    <tableColumn id="2101" xr3:uid="{790FC7B8-8BA6-41AA-8862-56FB9E37F6FF}" name="Column2068"/>
    <tableColumn id="2102" xr3:uid="{389E7705-EA3D-4812-BD05-E19A849A22D9}" name="Column2069"/>
    <tableColumn id="2103" xr3:uid="{5D1C5EDF-D613-4851-B3C8-0FA661D8BDDF}" name="Column2070"/>
    <tableColumn id="2104" xr3:uid="{45D0DB63-3DF5-4F4F-853D-686D0E0C2F08}" name="Column2071"/>
    <tableColumn id="2105" xr3:uid="{F48B7106-4AA0-4191-9147-24D50BDAD277}" name="Column2072"/>
    <tableColumn id="2106" xr3:uid="{A28F7002-4F17-4162-8EC7-146015234677}" name="Column2073"/>
    <tableColumn id="2107" xr3:uid="{5FEC03B9-1165-4112-BB63-8F38313092E5}" name="Column2074"/>
    <tableColumn id="2108" xr3:uid="{AD97DF2E-9DA7-4EAE-80A0-53AA7405F692}" name="Column2075"/>
    <tableColumn id="2109" xr3:uid="{8D86A091-8787-4D01-8A38-160F1C088F76}" name="Column2076"/>
    <tableColumn id="2110" xr3:uid="{13BB92EF-E4E9-42F6-8B29-23C689F79D39}" name="Column2077"/>
    <tableColumn id="2111" xr3:uid="{439F3825-8D7C-40D2-BDFC-21E70ED30428}" name="Column2078"/>
    <tableColumn id="2112" xr3:uid="{61733973-332A-4329-A2BB-D7FE00BBB738}" name="Column2079"/>
    <tableColumn id="2113" xr3:uid="{11E51E0D-6B8E-4083-87BB-C2E8A2AF4158}" name="Column2080"/>
    <tableColumn id="2114" xr3:uid="{2DEA7E6E-FAE5-47F4-82C3-7C48377F40AF}" name="Column2081"/>
    <tableColumn id="2115" xr3:uid="{6E833558-14F6-45A1-91D8-55E4DB327E55}" name="Column2082"/>
    <tableColumn id="2116" xr3:uid="{86C5B01A-0F55-489D-87B9-8925ED2CC4DC}" name="Column2083"/>
    <tableColumn id="2117" xr3:uid="{EE7FF70C-DD27-4EC9-AA5B-3DB02F7E07B8}" name="Column2084"/>
    <tableColumn id="2118" xr3:uid="{1C7BCBF1-F673-4FEC-A59D-E9722D3C9E2F}" name="Column2085"/>
    <tableColumn id="2119" xr3:uid="{7F577E85-C46D-4332-8262-07A30DC54B24}" name="Column2086"/>
    <tableColumn id="2120" xr3:uid="{149B13F3-38A3-4F48-83C3-564EAE0B05F7}" name="Column2087"/>
    <tableColumn id="2121" xr3:uid="{39D25708-9DE5-4272-8A74-904D586244E4}" name="Column2088"/>
    <tableColumn id="2122" xr3:uid="{D84EF244-B9FF-4A73-BC36-458BACCC3DE6}" name="Column2089"/>
    <tableColumn id="2123" xr3:uid="{F738D248-6318-4DB1-96E6-AC2A792BC3A6}" name="Column2090"/>
    <tableColumn id="2124" xr3:uid="{69776527-D4A5-40E8-B8A4-70BB772918A8}" name="Column2091"/>
    <tableColumn id="2125" xr3:uid="{E5C32B46-FF92-49D4-9E3F-BF71873C0815}" name="Column2092"/>
    <tableColumn id="2126" xr3:uid="{DA129C90-0E48-4DB5-AFBF-88FAE1EA3C05}" name="Column2093"/>
    <tableColumn id="2127" xr3:uid="{53F43D64-E83D-4C92-9806-BBE2A634C946}" name="Column2094"/>
    <tableColumn id="2128" xr3:uid="{7F456853-29C8-43DF-AA20-E5D944867E87}" name="Column2095"/>
    <tableColumn id="2129" xr3:uid="{C1507C98-38C9-48A8-9A9B-C135D58FE0EE}" name="Column2096"/>
    <tableColumn id="2130" xr3:uid="{55230B57-8947-4402-BF80-ADF3E2326F1A}" name="Column2097"/>
    <tableColumn id="2131" xr3:uid="{D95F2F9B-1024-44CA-91E1-F9F9CB1A0F6D}" name="Column2098"/>
    <tableColumn id="2132" xr3:uid="{52A8A800-0C81-4F93-B154-F0F8E9BD9ED2}" name="Column2099"/>
    <tableColumn id="2133" xr3:uid="{E7280C4F-D9FA-4719-AFCB-452785FB4693}" name="Column2100"/>
    <tableColumn id="2134" xr3:uid="{754CA11C-3C8B-4276-8DB3-7341F8D8F73E}" name="Column2101"/>
    <tableColumn id="2135" xr3:uid="{038B3BCC-6577-41FF-96E0-028FB19A541D}" name="Column2102"/>
    <tableColumn id="2136" xr3:uid="{B763DBD4-2815-467A-A988-39FBC52B9F7C}" name="Column2103"/>
    <tableColumn id="2137" xr3:uid="{D75A4496-0597-49A8-BAFD-DAC21A2344FC}" name="Column2104"/>
    <tableColumn id="2138" xr3:uid="{399D3B6D-3F5B-481B-93C8-37F985D0B013}" name="Column2105"/>
    <tableColumn id="2139" xr3:uid="{59E2DC31-C0D1-4969-937C-2C411DC13CA9}" name="Column2106"/>
    <tableColumn id="2140" xr3:uid="{76CC483F-728D-4B01-BF56-657222E56F79}" name="Column2107"/>
    <tableColumn id="2141" xr3:uid="{3A81CBF8-0174-4878-BC3A-239968DE15BF}" name="Column2108"/>
    <tableColumn id="2142" xr3:uid="{5EB3A471-E94A-4159-AA1A-7AD792FE6080}" name="Column2109"/>
    <tableColumn id="2143" xr3:uid="{877EED9E-9D7D-4323-95D3-9744EDE58D3C}" name="Column2110"/>
    <tableColumn id="2144" xr3:uid="{3151A859-E652-4F04-9A0B-14848395F9FB}" name="Column2111"/>
    <tableColumn id="2145" xr3:uid="{EE8B7118-AE11-4269-95CA-443376174C57}" name="Column2112"/>
    <tableColumn id="2146" xr3:uid="{A769C359-B758-4667-BD3C-D4B3FCE90B43}" name="Column2113"/>
    <tableColumn id="2147" xr3:uid="{D7AFC0B2-F2A9-4611-AF8A-541228334643}" name="Column2114"/>
    <tableColumn id="2148" xr3:uid="{04689B83-5537-4820-8B24-EFC869B8B84C}" name="Column2115"/>
    <tableColumn id="2149" xr3:uid="{9AF35FC2-0537-4FDF-9411-EDF21B950887}" name="Column2116"/>
    <tableColumn id="2150" xr3:uid="{C400D17E-07A8-4C0E-81E5-FA1675BD67B3}" name="Column2117"/>
    <tableColumn id="2151" xr3:uid="{37085173-3FF0-4E95-A1C7-7631876CD2CD}" name="Column2118"/>
    <tableColumn id="2152" xr3:uid="{5BB35DBD-B4E0-4173-9406-1066C8EC425F}" name="Column2119"/>
    <tableColumn id="2153" xr3:uid="{83BE5442-2D86-48DC-A8E6-6A1D22697E3F}" name="Column2120"/>
    <tableColumn id="2154" xr3:uid="{AC59538C-E60D-46AD-BFA5-78464C639368}" name="Column2121"/>
    <tableColumn id="2155" xr3:uid="{33714682-087C-43E0-8707-2435F083B4EF}" name="Column2122"/>
    <tableColumn id="2156" xr3:uid="{65A169F2-E2A5-4D17-B0DD-EBEC71879D88}" name="Column2123"/>
    <tableColumn id="2157" xr3:uid="{605A615B-588F-4869-B2D5-A59236152F59}" name="Column2124"/>
    <tableColumn id="2158" xr3:uid="{1E9DD8F7-1FF0-4296-B47E-A9EB5F50A3F3}" name="Column2125"/>
    <tableColumn id="2159" xr3:uid="{016D4BA0-C294-4A79-AA51-C4637E06C91E}" name="Column2126"/>
    <tableColumn id="2160" xr3:uid="{71AC038B-E15E-4765-95CC-145A6BCA5797}" name="Column2127"/>
    <tableColumn id="2161" xr3:uid="{19DD6236-054B-4E88-A41C-840E967EFA92}" name="Column2128"/>
    <tableColumn id="2162" xr3:uid="{9E5BBDF8-1004-460A-BDF5-87C53F39F5D0}" name="Column2129"/>
    <tableColumn id="2163" xr3:uid="{DE79BAFF-809A-4B82-8313-37AAE3029BB9}" name="Column2130"/>
    <tableColumn id="2164" xr3:uid="{974A25EC-B2E5-4E3C-BA9F-6F1072BADFC7}" name="Column2131"/>
    <tableColumn id="2165" xr3:uid="{F5DA4597-A212-4AFB-869E-269B17A1E5E2}" name="Column2132"/>
    <tableColumn id="2166" xr3:uid="{C5DF6F88-E082-4DB3-A337-4BA65A850D5D}" name="Column2133"/>
    <tableColumn id="2167" xr3:uid="{4663F399-759C-4362-AECB-0245816B4AD0}" name="Column2134"/>
    <tableColumn id="2168" xr3:uid="{8150094D-B6A2-4A72-8789-F5395C178C18}" name="Column2135"/>
    <tableColumn id="2169" xr3:uid="{BC01C674-7276-4E22-9C1E-D0489EB6BD39}" name="Column2136"/>
    <tableColumn id="2170" xr3:uid="{8E5263B5-3CB6-41F7-BF5A-A22819774318}" name="Column2137"/>
    <tableColumn id="2171" xr3:uid="{E1868DB1-0E40-4402-86B3-37134A4694F9}" name="Column2138"/>
    <tableColumn id="2172" xr3:uid="{B3B51891-B808-4028-AAFB-FD5E6E96CEDA}" name="Column2139"/>
    <tableColumn id="2173" xr3:uid="{F3D82CD4-1982-41AD-A983-4D5243CF362A}" name="Column2140"/>
    <tableColumn id="2174" xr3:uid="{13AF1045-A040-43C5-ACF7-B6BB617F0803}" name="Column2141"/>
    <tableColumn id="2175" xr3:uid="{FEAF02B5-6B21-4E4A-9532-AC5F392F60A0}" name="Column2142"/>
    <tableColumn id="2176" xr3:uid="{45BC5012-E255-4845-9081-657319A2F5DD}" name="Column2143"/>
    <tableColumn id="2177" xr3:uid="{1023C44B-AFEB-47CB-A663-C349060D2A01}" name="Column2144"/>
    <tableColumn id="2178" xr3:uid="{12C2DD20-2A73-4B7E-B806-BA179CEC60C5}" name="Column2145"/>
    <tableColumn id="2179" xr3:uid="{0E365187-27A9-44E1-A60D-585FD51C3350}" name="Column2146"/>
    <tableColumn id="2180" xr3:uid="{16483E3B-601F-40BA-846E-1EDF700F976A}" name="Column2147"/>
    <tableColumn id="2181" xr3:uid="{734D3474-3FBA-4DD9-BE07-20555BFB5151}" name="Column2148"/>
    <tableColumn id="2182" xr3:uid="{33A1D7C9-164E-46EA-A423-A68F36EFDA78}" name="Column2149"/>
    <tableColumn id="2183" xr3:uid="{70858071-A0F2-42A8-89E2-34839810D96B}" name="Column2150"/>
    <tableColumn id="2184" xr3:uid="{FA58CA06-F658-4003-98C3-257ED5400A52}" name="Column2151"/>
    <tableColumn id="2185" xr3:uid="{5893BDBA-E2CA-4EB6-9335-54D48664DE05}" name="Column2152"/>
    <tableColumn id="2186" xr3:uid="{910E5A99-B5FC-4A5B-96F8-4A3C78B34875}" name="Column2153"/>
    <tableColumn id="2187" xr3:uid="{14712F88-5C94-485F-BD93-849D6631CD8E}" name="Column2154"/>
    <tableColumn id="2188" xr3:uid="{92621F0C-437C-4C6F-A125-67728B83FEF0}" name="Column2155"/>
    <tableColumn id="2189" xr3:uid="{4F89541F-884A-42D5-B7D7-2C9D34183065}" name="Column2156"/>
    <tableColumn id="2190" xr3:uid="{109D86CB-BCE9-433C-BF1C-7970289C2C2C}" name="Column2157"/>
    <tableColumn id="2191" xr3:uid="{38288C0F-960A-4FB2-9BFA-F243AEE5F252}" name="Column2158"/>
    <tableColumn id="2192" xr3:uid="{98FE2B35-444C-4A42-91C4-FDA6E54ECF78}" name="Column2159"/>
    <tableColumn id="2193" xr3:uid="{A8CC895C-DCAF-4C71-B5FC-968A30E09849}" name="Column2160"/>
    <tableColumn id="2194" xr3:uid="{F6A2BC3B-54D3-471D-A0B3-82E0E32B752B}" name="Column2161"/>
    <tableColumn id="2195" xr3:uid="{E39C51DA-C697-4387-A433-A3A0CCC3F183}" name="Column2162"/>
    <tableColumn id="2196" xr3:uid="{4D6BDE56-5431-499D-8105-116BA1F7D2A2}" name="Column2163"/>
    <tableColumn id="2197" xr3:uid="{222B321B-5215-47FD-9CA2-96DC9D711F25}" name="Column2164"/>
    <tableColumn id="2198" xr3:uid="{EE32ED79-3294-4291-B270-339A1E73C7CD}" name="Column2165"/>
    <tableColumn id="2199" xr3:uid="{CD59A11C-9C04-4EBC-8D10-29766A4BF510}" name="Column2166"/>
    <tableColumn id="2200" xr3:uid="{53AE239B-F6D9-4E06-AE5F-BBBF3AF5967A}" name="Column2167"/>
    <tableColumn id="2201" xr3:uid="{0AF767D9-E92D-409F-B421-2E86957CC5D7}" name="Column2168"/>
    <tableColumn id="2202" xr3:uid="{784458CD-987B-421B-AC42-1A665110E7C0}" name="Column2169"/>
    <tableColumn id="2203" xr3:uid="{8F03244C-69CB-4C5D-983E-4F1B4BFF021A}" name="Column2170"/>
    <tableColumn id="2204" xr3:uid="{C27387A4-6C6F-4759-881F-0DA5C92B294B}" name="Column2171"/>
    <tableColumn id="2205" xr3:uid="{E223C81D-1ECF-43D8-A920-24C3F52577B0}" name="Column2172"/>
    <tableColumn id="2206" xr3:uid="{69AE2469-E017-4B30-9291-B072C0B9897C}" name="Column2173"/>
    <tableColumn id="2207" xr3:uid="{E6731C02-8341-412D-970C-923211C6A72D}" name="Column2174"/>
    <tableColumn id="2208" xr3:uid="{8EA4EB88-3E51-4A6B-A62B-DB5F8AF24557}" name="Column2175"/>
    <tableColumn id="2209" xr3:uid="{1B0C4B75-558F-414C-8E85-FAE61B1DD4C6}" name="Column2176"/>
    <tableColumn id="2210" xr3:uid="{9DEEF8DD-D89E-41F6-BA5E-824AB42FD177}" name="Column2177"/>
    <tableColumn id="2211" xr3:uid="{5456229F-40E8-4545-AA4A-736A57A2C297}" name="Column2178"/>
    <tableColumn id="2212" xr3:uid="{D82447F2-0BE9-48A2-BE39-C029D9105804}" name="Column2179"/>
    <tableColumn id="2213" xr3:uid="{86ECD6D4-4879-433B-963E-4E737BB9A2AA}" name="Column2180"/>
    <tableColumn id="2214" xr3:uid="{5D17CF7A-3E24-49A8-8BA0-D0CB1D91D942}" name="Column2181"/>
    <tableColumn id="2215" xr3:uid="{0C172683-D48A-48A7-B92F-530F0A89CC8E}" name="Column2182"/>
    <tableColumn id="2216" xr3:uid="{0CBF4029-9F63-4BE6-BA04-1F6592C7F083}" name="Column2183"/>
    <tableColumn id="2217" xr3:uid="{A7698E6B-A0AF-451D-90B1-91D8BBE3CCB1}" name="Column2184"/>
    <tableColumn id="2218" xr3:uid="{3C489783-02D4-4E09-BC27-F1594C2CB382}" name="Column2185"/>
    <tableColumn id="2219" xr3:uid="{0CB195AA-476B-4418-8382-A9234E7FD229}" name="Column2186"/>
    <tableColumn id="2220" xr3:uid="{769696FE-B835-4A28-A74B-82CE884AF5E5}" name="Column2187"/>
    <tableColumn id="2221" xr3:uid="{3BB2197E-B52C-4C02-8BCA-253DA8F67398}" name="Column2188"/>
    <tableColumn id="2222" xr3:uid="{B5949E9A-254A-4B5B-9E22-E4433C644522}" name="Column2189"/>
    <tableColumn id="2223" xr3:uid="{C580CE15-B9BD-44D9-9427-412875C2E338}" name="Column2190"/>
    <tableColumn id="2224" xr3:uid="{5BA86D82-72F0-4EFB-A990-3AD3E3E27ED8}" name="Column2191"/>
    <tableColumn id="2225" xr3:uid="{47CFDE86-821B-48BE-AB4E-8AFCE8C14F0C}" name="Column2192"/>
    <tableColumn id="2226" xr3:uid="{9D494E5B-20E8-48BD-A407-680290493EFD}" name="Column2193"/>
    <tableColumn id="2227" xr3:uid="{3FFC018D-DA6A-430B-96A7-51691F496A1D}" name="Column2194"/>
    <tableColumn id="2228" xr3:uid="{DA37BFDD-7D40-4134-BA82-BFBAD34F6AC6}" name="Column2195"/>
    <tableColumn id="2229" xr3:uid="{202923C5-4C38-45A7-9BD7-68040BB491D8}" name="Column2196"/>
    <tableColumn id="2230" xr3:uid="{31243470-A3AA-4670-AF83-D4A1A75C0A3B}" name="Column2197"/>
    <tableColumn id="2231" xr3:uid="{8B029446-0952-493D-8713-088E3D6827F4}" name="Column2198"/>
    <tableColumn id="2232" xr3:uid="{3F2CE9D2-42FE-41C2-88A3-19E11886D8A2}" name="Column2199"/>
    <tableColumn id="2233" xr3:uid="{AFB27EC9-66AD-4C2A-B5E2-599DD1A6D23C}" name="Column2200"/>
    <tableColumn id="2234" xr3:uid="{EB43E50C-509E-4F75-93FD-4852B4998232}" name="Column2201"/>
    <tableColumn id="2235" xr3:uid="{DACD8B26-4ED1-4056-AF7F-662CE04A95C7}" name="Column2202"/>
    <tableColumn id="2236" xr3:uid="{6217E590-4163-4527-B2C2-A81E6CD07E09}" name="Column2203"/>
    <tableColumn id="2237" xr3:uid="{7A5E6797-1659-49F4-ACE5-70A678C77A29}" name="Column2204"/>
    <tableColumn id="2238" xr3:uid="{CCEF6A41-FBBC-4E51-8D34-15E178F28A71}" name="Column2205"/>
    <tableColumn id="2239" xr3:uid="{EAA32AB7-A377-403F-ADB4-362600B5B175}" name="Column2206"/>
    <tableColumn id="2240" xr3:uid="{A9452C56-9D73-4AFB-8930-ED229FFC6ADC}" name="Column2207"/>
    <tableColumn id="2241" xr3:uid="{77A72B12-71E3-4C0D-9B3D-AD2E55D21A61}" name="Column2208"/>
    <tableColumn id="2242" xr3:uid="{F5FC79F6-5F6C-48A3-9F04-159325E45129}" name="Column2209"/>
    <tableColumn id="2243" xr3:uid="{CEB0AD3A-39A3-4345-9665-E595F35259F7}" name="Column2210"/>
    <tableColumn id="2244" xr3:uid="{FB51CF73-0E60-4ACB-991D-F206618D6EEB}" name="Column2211"/>
    <tableColumn id="2245" xr3:uid="{F7FACECB-8033-442F-9ACF-309C6AFFBC31}" name="Column2212"/>
    <tableColumn id="2246" xr3:uid="{8CEC2597-0E4A-452C-B2A3-330D9C5ACAF7}" name="Column2213"/>
    <tableColumn id="2247" xr3:uid="{23F7A151-C09B-4883-A02F-7A468FE40623}" name="Column2214"/>
    <tableColumn id="2248" xr3:uid="{67250D54-A961-41E4-8FB6-A8C7CB3E1CD7}" name="Column2215"/>
    <tableColumn id="2249" xr3:uid="{91C9E8AC-2945-484A-98B3-0EE5C748A45A}" name="Column2216"/>
    <tableColumn id="2250" xr3:uid="{80447652-1379-409A-986E-87580D058009}" name="Column2217"/>
    <tableColumn id="2251" xr3:uid="{2B78F9E1-B6F7-4C31-8BF9-206A66A0942F}" name="Column2218"/>
    <tableColumn id="2252" xr3:uid="{9D7FEF6F-E7A1-4459-8C65-67A2175A3A38}" name="Column2219"/>
    <tableColumn id="2253" xr3:uid="{092270F3-A4D0-420D-B2F6-66B5A74DC69C}" name="Column2220"/>
    <tableColumn id="2254" xr3:uid="{450258AD-25B1-4B38-9EA0-6CFCFC1EB10C}" name="Column2221"/>
    <tableColumn id="2255" xr3:uid="{25A2E2D1-6A43-4CB0-9429-D832459183A7}" name="Column2222"/>
    <tableColumn id="2256" xr3:uid="{03209026-AA65-4290-B185-07E64C280D8A}" name="Column2223"/>
    <tableColumn id="2257" xr3:uid="{629E140B-B0F4-4CB0-A6BF-1247C7274D0F}" name="Column2224"/>
    <tableColumn id="2258" xr3:uid="{25BBFDA2-3CF1-41F5-96A3-3E14DF93B898}" name="Column2225"/>
    <tableColumn id="2259" xr3:uid="{9230F837-0D5E-4426-83E3-006F5B0C9489}" name="Column2226"/>
    <tableColumn id="2260" xr3:uid="{C1E38BBD-E9B0-4200-A9FC-601C87C55C3C}" name="Column2227"/>
    <tableColumn id="2261" xr3:uid="{E55B538B-7B5B-4394-A1E6-397D321147BF}" name="Column2228"/>
    <tableColumn id="2262" xr3:uid="{28E89F4A-606C-4EFD-B985-8D9B2A544B15}" name="Column2229"/>
    <tableColumn id="2263" xr3:uid="{A0070A57-B46A-4F6A-9813-FDDA1BA41D7D}" name="Column2230"/>
    <tableColumn id="2264" xr3:uid="{2401DD38-FDD1-483E-A962-3CBC27D532C0}" name="Column2231"/>
    <tableColumn id="2265" xr3:uid="{D5252D79-AD90-496C-BC6B-97FA37EDCA9D}" name="Column2232"/>
    <tableColumn id="2266" xr3:uid="{DFE0497C-6E36-4713-8FFD-9CA41F2C381F}" name="Column2233"/>
    <tableColumn id="2267" xr3:uid="{823F89B3-237B-4BFC-B05D-48B0286FF46E}" name="Column2234"/>
    <tableColumn id="2268" xr3:uid="{CFF89086-6512-4BC9-9290-392944BC3B6D}" name="Column2235"/>
    <tableColumn id="2269" xr3:uid="{029AC08C-90D4-456D-9E26-39E4E1FB3B74}" name="Column2236"/>
    <tableColumn id="2270" xr3:uid="{64138B30-C954-471F-9B22-1A300FDD9228}" name="Column2237"/>
    <tableColumn id="2271" xr3:uid="{E2D24258-EF8C-44C2-B911-50D9BC48CBE4}" name="Column2238"/>
    <tableColumn id="2272" xr3:uid="{52F03DB2-9F41-422C-AB5D-71C4001B21F6}" name="Column2239"/>
    <tableColumn id="2273" xr3:uid="{CB8F3199-B809-44F3-99BB-945446FF3A99}" name="Column2240"/>
    <tableColumn id="2274" xr3:uid="{4C249CF4-3B46-4D6E-8B36-3F8C9FFC97B1}" name="Column2241"/>
    <tableColumn id="2275" xr3:uid="{33F53ACC-2B66-421B-A5BB-BE5F07E40854}" name="Column2242"/>
    <tableColumn id="2276" xr3:uid="{39F7376C-0FEC-47A4-AEAA-94E370937B65}" name="Column2243"/>
    <tableColumn id="2277" xr3:uid="{788599C2-2217-4A26-878A-FA0D261E02A5}" name="Column2244"/>
    <tableColumn id="2278" xr3:uid="{38BF110F-15A4-4F77-B1A8-4E2D6DEC6E83}" name="Column2245"/>
    <tableColumn id="2279" xr3:uid="{4C5263FE-3F53-4DEE-9C8C-1E4F949F8153}" name="Column2246"/>
    <tableColumn id="2280" xr3:uid="{21F4108E-6EBC-4165-A5C1-DF5E388E91D7}" name="Column2247"/>
    <tableColumn id="2281" xr3:uid="{AA75928F-76D4-473E-A964-96D637E8780E}" name="Column2248"/>
    <tableColumn id="2282" xr3:uid="{1D0E0FCB-264F-415B-86BE-9635E0B59A05}" name="Column2249"/>
    <tableColumn id="2283" xr3:uid="{934D9A27-10DC-4B7A-8E2E-328604E685C6}" name="Column2250"/>
    <tableColumn id="2284" xr3:uid="{038EEBDD-AEC6-43B3-AF7B-F2E8A9379B01}" name="Column2251"/>
    <tableColumn id="2285" xr3:uid="{802C1203-1249-4728-A36F-7A6699E7EF46}" name="Column2252"/>
    <tableColumn id="2286" xr3:uid="{17DA6578-D3C3-4C57-89D8-C9B597A73C6E}" name="Column2253"/>
    <tableColumn id="2287" xr3:uid="{EE26FB5F-15DC-4DDA-9349-B908CE3BC4BE}" name="Column2254"/>
    <tableColumn id="2288" xr3:uid="{0232925A-F969-45C7-9C65-3EA9CFF3AF10}" name="Column2255"/>
    <tableColumn id="2289" xr3:uid="{582837A1-EA29-4BF7-A68D-B9E26613BD7D}" name="Column2256"/>
    <tableColumn id="2290" xr3:uid="{BC46C65F-956C-4516-8136-2AB7EB871CD7}" name="Column2257"/>
    <tableColumn id="2291" xr3:uid="{0411E6D9-1169-41F8-A0F3-C720CE8EEC42}" name="Column2258"/>
    <tableColumn id="2292" xr3:uid="{CEEADD91-47D1-4C84-BD2B-013FC96286F4}" name="Column2259"/>
    <tableColumn id="2293" xr3:uid="{C48F698C-728A-4B2A-9D9E-01D3DDC23FED}" name="Column2260"/>
    <tableColumn id="2294" xr3:uid="{E98F2EA1-224E-4FE2-AF2E-C738C6111215}" name="Column2261"/>
    <tableColumn id="2295" xr3:uid="{5CEF493A-33FB-4049-B63A-1B7A2FBC531B}" name="Column2262"/>
    <tableColumn id="2296" xr3:uid="{954C2953-DA4C-48E2-9C77-B914C1DD7FFF}" name="Column2263"/>
    <tableColumn id="2297" xr3:uid="{5E66CBF8-65AE-42E7-9E33-FB8825269981}" name="Column2264"/>
    <tableColumn id="2298" xr3:uid="{48E2D5DB-E883-4FF3-88C2-DDA8D6F0806E}" name="Column2265"/>
    <tableColumn id="2299" xr3:uid="{13900885-1EF6-4197-8F5E-59A3CC90FEC6}" name="Column2266"/>
    <tableColumn id="2300" xr3:uid="{CAD6C00A-6A0C-4FE7-B93F-3B9AAE01A158}" name="Column2267"/>
    <tableColumn id="2301" xr3:uid="{69FEC639-1AB3-417D-A4A5-B8648F0A0A81}" name="Column2268"/>
    <tableColumn id="2302" xr3:uid="{50BD0514-1A9A-42CE-A60A-5BECF441D36E}" name="Column2269"/>
    <tableColumn id="2303" xr3:uid="{350EEF22-DE4D-4C1C-BEF2-C3B9E4B54C84}" name="Column2270"/>
    <tableColumn id="2304" xr3:uid="{F0935ECF-2C2D-46FD-ABDC-FDD2A2D4B878}" name="Column2271"/>
    <tableColumn id="2305" xr3:uid="{9D677C67-B200-41C7-B4E8-88FCF2BA174A}" name="Column2272"/>
    <tableColumn id="2306" xr3:uid="{44B3EBDF-5551-4DCB-9BD9-AB29CEDE0F1D}" name="Column2273"/>
    <tableColumn id="2307" xr3:uid="{794C2017-7BAD-4C12-AF8D-16DD2800C6DC}" name="Column2274"/>
    <tableColumn id="2308" xr3:uid="{598E993A-E54B-43CB-A183-FACFEABCDB0E}" name="Column2275"/>
    <tableColumn id="2309" xr3:uid="{F1BEF18C-2BC9-408A-A61D-6A2530E3B4FD}" name="Column2276"/>
    <tableColumn id="2310" xr3:uid="{BB85B234-459A-4392-85CE-83EECC615758}" name="Column2277"/>
    <tableColumn id="2311" xr3:uid="{F92FE903-B44C-4DCB-8376-ABB9AC5A089B}" name="Column2278"/>
    <tableColumn id="2312" xr3:uid="{3CC9C8A8-7597-4956-9400-B86B4CA29B82}" name="Column2279"/>
    <tableColumn id="2313" xr3:uid="{588C4F30-5BEC-4DF4-8DC7-65FA48B49615}" name="Column2280"/>
    <tableColumn id="2314" xr3:uid="{D8589864-A31D-42BD-9951-915A9B72FD36}" name="Column2281"/>
    <tableColumn id="2315" xr3:uid="{9F327CF7-2900-4985-ADA7-1834BA65F41B}" name="Column2282"/>
    <tableColumn id="2316" xr3:uid="{AFEC743B-7FE0-4DBD-B0A4-682FE99BFE83}" name="Column2283"/>
    <tableColumn id="2317" xr3:uid="{2FBB27B7-2180-4581-BBBE-9F7CCC2F3CF6}" name="Column2284"/>
    <tableColumn id="2318" xr3:uid="{47BBEEC7-25D9-411B-98FC-92ADBF39DD0E}" name="Column2285"/>
    <tableColumn id="2319" xr3:uid="{B310926D-68B0-447A-9F7E-5C0A30B38877}" name="Column2286"/>
    <tableColumn id="2320" xr3:uid="{61105643-B9A4-4DE1-AF17-007E197382A7}" name="Column2287"/>
    <tableColumn id="2321" xr3:uid="{15419071-6335-4F5A-9F11-E596CE9DF8DF}" name="Column2288"/>
    <tableColumn id="2322" xr3:uid="{8499303F-1068-428A-BC43-271FD38EB40D}" name="Column2289"/>
    <tableColumn id="2323" xr3:uid="{731CE06B-A685-494A-9AB4-08E85C8B2ACB}" name="Column2290"/>
    <tableColumn id="2324" xr3:uid="{CAA92FCF-46B2-43FD-99A5-C28E3649100C}" name="Column2291"/>
    <tableColumn id="2325" xr3:uid="{9F5DF1E9-47B4-4007-B21E-760921E6AA1A}" name="Column2292"/>
    <tableColumn id="2326" xr3:uid="{10DDE4A9-1229-4936-982F-4F325931D854}" name="Column2293"/>
    <tableColumn id="2327" xr3:uid="{8A32B0D3-87D1-48CE-8B91-5DBABC600C70}" name="Column2294"/>
    <tableColumn id="2328" xr3:uid="{9C78F51C-2CFA-4BC3-A034-C9E3BB927622}" name="Column2295"/>
    <tableColumn id="2329" xr3:uid="{8AAEA8A9-86A0-4BCA-BCF9-C2AC25BA284A}" name="Column2296"/>
    <tableColumn id="2330" xr3:uid="{E73E03BD-CAED-4C5F-A50A-2AB4931A741C}" name="Column2297"/>
    <tableColumn id="2331" xr3:uid="{3EC50B5B-CD6D-455E-8090-D0E90E9A3AE0}" name="Column2298"/>
    <tableColumn id="2332" xr3:uid="{1060735D-662F-4622-9EF1-A2A4BBC5BDE7}" name="Column2299"/>
    <tableColumn id="2333" xr3:uid="{97E89AE1-6D3A-4986-B7C7-BEB800520F69}" name="Column2300"/>
    <tableColumn id="2334" xr3:uid="{57801E42-77EE-415F-8494-0751C83D8C45}" name="Column2301"/>
    <tableColumn id="2335" xr3:uid="{E2450C62-1BA7-4533-B7A4-44ACB30B296F}" name="Column2302"/>
    <tableColumn id="2336" xr3:uid="{19A564D5-9F0F-4DE9-8FDF-3ABC048D3556}" name="Column2303"/>
    <tableColumn id="2337" xr3:uid="{4743D808-9B6D-40CD-B438-5959B28900CA}" name="Column2304"/>
    <tableColumn id="2338" xr3:uid="{504B3499-E486-4287-AF4E-9F8F1A1F0DF1}" name="Column2305"/>
    <tableColumn id="2339" xr3:uid="{39EC3E0E-AE8C-4ACE-931C-378F419640BC}" name="Column2306"/>
    <tableColumn id="2340" xr3:uid="{04CC77DF-94D3-4A06-82A5-2155C802450F}" name="Column2307"/>
    <tableColumn id="2341" xr3:uid="{E741652C-1380-4D68-8261-4AD9E1DFF2AF}" name="Column2308"/>
    <tableColumn id="2342" xr3:uid="{6DD6FA2F-EC9E-48C8-A6F4-AB12B6680E38}" name="Column2309"/>
    <tableColumn id="2343" xr3:uid="{7D11BF54-A5CA-449C-90BB-1E16D23D7833}" name="Column2310"/>
    <tableColumn id="2344" xr3:uid="{0BDA59BB-1512-4F3C-8A42-1E8B7B71FBA1}" name="Column2311"/>
    <tableColumn id="2345" xr3:uid="{0DDF4449-9D98-49E0-871F-A077E21AA483}" name="Column2312"/>
    <tableColumn id="2346" xr3:uid="{3D61B095-17F3-4568-BF20-2000BF889FDF}" name="Column2313"/>
    <tableColumn id="2347" xr3:uid="{6719757D-1991-4B71-8AA1-176C2EC66913}" name="Column2314"/>
    <tableColumn id="2348" xr3:uid="{773BE7F5-634F-427F-B86C-3D0DC38BA0C7}" name="Column2315"/>
    <tableColumn id="2349" xr3:uid="{3D7E4BA6-769A-4CF1-854B-11872889B348}" name="Column2316"/>
    <tableColumn id="2350" xr3:uid="{0187F754-4E8F-428F-ABDC-8D1E721CFDE8}" name="Column2317"/>
    <tableColumn id="2351" xr3:uid="{14B08BBD-53E7-4421-95F2-D1BE3A8C2722}" name="Column2318"/>
    <tableColumn id="2352" xr3:uid="{3AEE6A2F-41D0-4D96-91D2-AE0BDB27672D}" name="Column2319"/>
    <tableColumn id="2353" xr3:uid="{1973E3C2-2340-4331-AA0D-A8D22A6BD380}" name="Column2320"/>
    <tableColumn id="2354" xr3:uid="{DB5758F0-BE43-4347-BA47-0E295C4E5551}" name="Column2321"/>
    <tableColumn id="2355" xr3:uid="{4E39AF52-A78F-439F-9596-AA09D5B144C1}" name="Column2322"/>
    <tableColumn id="2356" xr3:uid="{BC42253F-2428-41DC-86E0-DFAA08C6F232}" name="Column2323"/>
    <tableColumn id="2357" xr3:uid="{672C8179-090E-41CD-A6F1-E330317820E7}" name="Column2324"/>
    <tableColumn id="2358" xr3:uid="{D186F67A-6DDA-4719-A637-285B3050BBFE}" name="Column2325"/>
    <tableColumn id="2359" xr3:uid="{98010502-68A8-44BD-8CA0-EC24315D7478}" name="Column2326"/>
    <tableColumn id="2360" xr3:uid="{5FA1007E-0CA0-4ABB-919E-C0E420B551A6}" name="Column2327"/>
    <tableColumn id="2361" xr3:uid="{E192F8B2-BF2A-4E7D-8D28-94998B62F945}" name="Column2328"/>
    <tableColumn id="2362" xr3:uid="{30B7041A-96A2-4F93-ABA1-69E8BF5CCC8C}" name="Column2329"/>
    <tableColumn id="2363" xr3:uid="{44E9F216-3808-474A-8A2C-F284E7D1D758}" name="Column2330"/>
    <tableColumn id="2364" xr3:uid="{2A9A32BA-037F-44BC-9A91-6BFB50C1F8B6}" name="Column2331"/>
    <tableColumn id="2365" xr3:uid="{2326BC37-99C0-4D2A-9EB3-FC4ECA6723C3}" name="Column2332"/>
    <tableColumn id="2366" xr3:uid="{BC3E4CFC-17D8-4E63-8A53-49933D8435D5}" name="Column2333"/>
    <tableColumn id="2367" xr3:uid="{51404190-B493-4A35-8240-B2BFA94E9DCF}" name="Column2334"/>
    <tableColumn id="2368" xr3:uid="{E80094FC-85E7-4744-B598-CD8BD7CDA2FC}" name="Column2335"/>
    <tableColumn id="2369" xr3:uid="{78A6E17B-73FB-47B8-8367-428EA4B9DFCB}" name="Column2336"/>
    <tableColumn id="2370" xr3:uid="{3EE1358F-15A0-488F-8E88-5C65242F96EC}" name="Column2337"/>
    <tableColumn id="2371" xr3:uid="{D61C2D66-82D3-4B7A-B4C8-6C094FA18963}" name="Column2338"/>
    <tableColumn id="2372" xr3:uid="{7F579E4F-45D4-4F65-B672-32031A61BF0A}" name="Column2339"/>
    <tableColumn id="2373" xr3:uid="{618D0960-98BC-4F06-9E3A-43D88103D8A7}" name="Column2340"/>
    <tableColumn id="2374" xr3:uid="{125451EB-A623-4F27-924B-9CE35FFAAD5C}" name="Column2341"/>
    <tableColumn id="2375" xr3:uid="{FE74387E-4544-4468-8F7D-13B7F0C7DC1E}" name="Column2342"/>
    <tableColumn id="2376" xr3:uid="{E1179C4D-C648-4062-9D44-3D83294A0F1E}" name="Column2343"/>
    <tableColumn id="2377" xr3:uid="{0206EC7A-8B79-4907-A778-76E95F18D074}" name="Column2344"/>
    <tableColumn id="2378" xr3:uid="{72AB045D-EED5-471D-844C-F8E8F52CDB9C}" name="Column2345"/>
    <tableColumn id="2379" xr3:uid="{7C443E23-600F-432D-BB29-FFA681304564}" name="Column2346"/>
    <tableColumn id="2380" xr3:uid="{A96E72AA-EDE3-4600-B8E7-4D001EA7E357}" name="Column2347"/>
    <tableColumn id="2381" xr3:uid="{A2056665-9552-447E-A99F-B62098FE2E64}" name="Column2348"/>
    <tableColumn id="2382" xr3:uid="{7A5551A5-CA7E-4D66-9010-A3EC3EDD6B2D}" name="Column2349"/>
    <tableColumn id="2383" xr3:uid="{88154AFC-0CB9-4946-BDE7-2945A9154829}" name="Column2350"/>
    <tableColumn id="2384" xr3:uid="{BF552694-E36F-4DE8-AF27-D83B4C97FE5B}" name="Column2351"/>
    <tableColumn id="2385" xr3:uid="{613D0130-D48D-4DF1-B946-27E004C7CF08}" name="Column2352"/>
    <tableColumn id="2386" xr3:uid="{3588DB93-5278-48AA-9A17-3E33973AB63F}" name="Column2353"/>
    <tableColumn id="2387" xr3:uid="{22C2BE73-4ADC-48EC-9071-03501692589E}" name="Column2354"/>
    <tableColumn id="2388" xr3:uid="{3A3F9AAA-9077-4D81-A8CA-E26EB9EC0C6B}" name="Column2355"/>
    <tableColumn id="2389" xr3:uid="{8FD5C9B7-FD7C-46D2-805F-B1DA760FC885}" name="Column2356"/>
    <tableColumn id="2390" xr3:uid="{DBB9BED9-DAB6-4475-91D8-F356E401DF3F}" name="Column2357"/>
    <tableColumn id="2391" xr3:uid="{4EABBD18-DBD7-4E0D-B074-05FEC970E6CD}" name="Column2358"/>
    <tableColumn id="2392" xr3:uid="{F7DAFFD9-1011-4198-BC79-41F9C6130042}" name="Column2359"/>
    <tableColumn id="2393" xr3:uid="{7129EE81-2938-4C08-A036-C332EDBBA5FA}" name="Column2360"/>
    <tableColumn id="2394" xr3:uid="{0B28ABD0-1079-4BA0-870A-84F93C3DD7A7}" name="Column2361"/>
    <tableColumn id="2395" xr3:uid="{84551552-6E9D-4679-9674-973E3F62733F}" name="Column2362"/>
    <tableColumn id="2396" xr3:uid="{5316ED4C-4A76-4FA4-AA78-7211F5358D89}" name="Column2363"/>
    <tableColumn id="2397" xr3:uid="{EA51C38F-6F1F-47F8-AA88-1F20BC884FB4}" name="Column2364"/>
    <tableColumn id="2398" xr3:uid="{4DE70819-C356-41F0-8DE5-870568F9658C}" name="Column2365"/>
    <tableColumn id="2399" xr3:uid="{7932FED3-EA47-4E9C-8A5F-AC3809A3F1F3}" name="Column2366"/>
    <tableColumn id="2400" xr3:uid="{CBAFF706-E435-4E40-A379-785AC69A430C}" name="Column2367"/>
    <tableColumn id="2401" xr3:uid="{34D616BE-341A-4580-97AF-308EA8BDAEAA}" name="Column2368"/>
    <tableColumn id="2402" xr3:uid="{F4EE492D-E77D-4545-910C-37ED08553912}" name="Column2369"/>
    <tableColumn id="2403" xr3:uid="{ADC57EE2-2766-48F5-ACF9-707EF85354EF}" name="Column2370"/>
    <tableColumn id="2404" xr3:uid="{55537F5A-04A5-4ECC-BBE7-8A8183814DF0}" name="Column2371"/>
    <tableColumn id="2405" xr3:uid="{986CBA8C-59CB-404B-B283-5BFA8341E065}" name="Column2372"/>
    <tableColumn id="2406" xr3:uid="{28C94201-1651-42A7-8E08-A4AA54420BFC}" name="Column2373"/>
    <tableColumn id="2407" xr3:uid="{9A318362-A539-4129-A4F9-260ED041A726}" name="Column2374"/>
    <tableColumn id="2408" xr3:uid="{CD99A686-806B-49F7-981D-5204358A44CF}" name="Column2375"/>
    <tableColumn id="2409" xr3:uid="{2AE2EEE2-AC4B-47DB-A633-9644A219E528}" name="Column2376"/>
    <tableColumn id="2410" xr3:uid="{A13D9081-96FC-4A78-87E2-217253E0DD24}" name="Column2377"/>
    <tableColumn id="2411" xr3:uid="{B710955D-D3E2-4CA8-94AF-6DD6201F4502}" name="Column2378"/>
    <tableColumn id="2412" xr3:uid="{B83F580D-C7AA-4D36-9C47-E2BA02E61E2E}" name="Column2379"/>
    <tableColumn id="2413" xr3:uid="{14506D41-52D6-4A41-8193-82948A1FCE4A}" name="Column2380"/>
    <tableColumn id="2414" xr3:uid="{4729C260-5CD3-45EF-A76B-438BFC845EF6}" name="Column2381"/>
    <tableColumn id="2415" xr3:uid="{07A73347-0B9C-4D4F-8EAB-D067A4F330C6}" name="Column2382"/>
    <tableColumn id="2416" xr3:uid="{07E0E767-9268-4A30-A88D-8B52FD07D160}" name="Column2383"/>
    <tableColumn id="2417" xr3:uid="{CDED66F2-78CD-48BE-80CB-6EE73771AD04}" name="Column2384"/>
    <tableColumn id="2418" xr3:uid="{F05C5086-24C6-4F5A-9BB2-41E1DCDBED9F}" name="Column2385"/>
    <tableColumn id="2419" xr3:uid="{9587B54B-E93C-4189-92B3-69FBFD91C93B}" name="Column2386"/>
    <tableColumn id="2420" xr3:uid="{D1608386-86AF-4184-B228-2C89083A8A10}" name="Column2387"/>
    <tableColumn id="2421" xr3:uid="{F4354DF6-165A-43D9-8DDD-313546A878D3}" name="Column2388"/>
    <tableColumn id="2422" xr3:uid="{18218C14-9878-4BFB-A9DF-22BDBC185006}" name="Column2389"/>
    <tableColumn id="2423" xr3:uid="{A55014AE-9D7C-4292-9F61-426CD0E930F2}" name="Column2390"/>
    <tableColumn id="2424" xr3:uid="{AB3E02E9-0340-4535-8464-3578CAF5E3ED}" name="Column2391"/>
    <tableColumn id="2425" xr3:uid="{0DB4F1E1-3273-43BD-8075-F8AD7B1AC15C}" name="Column2392"/>
    <tableColumn id="2426" xr3:uid="{380AE06F-22BF-4C47-AA98-9042F198E24D}" name="Column2393"/>
    <tableColumn id="2427" xr3:uid="{B38253FB-E8BB-4118-8C24-0986281AB4C9}" name="Column2394"/>
    <tableColumn id="2428" xr3:uid="{84E2D918-452F-4100-A883-9665B7C84B6E}" name="Column2395"/>
    <tableColumn id="2429" xr3:uid="{98267EAD-1915-4093-9E08-CE05C0C55552}" name="Column2396"/>
    <tableColumn id="2430" xr3:uid="{4C554D41-B858-483B-9CCA-9D2E2DD31890}" name="Column2397"/>
    <tableColumn id="2431" xr3:uid="{1A2FC4E0-3EB3-4C32-B27E-3796D8D2F9BD}" name="Column2398"/>
    <tableColumn id="2432" xr3:uid="{85A7E905-3EDF-4DEC-91BC-6E1A27A117B3}" name="Column2399"/>
    <tableColumn id="2433" xr3:uid="{AC9C1906-2AE7-4D99-914B-CB8E602CFCC4}" name="Column2400"/>
    <tableColumn id="2434" xr3:uid="{4A9719B7-B8B3-44B4-97CF-EADF80775DB1}" name="Column2401"/>
    <tableColumn id="2435" xr3:uid="{DE155E9D-1FFD-40FC-A2C7-85067120C47C}" name="Column2402"/>
    <tableColumn id="2436" xr3:uid="{A30E3A24-AE90-4A18-BD2A-205D1B7C08D0}" name="Column2403"/>
    <tableColumn id="2437" xr3:uid="{27FC7E9D-A2A0-42BE-9682-3695B076489E}" name="Column2404"/>
    <tableColumn id="2438" xr3:uid="{44E8AD3D-A969-4AFC-BD2E-DFEAA1A856D5}" name="Column2405"/>
    <tableColumn id="2439" xr3:uid="{69BA3FD7-AB28-4200-AB8C-B33E3B190256}" name="Column2406"/>
    <tableColumn id="2440" xr3:uid="{DED31E9E-92FF-468C-ABDA-A9A84129ACFF}" name="Column2407"/>
    <tableColumn id="2441" xr3:uid="{F8F5F06D-954D-4768-9DAF-0848BDFB9087}" name="Column2408"/>
    <tableColumn id="2442" xr3:uid="{4714EE4F-784D-4535-A362-939AA9CA39C5}" name="Column2409"/>
    <tableColumn id="2443" xr3:uid="{C95667E8-0065-4C0F-91F0-E4DA3FF2B947}" name="Column2410"/>
    <tableColumn id="2444" xr3:uid="{C1C78F73-99CE-4F5A-A288-CD8BE7220C05}" name="Column2411"/>
    <tableColumn id="2445" xr3:uid="{2BD9456C-44B2-4306-B973-DD52EB8FEC4D}" name="Column2412"/>
    <tableColumn id="2446" xr3:uid="{FF86A396-7C6E-4132-8EFB-ABE74C4BC238}" name="Column2413"/>
    <tableColumn id="2447" xr3:uid="{0D16B0D5-98FD-4AA7-A97A-CADA525427DB}" name="Column2414"/>
    <tableColumn id="2448" xr3:uid="{8CCFF318-11CE-43B6-9052-4C415F964511}" name="Column2415"/>
    <tableColumn id="2449" xr3:uid="{9F3872D4-715C-4CD9-ADD7-47811AA772AB}" name="Column2416"/>
    <tableColumn id="2450" xr3:uid="{16637146-607C-44F5-A605-F930AFA86C78}" name="Column2417"/>
    <tableColumn id="2451" xr3:uid="{F829CC6C-D769-44F0-B9AA-D576422F6DB6}" name="Column2418"/>
    <tableColumn id="2452" xr3:uid="{EF5FAAE0-D1C2-4934-839D-7AFB6D55A3A3}" name="Column2419"/>
    <tableColumn id="2453" xr3:uid="{5ABB94C5-F53A-4E22-9DF6-B6D2EFDD1DC7}" name="Column2420"/>
    <tableColumn id="2454" xr3:uid="{2C55EDDC-55E0-4DBE-AB3C-6DE3311B3205}" name="Column2421"/>
    <tableColumn id="2455" xr3:uid="{6E1C8816-783E-4CB5-8091-28BE4EE71386}" name="Column2422"/>
    <tableColumn id="2456" xr3:uid="{1501E709-E3AB-4323-8033-048AFBB45E48}" name="Column2423"/>
    <tableColumn id="2457" xr3:uid="{9E8DAA70-57B4-48D4-BB9A-DA91A4AC97B1}" name="Column2424"/>
    <tableColumn id="2458" xr3:uid="{EA09EBDC-CD77-4AC8-90B8-842FD27DCA8C}" name="Column2425"/>
    <tableColumn id="2459" xr3:uid="{E0E6A05A-A7F1-4111-8BE3-541CCFAB248A}" name="Column2426"/>
    <tableColumn id="2460" xr3:uid="{A92EAE22-02B1-44B9-98DD-67970B5EA335}" name="Column2427"/>
    <tableColumn id="2461" xr3:uid="{1899D968-994F-4AD3-AF02-0D88813D67C0}" name="Column2428"/>
    <tableColumn id="2462" xr3:uid="{686FE3F7-E035-4B0C-841F-49962951A63A}" name="Column2429"/>
    <tableColumn id="2463" xr3:uid="{8319DDE1-F523-4F7F-A5DA-CC4C5856CDB3}" name="Column2430"/>
    <tableColumn id="2464" xr3:uid="{222C6913-7152-47B9-805F-070A487151F9}" name="Column2431"/>
    <tableColumn id="2465" xr3:uid="{8E847085-4C04-4B26-BF14-20ECEF9C6A23}" name="Column2432"/>
    <tableColumn id="2466" xr3:uid="{7004878B-7A49-447F-ADD5-2ACD3CCAC64D}" name="Column2433"/>
    <tableColumn id="2467" xr3:uid="{D4638950-2965-4F57-ACCE-D095D0A0B0CE}" name="Column2434"/>
    <tableColumn id="2468" xr3:uid="{DBDFD7C8-E7A0-4B73-BC63-F895085964A6}" name="Column2435"/>
    <tableColumn id="2469" xr3:uid="{6F65ADDB-DD92-4BA0-A595-CB2F23E5CEB7}" name="Column2436"/>
    <tableColumn id="2470" xr3:uid="{4BF97C1D-A151-40CC-99B8-7027B168746B}" name="Column2437"/>
    <tableColumn id="2471" xr3:uid="{22E26ED1-F889-4BCF-8450-DB4BD4D98153}" name="Column2438"/>
    <tableColumn id="2472" xr3:uid="{D4AFA1AD-DF4F-477E-B440-EDE64263C0CF}" name="Column2439"/>
    <tableColumn id="2473" xr3:uid="{F86CAB05-FA0F-414F-82D1-1BFD6F3F6080}" name="Column2440"/>
    <tableColumn id="2474" xr3:uid="{2B439856-5463-4B51-8AF0-2F0D9FEC7D2A}" name="Column2441"/>
    <tableColumn id="2475" xr3:uid="{C0EAEDCE-0B06-48FA-9836-AED019C82B79}" name="Column2442"/>
    <tableColumn id="2476" xr3:uid="{947287D2-3FA7-44E8-AFF3-4782F39801CF}" name="Column2443"/>
    <tableColumn id="2477" xr3:uid="{6EB79A70-CB62-445C-A234-E7C9A5B0BACC}" name="Column2444"/>
    <tableColumn id="2478" xr3:uid="{D544769A-8D84-4791-94C1-8AE8277C9455}" name="Column2445"/>
    <tableColumn id="2479" xr3:uid="{0D262982-A916-4A3E-A1AA-DFDAAFB59241}" name="Column2446"/>
    <tableColumn id="2480" xr3:uid="{7D1D0075-2D53-4C4A-A642-BC218F5243A5}" name="Column2447"/>
    <tableColumn id="2481" xr3:uid="{B7474B08-A568-495C-B713-B0F47D2D1925}" name="Column2448"/>
    <tableColumn id="2482" xr3:uid="{E6560A13-1F96-4C42-989D-514AF8D8437B}" name="Column2449"/>
    <tableColumn id="2483" xr3:uid="{1F6ABE07-52FC-46B8-A32B-7B5468688CCE}" name="Column2450"/>
    <tableColumn id="2484" xr3:uid="{3ABC6726-6EF7-45C1-B802-906E73FDA7FC}" name="Column2451"/>
    <tableColumn id="2485" xr3:uid="{2131D04A-7C81-4487-BCF7-1A27FC69D690}" name="Column2452"/>
    <tableColumn id="2486" xr3:uid="{D1B661DC-5A27-4E00-810F-D4666903FEFC}" name="Column2453"/>
    <tableColumn id="2487" xr3:uid="{A1990D6E-F529-44B6-B773-5005B9F2ABCB}" name="Column2454"/>
    <tableColumn id="2488" xr3:uid="{7F9E7B2A-BC74-49E0-93A0-45D2C8CA51E1}" name="Column2455"/>
    <tableColumn id="2489" xr3:uid="{70C6A84F-8CAC-472B-A52D-49353787AEAB}" name="Column2456"/>
    <tableColumn id="2490" xr3:uid="{F889BFB4-5A0C-4338-91C6-9740CD17FBA0}" name="Column2457"/>
    <tableColumn id="2491" xr3:uid="{6224898A-5B35-4BBA-AC95-26B84781554B}" name="Column2458"/>
    <tableColumn id="2492" xr3:uid="{6F62DE3B-2585-4B64-AC2C-58DBCF00FC2B}" name="Column2459"/>
    <tableColumn id="2493" xr3:uid="{ECFF7E34-52D5-446A-B8D7-0F213320838D}" name="Column2460"/>
    <tableColumn id="2494" xr3:uid="{4BFA0B48-7B70-45F3-AE1E-3B9ED1E99874}" name="Column2461"/>
    <tableColumn id="2495" xr3:uid="{A4DB83A1-4F79-4277-A437-D2F4D5566A39}" name="Column2462"/>
    <tableColumn id="2496" xr3:uid="{EBEE9843-D2DA-4EA3-A0BF-3586205467C3}" name="Column2463"/>
    <tableColumn id="2497" xr3:uid="{D3B60EE8-210D-4AB7-91CD-F26BD8518563}" name="Column2464"/>
    <tableColumn id="2498" xr3:uid="{152E3D26-5AAC-42EB-8136-FC44908AE33D}" name="Column2465"/>
    <tableColumn id="2499" xr3:uid="{662F66AE-E716-4A5F-BB34-0516193BC94E}" name="Column2466"/>
    <tableColumn id="2500" xr3:uid="{3515553B-FD3E-4A49-BD92-E3F98A310564}" name="Column2467"/>
    <tableColumn id="2501" xr3:uid="{B3B66F51-1290-45BF-99BF-39A56B693899}" name="Column2468"/>
    <tableColumn id="2502" xr3:uid="{740037EA-52B5-4349-98B5-D5895F766D85}" name="Column2469"/>
    <tableColumn id="2503" xr3:uid="{92ADF7A6-BB43-47BE-8987-1C4DB64D68D5}" name="Column2470"/>
    <tableColumn id="2504" xr3:uid="{9BC9FAFB-F54A-4744-9F03-690F5D927C39}" name="Column2471"/>
    <tableColumn id="2505" xr3:uid="{1CC4E89A-B4BB-46D1-9094-BF502BC05ECA}" name="Column2472"/>
    <tableColumn id="2506" xr3:uid="{E815544A-CDDD-4744-996E-8308F0CA815F}" name="Column2473"/>
    <tableColumn id="2507" xr3:uid="{E178AD97-E359-4697-A1A0-ACE34D0579F4}" name="Column2474"/>
    <tableColumn id="2508" xr3:uid="{49B65EFA-0521-44D4-8CC1-65AA50745C06}" name="Column2475"/>
    <tableColumn id="2509" xr3:uid="{87D09C29-8569-46BD-8BA6-1D52AEFD9947}" name="Column2476"/>
    <tableColumn id="2510" xr3:uid="{CF1E00CA-4203-4C81-B29E-16A010E122A2}" name="Column2477"/>
    <tableColumn id="2511" xr3:uid="{EF5400F2-5D19-4539-A0EE-D8ED2CF3D30A}" name="Column2478"/>
    <tableColumn id="2512" xr3:uid="{E5834DFE-DAAC-442F-B199-362FA77FC75B}" name="Column2479"/>
    <tableColumn id="2513" xr3:uid="{ED645984-8136-49E9-8F13-5DE26AF1D9B8}" name="Column2480"/>
    <tableColumn id="2514" xr3:uid="{47B2AE7A-DBB5-43D4-B474-C62355868277}" name="Column2481"/>
    <tableColumn id="2515" xr3:uid="{863B1D21-BC08-499F-AE91-18FA4C08B8FA}" name="Column2482"/>
    <tableColumn id="2516" xr3:uid="{850EEF9B-7804-43A2-B460-6A7A7A373D1B}" name="Column2483"/>
    <tableColumn id="2517" xr3:uid="{85697203-B959-4A51-B0B6-1A33AD4188FF}" name="Column2484"/>
    <tableColumn id="2518" xr3:uid="{EBBB99A2-722E-458F-A81F-CE5DEEDAAAAE}" name="Column2485"/>
    <tableColumn id="2519" xr3:uid="{DE2BE0AE-DAEB-4567-AB8E-8D1A4562AD6D}" name="Column2486"/>
    <tableColumn id="2520" xr3:uid="{F45C380C-8103-4534-B103-F3BFEF0BDD14}" name="Column2487"/>
    <tableColumn id="2521" xr3:uid="{6505E10D-5116-47F8-AD98-C2D0DB1FC150}" name="Column2488"/>
    <tableColumn id="2522" xr3:uid="{B947DFF6-E386-48EB-B7AF-C082C200718D}" name="Column2489"/>
    <tableColumn id="2523" xr3:uid="{3BBE3FA8-2A2D-4CF6-9273-16AEC7FBCBAD}" name="Column2490"/>
    <tableColumn id="2524" xr3:uid="{78AC189F-EEDF-406C-AFC5-DA501EF11EFB}" name="Column2491"/>
    <tableColumn id="2525" xr3:uid="{E2E49963-4771-4CB7-BDED-83BD8D49792C}" name="Column2492"/>
    <tableColumn id="2526" xr3:uid="{ABD795AD-5490-46DA-9DB1-BE598E7382FB}" name="Column2493"/>
    <tableColumn id="2527" xr3:uid="{62F839DB-5EC7-430E-8490-D0A4F9981237}" name="Column2494"/>
    <tableColumn id="2528" xr3:uid="{F5DCD709-F8F9-4D1B-8CD3-D5B0787065E8}" name="Column2495"/>
    <tableColumn id="2529" xr3:uid="{8311A566-BA20-4A33-AC0F-58B36CF6BAFC}" name="Column2496"/>
    <tableColumn id="2530" xr3:uid="{A60AA98A-C0A6-4B3C-9F6B-C64D64223760}" name="Column2497"/>
    <tableColumn id="2531" xr3:uid="{95A4DFAD-907D-4071-8A19-0EEFA5641121}" name="Column2498"/>
    <tableColumn id="2532" xr3:uid="{EBA5D5A4-3AA9-4724-8F0B-6E068D5C119F}" name="Column2499"/>
    <tableColumn id="2533" xr3:uid="{51075E6E-BFC9-4025-B76C-079E99C68F2A}" name="Column2500"/>
    <tableColumn id="2534" xr3:uid="{A18C0084-44C3-4403-A86E-09E3E7417F57}" name="Column2501"/>
    <tableColumn id="2535" xr3:uid="{486CF704-829D-4630-93E0-20C514AAC283}" name="Column2502"/>
    <tableColumn id="2536" xr3:uid="{8F604F65-A423-4B1B-A313-974F1AB30E44}" name="Column2503"/>
    <tableColumn id="2537" xr3:uid="{23A2DAAB-F6A8-4CD7-B7DD-994F7484EAA0}" name="Column2504"/>
    <tableColumn id="2538" xr3:uid="{96B165FA-C96F-48E9-A29B-39419E1ED143}" name="Column2505"/>
    <tableColumn id="2539" xr3:uid="{D1179E6F-45F6-4A61-855F-29E50DD3D369}" name="Column2506"/>
    <tableColumn id="2540" xr3:uid="{3BC8D70B-9D6E-4B29-BBA1-7D2AD681DFB3}" name="Column2507"/>
    <tableColumn id="2541" xr3:uid="{070517F6-DF26-4904-8ACB-398AB8F57D7E}" name="Column2508"/>
    <tableColumn id="2542" xr3:uid="{E0AD4EC6-A041-40BD-BFD4-258852E23862}" name="Column2509"/>
    <tableColumn id="2543" xr3:uid="{5B4A8A87-9D6C-4FC7-9651-019DB81F3E68}" name="Column2510"/>
    <tableColumn id="2544" xr3:uid="{6453E9A5-C0A7-40B7-8818-4800F85D6467}" name="Column2511"/>
    <tableColumn id="2545" xr3:uid="{D2093209-5213-4DDA-B8E6-C03CBC55EAC7}" name="Column2512"/>
    <tableColumn id="2546" xr3:uid="{7427DD5D-4237-4DB8-9AAC-2C1BAEB26A41}" name="Column2513"/>
    <tableColumn id="2547" xr3:uid="{CE5EB363-610F-482D-B8C9-6FBEC49A5A34}" name="Column2514"/>
    <tableColumn id="2548" xr3:uid="{E18C645D-C7A1-43C3-BE13-B8C5F0E032C1}" name="Column2515"/>
    <tableColumn id="2549" xr3:uid="{A97EDD0F-5554-45E2-BE7B-2F82D1A3F47C}" name="Column2516"/>
    <tableColumn id="2550" xr3:uid="{D1D336F6-650C-4F1A-B7A6-53376F036E6D}" name="Column2517"/>
    <tableColumn id="2551" xr3:uid="{8E6D8C54-DA3E-4388-8131-7CA2E6D931FC}" name="Column2518"/>
    <tableColumn id="2552" xr3:uid="{C9961664-D4EB-4063-8B82-9EE167CCBBB6}" name="Column2519"/>
    <tableColumn id="2553" xr3:uid="{E72C4D8C-6480-4D0D-964A-F54B72287FA9}" name="Column2520"/>
    <tableColumn id="2554" xr3:uid="{8BCB921A-AFE6-44CC-B94E-1EBB5113AEF8}" name="Column2521"/>
    <tableColumn id="2555" xr3:uid="{1062CE84-9071-4A38-B9DC-6901F6F77CBF}" name="Column2522"/>
    <tableColumn id="2556" xr3:uid="{4085C755-CE3D-48C5-8BE7-79E23AFEC8A6}" name="Column2523"/>
    <tableColumn id="2557" xr3:uid="{410D0909-8714-4EFE-AADC-09E0691AA6EC}" name="Column2524"/>
    <tableColumn id="2558" xr3:uid="{7D9C3C26-F259-47E2-92B6-EF578073919B}" name="Column2525"/>
    <tableColumn id="2559" xr3:uid="{8C14ECDF-A756-4954-8689-BEEA1FD2D6CB}" name="Column2526"/>
    <tableColumn id="2560" xr3:uid="{721E8B83-CA33-409D-974F-8A7DC5462234}" name="Column2527"/>
    <tableColumn id="2561" xr3:uid="{027C0298-D031-487E-9730-C1C44EA40EB0}" name="Column2528"/>
    <tableColumn id="2562" xr3:uid="{17D7F3C6-916D-417B-8C14-05E750DCC0B9}" name="Column2529"/>
    <tableColumn id="2563" xr3:uid="{A4B099C0-2BF9-4CBA-9053-693AF235F6C1}" name="Column2530"/>
    <tableColumn id="2564" xr3:uid="{178537AB-5412-4C2F-8580-E3A8C8926AF1}" name="Column2531"/>
    <tableColumn id="2565" xr3:uid="{FABD1AC7-CA48-4B81-90A8-C14F6CC420DF}" name="Column2532"/>
    <tableColumn id="2566" xr3:uid="{1493C1E2-9002-4F12-8CD5-7BDA71A70AC0}" name="Column2533"/>
    <tableColumn id="2567" xr3:uid="{BCCC1E7D-8F6A-4735-B70D-3CA2096790E1}" name="Column2534"/>
    <tableColumn id="2568" xr3:uid="{C5B8BD7E-00F0-4987-BD64-581C766F36A1}" name="Column2535"/>
    <tableColumn id="2569" xr3:uid="{DCA2FFC1-D59A-4AE5-8CF0-56C2E9DDB4E4}" name="Column2536"/>
    <tableColumn id="2570" xr3:uid="{9B93470B-AE61-45CB-A6C1-6F04851C695E}" name="Column2537"/>
    <tableColumn id="2571" xr3:uid="{79CD3361-D46A-4DBF-9F2F-02B11F2E4BBB}" name="Column2538"/>
    <tableColumn id="2572" xr3:uid="{5BE8475E-91B3-48D4-B9EE-A0B1FDD741E5}" name="Column2539"/>
    <tableColumn id="2573" xr3:uid="{A489D3AF-41A6-4D3D-B829-80A0AD50018F}" name="Column2540"/>
    <tableColumn id="2574" xr3:uid="{224C68DF-1CB3-4010-8B1C-F5800E217472}" name="Column2541"/>
    <tableColumn id="2575" xr3:uid="{62F1D41F-ACCD-4A3D-8A8D-B0D392D04404}" name="Column2542"/>
    <tableColumn id="2576" xr3:uid="{0C748C02-0D2C-4891-BB75-28358B33E0AB}" name="Column2543"/>
    <tableColumn id="2577" xr3:uid="{86EA4DAB-E179-44E0-8BCE-6A31E80F32D8}" name="Column2544"/>
    <tableColumn id="2578" xr3:uid="{DFCD2900-FC02-4DB3-9D90-78CCB180912A}" name="Column2545"/>
    <tableColumn id="2579" xr3:uid="{B5357BCC-B7B8-4A2D-96A4-A604875AF174}" name="Column2546"/>
    <tableColumn id="2580" xr3:uid="{4F7E8028-1BB4-41F7-8300-569FDCEDAE55}" name="Column2547"/>
    <tableColumn id="2581" xr3:uid="{8CF1CC56-25D9-4CC9-ADBF-71F6C74D6C88}" name="Column2548"/>
    <tableColumn id="2582" xr3:uid="{23A7A4E6-76A8-414F-A310-119CE659C776}" name="Column2549"/>
    <tableColumn id="2583" xr3:uid="{6F731FA7-3FD0-492D-8723-CF8125553071}" name="Column2550"/>
    <tableColumn id="2584" xr3:uid="{78D8CE29-4991-4F07-9894-67EDFA69750A}" name="Column2551"/>
    <tableColumn id="2585" xr3:uid="{ED180752-3974-4420-ADB1-80D091806D6B}" name="Column2552"/>
    <tableColumn id="2586" xr3:uid="{D024A4B0-AF54-4DBF-AA77-F92214A706AD}" name="Column2553"/>
    <tableColumn id="2587" xr3:uid="{6D435FD4-4CA6-47B6-9965-D53EF8E2F3BE}" name="Column2554"/>
    <tableColumn id="2588" xr3:uid="{D24A0AFA-42B2-45C0-A1E9-34ABBFA7019A}" name="Column2555"/>
    <tableColumn id="2589" xr3:uid="{24C80E19-E1C0-4AAB-8171-62892C8DA092}" name="Column2556"/>
    <tableColumn id="2590" xr3:uid="{A345696C-95B3-4593-B98A-2FAE7536D481}" name="Column2557"/>
    <tableColumn id="2591" xr3:uid="{6ABB9F57-BDEC-488A-8046-BBC81F6C5311}" name="Column2558"/>
    <tableColumn id="2592" xr3:uid="{B0CBE960-9868-4A19-8350-CC5339578CDF}" name="Column2559"/>
    <tableColumn id="2593" xr3:uid="{76BD5E3C-339A-49CA-BA98-4B07428AF164}" name="Column2560"/>
    <tableColumn id="2594" xr3:uid="{3139BA31-4E07-4E1B-9584-7E43AFD0617B}" name="Column2561"/>
    <tableColumn id="2595" xr3:uid="{8C8FDA03-6561-43DB-B1EA-8CD0094D9F0E}" name="Column2562"/>
    <tableColumn id="2596" xr3:uid="{B8991B20-7D00-4A5B-AD1C-A115124AA1C0}" name="Column2563"/>
    <tableColumn id="2597" xr3:uid="{7C405DBC-97BE-42AC-BE97-FD0814940939}" name="Column2564"/>
    <tableColumn id="2598" xr3:uid="{62746D16-581A-4916-8DFC-F3CA92902A41}" name="Column2565"/>
    <tableColumn id="2599" xr3:uid="{D0D9523A-F6FD-4B17-BB76-619A2DF8E10D}" name="Column2566"/>
    <tableColumn id="2600" xr3:uid="{28C7E689-3747-4FA2-9BA0-F6682070231C}" name="Column2567"/>
    <tableColumn id="2601" xr3:uid="{1E61C92B-7D53-47F9-9CC5-CB0F1071FFBB}" name="Column2568"/>
    <tableColumn id="2602" xr3:uid="{15F92596-663A-470E-AB5E-7C92CDF47B73}" name="Column2569"/>
    <tableColumn id="2603" xr3:uid="{53550761-74F7-4B64-B0C8-F61DA79667E4}" name="Column2570"/>
    <tableColumn id="2604" xr3:uid="{44691580-C5D7-4F50-9241-F6B1F5B45390}" name="Column2571"/>
    <tableColumn id="2605" xr3:uid="{74983E41-732D-45E1-9216-E325F13839C3}" name="Column2572"/>
    <tableColumn id="2606" xr3:uid="{19ECEA66-56EF-4C2C-B8C2-F2F612115614}" name="Column2573"/>
    <tableColumn id="2607" xr3:uid="{53754F09-F278-4DCF-AC99-CB9F15AD9E87}" name="Column2574"/>
    <tableColumn id="2608" xr3:uid="{D5587D30-5811-4532-AAC0-2990E6BEFC97}" name="Column2575"/>
    <tableColumn id="2609" xr3:uid="{3090BFB3-1676-45C2-9EAA-CCFA42358179}" name="Column2576"/>
    <tableColumn id="2610" xr3:uid="{A3D0C76A-38F5-4DCD-8B39-9872E2D4F41E}" name="Column2577"/>
    <tableColumn id="2611" xr3:uid="{66D7E07D-10F9-48CB-A2E5-2383150CDA2F}" name="Column2578"/>
    <tableColumn id="2612" xr3:uid="{A790AD86-B9F7-44FB-A142-A0FF2600967D}" name="Column2579"/>
    <tableColumn id="2613" xr3:uid="{1341721D-D4B6-48E5-BE9E-AB4087086EA1}" name="Column2580"/>
    <tableColumn id="2614" xr3:uid="{331CDCD0-6D59-4101-965B-1D342CF256E8}" name="Column2581"/>
    <tableColumn id="2615" xr3:uid="{8AA43CBE-4788-48B2-AB49-889CE591C491}" name="Column2582"/>
    <tableColumn id="2616" xr3:uid="{25E8EFD3-7060-45BE-99F3-0C9FCAD52E1F}" name="Column2583"/>
    <tableColumn id="2617" xr3:uid="{AAB6812D-BEB9-4A13-9BD6-3398D0C0430E}" name="Column2584"/>
    <tableColumn id="2618" xr3:uid="{31F5A160-0BFA-41E3-B83A-C42A58717ECB}" name="Column2585"/>
    <tableColumn id="2619" xr3:uid="{3EAE6DF2-1286-49C2-B380-C7F7EA7713FE}" name="Column2586"/>
    <tableColumn id="2620" xr3:uid="{F789F219-6F52-4A90-985A-19AF2E9C2A32}" name="Column2587"/>
    <tableColumn id="2621" xr3:uid="{AEF19A5A-C019-4F9E-8903-514EE32AE70B}" name="Column2588"/>
    <tableColumn id="2622" xr3:uid="{F03CB6C2-F927-4A82-9AA4-235460CE8520}" name="Column2589"/>
    <tableColumn id="2623" xr3:uid="{D24EB61C-6163-4FC8-AFCD-67A49CC60595}" name="Column2590"/>
    <tableColumn id="2624" xr3:uid="{8FF88571-5E05-46CB-BC70-A6761C041CC3}" name="Column2591"/>
    <tableColumn id="2625" xr3:uid="{DE55879A-ACA4-4A19-830A-591CBE368F13}" name="Column2592"/>
    <tableColumn id="2626" xr3:uid="{59884704-6C49-4349-BDF6-9BBF082807DA}" name="Column2593"/>
    <tableColumn id="2627" xr3:uid="{CFAEDDCD-CE5A-4977-9CAA-E6B4E7E35F5C}" name="Column2594"/>
    <tableColumn id="2628" xr3:uid="{DF7B826A-9B0A-478B-86E8-112A99930E2E}" name="Column2595"/>
    <tableColumn id="2629" xr3:uid="{BAD96A9F-F708-462A-81D3-D353ED3E16AB}" name="Column2596"/>
    <tableColumn id="2630" xr3:uid="{9772A2B6-2632-4C6B-A152-CD01AD7715FA}" name="Column2597"/>
    <tableColumn id="2631" xr3:uid="{9A7B46E3-6927-4148-8511-287D449103DE}" name="Column2598"/>
    <tableColumn id="2632" xr3:uid="{34A40ABE-479D-4003-9DE1-84EBD4BF7AF5}" name="Column2599"/>
    <tableColumn id="2633" xr3:uid="{8BEFA3B8-CBE8-464B-B6D7-016701F82B4D}" name="Column2600"/>
    <tableColumn id="2634" xr3:uid="{40FBC6EB-A29F-478E-928E-312844DE3B43}" name="Column2601"/>
    <tableColumn id="2635" xr3:uid="{F33C6A7E-6478-4BCB-81F1-C51B859560CA}" name="Column2602"/>
    <tableColumn id="2636" xr3:uid="{736D1BA3-4302-4259-A9A1-086E5D718884}" name="Column2603"/>
    <tableColumn id="2637" xr3:uid="{0AD2EABE-4657-48B9-A3A6-0EF6CC355420}" name="Column2604"/>
    <tableColumn id="2638" xr3:uid="{DC0E1F77-40F3-413F-9A52-E161DBD14205}" name="Column2605"/>
    <tableColumn id="2639" xr3:uid="{3BE32537-5FB0-4814-A4C9-3E836BBC9831}" name="Column2606"/>
    <tableColumn id="2640" xr3:uid="{B4D0217A-CBBB-433A-987A-212FA0625608}" name="Column2607"/>
    <tableColumn id="2641" xr3:uid="{FB2853A8-7D27-4B0B-B138-732577DE7F3B}" name="Column2608"/>
    <tableColumn id="2642" xr3:uid="{7B255500-AF84-4371-8C65-1FC8C4E0735D}" name="Column2609"/>
    <tableColumn id="2643" xr3:uid="{1C5627B0-3FE3-4949-9271-CEE65CA54ACE}" name="Column2610"/>
    <tableColumn id="2644" xr3:uid="{CE2975A9-66CE-49A6-8CCD-99D801439A13}" name="Column2611"/>
    <tableColumn id="2645" xr3:uid="{B52437F8-552F-4714-9204-F12A105719FE}" name="Column2612"/>
    <tableColumn id="2646" xr3:uid="{4F0F80D0-D1C3-45DB-9208-FE8F014B7E2E}" name="Column2613"/>
    <tableColumn id="2647" xr3:uid="{623B27ED-F518-4064-8EA0-88CE5F838203}" name="Column2614"/>
    <tableColumn id="2648" xr3:uid="{2A4AABDC-F03F-416D-AA18-4A59BB51BFE9}" name="Column2615"/>
    <tableColumn id="2649" xr3:uid="{25CBD494-420B-48D3-970E-4C5972268B39}" name="Column2616"/>
    <tableColumn id="2650" xr3:uid="{BB0A5963-97C7-410D-95AD-52180413C3D5}" name="Column2617"/>
    <tableColumn id="2651" xr3:uid="{B679E364-80FD-40FC-AA61-F952D7353B6B}" name="Column2618"/>
    <tableColumn id="2652" xr3:uid="{452F80A6-8E0A-4B63-B6A0-536A5B2C4D29}" name="Column2619"/>
    <tableColumn id="2653" xr3:uid="{E2FBA6F5-77D0-40D1-AD73-60448B7BFC73}" name="Column2620"/>
    <tableColumn id="2654" xr3:uid="{8AA9BAC4-EEBF-4FA7-B7B5-C5CB90C4C60E}" name="Column2621"/>
    <tableColumn id="2655" xr3:uid="{B4B5BC0A-9581-44FD-8DB6-BC5950B9B2E1}" name="Column2622"/>
    <tableColumn id="2656" xr3:uid="{EC64596F-9F79-4903-B7A6-79B79832356A}" name="Column2623"/>
    <tableColumn id="2657" xr3:uid="{E78AA4C8-BF1E-4D36-B8C4-AC61792C029C}" name="Column2624"/>
    <tableColumn id="2658" xr3:uid="{42BACCA3-8BBE-4AA3-850A-1530AD8FC45D}" name="Column2625"/>
    <tableColumn id="2659" xr3:uid="{F0EC9137-9FA1-453D-867B-BEF54B9539E8}" name="Column2626"/>
    <tableColumn id="2660" xr3:uid="{65AFED40-5A50-4E5C-92DF-11066C240511}" name="Column2627"/>
    <tableColumn id="2661" xr3:uid="{312E965D-A8C3-49F0-B231-CA9272C2A284}" name="Column2628"/>
    <tableColumn id="2662" xr3:uid="{F88F825D-C8A7-4A41-BB76-6C1CACFFD14A}" name="Column2629"/>
    <tableColumn id="2663" xr3:uid="{AB1B7713-C0AE-4B30-B2F4-C6B30CAE7088}" name="Column2630"/>
    <tableColumn id="2664" xr3:uid="{413AB57F-E017-4A15-B88B-C36C700820F4}" name="Column2631"/>
    <tableColumn id="2665" xr3:uid="{491F3792-2146-446B-8008-9094BD9489DF}" name="Column2632"/>
    <tableColumn id="2666" xr3:uid="{1DDE5709-B0D5-4722-B7FA-01946A667D93}" name="Column2633"/>
    <tableColumn id="2667" xr3:uid="{4CECF285-CEE8-4BA3-8FF1-7FD6F6571F0A}" name="Column2634"/>
    <tableColumn id="2668" xr3:uid="{186CEF9D-56BF-4DC9-A244-700C97F537ED}" name="Column2635"/>
    <tableColumn id="2669" xr3:uid="{B918ED4C-92A7-49E9-AF78-0D21A0747346}" name="Column2636"/>
    <tableColumn id="2670" xr3:uid="{6331EDD2-BE60-4DEC-BCCF-9186F771446E}" name="Column2637"/>
    <tableColumn id="2671" xr3:uid="{3B51D9ED-CE6B-471E-8666-F9F4669A9640}" name="Column2638"/>
    <tableColumn id="2672" xr3:uid="{B03FC434-7935-4034-8CEB-23A7510398D5}" name="Column2639"/>
    <tableColumn id="2673" xr3:uid="{02A6FFAE-1B02-4599-9EFB-F76CA8A58A73}" name="Column2640"/>
    <tableColumn id="2674" xr3:uid="{AD668295-C154-4DC7-AF4D-A258BCB6C395}" name="Column2641"/>
    <tableColumn id="2675" xr3:uid="{341781F1-30C7-497A-BD96-D7DB43E6993D}" name="Column2642"/>
    <tableColumn id="2676" xr3:uid="{934D9AC6-8717-439C-9755-D1E69CFA8D14}" name="Column2643"/>
    <tableColumn id="2677" xr3:uid="{598BB100-FC84-4023-A907-7CFF0370C7AF}" name="Column2644"/>
    <tableColumn id="2678" xr3:uid="{894567F2-DA6C-481C-9032-BB7A042C3B79}" name="Column2645"/>
    <tableColumn id="2679" xr3:uid="{19001242-D409-4FE7-B8D6-313F563C8D49}" name="Column2646"/>
    <tableColumn id="2680" xr3:uid="{AF3C5BA5-3508-406F-80E0-9894E2FE973C}" name="Column2647"/>
    <tableColumn id="2681" xr3:uid="{584B9BC8-EA0A-4C85-944B-6A7DA01CE90E}" name="Column2648"/>
    <tableColumn id="2682" xr3:uid="{557EDA6B-1AA2-478F-8867-1CB8CA180F4A}" name="Column2649"/>
    <tableColumn id="2683" xr3:uid="{413AB705-DE91-45B2-AE34-AF232D9CD510}" name="Column2650"/>
    <tableColumn id="2684" xr3:uid="{64099AAF-A0B9-49D1-99E6-79C67A16FBCF}" name="Column2651"/>
    <tableColumn id="2685" xr3:uid="{7CEFDA79-03E3-40E7-85D6-B55F1DEF0AA2}" name="Column2652"/>
    <tableColumn id="2686" xr3:uid="{FEBF8553-259B-4C64-B683-DE6B6E58A5DA}" name="Column2653"/>
    <tableColumn id="2687" xr3:uid="{CCA22972-3C58-4D12-9540-CEC3300DCACE}" name="Column2654"/>
    <tableColumn id="2688" xr3:uid="{79F621D8-BE47-4197-80D5-5CF28244080A}" name="Column2655"/>
    <tableColumn id="2689" xr3:uid="{E1EC325C-2F62-4C07-B13D-1FAB7A752067}" name="Column2656"/>
    <tableColumn id="2690" xr3:uid="{04172BA9-686B-4AD5-8A37-0420B24EB643}" name="Column2657"/>
    <tableColumn id="2691" xr3:uid="{A198F93D-052A-4451-BC43-340AE9CB0F42}" name="Column2658"/>
    <tableColumn id="2692" xr3:uid="{50F87B9B-D0DA-4334-A918-59FC3308BB5D}" name="Column2659"/>
    <tableColumn id="2693" xr3:uid="{DEB6FA90-9038-4048-B4D3-9031C0EB5CD1}" name="Column2660"/>
    <tableColumn id="2694" xr3:uid="{5E9A95DF-EF1C-42D6-84DA-0E8CF8660FFE}" name="Column2661"/>
    <tableColumn id="2695" xr3:uid="{CBDE6B3C-57BC-4C49-9152-3A1F871DC270}" name="Column2662"/>
    <tableColumn id="2696" xr3:uid="{454EF103-E322-4099-8C3A-CFF1B9EC305E}" name="Column2663"/>
    <tableColumn id="2697" xr3:uid="{8A7A980B-9C04-4D78-B76A-5937E16B01E9}" name="Column2664"/>
    <tableColumn id="2698" xr3:uid="{7CB0FA13-8D67-4875-B2C7-17F1875CE629}" name="Column2665"/>
    <tableColumn id="2699" xr3:uid="{31A1FB92-CCBC-4685-BFD4-BF6BE219057B}" name="Column2666"/>
    <tableColumn id="2700" xr3:uid="{E97996DB-DD08-4821-A04A-132468CAABF9}" name="Column2667"/>
    <tableColumn id="2701" xr3:uid="{7DE25436-84A2-4CD8-912E-773BD1114D65}" name="Column2668"/>
    <tableColumn id="2702" xr3:uid="{65F5161F-6D1F-4101-90D7-4238BAA4FA88}" name="Column2669"/>
    <tableColumn id="2703" xr3:uid="{56A97A04-9676-4878-A325-3557E909D7DC}" name="Column2670"/>
    <tableColumn id="2704" xr3:uid="{243CC115-CD31-4B22-9644-3F4D791CDC85}" name="Column2671"/>
    <tableColumn id="2705" xr3:uid="{4C72E6B1-53A3-4409-82C5-7638551B2A20}" name="Column2672"/>
    <tableColumn id="2706" xr3:uid="{FEDB2DE4-DA92-43D7-9EBC-898A361AA8D0}" name="Column2673"/>
    <tableColumn id="2707" xr3:uid="{3BFA97EC-1186-441F-B265-3FA465E0950A}" name="Column2674"/>
    <tableColumn id="2708" xr3:uid="{75CF97C7-4934-47F1-BC3E-303BCE8EEBC2}" name="Column2675"/>
    <tableColumn id="2709" xr3:uid="{93509871-0F12-4BC5-B22B-A348AFC13453}" name="Column2676"/>
    <tableColumn id="2710" xr3:uid="{9371190D-BDCC-4B8A-A19E-330A8E4EB8B1}" name="Column2677"/>
    <tableColumn id="2711" xr3:uid="{26A92835-F93F-40D0-9880-ADB18BD9F0A3}" name="Column2678"/>
    <tableColumn id="2712" xr3:uid="{1EBD2D1C-8584-4272-BBE9-D182FFB5C8E8}" name="Column2679"/>
    <tableColumn id="2713" xr3:uid="{D45B801F-0ECF-4AAB-B60E-222317ACED00}" name="Column2680"/>
    <tableColumn id="2714" xr3:uid="{F70028B2-CB6A-48AF-B9E8-3D533F2CE368}" name="Column2681"/>
    <tableColumn id="2715" xr3:uid="{61DF8D1F-E574-4BA2-8484-7CA2268C45E8}" name="Column2682"/>
    <tableColumn id="2716" xr3:uid="{FCF4C888-7561-4FBC-8A5D-0C9CB4A408E2}" name="Column2683"/>
    <tableColumn id="2717" xr3:uid="{A2CAC12F-12C6-4A9C-8147-48FC1DC07F2C}" name="Column2684"/>
    <tableColumn id="2718" xr3:uid="{F0254A6E-2A80-44AE-A6FB-2BB35A939520}" name="Column2685"/>
    <tableColumn id="2719" xr3:uid="{A11041FC-1212-46BA-B4BE-A847303669B9}" name="Column2686"/>
    <tableColumn id="2720" xr3:uid="{0E149ADF-B228-4929-B057-D0FE812FD860}" name="Column2687"/>
    <tableColumn id="2721" xr3:uid="{955FEC10-416C-4202-96C9-1844372C6E2F}" name="Column2688"/>
    <tableColumn id="2722" xr3:uid="{4ADD6050-4924-4BA3-8BFF-4E1FCE61F348}" name="Column2689"/>
    <tableColumn id="2723" xr3:uid="{F9EA1EBC-C696-419A-A47B-1D65D3BD6245}" name="Column2690"/>
    <tableColumn id="2724" xr3:uid="{847F33EE-A0E3-456E-A87D-263CF9D7E482}" name="Column2691"/>
    <tableColumn id="2725" xr3:uid="{B13DC7FC-09A0-4456-B2D2-3DCB46CE4C32}" name="Column2692"/>
    <tableColumn id="2726" xr3:uid="{C20E6E65-1D6A-4D2F-8365-4D374C9D0257}" name="Column2693"/>
    <tableColumn id="2727" xr3:uid="{D04D746C-2A3C-4B52-8843-77A9FE039184}" name="Column2694"/>
    <tableColumn id="2728" xr3:uid="{4EAA3781-B435-48F1-A8C9-F360FB0DA848}" name="Column2695"/>
    <tableColumn id="2729" xr3:uid="{D0B1C130-EC19-4642-BE61-F1EBEC47AA5E}" name="Column2696"/>
    <tableColumn id="2730" xr3:uid="{8BCDADED-759E-4FF4-935C-7F903BAA027E}" name="Column2697"/>
    <tableColumn id="2731" xr3:uid="{8E2DDA44-8A46-44C3-993A-8F59883584E2}" name="Column2698"/>
    <tableColumn id="2732" xr3:uid="{8E54887A-A642-4E75-97B6-0CC855788BEC}" name="Column2699"/>
    <tableColumn id="2733" xr3:uid="{78A58B76-7B11-4D2E-BC21-6697F49AF75F}" name="Column2700"/>
    <tableColumn id="2734" xr3:uid="{C203A0A4-29B7-4AC1-B4AB-D570EFF3ADDD}" name="Column2701"/>
    <tableColumn id="2735" xr3:uid="{0DEFABC3-1A0B-4E1E-BAB4-60296229C143}" name="Column2702"/>
    <tableColumn id="2736" xr3:uid="{D0D92518-EF7E-461C-A806-A12AA16BFA49}" name="Column2703"/>
    <tableColumn id="2737" xr3:uid="{52A06532-B2BB-48E9-907A-97C2FDE4EC33}" name="Column2704"/>
    <tableColumn id="2738" xr3:uid="{C23B32E1-BF7B-49F7-995C-8CEA8E06308C}" name="Column2705"/>
    <tableColumn id="2739" xr3:uid="{13FDAA58-CA59-49B9-8FC1-E48C416DFA51}" name="Column2706"/>
    <tableColumn id="2740" xr3:uid="{D8D23D83-DC56-46F8-BD38-8FCAEF81BDF3}" name="Column2707"/>
    <tableColumn id="2741" xr3:uid="{8097F42F-06DC-4FC9-95FB-298185F0037D}" name="Column2708"/>
    <tableColumn id="2742" xr3:uid="{E11D8C7B-3B05-46EC-AB49-D516D2778C50}" name="Column2709"/>
    <tableColumn id="2743" xr3:uid="{A4A5AB8C-4AAD-4929-B713-92BEC878EE59}" name="Column2710"/>
    <tableColumn id="2744" xr3:uid="{5EDAD1ED-48F8-4D15-9371-EA4270CB1AFC}" name="Column2711"/>
    <tableColumn id="2745" xr3:uid="{B332632E-6709-4FCA-8CC7-CA0A888B64F5}" name="Column2712"/>
    <tableColumn id="2746" xr3:uid="{485B8D95-0750-4B84-995E-85DB7F42F157}" name="Column2713"/>
    <tableColumn id="2747" xr3:uid="{05501540-8CCE-4BAE-A1F7-EAD81FC97F52}" name="Column2714"/>
    <tableColumn id="2748" xr3:uid="{D7D02702-AF85-4353-9AA1-78003CD9CC52}" name="Column2715"/>
    <tableColumn id="2749" xr3:uid="{3301BA1A-385D-483C-9DCD-E3E372E69243}" name="Column2716"/>
    <tableColumn id="2750" xr3:uid="{D518A2C8-847A-490B-A994-77606A80F175}" name="Column2717"/>
    <tableColumn id="2751" xr3:uid="{1F7DD636-EDD3-48B4-AAE5-24D83C4759DA}" name="Column2718"/>
    <tableColumn id="2752" xr3:uid="{3DD244D4-16D9-46D2-9545-495B21967BCF}" name="Column2719"/>
    <tableColumn id="2753" xr3:uid="{4AD43354-BE25-4CBA-8B5C-7C01B434A8E5}" name="Column2720"/>
    <tableColumn id="2754" xr3:uid="{189E09AF-174F-4EDE-BB41-2C5676D81DAE}" name="Column2721"/>
    <tableColumn id="2755" xr3:uid="{D6F91D55-FD4E-428C-AC66-A2460E39B785}" name="Column2722"/>
    <tableColumn id="2756" xr3:uid="{E9D81D28-B384-4A5D-8946-15566351C4F9}" name="Column2723"/>
    <tableColumn id="2757" xr3:uid="{E66AFEF9-9399-4160-8372-2B2D6BDBC0C1}" name="Column2724"/>
    <tableColumn id="2758" xr3:uid="{51A04C7F-A062-428F-9ABC-9A02F636DC7F}" name="Column2725"/>
    <tableColumn id="2759" xr3:uid="{DA8A6262-F2C8-44EB-B3FF-FDF3290271AC}" name="Column2726"/>
    <tableColumn id="2760" xr3:uid="{138A4C5C-8FC7-4AEB-AD2D-517763BFA784}" name="Column2727"/>
    <tableColumn id="2761" xr3:uid="{0A697CB2-3557-48C5-B2C2-468A491CADCA}" name="Column2728"/>
    <tableColumn id="2762" xr3:uid="{CA9D7B9D-7FFE-4753-A4F8-020A798F68EB}" name="Column2729"/>
    <tableColumn id="2763" xr3:uid="{51B57931-D39F-40D5-B9BC-9C6B5BF998EC}" name="Column2730"/>
    <tableColumn id="2764" xr3:uid="{F50A6C4D-3D18-46B1-B1A1-BEED2851C175}" name="Column2731"/>
    <tableColumn id="2765" xr3:uid="{A00673F1-780D-4A19-B87B-509F570CB0ED}" name="Column2732"/>
    <tableColumn id="2766" xr3:uid="{5C4C6E36-0537-4F7E-84B0-9386BC0E0D9E}" name="Column2733"/>
    <tableColumn id="2767" xr3:uid="{77E17272-030C-4904-AD38-29879FCB9A91}" name="Column2734"/>
    <tableColumn id="2768" xr3:uid="{407D4AB6-EFFD-4624-A1ED-2D57E39665FE}" name="Column2735"/>
    <tableColumn id="2769" xr3:uid="{1D62C4F6-5D6F-4ACF-A256-BAB7DA34F123}" name="Column2736"/>
    <tableColumn id="2770" xr3:uid="{03744C2A-C0C1-4B71-9C4E-82DF58A70AEF}" name="Column2737"/>
    <tableColumn id="2771" xr3:uid="{38D226B7-2D3E-4CC1-B034-5FCCE54823A4}" name="Column2738"/>
    <tableColumn id="2772" xr3:uid="{CDD9AA21-B020-47E2-B686-0F23DC6BA0C1}" name="Column2739"/>
    <tableColumn id="2773" xr3:uid="{F4003D17-A465-4BC1-83F1-E0616484D4B4}" name="Column2740"/>
    <tableColumn id="2774" xr3:uid="{569D8308-B264-4CF1-94FE-7414FB9D06FF}" name="Column2741"/>
    <tableColumn id="2775" xr3:uid="{529F66F4-56A4-4EB0-8752-5CF36604EF19}" name="Column2742"/>
    <tableColumn id="2776" xr3:uid="{96A4EA87-8322-4EE5-A3FA-B14F37209C49}" name="Column2743"/>
    <tableColumn id="2777" xr3:uid="{7189A456-0018-4CAE-8B22-0811F6EAFE43}" name="Column2744"/>
    <tableColumn id="2778" xr3:uid="{617A57FE-8074-43A5-891E-104F2C0F3EE0}" name="Column2745"/>
    <tableColumn id="2779" xr3:uid="{EC63EB92-A56E-42AF-9DA7-29636C66324E}" name="Column2746"/>
    <tableColumn id="2780" xr3:uid="{1A77471D-168C-4557-9F24-0B4F7EEA09C5}" name="Column2747"/>
    <tableColumn id="2781" xr3:uid="{2DFDEE19-AFD7-45A1-AA5D-7E1985118F0B}" name="Column2748"/>
    <tableColumn id="2782" xr3:uid="{320808A1-59BE-4851-AF7F-A199A2188720}" name="Column2749"/>
    <tableColumn id="2783" xr3:uid="{35BA0F29-A221-4831-B3BD-196F6B56ACFF}" name="Column2750"/>
    <tableColumn id="2784" xr3:uid="{92B777AB-D807-46D2-82B2-376D62793774}" name="Column2751"/>
    <tableColumn id="2785" xr3:uid="{2FC265AA-3528-4F24-ADBE-41137EFF2303}" name="Column2752"/>
    <tableColumn id="2786" xr3:uid="{E62E5143-608C-43F9-B478-F8957F5C7D05}" name="Column2753"/>
    <tableColumn id="2787" xr3:uid="{60D223BE-3B65-400C-AE52-9ECDD93FE398}" name="Column2754"/>
    <tableColumn id="2788" xr3:uid="{10FFDB75-749A-4827-A62B-6B027B574B52}" name="Column2755"/>
    <tableColumn id="2789" xr3:uid="{597BEE85-6BB3-4BF9-AAB3-838A5DBE6621}" name="Column2756"/>
    <tableColumn id="2790" xr3:uid="{F365937C-EC56-4773-BDB1-9342322C6289}" name="Column2757"/>
    <tableColumn id="2791" xr3:uid="{3250BCBB-913B-422D-9FD1-2F3EFE401CF8}" name="Column2758"/>
    <tableColumn id="2792" xr3:uid="{F7D98CFF-E156-497C-B681-A4A5C78E7626}" name="Column2759"/>
    <tableColumn id="2793" xr3:uid="{7DEFAF68-F384-46FE-B53D-E2C0A1C7B0B1}" name="Column2760"/>
    <tableColumn id="2794" xr3:uid="{ADB60A07-63E2-46B5-9E1B-5718CE3ADC0B}" name="Column2761"/>
    <tableColumn id="2795" xr3:uid="{A6640998-09DD-4A19-8A77-190F5696CC0A}" name="Column2762"/>
    <tableColumn id="2796" xr3:uid="{B88C7656-BDB7-4CE0-ABF4-C3413D05B03C}" name="Column2763"/>
    <tableColumn id="2797" xr3:uid="{7024C8DC-33AB-4A61-9CA2-7511D3971173}" name="Column2764"/>
    <tableColumn id="2798" xr3:uid="{1A858D71-E964-419D-847D-21A48026A8D1}" name="Column2765"/>
    <tableColumn id="2799" xr3:uid="{1AF6EE11-FA07-41C0-A049-5B7950090275}" name="Column2766"/>
    <tableColumn id="2800" xr3:uid="{374058BA-4C5C-4791-B27A-0E6409CA7827}" name="Column2767"/>
    <tableColumn id="2801" xr3:uid="{343C5F60-20D0-42A8-82EA-C3256C3E38CD}" name="Column2768"/>
    <tableColumn id="2802" xr3:uid="{FDD01E04-52DB-4848-B345-E08C2B5678F2}" name="Column2769"/>
    <tableColumn id="2803" xr3:uid="{71B40114-E543-4D88-930F-6B5371353B3E}" name="Column2770"/>
    <tableColumn id="2804" xr3:uid="{BB55C2BF-1F0E-4EB4-9343-A9388BFD6FB4}" name="Column2771"/>
    <tableColumn id="2805" xr3:uid="{A82E05E7-6614-470E-BDD5-09D2BC59B57C}" name="Column2772"/>
    <tableColumn id="2806" xr3:uid="{372281AB-EC22-49D2-B4A7-73C7682761DD}" name="Column2773"/>
    <tableColumn id="2807" xr3:uid="{A0FB3FBA-0659-4A97-9E28-9B545718D658}" name="Column2774"/>
    <tableColumn id="2808" xr3:uid="{9E1DCA05-5683-425F-8E24-3FE63A3ADE30}" name="Column2775"/>
    <tableColumn id="2809" xr3:uid="{2C307318-0E83-4538-A71E-1737F7E18CA4}" name="Column2776"/>
    <tableColumn id="2810" xr3:uid="{C71A76E1-DC3D-442D-85D0-0DC910418B32}" name="Column2777"/>
    <tableColumn id="2811" xr3:uid="{79FDC977-CBDB-46F9-9F81-10C242117F30}" name="Column2778"/>
    <tableColumn id="2812" xr3:uid="{389171C6-FE04-4040-9D2D-8D0136C15D06}" name="Column2779"/>
    <tableColumn id="2813" xr3:uid="{3F39805E-DF1E-4DA6-A00B-97A39554BBE7}" name="Column2780"/>
    <tableColumn id="2814" xr3:uid="{709F0E40-9FCE-4561-ACD5-F654A2CF375D}" name="Column2781"/>
    <tableColumn id="2815" xr3:uid="{DAE5DE2F-F246-409E-90F8-F90B80D62E8B}" name="Column2782"/>
    <tableColumn id="2816" xr3:uid="{60F3D1BA-CC57-4E10-B13B-243DFCC44481}" name="Column2783"/>
    <tableColumn id="2817" xr3:uid="{AAE69500-1BD0-4D49-8A59-B6EB19E5C212}" name="Column2784"/>
    <tableColumn id="2818" xr3:uid="{D2998CF6-878B-4A86-A83F-A4E061C5C9B0}" name="Column2785"/>
    <tableColumn id="2819" xr3:uid="{E827FE5A-B503-456C-B01F-E59336A5D1A3}" name="Column2786"/>
    <tableColumn id="2820" xr3:uid="{C62B636D-9CA2-4A36-B6E9-FD1F9B99FCF3}" name="Column2787"/>
    <tableColumn id="2821" xr3:uid="{024BCF12-01F9-4D81-856F-2BC5E10A2074}" name="Column2788"/>
    <tableColumn id="2822" xr3:uid="{3CF77E2D-462F-414B-BD10-E1C0F947C396}" name="Column2789"/>
    <tableColumn id="2823" xr3:uid="{B40420DC-C8F4-4A00-8BA6-4070A3E9BCB4}" name="Column2790"/>
    <tableColumn id="2824" xr3:uid="{65E71631-50FB-4F44-A495-AAE1C2B957B5}" name="Column2791"/>
    <tableColumn id="2825" xr3:uid="{5DBD5E76-29BB-4918-915B-53490D76E101}" name="Column2792"/>
    <tableColumn id="2826" xr3:uid="{129D8DD7-BA96-48B8-BE0E-F2D18AB981F7}" name="Column2793"/>
    <tableColumn id="2827" xr3:uid="{6753C7D6-3038-4002-8538-659508AD666A}" name="Column2794"/>
    <tableColumn id="2828" xr3:uid="{883056D8-CA51-41EE-B264-72EE3CC3693B}" name="Column2795"/>
    <tableColumn id="2829" xr3:uid="{985C6BD8-F006-4A90-AA2A-C14AC3C70663}" name="Column2796"/>
    <tableColumn id="2830" xr3:uid="{4695C428-E010-4C4C-A9F9-9E0FB8167C6F}" name="Column2797"/>
    <tableColumn id="2831" xr3:uid="{5EC09BAC-19EB-4A0F-8911-366116E2099F}" name="Column2798"/>
    <tableColumn id="2832" xr3:uid="{54654C23-0A51-4424-8902-6DF07FCBF2F5}" name="Column2799"/>
    <tableColumn id="2833" xr3:uid="{B50D32D2-09DC-414E-8667-BFCE3FDDD03F}" name="Column2800"/>
    <tableColumn id="2834" xr3:uid="{B67247C1-1F3B-4E98-8789-29D55286AD35}" name="Column2801"/>
    <tableColumn id="2835" xr3:uid="{7449D53C-8754-40D5-8482-F62C4FB9243A}" name="Column2802"/>
    <tableColumn id="2836" xr3:uid="{71CACEC0-D5EC-48CB-B527-1C06F4851D3C}" name="Column2803"/>
    <tableColumn id="2837" xr3:uid="{9D3E048E-7046-4798-81AC-A9E9A0D9220C}" name="Column2804"/>
    <tableColumn id="2838" xr3:uid="{6F490FFA-779C-4CDA-B8F1-4804A481674C}" name="Column2805"/>
    <tableColumn id="2839" xr3:uid="{E105D10D-1C9C-443E-B8D2-B0227849517A}" name="Column2806"/>
    <tableColumn id="2840" xr3:uid="{3E140C61-7E7F-4299-ADC1-90362D7CCA59}" name="Column2807"/>
    <tableColumn id="2841" xr3:uid="{99C0C05C-A394-475E-81B3-C4364DF7F471}" name="Column2808"/>
    <tableColumn id="2842" xr3:uid="{8010E175-8980-45F7-BB0F-234CD5F53486}" name="Column2809"/>
    <tableColumn id="2843" xr3:uid="{34DF7700-3870-40B2-A231-1E8CC84D9D53}" name="Column2810"/>
    <tableColumn id="2844" xr3:uid="{B5FD4B6C-AF63-4D6E-8CA4-EFCFBE10287D}" name="Column2811"/>
    <tableColumn id="2845" xr3:uid="{EBCBE490-90B1-4AE7-85BD-0E1AABD7F144}" name="Column2812"/>
    <tableColumn id="2846" xr3:uid="{EA98D436-3E0D-409D-BD04-BD47C98CF30B}" name="Column2813"/>
    <tableColumn id="2847" xr3:uid="{537C8E5E-C488-4D13-B676-E04F90632FEB}" name="Column2814"/>
    <tableColumn id="2848" xr3:uid="{30BDEC96-5D58-4DD0-B510-4F27976DC321}" name="Column2815"/>
    <tableColumn id="2849" xr3:uid="{8C10DECA-219F-42BF-8470-DC11AA6BEEDC}" name="Column2816"/>
    <tableColumn id="2850" xr3:uid="{5637461F-DFC4-4F4F-9BDE-71FAC26226A4}" name="Column2817"/>
    <tableColumn id="2851" xr3:uid="{CA8FFA9A-2705-4FBA-AEDF-CB65688264BF}" name="Column2818"/>
    <tableColumn id="2852" xr3:uid="{007A3409-8D12-4497-81A8-2E95DBCA0940}" name="Column2819"/>
    <tableColumn id="2853" xr3:uid="{1F5F15BC-361F-4189-B189-2E25F303EC41}" name="Column2820"/>
    <tableColumn id="2854" xr3:uid="{59406430-1491-4575-9094-B163E668E967}" name="Column2821"/>
    <tableColumn id="2855" xr3:uid="{83285A17-6E22-4E02-8F94-B689890EF9BE}" name="Column2822"/>
    <tableColumn id="2856" xr3:uid="{C3C6B9D7-D565-4122-8684-B26FE6631E41}" name="Column2823"/>
    <tableColumn id="2857" xr3:uid="{C9E386F6-D423-4CAF-88B7-220A2EAF45AD}" name="Column2824"/>
    <tableColumn id="2858" xr3:uid="{1168A218-A172-40C1-BBF0-4D4867C8204D}" name="Column2825"/>
    <tableColumn id="2859" xr3:uid="{851B3BAB-C94B-43DF-BB7B-62879677B540}" name="Column2826"/>
    <tableColumn id="2860" xr3:uid="{C1161E40-66BA-4AFA-8EA5-550EFAF0465F}" name="Column2827"/>
    <tableColumn id="2861" xr3:uid="{E662E743-1091-40F0-9819-6C63888649DD}" name="Column2828"/>
    <tableColumn id="2862" xr3:uid="{F4C360BB-CA4D-4332-A75C-99942906B4EB}" name="Column2829"/>
    <tableColumn id="2863" xr3:uid="{A49DC752-5C65-4FAB-A866-0E0C572330D7}" name="Column2830"/>
    <tableColumn id="2864" xr3:uid="{B7B91CCA-E1E5-48C5-B4E0-E60AE9EA4C3A}" name="Column2831"/>
    <tableColumn id="2865" xr3:uid="{33AE2F13-DE16-4083-8340-06473C7D0A3B}" name="Column2832"/>
    <tableColumn id="2866" xr3:uid="{5EAB9E21-7FBA-4B8A-ACA8-0BBDF6D1A25B}" name="Column2833"/>
    <tableColumn id="2867" xr3:uid="{A1125991-8012-4AD0-BD39-0D4FF489C727}" name="Column2834"/>
    <tableColumn id="2868" xr3:uid="{A9D13B41-22CE-44CB-B82B-FCC226CF0784}" name="Column2835"/>
    <tableColumn id="2869" xr3:uid="{B2C82BE8-7DBC-473C-8763-36CBE4D2B884}" name="Column2836"/>
    <tableColumn id="2870" xr3:uid="{7512A9A7-FF15-4609-8515-F808DA18137F}" name="Column2837"/>
    <tableColumn id="2871" xr3:uid="{2FDC8C5A-D4C6-4616-9ABA-D1023252B027}" name="Column2838"/>
    <tableColumn id="2872" xr3:uid="{B2FFF312-E207-44F8-A963-3439C45A2CB0}" name="Column2839"/>
    <tableColumn id="2873" xr3:uid="{8651C6FE-6413-43CD-A5EF-E278DB82812B}" name="Column2840"/>
    <tableColumn id="2874" xr3:uid="{0B5D799E-FA90-4207-8FB7-2492282474CD}" name="Column2841"/>
    <tableColumn id="2875" xr3:uid="{65EB2EC5-A418-47BA-9881-7F851A7C40D8}" name="Column2842"/>
    <tableColumn id="2876" xr3:uid="{DFB2CE2B-8E85-4396-B15A-801870B675B2}" name="Column2843"/>
    <tableColumn id="2877" xr3:uid="{5C2587E0-A28D-4EAF-9748-16C8BA66575E}" name="Column2844"/>
    <tableColumn id="2878" xr3:uid="{4EE7FDB6-0666-4DCF-81EF-17601A263817}" name="Column2845"/>
    <tableColumn id="2879" xr3:uid="{A9C14C9F-8B50-4B05-A01C-F419900FFE6E}" name="Column2846"/>
    <tableColumn id="2880" xr3:uid="{89167D46-608D-4F26-AE48-63E122A784D1}" name="Column2847"/>
    <tableColumn id="2881" xr3:uid="{A81125AF-E52A-4C5B-A818-A8FCB7EA1E21}" name="Column2848"/>
    <tableColumn id="2882" xr3:uid="{AA7A9E19-F45D-48BC-8B56-7FA613FC2070}" name="Column2849"/>
    <tableColumn id="2883" xr3:uid="{42EC0925-F695-4D37-B6FD-D767BB6DFE6D}" name="Column2850"/>
    <tableColumn id="2884" xr3:uid="{140909CF-C0F0-4863-BFD5-8BAB8C575546}" name="Column2851"/>
    <tableColumn id="2885" xr3:uid="{7D1842E3-F645-4109-B64E-3E31076C7980}" name="Column2852"/>
    <tableColumn id="2886" xr3:uid="{58D256C3-FDE7-46E6-AADA-0B5742F7DE85}" name="Column2853"/>
    <tableColumn id="2887" xr3:uid="{3863B852-F7D7-4811-947A-20E2D265EF72}" name="Column2854"/>
    <tableColumn id="2888" xr3:uid="{17E2EF75-1C5C-4896-A5F4-C85A7E617FDD}" name="Column2855"/>
    <tableColumn id="2889" xr3:uid="{98E6541E-5C86-4176-B4FC-F95D0D625C83}" name="Column2856"/>
    <tableColumn id="2890" xr3:uid="{E7096973-038E-43D1-9D6B-615306BB8CF6}" name="Column2857"/>
    <tableColumn id="2891" xr3:uid="{5250A382-7418-4C2B-884C-7EEB649F81A6}" name="Column2858"/>
    <tableColumn id="2892" xr3:uid="{122EF25B-B402-4CCB-925F-545D98A8FA1D}" name="Column2859"/>
    <tableColumn id="2893" xr3:uid="{FDF3F0E7-CF0D-4B48-9C54-5F56B8D85AAF}" name="Column2860"/>
    <tableColumn id="2894" xr3:uid="{44EE74EE-5D65-4EF0-8FE6-E23F879F1874}" name="Column2861"/>
    <tableColumn id="2895" xr3:uid="{4025E48B-5D09-499A-81F4-D0D6F928D641}" name="Column2862"/>
    <tableColumn id="2896" xr3:uid="{C8180550-A6E9-424F-A36D-5F69545FB9D1}" name="Column2863"/>
    <tableColumn id="2897" xr3:uid="{25F09D01-1400-4214-93FF-1FC45AE2EFC7}" name="Column2864"/>
    <tableColumn id="2898" xr3:uid="{99E5BD30-4A88-4384-A801-EA3A333B2F04}" name="Column2865"/>
    <tableColumn id="2899" xr3:uid="{C68494EB-E2E9-465B-B388-1563D7C34EA4}" name="Column2866"/>
    <tableColumn id="2900" xr3:uid="{1370ADAC-9620-4526-B869-1CD190DFD174}" name="Column2867"/>
    <tableColumn id="2901" xr3:uid="{8D9230AD-B1F2-4BDA-8698-8ABA21B529D0}" name="Column2868"/>
    <tableColumn id="2902" xr3:uid="{E89850AE-0879-4DD6-B2D5-9C08FED1FB40}" name="Column2869"/>
    <tableColumn id="2903" xr3:uid="{8E37F454-0537-4F9F-8811-0736CB784C1E}" name="Column2870"/>
    <tableColumn id="2904" xr3:uid="{D5499172-04DF-47E5-A4B9-000714727F4D}" name="Column2871"/>
    <tableColumn id="2905" xr3:uid="{1B9DDF17-ABD8-4AFE-9FF6-5E2DDED4CF48}" name="Column2872"/>
    <tableColumn id="2906" xr3:uid="{F213EFC5-5C74-4CA0-A91F-40F254C1F30D}" name="Column2873"/>
    <tableColumn id="2907" xr3:uid="{82078C08-981D-4D0F-964B-A09842EE99A0}" name="Column2874"/>
    <tableColumn id="2908" xr3:uid="{EDB58524-C9BB-478B-9E29-4D28DEC8A272}" name="Column2875"/>
    <tableColumn id="2909" xr3:uid="{26ACA245-30F6-44BA-A249-BC3BF9158540}" name="Column2876"/>
    <tableColumn id="2910" xr3:uid="{8E9705EA-C73F-4631-8135-EA3B072A2952}" name="Column2877"/>
    <tableColumn id="2911" xr3:uid="{502A8D4E-F364-4585-8E40-31314C0C4BD5}" name="Column2878"/>
    <tableColumn id="2912" xr3:uid="{09965FB0-165F-4AA9-9BFD-88AA409BAFAC}" name="Column2879"/>
    <tableColumn id="2913" xr3:uid="{ECAB876D-BDA5-48E1-B8F3-65A34480E1E5}" name="Column2880"/>
    <tableColumn id="2914" xr3:uid="{F5432FE9-D5FF-4226-B810-473A295A4133}" name="Column2881"/>
    <tableColumn id="2915" xr3:uid="{AD913632-15AB-457B-8269-29D7F593EA69}" name="Column2882"/>
    <tableColumn id="2916" xr3:uid="{CF6B0E1A-0E79-4D17-A318-B47409402C9E}" name="Column2883"/>
    <tableColumn id="2917" xr3:uid="{0C2FD046-D2F8-4EBA-B0A0-792F13C7DB85}" name="Column2884"/>
    <tableColumn id="2918" xr3:uid="{A66E5C7D-55C0-4A55-9CEB-257F96C1DC11}" name="Column2885"/>
    <tableColumn id="2919" xr3:uid="{6B0DCFA7-7C86-4A2A-81A4-8DD1769B223A}" name="Column2886"/>
    <tableColumn id="2920" xr3:uid="{77227F44-5CD9-46FF-A7C7-2DB53B12BB75}" name="Column2887"/>
    <tableColumn id="2921" xr3:uid="{91B75FB3-C82B-44C3-8198-3D7A3A632033}" name="Column2888"/>
    <tableColumn id="2922" xr3:uid="{0851688D-8113-4275-AD7F-60D86EAEA40B}" name="Column2889"/>
    <tableColumn id="2923" xr3:uid="{2653EB68-CB02-45D8-BF75-70D95CC2B8AD}" name="Column2890"/>
    <tableColumn id="2924" xr3:uid="{5FCE83E3-227F-41B4-A422-93C0E50596BA}" name="Column2891"/>
    <tableColumn id="2925" xr3:uid="{85958B30-F42C-4BBD-9C8D-10E58ED52349}" name="Column2892"/>
    <tableColumn id="2926" xr3:uid="{6888B8A2-9239-4C54-BC3A-6E65D5DBDFEF}" name="Column2893"/>
    <tableColumn id="2927" xr3:uid="{9D6684A2-F0D4-4CA5-B637-FD4B4967937D}" name="Column2894"/>
    <tableColumn id="2928" xr3:uid="{B8E5AEFF-C197-4BF8-811F-265052B7FA0F}" name="Column2895"/>
    <tableColumn id="2929" xr3:uid="{73073112-D209-4C49-BCA9-9494D098BE70}" name="Column2896"/>
    <tableColumn id="2930" xr3:uid="{9C21E6BF-D42B-4628-BDD2-8562387697B8}" name="Column2897"/>
    <tableColumn id="2931" xr3:uid="{D006C6DD-E100-4912-B8F2-D387F3AFB1F3}" name="Column2898"/>
    <tableColumn id="2932" xr3:uid="{21A50D87-EA49-480C-8C87-9C3B400C4AE0}" name="Column2899"/>
    <tableColumn id="2933" xr3:uid="{6A0D4DFE-EAC0-4DC5-9C7A-A7A40629F7D6}" name="Column2900"/>
    <tableColumn id="2934" xr3:uid="{34E92C42-2744-4597-ADBB-F37DA32AA7FB}" name="Column2901"/>
    <tableColumn id="2935" xr3:uid="{0BDC3B83-341B-4FE6-B93C-4D1B3F74F631}" name="Column2902"/>
    <tableColumn id="2936" xr3:uid="{19A55738-36AD-4EFC-9827-CA90296C9184}" name="Column2903"/>
    <tableColumn id="2937" xr3:uid="{29EA0F4E-A930-4C80-9288-C92B18FE107D}" name="Column2904"/>
    <tableColumn id="2938" xr3:uid="{D1E13023-2834-4524-A2A4-A326B6CD0FCB}" name="Column2905"/>
    <tableColumn id="2939" xr3:uid="{6519B893-58B1-42EE-9BE6-92EC8E77D5C4}" name="Column2906"/>
    <tableColumn id="2940" xr3:uid="{2E6503BF-2408-433E-A11B-1464352A9F9E}" name="Column2907"/>
    <tableColumn id="2941" xr3:uid="{4474DE84-40B3-40C5-93CE-CE5F76709B3E}" name="Column2908"/>
    <tableColumn id="2942" xr3:uid="{41AB011B-87E7-4D10-8FA5-CEAF5A502C22}" name="Column2909"/>
    <tableColumn id="2943" xr3:uid="{1A03CEA2-2564-4741-BDEB-B45602E78AFE}" name="Column2910"/>
    <tableColumn id="2944" xr3:uid="{EC88AC3C-F73C-42EF-8AD0-9AC299325D17}" name="Column2911"/>
    <tableColumn id="2945" xr3:uid="{C92AC666-9F3A-49F7-99A7-2F41113D7543}" name="Column2912"/>
    <tableColumn id="2946" xr3:uid="{9DBBDD82-02CC-462F-878C-DB32F8836F8C}" name="Column2913"/>
    <tableColumn id="2947" xr3:uid="{BC2CDFB8-626E-4902-83E2-0273D7B52A15}" name="Column2914"/>
    <tableColumn id="2948" xr3:uid="{CAC2D11F-5F43-40B2-9B36-4285D42D938D}" name="Column2915"/>
    <tableColumn id="2949" xr3:uid="{A657C2C4-80D7-447E-AFF4-4D8A9ACD02AD}" name="Column2916"/>
    <tableColumn id="2950" xr3:uid="{510AA103-5F66-4E30-A803-82F74956F106}" name="Column2917"/>
    <tableColumn id="2951" xr3:uid="{AD4831E6-388F-47AE-A18B-12C87660D922}" name="Column2918"/>
    <tableColumn id="2952" xr3:uid="{B3F18314-3C39-41B3-A294-6692F8D869DC}" name="Column2919"/>
    <tableColumn id="2953" xr3:uid="{0E12AC95-1E98-4E3A-AE00-10930B997F9A}" name="Column2920"/>
    <tableColumn id="2954" xr3:uid="{2A62A51C-9917-4CF7-A33E-65C472DFF8ED}" name="Column2921"/>
    <tableColumn id="2955" xr3:uid="{75454653-E018-4327-A19C-B24A271C2E21}" name="Column2922"/>
    <tableColumn id="2956" xr3:uid="{EF56F8E8-42E5-44A6-B0C2-E95CC90330B5}" name="Column2923"/>
    <tableColumn id="2957" xr3:uid="{4D9C6436-B6E2-4968-A675-9B5683BDA26A}" name="Column2924"/>
    <tableColumn id="2958" xr3:uid="{B316BCE8-BC4D-4864-BA95-9715C9EFB909}" name="Column2925"/>
    <tableColumn id="2959" xr3:uid="{D94ABC02-C655-4003-91CF-0FF8AD52EF44}" name="Column2926"/>
    <tableColumn id="2960" xr3:uid="{E8828910-770F-4A1E-9411-0F7E03670373}" name="Column2927"/>
    <tableColumn id="2961" xr3:uid="{24A7185A-9F06-4DE3-9E14-461B9DDBF919}" name="Column2928"/>
    <tableColumn id="2962" xr3:uid="{82E22334-80C6-41DB-BAEE-6FFD143815AA}" name="Column2929"/>
    <tableColumn id="2963" xr3:uid="{EE1D83A0-C7D3-413F-8521-28D94DDE4367}" name="Column2930"/>
    <tableColumn id="2964" xr3:uid="{664CCA38-9259-4960-B481-E028F97742D3}" name="Column2931"/>
    <tableColumn id="2965" xr3:uid="{3B876EAE-6D59-49CE-BE8B-CE7A4E01D44B}" name="Column2932"/>
    <tableColumn id="2966" xr3:uid="{D6B1F05F-8AC7-4758-A7E9-94B23B13BC76}" name="Column2933"/>
    <tableColumn id="2967" xr3:uid="{40AD93BC-F45A-4C07-9C81-D8ACB9C27117}" name="Column2934"/>
    <tableColumn id="2968" xr3:uid="{C03158AB-9DA2-4C1D-8955-D24FC36CD657}" name="Column2935"/>
    <tableColumn id="2969" xr3:uid="{7E8E822C-90D0-405F-BA95-B1F14BF0212F}" name="Column2936"/>
    <tableColumn id="2970" xr3:uid="{F11781B3-F0D1-41ED-B785-17DF4E40E535}" name="Column2937"/>
    <tableColumn id="2971" xr3:uid="{C2D7DF0E-09BF-41AF-83A9-19724AB61E3F}" name="Column2938"/>
    <tableColumn id="2972" xr3:uid="{FD84451C-2D41-4ADE-A973-F8C19C7B76E5}" name="Column2939"/>
    <tableColumn id="2973" xr3:uid="{213E5C07-9024-4284-BB89-B8F2DE2AC681}" name="Column2940"/>
    <tableColumn id="2974" xr3:uid="{2193357E-984C-4E2B-A26B-322C2E5F99A1}" name="Column2941"/>
    <tableColumn id="2975" xr3:uid="{57AEAE72-C8CB-48C7-92A8-1EC32DA0CD80}" name="Column2942"/>
    <tableColumn id="2976" xr3:uid="{5CCFAA67-5DFC-4BDB-80A9-F4D04DD1EFE1}" name="Column2943"/>
    <tableColumn id="2977" xr3:uid="{C5330104-E3A0-4236-B065-0D0B974746F2}" name="Column2944"/>
    <tableColumn id="2978" xr3:uid="{037B207C-8281-4800-B713-FC0F48C4CBCB}" name="Column2945"/>
    <tableColumn id="2979" xr3:uid="{5FC77C29-9BB2-495C-B792-AB44529176E6}" name="Column2946"/>
    <tableColumn id="2980" xr3:uid="{CF868F63-A678-475F-ACC2-F82BDF1CD633}" name="Column2947"/>
    <tableColumn id="2981" xr3:uid="{61B480E2-2B1F-4E79-A754-BFED8F874EEC}" name="Column2948"/>
    <tableColumn id="2982" xr3:uid="{263BFCD4-1996-4ACB-9AA5-59956C7EF36D}" name="Column2949"/>
    <tableColumn id="2983" xr3:uid="{1DD72551-99BF-45F8-97CF-40C7BB566843}" name="Column2950"/>
    <tableColumn id="2984" xr3:uid="{CBA5A09B-44A8-452B-B69C-7AB5D1269178}" name="Column2951"/>
    <tableColumn id="2985" xr3:uid="{0379D6D6-DE5E-4332-9D40-611DE29B0A47}" name="Column2952"/>
    <tableColumn id="2986" xr3:uid="{6C9F333A-D27B-461F-970F-7D83D8029FF2}" name="Column2953"/>
    <tableColumn id="2987" xr3:uid="{432DC83E-0CA9-4DC3-B9C2-256F1E0A9A41}" name="Column2954"/>
    <tableColumn id="2988" xr3:uid="{B16DBA3C-E483-4C3F-B0FF-ED786ACB4552}" name="Column2955"/>
    <tableColumn id="2989" xr3:uid="{D1F059EB-0A0F-4474-8C0B-6CAC2D4DCF32}" name="Column2956"/>
    <tableColumn id="2990" xr3:uid="{B9F1DDEA-E356-4FC5-AF70-A1E6EC83F3F2}" name="Column2957"/>
    <tableColumn id="2991" xr3:uid="{42A5835A-1445-41D4-B869-B617D9B718C7}" name="Column2958"/>
    <tableColumn id="2992" xr3:uid="{D0941B0F-A6B0-4F95-9BD1-A8211C0FAEA9}" name="Column2959"/>
    <tableColumn id="2993" xr3:uid="{6FA9D7EA-666E-4CD6-BFE8-CCDE698F31E0}" name="Column2960"/>
    <tableColumn id="2994" xr3:uid="{06781363-A000-4837-A1FC-9ED2F5E57FC7}" name="Column2961"/>
    <tableColumn id="2995" xr3:uid="{9DED4FD4-9704-4A23-9E84-978126EB60F8}" name="Column2962"/>
    <tableColumn id="2996" xr3:uid="{0B6955DD-CC21-475A-AB01-89359125B328}" name="Column2963"/>
    <tableColumn id="2997" xr3:uid="{47AD73EC-AD37-4FCD-BA97-80C717A3967C}" name="Column2964"/>
    <tableColumn id="2998" xr3:uid="{3715571C-7824-4C71-80AF-10FF89025C54}" name="Column2965"/>
    <tableColumn id="2999" xr3:uid="{46623AF7-25AF-4F41-9843-2BB530FB7621}" name="Column2966"/>
    <tableColumn id="3000" xr3:uid="{9236AD79-C0AD-4402-8448-CB35E6D2EC23}" name="Column2967"/>
    <tableColumn id="3001" xr3:uid="{D7951E39-9312-4BF5-987C-FFB7AA1736FF}" name="Column2968"/>
    <tableColumn id="3002" xr3:uid="{9A2A3211-68D0-40C6-BB2C-B56AF1D99EA1}" name="Column2969"/>
    <tableColumn id="3003" xr3:uid="{997A8EDB-8E7D-4C07-A4C9-EE93104C639D}" name="Column2970"/>
    <tableColumn id="3004" xr3:uid="{645F6ACA-5A3E-4BD9-923F-F20BEF636DA6}" name="Column2971"/>
    <tableColumn id="3005" xr3:uid="{D6CB40AE-62E0-44C8-A5ED-52E1354B02F2}" name="Column2972"/>
    <tableColumn id="3006" xr3:uid="{22BAB5CE-8F3D-4436-8B90-D66D90D212E4}" name="Column2973"/>
    <tableColumn id="3007" xr3:uid="{742D3C43-23DE-48EA-B941-76FBABEBDB61}" name="Column2974"/>
    <tableColumn id="3008" xr3:uid="{E0D7C993-1E00-44AD-B88A-B267FCC6AA54}" name="Column2975"/>
    <tableColumn id="3009" xr3:uid="{8CA4DB1F-CD96-499E-9518-85F672607F5B}" name="Column2976"/>
    <tableColumn id="3010" xr3:uid="{E639DAD5-9B65-4DF7-B190-3CA84C170FD3}" name="Column2977"/>
    <tableColumn id="3011" xr3:uid="{A02C2FEA-73B2-40F8-82CF-075A7377ED2F}" name="Column2978"/>
    <tableColumn id="3012" xr3:uid="{D656049C-B9A3-4EE4-BCB5-5414580FFA68}" name="Column2979"/>
    <tableColumn id="3013" xr3:uid="{F5248989-D5F2-4A3B-8A44-647B081FE831}" name="Column2980"/>
    <tableColumn id="3014" xr3:uid="{BD01BB11-C736-4110-B62A-CA514B41019F}" name="Column2981"/>
    <tableColumn id="3015" xr3:uid="{98D9FEDD-49C7-470B-BCB4-539C7CFC0829}" name="Column2982"/>
    <tableColumn id="3016" xr3:uid="{74C8B561-8175-4749-BBD3-CEFAFB116044}" name="Column2983"/>
    <tableColumn id="3017" xr3:uid="{CD32220D-FF20-4D03-9C12-05F48E39A7DF}" name="Column2984"/>
    <tableColumn id="3018" xr3:uid="{73CB0DCC-83B3-4747-8AE3-4BF92826A70A}" name="Column2985"/>
    <tableColumn id="3019" xr3:uid="{F74C9CC4-F6A5-4BA1-9F44-850018B57AD1}" name="Column2986"/>
    <tableColumn id="3020" xr3:uid="{FCFAEC30-5B46-4EA4-ACE3-CACB9051418D}" name="Column2987"/>
    <tableColumn id="3021" xr3:uid="{0E1F153F-5315-4B76-BC0F-292A78035272}" name="Column2988"/>
    <tableColumn id="3022" xr3:uid="{F6EB5390-EDAE-4C8F-AAD1-E9D8EC8D4B61}" name="Column2989"/>
    <tableColumn id="3023" xr3:uid="{BF191C45-7258-49D0-B8BC-231E58AAB4C6}" name="Column2990"/>
    <tableColumn id="3024" xr3:uid="{1B5832A6-13E4-4698-954C-45B475CED4F9}" name="Column2991"/>
    <tableColumn id="3025" xr3:uid="{918CFAFC-DF5A-4FC8-9F6A-5A96DFAE300D}" name="Column2992"/>
    <tableColumn id="3026" xr3:uid="{D3B974F5-40FB-4099-937C-6733330023F6}" name="Column2993"/>
    <tableColumn id="3027" xr3:uid="{79D69A97-4749-4734-AE8C-C097E0932339}" name="Column2994"/>
    <tableColumn id="3028" xr3:uid="{6BB46DD8-3F8C-48AE-9025-4086F7E8A69A}" name="Column2995"/>
    <tableColumn id="3029" xr3:uid="{CB6265F6-D0C2-47DF-8BDB-F2EFC2AD0167}" name="Column2996"/>
    <tableColumn id="3030" xr3:uid="{1CEF75F0-0BF4-4756-B637-650455DA9C13}" name="Column2997"/>
    <tableColumn id="3031" xr3:uid="{3984A7BD-B805-4406-AB6E-EEF8EC050204}" name="Column2998"/>
    <tableColumn id="3032" xr3:uid="{A8A6E8DF-BC45-4FF6-88D5-B5B199964876}" name="Column2999"/>
    <tableColumn id="3033" xr3:uid="{FB7407D1-6E70-41FE-92FE-A5DD2A0CFAB3}" name="Column3000"/>
    <tableColumn id="3034" xr3:uid="{8D2D51D2-386D-4427-9059-0EA0FFAF6B80}" name="Column3001"/>
    <tableColumn id="3035" xr3:uid="{479A6994-682A-46BC-8FAF-00A3797D5916}" name="Column3002"/>
    <tableColumn id="3036" xr3:uid="{5383745F-013E-46BC-B68A-E99590C71529}" name="Column3003"/>
    <tableColumn id="3037" xr3:uid="{9DDAB04E-FF55-4865-ABBE-9898A7AAC940}" name="Column3004"/>
    <tableColumn id="3038" xr3:uid="{ED1DC503-334C-4889-8227-7A3638F9EED7}" name="Column3005"/>
    <tableColumn id="3039" xr3:uid="{B984F35E-01B1-4774-B2A2-7E2C349AA1AB}" name="Column3006"/>
    <tableColumn id="3040" xr3:uid="{1EAA747D-DBF5-4648-B112-C05EEAA2FD81}" name="Column3007"/>
    <tableColumn id="3041" xr3:uid="{A91DBB6F-E846-4E1A-AEF8-848021315952}" name="Column3008"/>
    <tableColumn id="3042" xr3:uid="{CBC22BAC-D151-446A-90E6-16AE2910FF64}" name="Column3009"/>
    <tableColumn id="3043" xr3:uid="{B5D7BAD8-F2B7-446D-94F3-7DD24B3CC2ED}" name="Column3010"/>
    <tableColumn id="3044" xr3:uid="{F7C18536-1D3E-47C7-9800-C232D867515E}" name="Column3011"/>
    <tableColumn id="3045" xr3:uid="{9F15442B-F92E-43F9-AC92-8DCBB2F2D18F}" name="Column3012"/>
    <tableColumn id="3046" xr3:uid="{A919D9BD-756F-4406-9DEA-4300342E917D}" name="Column3013"/>
    <tableColumn id="3047" xr3:uid="{4AAD5BE2-3B3D-4463-AE08-C6BFC09726F7}" name="Column3014"/>
    <tableColumn id="3048" xr3:uid="{E718F9F4-EED9-4F5E-8B81-1D8FC65967BC}" name="Column3015"/>
    <tableColumn id="3049" xr3:uid="{F50300C1-E462-4B9F-8151-C810674939A2}" name="Column3016"/>
    <tableColumn id="3050" xr3:uid="{0F6C46B9-0D6F-412C-B81B-516CAFECD7F9}" name="Column3017"/>
    <tableColumn id="3051" xr3:uid="{90C48D18-0E56-4112-A827-113A9A8A4388}" name="Column3018"/>
    <tableColumn id="3052" xr3:uid="{ACD3271C-698B-4DC1-8C21-7EA5F7BF02B9}" name="Column3019"/>
    <tableColumn id="3053" xr3:uid="{165CCF7F-05CC-4315-8D34-E611E414D53A}" name="Column3020"/>
    <tableColumn id="3054" xr3:uid="{EC2DB654-D207-4193-801A-2743E308936A}" name="Column3021"/>
    <tableColumn id="3055" xr3:uid="{9E045DDD-60C7-4FF6-A190-BB956C7FED7A}" name="Column3022"/>
    <tableColumn id="3056" xr3:uid="{491E3786-69A7-4C3B-BC21-6C4BBA72B8D8}" name="Column3023"/>
    <tableColumn id="3057" xr3:uid="{635AD070-DC2A-4F79-AF27-D66B6A062E7A}" name="Column3024"/>
    <tableColumn id="3058" xr3:uid="{D9DE9CC1-7042-4789-9EED-FBDA4469F2DF}" name="Column3025"/>
    <tableColumn id="3059" xr3:uid="{DB23DD38-3273-4058-9EAE-324367120120}" name="Column3026"/>
    <tableColumn id="3060" xr3:uid="{35937A09-68E8-4279-858E-2FBC4A263816}" name="Column3027"/>
    <tableColumn id="3061" xr3:uid="{277E7377-D57C-4339-AC2C-F97F3B6AFDCC}" name="Column3028"/>
    <tableColumn id="3062" xr3:uid="{33A1BA53-1205-43CF-9907-9C4094A2633B}" name="Column3029"/>
    <tableColumn id="3063" xr3:uid="{150639CA-E503-4B1E-9267-955BED0FD114}" name="Column3030"/>
    <tableColumn id="3064" xr3:uid="{6654B3F6-F545-4BDB-ADFC-725845C6E507}" name="Column3031"/>
    <tableColumn id="3065" xr3:uid="{159FC5D3-26F7-4CB7-B930-02B714E0512A}" name="Column3032"/>
    <tableColumn id="3066" xr3:uid="{018FFCCE-7044-435D-B337-287B72BC328B}" name="Column3033"/>
    <tableColumn id="3067" xr3:uid="{86A6D7FA-BAD5-48E1-8C69-B3C3A3A37CD5}" name="Column3034"/>
    <tableColumn id="3068" xr3:uid="{697317A9-C99B-435C-A69C-E1DC87BA0F24}" name="Column3035"/>
    <tableColumn id="3069" xr3:uid="{3EECFCDF-58AD-46A8-8E2B-31D8AB04DF38}" name="Column3036"/>
    <tableColumn id="3070" xr3:uid="{291F5708-AED7-4B50-B9CB-46A6068297AF}" name="Column3037"/>
    <tableColumn id="3071" xr3:uid="{C3D72177-C83F-447A-AF97-B000567FE6C7}" name="Column3038"/>
    <tableColumn id="3072" xr3:uid="{E6D2DE11-2E8C-4E0E-BAF4-0681B3DE8F90}" name="Column3039"/>
    <tableColumn id="3073" xr3:uid="{927B2A84-E387-46D0-BFDF-AD538B20233E}" name="Column3040"/>
    <tableColumn id="3074" xr3:uid="{FC8FAA80-B095-4C4C-A7D1-CC2211AC7E5B}" name="Column3041"/>
    <tableColumn id="3075" xr3:uid="{DBC662F6-FAED-458C-8468-A85A43D74C2A}" name="Column3042"/>
    <tableColumn id="3076" xr3:uid="{6BC25CE0-9BCF-42F3-8897-E8B8228CF7D1}" name="Column3043"/>
    <tableColumn id="3077" xr3:uid="{972BC0C0-91AA-43D9-A206-BE91275A761B}" name="Column3044"/>
    <tableColumn id="3078" xr3:uid="{93F1FBB6-A8DA-4523-9AD4-F1060643F76E}" name="Column3045"/>
    <tableColumn id="3079" xr3:uid="{E4D0C6CF-41AD-403B-A5DB-02AF58B5A4C8}" name="Column3046"/>
    <tableColumn id="3080" xr3:uid="{8AD23D14-047E-4036-AE11-69E16D6F61F0}" name="Column3047"/>
    <tableColumn id="3081" xr3:uid="{969194FD-3EE8-4C7D-A842-8A5B96AF7810}" name="Column3048"/>
    <tableColumn id="3082" xr3:uid="{500F537D-A7ED-41C9-B4F3-422FE4EC7F07}" name="Column3049"/>
    <tableColumn id="3083" xr3:uid="{83D50560-5C6A-44EE-ACD9-28E67F610A25}" name="Column3050"/>
    <tableColumn id="3084" xr3:uid="{6EADFD40-D808-4B47-8B9B-9EE34E1A448C}" name="Column3051"/>
    <tableColumn id="3085" xr3:uid="{45AA04AC-B163-492B-BCF3-D11585BDD007}" name="Column3052"/>
    <tableColumn id="3086" xr3:uid="{6A52AAC7-5066-4B6B-9DCE-7E1D8ADA469A}" name="Column3053"/>
    <tableColumn id="3087" xr3:uid="{8A5297EF-A3BC-4567-9F06-DB8FB4FB9012}" name="Column3054"/>
    <tableColumn id="3088" xr3:uid="{6DE3266C-62CA-4CD7-8C24-1E1D38FC0E96}" name="Column3055"/>
    <tableColumn id="3089" xr3:uid="{65C4DF4F-F2A6-4A2F-BD31-3890D7CBE8F0}" name="Column3056"/>
    <tableColumn id="3090" xr3:uid="{21AFA511-CC09-43E8-ADED-8D1177F80C4D}" name="Column3057"/>
    <tableColumn id="3091" xr3:uid="{2538271B-066D-423C-A331-4A20953E7D86}" name="Column3058"/>
    <tableColumn id="3092" xr3:uid="{56D6EB87-2E9E-4203-B644-C7598EE4C5B8}" name="Column3059"/>
    <tableColumn id="3093" xr3:uid="{97058567-AC2E-424C-9C10-C617BD084448}" name="Column3060"/>
    <tableColumn id="3094" xr3:uid="{34E4A85A-E851-46D5-87D3-85C4FC6DE814}" name="Column3061"/>
    <tableColumn id="3095" xr3:uid="{CD2368A6-F6DE-41D6-B551-7453F19AEC2B}" name="Column3062"/>
    <tableColumn id="3096" xr3:uid="{F48C3DE9-24D3-430F-8637-A7F4E772AB98}" name="Column3063"/>
    <tableColumn id="3097" xr3:uid="{2C815AC1-D4E8-47A5-B38D-D49741AA535C}" name="Column3064"/>
    <tableColumn id="3098" xr3:uid="{5CD62CE3-70B6-4727-B587-25C6AFA8FE1D}" name="Column3065"/>
    <tableColumn id="3099" xr3:uid="{E534C53F-CCC4-4072-8913-F31344929248}" name="Column3066"/>
    <tableColumn id="3100" xr3:uid="{C343731C-C569-45A7-B9A6-B245EE1BFEBA}" name="Column3067"/>
    <tableColumn id="3101" xr3:uid="{FC6CA54C-1C91-4B7B-9562-0827678C9D1E}" name="Column3068"/>
    <tableColumn id="3102" xr3:uid="{EC6CFE03-5C7E-4FD4-8AA9-1B899A15696B}" name="Column3069"/>
    <tableColumn id="3103" xr3:uid="{B662EF35-BD44-410A-B948-477D16EEBBC8}" name="Column3070"/>
    <tableColumn id="3104" xr3:uid="{7544047C-A63A-4DFC-B963-D90D4F1AE7DE}" name="Column3071"/>
    <tableColumn id="3105" xr3:uid="{1C42F343-584D-48EC-B869-C0F86712EACC}" name="Column3072"/>
    <tableColumn id="3106" xr3:uid="{5D2D880A-F658-493A-A83A-2533CF563002}" name="Column3073"/>
    <tableColumn id="3107" xr3:uid="{AB56B019-D9A3-4FA8-8B42-1F184B7A6539}" name="Column3074"/>
    <tableColumn id="3108" xr3:uid="{A6A6E331-7C4F-4345-91AF-B0BD1B573EB0}" name="Column3075"/>
    <tableColumn id="3109" xr3:uid="{A24E3DAB-C885-4994-8576-34E694CE9C2F}" name="Column3076"/>
    <tableColumn id="3110" xr3:uid="{8957E6E8-43E4-4B46-894B-C32022AAD694}" name="Column3077"/>
    <tableColumn id="3111" xr3:uid="{359E75C4-EFAA-4757-9AB8-612797FD9572}" name="Column3078"/>
    <tableColumn id="3112" xr3:uid="{FEE88849-FBE1-44EB-8F82-71ADD69769DE}" name="Column3079"/>
    <tableColumn id="3113" xr3:uid="{6B0CF390-7F62-42B0-9E03-2844AF65B908}" name="Column3080"/>
    <tableColumn id="3114" xr3:uid="{446D8055-0D1F-45A7-BCF3-0A393FAC2D99}" name="Column3081"/>
    <tableColumn id="3115" xr3:uid="{CC9DF67D-2495-44CD-81FD-268013B290AB}" name="Column3082"/>
    <tableColumn id="3116" xr3:uid="{16F988B4-2EE4-426D-9188-6056B1A3E53C}" name="Column3083"/>
    <tableColumn id="3117" xr3:uid="{BFA4520B-33F9-4F00-88BF-BDD09AC22DD4}" name="Column3084"/>
    <tableColumn id="3118" xr3:uid="{26DDE78B-0D4D-4505-ABA5-FB222CB042C1}" name="Column3085"/>
    <tableColumn id="3119" xr3:uid="{DEFAD347-D212-4E7B-997A-1D2C13DA91D7}" name="Column3086"/>
    <tableColumn id="3120" xr3:uid="{1E913223-71A6-4CAC-B977-125D06E02404}" name="Column3087"/>
    <tableColumn id="3121" xr3:uid="{96339D7D-7E87-4DA3-BC3D-97C8B19243AA}" name="Column3088"/>
    <tableColumn id="3122" xr3:uid="{83B92A69-88C3-46EF-B3C8-F45A25945D00}" name="Column3089"/>
    <tableColumn id="3123" xr3:uid="{62247206-5694-4FF4-BEA3-3078D71D8AC1}" name="Column3090"/>
    <tableColumn id="3124" xr3:uid="{4445AD43-F7D5-4B49-9D3C-AFAE68E41F5F}" name="Column3091"/>
    <tableColumn id="3125" xr3:uid="{68148D96-E2D9-4DBA-B0BC-C811488CF857}" name="Column3092"/>
    <tableColumn id="3126" xr3:uid="{38334419-81E7-4567-A974-147DDD5F9739}" name="Column3093"/>
    <tableColumn id="3127" xr3:uid="{CF1A46C4-D644-47CE-B1D6-A4FCB719C03B}" name="Column3094"/>
    <tableColumn id="3128" xr3:uid="{42348C93-C269-470B-A7AA-CD6B73ADE06E}" name="Column3095"/>
    <tableColumn id="3129" xr3:uid="{F66CC5D7-555B-4209-961D-1CD899FCBD8A}" name="Column3096"/>
    <tableColumn id="3130" xr3:uid="{DB163B3D-B6DA-4D53-BA59-653440664A1D}" name="Column3097"/>
    <tableColumn id="3131" xr3:uid="{F3082625-753A-4E7C-8AAE-04A8A9B0E538}" name="Column3098"/>
    <tableColumn id="3132" xr3:uid="{EC196F86-A7EF-497F-AB6D-54E5A3914303}" name="Column3099"/>
    <tableColumn id="3133" xr3:uid="{C548C11F-42AF-432F-A7B4-626B57C11DF1}" name="Column3100"/>
    <tableColumn id="3134" xr3:uid="{87ACB3D7-DFE4-4E13-B4D2-585C6DBB9165}" name="Column3101"/>
    <tableColumn id="3135" xr3:uid="{61387C45-DD9B-4FD3-89A5-F720A9A64F8F}" name="Column3102"/>
    <tableColumn id="3136" xr3:uid="{211C51A4-449A-4415-8EE0-28948B977B91}" name="Column3103"/>
    <tableColumn id="3137" xr3:uid="{0AB265DA-86F0-4A37-872A-1FEB7B883BA5}" name="Column3104"/>
    <tableColumn id="3138" xr3:uid="{A8955A6C-6C6D-4F36-9A6B-3AE19E053BAC}" name="Column3105"/>
    <tableColumn id="3139" xr3:uid="{FC2A7397-F3DB-4F60-9D7E-3D156631C77B}" name="Column3106"/>
    <tableColumn id="3140" xr3:uid="{87E8DEBC-6B86-4DCC-AB0A-60034DC8E7AC}" name="Column3107"/>
    <tableColumn id="3141" xr3:uid="{C319A64F-BBD2-46AD-B685-D415EA5F6793}" name="Column3108"/>
    <tableColumn id="3142" xr3:uid="{795720DC-3161-44AD-A498-AD6A8E6497E3}" name="Column3109"/>
    <tableColumn id="3143" xr3:uid="{9A32EC98-99E5-49B9-AA56-4E95F63EA666}" name="Column3110"/>
    <tableColumn id="3144" xr3:uid="{D943C02C-5BD4-4362-B066-C36A8E4BFE45}" name="Column3111"/>
    <tableColumn id="3145" xr3:uid="{4A9A4E16-DC48-4979-B6D2-7DB795B507F7}" name="Column3112"/>
    <tableColumn id="3146" xr3:uid="{624C75F9-56EB-4ED4-B1E6-8B2991F77CFD}" name="Column3113"/>
    <tableColumn id="3147" xr3:uid="{02685C48-1549-4D17-A276-BA7F8CB4DE77}" name="Column3114"/>
    <tableColumn id="3148" xr3:uid="{E5E203E3-F6E5-41EA-A955-C2E4F9C896CD}" name="Column3115"/>
    <tableColumn id="3149" xr3:uid="{4C5087F3-B9A1-49CA-B55A-B91CCE963169}" name="Column3116"/>
    <tableColumn id="3150" xr3:uid="{179DA62D-32A7-4044-BA45-01C1B5A7E68D}" name="Column3117"/>
    <tableColumn id="3151" xr3:uid="{42194698-EF0E-4EC2-9957-B9DC5356E54C}" name="Column3118"/>
    <tableColumn id="3152" xr3:uid="{C3647B25-5306-45E7-90DA-6197A77A6222}" name="Column3119"/>
    <tableColumn id="3153" xr3:uid="{B574932E-1EAD-4F77-9C65-B3B958674031}" name="Column3120"/>
    <tableColumn id="3154" xr3:uid="{BC486158-2A91-4A65-ADA6-89A73A8B46BC}" name="Column3121"/>
    <tableColumn id="3155" xr3:uid="{62CD7954-072B-4670-9FAD-A569CB17023F}" name="Column3122"/>
    <tableColumn id="3156" xr3:uid="{1FD54E23-2ADD-4D9C-9024-6AA68A645602}" name="Column3123"/>
    <tableColumn id="3157" xr3:uid="{FA664842-20FB-47F4-A849-ABA4B4748411}" name="Column3124"/>
    <tableColumn id="3158" xr3:uid="{658E4793-5CB4-41D7-8351-75194056EEA7}" name="Column3125"/>
    <tableColumn id="3159" xr3:uid="{185B174D-8679-4419-87A8-C7DAF0EE232F}" name="Column3126"/>
    <tableColumn id="3160" xr3:uid="{B793C18E-BE27-4917-BCB3-6CEA8D45401E}" name="Column3127"/>
    <tableColumn id="3161" xr3:uid="{9431D292-7E67-4119-8962-3BBCB0B3D601}" name="Column3128"/>
    <tableColumn id="3162" xr3:uid="{F6DAD2AD-B428-46D3-910D-25259ABF9BDF}" name="Column3129"/>
    <tableColumn id="3163" xr3:uid="{DCC1785F-6A64-4BF8-A503-65C8856D0A23}" name="Column3130"/>
    <tableColumn id="3164" xr3:uid="{0B4A6230-CF23-4DCF-A2BA-FF6713177E71}" name="Column3131"/>
    <tableColumn id="3165" xr3:uid="{B05EDC61-D108-4949-9B04-731428D6090E}" name="Column3132"/>
    <tableColumn id="3166" xr3:uid="{D3BD288A-AA5F-49FF-AEAD-59F74D1DA97F}" name="Column3133"/>
    <tableColumn id="3167" xr3:uid="{0C6A744B-1D28-4A60-893B-58FDFDA503E5}" name="Column3134"/>
    <tableColumn id="3168" xr3:uid="{046C98D9-C9C7-45E5-9871-0C4427FEFD65}" name="Column3135"/>
    <tableColumn id="3169" xr3:uid="{603AE393-181D-46C8-BFB8-0CA5CD037B62}" name="Column3136"/>
    <tableColumn id="3170" xr3:uid="{2E2849AF-75A4-4887-B2B3-C17BABF5AD19}" name="Column3137"/>
    <tableColumn id="3171" xr3:uid="{3ECCBB73-0458-44EF-94DE-9BE02C67AB0F}" name="Column3138"/>
    <tableColumn id="3172" xr3:uid="{26660F37-EB87-4197-81E5-21E750675DE8}" name="Column3139"/>
    <tableColumn id="3173" xr3:uid="{EBDB92ED-3A4D-4F98-822F-4E144CA0BB8A}" name="Column3140"/>
    <tableColumn id="3174" xr3:uid="{7A514473-4EE3-4E8F-B72A-990B621D117E}" name="Column3141"/>
    <tableColumn id="3175" xr3:uid="{6A5BB957-AC03-4195-B0BF-63CA8E16D43A}" name="Column3142"/>
    <tableColumn id="3176" xr3:uid="{432DDE87-CEA3-4600-A0C0-0CD2288134BF}" name="Column3143"/>
    <tableColumn id="3177" xr3:uid="{381EDA13-8F91-411F-B149-64AE72977382}" name="Column3144"/>
    <tableColumn id="3178" xr3:uid="{3A8CD2D7-C1B1-4CCE-9BBC-E453B523E1AB}" name="Column3145"/>
    <tableColumn id="3179" xr3:uid="{BA423E75-D26B-444B-8EB7-21CCE4AABF23}" name="Column3146"/>
    <tableColumn id="3180" xr3:uid="{3364E391-BE12-4CC4-80CB-CC8CA927DA0B}" name="Column3147"/>
    <tableColumn id="3181" xr3:uid="{F8FC1829-4E38-4188-B959-BAC181615C6D}" name="Column3148"/>
    <tableColumn id="3182" xr3:uid="{D7B08248-317B-4E3B-B7B5-FFA87F3521C8}" name="Column3149"/>
    <tableColumn id="3183" xr3:uid="{DCE3FBB9-5F5F-4580-AFCA-25698A561EDC}" name="Column3150"/>
    <tableColumn id="3184" xr3:uid="{65E09E67-CA94-4BBB-B7E7-D02B5E694E72}" name="Column3151"/>
    <tableColumn id="3185" xr3:uid="{C3E3E255-9AB4-4780-A3F8-BFB5D41F75A3}" name="Column3152"/>
    <tableColumn id="3186" xr3:uid="{25565EA7-AEF7-4BD4-AE71-AFD2C07E43A2}" name="Column3153"/>
    <tableColumn id="3187" xr3:uid="{ADF36129-1095-4B13-8B81-04ECEC208C6A}" name="Column3154"/>
    <tableColumn id="3188" xr3:uid="{36FA7290-6A7A-43D5-9B16-7A8B443BEBD2}" name="Column3155"/>
    <tableColumn id="3189" xr3:uid="{4082D0D7-9CB9-44B9-9F3F-80F478937680}" name="Column3156"/>
    <tableColumn id="3190" xr3:uid="{65B280C5-CF5E-4BE1-B291-08456140FEE0}" name="Column3157"/>
    <tableColumn id="3191" xr3:uid="{DB874D91-D78D-4E9E-A2A1-01E871E73795}" name="Column3158"/>
    <tableColumn id="3192" xr3:uid="{47426014-880A-4458-988F-FECA4C70F4EC}" name="Column3159"/>
    <tableColumn id="3193" xr3:uid="{C0FD91DA-857A-4ADD-8586-A79A9FCF03A1}" name="Column3160"/>
    <tableColumn id="3194" xr3:uid="{1D04C850-C3CF-43EB-AEEA-CBC7E3FB6B78}" name="Column3161"/>
    <tableColumn id="3195" xr3:uid="{776A8774-E337-4B57-BAD2-B54D4709CE2D}" name="Column3162"/>
    <tableColumn id="3196" xr3:uid="{B260250E-D9CB-4015-86EB-5D2699378854}" name="Column3163"/>
    <tableColumn id="3197" xr3:uid="{C815DCBD-50F8-4A87-B66E-B89FDAAADABD}" name="Column3164"/>
    <tableColumn id="3198" xr3:uid="{6671BBA4-1322-4E6C-B8B8-304F74E76AD5}" name="Column3165"/>
    <tableColumn id="3199" xr3:uid="{10A3289C-6607-4EC7-8758-E774AEBCB38F}" name="Column3166"/>
    <tableColumn id="3200" xr3:uid="{380A3F90-2BB4-47E1-A83C-3703E105BAD4}" name="Column3167"/>
    <tableColumn id="3201" xr3:uid="{1B4BEE9E-7A11-4458-98BB-11541A79F8A6}" name="Column3168"/>
    <tableColumn id="3202" xr3:uid="{C2CC3777-66F0-4B46-A6FE-1EBF0C9E78DF}" name="Column3169"/>
    <tableColumn id="3203" xr3:uid="{D41D1BDF-3281-4548-9365-4478332A97F7}" name="Column3170"/>
    <tableColumn id="3204" xr3:uid="{A9BC31D0-1912-492D-A6DF-6F42F0E952B2}" name="Column3171"/>
    <tableColumn id="3205" xr3:uid="{E57BBCF9-1C7B-452C-8CD8-C78725437961}" name="Column3172"/>
    <tableColumn id="3206" xr3:uid="{10647187-5AF3-4050-A526-BE93F455FBDB}" name="Column3173"/>
    <tableColumn id="3207" xr3:uid="{EF1EFADB-1938-4D0C-8793-F2365DADF2C1}" name="Column3174"/>
    <tableColumn id="3208" xr3:uid="{01B78D7E-53BF-4D82-8372-7C4FA7E087D4}" name="Column3175"/>
    <tableColumn id="3209" xr3:uid="{554FBFA5-80A3-4B59-A128-29D57BF28021}" name="Column3176"/>
    <tableColumn id="3210" xr3:uid="{845A810D-159D-415C-AC7B-4955FF90A946}" name="Column3177"/>
    <tableColumn id="3211" xr3:uid="{8335D56C-6BE4-43A8-9775-DCFEFE6DFD8E}" name="Column3178"/>
    <tableColumn id="3212" xr3:uid="{D4ECAA1D-98EC-4ED6-957F-B82D61DDA401}" name="Column3179"/>
    <tableColumn id="3213" xr3:uid="{962EC31B-D633-42D3-9C7A-62D3F76BBB41}" name="Column3180"/>
    <tableColumn id="3214" xr3:uid="{97A8B7D8-EEDF-4A3B-A42A-5BE09A32857F}" name="Column3181"/>
    <tableColumn id="3215" xr3:uid="{D7F1023D-8B45-4ED3-9429-0A87A13E513B}" name="Column3182"/>
    <tableColumn id="3216" xr3:uid="{5E09998F-6A13-43C6-8277-CE7D43966AEE}" name="Column3183"/>
    <tableColumn id="3217" xr3:uid="{81998900-E76E-4FF8-B6DC-6F706F43C9C0}" name="Column3184"/>
    <tableColumn id="3218" xr3:uid="{A04032C0-A7EB-48F1-98F3-BE5C86BAD0EB}" name="Column3185"/>
    <tableColumn id="3219" xr3:uid="{6BDE6485-AA35-4B79-8F8A-760F47675A63}" name="Column3186"/>
    <tableColumn id="3220" xr3:uid="{151A82E9-0443-4232-9593-7F949F8715FC}" name="Column3187"/>
    <tableColumn id="3221" xr3:uid="{3CDBA3FE-93A3-40EC-BDEB-773E633F2C73}" name="Column3188"/>
    <tableColumn id="3222" xr3:uid="{6264A092-2059-46E1-B0AE-638F93E8E553}" name="Column3189"/>
    <tableColumn id="3223" xr3:uid="{82C167BF-9410-48F8-83C8-065433CFCF70}" name="Column3190"/>
    <tableColumn id="3224" xr3:uid="{5EB6D334-D97A-4529-BA67-D67A6D48F1D3}" name="Column3191"/>
    <tableColumn id="3225" xr3:uid="{5FAB4957-C98D-497E-BABC-9B3A3A098EBA}" name="Column3192"/>
    <tableColumn id="3226" xr3:uid="{7FF1C287-E6FA-4A1E-9BBB-B15948F2A416}" name="Column3193"/>
    <tableColumn id="3227" xr3:uid="{208AF32A-D9A8-41C0-ABA7-9F53D780A594}" name="Column3194"/>
    <tableColumn id="3228" xr3:uid="{D186F4DD-8138-4E4D-834C-E968E027BAB1}" name="Column3195"/>
    <tableColumn id="3229" xr3:uid="{F63CCE0E-EF15-40AB-913D-7F8BB98E9C36}" name="Column3196"/>
    <tableColumn id="3230" xr3:uid="{3591636E-9C23-43DA-B0D7-5EB2A553A6B8}" name="Column3197"/>
    <tableColumn id="3231" xr3:uid="{83346131-071D-4C0F-B2C3-4C9E469545BE}" name="Column3198"/>
    <tableColumn id="3232" xr3:uid="{925AB13E-C4C2-4094-8BE5-9400725882FF}" name="Column3199"/>
    <tableColumn id="3233" xr3:uid="{99492B54-BA84-4967-A28E-A699921138CE}" name="Column3200"/>
    <tableColumn id="3234" xr3:uid="{DABBC33D-6D0F-477F-A32B-D730FC657142}" name="Column3201"/>
    <tableColumn id="3235" xr3:uid="{F479B3EB-1E80-4E2C-BA48-424A609D59B8}" name="Column3202"/>
    <tableColumn id="3236" xr3:uid="{1084C85E-E79D-414F-A57D-D31552AD082B}" name="Column3203"/>
    <tableColumn id="3237" xr3:uid="{FEA19800-0581-405A-8356-D28522BCBF30}" name="Column3204"/>
    <tableColumn id="3238" xr3:uid="{D8956D5A-4BCC-46AE-89C5-4039496938AB}" name="Column3205"/>
    <tableColumn id="3239" xr3:uid="{6A0A2D64-25C9-4D40-AA2F-458E1467F1E7}" name="Column3206"/>
    <tableColumn id="3240" xr3:uid="{DC57565F-FFFC-435C-8D47-BD8A3DAA9CD1}" name="Column3207"/>
    <tableColumn id="3241" xr3:uid="{5CC586B9-0881-4BD6-832F-E976849D7B36}" name="Column3208"/>
    <tableColumn id="3242" xr3:uid="{417AE8BD-C1B0-4F86-88C4-A937D25E312C}" name="Column3209"/>
    <tableColumn id="3243" xr3:uid="{00322FA2-E1C9-4920-9427-41650ECFC60A}" name="Column3210"/>
    <tableColumn id="3244" xr3:uid="{252103F3-B39F-43B3-9CBC-B45C8E2FA8AA}" name="Column3211"/>
    <tableColumn id="3245" xr3:uid="{62250CDA-5183-4535-8E0B-3729308093AF}" name="Column3212"/>
    <tableColumn id="3246" xr3:uid="{30A85E4C-C2DD-448E-99F3-2DBB4FE2C60B}" name="Column3213"/>
    <tableColumn id="3247" xr3:uid="{D24F6110-7729-4FC6-951F-1C74A2031EC9}" name="Column3214"/>
    <tableColumn id="3248" xr3:uid="{C8264474-FAC0-4BF2-B9DC-6C7D1D401B7E}" name="Column3215"/>
    <tableColumn id="3249" xr3:uid="{B3DB5748-3D19-4DAC-9588-12D2F3911512}" name="Column3216"/>
    <tableColumn id="3250" xr3:uid="{6E73E3FD-777F-49DE-9A0F-22989A956BDE}" name="Column3217"/>
    <tableColumn id="3251" xr3:uid="{F270AC04-4570-4E1E-AF61-BB7A5FA26BC3}" name="Column3218"/>
    <tableColumn id="3252" xr3:uid="{7EF9EA29-9427-4658-816B-2CBC8F68519F}" name="Column3219"/>
    <tableColumn id="3253" xr3:uid="{B51EF484-ECEE-433B-8AF6-CD68BCB153D2}" name="Column3220"/>
    <tableColumn id="3254" xr3:uid="{85185ED8-72DF-46E2-AF2D-382D4BBD608C}" name="Column3221"/>
    <tableColumn id="3255" xr3:uid="{396BC782-A59B-436C-B48C-5633968B1AE0}" name="Column3222"/>
    <tableColumn id="3256" xr3:uid="{65769332-36BE-412E-A5B3-EC5C1C4962AE}" name="Column3223"/>
    <tableColumn id="3257" xr3:uid="{8857F112-7F00-4D2D-9AF1-BEBCE3D2FB03}" name="Column3224"/>
    <tableColumn id="3258" xr3:uid="{267CEAEA-1D56-4F1E-84C6-587A4DFC1415}" name="Column3225"/>
    <tableColumn id="3259" xr3:uid="{6001223A-1D6B-464A-987E-A6CA967FD398}" name="Column3226"/>
    <tableColumn id="3260" xr3:uid="{A44F7425-0384-4D7B-86A9-4CD07497F7F9}" name="Column3227"/>
    <tableColumn id="3261" xr3:uid="{CE4341C2-BFD8-4A8B-A6BA-3C87A2B6B3B4}" name="Column3228"/>
    <tableColumn id="3262" xr3:uid="{02D0DC5F-D5FF-49E1-9170-3B897D7520E7}" name="Column3229"/>
    <tableColumn id="3263" xr3:uid="{FD8D822F-D57E-4863-9E67-6097819401CC}" name="Column3230"/>
    <tableColumn id="3264" xr3:uid="{0C989671-FB08-469B-8FF9-FA241C3D7486}" name="Column3231"/>
    <tableColumn id="3265" xr3:uid="{A4AF0623-CF6F-4573-871B-6FB1200C6A9C}" name="Column3232"/>
    <tableColumn id="3266" xr3:uid="{4B2BC195-7AA0-40F9-9A6E-CEE659CEDDB0}" name="Column3233"/>
    <tableColumn id="3267" xr3:uid="{CD6B99DD-68A8-49D0-95F7-F47D27DE19C1}" name="Column3234"/>
    <tableColumn id="3268" xr3:uid="{5863B360-CE81-4536-B0A3-78FAC03DDD0A}" name="Column3235"/>
    <tableColumn id="3269" xr3:uid="{B4C008A0-20BE-47C7-8DE7-4B74E03487D6}" name="Column3236"/>
    <tableColumn id="3270" xr3:uid="{6FD8727D-64CF-4322-9C10-488174A15B1D}" name="Column3237"/>
    <tableColumn id="3271" xr3:uid="{5EA7F288-2FA9-4B21-B3E1-476EF120E0FA}" name="Column3238"/>
    <tableColumn id="3272" xr3:uid="{04270DC4-D679-4C23-855C-CE83A1986E1A}" name="Column3239"/>
    <tableColumn id="3273" xr3:uid="{049CA9A1-E2FE-4CB5-93CE-010F68863D29}" name="Column3240"/>
    <tableColumn id="3274" xr3:uid="{EA470944-0679-4DFA-9136-4AF2FD1A90F6}" name="Column3241"/>
    <tableColumn id="3275" xr3:uid="{8BB4445A-B39F-4D4E-BC6F-165A0FF3D088}" name="Column3242"/>
    <tableColumn id="3276" xr3:uid="{9946B7ED-76BB-4D08-8BDE-FF9082BDD821}" name="Column3243"/>
    <tableColumn id="3277" xr3:uid="{D882E457-4682-4278-A0F8-0562EDDD9677}" name="Column3244"/>
    <tableColumn id="3278" xr3:uid="{D5816C8A-9593-4344-A7E1-3CABF9EE4114}" name="Column3245"/>
    <tableColumn id="3279" xr3:uid="{E0D58129-963E-4A63-B2A4-D16590CFA5E9}" name="Column3246"/>
    <tableColumn id="3280" xr3:uid="{680D7CFC-9AFE-419C-B955-E41FBF24E109}" name="Column3247"/>
    <tableColumn id="3281" xr3:uid="{73405CBD-9F3F-4A13-BFDB-647A1ACCB02B}" name="Column3248"/>
    <tableColumn id="3282" xr3:uid="{8B01A097-D34B-40EE-A1DD-3485CBC15775}" name="Column3249"/>
    <tableColumn id="3283" xr3:uid="{D629ED2A-AEA5-46F0-B5AE-08E6BA9C0B4D}" name="Column3250"/>
    <tableColumn id="3284" xr3:uid="{18A9D89D-531B-4FD9-90F0-FCE3B5CD6547}" name="Column3251"/>
    <tableColumn id="3285" xr3:uid="{9816BDEE-20DF-4C41-9B2D-26C715DD69DF}" name="Column3252"/>
    <tableColumn id="3286" xr3:uid="{03C91F12-E83D-4AA0-A70F-962B54B3A1CA}" name="Column3253"/>
    <tableColumn id="3287" xr3:uid="{BB3B6C5C-EDBB-40AC-ABDF-F400C69EF7D6}" name="Column3254"/>
    <tableColumn id="3288" xr3:uid="{28F9DB1E-E6BF-423F-8712-043B6ABFDC35}" name="Column3255"/>
    <tableColumn id="3289" xr3:uid="{8C5A09BF-2C03-40F0-BB7C-35C84BE79E92}" name="Column3256"/>
    <tableColumn id="3290" xr3:uid="{D4317765-4D38-4AC7-A32C-FE96F6DEAD07}" name="Column3257"/>
    <tableColumn id="3291" xr3:uid="{AEE41CD4-54E0-45F7-AC3F-637D0EB879F6}" name="Column3258"/>
    <tableColumn id="3292" xr3:uid="{6A1E4D6A-9C8D-4296-84E1-74DBCD5EB32C}" name="Column3259"/>
    <tableColumn id="3293" xr3:uid="{FD564F7B-512A-425B-8772-1D44B1A6785A}" name="Column3260"/>
    <tableColumn id="3294" xr3:uid="{58C3B4B1-E23B-4E58-874C-472CC618FB62}" name="Column3261"/>
    <tableColumn id="3295" xr3:uid="{CE209FDC-22A6-4D6E-8E18-FB7D3915BAB1}" name="Column3262"/>
    <tableColumn id="3296" xr3:uid="{396D2380-9BB2-4D0A-BFDE-CBA5B6EC645D}" name="Column3263"/>
    <tableColumn id="3297" xr3:uid="{870C1372-A786-4AF0-81EA-F6FAD97F49DC}" name="Column3264"/>
    <tableColumn id="3298" xr3:uid="{C4F7CD99-C323-40AC-8921-97DAE06E2483}" name="Column3265"/>
    <tableColumn id="3299" xr3:uid="{7D4A18A5-6C3B-44E0-940E-F74EA7A1860E}" name="Column3266"/>
    <tableColumn id="3300" xr3:uid="{F6EC54DD-05BC-4F4A-A16F-B3435C422189}" name="Column3267"/>
    <tableColumn id="3301" xr3:uid="{BBF81EAE-5D4E-4993-B3EC-3239B474A296}" name="Column3268"/>
    <tableColumn id="3302" xr3:uid="{429D4D6F-AC7F-4CCF-9180-399909596F2A}" name="Column3269"/>
    <tableColumn id="3303" xr3:uid="{364AD9A8-4304-471F-92B7-511705E0F39D}" name="Column3270"/>
    <tableColumn id="3304" xr3:uid="{C977AD01-900F-47D9-A0E1-791FAF1DF660}" name="Column3271"/>
    <tableColumn id="3305" xr3:uid="{35D191D6-0F11-44E5-9027-65C2CC90E6FB}" name="Column3272"/>
    <tableColumn id="3306" xr3:uid="{2C0DBA73-A6AB-498D-895F-5A7D81C901C5}" name="Column3273"/>
    <tableColumn id="3307" xr3:uid="{514B31B6-F7F3-4866-BD00-195B74DEAC5D}" name="Column3274"/>
    <tableColumn id="3308" xr3:uid="{86D4F0D4-26F6-4D45-92CE-CA1B786A8055}" name="Column3275"/>
    <tableColumn id="3309" xr3:uid="{58ACF3C2-3BF9-4DB7-B92C-3758F813A49C}" name="Column3276"/>
    <tableColumn id="3310" xr3:uid="{CD8B665A-65F2-4EF1-9FA9-2A11C03C5309}" name="Column3277"/>
    <tableColumn id="3311" xr3:uid="{C9E1D956-6A60-4172-A736-F5BF4248DA3A}" name="Column3278"/>
    <tableColumn id="3312" xr3:uid="{42C07FC3-DCD2-4412-A033-1279EFCD9C25}" name="Column3279"/>
    <tableColumn id="3313" xr3:uid="{591536F4-3F46-4A63-A365-624AD95AC26B}" name="Column3280"/>
    <tableColumn id="3314" xr3:uid="{3C4FBB46-85FE-47DA-87CF-F363C3EBC873}" name="Column3281"/>
    <tableColumn id="3315" xr3:uid="{D2255EA2-C1A4-4814-BE79-B1BFE0A636C3}" name="Column3282"/>
    <tableColumn id="3316" xr3:uid="{7F25BA45-DA71-4F3C-B529-B1E7AEF32E42}" name="Column3283"/>
    <tableColumn id="3317" xr3:uid="{B543D2C6-9B4E-4796-A0A7-3F3AC1802046}" name="Column3284"/>
    <tableColumn id="3318" xr3:uid="{19F05A30-9387-49C1-B218-81B8D23EEBC2}" name="Column3285"/>
    <tableColumn id="3319" xr3:uid="{456EE50D-0CC7-4DEA-8FC2-3F9B418716C9}" name="Column3286"/>
    <tableColumn id="3320" xr3:uid="{B3525965-CC0F-4D7D-959C-382499A33D1E}" name="Column3287"/>
    <tableColumn id="3321" xr3:uid="{1E030CF8-35DF-4AA1-968D-929666C117DA}" name="Column3288"/>
    <tableColumn id="3322" xr3:uid="{AEBA812E-814A-4216-8FED-8ACB770A16D6}" name="Column3289"/>
    <tableColumn id="3323" xr3:uid="{C70E0E1A-4D13-46EC-8295-8216D9EB8AB6}" name="Column3290"/>
    <tableColumn id="3324" xr3:uid="{A3E9A564-185A-422D-8050-59CF7CA7834A}" name="Column3291"/>
    <tableColumn id="3325" xr3:uid="{127CA194-A1BA-4112-839B-9D48137AF82B}" name="Column3292"/>
    <tableColumn id="3326" xr3:uid="{46FDD075-E4AC-4C5B-8128-572406F46B4C}" name="Column3293"/>
    <tableColumn id="3327" xr3:uid="{4775DFD7-D976-46DF-99E9-C2C9CE24A289}" name="Column3294"/>
    <tableColumn id="3328" xr3:uid="{CC4A3207-093A-407E-B550-5CB0A352E1E0}" name="Column3295"/>
    <tableColumn id="3329" xr3:uid="{DAC94DA3-ECED-4762-B56F-D543D8F76D51}" name="Column3296"/>
    <tableColumn id="3330" xr3:uid="{95182256-6459-4950-8391-0C8A92FF9D76}" name="Column3297"/>
    <tableColumn id="3331" xr3:uid="{0D69DB8A-0C52-49FB-8843-EEF7DADECB2D}" name="Column3298"/>
    <tableColumn id="3332" xr3:uid="{183C4714-9757-40FA-986E-6488C72B95DA}" name="Column3299"/>
    <tableColumn id="3333" xr3:uid="{43D74FC5-6008-42A4-9897-97E3B1E690F3}" name="Column3300"/>
    <tableColumn id="3334" xr3:uid="{95FA729D-55F1-4D25-86C7-98E84E46C381}" name="Column3301"/>
    <tableColumn id="3335" xr3:uid="{17FDC452-BF0B-4D19-90BB-A357A9D16B88}" name="Column3302"/>
    <tableColumn id="3336" xr3:uid="{585059CC-7171-42B2-83E8-662A234DA51A}" name="Column3303"/>
    <tableColumn id="3337" xr3:uid="{15BDE29C-BFA9-437C-B115-D97364DFE63B}" name="Column3304"/>
    <tableColumn id="3338" xr3:uid="{21300D70-5998-4F08-8DE2-3DED77B37107}" name="Column3305"/>
    <tableColumn id="3339" xr3:uid="{F1155365-365C-42F1-BEC4-08D8724E5A78}" name="Column3306"/>
    <tableColumn id="3340" xr3:uid="{0A03C612-B040-4756-984A-D6F2C53E23D3}" name="Column3307"/>
    <tableColumn id="3341" xr3:uid="{71FB5143-D2D1-41D7-A50D-34A8121E104D}" name="Column3308"/>
    <tableColumn id="3342" xr3:uid="{0C715BEB-68E4-4173-8370-36857002ABDB}" name="Column3309"/>
    <tableColumn id="3343" xr3:uid="{AFC72E5A-4C81-4005-BB5A-3A43D6E34BB3}" name="Column3310"/>
    <tableColumn id="3344" xr3:uid="{3E9A53A0-EA61-4ABB-B683-9C2AF2B26135}" name="Column3311"/>
    <tableColumn id="3345" xr3:uid="{088F9146-A740-453D-AB66-EB232009D173}" name="Column3312"/>
    <tableColumn id="3346" xr3:uid="{16D88E15-2696-425D-804A-58A63927D6D5}" name="Column3313"/>
    <tableColumn id="3347" xr3:uid="{725D4E39-04BA-481F-BD6D-F9CA8BF491AC}" name="Column3314"/>
    <tableColumn id="3348" xr3:uid="{EC92F34F-7A7D-44F2-B3C8-06E4F38EFBF6}" name="Column3315"/>
    <tableColumn id="3349" xr3:uid="{3800AAC0-3DD2-4E33-BD1B-3C41CFA34117}" name="Column3316"/>
    <tableColumn id="3350" xr3:uid="{A4CC31D4-F1EF-431A-99F1-E04CBBB0E18E}" name="Column3317"/>
    <tableColumn id="3351" xr3:uid="{D5D4840F-AEEF-42EE-BE36-976800F8D489}" name="Column3318"/>
    <tableColumn id="3352" xr3:uid="{A1D03A8E-0E8A-49D3-8F5B-023BCBD46847}" name="Column3319"/>
    <tableColumn id="3353" xr3:uid="{8FA82885-1DE0-4BAD-AB92-239CFA9E299B}" name="Column3320"/>
    <tableColumn id="3354" xr3:uid="{53F02CCD-DCD8-4B2E-AB20-3215D2948CA9}" name="Column3321"/>
    <tableColumn id="3355" xr3:uid="{53046413-6A62-4334-81B9-108DF88E706E}" name="Column3322"/>
    <tableColumn id="3356" xr3:uid="{CD325DF2-C8E5-4B27-98E4-33F4DFAFF4FB}" name="Column3323"/>
    <tableColumn id="3357" xr3:uid="{B0D6FCE6-AD1D-4837-BDE4-4C97F31C689F}" name="Column3324"/>
    <tableColumn id="3358" xr3:uid="{E742E288-FD28-4F22-AFD7-98967055F20F}" name="Column3325"/>
    <tableColumn id="3359" xr3:uid="{2E7BC7F4-03E1-4355-913C-0E5F0C07799E}" name="Column3326"/>
    <tableColumn id="3360" xr3:uid="{D7BF38A1-07A3-4117-881F-4DC33A8D3558}" name="Column3327"/>
    <tableColumn id="3361" xr3:uid="{7524393D-89EB-4102-98BE-C63CE190B429}" name="Column3328"/>
    <tableColumn id="3362" xr3:uid="{2920867A-E652-46FF-BC27-B16717BAED5D}" name="Column3329"/>
    <tableColumn id="3363" xr3:uid="{11F3A73A-DE52-4A82-B972-BCB39E078754}" name="Column3330"/>
    <tableColumn id="3364" xr3:uid="{8A1B21A1-0DC6-4E50-8487-86EF61CAC990}" name="Column3331"/>
    <tableColumn id="3365" xr3:uid="{2DF256F1-8BA9-439F-B63C-EA72639211C6}" name="Column3332"/>
    <tableColumn id="3366" xr3:uid="{3D5CC58F-D7EF-4ED8-8C39-703933D0E872}" name="Column3333"/>
    <tableColumn id="3367" xr3:uid="{80F5E5F2-1AB5-4A14-A911-0463C7D4FBA6}" name="Column3334"/>
    <tableColumn id="3368" xr3:uid="{8213EFF6-0D92-4F8E-9126-E93F6EA404AD}" name="Column3335"/>
    <tableColumn id="3369" xr3:uid="{E551294A-1889-4ADB-8C0D-B436C4872A5D}" name="Column3336"/>
    <tableColumn id="3370" xr3:uid="{0DB276BC-7DFC-4F30-80DF-FB6F0F7FA5CE}" name="Column3337"/>
    <tableColumn id="3371" xr3:uid="{934896E1-B5A4-450E-B05D-C2A9005FDEB9}" name="Column3338"/>
    <tableColumn id="3372" xr3:uid="{7CF94962-BD20-45C2-A0C4-92BA635DA03D}" name="Column3339"/>
    <tableColumn id="3373" xr3:uid="{7FBB9D8E-EFC9-455C-A5DB-A55F3B04A94C}" name="Column3340"/>
    <tableColumn id="3374" xr3:uid="{F2623023-A68F-4097-8559-89D34FF5C063}" name="Column3341"/>
    <tableColumn id="3375" xr3:uid="{6B856BEB-FCDD-4F8C-919C-0D6A8086EDAE}" name="Column3342"/>
    <tableColumn id="3376" xr3:uid="{AD6B91D9-1EDA-40D3-B48A-B7B661C46AA6}" name="Column3343"/>
    <tableColumn id="3377" xr3:uid="{B9BD62DB-B563-4C33-9F2E-2F73FD76DE5B}" name="Column3344"/>
    <tableColumn id="3378" xr3:uid="{C63F61D2-F970-4B35-AC57-5CC36FA36DAE}" name="Column3345"/>
    <tableColumn id="3379" xr3:uid="{0763ABC0-D561-4006-A6D4-203F9280D446}" name="Column3346"/>
    <tableColumn id="3380" xr3:uid="{88F09682-3364-4764-98E1-DEB625C4BF2C}" name="Column3347"/>
    <tableColumn id="3381" xr3:uid="{047F0113-37F2-4DAC-ABF9-3F60193D96F5}" name="Column3348"/>
    <tableColumn id="3382" xr3:uid="{3BB6B7BD-20B0-4CE4-A157-E1A8094CC5AA}" name="Column3349"/>
    <tableColumn id="3383" xr3:uid="{F4A83BF8-1375-4C75-A08F-D0557B10423C}" name="Column3350"/>
    <tableColumn id="3384" xr3:uid="{80DB7058-35C3-4F2B-A80F-E90224F976D5}" name="Column3351"/>
    <tableColumn id="3385" xr3:uid="{191A0C96-99EB-47AF-818E-A2F5A96F1EED}" name="Column3352"/>
    <tableColumn id="3386" xr3:uid="{78638B74-EC0B-4098-A518-BD4AF6BA450B}" name="Column3353"/>
    <tableColumn id="3387" xr3:uid="{C86282B8-6985-4532-9BBB-56329ABB29FF}" name="Column3354"/>
    <tableColumn id="3388" xr3:uid="{C07C84F3-2792-4799-B397-A9CBD8EE5754}" name="Column3355"/>
    <tableColumn id="3389" xr3:uid="{B615E715-7A03-4511-89C7-E441B3B53128}" name="Column3356"/>
    <tableColumn id="3390" xr3:uid="{087CCD7A-DD24-4819-AA9E-C6AE621415EE}" name="Column3357"/>
    <tableColumn id="3391" xr3:uid="{5653E93F-B925-4B68-938D-A8B403C2A40B}" name="Column3358"/>
    <tableColumn id="3392" xr3:uid="{79747F26-092C-4744-82F6-16BB1982E467}" name="Column3359"/>
    <tableColumn id="3393" xr3:uid="{45316EE0-2C80-49EA-95D8-F23F2688B44C}" name="Column3360"/>
    <tableColumn id="3394" xr3:uid="{ABF1DA87-48E9-4088-8886-0D762FBFB5FD}" name="Column3361"/>
    <tableColumn id="3395" xr3:uid="{630E3E5D-41FB-433F-99F5-8A5BB17891E6}" name="Column3362"/>
    <tableColumn id="3396" xr3:uid="{79F9AF34-D0AB-4EE5-A78E-6326BA1A2649}" name="Column3363"/>
    <tableColumn id="3397" xr3:uid="{9D493C9B-2346-4E39-8F77-A3F2E844374A}" name="Column3364"/>
    <tableColumn id="3398" xr3:uid="{B3D178C0-0B72-41B8-944D-8645408F33B0}" name="Column3365"/>
    <tableColumn id="3399" xr3:uid="{A76F16D4-59C8-487D-A926-368920F5B337}" name="Column3366"/>
    <tableColumn id="3400" xr3:uid="{6A7F08A6-4D61-46DE-B140-8A7FF5E72DE1}" name="Column3367"/>
    <tableColumn id="3401" xr3:uid="{D7648FC1-BB82-4583-B091-E92D504ABC1A}" name="Column3368"/>
    <tableColumn id="3402" xr3:uid="{0715B3AF-2A29-4BC2-93E3-B31C33B962A8}" name="Column3369"/>
    <tableColumn id="3403" xr3:uid="{CFD04EF0-7E30-4875-83E6-5163973EC3C5}" name="Column3370"/>
    <tableColumn id="3404" xr3:uid="{20D62C48-5E29-41D1-BE23-EDAF15556107}" name="Column3371"/>
    <tableColumn id="3405" xr3:uid="{43CBA0D7-5E62-4E32-8C4E-CFD461B26C89}" name="Column3372"/>
    <tableColumn id="3406" xr3:uid="{98A0779A-D1AE-4AB3-8BA4-30F4A77EF0DC}" name="Column3373"/>
    <tableColumn id="3407" xr3:uid="{9FA1E4B1-CF9D-497E-878F-148BD8923DBA}" name="Column3374"/>
    <tableColumn id="3408" xr3:uid="{7C628D51-4543-4A4A-9C0A-054B721B7D40}" name="Column3375"/>
    <tableColumn id="3409" xr3:uid="{E2C88C2B-C985-409B-BD20-21242490B2D1}" name="Column3376"/>
    <tableColumn id="3410" xr3:uid="{F3AAFE7B-EBE4-4669-9071-CB9192A17969}" name="Column3377"/>
    <tableColumn id="3411" xr3:uid="{0723943F-EC5F-4C40-B51B-03C40BA74D07}" name="Column3378"/>
    <tableColumn id="3412" xr3:uid="{FB9D32D8-E018-4FF9-BA93-3170D0FDD6A9}" name="Column3379"/>
    <tableColumn id="3413" xr3:uid="{7F41A158-52B9-4BFF-8687-C746E5AFCE91}" name="Column3380"/>
    <tableColumn id="3414" xr3:uid="{825B63B6-ED3F-4DE1-9172-5730960E9376}" name="Column3381"/>
    <tableColumn id="3415" xr3:uid="{3BBA9046-4725-4D83-8029-4AFB81B4D505}" name="Column3382"/>
    <tableColumn id="3416" xr3:uid="{E093D237-BC8F-4F82-A6EC-F771104D11FD}" name="Column3383"/>
    <tableColumn id="3417" xr3:uid="{DBE09567-2A96-4B08-97F2-672B13B596DD}" name="Column3384"/>
    <tableColumn id="3418" xr3:uid="{8F56EBDF-42B3-4154-9493-D074AE094046}" name="Column3385"/>
    <tableColumn id="3419" xr3:uid="{60935B55-D56E-44AF-BD3A-4D67A5152B4C}" name="Column3386"/>
    <tableColumn id="3420" xr3:uid="{B4C0F21C-9731-4029-B7BF-01C87ED1F373}" name="Column3387"/>
    <tableColumn id="3421" xr3:uid="{61418197-A6C4-4D86-B329-247EBB053505}" name="Column3388"/>
    <tableColumn id="3422" xr3:uid="{A15DD530-6D69-40D9-88B8-6001FA485DC2}" name="Column3389"/>
    <tableColumn id="3423" xr3:uid="{BFB2E956-0197-466B-A356-832F4CFF8555}" name="Column3390"/>
    <tableColumn id="3424" xr3:uid="{092171BE-0930-4115-843F-57E1F9649AAB}" name="Column3391"/>
    <tableColumn id="3425" xr3:uid="{E371DB94-B881-4092-812E-048A95F63123}" name="Column3392"/>
    <tableColumn id="3426" xr3:uid="{0FF80C82-5CA9-4139-B0A5-9976E4FE9FB4}" name="Column3393"/>
    <tableColumn id="3427" xr3:uid="{3AE60709-3B1A-4345-9D40-2205532C8BD1}" name="Column3394"/>
    <tableColumn id="3428" xr3:uid="{1AB98815-F805-41B4-A97F-65ED7D8751B6}" name="Column3395"/>
    <tableColumn id="3429" xr3:uid="{44B5565F-2A53-46A5-9B66-2E1C07F0D331}" name="Column3396"/>
    <tableColumn id="3430" xr3:uid="{C6C3D485-0FE2-46B8-9467-1DE05C5DC14B}" name="Column3397"/>
    <tableColumn id="3431" xr3:uid="{7DF2A1BD-F14E-4F0D-A5F4-D33C66AA39A0}" name="Column3398"/>
    <tableColumn id="3432" xr3:uid="{69EA69E4-4983-411C-84B3-ADE8785FB9B2}" name="Column3399"/>
    <tableColumn id="3433" xr3:uid="{3BD13969-ABC0-482D-8A49-8BC66076CF54}" name="Column3400"/>
    <tableColumn id="3434" xr3:uid="{C7B39C71-28AC-41CE-BFFF-5C3BB9EFE638}" name="Column3401"/>
    <tableColumn id="3435" xr3:uid="{02800B9F-4647-44A3-85B0-F3044DBBB2D1}" name="Column3402"/>
    <tableColumn id="3436" xr3:uid="{EF30AA05-0F63-4270-8BDD-0A0445C49541}" name="Column3403"/>
    <tableColumn id="3437" xr3:uid="{52C9910B-DCC5-44A0-A5F9-0C5D7608C96A}" name="Column3404"/>
    <tableColumn id="3438" xr3:uid="{B2ECF24D-EDFB-4B6E-90C6-5BDC6771C9F0}" name="Column3405"/>
    <tableColumn id="3439" xr3:uid="{EF7AD6CD-E661-46C7-95F3-52DA177B0E23}" name="Column3406"/>
    <tableColumn id="3440" xr3:uid="{9642A92E-81C6-4B1C-BB1B-B5A5F035249A}" name="Column3407"/>
    <tableColumn id="3441" xr3:uid="{7ACD80C2-EB21-47FA-A2CE-E243F24238FC}" name="Column3408"/>
    <tableColumn id="3442" xr3:uid="{D17BCDDE-D098-4319-9DA5-0C5E8EB8A0B8}" name="Column3409"/>
    <tableColumn id="3443" xr3:uid="{DD1BE7A1-51C9-45B1-BB91-7D4EF00DBB0B}" name="Column3410"/>
    <tableColumn id="3444" xr3:uid="{752ABCD3-CE70-4A34-A73B-A37FB03C888F}" name="Column3411"/>
    <tableColumn id="3445" xr3:uid="{3E9E6862-5FD8-4778-8DD0-8177BC0CF46E}" name="Column3412"/>
    <tableColumn id="3446" xr3:uid="{97FF98F2-562F-4681-A182-868AC7931511}" name="Column3413"/>
    <tableColumn id="3447" xr3:uid="{FB58A217-82E3-4E7C-AFDA-4FF507A9414F}" name="Column3414"/>
    <tableColumn id="3448" xr3:uid="{B2715A10-50F5-4755-A442-A9A1A8FC53B5}" name="Column3415"/>
    <tableColumn id="3449" xr3:uid="{4A256EE2-1EEB-4217-B274-76FAEB00E41C}" name="Column3416"/>
    <tableColumn id="3450" xr3:uid="{59729F2F-BBDA-4F1E-B0FE-F46DA4CFFD7B}" name="Column3417"/>
    <tableColumn id="3451" xr3:uid="{37910AEA-2726-4CB3-AA3D-0F0B74C69520}" name="Column3418"/>
    <tableColumn id="3452" xr3:uid="{D189D1F8-F166-4889-B9E4-151085BC1E34}" name="Column3419"/>
    <tableColumn id="3453" xr3:uid="{EBA7D187-3BA5-4D33-B08B-75165100E6D5}" name="Column3420"/>
    <tableColumn id="3454" xr3:uid="{63512ABB-A4F2-4036-B17C-3812B431BDFB}" name="Column3421"/>
    <tableColumn id="3455" xr3:uid="{638CEADF-BCDE-4F59-A4E1-24A9D994D101}" name="Column3422"/>
    <tableColumn id="3456" xr3:uid="{D3A06970-A06E-4F3A-8BC3-91493257F139}" name="Column3423"/>
    <tableColumn id="3457" xr3:uid="{70E27AFC-0D54-45BB-8F0C-ED24DE222956}" name="Column3424"/>
    <tableColumn id="3458" xr3:uid="{0A31FFDC-1E9C-48CD-8A2B-C01CC68F0610}" name="Column3425"/>
    <tableColumn id="3459" xr3:uid="{A0571968-F1FA-4006-9D20-B31D95C0E642}" name="Column3426"/>
    <tableColumn id="3460" xr3:uid="{9703204D-ECA2-45ED-A0AF-B390E0E6CD26}" name="Column3427"/>
    <tableColumn id="3461" xr3:uid="{C38FC7D2-4207-4413-B53D-93D666CC41CF}" name="Column3428"/>
    <tableColumn id="3462" xr3:uid="{9E4E584D-CB82-4882-9C7E-6D6BF01EE5CF}" name="Column3429"/>
    <tableColumn id="3463" xr3:uid="{D23F5481-DB40-46F1-8699-5044177A1A94}" name="Column3430"/>
    <tableColumn id="3464" xr3:uid="{D5E732FD-5AB9-4878-9262-3009A445956A}" name="Column3431"/>
    <tableColumn id="3465" xr3:uid="{7BB61BC7-3FBC-4030-A03F-0FC917AC9FA3}" name="Column3432"/>
    <tableColumn id="3466" xr3:uid="{FEA9FBB0-E782-48BD-B8FF-4C1009C3D1B6}" name="Column3433"/>
    <tableColumn id="3467" xr3:uid="{6C89C491-2132-4343-BB00-F3CFB3D3C3D2}" name="Column3434"/>
    <tableColumn id="3468" xr3:uid="{66692FAF-2D4E-4949-BB4F-BF403E3EE62B}" name="Column3435"/>
    <tableColumn id="3469" xr3:uid="{17C24381-6B37-4A6B-8463-DC88005D2F32}" name="Column3436"/>
    <tableColumn id="3470" xr3:uid="{331A1EDC-DB7B-48D4-803E-2F17CB185D2E}" name="Column3437"/>
    <tableColumn id="3471" xr3:uid="{7C6780F6-8756-4E9D-AD71-63DB2B4A36D4}" name="Column3438"/>
    <tableColumn id="3472" xr3:uid="{012BC1A7-CBE0-4BB1-8837-007888B67AD5}" name="Column3439"/>
    <tableColumn id="3473" xr3:uid="{2FFCDFF5-622A-4AD6-BE50-4958AB45B6A5}" name="Column3440"/>
    <tableColumn id="3474" xr3:uid="{BD86FA6A-0907-451D-A286-513CA0E1DB24}" name="Column3441"/>
    <tableColumn id="3475" xr3:uid="{FD950E57-FFAF-422D-AE56-555BB27CBF51}" name="Column3442"/>
    <tableColumn id="3476" xr3:uid="{63F71CB7-B8F4-46FB-A10C-83E23C4CD99D}" name="Column3443"/>
    <tableColumn id="3477" xr3:uid="{E149764D-7080-4B05-BEE0-CE6326913E3B}" name="Column3444"/>
    <tableColumn id="3478" xr3:uid="{BF8855E3-645A-449B-A83A-1E104FCBAFD0}" name="Column3445"/>
    <tableColumn id="3479" xr3:uid="{8A895627-0975-4695-8FC7-B61549694F22}" name="Column3446"/>
    <tableColumn id="3480" xr3:uid="{A2EFFE92-DD1F-4B1F-82D4-07CBD703647E}" name="Column3447"/>
    <tableColumn id="3481" xr3:uid="{896857E0-57AB-4312-8EDE-0C3EABC6BFD3}" name="Column3448"/>
    <tableColumn id="3482" xr3:uid="{C70984E6-80D5-46A9-85D4-914E75FAB74E}" name="Column3449"/>
    <tableColumn id="3483" xr3:uid="{D3B1B711-378B-4436-8EEB-5E70739E2A45}" name="Column3450"/>
    <tableColumn id="3484" xr3:uid="{A8921530-CBBB-4E66-B5EE-06384A0C5EA6}" name="Column3451"/>
    <tableColumn id="3485" xr3:uid="{59DCFA6E-8D29-4526-A0C1-E94DED5F0443}" name="Column3452"/>
    <tableColumn id="3486" xr3:uid="{CC1BA422-DE7A-43F8-AC8E-F64E367C871F}" name="Column3453"/>
    <tableColumn id="3487" xr3:uid="{89B5714C-29BA-4309-888F-E0957BF4BB89}" name="Column3454"/>
    <tableColumn id="3488" xr3:uid="{6B97535D-2A76-444E-BDF2-D6B57B987E4C}" name="Column3455"/>
    <tableColumn id="3489" xr3:uid="{B822ED1F-B5E2-4DBF-8F22-3EFD0ECE9072}" name="Column3456"/>
    <tableColumn id="3490" xr3:uid="{3AE4394D-E8F5-45EA-92C8-19A1658E4F81}" name="Column3457"/>
    <tableColumn id="3491" xr3:uid="{303587AE-2797-4652-973D-83F83347CF7B}" name="Column3458"/>
    <tableColumn id="3492" xr3:uid="{DC482878-480E-46A3-9C71-44CF83F4A324}" name="Column3459"/>
    <tableColumn id="3493" xr3:uid="{29FD5465-C4F6-47D2-85C1-F1E117678F2A}" name="Column3460"/>
    <tableColumn id="3494" xr3:uid="{3C0EE74F-5BEC-4CCD-A197-69453AA1B5B7}" name="Column3461"/>
    <tableColumn id="3495" xr3:uid="{E9C4F3BE-27D3-4376-A673-8AD1865FEE50}" name="Column3462"/>
    <tableColumn id="3496" xr3:uid="{37215CDF-DAF2-4195-AF73-36288A75115A}" name="Column3463"/>
    <tableColumn id="3497" xr3:uid="{F2B2106A-AA5A-4704-873C-EB462305DAB2}" name="Column3464"/>
    <tableColumn id="3498" xr3:uid="{121E4666-8B42-44FD-9704-465D0284F3A7}" name="Column3465"/>
    <tableColumn id="3499" xr3:uid="{0EF8513F-EC79-44DD-AB62-9712E408F2BF}" name="Column3466"/>
    <tableColumn id="3500" xr3:uid="{F20A59A7-9D23-4FB0-A797-1DADC51620C2}" name="Column3467"/>
    <tableColumn id="3501" xr3:uid="{E5EAE23C-3755-4E22-903A-BDEA753C4A01}" name="Column3468"/>
    <tableColumn id="3502" xr3:uid="{C873A6B9-3EDD-4E33-93DA-93D4E815AC2A}" name="Column3469"/>
    <tableColumn id="3503" xr3:uid="{457DD104-F706-44BA-89D7-A4D365CF505C}" name="Column3470"/>
    <tableColumn id="3504" xr3:uid="{E82912D7-0589-43C3-AA6F-2DAF1BE5B3D8}" name="Column3471"/>
    <tableColumn id="3505" xr3:uid="{E8E5B8FE-A74A-46FA-9C56-DEA6A625BFA2}" name="Column3472"/>
    <tableColumn id="3506" xr3:uid="{930669B8-A063-44F6-998F-119FF0ECBA22}" name="Column3473"/>
    <tableColumn id="3507" xr3:uid="{816FA703-50B5-43F4-A801-BE2363DF0B12}" name="Column3474"/>
    <tableColumn id="3508" xr3:uid="{B50CC2AA-C790-4A6B-8A08-0FAE14D55EC9}" name="Column3475"/>
    <tableColumn id="3509" xr3:uid="{F8380918-E3A6-47E7-91D2-CA2A168AC98D}" name="Column3476"/>
    <tableColumn id="3510" xr3:uid="{9EFDB1D2-DF1F-4296-9BB7-1766F6B82261}" name="Column3477"/>
    <tableColumn id="3511" xr3:uid="{DE329EFB-DB7E-4633-A7F5-9324B2165626}" name="Column3478"/>
    <tableColumn id="3512" xr3:uid="{CA3BF6EE-4876-417D-A572-DF6B7D0116D9}" name="Column3479"/>
    <tableColumn id="3513" xr3:uid="{78BDF9B3-EB4C-44F2-894A-FE21CFC57E46}" name="Column3480"/>
    <tableColumn id="3514" xr3:uid="{C0B1999C-B05A-4777-90AA-63CBC19DDD8D}" name="Column3481"/>
    <tableColumn id="3515" xr3:uid="{5976B884-7D63-48CC-9FFA-1E2A21E0DEA6}" name="Column3482"/>
    <tableColumn id="3516" xr3:uid="{D456A010-BB05-40D7-8E1F-59C5DBEEAA2A}" name="Column3483"/>
    <tableColumn id="3517" xr3:uid="{23156B65-F315-47C9-92A8-47827210953D}" name="Column3484"/>
    <tableColumn id="3518" xr3:uid="{9DCE7A58-3BD0-4BF2-BE39-39D224AE5441}" name="Column3485"/>
    <tableColumn id="3519" xr3:uid="{15D0627F-3A66-4734-AE0D-9F1345D6A3B1}" name="Column3486"/>
    <tableColumn id="3520" xr3:uid="{01AF879E-7483-4A41-B267-FD3406B3C667}" name="Column3487"/>
    <tableColumn id="3521" xr3:uid="{A0D9A94D-C562-4AE0-B2C7-CA8E35FA4917}" name="Column3488"/>
    <tableColumn id="3522" xr3:uid="{B358032A-7742-4855-9B4A-0686C01A72CF}" name="Column3489"/>
    <tableColumn id="3523" xr3:uid="{AF8D2382-C481-45AB-A853-669BE089CEAC}" name="Column3490"/>
    <tableColumn id="3524" xr3:uid="{0BF90F14-7921-453B-92AA-25FF28819BC8}" name="Column3491"/>
    <tableColumn id="3525" xr3:uid="{FC350296-5484-490D-874F-D8BFCB39B041}" name="Column3492"/>
    <tableColumn id="3526" xr3:uid="{EF1D8E75-84AC-4176-89ED-27624AF98D2A}" name="Column3493"/>
    <tableColumn id="3527" xr3:uid="{BEFA66A6-C291-4223-87BC-75023688525A}" name="Column3494"/>
    <tableColumn id="3528" xr3:uid="{CC4606B3-2A8E-4B58-9C22-E2772F3AD803}" name="Column3495"/>
    <tableColumn id="3529" xr3:uid="{6B2D3298-E01C-48DE-82E0-97337B3C5A68}" name="Column3496"/>
    <tableColumn id="3530" xr3:uid="{DBC86549-2A68-44EE-BD96-0CAC7996DAEA}" name="Column3497"/>
    <tableColumn id="3531" xr3:uid="{5C175472-8625-4291-B252-36BDE0AC575D}" name="Column3498"/>
    <tableColumn id="3532" xr3:uid="{2C39C165-FF7B-402B-B97E-D8EFC6E594BF}" name="Column3499"/>
    <tableColumn id="3533" xr3:uid="{59611E16-4672-436E-83D5-7539B24F0617}" name="Column3500"/>
    <tableColumn id="3534" xr3:uid="{04B1FBFB-95A7-48D3-9175-DB31B0CF3410}" name="Column3501"/>
    <tableColumn id="3535" xr3:uid="{6B316FA7-7A10-471D-B206-0DADE25A93ED}" name="Column3502"/>
    <tableColumn id="3536" xr3:uid="{53987300-7C7B-4D7F-BC92-235430279DC8}" name="Column3503"/>
    <tableColumn id="3537" xr3:uid="{1B3E68CA-1BBE-44B1-B079-B44C8176F4C8}" name="Column3504"/>
    <tableColumn id="3538" xr3:uid="{C2A5C15D-58BE-4308-BBBD-897604B86765}" name="Column3505"/>
    <tableColumn id="3539" xr3:uid="{DEAE12FC-982F-49EE-BC5A-38272B68DB17}" name="Column3506"/>
    <tableColumn id="3540" xr3:uid="{83EBBE75-8C8E-4862-A21A-9FBDC3B8F09A}" name="Column3507"/>
    <tableColumn id="3541" xr3:uid="{6BC13121-682A-43D1-8552-40F590640CBD}" name="Column3508"/>
    <tableColumn id="3542" xr3:uid="{E1F93DF7-5E97-47AD-B1D5-96A961C283BE}" name="Column3509"/>
    <tableColumn id="3543" xr3:uid="{54BD0580-47A6-4A7B-A650-19C720F151C3}" name="Column3510"/>
    <tableColumn id="3544" xr3:uid="{C0218093-D655-42BB-B9CB-D4FF22860257}" name="Column3511"/>
    <tableColumn id="3545" xr3:uid="{B911F95C-413B-47D4-BDB0-3E25A6AFFE2B}" name="Column3512"/>
    <tableColumn id="3546" xr3:uid="{4CA8C86E-8B23-4F1A-8696-6A675819CBB6}" name="Column3513"/>
    <tableColumn id="3547" xr3:uid="{18CA8995-4730-45C3-BE68-F54E1B3EA96D}" name="Column3514"/>
    <tableColumn id="3548" xr3:uid="{4D141E03-9568-4E0F-BBC0-57D1BF2ECA8C}" name="Column3515"/>
    <tableColumn id="3549" xr3:uid="{9C9CC199-5BDA-4541-BA9E-958E37C025CC}" name="Column3516"/>
    <tableColumn id="3550" xr3:uid="{948DD139-C260-4C5D-A005-9954EF4576F2}" name="Column3517"/>
    <tableColumn id="3551" xr3:uid="{D0149C7A-A09E-486D-B660-2033F2180EBD}" name="Column3518"/>
    <tableColumn id="3552" xr3:uid="{08A9BE70-9EB9-4A42-880E-544646CC3266}" name="Column3519"/>
    <tableColumn id="3553" xr3:uid="{7CDEA57B-AA4E-4550-A382-1A5C780AC0F9}" name="Column3520"/>
    <tableColumn id="3554" xr3:uid="{5CD3D04A-D486-480F-A5B7-4DA8A9B3C38C}" name="Column3521"/>
    <tableColumn id="3555" xr3:uid="{B70192F7-1499-4E8F-9DB1-D9DE81B03CCA}" name="Column3522"/>
    <tableColumn id="3556" xr3:uid="{C2BED20B-5BB7-4DC5-95DF-DF7206264744}" name="Column3523"/>
    <tableColumn id="3557" xr3:uid="{87EED306-9248-4BD6-AC0D-72F752941B8A}" name="Column3524"/>
    <tableColumn id="3558" xr3:uid="{D6BB0FD1-712F-4D03-980B-A67EC798C9CA}" name="Column3525"/>
    <tableColumn id="3559" xr3:uid="{7AEC80BB-64A7-480F-9C4D-B0EB3503A46B}" name="Column3526"/>
    <tableColumn id="3560" xr3:uid="{ECC1009A-61FD-4984-99AD-1C20B8103DB7}" name="Column3527"/>
    <tableColumn id="3561" xr3:uid="{FE0144EB-A531-4CAB-AB16-0B1DC1844AC2}" name="Column3528"/>
    <tableColumn id="3562" xr3:uid="{7CB3E501-972F-41AA-B6C2-E57845221A8B}" name="Column3529"/>
    <tableColumn id="3563" xr3:uid="{080C5B0E-1630-4567-9761-75CEBEFF88B2}" name="Column3530"/>
    <tableColumn id="3564" xr3:uid="{DFF6CBF3-FB0C-4354-9CC2-F0681D089F50}" name="Column3531"/>
    <tableColumn id="3565" xr3:uid="{432F9A08-B2D1-4AE4-A580-31CD76B325BE}" name="Column3532"/>
    <tableColumn id="3566" xr3:uid="{B4507906-0AB7-4133-8A30-6D45EB484D87}" name="Column3533"/>
    <tableColumn id="3567" xr3:uid="{1DDE45FC-074A-496F-8CAE-29921BC855A7}" name="Column3534"/>
    <tableColumn id="3568" xr3:uid="{7F3F44AB-4DF6-4ECC-979D-AEA0484BBB7B}" name="Column3535"/>
    <tableColumn id="3569" xr3:uid="{65F526DB-673D-41A2-8539-C20ECC8018FE}" name="Column3536"/>
    <tableColumn id="3570" xr3:uid="{69B88621-DF77-4E4B-99F5-492912756E46}" name="Column3537"/>
    <tableColumn id="3571" xr3:uid="{6C7AB181-7750-435D-94BA-E4BA2072C2EC}" name="Column3538"/>
    <tableColumn id="3572" xr3:uid="{E43E63B5-C2C6-43A1-A691-5CFC4E07B029}" name="Column3539"/>
    <tableColumn id="3573" xr3:uid="{88836FB0-54D7-49DE-8DF5-C99D0AFD50FF}" name="Column3540"/>
    <tableColumn id="3574" xr3:uid="{27A1C9FB-966B-4521-B932-F8955E025218}" name="Column3541"/>
    <tableColumn id="3575" xr3:uid="{F3E53CA8-7823-4214-B65A-A4407AC2DC56}" name="Column3542"/>
    <tableColumn id="3576" xr3:uid="{FAED6711-8CB4-4F04-A298-2D19FBE2B986}" name="Column3543"/>
    <tableColumn id="3577" xr3:uid="{475F4D55-21A3-421E-94CC-7F088A598F78}" name="Column3544"/>
    <tableColumn id="3578" xr3:uid="{F235385F-C242-45B3-89D6-1BAFABEAF8AA}" name="Column3545"/>
    <tableColumn id="3579" xr3:uid="{5E78EAB9-8915-4C8A-82AC-BD52827372DA}" name="Column3546"/>
    <tableColumn id="3580" xr3:uid="{73907BE1-9977-455C-BD6E-2B10BD0CEF5D}" name="Column3547"/>
    <tableColumn id="3581" xr3:uid="{9C696C50-923A-4F59-9323-496A5B28CEF4}" name="Column3548"/>
    <tableColumn id="3582" xr3:uid="{5B3E7AFE-37E0-4852-9250-EB7B7D63BAC5}" name="Column3549"/>
    <tableColumn id="3583" xr3:uid="{B4697F2D-990D-483F-8AEA-07F25DE3361F}" name="Column3550"/>
    <tableColumn id="3584" xr3:uid="{BB3C2766-4FFD-49A2-9DB2-0CAFAF024CF9}" name="Column3551"/>
    <tableColumn id="3585" xr3:uid="{874018EC-F9EF-4CCE-B5DE-6AA365E0E9E2}" name="Column3552"/>
    <tableColumn id="3586" xr3:uid="{383175BE-F56C-41A3-911A-78D0ED8FB5CA}" name="Column3553"/>
    <tableColumn id="3587" xr3:uid="{AFF18C19-AB27-4BB0-8B73-72C486590A65}" name="Column3554"/>
    <tableColumn id="3588" xr3:uid="{95D59128-FCFD-4F79-97CA-0273BC180C85}" name="Column3555"/>
    <tableColumn id="3589" xr3:uid="{70BE0A2B-F155-495A-8413-1C72BF2F60F7}" name="Column3556"/>
    <tableColumn id="3590" xr3:uid="{4D6EFF43-45A1-4FFB-ACDA-EDCE19109097}" name="Column3557"/>
    <tableColumn id="3591" xr3:uid="{D801A4BF-C9E5-4D86-8F73-238213F8D99A}" name="Column3558"/>
    <tableColumn id="3592" xr3:uid="{5695A98C-D4AA-4906-AFEE-622FFB2B9734}" name="Column3559"/>
    <tableColumn id="3593" xr3:uid="{8047D353-232F-46BD-AAFB-06AA5ABC4B5A}" name="Column3560"/>
    <tableColumn id="3594" xr3:uid="{EFC43494-5B24-4117-AFEE-FA3CE1BD3A46}" name="Column3561"/>
    <tableColumn id="3595" xr3:uid="{7D234DA6-D938-4C72-B877-9950C8DC1192}" name="Column3562"/>
    <tableColumn id="3596" xr3:uid="{2D3B7CDC-F0A4-49E6-8520-C33CD3CB3B4E}" name="Column3563"/>
    <tableColumn id="3597" xr3:uid="{B2FCEA51-94A7-4484-865B-590359C8D865}" name="Column3564"/>
    <tableColumn id="3598" xr3:uid="{7D67846E-3EA6-4A96-B426-91445780B497}" name="Column3565"/>
    <tableColumn id="3599" xr3:uid="{6E333DBF-6145-4179-84F7-2992C5E11163}" name="Column3566"/>
    <tableColumn id="3600" xr3:uid="{B6E086B3-1608-49E7-AFE0-6C8416F95E90}" name="Column3567"/>
    <tableColumn id="3601" xr3:uid="{B68621C2-4DEB-46BD-9C2F-3F73A5C7F591}" name="Column3568"/>
    <tableColumn id="3602" xr3:uid="{15FA741D-D3B4-4234-968D-5729077697D2}" name="Column3569"/>
    <tableColumn id="3603" xr3:uid="{4A70B4BF-D500-47A2-A06E-CD3B30AA4F0A}" name="Column3570"/>
    <tableColumn id="3604" xr3:uid="{52C8341C-6254-4DA9-81A2-B5856DE0B2D9}" name="Column3571"/>
    <tableColumn id="3605" xr3:uid="{78DD063F-1F90-4C87-A0F4-E8BB61FD35E9}" name="Column3572"/>
    <tableColumn id="3606" xr3:uid="{533C7764-8903-41A4-8351-CD43397312EF}" name="Column3573"/>
    <tableColumn id="3607" xr3:uid="{BE697BA3-14F2-4512-8771-48332A26DB24}" name="Column3574"/>
    <tableColumn id="3608" xr3:uid="{B3420E31-C533-4813-99BF-A1B804F8DC0E}" name="Column3575"/>
    <tableColumn id="3609" xr3:uid="{D804CEC4-CFFA-4381-8E0A-A917DA07E3EA}" name="Column3576"/>
    <tableColumn id="3610" xr3:uid="{01F1ED2D-56D8-41B7-86BE-0218D9F7118D}" name="Column3577"/>
    <tableColumn id="3611" xr3:uid="{B8527F1C-0845-4C20-8C52-8F4DFF42EAD9}" name="Column3578"/>
    <tableColumn id="3612" xr3:uid="{E612A921-C078-46F7-85CE-399DACCDC2E3}" name="Column3579"/>
    <tableColumn id="3613" xr3:uid="{A654A1AE-C5E9-4AE9-B777-0BE3C33AC7D0}" name="Column3580"/>
    <tableColumn id="3614" xr3:uid="{0257A8D7-6819-4313-B231-6BA2FFDB94D6}" name="Column3581"/>
    <tableColumn id="3615" xr3:uid="{B8ABE886-2758-4F59-BD0E-77EB54E8DB53}" name="Column3582"/>
    <tableColumn id="3616" xr3:uid="{ADCD89BC-9DAB-4AFA-AAC7-72BC95508E43}" name="Column3583"/>
    <tableColumn id="3617" xr3:uid="{EC1F13B0-2A29-4BDA-9D22-2F6643475FFA}" name="Column3584"/>
    <tableColumn id="3618" xr3:uid="{F886C131-47A2-44D1-A393-F469C73FEA98}" name="Column3585"/>
    <tableColumn id="3619" xr3:uid="{E70A3631-6A37-4B67-8862-A9561D30B96F}" name="Column3586"/>
    <tableColumn id="3620" xr3:uid="{F9A7F7BD-FB6A-4327-B1D0-CA670CB23B3F}" name="Column3587"/>
    <tableColumn id="3621" xr3:uid="{76CF59AC-5F2B-42A6-BA50-FA9F00AABF31}" name="Column3588"/>
    <tableColumn id="3622" xr3:uid="{9FCB347A-BCDE-4ABB-B0FE-129F07428FB7}" name="Column3589"/>
    <tableColumn id="3623" xr3:uid="{305D291A-91C5-4FDC-AF0F-261CCCCB436A}" name="Column3590"/>
    <tableColumn id="3624" xr3:uid="{E441B11A-9B0D-437A-A92A-0A67C1AE1CA1}" name="Column3591"/>
    <tableColumn id="3625" xr3:uid="{FB01BDAF-F8A4-47AA-9F10-ED7D626C4B45}" name="Column3592"/>
    <tableColumn id="3626" xr3:uid="{5D466750-FB9F-4DE3-9981-C14A920F956B}" name="Column3593"/>
    <tableColumn id="3627" xr3:uid="{73309ED2-17E4-4122-96C8-44A8DAF7F7F0}" name="Column3594"/>
    <tableColumn id="3628" xr3:uid="{98B68059-3440-461D-8A5A-4A2A800F97AE}" name="Column3595"/>
    <tableColumn id="3629" xr3:uid="{AEDF0A16-FC89-4564-AA1A-7B3332B600EC}" name="Column3596"/>
    <tableColumn id="3630" xr3:uid="{34218A97-BCD0-4DB2-820D-66B79DFF15C2}" name="Column3597"/>
    <tableColumn id="3631" xr3:uid="{2C610DA8-48D9-4B17-A396-284B358AE104}" name="Column3598"/>
    <tableColumn id="3632" xr3:uid="{600EF741-75DF-4932-AF9A-3C817C625FD1}" name="Column3599"/>
    <tableColumn id="3633" xr3:uid="{E6451627-3D1B-4ACD-B825-CA02FE7C18BF}" name="Column3600"/>
    <tableColumn id="3634" xr3:uid="{6DE735B1-D780-45BE-B695-7C7A08896115}" name="Column3601"/>
    <tableColumn id="3635" xr3:uid="{3A6CECE7-96D2-4766-965E-E0892454A53F}" name="Column3602"/>
    <tableColumn id="3636" xr3:uid="{FE8C575A-3624-471F-8AC4-1486248CEBA4}" name="Column3603"/>
    <tableColumn id="3637" xr3:uid="{BD475E9F-9247-4D7E-9701-71374845729B}" name="Column3604"/>
    <tableColumn id="3638" xr3:uid="{A5B9F82D-2673-493B-9AD0-54139E8D3530}" name="Column3605"/>
    <tableColumn id="3639" xr3:uid="{A0C0BD6C-493A-48AD-BD96-696AD70B3160}" name="Column3606"/>
    <tableColumn id="3640" xr3:uid="{BDDEAFBE-60F7-4805-9E01-F79F3C1BA4A2}" name="Column3607"/>
    <tableColumn id="3641" xr3:uid="{47602EAD-4B4C-42CA-ADB1-FEC0E469AD30}" name="Column3608"/>
    <tableColumn id="3642" xr3:uid="{36837A60-CDB6-4E54-A6E5-13CF8AB33546}" name="Column3609"/>
    <tableColumn id="3643" xr3:uid="{C5F8F3F4-7EC8-4085-898C-5C02D9880125}" name="Column3610"/>
    <tableColumn id="3644" xr3:uid="{3EDAFF72-0C4A-4704-99D1-B43E19DAA0D2}" name="Column3611"/>
    <tableColumn id="3645" xr3:uid="{69D60630-4538-40B6-8055-CF2508C48A06}" name="Column3612"/>
    <tableColumn id="3646" xr3:uid="{2E694D80-A03F-4B63-A7AD-1A395F8CB233}" name="Column3613"/>
    <tableColumn id="3647" xr3:uid="{425C1965-330E-4DB9-9D92-99834A04E960}" name="Column3614"/>
    <tableColumn id="3648" xr3:uid="{AD5BB7AE-7291-4D8C-A26B-97D2936C89B2}" name="Column3615"/>
    <tableColumn id="3649" xr3:uid="{6E3ADB2D-F7DB-4F9B-AA67-6C52DC1A4A62}" name="Column3616"/>
    <tableColumn id="3650" xr3:uid="{3D55FF6E-2089-4E05-B7C8-FCDC62DD4EC2}" name="Column3617"/>
    <tableColumn id="3651" xr3:uid="{3AB080B6-E442-418A-9674-BEAD68555F6E}" name="Column3618"/>
    <tableColumn id="3652" xr3:uid="{08123280-72E7-4D02-B356-84F63E87BA2F}" name="Column3619"/>
    <tableColumn id="3653" xr3:uid="{DD27012E-9EAA-4F4F-ACFC-59FB0694DBD5}" name="Column3620"/>
    <tableColumn id="3654" xr3:uid="{B0DDA940-B597-45D6-A4FF-331AB04D2F0A}" name="Column3621"/>
    <tableColumn id="3655" xr3:uid="{8D87CF5B-7B07-4F4A-8E10-3B958A8A4348}" name="Column3622"/>
    <tableColumn id="3656" xr3:uid="{9E376979-D379-4B89-BC55-130DCD70B184}" name="Column3623"/>
    <tableColumn id="3657" xr3:uid="{2271E107-2C72-401A-991E-3A5F94142420}" name="Column3624"/>
    <tableColumn id="3658" xr3:uid="{252E9371-179F-47E4-B861-8448E7CD8A34}" name="Column3625"/>
    <tableColumn id="3659" xr3:uid="{B373E73C-F669-4AF9-AF2B-0AEEF2F730B3}" name="Column3626"/>
    <tableColumn id="3660" xr3:uid="{6C708AC9-8A21-4BD8-B99B-B2B1EB2BFC18}" name="Column3627"/>
    <tableColumn id="3661" xr3:uid="{41EE0F2F-FAEC-4952-B651-F58FE09F0DF7}" name="Column3628"/>
    <tableColumn id="3662" xr3:uid="{10E01EF7-3D0A-40BC-8952-5B07207BAFAC}" name="Column3629"/>
    <tableColumn id="3663" xr3:uid="{7B560137-7E0B-4B00-807A-6B2FBA1F0885}" name="Column3630"/>
    <tableColumn id="3664" xr3:uid="{61657FB2-10C3-4C21-80E2-84F319C6E480}" name="Column3631"/>
    <tableColumn id="3665" xr3:uid="{5B0238D6-C807-453C-A2D8-2BABEFD14C58}" name="Column3632"/>
    <tableColumn id="3666" xr3:uid="{43DC74AD-E605-4F49-A68A-4EAE399C814D}" name="Column3633"/>
    <tableColumn id="3667" xr3:uid="{862AECD8-21E0-44F0-A063-80F5A5CD1595}" name="Column3634"/>
    <tableColumn id="3668" xr3:uid="{4C638D49-3ABF-4FE3-8F7A-29827FBD99FC}" name="Column3635"/>
    <tableColumn id="3669" xr3:uid="{813D543C-192C-4999-9229-C21CC0C90D40}" name="Column3636"/>
    <tableColumn id="3670" xr3:uid="{407C776F-CF27-40E1-BC7F-C514F109C9D2}" name="Column3637"/>
    <tableColumn id="3671" xr3:uid="{ABB68421-796E-4F21-9D8C-CDCAFE54FEEA}" name="Column3638"/>
    <tableColumn id="3672" xr3:uid="{4601255E-4579-4C1D-8319-8060500930A0}" name="Column3639"/>
    <tableColumn id="3673" xr3:uid="{8D9C44E7-2D95-416E-B856-2D7AB79A1EB0}" name="Column3640"/>
    <tableColumn id="3674" xr3:uid="{D4C46BD1-24CC-4978-B08D-12F093AC7365}" name="Column3641"/>
    <tableColumn id="3675" xr3:uid="{DD0F1102-FC8B-41C9-B117-486B2014CF25}" name="Column3642"/>
    <tableColumn id="3676" xr3:uid="{E6E8E5B7-B101-4DE0-9D05-6FC44911D05B}" name="Column3643"/>
    <tableColumn id="3677" xr3:uid="{0BFF8127-98B6-45B2-9994-0C04F50D7B88}" name="Column3644"/>
    <tableColumn id="3678" xr3:uid="{1A6F60A6-ABCA-4A83-8BC5-09825A1A7259}" name="Column3645"/>
    <tableColumn id="3679" xr3:uid="{5AF6AF63-B936-469A-A446-630CB5BEAF9C}" name="Column3646"/>
    <tableColumn id="3680" xr3:uid="{625437A2-53BA-4264-A21B-4593E4536DD4}" name="Column3647"/>
    <tableColumn id="3681" xr3:uid="{3220BBA6-B533-42D5-98A0-1E5F240843EF}" name="Column3648"/>
    <tableColumn id="3682" xr3:uid="{EE0D2C72-49FE-418E-951E-7E5FB66FF540}" name="Column3649"/>
    <tableColumn id="3683" xr3:uid="{724BB324-7D9D-464E-8A7A-763D2CFC9DEA}" name="Column3650"/>
    <tableColumn id="3684" xr3:uid="{532D4CA6-9633-4A12-B280-857F1D5F911B}" name="Column3651"/>
    <tableColumn id="3685" xr3:uid="{F2D2616C-813B-48F9-B2E3-3DBF6C1C16F6}" name="Column3652"/>
    <tableColumn id="3686" xr3:uid="{034C2875-B5A0-4106-941A-F05D27D789F2}" name="Column3653"/>
    <tableColumn id="3687" xr3:uid="{26D585B6-DF9D-4DF4-9B63-C292778DCDC9}" name="Column3654"/>
    <tableColumn id="3688" xr3:uid="{694C3914-CF60-412F-A8A7-944B8466F156}" name="Column3655"/>
    <tableColumn id="3689" xr3:uid="{726F8D45-662A-439A-A674-C9EE75A05277}" name="Column3656"/>
    <tableColumn id="3690" xr3:uid="{F0D9641B-7E70-4354-967A-A7150579226D}" name="Column3657"/>
    <tableColumn id="3691" xr3:uid="{C90B5CA9-F4D1-4ABC-90F8-494DAF6D3751}" name="Column3658"/>
    <tableColumn id="3692" xr3:uid="{7F4E4DAB-57F2-4EBC-A3EC-17C2A4CF5BF2}" name="Column3659"/>
    <tableColumn id="3693" xr3:uid="{E9F73A17-1FCC-42EB-88CE-BF577BBFECB4}" name="Column3660"/>
    <tableColumn id="3694" xr3:uid="{E7887B34-556E-4094-97B2-3B54733731B1}" name="Column3661"/>
    <tableColumn id="3695" xr3:uid="{29CD9FF7-5B63-4562-A927-9D7AF61C5B8A}" name="Column3662"/>
    <tableColumn id="3696" xr3:uid="{490635CF-FAB1-4182-8208-C1E3DAEEC8FD}" name="Column3663"/>
    <tableColumn id="3697" xr3:uid="{8D5CE869-15F6-47E8-B3D0-64D9839FC283}" name="Column3664"/>
    <tableColumn id="3698" xr3:uid="{7F9BCAAE-3B02-46D7-9AD8-8207389D9978}" name="Column3665"/>
    <tableColumn id="3699" xr3:uid="{8F374C4C-B0F7-4A94-8ECF-D3155F1C5073}" name="Column3666"/>
    <tableColumn id="3700" xr3:uid="{CD273B11-80CA-47E0-935B-3052E03C1034}" name="Column3667"/>
    <tableColumn id="3701" xr3:uid="{2FB355BF-751C-4678-9E60-41C39FCC20CC}" name="Column3668"/>
    <tableColumn id="3702" xr3:uid="{85CE410D-6D51-48E0-9D9D-BF761DB5D0D7}" name="Column3669"/>
    <tableColumn id="3703" xr3:uid="{947FDFCF-EF7B-49FA-A506-56A37E150D06}" name="Column3670"/>
    <tableColumn id="3704" xr3:uid="{96F9963E-547E-4B30-B747-5C816D393624}" name="Column3671"/>
    <tableColumn id="3705" xr3:uid="{52367ABF-F782-418D-8EC8-4D2DF1FB2365}" name="Column3672"/>
    <tableColumn id="3706" xr3:uid="{9C7E0EDC-B95C-47B8-9E3C-0603F126760A}" name="Column3673"/>
    <tableColumn id="3707" xr3:uid="{18B78C83-70BF-4A52-8DD2-6A7B56AD063F}" name="Column3674"/>
    <tableColumn id="3708" xr3:uid="{010693B3-CB6D-4B72-A37A-CA5CF31587AB}" name="Column3675"/>
    <tableColumn id="3709" xr3:uid="{8152D667-59C4-4AC2-A495-37F54691072D}" name="Column3676"/>
    <tableColumn id="3710" xr3:uid="{78DA9336-BC23-4D28-BC91-EAE8B68C60C3}" name="Column3677"/>
    <tableColumn id="3711" xr3:uid="{7CF74E8D-34EB-4372-96B5-60BE7FB9237E}" name="Column3678"/>
    <tableColumn id="3712" xr3:uid="{6077F0CF-3632-4278-8EF5-ED171ECC862A}" name="Column3679"/>
    <tableColumn id="3713" xr3:uid="{5E6BFAA0-CDCC-4254-8205-D371880CD6B5}" name="Column3680"/>
    <tableColumn id="3714" xr3:uid="{39173478-0348-48C0-90E9-859008EB1E6D}" name="Column3681"/>
    <tableColumn id="3715" xr3:uid="{36718EEC-38C3-4130-8878-435A7842A6B4}" name="Column3682"/>
    <tableColumn id="3716" xr3:uid="{BDC0B8C1-348B-4D3E-B52E-9B40AAFBA0E9}" name="Column3683"/>
    <tableColumn id="3717" xr3:uid="{9B4686DB-F37A-4991-8AFA-0FD1311F78D0}" name="Column3684"/>
    <tableColumn id="3718" xr3:uid="{B62ACE74-7CDA-4ACF-B2C1-C2C645D165BF}" name="Column3685"/>
    <tableColumn id="3719" xr3:uid="{6F15B698-2505-4150-94B6-75C386475DE8}" name="Column3686"/>
    <tableColumn id="3720" xr3:uid="{9A7B2B71-F88A-4758-9ECB-D4A8C09861CA}" name="Column3687"/>
    <tableColumn id="3721" xr3:uid="{EBF2E2CA-4E65-4A47-B60A-4EAFA6E4E72B}" name="Column3688"/>
    <tableColumn id="3722" xr3:uid="{4E6A8F6C-8C20-49DE-8D5A-5A74843B4F1B}" name="Column3689"/>
    <tableColumn id="3723" xr3:uid="{6FCB3398-21A4-47BA-8BC0-167BF0B1BF17}" name="Column3690"/>
    <tableColumn id="3724" xr3:uid="{8BEADC41-66C7-44CE-AA9A-36DC756042E0}" name="Column3691"/>
    <tableColumn id="3725" xr3:uid="{7141B0EE-2D66-4AA4-BDE1-881C30319275}" name="Column3692"/>
    <tableColumn id="3726" xr3:uid="{EA15E09E-997B-4499-B8A5-6BA7BFC66D6F}" name="Column3693"/>
    <tableColumn id="3727" xr3:uid="{FCD0E6D5-A3E6-4C80-B4F0-9E890D8D4388}" name="Column3694"/>
    <tableColumn id="3728" xr3:uid="{4E964587-2CB8-4B1B-A92C-83301C12880D}" name="Column3695"/>
    <tableColumn id="3729" xr3:uid="{F1E598A9-FE5C-457B-BC48-4DF676AF4D21}" name="Column3696"/>
    <tableColumn id="3730" xr3:uid="{D906B426-90EF-4CC7-B754-1D05826208B8}" name="Column3697"/>
    <tableColumn id="3731" xr3:uid="{210E581E-E893-4403-8E5E-CDA3236AB0F9}" name="Column3698"/>
    <tableColumn id="3732" xr3:uid="{AE98510B-74C7-4346-BB8A-AEB102786027}" name="Column3699"/>
    <tableColumn id="3733" xr3:uid="{84790A65-60F4-4202-9A06-059955CA0A09}" name="Column3700"/>
    <tableColumn id="3734" xr3:uid="{66A199EE-DBDA-4358-A0EC-674568BFB912}" name="Column3701"/>
    <tableColumn id="3735" xr3:uid="{856D8236-AEE5-400E-8AAD-1B8A14FE37D8}" name="Column3702"/>
    <tableColumn id="3736" xr3:uid="{458F18E0-01D9-4BED-BA01-C1C1C43F5C4A}" name="Column3703"/>
    <tableColumn id="3737" xr3:uid="{D5536744-0D5F-4810-88BB-8854B63E3BB7}" name="Column3704"/>
    <tableColumn id="3738" xr3:uid="{0DBD0D93-8B07-481E-B3BE-D3EEA51B2C62}" name="Column3705"/>
    <tableColumn id="3739" xr3:uid="{FF8CA8D0-14D1-4592-9038-1B210F694969}" name="Column3706"/>
    <tableColumn id="3740" xr3:uid="{66E2FBE8-462E-45F1-8B03-B43009E67639}" name="Column3707"/>
    <tableColumn id="3741" xr3:uid="{1284974D-668B-47D6-A231-BCFBE8B455FA}" name="Column3708"/>
    <tableColumn id="3742" xr3:uid="{B0CB70EC-7560-404C-AA58-22B37750F81E}" name="Column3709"/>
    <tableColumn id="3743" xr3:uid="{E79B579E-D4B5-4A3D-A426-0D0C5C917A6B}" name="Column3710"/>
    <tableColumn id="3744" xr3:uid="{4EDBA56E-1129-4F4C-8566-631936B3007A}" name="Column3711"/>
    <tableColumn id="3745" xr3:uid="{87CEAA2E-5F01-4077-A4AD-A65D50FF766D}" name="Column3712"/>
    <tableColumn id="3746" xr3:uid="{D8645BFF-B36D-4F43-8140-B7A85D26DC8A}" name="Column3713"/>
    <tableColumn id="3747" xr3:uid="{52E41D3E-28E0-42D1-A316-9670420AC3E6}" name="Column3714"/>
    <tableColumn id="3748" xr3:uid="{8B1EA52B-A0F3-4E49-810C-345CD089C09D}" name="Column3715"/>
    <tableColumn id="3749" xr3:uid="{10ABE220-D637-4131-934F-1C0C669D7B29}" name="Column3716"/>
    <tableColumn id="3750" xr3:uid="{4BFEBE41-00A0-4FF3-BADE-F4F3EC5FEC5F}" name="Column3717"/>
    <tableColumn id="3751" xr3:uid="{EFC0C5C8-85C2-4A7A-947D-1781DC194A33}" name="Column3718"/>
    <tableColumn id="3752" xr3:uid="{69401237-7D02-4713-9066-7ACA4FF2A770}" name="Column3719"/>
    <tableColumn id="3753" xr3:uid="{678676B5-B58F-4F54-8054-B448C79AB3A7}" name="Column3720"/>
    <tableColumn id="3754" xr3:uid="{6D9F5F20-52EB-416E-B72A-813356132EF2}" name="Column3721"/>
    <tableColumn id="3755" xr3:uid="{15045148-278D-480F-A81F-0FDA98472460}" name="Column3722"/>
    <tableColumn id="3756" xr3:uid="{A80D5D93-0ED7-4798-911B-A922BBCF11D4}" name="Column3723"/>
    <tableColumn id="3757" xr3:uid="{3EA1EF7D-A13D-41D8-99C8-7C11ABB2A5F3}" name="Column3724"/>
    <tableColumn id="3758" xr3:uid="{B7B9F697-8165-4892-92CE-11FB2ADB0A53}" name="Column3725"/>
    <tableColumn id="3759" xr3:uid="{122A057D-F54D-406E-92D3-016E61D0A4B8}" name="Column3726"/>
    <tableColumn id="3760" xr3:uid="{3BE335B8-C776-4AF5-BB5B-8FEFCA1BD26E}" name="Column3727"/>
    <tableColumn id="3761" xr3:uid="{DAC29629-88B5-4DA2-B54D-40E209AC69D9}" name="Column3728"/>
    <tableColumn id="3762" xr3:uid="{451A31FF-2443-4E6F-A5C6-9FA6DF5E026F}" name="Column3729"/>
    <tableColumn id="3763" xr3:uid="{D68AFA42-B262-4BD0-8531-7D3CE42F7DD3}" name="Column3730"/>
    <tableColumn id="3764" xr3:uid="{FA2478C7-06ED-48AA-B184-01969B41370D}" name="Column3731"/>
    <tableColumn id="3765" xr3:uid="{B5327DD9-E9DF-4546-B35F-8B814A76EC04}" name="Column3732"/>
    <tableColumn id="3766" xr3:uid="{E4F72901-9840-4EFA-B780-0AF6777C4087}" name="Column3733"/>
    <tableColumn id="3767" xr3:uid="{1C07EDEA-439A-4901-A6C8-5EE860B9E322}" name="Column3734"/>
    <tableColumn id="3768" xr3:uid="{D3A367E7-41CF-4999-A1B5-1CCA7AEF168F}" name="Column3735"/>
    <tableColumn id="3769" xr3:uid="{B0803E1D-7C6F-4488-91DA-B4FB84E4AA7D}" name="Column3736"/>
    <tableColumn id="3770" xr3:uid="{E7CE44A5-8A5F-4CEC-88FE-9E13912CC627}" name="Column3737"/>
    <tableColumn id="3771" xr3:uid="{C56B204F-28D8-4CB4-8666-ECF9B91A1686}" name="Column3738"/>
    <tableColumn id="3772" xr3:uid="{88D9116D-F604-419B-AD86-5474CA0416B5}" name="Column3739"/>
    <tableColumn id="3773" xr3:uid="{B728AE49-410B-4156-9236-D4D516323E4F}" name="Column3740"/>
    <tableColumn id="3774" xr3:uid="{AD383303-7C15-4308-9FD1-22C4D4020327}" name="Column3741"/>
    <tableColumn id="3775" xr3:uid="{4606BA8F-D1FB-4E22-8052-AB77895AB82B}" name="Column3742"/>
    <tableColumn id="3776" xr3:uid="{5CC0C36C-7084-4E0D-A398-F4F5C3E52E40}" name="Column3743"/>
    <tableColumn id="3777" xr3:uid="{20DEF268-388D-4F1B-AACD-EBD7FF04BC84}" name="Column3744"/>
    <tableColumn id="3778" xr3:uid="{8AEE2050-C653-4DBF-AA5D-1DD071C197B0}" name="Column3745"/>
    <tableColumn id="3779" xr3:uid="{410F80E6-8DE7-4EBA-8F6C-8293D0405D04}" name="Column3746"/>
    <tableColumn id="3780" xr3:uid="{CDA6EBFB-2A8A-486B-A68F-8DBBD2817DAB}" name="Column3747"/>
    <tableColumn id="3781" xr3:uid="{86B4F484-C031-4021-B193-5A4069F97F10}" name="Column3748"/>
    <tableColumn id="3782" xr3:uid="{2ECFDF70-8D09-436B-B18D-CCF3FE6FB47F}" name="Column3749"/>
    <tableColumn id="3783" xr3:uid="{7A8EDB10-B65B-4D76-8616-487F37C56B3C}" name="Column3750"/>
    <tableColumn id="3784" xr3:uid="{DAE7EFFA-C9D9-4383-9095-3912BB839A81}" name="Column3751"/>
    <tableColumn id="3785" xr3:uid="{C270FE9A-4EE8-43DB-9F34-46BEC535A323}" name="Column3752"/>
    <tableColumn id="3786" xr3:uid="{47C65E41-E013-4BE3-990F-FA5463BBDB8F}" name="Column3753"/>
    <tableColumn id="3787" xr3:uid="{610CFE1C-C42E-4951-8EB6-9E35DEFA87DC}" name="Column3754"/>
    <tableColumn id="3788" xr3:uid="{104C1CF4-B2B8-4045-B855-7A14F88CE333}" name="Column3755"/>
    <tableColumn id="3789" xr3:uid="{9E899607-2EE3-46D9-89CE-B665E5EBC2A8}" name="Column3756"/>
    <tableColumn id="3790" xr3:uid="{3EAF296F-1628-4F16-AC9C-37DBA85AD160}" name="Column3757"/>
    <tableColumn id="3791" xr3:uid="{027CF65F-C0C7-4C24-AF86-74C38EE0CF55}" name="Column3758"/>
    <tableColumn id="3792" xr3:uid="{9A11924D-F527-4F11-A671-60D0DD72B087}" name="Column3759"/>
    <tableColumn id="3793" xr3:uid="{9DE688FB-F86B-44F9-867E-DEFD0472FEF5}" name="Column3760"/>
    <tableColumn id="3794" xr3:uid="{CA72DDC6-EFC5-4DCA-81BF-81A47CBE3D7E}" name="Column3761"/>
    <tableColumn id="3795" xr3:uid="{4A9BF292-857F-4195-84CD-79BF83A6C819}" name="Column3762"/>
    <tableColumn id="3796" xr3:uid="{93EE54B5-6BA1-47A9-8FE4-4F0548030EC3}" name="Column3763"/>
    <tableColumn id="3797" xr3:uid="{F3103BFA-6862-4DD0-A78C-0F9A72802340}" name="Column3764"/>
    <tableColumn id="3798" xr3:uid="{95352C38-95D4-45FD-9C7B-8092E6253E10}" name="Column3765"/>
    <tableColumn id="3799" xr3:uid="{EDDF61DF-E5CA-4DF6-9983-B5E03FD2A472}" name="Column3766"/>
    <tableColumn id="3800" xr3:uid="{91690CF9-4F72-4F3A-81C3-38C10A0A2747}" name="Column3767"/>
    <tableColumn id="3801" xr3:uid="{4E13B7EE-8667-419E-AEB3-AC711FEE9CCF}" name="Column3768"/>
    <tableColumn id="3802" xr3:uid="{5ADEECE7-5696-460F-ABEA-3EAE9DAA52C7}" name="Column3769"/>
    <tableColumn id="3803" xr3:uid="{FAEF25C8-5339-410C-AED2-5E726158742F}" name="Column3770"/>
    <tableColumn id="3804" xr3:uid="{F1A3C68E-BF55-47FB-8B10-0733C8501B93}" name="Column3771"/>
    <tableColumn id="3805" xr3:uid="{569495A5-886B-4FAF-967A-8B66F92EC9B7}" name="Column3772"/>
    <tableColumn id="3806" xr3:uid="{0A5ED4A4-7A00-46F8-BDEE-93D0E2E0C8A9}" name="Column3773"/>
    <tableColumn id="3807" xr3:uid="{C4D2A03E-61F5-4A6D-A06B-D0A7E3A18CE2}" name="Column3774"/>
    <tableColumn id="3808" xr3:uid="{FF3ED9E1-0791-4ED9-8258-902CD60507B6}" name="Column3775"/>
    <tableColumn id="3809" xr3:uid="{27D79306-B339-408E-9C67-62858234C2CA}" name="Column3776"/>
    <tableColumn id="3810" xr3:uid="{A2EABB60-901E-440A-B2C9-87D1BF046A39}" name="Column3777"/>
    <tableColumn id="3811" xr3:uid="{E0739F0D-6132-4EED-A673-1FEEB5507CCC}" name="Column3778"/>
    <tableColumn id="3812" xr3:uid="{3CDFE3BF-C2E8-4A30-874A-4FCEA4A60770}" name="Column3779"/>
    <tableColumn id="3813" xr3:uid="{F3CE6A71-18CB-49D4-9E8A-C346AB1F30AB}" name="Column3780"/>
    <tableColumn id="3814" xr3:uid="{0AFE4607-C3AB-42CA-90ED-5BD9F526AEB9}" name="Column3781"/>
    <tableColumn id="3815" xr3:uid="{1E020C77-3C24-44DC-832E-465D62FB9461}" name="Column3782"/>
    <tableColumn id="3816" xr3:uid="{455B0D38-D5D4-48F3-90A2-F9CBAC7FC664}" name="Column3783"/>
    <tableColumn id="3817" xr3:uid="{456E3BA4-0A89-4AB7-A821-F27320DF8781}" name="Column3784"/>
    <tableColumn id="3818" xr3:uid="{02C4045B-8030-45DE-B0B6-649E3201AE2F}" name="Column3785"/>
    <tableColumn id="3819" xr3:uid="{901A8A6B-C5C9-440F-869D-8F904D9A0D35}" name="Column3786"/>
    <tableColumn id="3820" xr3:uid="{91097591-7BE9-4374-8AFF-C8D47CB9C460}" name="Column3787"/>
    <tableColumn id="3821" xr3:uid="{B0F20289-4F58-4654-BA28-BDBF474A582E}" name="Column3788"/>
    <tableColumn id="3822" xr3:uid="{49C23E7D-4916-4886-A7C6-80E65529DD05}" name="Column3789"/>
    <tableColumn id="3823" xr3:uid="{51DB47F5-998A-4198-8D9A-F7AB3CCB7928}" name="Column3790"/>
    <tableColumn id="3824" xr3:uid="{CD9C9EC4-A020-4B39-B80B-A450F35C91F5}" name="Column3791"/>
    <tableColumn id="3825" xr3:uid="{69E18D9A-6D13-47C5-82B1-EE70157AF1EB}" name="Column3792"/>
    <tableColumn id="3826" xr3:uid="{F1404F15-8F4F-4B90-83A2-F421EC049B3A}" name="Column3793"/>
    <tableColumn id="3827" xr3:uid="{B84D5BB7-4678-4D80-AE45-297E3EF331A5}" name="Column3794"/>
    <tableColumn id="3828" xr3:uid="{606D5A76-61A3-4B25-9ED4-57E067368C82}" name="Column3795"/>
    <tableColumn id="3829" xr3:uid="{6FCA5F5E-6877-4D17-9147-F668D32FD0BC}" name="Column3796"/>
    <tableColumn id="3830" xr3:uid="{CE6371A9-3B8A-457B-8C10-F9CCC334A3BF}" name="Column3797"/>
    <tableColumn id="3831" xr3:uid="{5CD3DA99-89D6-4F37-82C0-DBE26D97E5FC}" name="Column3798"/>
    <tableColumn id="3832" xr3:uid="{0FA397E0-116F-497C-BBCA-83BA3E69FF12}" name="Column3799"/>
    <tableColumn id="3833" xr3:uid="{D6215494-A525-4E89-8320-AEE87984066D}" name="Column3800"/>
    <tableColumn id="3834" xr3:uid="{71AAB5F1-8E4B-4114-AB24-28244B98FA8A}" name="Column3801"/>
    <tableColumn id="3835" xr3:uid="{0C51BB9C-C211-4B9D-BFEE-EDB4BFC22AA0}" name="Column3802"/>
    <tableColumn id="3836" xr3:uid="{F183C24A-A841-4B09-9C90-6618D0A2EE41}" name="Column3803"/>
    <tableColumn id="3837" xr3:uid="{A8241A3F-7223-430E-8CDD-5F018C01ADFE}" name="Column3804"/>
    <tableColumn id="3838" xr3:uid="{DC5B7D1C-D680-4AA6-8586-42CFBBFADB8F}" name="Column3805"/>
    <tableColumn id="3839" xr3:uid="{F06A947B-DB12-47AA-9686-8C9206F9FDE3}" name="Column3806"/>
    <tableColumn id="3840" xr3:uid="{FB8122ED-49D4-4CAB-99D1-51EEFFB1D002}" name="Column3807"/>
    <tableColumn id="3841" xr3:uid="{2094073C-3B4F-4765-9CAD-F675F8764355}" name="Column3808"/>
    <tableColumn id="3842" xr3:uid="{FBACC8E2-21CC-423B-BE02-9062E5213355}" name="Column3809"/>
    <tableColumn id="3843" xr3:uid="{5A22FFA6-CA89-4DDB-9301-91C682942182}" name="Column3810"/>
    <tableColumn id="3844" xr3:uid="{822D4B42-10B1-498A-ADD0-DF3A5003AF7D}" name="Column3811"/>
    <tableColumn id="3845" xr3:uid="{74BD9F00-B6EB-48B5-B275-58B6AADFB491}" name="Column3812"/>
    <tableColumn id="3846" xr3:uid="{1E35757E-CFF4-4CA3-BFB9-741C577C6A93}" name="Column3813"/>
    <tableColumn id="3847" xr3:uid="{64E0D486-0B92-4E08-8DC0-77EE3671E4FD}" name="Column3814"/>
    <tableColumn id="3848" xr3:uid="{784DB74D-EA7A-45E9-9EA4-E4244B63D0F8}" name="Column3815"/>
    <tableColumn id="3849" xr3:uid="{077D0DD5-31E0-4C3B-A3CC-5677F2955B81}" name="Column3816"/>
    <tableColumn id="3850" xr3:uid="{B1F6A63B-B038-43DC-8EF0-6C0F2C12D6B0}" name="Column3817"/>
    <tableColumn id="3851" xr3:uid="{414AA047-D244-4C52-8A14-CF5D9418F8DF}" name="Column3818"/>
    <tableColumn id="3852" xr3:uid="{F13BDB88-8E50-436B-82A2-FF2F8CF60C21}" name="Column3819"/>
    <tableColumn id="3853" xr3:uid="{D98EB442-15C8-450A-88D1-136A4FB54151}" name="Column3820"/>
    <tableColumn id="3854" xr3:uid="{FB0759F7-8F44-4D26-8D4F-F44C8AA9BDFA}" name="Column3821"/>
    <tableColumn id="3855" xr3:uid="{A38BE557-A9B6-4CE8-BB85-FC09547E7EC6}" name="Column3822"/>
    <tableColumn id="3856" xr3:uid="{ADC6C97B-79A0-49F2-B69F-3BADF2295886}" name="Column3823"/>
    <tableColumn id="3857" xr3:uid="{B5CE7497-CA16-4BCC-91B2-1343AFE5F158}" name="Column3824"/>
    <tableColumn id="3858" xr3:uid="{DB497249-3392-4313-81D2-ACE5CEEAEE00}" name="Column3825"/>
    <tableColumn id="3859" xr3:uid="{0B360A59-3733-44AB-8D1C-969E9DE83C40}" name="Column3826"/>
    <tableColumn id="3860" xr3:uid="{ABC1F447-665E-4F83-945D-46D92307D9A0}" name="Column3827"/>
    <tableColumn id="3861" xr3:uid="{DAE7A908-A4A0-4937-8AD9-03B687CEBEC1}" name="Column3828"/>
    <tableColumn id="3862" xr3:uid="{71E60AA8-2983-4DBD-8F0E-9BC26F7093EC}" name="Column3829"/>
    <tableColumn id="3863" xr3:uid="{0546C210-D1CE-4091-9B26-1D3BE80A8B11}" name="Column3830"/>
    <tableColumn id="3864" xr3:uid="{C6E193D5-8808-43DF-AD23-2ECFD83D6FF9}" name="Column3831"/>
    <tableColumn id="3865" xr3:uid="{CCE2F69D-4C3F-46FE-8ECB-1E35EBF1C909}" name="Column3832"/>
    <tableColumn id="3866" xr3:uid="{C9A7470B-1B08-4A8F-93AE-ED4D27E79EB7}" name="Column3833"/>
    <tableColumn id="3867" xr3:uid="{A7A552DC-CDA9-43A3-877A-FBD3EDB72875}" name="Column3834"/>
    <tableColumn id="3868" xr3:uid="{06D31FC8-4626-4CE1-B724-2C5367A6E3D2}" name="Column3835"/>
    <tableColumn id="3869" xr3:uid="{551FC69A-80CC-45EE-A02A-D62D6C91F3F2}" name="Column3836"/>
    <tableColumn id="3870" xr3:uid="{8D0464C2-52E7-423A-85F8-62DAA924A411}" name="Column3837"/>
    <tableColumn id="3871" xr3:uid="{72EB7E53-F4AD-4C8D-A9C5-EBF37C39205F}" name="Column3838"/>
    <tableColumn id="3872" xr3:uid="{DFC9BD7E-39D8-481D-85E0-A0C525C14A15}" name="Column3839"/>
    <tableColumn id="3873" xr3:uid="{0821AC25-AB9F-45F1-A65A-EA99660765A2}" name="Column3840"/>
    <tableColumn id="3874" xr3:uid="{7520F1AC-079C-468C-9D71-DBC61C531F2C}" name="Column3841"/>
    <tableColumn id="3875" xr3:uid="{9584AF70-2A63-42D6-85FF-2811244E6ADE}" name="Column3842"/>
    <tableColumn id="3876" xr3:uid="{32B9CBFA-D893-4CF5-BE67-E65B0CE15CC5}" name="Column3843"/>
    <tableColumn id="3877" xr3:uid="{8F25FCFD-2E0A-4864-BFBF-F21EEB01C2A3}" name="Column3844"/>
    <tableColumn id="3878" xr3:uid="{0B448814-24FB-4C16-9409-63176B74B2C4}" name="Column3845"/>
    <tableColumn id="3879" xr3:uid="{AC6221E0-82CB-400F-BCA8-A1AC4B7043E9}" name="Column3846"/>
    <tableColumn id="3880" xr3:uid="{511CDAE5-FCA3-4EF5-A0D3-EF2856EB81A0}" name="Column3847"/>
    <tableColumn id="3881" xr3:uid="{22D3BF1C-56A1-4EF9-A798-B8DA69370D81}" name="Column3848"/>
    <tableColumn id="3882" xr3:uid="{BFCD10FA-6D7D-4A54-B88C-3F519C10B851}" name="Column3849"/>
    <tableColumn id="3883" xr3:uid="{559C40CC-A4CD-405B-A077-2EA79E297885}" name="Column3850"/>
    <tableColumn id="3884" xr3:uid="{C0B138D8-EB98-482A-9E99-3DA26C4C62D4}" name="Column3851"/>
    <tableColumn id="3885" xr3:uid="{06DA5194-88A8-45F9-B07F-61C594DC539A}" name="Column3852"/>
    <tableColumn id="3886" xr3:uid="{9B55E0CE-68A7-43CE-9EBD-3BFCB797811B}" name="Column3853"/>
    <tableColumn id="3887" xr3:uid="{04FBED85-09E6-47B4-9981-877F89165D5A}" name="Column3854"/>
    <tableColumn id="3888" xr3:uid="{ED79BCE3-993F-40E6-8977-EF05DFFB5BF8}" name="Column3855"/>
    <tableColumn id="3889" xr3:uid="{56B6B4EF-CDD6-4121-992D-7680611BDC3F}" name="Column3856"/>
    <tableColumn id="3890" xr3:uid="{7425C4B2-DFA1-488E-B476-EA69363F996A}" name="Column3857"/>
    <tableColumn id="3891" xr3:uid="{60A96A5A-BF34-431B-BB42-2B3A06F70AD8}" name="Column3858"/>
    <tableColumn id="3892" xr3:uid="{2AE1D2F4-B0FF-459A-ADFC-46DA0CB7C33C}" name="Column3859"/>
    <tableColumn id="3893" xr3:uid="{847D2D09-33B5-468E-BA46-9358F3381197}" name="Column3860"/>
    <tableColumn id="3894" xr3:uid="{F4CB4030-59FC-49A7-8B64-C9807A43CB90}" name="Column3861"/>
    <tableColumn id="3895" xr3:uid="{B7C13372-DC9C-4AC1-9DDE-C98BE933390A}" name="Column3862"/>
    <tableColumn id="3896" xr3:uid="{8359A1EE-688C-4FCD-B1B4-4EA86E48A6FD}" name="Column3863"/>
    <tableColumn id="3897" xr3:uid="{4F0761A3-11AC-4390-A616-F4C8C1691F38}" name="Column3864"/>
    <tableColumn id="3898" xr3:uid="{4EC066C9-E8F0-4894-BA42-CCF197104163}" name="Column3865"/>
    <tableColumn id="3899" xr3:uid="{7D279748-F1B9-47B4-9036-16E764DEEBFE}" name="Column3866"/>
    <tableColumn id="3900" xr3:uid="{614FF75E-F926-401C-9D77-809151EFD6FA}" name="Column3867"/>
    <tableColumn id="3901" xr3:uid="{5B4B44F3-5FB5-467C-95ED-06AFCF6D0D50}" name="Column3868"/>
    <tableColumn id="3902" xr3:uid="{DF8D6D7A-CF92-476D-A58F-5C1167CC16F9}" name="Column3869"/>
    <tableColumn id="3903" xr3:uid="{8E7E73FD-B62A-4788-8A47-0CE5F4223DCF}" name="Column3870"/>
    <tableColumn id="3904" xr3:uid="{CC0405B1-4A1F-44AA-BFF6-F32C75D3E6D7}" name="Column3871"/>
    <tableColumn id="3905" xr3:uid="{D2217423-5B59-4677-AC69-DBAC55DFC12D}" name="Column3872"/>
    <tableColumn id="3906" xr3:uid="{5F3768A7-4C43-4081-9F2B-BE50FA9D438D}" name="Column3873"/>
    <tableColumn id="3907" xr3:uid="{5B49285A-800D-4FBC-B9EE-9BB606A310AB}" name="Column3874"/>
    <tableColumn id="3908" xr3:uid="{EEB2F2EE-DC89-4B7D-8BDA-EF37CD9B6705}" name="Column3875"/>
    <tableColumn id="3909" xr3:uid="{4FF1C427-FDF5-477F-AE5C-E84AF55A0623}" name="Column3876"/>
    <tableColumn id="3910" xr3:uid="{1DBCFAE7-ED3F-4007-A09F-698E9AF7230C}" name="Column3877"/>
    <tableColumn id="3911" xr3:uid="{629ECDC2-0871-4206-B7A2-E8A417DC2A84}" name="Column3878"/>
    <tableColumn id="3912" xr3:uid="{0F3345C0-96A2-4722-A025-50DD4EA4E58C}" name="Column3879"/>
    <tableColumn id="3913" xr3:uid="{ABDCB8FD-820A-48E5-A87C-1120FF6F6767}" name="Column3880"/>
    <tableColumn id="3914" xr3:uid="{64BAFF8E-7EF7-4A04-B5BE-8B3631350F98}" name="Column3881"/>
    <tableColumn id="3915" xr3:uid="{396A014B-1FA4-40FC-8576-322DAF8B49A8}" name="Column3882"/>
    <tableColumn id="3916" xr3:uid="{5ABA7900-530E-42E5-80C6-20E9E2171227}" name="Column3883"/>
    <tableColumn id="3917" xr3:uid="{E9F11E8D-73E9-425C-97FD-13DB895DC447}" name="Column3884"/>
    <tableColumn id="3918" xr3:uid="{D94567B7-9C6E-4B0B-8623-D9C301B2545C}" name="Column3885"/>
    <tableColumn id="3919" xr3:uid="{CBE5F5FF-86D6-4D31-BCA4-F6A97A1A29E7}" name="Column3886"/>
    <tableColumn id="3920" xr3:uid="{A50E464B-DF65-476E-BC56-42FE1BDDB7C5}" name="Column3887"/>
    <tableColumn id="3921" xr3:uid="{79C325AD-9E99-40D1-B4A0-FA5A52E25116}" name="Column3888"/>
    <tableColumn id="3922" xr3:uid="{0C389F83-6B5F-485C-83AF-A8FB5A968278}" name="Column3889"/>
    <tableColumn id="3923" xr3:uid="{444A29B4-9A8F-4DE1-81D6-DF55677E885F}" name="Column3890"/>
    <tableColumn id="3924" xr3:uid="{65153DE1-334D-4291-80E1-18B8A913410F}" name="Column3891"/>
    <tableColumn id="3925" xr3:uid="{7465D7D5-91D7-460F-892B-BAAE9A350D50}" name="Column3892"/>
    <tableColumn id="3926" xr3:uid="{3BCD5581-4BA3-426E-837B-75842E00CC56}" name="Column3893"/>
    <tableColumn id="3927" xr3:uid="{2FD28D27-EC30-4806-931C-0A5ABE2EC5D7}" name="Column3894"/>
    <tableColumn id="3928" xr3:uid="{77554F4B-1128-470C-97FD-A6B3A5C276CA}" name="Column3895"/>
    <tableColumn id="3929" xr3:uid="{B8DBD726-6EEA-4916-9478-2FAC7844609A}" name="Column3896"/>
    <tableColumn id="3930" xr3:uid="{5A9BD9B9-EC9B-4DA0-89A5-8C83F1E2DD33}" name="Column3897"/>
    <tableColumn id="3931" xr3:uid="{A9415EB1-75F5-417E-B5F0-DB9D7D4DCDFA}" name="Column3898"/>
    <tableColumn id="3932" xr3:uid="{5B805A3B-EACC-4A6D-B2C1-71E3A3AAC556}" name="Column3899"/>
    <tableColumn id="3933" xr3:uid="{BEC30470-50B0-4211-951D-3A4B7D450390}" name="Column3900"/>
    <tableColumn id="3934" xr3:uid="{9F833BA8-F738-4CD2-B4B6-6350B397C00F}" name="Column3901"/>
    <tableColumn id="3935" xr3:uid="{6BAD32B2-7E8E-4EF2-8BA1-C9F176DF2CE1}" name="Column3902"/>
    <tableColumn id="3936" xr3:uid="{B5D0D60B-BC7E-4DC2-B96F-AF6C2E97B201}" name="Column3903"/>
    <tableColumn id="3937" xr3:uid="{32178D72-7684-4AC1-8D04-44249009D832}" name="Column3904"/>
    <tableColumn id="3938" xr3:uid="{1F646562-1ED4-4D02-94F9-4F5D43B51D34}" name="Column3905"/>
    <tableColumn id="3939" xr3:uid="{C3935FA1-4CD9-4811-8AF9-443A7F9D7D58}" name="Column3906"/>
    <tableColumn id="3940" xr3:uid="{B2E7931D-B193-4FDE-929E-52A668156E79}" name="Column3907"/>
    <tableColumn id="3941" xr3:uid="{B21C917C-33C7-49DF-95A0-240566A1A053}" name="Column3908"/>
    <tableColumn id="3942" xr3:uid="{96853A58-2096-4BD1-BA2A-B9CD36FF2D39}" name="Column3909"/>
    <tableColumn id="3943" xr3:uid="{A9BEF979-8C95-409A-9364-7312DB4FEA6E}" name="Column3910"/>
    <tableColumn id="3944" xr3:uid="{CFC79DE8-92F3-4D4D-B9B6-C724697674F1}" name="Column3911"/>
    <tableColumn id="3945" xr3:uid="{EEDF5EF5-7C92-4EA4-A763-F214E37A10F5}" name="Column3912"/>
    <tableColumn id="3946" xr3:uid="{AFA89C0A-DF77-4DBA-95ED-D00C5A9FE3A2}" name="Column3913"/>
    <tableColumn id="3947" xr3:uid="{F3379A30-D8FE-4486-B418-885289A96AD6}" name="Column3914"/>
    <tableColumn id="3948" xr3:uid="{E0FF7974-209C-4D63-9FC6-BBD68463BC4A}" name="Column3915"/>
    <tableColumn id="3949" xr3:uid="{0AC3D2F5-B72C-4F00-9C49-9106BA70566C}" name="Column3916"/>
    <tableColumn id="3950" xr3:uid="{A12FDB0B-8044-43E0-9CCF-6C5E334BF60E}" name="Column3917"/>
    <tableColumn id="3951" xr3:uid="{6DAED428-308E-4732-B889-D201E6B42F4B}" name="Column3918"/>
    <tableColumn id="3952" xr3:uid="{3735A9A4-D740-4F1C-896E-4A14549C667E}" name="Column3919"/>
    <tableColumn id="3953" xr3:uid="{47805925-D3C3-4210-9357-EF5A098B1548}" name="Column3920"/>
    <tableColumn id="3954" xr3:uid="{B8900D62-BDEC-4CB4-AC11-E014B1BF1DF3}" name="Column3921"/>
    <tableColumn id="3955" xr3:uid="{4391970B-E49D-4EF8-9576-B788F02D8D60}" name="Column3922"/>
    <tableColumn id="3956" xr3:uid="{2572C1D0-40EE-4690-AD27-6629E71DC935}" name="Column3923"/>
    <tableColumn id="3957" xr3:uid="{945FE7A7-741D-48FC-A81B-AAACCA1D4C10}" name="Column3924"/>
    <tableColumn id="3958" xr3:uid="{DF2FD0BA-8F77-4455-8E0D-F5435E3D21A5}" name="Column3925"/>
    <tableColumn id="3959" xr3:uid="{37F8BC15-BBE5-497E-9522-45D988DC0B9B}" name="Column3926"/>
    <tableColumn id="3960" xr3:uid="{AA05D13A-3FD4-4ABD-90C8-5BC43ADC8262}" name="Column3927"/>
    <tableColumn id="3961" xr3:uid="{96C719BF-F0FD-4254-87AD-37E138A575F3}" name="Column3928"/>
    <tableColumn id="3962" xr3:uid="{5C5F2FA6-C5C7-4423-A33E-A7CBE097B245}" name="Column3929"/>
    <tableColumn id="3963" xr3:uid="{97A71B0A-3235-4195-9628-337C2B3258DE}" name="Column3930"/>
    <tableColumn id="3964" xr3:uid="{629AF0C5-8FCE-4FC8-B5C2-8999C1358A88}" name="Column3931"/>
    <tableColumn id="3965" xr3:uid="{EE777146-377C-4AD5-BB08-673CB9B897ED}" name="Column3932"/>
    <tableColumn id="3966" xr3:uid="{C6B0DE7C-0611-4AAE-8A65-62F6CB4CEA8C}" name="Column3933"/>
    <tableColumn id="3967" xr3:uid="{4E8E9DBB-7246-4AFD-9D15-54261DA775DF}" name="Column3934"/>
    <tableColumn id="3968" xr3:uid="{DC64D26E-9487-4EC7-BC73-7504C86005F9}" name="Column3935"/>
    <tableColumn id="3969" xr3:uid="{888436EA-4241-44EC-93C2-6EEBD46C8B6F}" name="Column3936"/>
    <tableColumn id="3970" xr3:uid="{EBFBB7FC-7E40-4729-8A36-AA3B738039B5}" name="Column3937"/>
    <tableColumn id="3971" xr3:uid="{BD50741D-CC45-42AF-8CE8-DDE2AB62F0F6}" name="Column3938"/>
    <tableColumn id="3972" xr3:uid="{EB6733D9-113D-4D06-966B-83A2B1DF98B6}" name="Column3939"/>
    <tableColumn id="3973" xr3:uid="{CA7F498C-698F-47AE-B775-69787EF9A0CA}" name="Column3940"/>
    <tableColumn id="3974" xr3:uid="{018BDC87-132F-4762-ADCA-570BC307F95A}" name="Column3941"/>
    <tableColumn id="3975" xr3:uid="{5807D89F-04C0-438E-A8F8-FAA4129956A7}" name="Column3942"/>
    <tableColumn id="3976" xr3:uid="{FDC37438-6B6A-4F7B-93E5-1918B7DB5ADE}" name="Column3943"/>
    <tableColumn id="3977" xr3:uid="{24EF2B8E-9EE4-486E-8988-EC7E236C4940}" name="Column3944"/>
    <tableColumn id="3978" xr3:uid="{BD35E066-FD80-4071-9267-27F4A2D2C30A}" name="Column3945"/>
    <tableColumn id="3979" xr3:uid="{84B25498-A219-40A2-9836-826F93D944BF}" name="Column3946"/>
    <tableColumn id="3980" xr3:uid="{20782859-0EAB-4E7B-A537-02AA9AF01EBB}" name="Column3947"/>
    <tableColumn id="3981" xr3:uid="{C61B7B94-74FE-4B46-988F-CF521B06D18E}" name="Column3948"/>
    <tableColumn id="3982" xr3:uid="{CBD1B15A-67A9-40C7-9A46-3D47BC6AA4C5}" name="Column3949"/>
    <tableColumn id="3983" xr3:uid="{35DF7B29-5452-470F-BF13-D0CE7C2950DF}" name="Column3950"/>
    <tableColumn id="3984" xr3:uid="{70EA1276-6582-4956-983A-66D4C2E427BC}" name="Column3951"/>
    <tableColumn id="3985" xr3:uid="{4A27DBDD-C127-4D64-80FC-D27049A532E7}" name="Column3952"/>
    <tableColumn id="3986" xr3:uid="{98B8B942-2120-44F6-BE25-7B9DCF5F9A3A}" name="Column3953"/>
    <tableColumn id="3987" xr3:uid="{AF244E64-553F-4CD1-A948-67F8A4CC0CF7}" name="Column3954"/>
    <tableColumn id="3988" xr3:uid="{221DC071-1DBB-4064-9E36-A6FB700C5978}" name="Column3955"/>
    <tableColumn id="3989" xr3:uid="{1B246EA1-4C1F-4693-AF60-7C687F809BD2}" name="Column3956"/>
    <tableColumn id="3990" xr3:uid="{522ACF6D-E32C-41C9-A1F1-CBDB21D20100}" name="Column3957"/>
    <tableColumn id="3991" xr3:uid="{FDD6BB01-13E3-46B7-8003-F2C344C7E42F}" name="Column3958"/>
    <tableColumn id="3992" xr3:uid="{91E5B94D-DF71-4CC1-B858-5182AFFC0CC0}" name="Column3959"/>
    <tableColumn id="3993" xr3:uid="{DA3EA7CB-366E-4D5F-876B-863771A3AC98}" name="Column3960"/>
    <tableColumn id="3994" xr3:uid="{CFE582AD-B04A-478D-8EAD-2692619D9689}" name="Column3961"/>
    <tableColumn id="3995" xr3:uid="{2B9F9A0A-07BF-4D39-A17D-6202DE3BA1EA}" name="Column3962"/>
    <tableColumn id="3996" xr3:uid="{43C078C3-6ABE-4F59-86BC-21ABA0C53DBE}" name="Column3963"/>
    <tableColumn id="3997" xr3:uid="{300A6231-0357-4BD0-A7FF-05E3548F7114}" name="Column3964"/>
    <tableColumn id="3998" xr3:uid="{F8D0F333-8940-497D-86A4-38755365B509}" name="Column3965"/>
    <tableColumn id="3999" xr3:uid="{9712492A-E531-4A35-BC76-76A29AEAB585}" name="Column3966"/>
    <tableColumn id="4000" xr3:uid="{3F386A02-345C-4B04-8E9B-5F294644295C}" name="Column3967"/>
    <tableColumn id="4001" xr3:uid="{5F7BFBCE-7BF4-4F4C-818C-8728BF6EA2D3}" name="Column3968"/>
    <tableColumn id="4002" xr3:uid="{DDCC1219-AC16-47F9-83F7-1B5C61515C11}" name="Column3969"/>
    <tableColumn id="4003" xr3:uid="{457E0BE0-7B1D-48E0-ADB8-4480C958CA0E}" name="Column3970"/>
    <tableColumn id="4004" xr3:uid="{AACDA768-F5FB-49FF-B745-D297AE1CA3A9}" name="Column3971"/>
    <tableColumn id="4005" xr3:uid="{F2D52F38-9F53-45A1-A7D0-9286E85E652C}" name="Column3972"/>
    <tableColumn id="4006" xr3:uid="{F0338865-8CCA-4E3B-AB73-E0DEBBF01D90}" name="Column3973"/>
    <tableColumn id="4007" xr3:uid="{C50BBFF7-5E06-41B1-B006-EFDBB2C7FF83}" name="Column3974"/>
    <tableColumn id="4008" xr3:uid="{78690ECE-4BA3-4F50-A63A-9850133F2B03}" name="Column3975"/>
    <tableColumn id="4009" xr3:uid="{82E1E80D-5281-43F6-B48B-B66BE3714D90}" name="Column3976"/>
    <tableColumn id="4010" xr3:uid="{28AF5541-9A1C-4060-B8D9-0731CDDE3DE3}" name="Column3977"/>
    <tableColumn id="4011" xr3:uid="{C55F10A6-48E8-4762-A622-1B5F6E72DC96}" name="Column3978"/>
    <tableColumn id="4012" xr3:uid="{E7F67357-ABA6-4BEE-8B8A-97E90A037F64}" name="Column3979"/>
    <tableColumn id="4013" xr3:uid="{E805F29F-5378-4C89-AFD3-128E7A19A2B9}" name="Column3980"/>
    <tableColumn id="4014" xr3:uid="{7383249C-8238-4EB0-B413-1E3815E57C56}" name="Column3981"/>
    <tableColumn id="4015" xr3:uid="{CCC4576B-15CB-40BE-9C67-722B853531B9}" name="Column3982"/>
    <tableColumn id="4016" xr3:uid="{46472EC2-72C4-4E62-9F51-4B3E7ACFC9CF}" name="Column3983"/>
    <tableColumn id="4017" xr3:uid="{360C1659-51B0-43C8-BDF3-3D9B9DCDE815}" name="Column3984"/>
    <tableColumn id="4018" xr3:uid="{01D9238B-C09E-4D90-A762-0E4D25942E60}" name="Column3985"/>
    <tableColumn id="4019" xr3:uid="{2B1A98CE-6725-4F3C-9F4C-7F0293F00265}" name="Column3986"/>
    <tableColumn id="4020" xr3:uid="{AA5429B9-0FB8-4758-B102-FFC777C2DC86}" name="Column3987"/>
    <tableColumn id="4021" xr3:uid="{717B6924-767C-4C82-B17E-404A41BE4939}" name="Column3988"/>
    <tableColumn id="4022" xr3:uid="{C2CCA215-3428-4D50-A69D-73FC94ABD89F}" name="Column3989"/>
    <tableColumn id="4023" xr3:uid="{8A3AE898-92CD-4DDC-9A51-ACD742F9AC99}" name="Column3990"/>
    <tableColumn id="4024" xr3:uid="{47495A87-5B00-48DA-9421-A7952BFC6237}" name="Column3991"/>
    <tableColumn id="4025" xr3:uid="{AD47647F-2D5B-4A15-BF7E-EBEBF853FEFE}" name="Column3992"/>
    <tableColumn id="4026" xr3:uid="{A6808C99-8DC5-44E7-8529-F61B264CDA37}" name="Column3993"/>
    <tableColumn id="4027" xr3:uid="{F949776D-B965-4C10-82B2-D8385BA18C26}" name="Column3994"/>
    <tableColumn id="4028" xr3:uid="{F596B58E-5DBF-48DA-976B-A978E62DE970}" name="Column3995"/>
    <tableColumn id="4029" xr3:uid="{CC4787E7-24D2-4281-8F80-F312F8E4A8A2}" name="Column3996"/>
    <tableColumn id="4030" xr3:uid="{3895E559-728D-4B0E-BBB1-E40CA7A1FEF1}" name="Column3997"/>
    <tableColumn id="4031" xr3:uid="{2FD2C230-961B-44B7-AE90-D1CDF0956AF7}" name="Column3998"/>
    <tableColumn id="4032" xr3:uid="{0E229384-B975-4FDA-BB97-B9B1F866CFAE}" name="Column3999"/>
    <tableColumn id="4033" xr3:uid="{C68F0261-4AC9-413F-B48D-ADBF095B758D}" name="Column4000"/>
    <tableColumn id="4034" xr3:uid="{F389E0B4-64BE-486A-BCD8-4E86A0367733}" name="Column4001"/>
    <tableColumn id="4035" xr3:uid="{36C6EFB0-D12D-47BE-BBCF-A4EC7D4623BC}" name="Column4002"/>
    <tableColumn id="4036" xr3:uid="{E053B750-0CB2-4808-8D19-39AA6BD41A13}" name="Column4003"/>
    <tableColumn id="4037" xr3:uid="{F89141FC-8BD1-4DEE-A310-A266E46C7E5B}" name="Column4004"/>
    <tableColumn id="4038" xr3:uid="{48888301-7207-496A-A89B-CFE302D2436D}" name="Column4005"/>
    <tableColumn id="4039" xr3:uid="{E5DEC8D1-15DB-4DAC-818C-ACDA9F3B7A2E}" name="Column4006"/>
    <tableColumn id="4040" xr3:uid="{72B59C5C-21E5-4F88-9A5A-894204E9ED0D}" name="Column4007"/>
    <tableColumn id="4041" xr3:uid="{42DB2BC0-4B0E-415F-8310-C398E5BB73B2}" name="Column4008"/>
    <tableColumn id="4042" xr3:uid="{E478650E-F6C9-49D7-B32A-EE64B01B0D18}" name="Column4009"/>
    <tableColumn id="4043" xr3:uid="{0360056A-ABAD-4A01-A2EA-D2E5BBD79648}" name="Column4010"/>
    <tableColumn id="4044" xr3:uid="{DF9ABF30-392D-425E-918C-DF1A0942FCFB}" name="Column4011"/>
    <tableColumn id="4045" xr3:uid="{0FC08B31-DC92-4C5D-A905-A38BCA8F388F}" name="Column4012"/>
    <tableColumn id="4046" xr3:uid="{CC00BF99-E5AC-4D06-89F3-5EC8C4520822}" name="Column4013"/>
    <tableColumn id="4047" xr3:uid="{D63B2EE5-E5A9-4CA1-A130-D23ED10027A1}" name="Column4014"/>
    <tableColumn id="4048" xr3:uid="{80B278AB-67F9-4B41-BD63-B4FDEBE661F9}" name="Column4015"/>
    <tableColumn id="4049" xr3:uid="{202D0632-ECD3-4E0F-9D49-C1BCFA9D7C27}" name="Column4016"/>
    <tableColumn id="4050" xr3:uid="{43EAEBA8-3CB4-4DE6-A801-2217B1F83062}" name="Column4017"/>
    <tableColumn id="4051" xr3:uid="{A3098C10-66D9-4FC9-86FB-BD12CD0D2A50}" name="Column4018"/>
    <tableColumn id="4052" xr3:uid="{1529272F-C834-4AC9-B73C-9F672B5987D1}" name="Column4019"/>
    <tableColumn id="4053" xr3:uid="{E471F83F-B341-43E5-A63E-308D371AE906}" name="Column4020"/>
    <tableColumn id="4054" xr3:uid="{717F02A9-8F45-40FE-9371-092759168E84}" name="Column4021"/>
    <tableColumn id="4055" xr3:uid="{EC2C1B9D-CB3E-4D92-9F97-3F9FF4BE66DB}" name="Column4022"/>
    <tableColumn id="4056" xr3:uid="{E8BEBCDF-417D-409C-81A4-AD98C8856C01}" name="Column4023"/>
    <tableColumn id="4057" xr3:uid="{3501F30E-DFE0-4FBA-9C92-FE42570EAE6C}" name="Column4024"/>
    <tableColumn id="4058" xr3:uid="{97073BAB-3C83-43AE-B111-D7550E367E29}" name="Column4025"/>
    <tableColumn id="4059" xr3:uid="{C405FE1A-8BD5-497A-859A-3F689B7B8EA1}" name="Column4026"/>
    <tableColumn id="4060" xr3:uid="{FB1D47AF-2EA0-486C-8F36-A4A8235B896E}" name="Column4027"/>
    <tableColumn id="4061" xr3:uid="{D78C5BB7-C5BD-4BC2-BF47-63A59BE8A43D}" name="Column4028"/>
    <tableColumn id="4062" xr3:uid="{DCD8B955-0768-49E6-9AC9-0FDB97B904F2}" name="Column4029"/>
    <tableColumn id="4063" xr3:uid="{F80127BD-43C0-4A27-9B8A-F6D30BA20458}" name="Column4030"/>
    <tableColumn id="4064" xr3:uid="{ABA3077A-B4C5-4826-A481-CB1F8C02873F}" name="Column4031"/>
    <tableColumn id="4065" xr3:uid="{C667C154-3F33-4624-B5EE-2FBE8B1CF54E}" name="Column4032"/>
    <tableColumn id="4066" xr3:uid="{528DFC7F-8784-41ED-BB2B-6C58EEA522F9}" name="Column4033"/>
    <tableColumn id="4067" xr3:uid="{3E5560EF-1EC9-47F4-8EC0-AF90ADDE222F}" name="Column4034"/>
    <tableColumn id="4068" xr3:uid="{69CD04A2-7C8A-45D6-9ABD-9720792A6CBF}" name="Column4035"/>
    <tableColumn id="4069" xr3:uid="{808E3691-3929-4DF7-9ED2-148B2B5B4161}" name="Column4036"/>
    <tableColumn id="4070" xr3:uid="{78E7AF13-3C53-4522-82DD-6AE1304C793A}" name="Column4037"/>
    <tableColumn id="4071" xr3:uid="{C202EF7A-B4ED-40F9-94DC-EC5FF979FCE3}" name="Column4038"/>
    <tableColumn id="4072" xr3:uid="{0F46FE36-AE6B-4BE2-B3A7-F5DC214DBA7A}" name="Column4039"/>
    <tableColumn id="4073" xr3:uid="{322243C2-883A-4E29-9C44-1D7E60B996BA}" name="Column4040"/>
    <tableColumn id="4074" xr3:uid="{8AF16C98-226F-4C61-941F-B1B1902FC2FC}" name="Column4041"/>
    <tableColumn id="4075" xr3:uid="{34158DBA-B3FD-460F-A2C9-98662D122D22}" name="Column4042"/>
    <tableColumn id="4076" xr3:uid="{FF926C95-1BA2-4CA4-889A-B7E42D4EAED1}" name="Column4043"/>
    <tableColumn id="4077" xr3:uid="{1D25BD3B-0D09-46A8-9C5B-213BA0E30197}" name="Column4044"/>
    <tableColumn id="4078" xr3:uid="{9E60D43B-C4BC-49AE-B435-CEAE40A9115D}" name="Column4045"/>
    <tableColumn id="4079" xr3:uid="{8D92493C-E11A-4502-B05B-012B9114C8E7}" name="Column4046"/>
    <tableColumn id="4080" xr3:uid="{0819BFF6-89AF-4C94-87E1-33408F33E4B6}" name="Column4047"/>
    <tableColumn id="4081" xr3:uid="{6DA4F7B7-B2E3-4F9B-A361-1A216E23FD41}" name="Column4048"/>
    <tableColumn id="4082" xr3:uid="{85204FE2-AC21-47E4-9342-3F84F75B1218}" name="Column4049"/>
    <tableColumn id="4083" xr3:uid="{34AB49E3-AE15-421E-97F5-07A0D687394D}" name="Column4050"/>
    <tableColumn id="4084" xr3:uid="{C97A847E-35B6-4CE9-99F1-088837502DE8}" name="Column4051"/>
    <tableColumn id="4085" xr3:uid="{C5CB6E90-8981-4F24-AA9C-3ED015AE324A}" name="Column4052"/>
    <tableColumn id="4086" xr3:uid="{79F99ECA-CC7E-430A-B717-B8E280BDEE11}" name="Column4053"/>
    <tableColumn id="4087" xr3:uid="{39C63B4A-8590-410A-81E5-072D4E250CAE}" name="Column4054"/>
    <tableColumn id="4088" xr3:uid="{34ED8CD5-D209-4954-961C-BE70233A71D1}" name="Column4055"/>
    <tableColumn id="4089" xr3:uid="{9298087E-1206-4A6E-BC58-2D951CC1436B}" name="Column4056"/>
    <tableColumn id="4090" xr3:uid="{DD725B8C-C65A-478A-BED5-7E13B4F6797B}" name="Column4057"/>
    <tableColumn id="4091" xr3:uid="{C3351149-8A33-4FEC-B5D2-D1D63D4C32E7}" name="Column4058"/>
    <tableColumn id="4092" xr3:uid="{DE97C0FA-2EA7-4741-9CD1-BE3BB837ED6B}" name="Column4059"/>
    <tableColumn id="4093" xr3:uid="{6FAC65D2-69BE-4B2B-824C-89CA0968194D}" name="Column4060"/>
    <tableColumn id="4094" xr3:uid="{ADDD843C-F98D-4732-AB25-8C17E71887ED}" name="Column4061"/>
    <tableColumn id="4095" xr3:uid="{3C59D49C-1B9F-4739-B738-C819FC3149AA}" name="Column4062"/>
    <tableColumn id="4096" xr3:uid="{0F867534-8682-4615-A53F-9FF132357692}" name="Column4063"/>
    <tableColumn id="4097" xr3:uid="{6441FE8D-F2BF-45F3-AA22-DABC6752B14D}" name="Column4064"/>
    <tableColumn id="4098" xr3:uid="{313AB9FA-5D11-4B2C-A607-8688D13DF66A}" name="Column4065"/>
    <tableColumn id="4099" xr3:uid="{90AE2C16-7CE5-491B-9391-C7A713E223FE}" name="Column4066"/>
    <tableColumn id="4100" xr3:uid="{0F3EB419-6713-42A2-A4EA-66F61FB71635}" name="Column4067"/>
    <tableColumn id="4101" xr3:uid="{BB9C9D8F-3D8D-4BD6-B529-40D57028A40F}" name="Column4068"/>
    <tableColumn id="4102" xr3:uid="{6241B383-BA29-4A97-AFBE-B70170646796}" name="Column4069"/>
    <tableColumn id="4103" xr3:uid="{E6E8E031-EC6B-4630-8745-2583F5EE9EA4}" name="Column4070"/>
    <tableColumn id="4104" xr3:uid="{4C83EC97-02FE-492D-92B8-3DC4557931B5}" name="Column4071"/>
    <tableColumn id="4105" xr3:uid="{36777C6E-7ED4-4BB5-9C78-E128ED51A0A4}" name="Column4072"/>
    <tableColumn id="4106" xr3:uid="{28D54F3C-6498-419F-A967-FA2B0595C447}" name="Column4073"/>
    <tableColumn id="4107" xr3:uid="{15FF2C87-81B1-4B7A-AC96-0AD88D20A106}" name="Column4074"/>
    <tableColumn id="4108" xr3:uid="{A1242574-3BA7-4E3F-865B-1D2A3F179D91}" name="Column4075"/>
    <tableColumn id="4109" xr3:uid="{0F8638DF-3935-4AB3-BFFF-691E7152A8FD}" name="Column4076"/>
    <tableColumn id="4110" xr3:uid="{79CE6033-A7D4-49EC-A008-01A2E2A2FDBD}" name="Column4077"/>
    <tableColumn id="4111" xr3:uid="{DA8F28F1-CA71-49FA-86AB-F18AFD8B51B1}" name="Column4078"/>
    <tableColumn id="4112" xr3:uid="{807636DD-65F6-4E68-BAD3-8903FE3C9285}" name="Column4079"/>
    <tableColumn id="4113" xr3:uid="{FBF1A161-820D-4824-9340-5AB23F8B4443}" name="Column4080"/>
    <tableColumn id="4114" xr3:uid="{C12EDAC0-9FA7-4698-9FDB-EB1E12C551FE}" name="Column4081"/>
    <tableColumn id="4115" xr3:uid="{BDF37BEA-E2ED-4678-BD82-D54AE3A41238}" name="Column4082"/>
    <tableColumn id="4116" xr3:uid="{00EA211D-2435-4A87-83CD-A6F2AF8C8D22}" name="Column4083"/>
    <tableColumn id="4117" xr3:uid="{725966E2-BD23-4D2F-9A64-4EFACAE662F7}" name="Column4084"/>
    <tableColumn id="4118" xr3:uid="{959E63FE-94CB-454E-A10B-24C951B558A4}" name="Column4085"/>
    <tableColumn id="4119" xr3:uid="{E1B22F61-67C4-4AE8-909E-B2E3CD6C3109}" name="Column4086"/>
    <tableColumn id="4120" xr3:uid="{4FB53FB4-B59A-49AB-9D71-28A7186D52AC}" name="Column4087"/>
    <tableColumn id="4121" xr3:uid="{34E211DF-E526-4A08-BAAD-901980DF4E9F}" name="Column4088"/>
    <tableColumn id="4122" xr3:uid="{DBF6FE68-5BA4-4A0B-854F-5D945DF2154D}" name="Column4089"/>
    <tableColumn id="4123" xr3:uid="{D2226DA8-D2CF-4162-B5E7-4DEA0E9A45F8}" name="Column4090"/>
    <tableColumn id="4124" xr3:uid="{97250C95-F90A-4B37-8F60-632796BCA530}" name="Column4091"/>
    <tableColumn id="4125" xr3:uid="{82CA3488-A1C1-44E4-8557-3015BA158198}" name="Column4092"/>
    <tableColumn id="4126" xr3:uid="{045A9BEB-12EA-4672-9E8C-E9162D79AAB2}" name="Column4093"/>
    <tableColumn id="4127" xr3:uid="{C6D82849-B48D-4F2E-9EA5-87B14A636232}" name="Column4094"/>
    <tableColumn id="4128" xr3:uid="{7C7A3DCB-A4D7-43C7-A1AB-F0424D956AD8}" name="Column4095"/>
    <tableColumn id="4129" xr3:uid="{EEB0AE45-89C5-44B0-A168-EA5EA9BBF389}" name="Column4096"/>
    <tableColumn id="4130" xr3:uid="{A5BD06C5-9A12-4A1A-898C-B6B71A05FDA0}" name="Column4097"/>
    <tableColumn id="4131" xr3:uid="{08054583-A260-4C33-A3ED-CCA2D0519943}" name="Column4098"/>
    <tableColumn id="4132" xr3:uid="{8BFBD9E4-1B67-4A4F-A639-173F2A03EDF0}" name="Column4099"/>
    <tableColumn id="4133" xr3:uid="{11F47EB5-7976-4A44-A9D1-D970FBB192DB}" name="Column4100"/>
    <tableColumn id="4134" xr3:uid="{8C1DC282-99B2-4BF2-8B4E-071178EA4CB2}" name="Column4101"/>
    <tableColumn id="4135" xr3:uid="{56205215-E102-405A-81E0-F42A3E3DFC5A}" name="Column4102"/>
    <tableColumn id="4136" xr3:uid="{C6897048-5A1F-4CA7-A395-8ACDA5E747D9}" name="Column4103"/>
    <tableColumn id="4137" xr3:uid="{B6EE046A-FEB6-41DB-A880-F9EB55EC5F11}" name="Column4104"/>
    <tableColumn id="4138" xr3:uid="{1E5F9EC6-C72C-44AA-8505-66952F6611C3}" name="Column4105"/>
    <tableColumn id="4139" xr3:uid="{BB5DDB1F-C811-4F02-9DBB-4F161546E71A}" name="Column4106"/>
    <tableColumn id="4140" xr3:uid="{F02BE217-AD5B-4B5A-A3E9-9A900591F8FE}" name="Column4107"/>
    <tableColumn id="4141" xr3:uid="{E6FAFFDC-74C8-4681-AB44-334ABBC2508A}" name="Column4108"/>
    <tableColumn id="4142" xr3:uid="{6B660594-1E4B-4A8E-892F-5BA9D753C712}" name="Column4109"/>
    <tableColumn id="4143" xr3:uid="{7D65B5D2-C76B-443B-B031-3DD9D43C4F31}" name="Column4110"/>
    <tableColumn id="4144" xr3:uid="{2B961EFF-02D6-441B-8B59-79F08C2DF475}" name="Column4111"/>
    <tableColumn id="4145" xr3:uid="{DB6AE502-EA74-462B-A03E-B3A903D52B9B}" name="Column4112"/>
    <tableColumn id="4146" xr3:uid="{D8DCA589-CB39-4154-9DD0-167BA5BB8B2D}" name="Column4113"/>
    <tableColumn id="4147" xr3:uid="{E53B1FC9-B5EB-41EC-8AE2-ED30A4DD2C3B}" name="Column4114"/>
    <tableColumn id="4148" xr3:uid="{AF444F9B-07E2-4107-9B66-42AEAE36036F}" name="Column4115"/>
    <tableColumn id="4149" xr3:uid="{B5E92F2B-7BA6-44C9-82B5-97DABF0A3FD4}" name="Column4116"/>
    <tableColumn id="4150" xr3:uid="{CCB3753D-4522-4970-9B7D-F43A60A8E06F}" name="Column4117"/>
    <tableColumn id="4151" xr3:uid="{57F6ADE3-3706-48B2-9798-B8E2B6ED8F19}" name="Column4118"/>
    <tableColumn id="4152" xr3:uid="{023221F4-DAF4-4FAA-B738-634A9FB50775}" name="Column4119"/>
    <tableColumn id="4153" xr3:uid="{1E1B3E16-3E56-4C17-BA85-E0E7437D5B42}" name="Column4120"/>
    <tableColumn id="4154" xr3:uid="{09FBCD1F-4473-4314-933D-08E4194AAF44}" name="Column4121"/>
    <tableColumn id="4155" xr3:uid="{CC6C332D-E7CB-4C24-948E-9BEA69073675}" name="Column4122"/>
    <tableColumn id="4156" xr3:uid="{BA26F656-E5FB-4541-818C-495DC7ECE62B}" name="Column4123"/>
    <tableColumn id="4157" xr3:uid="{86840A32-4C49-4F73-A2E8-B19E401C3110}" name="Column4124"/>
    <tableColumn id="4158" xr3:uid="{3922014D-0098-4571-A07C-6B7B6F50AF9D}" name="Column4125"/>
    <tableColumn id="4159" xr3:uid="{C4630098-6CB3-43AA-A4DD-F0A772915AD6}" name="Column4126"/>
    <tableColumn id="4160" xr3:uid="{E953BE31-8C44-4B85-9678-EB16B91166EB}" name="Column4127"/>
    <tableColumn id="4161" xr3:uid="{682147E1-2A71-43C9-9666-A1B9A58100BE}" name="Column4128"/>
    <tableColumn id="4162" xr3:uid="{94B0E77A-DC78-4B6F-B660-B28CECD7A901}" name="Column4129"/>
    <tableColumn id="4163" xr3:uid="{C688A4FB-67B7-47A1-9B8E-F4EE6645FB00}" name="Column4130"/>
    <tableColumn id="4164" xr3:uid="{21EBC6EA-306C-4960-8AE4-E4069FAABDC9}" name="Column4131"/>
    <tableColumn id="4165" xr3:uid="{F911BB0D-68BB-48F0-845C-B6D472D32E6E}" name="Column4132"/>
    <tableColumn id="4166" xr3:uid="{24523E22-1E38-4CE4-8EC1-9868E75875AA}" name="Column4133"/>
    <tableColumn id="4167" xr3:uid="{40983705-AB31-4567-AEF0-B309687372EA}" name="Column4134"/>
    <tableColumn id="4168" xr3:uid="{FECE2078-D4B2-43DB-B463-ACD52904A529}" name="Column4135"/>
    <tableColumn id="4169" xr3:uid="{699EB253-55B9-4BEE-A66D-A00AB2A6EB7E}" name="Column4136"/>
    <tableColumn id="4170" xr3:uid="{5864CB05-28ED-4052-AD30-F4252A8EF448}" name="Column4137"/>
    <tableColumn id="4171" xr3:uid="{87AC507C-6FA6-43C1-A2FC-3613624913D1}" name="Column4138"/>
    <tableColumn id="4172" xr3:uid="{3DB18937-44B9-4F8E-8281-2B755FE7D3B2}" name="Column4139"/>
    <tableColumn id="4173" xr3:uid="{9E76C97E-B2A1-4AC8-9795-E2C34E6303B6}" name="Column4140"/>
    <tableColumn id="4174" xr3:uid="{F7538F30-0062-4236-AA36-6D193F9D750C}" name="Column4141"/>
    <tableColumn id="4175" xr3:uid="{E7770FA3-3A26-4AE6-A2C6-03820F78AB79}" name="Column4142"/>
    <tableColumn id="4176" xr3:uid="{2CF9E961-303B-4088-BF67-02977EC39DA2}" name="Column4143"/>
    <tableColumn id="4177" xr3:uid="{6F08F5A0-72FA-4CFF-B10E-1EC015B35DFB}" name="Column4144"/>
    <tableColumn id="4178" xr3:uid="{E30B0C72-6773-4F52-A81B-57962115894C}" name="Column4145"/>
    <tableColumn id="4179" xr3:uid="{C3E5CD5A-BA95-4C16-98BF-29C432053F95}" name="Column4146"/>
    <tableColumn id="4180" xr3:uid="{DBE97BE2-0307-4631-9A01-1319CAE031C6}" name="Column4147"/>
    <tableColumn id="4181" xr3:uid="{BB94D5D3-3C0B-4BE0-8367-09C5F0C07182}" name="Column4148"/>
    <tableColumn id="4182" xr3:uid="{DBC0B8E5-B7CF-49DB-89C0-BD2581951D59}" name="Column4149"/>
    <tableColumn id="4183" xr3:uid="{2EA2586C-F3D5-47A2-9691-4F57736D2554}" name="Column4150"/>
    <tableColumn id="4184" xr3:uid="{4A681EF3-7CE2-4B11-BEE6-DF9D51341673}" name="Column4151"/>
    <tableColumn id="4185" xr3:uid="{C6434301-1290-4D3E-93E4-7B2B9DB41670}" name="Column4152"/>
    <tableColumn id="4186" xr3:uid="{EE0B501C-9626-43AD-80A3-C2B096E6016A}" name="Column4153"/>
    <tableColumn id="4187" xr3:uid="{E6A5B3C0-0BE2-4826-9771-432471765BDD}" name="Column4154"/>
    <tableColumn id="4188" xr3:uid="{3A6A6C2D-54C0-419A-B751-3D14C51E8456}" name="Column4155"/>
    <tableColumn id="4189" xr3:uid="{A89D5014-DD96-47B9-83C8-06F874F9CF77}" name="Column4156"/>
    <tableColumn id="4190" xr3:uid="{A2CC994E-7E6E-480A-8135-488612C78B73}" name="Column4157"/>
    <tableColumn id="4191" xr3:uid="{6FEE81C1-0030-41CA-A3AE-BC9240AF2043}" name="Column4158"/>
    <tableColumn id="4192" xr3:uid="{4289D78E-6D4A-473B-8E5B-34A6537B79F2}" name="Column4159"/>
    <tableColumn id="4193" xr3:uid="{2F93AD93-58F3-48C3-A8E6-B4AB819480B5}" name="Column4160"/>
    <tableColumn id="4194" xr3:uid="{7278D08E-23EC-40E3-B6B9-2C2C90C352ED}" name="Column4161"/>
    <tableColumn id="4195" xr3:uid="{99B0F74D-3012-49B5-B218-543567BB203F}" name="Column4162"/>
    <tableColumn id="4196" xr3:uid="{67571CD3-960F-4A02-A728-16A22AEF67AC}" name="Column4163"/>
    <tableColumn id="4197" xr3:uid="{78B240B5-4EF3-48D5-8F23-5D2963E4EBA7}" name="Column4164"/>
    <tableColumn id="4198" xr3:uid="{AF3B3B44-7930-4151-8400-D4FA7B8F4E2F}" name="Column4165"/>
    <tableColumn id="4199" xr3:uid="{DF7E8592-5EB6-4F4A-8557-D91860BF8DEC}" name="Column4166"/>
    <tableColumn id="4200" xr3:uid="{92691192-D8C6-4986-9D85-6A58421F6805}" name="Column4167"/>
    <tableColumn id="4201" xr3:uid="{95C8C1FF-01B7-4A69-ACB3-0BBBEEF41A40}" name="Column4168"/>
    <tableColumn id="4202" xr3:uid="{71B8130B-003D-43A5-8C0E-13E239B6559E}" name="Column4169"/>
    <tableColumn id="4203" xr3:uid="{EB4A23BF-E746-4C1B-9256-51D68841793B}" name="Column4170"/>
    <tableColumn id="4204" xr3:uid="{F81B7D8F-3CB0-4FC5-9849-66C70E3F739A}" name="Column4171"/>
    <tableColumn id="4205" xr3:uid="{7ADF3447-3A28-4746-BA85-5ACA93048C26}" name="Column4172"/>
    <tableColumn id="4206" xr3:uid="{9B702670-0FBF-497E-B041-2A477F20E72C}" name="Column4173"/>
    <tableColumn id="4207" xr3:uid="{07EA08D0-B5E3-4F53-9FE5-472371EC26C2}" name="Column4174"/>
    <tableColumn id="4208" xr3:uid="{618588F0-B6D4-4538-BFC7-97466F5C45A0}" name="Column4175"/>
    <tableColumn id="4209" xr3:uid="{4020F618-5197-4D08-A565-849290221C76}" name="Column4176"/>
    <tableColumn id="4210" xr3:uid="{D1AD8D82-BA1C-44B7-9117-76B92D1995E5}" name="Column4177"/>
    <tableColumn id="4211" xr3:uid="{C88A2B1D-7E9B-4C87-9BA8-43C41DC53E85}" name="Column4178"/>
    <tableColumn id="4212" xr3:uid="{31E46980-7A56-4750-8530-2C7BF572B2FA}" name="Column4179"/>
    <tableColumn id="4213" xr3:uid="{E56F145D-3B25-4E00-AF70-8713A8CD08A3}" name="Column4180"/>
    <tableColumn id="4214" xr3:uid="{5AAFAAEA-46B0-459F-B317-8B65AB62CC80}" name="Column4181"/>
    <tableColumn id="4215" xr3:uid="{1FE8E960-5DB0-4EB0-BA71-47B33C8B1B93}" name="Column4182"/>
    <tableColumn id="4216" xr3:uid="{69356907-645A-4EB0-A7D9-669599E8D9C8}" name="Column4183"/>
    <tableColumn id="4217" xr3:uid="{2A7BF8AD-365F-4CF2-A2C4-C1D6C7E3B106}" name="Column4184"/>
    <tableColumn id="4218" xr3:uid="{F3961998-B6EA-47CE-AA24-EE5687010FBA}" name="Column4185"/>
    <tableColumn id="4219" xr3:uid="{61DE3E02-01B0-482B-ACE7-59BEE5EF49E5}" name="Column4186"/>
    <tableColumn id="4220" xr3:uid="{14E15DC0-60DE-4F3A-8A68-3A546A8F4952}" name="Column4187"/>
    <tableColumn id="4221" xr3:uid="{6229CE1E-6A17-40A7-B366-277E3A01CCA6}" name="Column4188"/>
    <tableColumn id="4222" xr3:uid="{7FA077A2-8D36-4D0F-89FD-0E26F1A5E1D4}" name="Column4189"/>
    <tableColumn id="4223" xr3:uid="{875FACDB-0F00-4204-8A78-B70B002B373C}" name="Column4190"/>
    <tableColumn id="4224" xr3:uid="{D824913B-0135-4B2F-8787-5564C5612399}" name="Column4191"/>
    <tableColumn id="4225" xr3:uid="{0A13B769-FA09-42D1-854C-9359B5B5E402}" name="Column4192"/>
    <tableColumn id="4226" xr3:uid="{D20B4BE8-5C84-4C67-B040-A0EA5994078C}" name="Column4193"/>
    <tableColumn id="4227" xr3:uid="{08906513-280D-45FA-8197-309112B0C70D}" name="Column4194"/>
    <tableColumn id="4228" xr3:uid="{DEC25DF7-0E67-4A50-BBAC-F97641DC4662}" name="Column4195"/>
    <tableColumn id="4229" xr3:uid="{2D7F5EE7-E0D7-4B15-9F4A-07D78836B66F}" name="Column4196"/>
    <tableColumn id="4230" xr3:uid="{963EC7D8-16FB-4017-9153-E9FBD146DD62}" name="Column4197"/>
    <tableColumn id="4231" xr3:uid="{21DC7E63-0D24-457E-8BAE-28EC43E80AB6}" name="Column4198"/>
    <tableColumn id="4232" xr3:uid="{6769A54C-F04E-4598-B473-D97DEEF1C0C0}" name="Column4199"/>
    <tableColumn id="4233" xr3:uid="{AB79F6C9-2D1C-460D-987C-32D9A333036E}" name="Column4200"/>
    <tableColumn id="4234" xr3:uid="{51D33F40-6CD4-4F47-A52F-BAB1885E5C1B}" name="Column4201"/>
    <tableColumn id="4235" xr3:uid="{3CFF93EC-7CDC-42A2-B37C-CFBE9CCCE814}" name="Column4202"/>
    <tableColumn id="4236" xr3:uid="{38B048B4-DEA4-47EC-8BEC-A7B7E6372BB5}" name="Column4203"/>
    <tableColumn id="4237" xr3:uid="{5D9190F4-2D93-4079-A230-3288DD533D0A}" name="Column4204"/>
    <tableColumn id="4238" xr3:uid="{ECEF06B7-C6B9-48B3-B776-8A508E25BD77}" name="Column4205"/>
    <tableColumn id="4239" xr3:uid="{EC4E58FE-19EA-4F20-B7F6-41D7A13E185D}" name="Column4206"/>
    <tableColumn id="4240" xr3:uid="{14A58EC2-84E5-49EC-92DD-8B8E0072FE2E}" name="Column4207"/>
    <tableColumn id="4241" xr3:uid="{612DC212-1854-49C6-B6D5-813A43D79D1B}" name="Column4208"/>
    <tableColumn id="4242" xr3:uid="{DCB2880B-92A0-40F9-B857-96454FD079A2}" name="Column4209"/>
    <tableColumn id="4243" xr3:uid="{64E996FC-88B8-4A61-80EF-7A481D87C770}" name="Column4210"/>
    <tableColumn id="4244" xr3:uid="{548F1DF1-AD06-4B82-8E10-081F83AA697B}" name="Column4211"/>
    <tableColumn id="4245" xr3:uid="{16595DD1-0DCE-4F7A-940B-EA577A13E904}" name="Column4212"/>
    <tableColumn id="4246" xr3:uid="{89E2EEA8-D885-4E8A-ABD9-E534BB119258}" name="Column4213"/>
    <tableColumn id="4247" xr3:uid="{F8995690-7189-40CF-BADC-8F43D5A72E2E}" name="Column4214"/>
    <tableColumn id="4248" xr3:uid="{BF570F4C-60D1-4397-8E59-E84F4AC901E3}" name="Column4215"/>
    <tableColumn id="4249" xr3:uid="{4C182629-2C8B-4454-8A19-228A91656BE7}" name="Column4216"/>
    <tableColumn id="4250" xr3:uid="{094DA613-32B7-4A00-9552-863BE6D56260}" name="Column4217"/>
    <tableColumn id="4251" xr3:uid="{DA203708-1145-43C0-94B9-1E6B5B3105FD}" name="Column4218"/>
    <tableColumn id="4252" xr3:uid="{BBE86FB6-4533-4A2F-AD64-17C48A7FC56A}" name="Column4219"/>
    <tableColumn id="4253" xr3:uid="{98B108D3-4F8F-47B1-86DA-39C036A8955C}" name="Column4220"/>
    <tableColumn id="4254" xr3:uid="{A6960228-9C53-474F-B17B-EE23ACB35F69}" name="Column4221"/>
    <tableColumn id="4255" xr3:uid="{5F8C4362-A5EE-43F0-8002-0A2751F4C59C}" name="Column4222"/>
    <tableColumn id="4256" xr3:uid="{99E9BB1E-E378-431C-94F8-D7F0DF5462C8}" name="Column4223"/>
    <tableColumn id="4257" xr3:uid="{4E77AEDB-D45F-4D54-AA82-9A7ACA089C4A}" name="Column4224"/>
    <tableColumn id="4258" xr3:uid="{7B77E8AB-3A59-469F-8631-04B241D2F956}" name="Column4225"/>
    <tableColumn id="4259" xr3:uid="{682594A5-8D04-4427-A164-180E88376AFC}" name="Column4226"/>
    <tableColumn id="4260" xr3:uid="{A538F8C8-E629-4527-BA65-C1D1728F3D44}" name="Column4227"/>
    <tableColumn id="4261" xr3:uid="{E98D7D79-BE10-4A8F-ABB3-D2F3E7EB9C5D}" name="Column4228"/>
    <tableColumn id="4262" xr3:uid="{C819B87B-4907-41E6-B5E7-88A0C34A8090}" name="Column4229"/>
    <tableColumn id="4263" xr3:uid="{9E971EB5-4CA7-4BED-905C-E6F403822893}" name="Column4230"/>
    <tableColumn id="4264" xr3:uid="{D1FC9991-3E42-4AA5-8018-24941B15689A}" name="Column4231"/>
    <tableColumn id="4265" xr3:uid="{A9EA7F81-9189-460C-900E-CE2ADC645AC8}" name="Column4232"/>
    <tableColumn id="4266" xr3:uid="{82060099-7644-4489-9783-E8C84A27EA9A}" name="Column4233"/>
    <tableColumn id="4267" xr3:uid="{AEDDEF36-227F-41A7-8910-E98077D68303}" name="Column4234"/>
    <tableColumn id="4268" xr3:uid="{DEA40DB9-151E-4F91-B45A-7B8CA0BDFC42}" name="Column4235"/>
    <tableColumn id="4269" xr3:uid="{CD3011BF-E0CF-4537-984A-2BB1C6CE21D2}" name="Column4236"/>
    <tableColumn id="4270" xr3:uid="{A7136A2B-4CCE-4E8A-9E46-091BF4EB01E4}" name="Column4237"/>
    <tableColumn id="4271" xr3:uid="{ECCD05A9-FC7E-491E-85CD-8D9A9018D55A}" name="Column4238"/>
    <tableColumn id="4272" xr3:uid="{F6207DFF-5ABE-4387-BB77-4726E1D3E388}" name="Column4239"/>
    <tableColumn id="4273" xr3:uid="{B299D168-5CDB-4BB3-893E-C70E728AC90F}" name="Column4240"/>
    <tableColumn id="4274" xr3:uid="{8CE6BF5A-7D90-430F-A471-98BDADC6E76E}" name="Column4241"/>
    <tableColumn id="4275" xr3:uid="{241C3D8C-6B46-4956-8DFF-6A5986565749}" name="Column4242"/>
    <tableColumn id="4276" xr3:uid="{38D116BE-EB39-4028-88A2-B833A2C6F8BF}" name="Column4243"/>
    <tableColumn id="4277" xr3:uid="{B833CF5C-C885-4352-B016-50336B7F3887}" name="Column4244"/>
    <tableColumn id="4278" xr3:uid="{1F06437F-E007-4309-9DA0-98FEA522BD46}" name="Column4245"/>
    <tableColumn id="4279" xr3:uid="{DE84781D-F09F-4764-A402-84800F1FB3D2}" name="Column4246"/>
    <tableColumn id="4280" xr3:uid="{EAF2739E-61FA-4845-9E97-79862CD7FC10}" name="Column4247"/>
    <tableColumn id="4281" xr3:uid="{16868DD2-F4CB-4D89-8457-B1DB6E921F1E}" name="Column4248"/>
    <tableColumn id="4282" xr3:uid="{8A398C29-7876-45E4-91EC-D030BF7B6AC5}" name="Column4249"/>
    <tableColumn id="4283" xr3:uid="{C690C460-46F8-4636-81E1-727EA873137D}" name="Column4250"/>
    <tableColumn id="4284" xr3:uid="{2F9E4EEB-F254-4896-8F17-0606967DDA21}" name="Column4251"/>
    <tableColumn id="4285" xr3:uid="{16745F6E-5AC1-4C79-B97D-C469DD6587BD}" name="Column4252"/>
    <tableColumn id="4286" xr3:uid="{3F444C51-4E58-46DB-AFD9-FB25C9ED6F45}" name="Column4253"/>
    <tableColumn id="4287" xr3:uid="{263066A8-808B-46C0-B377-907B79D90137}" name="Column4254"/>
    <tableColumn id="4288" xr3:uid="{D9A8FEE0-6768-4B89-94E9-FEC0E6AB7CF2}" name="Column4255"/>
    <tableColumn id="4289" xr3:uid="{88E43034-2E93-44C7-8644-0A5FFBC0889D}" name="Column4256"/>
    <tableColumn id="4290" xr3:uid="{4037FA12-1BAC-4067-8799-BA86905DE0DD}" name="Column4257"/>
    <tableColumn id="4291" xr3:uid="{193C4E20-B0A3-4FED-819E-62AD1F1DC2D5}" name="Column4258"/>
    <tableColumn id="4292" xr3:uid="{06637010-FF05-4ED1-AF62-25D48FBE3070}" name="Column4259"/>
    <tableColumn id="4293" xr3:uid="{6BB73A80-9406-4521-B5CE-E7EC7E9DB98E}" name="Column4260"/>
    <tableColumn id="4294" xr3:uid="{ADC614D3-F74B-4C0C-B915-EE61831EA7F3}" name="Column4261"/>
    <tableColumn id="4295" xr3:uid="{28357200-F76D-48E7-8BBE-5DF819EC1897}" name="Column4262"/>
    <tableColumn id="4296" xr3:uid="{E3EDB010-0848-4317-897A-ADDA1102C62C}" name="Column4263"/>
    <tableColumn id="4297" xr3:uid="{B4AD58EE-BD96-46A3-AAC6-5EE15B6C84B2}" name="Column4264"/>
    <tableColumn id="4298" xr3:uid="{5C4AAA6E-7456-455E-B67E-412418C1AD1F}" name="Column4265"/>
    <tableColumn id="4299" xr3:uid="{0AA26A9E-F00D-4D3B-AAF1-CB1813A17E05}" name="Column4266"/>
    <tableColumn id="4300" xr3:uid="{4929241C-E1E1-4030-A3A1-4E7D81D09A8D}" name="Column4267"/>
    <tableColumn id="4301" xr3:uid="{39B9A686-0991-433F-9522-B734BEA296B5}" name="Column4268"/>
    <tableColumn id="4302" xr3:uid="{C06ACFB5-2EA7-4F16-A58A-73356E6A2955}" name="Column4269"/>
    <tableColumn id="4303" xr3:uid="{3636EA41-46D6-4048-AC0B-B589A351D710}" name="Column4270"/>
    <tableColumn id="4304" xr3:uid="{0DE2B3AC-2079-4DFE-B11C-9CCAB2F3980C}" name="Column4271"/>
    <tableColumn id="4305" xr3:uid="{8394D164-0AA6-4E18-A5F3-D3FB650F547C}" name="Column4272"/>
    <tableColumn id="4306" xr3:uid="{555B2B72-0877-47A5-A5E7-38B67D6E6C58}" name="Column4273"/>
    <tableColumn id="4307" xr3:uid="{768BE22F-D39E-4FF5-9F57-F9278EB44E3A}" name="Column4274"/>
    <tableColumn id="4308" xr3:uid="{E915075C-204E-4557-B8A3-DEC48B4B75F1}" name="Column4275"/>
    <tableColumn id="4309" xr3:uid="{5C3FD80A-E262-471A-97D7-20044013DBBC}" name="Column4276"/>
    <tableColumn id="4310" xr3:uid="{4D213D93-67C7-4499-A98F-00D826DEF79E}" name="Column4277"/>
    <tableColumn id="4311" xr3:uid="{9BCD1A41-C6CE-47FA-982A-F04F61AF9C7D}" name="Column4278"/>
    <tableColumn id="4312" xr3:uid="{45E0F77E-0E39-4D37-AE66-8AAD78E1273E}" name="Column4279"/>
    <tableColumn id="4313" xr3:uid="{BFB1EE0A-63A8-439F-A473-F7CFB9F2A67F}" name="Column4280"/>
    <tableColumn id="4314" xr3:uid="{E1451C70-9490-47A5-9D33-2110A98048C4}" name="Column4281"/>
    <tableColumn id="4315" xr3:uid="{B16D5AFE-0A4C-417A-9004-31D36EB3D4DA}" name="Column4282"/>
    <tableColumn id="4316" xr3:uid="{F00CCE42-1796-4877-B5F1-77C3300E4FAD}" name="Column4283"/>
    <tableColumn id="4317" xr3:uid="{97052726-1219-4AD3-BB12-FC53D9152A3B}" name="Column4284"/>
    <tableColumn id="4318" xr3:uid="{B702C405-2095-4C82-B572-15E934BAFA59}" name="Column4285"/>
    <tableColumn id="4319" xr3:uid="{1F7C40A1-63DE-40E8-9B46-40884257F505}" name="Column4286"/>
    <tableColumn id="4320" xr3:uid="{A26C5E49-48EA-44F1-A84A-CA9EDAB04992}" name="Column4287"/>
    <tableColumn id="4321" xr3:uid="{BCF93892-55AB-4BFA-9979-C65FB461A0FB}" name="Column4288"/>
    <tableColumn id="4322" xr3:uid="{08134411-1B68-41D8-B0CA-01150DCA574A}" name="Column4289"/>
    <tableColumn id="4323" xr3:uid="{20CC21A0-7E04-4836-8A8A-A44453967276}" name="Column4290"/>
    <tableColumn id="4324" xr3:uid="{3CFDCFFC-3BA5-4C5A-8D91-4336EE257EBF}" name="Column4291"/>
    <tableColumn id="4325" xr3:uid="{A6297698-68B9-4644-9633-743E9F346EBA}" name="Column4292"/>
    <tableColumn id="4326" xr3:uid="{AA0B1641-2606-497E-AD67-032F5C5662E1}" name="Column4293"/>
    <tableColumn id="4327" xr3:uid="{84677B28-8A12-49C6-AEC3-8A7506B380DD}" name="Column4294"/>
    <tableColumn id="4328" xr3:uid="{D5F72EF5-3250-49D2-9D78-77C163A44334}" name="Column4295"/>
    <tableColumn id="4329" xr3:uid="{A26AE039-EB97-4F4A-9122-AC530755D4C3}" name="Column4296"/>
    <tableColumn id="4330" xr3:uid="{EAC27CB2-065D-414D-A8A1-06C488726BC2}" name="Column4297"/>
    <tableColumn id="4331" xr3:uid="{8D0CFEE2-92A0-4499-A95A-CF2DA592EEB5}" name="Column4298"/>
    <tableColumn id="4332" xr3:uid="{14D4166C-0032-4908-BDF3-6D9A0C4CEE5E}" name="Column4299"/>
    <tableColumn id="4333" xr3:uid="{1EC76734-C782-4671-8983-1C02974F2328}" name="Column4300"/>
    <tableColumn id="4334" xr3:uid="{1EC83C08-C9A9-471A-8F98-145A0E960F34}" name="Column4301"/>
    <tableColumn id="4335" xr3:uid="{CE35F053-8892-4098-9EFD-66036AB8FF73}" name="Column4302"/>
    <tableColumn id="4336" xr3:uid="{C78C3A03-B51A-4525-A02C-2059023D3422}" name="Column4303"/>
    <tableColumn id="4337" xr3:uid="{790A8188-3678-4864-A826-04CCB5CE6759}" name="Column4304"/>
    <tableColumn id="4338" xr3:uid="{187B9CD9-BD9D-4021-AE1F-45193E7F3F81}" name="Column4305"/>
    <tableColumn id="4339" xr3:uid="{D28E55D1-548A-498B-8544-31E0521695F7}" name="Column4306"/>
    <tableColumn id="4340" xr3:uid="{BC5409F1-0121-4192-AEBF-0B433B9C1473}" name="Column4307"/>
    <tableColumn id="4341" xr3:uid="{8DA9150F-0D71-4BB2-AC06-1B2A35AD8ADE}" name="Column4308"/>
    <tableColumn id="4342" xr3:uid="{2D09116E-A59A-4004-91FF-887551B49539}" name="Column4309"/>
    <tableColumn id="4343" xr3:uid="{BD465942-0C28-450B-A8EB-92F29E79586D}" name="Column4310"/>
    <tableColumn id="4344" xr3:uid="{3238E377-E96D-4D3E-97A3-275372F94426}" name="Column4311"/>
    <tableColumn id="4345" xr3:uid="{F2869358-22DA-4B6E-B7B5-CB066C92361A}" name="Column4312"/>
    <tableColumn id="4346" xr3:uid="{FF0AD143-A3D8-4EA6-A64D-54C5259E5FEA}" name="Column4313"/>
    <tableColumn id="4347" xr3:uid="{02E4D334-0CD2-4234-87C8-0480D46E757C}" name="Column4314"/>
    <tableColumn id="4348" xr3:uid="{E0A59B71-34B8-4075-BB99-42E8D60B4E4E}" name="Column4315"/>
    <tableColumn id="4349" xr3:uid="{569C4BC9-EF9F-406D-8552-3EC05B17ABCD}" name="Column4316"/>
    <tableColumn id="4350" xr3:uid="{6903A31E-60B5-4923-A896-2C093983F384}" name="Column4317"/>
    <tableColumn id="4351" xr3:uid="{DCC94A80-5F0C-4949-8BCE-58C886816A88}" name="Column4318"/>
    <tableColumn id="4352" xr3:uid="{2875C3D1-756E-4486-9F9A-03C3BF474571}" name="Column4319"/>
    <tableColumn id="4353" xr3:uid="{28E65C85-51F9-4C45-A971-BB12B3E2FC5D}" name="Column4320"/>
    <tableColumn id="4354" xr3:uid="{58EF38C2-6A9C-4EA3-8826-F566FB4E3DAE}" name="Column4321"/>
    <tableColumn id="4355" xr3:uid="{A9103891-3A65-4C4D-ABD6-70CBFC6DF689}" name="Column4322"/>
    <tableColumn id="4356" xr3:uid="{193D32EB-A505-426A-B528-7EA3996DE6BB}" name="Column4323"/>
    <tableColumn id="4357" xr3:uid="{ACF3CCA4-5752-47AB-B619-F570099CD4CB}" name="Column4324"/>
    <tableColumn id="4358" xr3:uid="{FBA7630C-8C66-48F6-B958-7E8D153BB602}" name="Column4325"/>
    <tableColumn id="4359" xr3:uid="{48414DEB-CA7F-448C-A223-5613F4F154DC}" name="Column4326"/>
    <tableColumn id="4360" xr3:uid="{42D3784E-F6DD-41D1-8768-124F0AF18159}" name="Column4327"/>
    <tableColumn id="4361" xr3:uid="{68AF44B1-7A75-4738-87AD-EC1AC41B63A4}" name="Column4328"/>
    <tableColumn id="4362" xr3:uid="{A65AFF80-A98A-4F6E-846D-CD834E79F75B}" name="Column4329"/>
    <tableColumn id="4363" xr3:uid="{AAE44839-65BE-4698-8023-BC5DE0A97ABB}" name="Column4330"/>
    <tableColumn id="4364" xr3:uid="{ACEC04F7-4FAE-43CE-A676-F486E32900B4}" name="Column4331"/>
    <tableColumn id="4365" xr3:uid="{816D9CDE-D08C-4E13-A480-8AAC34D7C25F}" name="Column4332"/>
    <tableColumn id="4366" xr3:uid="{9B5C301D-D07D-48EE-8057-B61E39B8EA8A}" name="Column4333"/>
    <tableColumn id="4367" xr3:uid="{42B033D2-B0AE-4D1A-809E-E52AE76A5331}" name="Column4334"/>
    <tableColumn id="4368" xr3:uid="{6D77C352-4EBC-4BCF-AFD5-08C05E30A991}" name="Column4335"/>
    <tableColumn id="4369" xr3:uid="{27F9E9BE-B331-4034-B85D-B35E42839F44}" name="Column4336"/>
    <tableColumn id="4370" xr3:uid="{5CD676D2-F3EC-4BEF-811D-E43A89ED4E89}" name="Column4337"/>
    <tableColumn id="4371" xr3:uid="{1C287A0E-E810-456D-8523-F8AB57825BF5}" name="Column4338"/>
    <tableColumn id="4372" xr3:uid="{217D9C04-19CC-4095-B8B8-E82331E16D80}" name="Column4339"/>
    <tableColumn id="4373" xr3:uid="{4E416EE2-1B03-4238-9087-9784B79879DE}" name="Column4340"/>
    <tableColumn id="4374" xr3:uid="{F41998F0-ECC7-4FF0-9ED1-0F217093B75C}" name="Column4341"/>
    <tableColumn id="4375" xr3:uid="{43813F34-7A98-46EC-A051-05A1DB9F4F1B}" name="Column4342"/>
    <tableColumn id="4376" xr3:uid="{69D51331-6846-496A-97AA-FBF923261056}" name="Column4343"/>
    <tableColumn id="4377" xr3:uid="{5A7A0C16-1C6E-43AB-B982-3E086A0FB862}" name="Column4344"/>
    <tableColumn id="4378" xr3:uid="{BE54845F-4BEC-47C2-B900-5FBBAD022E94}" name="Column4345"/>
    <tableColumn id="4379" xr3:uid="{CB4F00F3-B6CB-4B2F-ACFD-4A845FA5C623}" name="Column4346"/>
    <tableColumn id="4380" xr3:uid="{8095E3AC-9B08-4F8D-A5DE-539A3AC2EB50}" name="Column4347"/>
    <tableColumn id="4381" xr3:uid="{78B7E6E3-472C-4402-B2DF-A4B80233BCA4}" name="Column4348"/>
    <tableColumn id="4382" xr3:uid="{BD6877FA-7EBB-4681-A8FC-FDB1CEEDE325}" name="Column4349"/>
    <tableColumn id="4383" xr3:uid="{5682CD8A-3744-4A93-BD2E-242E84824B00}" name="Column4350"/>
    <tableColumn id="4384" xr3:uid="{0F52B8E0-008C-466F-A71B-33DA56B301E0}" name="Column4351"/>
    <tableColumn id="4385" xr3:uid="{466E77F2-6DB1-40D8-817A-CC242B7C0225}" name="Column4352"/>
    <tableColumn id="4386" xr3:uid="{3CE66D4E-4B27-4477-8565-97B7927B0432}" name="Column4353"/>
    <tableColumn id="4387" xr3:uid="{752307B9-C56F-4C66-B557-4F87151AC827}" name="Column4354"/>
    <tableColumn id="4388" xr3:uid="{58DD1EBC-39F3-41D1-9532-5D17BBB485D8}" name="Column4355"/>
    <tableColumn id="4389" xr3:uid="{09D6AD69-0641-4EAA-B99A-833279D0825B}" name="Column4356"/>
    <tableColumn id="4390" xr3:uid="{10747A60-E2BD-4FE8-A80C-692E33AE7AE1}" name="Column4357"/>
    <tableColumn id="4391" xr3:uid="{59C058D7-B077-4D1A-A95B-9D8E92AE2388}" name="Column4358"/>
    <tableColumn id="4392" xr3:uid="{C1E5301C-51A0-4D13-B6D1-EFCA4ABC8336}" name="Column4359"/>
    <tableColumn id="4393" xr3:uid="{9E1C1E90-9C98-45ED-AEDD-82A334501BED}" name="Column4360"/>
    <tableColumn id="4394" xr3:uid="{C7D66B28-5E5E-4DD3-813C-49B4ABE851E6}" name="Column4361"/>
    <tableColumn id="4395" xr3:uid="{D36333EB-DF95-48C6-BB22-B2CE6C53C03A}" name="Column4362"/>
    <tableColumn id="4396" xr3:uid="{EBEE3C8C-74FE-41C8-B10F-A8658ECF414A}" name="Column4363"/>
    <tableColumn id="4397" xr3:uid="{F5586768-B84F-42C1-85E1-4E0061F5DF3E}" name="Column4364"/>
    <tableColumn id="4398" xr3:uid="{BDF26561-C4FC-42F6-9918-FD803A6A52EB}" name="Column4365"/>
    <tableColumn id="4399" xr3:uid="{AE84DC2B-A22F-406A-BBD7-DFC384C9F8B9}" name="Column4366"/>
    <tableColumn id="4400" xr3:uid="{BDDC29C4-6877-4113-A8E8-F2B168BF0AFC}" name="Column4367"/>
    <tableColumn id="4401" xr3:uid="{2EE8DF25-931E-4BCD-A6F6-E37D7E98EC8B}" name="Column4368"/>
    <tableColumn id="4402" xr3:uid="{127E2E84-A88F-45D2-A674-5C130A7CC9DF}" name="Column4369"/>
    <tableColumn id="4403" xr3:uid="{692BBE8B-B0DC-4C17-98BC-3FA92D589E4B}" name="Column4370"/>
    <tableColumn id="4404" xr3:uid="{E243EFDC-22B0-4D96-9D88-452009318190}" name="Column4371"/>
    <tableColumn id="4405" xr3:uid="{6EEA03D6-F3D8-467B-95A7-EEAA3425D26A}" name="Column4372"/>
    <tableColumn id="4406" xr3:uid="{63A8EEB6-FE16-4133-8229-F8BEE3E5424A}" name="Column4373"/>
    <tableColumn id="4407" xr3:uid="{C5DD937C-D654-4C14-8871-653514900B07}" name="Column4374"/>
    <tableColumn id="4408" xr3:uid="{5638D6D5-AED6-4D71-B683-6D195C770990}" name="Column4375"/>
    <tableColumn id="4409" xr3:uid="{D282AA54-0E8B-44ED-8BDE-0FEC2BAF9353}" name="Column4376"/>
    <tableColumn id="4410" xr3:uid="{B279C4AA-0EEA-460C-945C-949AD24C5BF8}" name="Column4377"/>
    <tableColumn id="4411" xr3:uid="{3DD5452F-2067-4EEB-9960-C5689C3F4A0D}" name="Column4378"/>
    <tableColumn id="4412" xr3:uid="{0D673261-4AFF-4D21-93E1-C16F4D90696E}" name="Column4379"/>
    <tableColumn id="4413" xr3:uid="{40813391-13EB-4AE8-8F2B-0C07AB4C4D1D}" name="Column4380"/>
    <tableColumn id="4414" xr3:uid="{34036491-71CF-4A0E-AE29-A244D7791598}" name="Column4381"/>
    <tableColumn id="4415" xr3:uid="{B99978E0-1636-4ECB-A8A8-1D088FEAD0AF}" name="Column4382"/>
    <tableColumn id="4416" xr3:uid="{D0E0CB01-A0A6-42CE-BE63-8FD78AC0CAEA}" name="Column4383"/>
    <tableColumn id="4417" xr3:uid="{66B7ABFF-C5B0-4A50-ADFE-7ABF78EBD0B2}" name="Column4384"/>
    <tableColumn id="4418" xr3:uid="{C1A3A2F4-1095-402C-96CF-8436F30CD5E0}" name="Column4385"/>
    <tableColumn id="4419" xr3:uid="{B163FF5F-34DE-4F5D-88B4-92C0489879D6}" name="Column4386"/>
    <tableColumn id="4420" xr3:uid="{42927113-1FE3-4B5A-9694-1FC088016C82}" name="Column4387"/>
    <tableColumn id="4421" xr3:uid="{EAB68855-4AE7-4940-8BFE-104778312445}" name="Column4388"/>
    <tableColumn id="4422" xr3:uid="{0D396C97-54D7-4457-B06E-847C1C287AFF}" name="Column4389"/>
    <tableColumn id="4423" xr3:uid="{C9E84644-3B90-4E06-B052-A72A1E542D69}" name="Column4390"/>
    <tableColumn id="4424" xr3:uid="{93B3F46F-3EB1-4A76-B680-EC3CA3604F82}" name="Column4391"/>
    <tableColumn id="4425" xr3:uid="{319A8D68-206C-4F22-992D-8E7B4D689863}" name="Column4392"/>
    <tableColumn id="4426" xr3:uid="{080B7768-4DA5-4BA6-AE39-644C3AFC1575}" name="Column4393"/>
    <tableColumn id="4427" xr3:uid="{594C4D6D-692A-4ECF-92BD-DFD13E0B04B7}" name="Column4394"/>
    <tableColumn id="4428" xr3:uid="{92EF049C-72A1-47AA-A6EE-AA8F1C4B89A9}" name="Column4395"/>
    <tableColumn id="4429" xr3:uid="{9BCB0D1E-0C0C-4808-96FA-BD613940968E}" name="Column4396"/>
    <tableColumn id="4430" xr3:uid="{69C9205A-ABF5-4AD0-AFD3-FF4DD59F4F79}" name="Column4397"/>
    <tableColumn id="4431" xr3:uid="{2C381319-05DC-405D-80EF-796D89680D11}" name="Column4398"/>
    <tableColumn id="4432" xr3:uid="{9B185570-4D4E-4AEB-A343-B9924DEF68BD}" name="Column4399"/>
    <tableColumn id="4433" xr3:uid="{D4FC5333-6AFD-42CD-84CF-4CD6E076B7DA}" name="Column4400"/>
    <tableColumn id="4434" xr3:uid="{C4F335C8-9B22-4800-8D53-727F24513763}" name="Column4401"/>
    <tableColumn id="4435" xr3:uid="{06C40535-98E9-41C7-974F-77AF2CED77F4}" name="Column4402"/>
    <tableColumn id="4436" xr3:uid="{8805EDDC-3E2C-432E-9035-3D352BDE9305}" name="Column4403"/>
    <tableColumn id="4437" xr3:uid="{C2A29A19-7522-4D54-B455-1F5BFBDD37BA}" name="Column4404"/>
    <tableColumn id="4438" xr3:uid="{6B2D0363-B3B1-4609-8A75-017B56DC5E2F}" name="Column4405"/>
    <tableColumn id="4439" xr3:uid="{F211A936-CEAE-42CD-910D-B16240B62CD9}" name="Column4406"/>
    <tableColumn id="4440" xr3:uid="{13ED9351-86E8-4486-B34A-3D9BA04D8C98}" name="Column4407"/>
    <tableColumn id="4441" xr3:uid="{8A9B6A3D-B5B8-48E3-91C8-1610BEEAEE25}" name="Column4408"/>
    <tableColumn id="4442" xr3:uid="{4D236B6C-724C-4F2E-860A-4D85368F4782}" name="Column4409"/>
    <tableColumn id="4443" xr3:uid="{721C2D31-8187-42CC-A1F7-B22E0F917962}" name="Column4410"/>
    <tableColumn id="4444" xr3:uid="{68D46AAE-EC6E-473D-A532-0774B09BE668}" name="Column4411"/>
    <tableColumn id="4445" xr3:uid="{C2248BA1-A0C3-47F3-AD78-17799129D552}" name="Column4412"/>
    <tableColumn id="4446" xr3:uid="{45035590-8254-4335-8A86-735394E28418}" name="Column4413"/>
    <tableColumn id="4447" xr3:uid="{FBA19414-B227-4DC6-A8F0-567B8B24D697}" name="Column4414"/>
    <tableColumn id="4448" xr3:uid="{AC27F2A3-2DA9-4DE6-892B-313DF3938606}" name="Column4415"/>
    <tableColumn id="4449" xr3:uid="{8FBC4C94-8CBE-4011-9D96-1418076B4082}" name="Column4416"/>
    <tableColumn id="4450" xr3:uid="{29B7AEF0-B57D-49C9-A6EE-44D0DDB5E193}" name="Column4417"/>
    <tableColumn id="4451" xr3:uid="{3CB9EC9E-0B06-4B70-8B6F-534F6633B94B}" name="Column4418"/>
    <tableColumn id="4452" xr3:uid="{AFACBDE4-2244-4C36-9E4E-0EE70B0113B6}" name="Column4419"/>
    <tableColumn id="4453" xr3:uid="{48CE1E6F-A7E9-4629-B8FD-20B961FA546C}" name="Column4420"/>
    <tableColumn id="4454" xr3:uid="{B622DBC6-9873-491F-B11A-BDF72B7CF1B8}" name="Column4421"/>
    <tableColumn id="4455" xr3:uid="{C5A58101-2245-47FE-9BFD-AFCDADAEE8FD}" name="Column4422"/>
    <tableColumn id="4456" xr3:uid="{E8133DED-FA98-464E-83BF-5FADA039517C}" name="Column4423"/>
    <tableColumn id="4457" xr3:uid="{2340654A-8021-4026-8BAF-09908E8C2AD5}" name="Column4424"/>
    <tableColumn id="4458" xr3:uid="{99E2E4D1-B526-43CD-B2B2-9913757FF20E}" name="Column4425"/>
    <tableColumn id="4459" xr3:uid="{943F4EB4-EAAA-4534-BF1B-C08787DAA6B6}" name="Column4426"/>
    <tableColumn id="4460" xr3:uid="{C5A77E77-37B6-42C6-81A2-F28B17E78D66}" name="Column4427"/>
    <tableColumn id="4461" xr3:uid="{1019DA9E-BCFD-4BC8-8907-7EB2F3EAD047}" name="Column4428"/>
    <tableColumn id="4462" xr3:uid="{6511B255-0AF6-4E28-8778-8DCF79BD0818}" name="Column4429"/>
    <tableColumn id="4463" xr3:uid="{0C573E33-4C24-4B7A-82F8-8F8F1F797214}" name="Column4430"/>
    <tableColumn id="4464" xr3:uid="{BDA4AD3A-C258-49D7-A751-6E06DD7401E0}" name="Column4431"/>
    <tableColumn id="4465" xr3:uid="{69D29388-5AF5-4912-9460-066566D31D6E}" name="Column4432"/>
    <tableColumn id="4466" xr3:uid="{52B55578-8C14-477C-98D6-6FA097D7EAA7}" name="Column4433"/>
    <tableColumn id="4467" xr3:uid="{B95B7154-89AE-4E4C-88CE-540B9F49EAF4}" name="Column4434"/>
    <tableColumn id="4468" xr3:uid="{3411EECE-CD81-407A-B8E2-18026C367670}" name="Column4435"/>
    <tableColumn id="4469" xr3:uid="{6EE42134-DB62-4236-85D6-4B953AF2A987}" name="Column4436"/>
    <tableColumn id="4470" xr3:uid="{1B9FE2C3-CAA2-4A46-8A1C-F0CD7700E20A}" name="Column4437"/>
    <tableColumn id="4471" xr3:uid="{929C8FCA-F03D-4FBD-A40C-9CA881A08013}" name="Column4438"/>
    <tableColumn id="4472" xr3:uid="{D5510DAA-4259-4854-8C62-8F2C216D0E41}" name="Column4439"/>
    <tableColumn id="4473" xr3:uid="{DE8BAC9D-66CF-497E-8602-EC622B63172F}" name="Column4440"/>
    <tableColumn id="4474" xr3:uid="{DF5BCCC0-82A1-4F4E-A6A6-DCFCA4B302A6}" name="Column4441"/>
    <tableColumn id="4475" xr3:uid="{1E7BAAF5-907A-4C2A-A911-B7027F3C8C0D}" name="Column4442"/>
    <tableColumn id="4476" xr3:uid="{CC9263D5-0D3A-4DF6-8D14-DE1E6C92EF9F}" name="Column4443"/>
    <tableColumn id="4477" xr3:uid="{1A428114-C46C-4ABC-A113-525B2E02AAAF}" name="Column4444"/>
    <tableColumn id="4478" xr3:uid="{6708048C-7DF3-45BC-AA81-15810FB64482}" name="Column4445"/>
    <tableColumn id="4479" xr3:uid="{722C4BBD-FA8E-4596-B278-B92AFEDC6837}" name="Column4446"/>
    <tableColumn id="4480" xr3:uid="{7CFD78B8-3FD6-43E9-BA51-0DE75E49C990}" name="Column4447"/>
    <tableColumn id="4481" xr3:uid="{51BF1865-9AF2-413E-8F66-43048ED54A4B}" name="Column4448"/>
    <tableColumn id="4482" xr3:uid="{DCA42C3E-A643-472A-B5C5-C1F5481447A6}" name="Column4449"/>
    <tableColumn id="4483" xr3:uid="{0B8FB255-77F7-4DB5-B59C-987767220F68}" name="Column4450"/>
    <tableColumn id="4484" xr3:uid="{B3AB3E2C-0FA9-46DF-9B45-6DCB255A10D8}" name="Column4451"/>
    <tableColumn id="4485" xr3:uid="{8F79AA23-0086-4DB5-B5D7-915D2220E2F1}" name="Column4452"/>
    <tableColumn id="4486" xr3:uid="{4A452E7F-9BA4-4496-907B-D40C1040828C}" name="Column4453"/>
    <tableColumn id="4487" xr3:uid="{15A21C4A-8594-4900-92B5-4503C3CE3CB2}" name="Column4454"/>
    <tableColumn id="4488" xr3:uid="{426B4B8D-43C9-4344-9046-62D17C49C9F0}" name="Column4455"/>
    <tableColumn id="4489" xr3:uid="{FC4E9D1F-670B-4436-B720-1D848DBFA2B6}" name="Column4456"/>
    <tableColumn id="4490" xr3:uid="{571C7539-6215-483D-8163-F005EA6E31A4}" name="Column4457"/>
    <tableColumn id="4491" xr3:uid="{B3BCA9F2-F40B-4732-8B8F-96758BD222E9}" name="Column4458"/>
    <tableColumn id="4492" xr3:uid="{E418AA10-B461-4B71-AEAF-83D74772344B}" name="Column4459"/>
    <tableColumn id="4493" xr3:uid="{E2015E08-E31D-43FA-8D5F-7B23231F1351}" name="Column4460"/>
    <tableColumn id="4494" xr3:uid="{DF744BC9-E955-4918-A1C6-F483C807BA98}" name="Column4461"/>
    <tableColumn id="4495" xr3:uid="{541849F1-2960-4DB8-ACDD-FB674ED3ADB2}" name="Column4462"/>
    <tableColumn id="4496" xr3:uid="{90E10041-D11D-47A7-AB9B-60B48ED51FD5}" name="Column4463"/>
    <tableColumn id="4497" xr3:uid="{36C0975E-C5D3-4B03-B76F-51013DCF7910}" name="Column4464"/>
    <tableColumn id="4498" xr3:uid="{F53A0DA0-1025-44EC-A2CD-8F583FF0CC0A}" name="Column4465"/>
    <tableColumn id="4499" xr3:uid="{5763B075-5A88-4013-94ED-75B92CE0C6F0}" name="Column4466"/>
    <tableColumn id="4500" xr3:uid="{BA1E8E38-972F-4237-A592-5F2C28585E1A}" name="Column4467"/>
    <tableColumn id="4501" xr3:uid="{70A6B109-BEDE-4A23-B31E-82656F5177F0}" name="Column4468"/>
    <tableColumn id="4502" xr3:uid="{64BF6F0C-477A-4521-8165-1EE14CC2392D}" name="Column4469"/>
    <tableColumn id="4503" xr3:uid="{64E99B76-99F4-47CE-86B4-19A72108578E}" name="Column4470"/>
    <tableColumn id="4504" xr3:uid="{1571288D-B420-4568-B262-AEDC73EDA8E2}" name="Column4471"/>
    <tableColumn id="4505" xr3:uid="{A5E4596A-1FC3-4396-AB8C-BB66F22382E2}" name="Column4472"/>
    <tableColumn id="4506" xr3:uid="{E7F7A6F1-52FE-4B1B-BE01-52D88107A7F8}" name="Column4473"/>
    <tableColumn id="4507" xr3:uid="{25B28129-FC40-4B94-AF91-EB3301DF515E}" name="Column4474"/>
    <tableColumn id="4508" xr3:uid="{F5DC9F58-4DC6-4A00-98A1-51537B73AD8F}" name="Column4475"/>
    <tableColumn id="4509" xr3:uid="{AC3664AA-C0A9-4697-814C-3097C1250AFC}" name="Column4476"/>
    <tableColumn id="4510" xr3:uid="{75766123-F180-4DFC-A011-BD78A24176A4}" name="Column4477"/>
    <tableColumn id="4511" xr3:uid="{60A0687F-752C-4B00-AD84-42F55CCC1834}" name="Column4478"/>
    <tableColumn id="4512" xr3:uid="{98D62B8C-A554-4588-AB9A-800E744036E3}" name="Column4479"/>
    <tableColumn id="4513" xr3:uid="{F664067B-7A5C-43EB-BEAF-3D1072A50092}" name="Column4480"/>
    <tableColumn id="4514" xr3:uid="{66F527A3-D891-4863-B91A-FC912D625CFA}" name="Column4481"/>
    <tableColumn id="4515" xr3:uid="{2EBE0BF1-BA75-4D93-862B-C7DC4A4D9C5C}" name="Column4482"/>
    <tableColumn id="4516" xr3:uid="{AECDB941-E40F-47D9-A595-BE9167B89FDC}" name="Column4483"/>
    <tableColumn id="4517" xr3:uid="{655470D8-AA84-468D-97BB-FA3E5DB0EB2A}" name="Column4484"/>
    <tableColumn id="4518" xr3:uid="{1DA5F598-5AA5-4C6B-8DB5-CEA0645F02AD}" name="Column4485"/>
    <tableColumn id="4519" xr3:uid="{F03072C9-AA57-459A-8A77-B766E29D9FA6}" name="Column4486"/>
    <tableColumn id="4520" xr3:uid="{636C5B0B-326B-44AE-ACD8-96634B66018F}" name="Column4487"/>
    <tableColumn id="4521" xr3:uid="{58CEA088-56B0-4942-BBB5-DE13A4FD2771}" name="Column4488"/>
    <tableColumn id="4522" xr3:uid="{362661E1-32E4-4F61-9EC1-13E2E031BDCB}" name="Column4489"/>
    <tableColumn id="4523" xr3:uid="{B63BA5CB-E0BD-4DB7-A9DE-E50459BF66D7}" name="Column4490"/>
    <tableColumn id="4524" xr3:uid="{A1C1D6F2-BDF9-4CDF-BD36-C416074CBDCF}" name="Column4491"/>
    <tableColumn id="4525" xr3:uid="{5231A852-B258-44E2-B4C1-DE8EC61766F6}" name="Column4492"/>
    <tableColumn id="4526" xr3:uid="{DED7CF78-8569-45F2-AF61-2925FFF34EC0}" name="Column4493"/>
    <tableColumn id="4527" xr3:uid="{00AF7747-2291-4CB6-A4D8-99378A5271D6}" name="Column4494"/>
    <tableColumn id="4528" xr3:uid="{34794694-C547-4898-B903-881B3D6A83C3}" name="Column4495"/>
    <tableColumn id="4529" xr3:uid="{95DDAEEA-0920-4ED4-865C-7703BFB689A3}" name="Column4496"/>
    <tableColumn id="4530" xr3:uid="{A6634982-B97C-43A5-B8B6-3DE6B84875F2}" name="Column4497"/>
    <tableColumn id="4531" xr3:uid="{D5E40CE7-BE6E-4DF8-97D2-35E904365CF4}" name="Column4498"/>
    <tableColumn id="4532" xr3:uid="{BB954AE7-84F1-4268-B195-49D04D64F669}" name="Column4499"/>
    <tableColumn id="4533" xr3:uid="{08127450-82F0-4994-BA29-7736A55C8D98}" name="Column4500"/>
    <tableColumn id="4534" xr3:uid="{38D6BD04-41AA-4369-91BA-041C39823B0C}" name="Column4501"/>
    <tableColumn id="4535" xr3:uid="{52B09F19-1EF0-43A7-BBA4-8C81C750468B}" name="Column4502"/>
    <tableColumn id="4536" xr3:uid="{AC2E661F-61B6-49B2-B128-D160DC861F86}" name="Column4503"/>
    <tableColumn id="4537" xr3:uid="{857B4EDB-B393-4B9B-B35C-C7FDBA9F6838}" name="Column4504"/>
    <tableColumn id="4538" xr3:uid="{B4068D6B-16AE-4C67-A7E2-2EA9809B40F5}" name="Column4505"/>
    <tableColumn id="4539" xr3:uid="{85828504-14A1-49AB-B40E-48B6EEE4FEC3}" name="Column4506"/>
    <tableColumn id="4540" xr3:uid="{2EAC90F6-01B6-4D73-A1B7-267A4BA3102F}" name="Column4507"/>
    <tableColumn id="4541" xr3:uid="{A4DECAB6-09E9-4FE8-8892-31FCF6498D12}" name="Column4508"/>
    <tableColumn id="4542" xr3:uid="{6BCC9F49-23D0-4D00-8E22-DDEBE35D03C1}" name="Column4509"/>
    <tableColumn id="4543" xr3:uid="{8FBF8086-66BA-4944-B456-499E19C07B2E}" name="Column4510"/>
    <tableColumn id="4544" xr3:uid="{D89C4A1F-5896-4881-B767-4AA155DD6BF2}" name="Column4511"/>
    <tableColumn id="4545" xr3:uid="{719E690D-A369-4424-850F-D152F995D69B}" name="Column4512"/>
    <tableColumn id="4546" xr3:uid="{884CAFF4-966C-4269-9F15-38C5355CAE2F}" name="Column4513"/>
    <tableColumn id="4547" xr3:uid="{2733584A-86D4-4AE4-A2B8-ADE79DFCC2BF}" name="Column4514"/>
    <tableColumn id="4548" xr3:uid="{13F547CF-12E4-4867-9C08-B476D3F2C340}" name="Column4515"/>
    <tableColumn id="4549" xr3:uid="{093508D6-E264-4EB6-A156-93DEC1B45E1B}" name="Column4516"/>
    <tableColumn id="4550" xr3:uid="{8AE24D0F-F14B-43E3-8E1C-8C40BE030853}" name="Column4517"/>
    <tableColumn id="4551" xr3:uid="{61FC7203-21CF-477B-9386-38232C0E94AC}" name="Column4518"/>
    <tableColumn id="4552" xr3:uid="{869B181E-4A9F-4B08-AF8E-6F8741EFD31B}" name="Column4519"/>
    <tableColumn id="4553" xr3:uid="{75B2DCF8-3B3E-49B4-83B1-1A9B48D56286}" name="Column4520"/>
    <tableColumn id="4554" xr3:uid="{E4671E3D-4324-4C45-9894-689AA17F3E48}" name="Column4521"/>
    <tableColumn id="4555" xr3:uid="{7F062E48-EA30-4D22-9CF7-9BD9601DD363}" name="Column4522"/>
    <tableColumn id="4556" xr3:uid="{9D386780-C91C-4173-89D2-28B21DF13056}" name="Column4523"/>
    <tableColumn id="4557" xr3:uid="{B520357B-3A17-4776-8FEB-2FE462196287}" name="Column4524"/>
    <tableColumn id="4558" xr3:uid="{9F81CFEB-F98D-4816-9AD9-705874BE85DF}" name="Column4525"/>
    <tableColumn id="4559" xr3:uid="{3D42C106-61A1-4E33-9090-DF70BCB6E469}" name="Column4526"/>
    <tableColumn id="4560" xr3:uid="{A2B4256F-FB26-4F1D-85BF-D88A3614989B}" name="Column4527"/>
    <tableColumn id="4561" xr3:uid="{C0A8A5F0-4CDB-4896-9B21-4D17ACE0620A}" name="Column4528"/>
    <tableColumn id="4562" xr3:uid="{BEFE9C4A-5B18-463C-BE22-46772586E2B8}" name="Column4529"/>
    <tableColumn id="4563" xr3:uid="{176EFE5E-845B-4872-9FD3-19F55336304D}" name="Column4530"/>
    <tableColumn id="4564" xr3:uid="{5C975B9D-6ED2-4D33-8FA1-6C06F40A09FE}" name="Column4531"/>
    <tableColumn id="4565" xr3:uid="{CBE70E48-9749-4768-8D1E-E231B509B1AA}" name="Column4532"/>
    <tableColumn id="4566" xr3:uid="{15F6C892-13BE-4F82-A208-722F39E55C48}" name="Column4533"/>
    <tableColumn id="4567" xr3:uid="{A5D038B8-42F4-43A8-9313-F4A7448AB756}" name="Column4534"/>
    <tableColumn id="4568" xr3:uid="{C026CA4C-320F-453D-87D5-E59BB489C364}" name="Column4535"/>
    <tableColumn id="4569" xr3:uid="{509F1681-2205-4573-A82F-6208CB761852}" name="Column4536"/>
    <tableColumn id="4570" xr3:uid="{B6CB2257-15BF-4265-9755-7AC30BCCBD36}" name="Column4537"/>
    <tableColumn id="4571" xr3:uid="{9D2DF9C0-BA6A-468E-9697-9242C054AB22}" name="Column4538"/>
    <tableColumn id="4572" xr3:uid="{5E487BA7-9012-4E77-B278-F1581F358817}" name="Column4539"/>
    <tableColumn id="4573" xr3:uid="{527ECCB7-6E39-4A5B-9EAE-7168FB482ED9}" name="Column4540"/>
    <tableColumn id="4574" xr3:uid="{2AEE29AB-E798-4E8B-BA63-F1E25E64A707}" name="Column4541"/>
    <tableColumn id="4575" xr3:uid="{B56F3ED9-1859-4D32-9D3F-6EF85E3D8DCA}" name="Column4542"/>
    <tableColumn id="4576" xr3:uid="{BD8DEDAC-B9AD-412E-B58A-C791F0A55874}" name="Column4543"/>
    <tableColumn id="4577" xr3:uid="{29151C5E-E0DC-4E49-8980-25F9B68B1EB2}" name="Column4544"/>
    <tableColumn id="4578" xr3:uid="{9B3419B9-FDED-459B-A7AD-BF8690AA578E}" name="Column4545"/>
    <tableColumn id="4579" xr3:uid="{6EE525E4-2E2D-4117-BDBB-50209E51017B}" name="Column4546"/>
    <tableColumn id="4580" xr3:uid="{66393F62-68DD-47DD-900B-9C3ACF3C628D}" name="Column4547"/>
    <tableColumn id="4581" xr3:uid="{BEC9FB17-2068-4538-9B41-B8E567C00352}" name="Column4548"/>
    <tableColumn id="4582" xr3:uid="{F1780764-D148-4290-83D0-06B546FE2C8C}" name="Column4549"/>
    <tableColumn id="4583" xr3:uid="{612E55F7-0BFE-4A3E-B12B-30DAAFC324CB}" name="Column4550"/>
    <tableColumn id="4584" xr3:uid="{CDB524C0-73EA-44B7-8A7C-507F37B03652}" name="Column4551"/>
    <tableColumn id="4585" xr3:uid="{DB4ED2E9-59F2-4CCF-A415-E6938A24AA33}" name="Column4552"/>
    <tableColumn id="4586" xr3:uid="{70C55B90-CC92-41AC-93C4-137427011275}" name="Column4553"/>
    <tableColumn id="4587" xr3:uid="{C49548F6-B219-44EC-B4E3-D6A882A308C6}" name="Column4554"/>
    <tableColumn id="4588" xr3:uid="{3576D2AA-83CB-4719-9484-743C15285220}" name="Column4555"/>
    <tableColumn id="4589" xr3:uid="{68D0A370-8DF6-48B5-A35B-BE73FBE06B8A}" name="Column4556"/>
    <tableColumn id="4590" xr3:uid="{7191F0F4-6413-419F-890E-5E675FFCFD5E}" name="Column4557"/>
    <tableColumn id="4591" xr3:uid="{4BAEF733-0087-4FBB-AB49-6DC8DC9DE8B1}" name="Column4558"/>
    <tableColumn id="4592" xr3:uid="{A8A83981-DB72-4E03-8DC7-77AAB280E611}" name="Column4559"/>
    <tableColumn id="4593" xr3:uid="{926E3884-AC6D-4C02-BBAC-BA1685BD8499}" name="Column4560"/>
    <tableColumn id="4594" xr3:uid="{70C09E2C-4D7B-42B5-908D-E11EB1A406FE}" name="Column4561"/>
    <tableColumn id="4595" xr3:uid="{08EA2973-D9B9-44D9-AEF1-7D56BB6207A6}" name="Column4562"/>
    <tableColumn id="4596" xr3:uid="{B6A23C05-6B32-4DAE-AB09-6845D25A3518}" name="Column4563"/>
    <tableColumn id="4597" xr3:uid="{31D83495-EE4A-4F07-9F3B-AF8056B1BE87}" name="Column4564"/>
    <tableColumn id="4598" xr3:uid="{DC6B1645-F538-4E25-B36C-E3E013C766CD}" name="Column4565"/>
    <tableColumn id="4599" xr3:uid="{B5F6CEE9-DE55-4987-8A32-6D1EB9ACAF6D}" name="Column4566"/>
    <tableColumn id="4600" xr3:uid="{2BB8C648-9AA1-4BC5-B735-48F6471A7D5C}" name="Column4567"/>
    <tableColumn id="4601" xr3:uid="{EFAA65CF-A43E-448D-B421-7CFACFBF6410}" name="Column4568"/>
    <tableColumn id="4602" xr3:uid="{49342D8A-5294-42FD-9C02-6C3DB5E1087F}" name="Column4569"/>
    <tableColumn id="4603" xr3:uid="{1F117251-63E9-46B0-8B79-54E42B546412}" name="Column4570"/>
    <tableColumn id="4604" xr3:uid="{6F7D8A49-807B-4C6E-963B-1F4E80F182C0}" name="Column4571"/>
    <tableColumn id="4605" xr3:uid="{3F4699A1-01F2-40F0-A828-F3176871EAA8}" name="Column4572"/>
    <tableColumn id="4606" xr3:uid="{74E8CAFB-0607-4203-A5A2-C92F28BEFF14}" name="Column4573"/>
    <tableColumn id="4607" xr3:uid="{840A3128-EEA1-4CA4-B3D9-AFD1E7C84C4E}" name="Column4574"/>
    <tableColumn id="4608" xr3:uid="{B71C2542-8412-4ECA-AAD5-8BF9EE30D1FD}" name="Column4575"/>
    <tableColumn id="4609" xr3:uid="{F04EE09C-078C-4DBE-9417-885C10D918CC}" name="Column4576"/>
    <tableColumn id="4610" xr3:uid="{21EB7AFA-8E4E-4826-9D43-47B9667B7282}" name="Column4577"/>
    <tableColumn id="4611" xr3:uid="{3F505CDF-08E1-4C48-969E-7C881652A899}" name="Column4578"/>
    <tableColumn id="4612" xr3:uid="{F631AB45-110C-4BCA-B774-F611C95CE6F9}" name="Column4579"/>
    <tableColumn id="4613" xr3:uid="{FBEFE687-BCFA-479A-BCB0-5FF238828E15}" name="Column4580"/>
    <tableColumn id="4614" xr3:uid="{2B398D51-28E1-4BBE-BE3D-4E010573AF8E}" name="Column4581"/>
    <tableColumn id="4615" xr3:uid="{E66DE3CA-37BB-4C6F-AB61-CDE95487CABB}" name="Column4582"/>
    <tableColumn id="4616" xr3:uid="{B9E50030-D3C1-4CF9-B782-3FC371A9D412}" name="Column4583"/>
    <tableColumn id="4617" xr3:uid="{D142DCDF-D582-4E71-8724-45ABDA91D485}" name="Column4584"/>
    <tableColumn id="4618" xr3:uid="{FC88B8CF-5AD3-4005-897E-6B2999D3C470}" name="Column4585"/>
    <tableColumn id="4619" xr3:uid="{3A47ADDD-6648-4B3C-9AFD-4566113D1A8B}" name="Column4586"/>
    <tableColumn id="4620" xr3:uid="{817B0418-8774-4FB4-A50F-96B922977BE8}" name="Column4587"/>
    <tableColumn id="4621" xr3:uid="{F172F6F1-CEE1-4AAD-944F-1C6CD1CD7862}" name="Column4588"/>
    <tableColumn id="4622" xr3:uid="{3DE0AF32-41CC-48A9-AD57-7DF6FE2AB2B9}" name="Column4589"/>
    <tableColumn id="4623" xr3:uid="{8EB93472-7C5A-4D23-B813-4822809D9E5B}" name="Column4590"/>
    <tableColumn id="4624" xr3:uid="{3221B0AC-D59D-4CE9-82FE-89253FB84213}" name="Column4591"/>
    <tableColumn id="4625" xr3:uid="{6593C904-4ACF-421F-A97D-372E6B4976A7}" name="Column4592"/>
    <tableColumn id="4626" xr3:uid="{4AA13A30-86B9-4907-98D9-4D609B69837C}" name="Column4593"/>
    <tableColumn id="4627" xr3:uid="{52D00CDA-FE81-4277-95CB-BE945628BBD0}" name="Column4594"/>
    <tableColumn id="4628" xr3:uid="{5AC9A2DB-6D3B-448E-A5C4-0A4C60C0B12B}" name="Column4595"/>
    <tableColumn id="4629" xr3:uid="{8F12A01F-2643-40DF-BE63-110C6100CE71}" name="Column4596"/>
    <tableColumn id="4630" xr3:uid="{F576274D-8022-4345-AF75-F5CE62C8773C}" name="Column4597"/>
    <tableColumn id="4631" xr3:uid="{0686B284-EB7B-4A37-B10E-FE1C14E3BB06}" name="Column4598"/>
    <tableColumn id="4632" xr3:uid="{B5FF8977-413A-4B35-8A76-DD794BF086E1}" name="Column4599"/>
    <tableColumn id="4633" xr3:uid="{A9B3972A-8B85-4AF5-A9F5-C268C2A78335}" name="Column4600"/>
    <tableColumn id="4634" xr3:uid="{C5194A8E-D739-4FD6-AB02-880E841ED654}" name="Column4601"/>
    <tableColumn id="4635" xr3:uid="{4D236E7C-8CF0-4238-8C16-BA631B8BAF6C}" name="Column4602"/>
    <tableColumn id="4636" xr3:uid="{9A42836F-3FEC-4C19-A6BD-02D215E67E9E}" name="Column4603"/>
    <tableColumn id="4637" xr3:uid="{8580751A-29A4-4E44-B58B-17772AC8E57C}" name="Column4604"/>
    <tableColumn id="4638" xr3:uid="{19241F80-56F6-401F-9F98-68A74932B6A4}" name="Column4605"/>
    <tableColumn id="4639" xr3:uid="{C13D7E7A-5916-4A0B-B19A-37E97469E393}" name="Column4606"/>
    <tableColumn id="4640" xr3:uid="{DAF2DA5F-8C7E-4D4B-9A5B-C878F0D9B376}" name="Column4607"/>
    <tableColumn id="4641" xr3:uid="{5548BF75-89CA-4061-A2B4-6F94BE09663E}" name="Column4608"/>
    <tableColumn id="4642" xr3:uid="{6F1DCD29-58C3-4F10-99C7-56169E97A895}" name="Column4609"/>
    <tableColumn id="4643" xr3:uid="{E69B345E-0AFC-4691-AE46-169476F4C48B}" name="Column4610"/>
    <tableColumn id="4644" xr3:uid="{920E08C1-C2B9-4280-989C-1DDBDCA00333}" name="Column4611"/>
    <tableColumn id="4645" xr3:uid="{A233B743-2C72-4EDF-9668-38BBB616C2C0}" name="Column4612"/>
    <tableColumn id="4646" xr3:uid="{C9196152-F075-4A50-83A7-1389A02FAFE2}" name="Column4613"/>
    <tableColumn id="4647" xr3:uid="{74925640-BDEB-4BC4-9A59-89D3B0CA3B2C}" name="Column4614"/>
    <tableColumn id="4648" xr3:uid="{6B503BE7-9C94-4B91-A30C-B338696B5026}" name="Column4615"/>
    <tableColumn id="4649" xr3:uid="{5B1AD3B8-F3A3-40AB-98FB-93065BBE5993}" name="Column4616"/>
    <tableColumn id="4650" xr3:uid="{2457F345-F129-42E3-9D9C-B59CDE2F99B7}" name="Column4617"/>
    <tableColumn id="4651" xr3:uid="{13EC5DD2-9B32-4215-B6DC-BA79D7799868}" name="Column4618"/>
    <tableColumn id="4652" xr3:uid="{94B35AB1-AA52-4E1A-AA6A-A81DE011127F}" name="Column4619"/>
    <tableColumn id="4653" xr3:uid="{B9E64B98-77DB-44C6-BEA8-0FFAB381F5D0}" name="Column4620"/>
    <tableColumn id="4654" xr3:uid="{BBA449C7-2142-48D2-9B6A-32846665CD6E}" name="Column4621"/>
    <tableColumn id="4655" xr3:uid="{31BEC9D0-4553-4BF1-A147-21B2BE272E9B}" name="Column4622"/>
    <tableColumn id="4656" xr3:uid="{678C4076-DA6A-469F-9536-2F4F3288A8BC}" name="Column4623"/>
    <tableColumn id="4657" xr3:uid="{693DA5BF-F099-4A39-94E6-4A9EF390FA7F}" name="Column4624"/>
    <tableColumn id="4658" xr3:uid="{B084A141-9874-4EA5-B46F-501ABC42BA41}" name="Column4625"/>
    <tableColumn id="4659" xr3:uid="{BB3AE109-0AD3-4479-8075-E6561DE9CAF2}" name="Column4626"/>
    <tableColumn id="4660" xr3:uid="{618A2842-7B8E-4EC9-96B8-CD61CAC54CF1}" name="Column4627"/>
    <tableColumn id="4661" xr3:uid="{8DF7FF59-11EB-4A4B-B817-91836524080E}" name="Column4628"/>
    <tableColumn id="4662" xr3:uid="{4839EC73-19D7-4D0B-88CB-9A253C39A333}" name="Column4629"/>
    <tableColumn id="4663" xr3:uid="{309578CC-E707-4DB0-864F-18AAFD5F21E1}" name="Column4630"/>
    <tableColumn id="4664" xr3:uid="{EF85780E-C9B1-4FC8-9696-C5ADB964C600}" name="Column4631"/>
    <tableColumn id="4665" xr3:uid="{4BEA73CE-EB56-471E-904C-037F508FB8C7}" name="Column4632"/>
    <tableColumn id="4666" xr3:uid="{D34BD2E0-6E12-4CC1-8DC3-00F8653E57ED}" name="Column4633"/>
    <tableColumn id="4667" xr3:uid="{D5619036-72E2-46FD-AD9A-A86B76F27589}" name="Column4634"/>
    <tableColumn id="4668" xr3:uid="{B8594172-50E5-4274-BBC3-727432EB2AA7}" name="Column4635"/>
    <tableColumn id="4669" xr3:uid="{BD2F7143-F224-4046-911C-E7436F696AFB}" name="Column4636"/>
    <tableColumn id="4670" xr3:uid="{22488D3E-C939-44CA-B45C-B2FABCF2C3AB}" name="Column4637"/>
    <tableColumn id="4671" xr3:uid="{774785C3-6561-4F39-BCDF-EB4AD3C02586}" name="Column4638"/>
    <tableColumn id="4672" xr3:uid="{907E71A5-FA77-40EA-B33B-B313BE026366}" name="Column4639"/>
    <tableColumn id="4673" xr3:uid="{12E0814A-1427-4033-AA00-2F3694D4F473}" name="Column4640"/>
    <tableColumn id="4674" xr3:uid="{06A6360A-0EEA-4101-92A7-D033A69DADB7}" name="Column4641"/>
    <tableColumn id="4675" xr3:uid="{3B126538-61E6-4A32-9D5F-69DF8A59D1E7}" name="Column4642"/>
    <tableColumn id="4676" xr3:uid="{5CA690D5-CA8F-44A2-8C30-303158FEC905}" name="Column4643"/>
    <tableColumn id="4677" xr3:uid="{515FF9DE-05A1-4DCD-8C6D-90B9CCCFF1D7}" name="Column4644"/>
    <tableColumn id="4678" xr3:uid="{243A0106-574B-4369-AE3D-25B8743FAE97}" name="Column4645"/>
    <tableColumn id="4679" xr3:uid="{469D6485-0254-4926-8C3F-C5CCDF240D29}" name="Column4646"/>
    <tableColumn id="4680" xr3:uid="{D3926CB0-505A-4D83-B58A-E6A3A9A9FF8B}" name="Column4647"/>
    <tableColumn id="4681" xr3:uid="{037DB127-D2E0-43A4-B5DE-11BFB8BF0DBC}" name="Column4648"/>
    <tableColumn id="4682" xr3:uid="{52C0AEBB-7BEA-4623-AF27-CD93423F0237}" name="Column4649"/>
    <tableColumn id="4683" xr3:uid="{A242CCCA-D1C5-4904-9E23-D9DAD69AE7EB}" name="Column4650"/>
    <tableColumn id="4684" xr3:uid="{E061AFB6-B6C7-4DFF-917F-BE077C35B991}" name="Column4651"/>
    <tableColumn id="4685" xr3:uid="{F8500321-A9E1-4A5F-86C2-E072A07BEF89}" name="Column4652"/>
    <tableColumn id="4686" xr3:uid="{3AB98309-161E-4DA6-98E3-B8E46C083138}" name="Column4653"/>
    <tableColumn id="4687" xr3:uid="{AB978010-EBCE-48B6-9336-459FC6782D31}" name="Column4654"/>
    <tableColumn id="4688" xr3:uid="{8F246917-1928-4ADE-9892-6E58277E0AB8}" name="Column4655"/>
    <tableColumn id="4689" xr3:uid="{3740210A-6C72-4169-A427-FF394C9D3B8E}" name="Column4656"/>
    <tableColumn id="4690" xr3:uid="{CA318726-DA43-474D-97AA-1F014254EC66}" name="Column4657"/>
    <tableColumn id="4691" xr3:uid="{0E5D9250-4CF0-4B45-A381-A72A037293FD}" name="Column4658"/>
    <tableColumn id="4692" xr3:uid="{B7CFABBB-418B-46DB-8AB1-D97319AE7A26}" name="Column4659"/>
    <tableColumn id="4693" xr3:uid="{507DF13E-B3C2-4356-9207-EC9DB7D1164C}" name="Column4660"/>
    <tableColumn id="4694" xr3:uid="{B729D503-3B44-41F0-86D1-66B68532E417}" name="Column4661"/>
    <tableColumn id="4695" xr3:uid="{4810DBAC-C5AF-488E-9ABC-8AE28C839031}" name="Column4662"/>
    <tableColumn id="4696" xr3:uid="{64E7CA11-A437-48EA-B40B-10BB9C14FABE}" name="Column4663"/>
    <tableColumn id="4697" xr3:uid="{13C0829F-8207-4CCF-8AC7-FF10001E31DF}" name="Column4664"/>
    <tableColumn id="4698" xr3:uid="{AF290558-03FD-4177-BE05-4C68BCC7FB7E}" name="Column4665"/>
    <tableColumn id="4699" xr3:uid="{B0E324EE-EA39-4487-8B48-E1994257F8EA}" name="Column4666"/>
    <tableColumn id="4700" xr3:uid="{43F01A9F-6CD7-4448-BA5D-EA0DB50C3E12}" name="Column4667"/>
    <tableColumn id="4701" xr3:uid="{F4677486-5998-4C16-A07F-65938C1ECA53}" name="Column4668"/>
    <tableColumn id="4702" xr3:uid="{8BBB1339-2913-453B-91F6-635CD042D9E8}" name="Column4669"/>
    <tableColumn id="4703" xr3:uid="{86A05875-C0F6-4072-AF4B-602C00FE5DF4}" name="Column4670"/>
    <tableColumn id="4704" xr3:uid="{3C932F6D-CA6C-4C77-A56C-F4AC96FA1CBD}" name="Column4671"/>
    <tableColumn id="4705" xr3:uid="{C9449BA6-76F5-496B-8EC4-75C6C95EF065}" name="Column4672"/>
    <tableColumn id="4706" xr3:uid="{6DC7311C-F41E-442B-A166-1F067EA91C48}" name="Column4673"/>
    <tableColumn id="4707" xr3:uid="{67C55DFC-F718-48AC-8952-ACC3FC4E3267}" name="Column4674"/>
    <tableColumn id="4708" xr3:uid="{35FC3649-E38F-4BA3-958F-1C6FD2403010}" name="Column4675"/>
    <tableColumn id="4709" xr3:uid="{C0BBD65F-022F-4428-8D12-822787027BF5}" name="Column4676"/>
    <tableColumn id="4710" xr3:uid="{D434D370-380C-4393-B42B-1F0C5E8AC4ED}" name="Column4677"/>
    <tableColumn id="4711" xr3:uid="{ABD96479-C5BD-4EA3-AD55-6FEE36A6AA06}" name="Column4678"/>
    <tableColumn id="4712" xr3:uid="{1371A9A9-92FC-4021-994C-85682CB3C0E2}" name="Column4679"/>
    <tableColumn id="4713" xr3:uid="{965FCFCE-455B-471F-A6C3-5AD3A9A2FCBD}" name="Column4680"/>
    <tableColumn id="4714" xr3:uid="{19831A34-2414-4633-96B2-808E87B7BC8F}" name="Column4681"/>
    <tableColumn id="4715" xr3:uid="{91BB51E4-B44F-4CDB-B223-578479C6CE65}" name="Column4682"/>
    <tableColumn id="4716" xr3:uid="{62E1070D-81AF-4885-BD57-393F6B5F45C5}" name="Column4683"/>
    <tableColumn id="4717" xr3:uid="{870C3173-613D-4CF7-93CF-3FD3F36213AB}" name="Column4684"/>
    <tableColumn id="4718" xr3:uid="{E062EDCF-4333-45A9-8231-F3006DACA936}" name="Column4685"/>
    <tableColumn id="4719" xr3:uid="{FCB5CEBF-B4B6-40B4-B2DD-1B644958AF1E}" name="Column4686"/>
    <tableColumn id="4720" xr3:uid="{741A29BA-4C56-419B-A7DA-A089C1048F4D}" name="Column4687"/>
    <tableColumn id="4721" xr3:uid="{BB2BF561-8307-49C8-9D07-9F8846DF0AA4}" name="Column4688"/>
    <tableColumn id="4722" xr3:uid="{A304CAEA-331D-4DF2-BE26-091A6E1A2F36}" name="Column4689"/>
    <tableColumn id="4723" xr3:uid="{02E308CF-45B4-4CC3-ABD9-16C0E3A94F61}" name="Column4690"/>
    <tableColumn id="4724" xr3:uid="{693F1D79-55C9-49FE-AD70-B0B561F4A960}" name="Column4691"/>
    <tableColumn id="4725" xr3:uid="{2D98BA3E-4FB2-48F8-B45D-6B86CB107A92}" name="Column4692"/>
    <tableColumn id="4726" xr3:uid="{1EE1829A-692C-4C3F-B204-B78C5A79F3DA}" name="Column4693"/>
    <tableColumn id="4727" xr3:uid="{097018A4-DD27-4BC6-BAF6-9FA44ED69861}" name="Column4694"/>
    <tableColumn id="4728" xr3:uid="{37A353DE-3618-473F-B06F-E97BDC47DD2B}" name="Column4695"/>
    <tableColumn id="4729" xr3:uid="{15246619-8AC3-49EC-9E81-E56AFABBFC17}" name="Column4696"/>
    <tableColumn id="4730" xr3:uid="{4F704C42-AE84-42E3-A8CF-D93E00B5D1D2}" name="Column4697"/>
    <tableColumn id="4731" xr3:uid="{A8B38E81-EDFA-4177-9C5C-FF9D4D98B78A}" name="Column4698"/>
    <tableColumn id="4732" xr3:uid="{3F86BB28-A9FD-418E-BFD0-E2F56C3215B3}" name="Column4699"/>
    <tableColumn id="4733" xr3:uid="{95BE3BAF-C015-4B46-89E6-2133A54992A0}" name="Column4700"/>
    <tableColumn id="4734" xr3:uid="{4C75AE26-FEFD-4661-BAC1-D8CC1827FBCF}" name="Column4701"/>
    <tableColumn id="4735" xr3:uid="{6A916D77-86BA-426C-B58F-721E09EACF44}" name="Column4702"/>
    <tableColumn id="4736" xr3:uid="{1048E80A-651D-4493-8399-6D3C0ACD8DC6}" name="Column4703"/>
    <tableColumn id="4737" xr3:uid="{AE569901-8BA1-477C-8D92-1C5BD3A27C5B}" name="Column4704"/>
    <tableColumn id="4738" xr3:uid="{C367D624-2FDD-4B40-8E40-EC8624B7F622}" name="Column4705"/>
    <tableColumn id="4739" xr3:uid="{3A06220F-2840-430F-9063-69C571F3060A}" name="Column4706"/>
    <tableColumn id="4740" xr3:uid="{35B6E70C-A0B2-47D8-BC1D-A831F6AA5827}" name="Column4707"/>
    <tableColumn id="4741" xr3:uid="{EC362543-179F-4F04-8687-C2EACA5227E7}" name="Column4708"/>
    <tableColumn id="4742" xr3:uid="{ED885839-B825-4F6A-A170-989AB09F813E}" name="Column4709"/>
    <tableColumn id="4743" xr3:uid="{4FBDDF82-812B-44F6-8B68-A450AE02F279}" name="Column4710"/>
    <tableColumn id="4744" xr3:uid="{A7F271D2-5A79-4674-8854-CD096F8A98DF}" name="Column4711"/>
    <tableColumn id="4745" xr3:uid="{24C9B15B-E7D9-430C-94FB-2900BEC4357F}" name="Column4712"/>
    <tableColumn id="4746" xr3:uid="{132EE411-0FA5-4D6C-9135-A7368267CF2A}" name="Column4713"/>
    <tableColumn id="4747" xr3:uid="{5E97F6CF-ACAF-46D9-8DC3-16ABFE8FD866}" name="Column4714"/>
    <tableColumn id="4748" xr3:uid="{57C9A906-74CC-45B0-B6C2-364DA8CB1865}" name="Column4715"/>
    <tableColumn id="4749" xr3:uid="{6EA5A4A7-18A9-4D9E-A6C5-8EFFFDFE20FE}" name="Column4716"/>
    <tableColumn id="4750" xr3:uid="{755F8B52-94F8-4FB7-A1AE-26CED521A7D9}" name="Column4717"/>
    <tableColumn id="4751" xr3:uid="{0B9B78C5-1AA8-48F0-A9C5-1FA3D8B2C5C4}" name="Column4718"/>
    <tableColumn id="4752" xr3:uid="{2F9CE90A-6195-4547-B39F-ED717FF8E138}" name="Column4719"/>
    <tableColumn id="4753" xr3:uid="{2E699987-F489-4CA9-9B6F-D40B50E07C16}" name="Column4720"/>
    <tableColumn id="4754" xr3:uid="{658B541A-3060-4D06-8051-E2DCC4196BA0}" name="Column4721"/>
    <tableColumn id="4755" xr3:uid="{19F00961-4D9E-4F4A-9D5C-2D34E77203E9}" name="Column4722"/>
    <tableColumn id="4756" xr3:uid="{C9387688-A793-4805-9FD7-227F9373ABCC}" name="Column4723"/>
    <tableColumn id="4757" xr3:uid="{49CCC6D6-E5EF-46AD-8260-83489B0F78E6}" name="Column4724"/>
    <tableColumn id="4758" xr3:uid="{CA33ACA6-8D22-4CBD-8ED9-D41F94DE2631}" name="Column4725"/>
    <tableColumn id="4759" xr3:uid="{20C8974B-F9DD-4E12-9500-39BF2B69377D}" name="Column4726"/>
    <tableColumn id="4760" xr3:uid="{AAC99B2C-53C9-4BF8-A649-58CE817E43CA}" name="Column4727"/>
    <tableColumn id="4761" xr3:uid="{2B75F2B5-625E-4F36-BAD9-CE00DBB221C2}" name="Column4728"/>
    <tableColumn id="4762" xr3:uid="{23F377EC-08EA-4B7D-8C41-693A82FB3051}" name="Column4729"/>
    <tableColumn id="4763" xr3:uid="{E6F425B2-B3C1-4D33-8225-13635D49A86D}" name="Column4730"/>
    <tableColumn id="4764" xr3:uid="{F7EB985E-4A9D-4496-96DF-DFDD26EDA726}" name="Column4731"/>
    <tableColumn id="4765" xr3:uid="{91F77B75-9AB9-4BCA-A6E7-1AC8306ABCA2}" name="Column4732"/>
    <tableColumn id="4766" xr3:uid="{D0D71934-777C-40FA-9129-C32EA80FD3FC}" name="Column4733"/>
    <tableColumn id="4767" xr3:uid="{329F3A5C-F517-4CDD-9FBB-A698DDE5C611}" name="Column4734"/>
    <tableColumn id="4768" xr3:uid="{ABA810F2-4FFA-4821-A0DA-16AD93E00B97}" name="Column4735"/>
    <tableColumn id="4769" xr3:uid="{AAB3B1D1-6914-4BA3-A3A6-6F4411A9429D}" name="Column4736"/>
    <tableColumn id="4770" xr3:uid="{7333B18C-B220-457E-B299-EE0396F0651E}" name="Column4737"/>
    <tableColumn id="4771" xr3:uid="{1C2FF5D0-5461-4578-B9F5-C69212ABA099}" name="Column4738"/>
    <tableColumn id="4772" xr3:uid="{EC9A882C-C69C-4FA0-A3E1-850D5DB31758}" name="Column4739"/>
    <tableColumn id="4773" xr3:uid="{AE48B599-BCC8-4545-844A-8F7161763741}" name="Column4740"/>
    <tableColumn id="4774" xr3:uid="{19D3D164-4C58-4B5A-9F2B-CFA2EDD0F15C}" name="Column4741"/>
    <tableColumn id="4775" xr3:uid="{C2191A0E-EF23-46CD-8396-8DDB8DFBA6CD}" name="Column4742"/>
    <tableColumn id="4776" xr3:uid="{0F384869-7317-412E-9C8A-7A44F4DC19C9}" name="Column4743"/>
    <tableColumn id="4777" xr3:uid="{0FE55E9E-F3E0-47B4-9760-0D7A635E93C2}" name="Column4744"/>
    <tableColumn id="4778" xr3:uid="{A1E15621-C4AC-47D5-B0C2-D755472E2400}" name="Column4745"/>
    <tableColumn id="4779" xr3:uid="{7267D615-9C8E-4C9D-B43F-7E7A3EB53DE5}" name="Column4746"/>
    <tableColumn id="4780" xr3:uid="{EF325251-A4A1-417F-B963-EC6CEE30BE06}" name="Column4747"/>
    <tableColumn id="4781" xr3:uid="{F81B9B92-775D-4BB9-B137-D619D47BBA68}" name="Column4748"/>
    <tableColumn id="4782" xr3:uid="{8B19D602-608A-4868-87A9-F4FAAB9FF0F9}" name="Column4749"/>
    <tableColumn id="4783" xr3:uid="{FA685853-8996-4479-8D1E-1B9A677C8200}" name="Column4750"/>
    <tableColumn id="4784" xr3:uid="{01A2A65C-054A-4081-A845-9FF9012D0A6D}" name="Column4751"/>
    <tableColumn id="4785" xr3:uid="{3BAFC0BE-C390-414D-88D4-D3F17DFC4FCF}" name="Column4752"/>
    <tableColumn id="4786" xr3:uid="{305890BC-5C8F-4A44-A55E-94532E9301C9}" name="Column4753"/>
    <tableColumn id="4787" xr3:uid="{F97FBB27-CC12-4F07-9D2A-88B454CACBE3}" name="Column4754"/>
    <tableColumn id="4788" xr3:uid="{9A27083D-E53F-4B71-9112-B013DB15A1EF}" name="Column4755"/>
    <tableColumn id="4789" xr3:uid="{AA5F83AE-835D-4D94-8FC6-84979565EDE6}" name="Column4756"/>
    <tableColumn id="4790" xr3:uid="{175EB9BC-4EFF-4CDB-AA07-E53A25CA8487}" name="Column4757"/>
    <tableColumn id="4791" xr3:uid="{413C74EF-9E98-40A4-8901-A68C0B4D81FC}" name="Column4758"/>
    <tableColumn id="4792" xr3:uid="{4C46FBBA-B7BA-4CE5-971C-72C6F5FF1F93}" name="Column4759"/>
    <tableColumn id="4793" xr3:uid="{31C0591C-0A92-4C9C-A91E-D8103B0A56B9}" name="Column4760"/>
    <tableColumn id="4794" xr3:uid="{D57CD121-CCDA-4607-9501-F1F7522CD187}" name="Column4761"/>
    <tableColumn id="4795" xr3:uid="{64EF959F-DD3E-4921-856A-3F7568AE406A}" name="Column4762"/>
    <tableColumn id="4796" xr3:uid="{CC36EADF-16FE-4101-9836-9FEC7EDC6A40}" name="Column4763"/>
    <tableColumn id="4797" xr3:uid="{50EFBD67-A494-4E16-AE32-51F81343BAA8}" name="Column4764"/>
    <tableColumn id="4798" xr3:uid="{A64887F7-50E2-4E88-B45A-057FE31772EA}" name="Column4765"/>
    <tableColumn id="4799" xr3:uid="{76CE4A41-4876-4FF7-A928-AC5B907E0646}" name="Column4766"/>
    <tableColumn id="4800" xr3:uid="{8BBEB545-C28C-4D18-ABBA-6AB3A0FED8F4}" name="Column4767"/>
    <tableColumn id="4801" xr3:uid="{1F3060B9-1ADD-4A28-9978-AFB0D46C3894}" name="Column4768"/>
    <tableColumn id="4802" xr3:uid="{0537DEEC-3403-424E-98DD-B218304618E6}" name="Column4769"/>
    <tableColumn id="4803" xr3:uid="{2ED6879B-4F03-4D78-8B3C-B1735375B9A2}" name="Column4770"/>
    <tableColumn id="4804" xr3:uid="{1C5554B3-2150-46D5-A046-7F73F46F292F}" name="Column4771"/>
    <tableColumn id="4805" xr3:uid="{47081084-2E6F-49D2-9BE5-571174DBEEAC}" name="Column4772"/>
    <tableColumn id="4806" xr3:uid="{037FCF18-0507-4832-AAD1-9FDD9784E96F}" name="Column4773"/>
    <tableColumn id="4807" xr3:uid="{5C6B337A-B266-43D3-B435-F47D2C5E4E8C}" name="Column4774"/>
    <tableColumn id="4808" xr3:uid="{FD24A450-1411-4ACE-A5D6-E5ABC6ED781E}" name="Column4775"/>
    <tableColumn id="4809" xr3:uid="{BA33E39D-2C0A-41D6-8678-35163EEE3612}" name="Column4776"/>
    <tableColumn id="4810" xr3:uid="{3B359A5C-2824-4509-A9CA-794D219BF01E}" name="Column4777"/>
    <tableColumn id="4811" xr3:uid="{A65E5B9E-3618-48B9-BA8F-E649FE373560}" name="Column4778"/>
    <tableColumn id="4812" xr3:uid="{FE1E2255-6485-411E-9823-BED505F4DD62}" name="Column4779"/>
    <tableColumn id="4813" xr3:uid="{48B7A0E4-C83B-4962-AAFF-C697A3066EB2}" name="Column4780"/>
    <tableColumn id="4814" xr3:uid="{2860E566-67CC-4925-A31B-8E9AD0319BC5}" name="Column4781"/>
    <tableColumn id="4815" xr3:uid="{D9D0BEC2-89EE-47A0-9EFA-64486C6169B4}" name="Column4782"/>
    <tableColumn id="4816" xr3:uid="{8F39E3F0-C719-4EAF-9CF7-E60D55387B6F}" name="Column4783"/>
    <tableColumn id="4817" xr3:uid="{FA41B68B-7CC7-49FE-8045-A57EBD087B82}" name="Column4784"/>
    <tableColumn id="4818" xr3:uid="{6D7A01A6-9BF8-4016-95B4-163D335CFA11}" name="Column4785"/>
    <tableColumn id="4819" xr3:uid="{26290050-3A23-4C2F-921A-6938E03913FD}" name="Column4786"/>
    <tableColumn id="4820" xr3:uid="{00554CE2-37E1-4387-A765-9B9A08C75C2A}" name="Column4787"/>
    <tableColumn id="4821" xr3:uid="{E803A55F-7CC3-464E-8B5C-0E21B128EB5B}" name="Column4788"/>
    <tableColumn id="4822" xr3:uid="{CF8472B5-3B79-4C18-946F-203C54D2670E}" name="Column4789"/>
    <tableColumn id="4823" xr3:uid="{38B47A8C-CE97-4985-BFA9-279BB0AD12C8}" name="Column4790"/>
    <tableColumn id="4824" xr3:uid="{38DD0008-9E96-4209-9D76-E35F957FA9A3}" name="Column4791"/>
    <tableColumn id="4825" xr3:uid="{FEF0935D-1A26-4A1A-BAB3-FCFD58798EED}" name="Column4792"/>
    <tableColumn id="4826" xr3:uid="{575DF64C-D8EE-411C-9807-6C75E5014E2A}" name="Column4793"/>
    <tableColumn id="4827" xr3:uid="{ECF8576E-5A86-40E1-9F91-CF1D2FE22749}" name="Column4794"/>
    <tableColumn id="4828" xr3:uid="{87813AFE-B0D2-42D5-A300-B97C8BAF0C6A}" name="Column4795"/>
    <tableColumn id="4829" xr3:uid="{069EE253-F561-4377-9A37-B0743B656194}" name="Column4796"/>
    <tableColumn id="4830" xr3:uid="{1C65CCC0-5A7E-4D62-B0F2-8032B6E3D83B}" name="Column4797"/>
    <tableColumn id="4831" xr3:uid="{63E23FC1-A412-4476-A836-27AC924B5752}" name="Column4798"/>
    <tableColumn id="4832" xr3:uid="{9145C5BA-9527-486C-B593-A342DFF8B0C9}" name="Column4799"/>
    <tableColumn id="4833" xr3:uid="{03718659-8CF0-453A-8D35-4ED8139FA6A4}" name="Column4800"/>
    <tableColumn id="4834" xr3:uid="{CD294741-FA54-4A7F-838F-F01BA81146A8}" name="Column4801"/>
    <tableColumn id="4835" xr3:uid="{5EA68B35-151F-4E6B-B2CD-FB6708A11C08}" name="Column4802"/>
    <tableColumn id="4836" xr3:uid="{273BA017-A1C1-4CB0-8C31-E91EE8F9AD71}" name="Column4803"/>
    <tableColumn id="4837" xr3:uid="{3F194589-7298-46F4-BBE8-3CD8CE7841A0}" name="Column4804"/>
    <tableColumn id="4838" xr3:uid="{86BB9F86-E8F4-4812-8114-D7E35A7B3CAE}" name="Column4805"/>
    <tableColumn id="4839" xr3:uid="{ADE62FB5-B302-45F8-B79C-7314D026C7CD}" name="Column4806"/>
    <tableColumn id="4840" xr3:uid="{5F64DD56-10F0-463C-ADAF-754AB1F3AFBC}" name="Column4807"/>
    <tableColumn id="4841" xr3:uid="{14DA4BB4-7E99-4D2C-91CE-B00982677ABD}" name="Column4808"/>
    <tableColumn id="4842" xr3:uid="{97C7018F-AFA6-40A7-AECA-E6D67C4E5178}" name="Column4809"/>
    <tableColumn id="4843" xr3:uid="{6730D4B3-CF70-4CEC-857C-417ECF38C3C4}" name="Column4810"/>
    <tableColumn id="4844" xr3:uid="{081F01E9-F79F-4F4E-A894-0C95AC1838DE}" name="Column4811"/>
    <tableColumn id="4845" xr3:uid="{7F66079A-AADA-4405-9BA5-CC435979ACB0}" name="Column4812"/>
    <tableColumn id="4846" xr3:uid="{3689404E-296E-469D-99BD-1BD82E65BFB0}" name="Column4813"/>
    <tableColumn id="4847" xr3:uid="{36E143AA-B62F-45D0-9323-FBDED82791EB}" name="Column4814"/>
    <tableColumn id="4848" xr3:uid="{73BD9415-C64B-4C0C-9431-D1F5AF3601BB}" name="Column4815"/>
    <tableColumn id="4849" xr3:uid="{4FBFA204-F523-4D4B-95D4-DCD6C839E312}" name="Column4816"/>
    <tableColumn id="4850" xr3:uid="{0AB59A57-DB54-4272-927A-03849E085FC2}" name="Column4817"/>
    <tableColumn id="4851" xr3:uid="{CA687D1C-9DB5-4376-9CC8-DE1D3F103669}" name="Column4818"/>
    <tableColumn id="4852" xr3:uid="{A74646C5-4655-47F5-87A9-0D70E7BCF2E6}" name="Column4819"/>
    <tableColumn id="4853" xr3:uid="{A796BE04-50F3-4727-AEC1-E2712D0E7801}" name="Column4820"/>
    <tableColumn id="4854" xr3:uid="{D69BF2AF-29D8-45B9-B0FD-827F4FAAB49C}" name="Column4821"/>
    <tableColumn id="4855" xr3:uid="{252CCD95-EB86-42D0-8677-F2D47806AFAA}" name="Column4822"/>
    <tableColumn id="4856" xr3:uid="{F75D303C-6FDE-4DE1-B82C-7E34FE9A427D}" name="Column4823"/>
    <tableColumn id="4857" xr3:uid="{03FAF8D7-CCB6-4B1E-8F28-33896A69600F}" name="Column4824"/>
    <tableColumn id="4858" xr3:uid="{800E3B57-583E-4668-A7B6-801E2EC2DE16}" name="Column4825"/>
    <tableColumn id="4859" xr3:uid="{E740C5FB-AD23-4AB7-A8E8-DE0FA4726104}" name="Column4826"/>
    <tableColumn id="4860" xr3:uid="{64311743-794B-45F0-941A-322A58F9703E}" name="Column4827"/>
    <tableColumn id="4861" xr3:uid="{0BD3773E-9548-4577-9843-82032558E172}" name="Column4828"/>
    <tableColumn id="4862" xr3:uid="{35D8E8FD-F8E2-41F6-815C-5CDBD31DE64C}" name="Column4829"/>
    <tableColumn id="4863" xr3:uid="{E0467687-33EE-4667-9D68-D444C1B57FDE}" name="Column4830"/>
    <tableColumn id="4864" xr3:uid="{A5B6202D-BB34-457C-8AE0-C05A459B472C}" name="Column4831"/>
    <tableColumn id="4865" xr3:uid="{59A0E3CD-8E0E-410A-BE4E-713741C6704B}" name="Column4832"/>
    <tableColumn id="4866" xr3:uid="{278748FE-7663-44C8-8DE3-B9054F648BE1}" name="Column4833"/>
    <tableColumn id="4867" xr3:uid="{46E53636-D041-46F2-84C6-BD24816CAC7A}" name="Column4834"/>
    <tableColumn id="4868" xr3:uid="{54D31238-AC0E-4148-86E0-1FE49DE8C986}" name="Column4835"/>
    <tableColumn id="4869" xr3:uid="{ADFE94B0-D528-4552-8699-983D05E95B75}" name="Column4836"/>
    <tableColumn id="4870" xr3:uid="{CF38A3AE-413B-4B15-B656-937C622C8D22}" name="Column4837"/>
    <tableColumn id="4871" xr3:uid="{C002CB77-9D76-4E41-9B20-6647F21F3F02}" name="Column4838"/>
    <tableColumn id="4872" xr3:uid="{BB41E8B3-420B-46A0-A3E9-B5E6B09377A6}" name="Column4839"/>
    <tableColumn id="4873" xr3:uid="{A8A0868C-7172-4DFB-A285-88319A0A7F1A}" name="Column4840"/>
    <tableColumn id="4874" xr3:uid="{83023038-5F32-4C7E-836C-4AECF08CF68C}" name="Column4841"/>
    <tableColumn id="4875" xr3:uid="{745E7E18-3C72-4825-9522-3DE3BA527778}" name="Column4842"/>
    <tableColumn id="4876" xr3:uid="{D54F9A15-1227-4EDC-9CAE-8A924B7A52F8}" name="Column4843"/>
    <tableColumn id="4877" xr3:uid="{ECD5574D-976C-4BA9-968A-C037C01DB603}" name="Column4844"/>
    <tableColumn id="4878" xr3:uid="{AC284690-DF4D-44BC-8FD9-90E47CB81D4D}" name="Column4845"/>
    <tableColumn id="4879" xr3:uid="{757593B4-C330-4937-8A0B-5AB41947C556}" name="Column4846"/>
    <tableColumn id="4880" xr3:uid="{217ECC39-0D9B-49BA-8845-EA548953CAAB}" name="Column4847"/>
    <tableColumn id="4881" xr3:uid="{E04A6F85-48F6-49F6-9DEF-06E119D7457E}" name="Column4848"/>
    <tableColumn id="4882" xr3:uid="{55195CE6-018E-4203-A421-7936D95CB9AD}" name="Column4849"/>
    <tableColumn id="4883" xr3:uid="{0C53F9BA-D4A7-47AB-82B2-597DC515C370}" name="Column4850"/>
    <tableColumn id="4884" xr3:uid="{5B7F6FB7-433E-4007-B785-A9863F46B8F1}" name="Column4851"/>
    <tableColumn id="4885" xr3:uid="{254CE02E-0260-480E-8E0B-C3DF797B1E53}" name="Column4852"/>
    <tableColumn id="4886" xr3:uid="{C3AC9765-0459-4CBA-A291-46A9DBF5EB2E}" name="Column4853"/>
    <tableColumn id="4887" xr3:uid="{249EA464-FC31-449B-9384-ED5DD8EE981F}" name="Column4854"/>
    <tableColumn id="4888" xr3:uid="{3D60B2B0-CAD6-4472-916F-A06E5490D6B9}" name="Column4855"/>
    <tableColumn id="4889" xr3:uid="{C82AB8D8-F2A4-44E0-B05E-6DE1D0A11EBB}" name="Column4856"/>
    <tableColumn id="4890" xr3:uid="{8342D499-5A45-4B07-967B-365EEE0C72DA}" name="Column4857"/>
    <tableColumn id="4891" xr3:uid="{C9C947E1-C38D-42BB-B954-9C96765FE969}" name="Column4858"/>
    <tableColumn id="4892" xr3:uid="{CAE564C7-847B-452C-BCBF-6F85168538A7}" name="Column4859"/>
    <tableColumn id="4893" xr3:uid="{B320028F-5850-4FFF-803A-BCE30FA46977}" name="Column4860"/>
    <tableColumn id="4894" xr3:uid="{AE0C4425-A8BD-495C-AD36-AA4406C8DAB7}" name="Column4861"/>
    <tableColumn id="4895" xr3:uid="{07F4EC61-25C2-4D66-AF78-B286033AF89F}" name="Column4862"/>
    <tableColumn id="4896" xr3:uid="{0006232B-F5A9-40D9-AC62-C55D7740208E}" name="Column4863"/>
    <tableColumn id="4897" xr3:uid="{5BF09584-22FF-4102-B3B7-B0B15644B20E}" name="Column4864"/>
    <tableColumn id="4898" xr3:uid="{D44BB80F-8C7C-4685-8214-24CF3AE11172}" name="Column4865"/>
    <tableColumn id="4899" xr3:uid="{1E4B237C-2306-4A02-9022-0011C65EB05C}" name="Column4866"/>
    <tableColumn id="4900" xr3:uid="{F58ADCCC-C55C-4267-91BF-0CAB01CCBFD9}" name="Column4867"/>
    <tableColumn id="4901" xr3:uid="{6A6EB797-7C1B-4709-9B95-CA3F2F7E930E}" name="Column4868"/>
    <tableColumn id="4902" xr3:uid="{75DAC869-85DC-405A-8B7F-BE744AF4FC39}" name="Column4869"/>
    <tableColumn id="4903" xr3:uid="{6C574256-2D05-45D7-BFB1-B33E658BFC25}" name="Column4870"/>
    <tableColumn id="4904" xr3:uid="{66DD2060-1F96-45C4-9A61-2D57877457E9}" name="Column4871"/>
    <tableColumn id="4905" xr3:uid="{82C00493-79BD-45AF-B0E7-4F2C7F0644EF}" name="Column4872"/>
    <tableColumn id="4906" xr3:uid="{C2397F9A-BAB1-4715-BBBE-C66D0EA6EB95}" name="Column4873"/>
    <tableColumn id="4907" xr3:uid="{B4649EA8-81CC-4911-9754-4A9258067969}" name="Column4874"/>
    <tableColumn id="4908" xr3:uid="{C03D7BAA-5E4A-48F4-9617-D15C5B7F697C}" name="Column4875"/>
    <tableColumn id="4909" xr3:uid="{A4B791EE-BB2D-4C79-8583-759243B88EDB}" name="Column4876"/>
    <tableColumn id="4910" xr3:uid="{B9D69446-EF1C-4C0A-A5AE-C7B6913C526E}" name="Column4877"/>
    <tableColumn id="4911" xr3:uid="{FDB95017-4429-4744-8F82-063AEE4A0B8C}" name="Column4878"/>
    <tableColumn id="4912" xr3:uid="{41153D3F-957F-44B0-9908-D15AF9F9E9B1}" name="Column4879"/>
    <tableColumn id="4913" xr3:uid="{70FF0A3C-EEF9-43BF-A84C-75C2CEB924AE}" name="Column4880"/>
    <tableColumn id="4914" xr3:uid="{6851D570-B96E-41ED-8DC3-9F2E674BCBB4}" name="Column4881"/>
    <tableColumn id="4915" xr3:uid="{48C4C57F-71AB-44ED-8DCC-B6B6045A8879}" name="Column4882"/>
    <tableColumn id="4916" xr3:uid="{1F907415-8727-4752-B17B-A2CF91BE1AAA}" name="Column4883"/>
    <tableColumn id="4917" xr3:uid="{2D4EC07C-7BFF-4386-93F4-5D77134EE9EE}" name="Column4884"/>
    <tableColumn id="4918" xr3:uid="{9CBC1E0E-A782-4E7C-8049-68559882C1B7}" name="Column4885"/>
    <tableColumn id="4919" xr3:uid="{D71310A3-6C99-4954-92E8-57E0BD92146B}" name="Column4886"/>
    <tableColumn id="4920" xr3:uid="{5D610F46-08DB-44A7-9742-3E5788A926E5}" name="Column4887"/>
    <tableColumn id="4921" xr3:uid="{B97A49FE-5B95-44A9-8152-40F8C815936D}" name="Column4888"/>
    <tableColumn id="4922" xr3:uid="{25B7BFF0-01BC-42A1-8F10-B3D7F846F58B}" name="Column4889"/>
    <tableColumn id="4923" xr3:uid="{BF83B68C-B7B7-4AA0-9951-B31D24CF1943}" name="Column4890"/>
    <tableColumn id="4924" xr3:uid="{713EAC86-AA08-41BD-92B4-BE7BD9A5C9FE}" name="Column4891"/>
    <tableColumn id="4925" xr3:uid="{115F747D-E509-454D-B8BB-9F2A6F5DA73D}" name="Column4892"/>
    <tableColumn id="4926" xr3:uid="{687394D1-3201-4CAD-800A-B82A85454309}" name="Column4893"/>
    <tableColumn id="4927" xr3:uid="{2507178C-8BF3-41B4-808C-E3817A1468E3}" name="Column4894"/>
    <tableColumn id="4928" xr3:uid="{84820BEC-1D02-4A89-AC0E-5DFFD7CDB1E1}" name="Column4895"/>
    <tableColumn id="4929" xr3:uid="{27B5C77C-4D3E-4497-9005-142574B95B8B}" name="Column4896"/>
    <tableColumn id="4930" xr3:uid="{270DD847-9321-4F6D-80C6-CD1C4A09FF00}" name="Column4897"/>
    <tableColumn id="4931" xr3:uid="{E024E212-4807-4F59-90C7-FC5AB69E8E9B}" name="Column4898"/>
    <tableColumn id="4932" xr3:uid="{99A4F832-E457-4E2E-8946-C5A447AD181F}" name="Column4899"/>
    <tableColumn id="4933" xr3:uid="{57D847AF-39CB-4466-8EB0-5788152413BD}" name="Column4900"/>
    <tableColumn id="4934" xr3:uid="{EDB3F1E8-8038-40A3-A6D9-26BF89582A76}" name="Column4901"/>
    <tableColumn id="4935" xr3:uid="{7BC92F45-9550-47FF-98A1-EDBE41D1F111}" name="Column4902"/>
    <tableColumn id="4936" xr3:uid="{E2F77992-0524-4BC5-B307-527B1B0BE3CD}" name="Column4903"/>
    <tableColumn id="4937" xr3:uid="{5EFF150C-4D0B-4A79-9705-392FFCC48D5F}" name="Column4904"/>
    <tableColumn id="4938" xr3:uid="{6939DEDE-7D5C-410C-A426-F91771567A3F}" name="Column4905"/>
    <tableColumn id="4939" xr3:uid="{D3D421AC-C5D4-4DD3-BED2-6B3690A2E703}" name="Column4906"/>
    <tableColumn id="4940" xr3:uid="{BA6C46EC-5B21-463A-ABFF-8F20DBD639D7}" name="Column4907"/>
    <tableColumn id="4941" xr3:uid="{B6FED809-BAF7-4B27-9C3B-50CF598B6DD3}" name="Column4908"/>
    <tableColumn id="4942" xr3:uid="{63968B06-F7B4-477B-B81B-B3A9FC62470C}" name="Column4909"/>
    <tableColumn id="4943" xr3:uid="{AC0A0A5F-2A54-443A-92A5-3CABE195E196}" name="Column4910"/>
    <tableColumn id="4944" xr3:uid="{2B24EC26-36ED-4C0E-A4E7-148A6099DE01}" name="Column4911"/>
    <tableColumn id="4945" xr3:uid="{41B1D943-480D-4706-9E46-D6A87C4DFC2A}" name="Column4912"/>
    <tableColumn id="4946" xr3:uid="{5A663F8B-6530-4B2E-8EAC-4F21531CA193}" name="Column4913"/>
    <tableColumn id="4947" xr3:uid="{DC6CEAF9-FD5D-4B92-86C9-F3C68A757C64}" name="Column4914"/>
    <tableColumn id="4948" xr3:uid="{4EA75A3C-42E2-4AD4-8EF8-1CACDD8DA467}" name="Column4915"/>
    <tableColumn id="4949" xr3:uid="{C2491E4D-9E25-46F0-83E1-2843AF05DC18}" name="Column4916"/>
    <tableColumn id="4950" xr3:uid="{7F652B2C-4560-455A-8014-666686607265}" name="Column4917"/>
    <tableColumn id="4951" xr3:uid="{6972C927-AD5E-446B-8EE2-167EB26B4BDE}" name="Column4918"/>
    <tableColumn id="4952" xr3:uid="{65A4AC8E-B3DE-4DF4-939C-F8A983499635}" name="Column4919"/>
    <tableColumn id="4953" xr3:uid="{3BAE9ACA-1E07-4AAE-BDC3-DA0215308C5D}" name="Column4920"/>
    <tableColumn id="4954" xr3:uid="{5F05926E-C8B3-4857-B14E-AFBC208F52F7}" name="Column4921"/>
    <tableColumn id="4955" xr3:uid="{E8511C1C-9BB9-4247-9D9C-D7E4C60130B8}" name="Column4922"/>
    <tableColumn id="4956" xr3:uid="{D66E31A5-45D3-4649-B83E-FC269142D02B}" name="Column4923"/>
    <tableColumn id="4957" xr3:uid="{2C1B478D-E76D-4CE6-B72C-9C23D2FA23A9}" name="Column4924"/>
    <tableColumn id="4958" xr3:uid="{560885BF-B87B-4B1C-B1EC-F9D4BC181CD8}" name="Column4925"/>
    <tableColumn id="4959" xr3:uid="{9DD3FBA6-668B-49D6-976E-817B428B4B5C}" name="Column4926"/>
    <tableColumn id="4960" xr3:uid="{55D6F16B-684A-4DD2-A9D0-F9072512E660}" name="Column4927"/>
    <tableColumn id="4961" xr3:uid="{2CCBD617-EEF1-4C97-8D2F-2C397C33C51F}" name="Column4928"/>
    <tableColumn id="4962" xr3:uid="{CA849008-A48A-4D2A-BAE7-63C2609E4F4A}" name="Column4929"/>
    <tableColumn id="4963" xr3:uid="{A5BB5444-AA4F-46DB-B50F-05141D207BD3}" name="Column4930"/>
    <tableColumn id="4964" xr3:uid="{718C8064-E6B7-44E1-9C26-6CBB92A8239B}" name="Column4931"/>
    <tableColumn id="4965" xr3:uid="{8F4382FB-DD29-4D16-BB2E-4C96144C6198}" name="Column4932"/>
    <tableColumn id="4966" xr3:uid="{BCB7966E-4840-434E-AE82-50B17D81F9B9}" name="Column4933"/>
    <tableColumn id="4967" xr3:uid="{B4277925-FA1C-4CFD-BF84-899BC690D233}" name="Column4934"/>
    <tableColumn id="4968" xr3:uid="{D4461D89-683C-4376-A426-EEF1C2AA7EB5}" name="Column4935"/>
    <tableColumn id="4969" xr3:uid="{E510DC11-07DB-4077-A1B8-58A2488627C1}" name="Column4936"/>
    <tableColumn id="4970" xr3:uid="{0A7BCD0D-EC9B-437D-9C4C-AA9C82FD4445}" name="Column4937"/>
    <tableColumn id="4971" xr3:uid="{446D3A43-9C32-4984-9127-50EB74109C87}" name="Column4938"/>
    <tableColumn id="4972" xr3:uid="{BC69652D-51C7-43AC-87F2-B74C3EC2A844}" name="Column4939"/>
    <tableColumn id="4973" xr3:uid="{FBFA837B-3CAB-4DE7-94B4-E9AE7682EDA7}" name="Column4940"/>
    <tableColumn id="4974" xr3:uid="{7E8FFDE8-3997-472E-8EEA-ABB6DFE15DD2}" name="Column4941"/>
    <tableColumn id="4975" xr3:uid="{78AE9C55-C1C2-4622-8C80-6BD2CA01D1F0}" name="Column4942"/>
    <tableColumn id="4976" xr3:uid="{EBD98521-8CA8-4AA6-8BC9-CDAA422A8E07}" name="Column4943"/>
    <tableColumn id="4977" xr3:uid="{5F6FECA8-20CF-4796-953F-F8471CEE6A03}" name="Column4944"/>
    <tableColumn id="4978" xr3:uid="{D49820C0-3F62-4F2F-9C43-15397276B9F1}" name="Column4945"/>
    <tableColumn id="4979" xr3:uid="{9804F75B-07C8-4C7D-9BCA-5C566476E86F}" name="Column4946"/>
    <tableColumn id="4980" xr3:uid="{2F7FFB8B-B18C-4112-ABAC-146E5FB07B21}" name="Column4947"/>
    <tableColumn id="4981" xr3:uid="{4736C1D2-E8CB-463E-8175-1FD2D6937FDE}" name="Column4948"/>
    <tableColumn id="4982" xr3:uid="{9F9AB7BF-B522-48F8-B3F5-159B2E9418C0}" name="Column4949"/>
    <tableColumn id="4983" xr3:uid="{9AB83894-AD06-4D4D-8A07-3DB4488529EC}" name="Column4950"/>
    <tableColumn id="4984" xr3:uid="{A81A4D3B-ECFE-4449-8649-8B93CB72D64F}" name="Column4951"/>
    <tableColumn id="4985" xr3:uid="{606749C0-11D1-42F8-88F0-C1F4F893B368}" name="Column4952"/>
    <tableColumn id="4986" xr3:uid="{15EA8DC9-71D4-4A9F-A795-0F3A9D9DBC34}" name="Column4953"/>
    <tableColumn id="4987" xr3:uid="{D431CB1F-972F-4DFB-9DFA-9C13FC799DD4}" name="Column4954"/>
    <tableColumn id="4988" xr3:uid="{D03733A6-4D07-41C2-84C4-3D31AB8ED983}" name="Column4955"/>
    <tableColumn id="4989" xr3:uid="{28891A33-B13D-4DE8-8C0B-6576D4A4AA59}" name="Column4956"/>
    <tableColumn id="4990" xr3:uid="{194A26F6-3914-44C1-B7F0-7141268E10EB}" name="Column4957"/>
    <tableColumn id="4991" xr3:uid="{117A1292-661E-4873-A98C-057F969AF6F7}" name="Column4958"/>
    <tableColumn id="4992" xr3:uid="{938E6D52-0485-4663-B294-5B934D56D2A7}" name="Column4959"/>
    <tableColumn id="4993" xr3:uid="{3437260B-3406-43F0-B89A-006C60D3F224}" name="Column4960"/>
    <tableColumn id="4994" xr3:uid="{4ABE1758-96F5-421D-B246-828AAC5ADCB9}" name="Column4961"/>
    <tableColumn id="4995" xr3:uid="{C3E6F453-F44B-4DD6-99D7-4A1FB1F7D85A}" name="Column4962"/>
    <tableColumn id="4996" xr3:uid="{0A0206DE-F22C-41C6-84CF-D0151163DD31}" name="Column4963"/>
    <tableColumn id="4997" xr3:uid="{FF8F7A16-CB15-4C19-A882-4FAABC50052C}" name="Column4964"/>
    <tableColumn id="4998" xr3:uid="{23ED1D8A-9F4E-443C-9BAB-9DB7599EE7CC}" name="Column4965"/>
    <tableColumn id="4999" xr3:uid="{3A807811-7AC9-455E-A5A8-DEDE36EF4AC8}" name="Column4966"/>
    <tableColumn id="5000" xr3:uid="{C797BECC-8855-4F8D-9FC2-6C9116F1C89C}" name="Column4967"/>
    <tableColumn id="5001" xr3:uid="{7A75C0A9-7B5E-4B43-A070-1C597A7EEDD4}" name="Column4968"/>
    <tableColumn id="5002" xr3:uid="{771F52CB-E627-400B-8272-0F08911E486F}" name="Column4969"/>
    <tableColumn id="5003" xr3:uid="{955488CE-EAF7-4212-A23D-1E6268413D2F}" name="Column4970"/>
    <tableColumn id="5004" xr3:uid="{5A59118E-774E-4BEB-9421-8403C47E3D8E}" name="Column4971"/>
    <tableColumn id="5005" xr3:uid="{3823C59E-4992-4968-9AEF-9A3BB4F3A36D}" name="Column4972"/>
    <tableColumn id="5006" xr3:uid="{341409E3-E6C7-47A5-99DA-BE8D3236E73A}" name="Column4973"/>
    <tableColumn id="5007" xr3:uid="{D02D5BC3-AA53-4925-976D-D1E5E81A054A}" name="Column4974"/>
    <tableColumn id="5008" xr3:uid="{3B9FF516-7189-4931-9C9D-049918F45D21}" name="Column4975"/>
    <tableColumn id="5009" xr3:uid="{041E4A4C-91F0-44B5-A6A9-7D013F598FAE}" name="Column4976"/>
    <tableColumn id="5010" xr3:uid="{226833A4-CEAF-47FA-B60A-035517B345EF}" name="Column4977"/>
    <tableColumn id="5011" xr3:uid="{8436BA7B-7547-4635-B369-CC9901732FC9}" name="Column4978"/>
    <tableColumn id="5012" xr3:uid="{FA686EB7-B1BE-4833-AA16-098654F09634}" name="Column4979"/>
    <tableColumn id="5013" xr3:uid="{C49DF6AF-BD90-4059-99FD-CA110CCBC8EA}" name="Column4980"/>
    <tableColumn id="5014" xr3:uid="{BDB6D94E-9368-4996-ABC6-7F692FA69D30}" name="Column4981"/>
    <tableColumn id="5015" xr3:uid="{EB750A89-267A-42C9-9B12-B71A2815774F}" name="Column4982"/>
    <tableColumn id="5016" xr3:uid="{7C65C2AA-E6F3-4BA8-97AC-8BB16DA27F2B}" name="Column4983"/>
    <tableColumn id="5017" xr3:uid="{3DBB0C51-EC0C-4DBF-857A-5F9129AEE67C}" name="Column4984"/>
    <tableColumn id="5018" xr3:uid="{18B1F6D4-D7AD-4E22-8914-E148D144BB83}" name="Column4985"/>
    <tableColumn id="5019" xr3:uid="{164CDFDA-06B3-4BAB-A209-12CEB907F3C2}" name="Column4986"/>
    <tableColumn id="5020" xr3:uid="{CCD1EC6F-9F98-434A-A333-910D51AAD8CB}" name="Column4987"/>
    <tableColumn id="5021" xr3:uid="{F4C597F9-A0CD-4CD2-8644-F045D72821FF}" name="Column4988"/>
    <tableColumn id="5022" xr3:uid="{4812B393-DCB6-4332-BC2C-1137EF8B96C1}" name="Column4989"/>
    <tableColumn id="5023" xr3:uid="{C6D5F5B2-F009-4EBB-A3BC-2560B17858CC}" name="Column4990"/>
    <tableColumn id="5024" xr3:uid="{33FAFD12-880D-4ACE-8136-5B2F8783ED1A}" name="Column4991"/>
    <tableColumn id="5025" xr3:uid="{1AA3E9E7-EF7E-4838-A1F6-A90C1E2B0BC8}" name="Column4992"/>
    <tableColumn id="5026" xr3:uid="{4683DF3B-2EA8-4026-B0D6-4714C8450386}" name="Column4993"/>
    <tableColumn id="5027" xr3:uid="{9C447A73-2C76-43EF-BDE5-27FB9D9D860D}" name="Column4994"/>
    <tableColumn id="5028" xr3:uid="{4F084939-2B90-4739-A3AF-B3F843776AA0}" name="Column4995"/>
    <tableColumn id="5029" xr3:uid="{FF26E10F-B57F-4BEF-972F-B39CB9FE9B15}" name="Column4996"/>
    <tableColumn id="5030" xr3:uid="{2AC8563B-5C8E-4701-84FB-008F8055179B}" name="Column4997"/>
    <tableColumn id="5031" xr3:uid="{06630311-A5ED-4A3E-AF9B-55041FDCDE94}" name="Column4998"/>
    <tableColumn id="5032" xr3:uid="{4F0044EE-F7FC-4EE3-AB88-6606F311770B}" name="Column4999"/>
    <tableColumn id="5033" xr3:uid="{30F75EA7-9807-447C-B883-AB7BB376980B}" name="Column5000"/>
    <tableColumn id="5034" xr3:uid="{0087588D-F6A9-490B-A788-0191788CC86C}" name="Column5001"/>
    <tableColumn id="5035" xr3:uid="{00E3F61B-CBC9-4F79-B5C8-7A4F77D1B05B}" name="Column5002"/>
    <tableColumn id="5036" xr3:uid="{23214413-23FA-4D6E-9369-684545912BE9}" name="Column5003"/>
    <tableColumn id="5037" xr3:uid="{A8FC6AF3-30CC-4BAB-BB50-52DD8895CDB0}" name="Column5004"/>
    <tableColumn id="5038" xr3:uid="{EEA70C71-443E-472F-B86D-ADBDD988D549}" name="Column5005"/>
    <tableColumn id="5039" xr3:uid="{F49D3F0B-E762-446D-8E2B-BA6BFA678058}" name="Column5006"/>
    <tableColumn id="5040" xr3:uid="{0582C209-4077-44EA-BDC3-9A8501BD0005}" name="Column5007"/>
    <tableColumn id="5041" xr3:uid="{A78EFD4C-8443-49C6-B188-035799234DB2}" name="Column5008"/>
    <tableColumn id="5042" xr3:uid="{497C2871-D1E9-4ACE-B00B-B8AABA950681}" name="Column5009"/>
    <tableColumn id="5043" xr3:uid="{7A21CDF9-F9E7-4576-82C1-11A291409584}" name="Column5010"/>
    <tableColumn id="5044" xr3:uid="{47C28E99-917E-4512-84D5-E7202BAAA1C4}" name="Column5011"/>
    <tableColumn id="5045" xr3:uid="{691FC78D-FF1C-403E-AD83-A23B08253694}" name="Column5012"/>
    <tableColumn id="5046" xr3:uid="{CAD21E20-302B-4B0E-9355-38776C901C63}" name="Column5013"/>
    <tableColumn id="5047" xr3:uid="{46449BDF-1471-4CA8-BFBE-C78D152C8F78}" name="Column5014"/>
    <tableColumn id="5048" xr3:uid="{824E5D86-3265-402E-995E-FEC92F2D6ADD}" name="Column5015"/>
    <tableColumn id="5049" xr3:uid="{51CE2257-B643-4332-91A6-18B84D3455A6}" name="Column5016"/>
    <tableColumn id="5050" xr3:uid="{30593050-43C6-4C70-B986-F08F2FF1A8FB}" name="Column5017"/>
    <tableColumn id="5051" xr3:uid="{D1E9181C-A1A4-4EBC-8F94-6B94BB318E63}" name="Column5018"/>
    <tableColumn id="5052" xr3:uid="{FA3B085A-2E4E-4E6B-AEE6-19D1BFFF8D5F}" name="Column5019"/>
    <tableColumn id="5053" xr3:uid="{6747F9DF-71C0-42CF-96A9-F9E68F5E5EA0}" name="Column5020"/>
    <tableColumn id="5054" xr3:uid="{42AF95D6-8E3B-41F6-ABE7-D3BFC54003D3}" name="Column5021"/>
    <tableColumn id="5055" xr3:uid="{7C0745B8-D338-48D5-9905-934F66A7FE2D}" name="Column5022"/>
    <tableColumn id="5056" xr3:uid="{4DDC00BC-176A-4521-944B-E5691EE88FDC}" name="Column5023"/>
    <tableColumn id="5057" xr3:uid="{E1987325-C262-4794-BEF3-B36CD843C88F}" name="Column5024"/>
    <tableColumn id="5058" xr3:uid="{31397CE4-6BB6-4BC6-B169-CEA6ED3BDDC6}" name="Column5025"/>
    <tableColumn id="5059" xr3:uid="{19E380B6-3E2E-4DAA-9B83-77F122D7AE30}" name="Column5026"/>
    <tableColumn id="5060" xr3:uid="{4527BB55-70C9-4FC7-8250-3EDE269AD46D}" name="Column5027"/>
    <tableColumn id="5061" xr3:uid="{32F195B9-6A7C-498A-BF18-E193C4E35A6F}" name="Column5028"/>
    <tableColumn id="5062" xr3:uid="{3D423A31-A295-4CFD-8DAA-9DA58638EB9C}" name="Column5029"/>
    <tableColumn id="5063" xr3:uid="{43940DE4-C94D-49E1-AC37-134D6F17BB21}" name="Column5030"/>
    <tableColumn id="5064" xr3:uid="{8926B83F-2776-4054-85B5-1A2949562566}" name="Column5031"/>
    <tableColumn id="5065" xr3:uid="{856B2F98-AD5F-4FE3-8AF4-7F7E47396C2F}" name="Column5032"/>
    <tableColumn id="5066" xr3:uid="{A8043A5D-2537-4718-80F3-58D59CB0212D}" name="Column5033"/>
    <tableColumn id="5067" xr3:uid="{1F4F4589-6F6B-4F54-B539-75638772A5CE}" name="Column5034"/>
    <tableColumn id="5068" xr3:uid="{0F47F93B-F50A-4913-9184-BB25FF75B801}" name="Column5035"/>
    <tableColumn id="5069" xr3:uid="{14CF0DD2-8985-471C-9A72-38A2F2D1DCD7}" name="Column5036"/>
    <tableColumn id="5070" xr3:uid="{F5D84296-4775-4C21-BF2B-0B953D3012CD}" name="Column5037"/>
    <tableColumn id="5071" xr3:uid="{8198E8A5-8131-4716-B1A0-48EF5CF51CB8}" name="Column5038"/>
    <tableColumn id="5072" xr3:uid="{5DED1810-8CA8-4017-9529-43A9D009D4B0}" name="Column5039"/>
    <tableColumn id="5073" xr3:uid="{7EBD1201-0D00-4C0B-9806-760B5658A0EF}" name="Column5040"/>
    <tableColumn id="5074" xr3:uid="{9A3D01A4-52E1-4F56-947D-4B2D847AA482}" name="Column5041"/>
    <tableColumn id="5075" xr3:uid="{03FE54E9-9B6A-4F93-B470-6FC03BE3F12C}" name="Column5042"/>
    <tableColumn id="5076" xr3:uid="{DE421A25-F95B-438D-A265-EF89941666FD}" name="Column5043"/>
    <tableColumn id="5077" xr3:uid="{8595DAC9-4113-408F-A4EE-77B730A872A4}" name="Column5044"/>
    <tableColumn id="5078" xr3:uid="{AE43334D-8945-41FA-87EF-3BBC22844F0A}" name="Column5045"/>
    <tableColumn id="5079" xr3:uid="{8F865E6E-0A92-4327-8E89-38E74436B0BF}" name="Column5046"/>
    <tableColumn id="5080" xr3:uid="{15BA873E-AFAC-4B9C-B5AE-8446CDC601BB}" name="Column5047"/>
    <tableColumn id="5081" xr3:uid="{39FC9BF8-F53D-4851-98E7-0EA866872AFC}" name="Column5048"/>
    <tableColumn id="5082" xr3:uid="{67BEFED0-8B9C-45C7-8070-D3F8A8731B00}" name="Column5049"/>
    <tableColumn id="5083" xr3:uid="{E69D48A8-AF3B-400A-AE1A-C917B3C1AFF4}" name="Column5050"/>
    <tableColumn id="5084" xr3:uid="{9C8010E3-0C5C-492D-9B5E-BCE53131E902}" name="Column5051"/>
    <tableColumn id="5085" xr3:uid="{BD26ACF7-313F-400E-93EF-F886A7DE1FC9}" name="Column5052"/>
    <tableColumn id="5086" xr3:uid="{E2CC4A39-8DE7-409C-9660-ACF6CAAC7B77}" name="Column5053"/>
    <tableColumn id="5087" xr3:uid="{112F3E3B-DDA7-45E7-BBF4-8CBA168A86C5}" name="Column5054"/>
    <tableColumn id="5088" xr3:uid="{3FE5B515-013E-48AF-BC9D-C49A61810D33}" name="Column5055"/>
    <tableColumn id="5089" xr3:uid="{39D3C123-6964-4D61-80C6-29638BAAD072}" name="Column5056"/>
    <tableColumn id="5090" xr3:uid="{9E02E19E-89B9-40DC-9E26-149377E62978}" name="Column5057"/>
    <tableColumn id="5091" xr3:uid="{CED91111-880A-4F5A-A2AF-07E95FEBFD7B}" name="Column5058"/>
    <tableColumn id="5092" xr3:uid="{C9E06247-88ED-489E-A8E4-765E5F10C001}" name="Column5059"/>
    <tableColumn id="5093" xr3:uid="{31B41708-8781-4134-BABA-08343D476A92}" name="Column5060"/>
    <tableColumn id="5094" xr3:uid="{329D6966-55FE-492F-8080-66DC2E6BDB49}" name="Column5061"/>
    <tableColumn id="5095" xr3:uid="{C3CF15A7-4B7C-4E41-B0E2-AA32499B0E6F}" name="Column5062"/>
    <tableColumn id="5096" xr3:uid="{C54C8AB8-D814-4B7A-8D23-0E660AB73683}" name="Column5063"/>
    <tableColumn id="5097" xr3:uid="{03293A7C-7492-4B38-8100-02BBED858D12}" name="Column5064"/>
    <tableColumn id="5098" xr3:uid="{0F95811F-9C8A-4CA8-8D27-3E69377D817F}" name="Column5065"/>
    <tableColumn id="5099" xr3:uid="{DD28E573-B0D2-4FB1-A647-87CB761326C3}" name="Column5066"/>
    <tableColumn id="5100" xr3:uid="{F1392537-F526-48A0-B758-1C6F90C7F07B}" name="Column5067"/>
    <tableColumn id="5101" xr3:uid="{E575A09A-0604-493C-BBC6-19094B459FFB}" name="Column5068"/>
    <tableColumn id="5102" xr3:uid="{5E28E590-D6BE-4B23-84AA-B16EE747C5EA}" name="Column5069"/>
    <tableColumn id="5103" xr3:uid="{D67C90C1-06F0-419E-BD8C-D7BA625D282F}" name="Column5070"/>
    <tableColumn id="5104" xr3:uid="{14F4E84E-F5DE-40EF-804A-388AD08C0BD5}" name="Column5071"/>
    <tableColumn id="5105" xr3:uid="{EE06E348-5976-44C3-B418-BECAA2C4453D}" name="Column5072"/>
    <tableColumn id="5106" xr3:uid="{A94B513A-E888-4091-A000-6F32FF61750C}" name="Column5073"/>
    <tableColumn id="5107" xr3:uid="{1996FA7B-F194-444B-ADBC-0E553B7E430A}" name="Column5074"/>
    <tableColumn id="5108" xr3:uid="{F57856D4-9FA2-44A2-9E21-6CE6AE3A6952}" name="Column5075"/>
    <tableColumn id="5109" xr3:uid="{140F7288-0D70-476A-848F-A223805330F6}" name="Column5076"/>
    <tableColumn id="5110" xr3:uid="{E8F20015-2C4C-4116-BCA9-423154CD1C6A}" name="Column5077"/>
    <tableColumn id="5111" xr3:uid="{196790E5-477A-4814-8600-A924760B1520}" name="Column5078"/>
    <tableColumn id="5112" xr3:uid="{6045436D-4DA1-4A10-BD39-58EC00E4E8D0}" name="Column5079"/>
    <tableColumn id="5113" xr3:uid="{F6CE6718-D803-47FF-8497-C9DCCD47767F}" name="Column5080"/>
    <tableColumn id="5114" xr3:uid="{5D61DA91-8702-498C-98CD-9E4096E91347}" name="Column5081"/>
    <tableColumn id="5115" xr3:uid="{07089B39-96D6-4AB0-9C83-ACE0F50C9F2F}" name="Column5082"/>
    <tableColumn id="5116" xr3:uid="{AA829E61-A917-4AC8-9536-CC207443A91A}" name="Column5083"/>
    <tableColumn id="5117" xr3:uid="{1FC20A55-F351-4A89-B7D9-3986AAE648E8}" name="Column5084"/>
    <tableColumn id="5118" xr3:uid="{3B7DEE62-F78D-4DC6-A2E4-E8CB0A0EB10D}" name="Column5085"/>
    <tableColumn id="5119" xr3:uid="{0BAB2304-5097-4956-953D-1D3F129F9E8E}" name="Column5086"/>
    <tableColumn id="5120" xr3:uid="{8C65C384-A09B-448F-B349-8D88E557D313}" name="Column5087"/>
    <tableColumn id="5121" xr3:uid="{A1E8A621-7994-4F8E-BB13-0ADB3FECBFB0}" name="Column5088"/>
    <tableColumn id="5122" xr3:uid="{371817BA-DCCF-4CA7-8C98-52F012A0BB84}" name="Column5089"/>
    <tableColumn id="5123" xr3:uid="{AEAE9D25-D06B-4381-BC73-959E5282DC38}" name="Column5090"/>
    <tableColumn id="5124" xr3:uid="{37BFD70A-753A-4F85-84BE-1421A819490E}" name="Column5091"/>
    <tableColumn id="5125" xr3:uid="{8E464739-4D34-4A50-A4E2-04CFD0FDECA8}" name="Column5092"/>
    <tableColumn id="5126" xr3:uid="{76C651C7-F4F6-455F-9A22-61ABD6144DA5}" name="Column5093"/>
    <tableColumn id="5127" xr3:uid="{03A55706-A230-4EB9-BD0B-AE0BD44CC142}" name="Column5094"/>
    <tableColumn id="5128" xr3:uid="{83A10382-6C84-42AE-A1FB-9141B83FD20B}" name="Column5095"/>
    <tableColumn id="5129" xr3:uid="{803BEE6A-FB3E-46BD-AF1B-12229CA01715}" name="Column5096"/>
    <tableColumn id="5130" xr3:uid="{A1EC8364-E7FC-4B93-AC5D-974359A23CE9}" name="Column5097"/>
    <tableColumn id="5131" xr3:uid="{82F3DFC5-772D-4118-AE5B-07732987187D}" name="Column5098"/>
    <tableColumn id="5132" xr3:uid="{618816E0-5F44-4F7C-9E13-F6562FDF63F4}" name="Column5099"/>
    <tableColumn id="5133" xr3:uid="{1CBC7AA5-7FF0-4527-9CA8-6022B3517E42}" name="Column5100"/>
    <tableColumn id="5134" xr3:uid="{F39494B6-6515-4BF0-AB39-62A21CF5949A}" name="Column5101"/>
    <tableColumn id="5135" xr3:uid="{DD6A181D-A1F7-4F1D-A0A2-D6CB02F33B41}" name="Column5102"/>
    <tableColumn id="5136" xr3:uid="{C03FBB0B-60BB-4F2D-9B09-15CEA31B620A}" name="Column5103"/>
    <tableColumn id="5137" xr3:uid="{8F2669FF-8DB3-472A-A848-2A0F8210BD00}" name="Column5104"/>
    <tableColumn id="5138" xr3:uid="{234D6C9D-F41A-4C77-B94C-3DBC2B58F66A}" name="Column5105"/>
    <tableColumn id="5139" xr3:uid="{5E3F4CD9-2B33-459E-A580-7F7720487497}" name="Column5106"/>
    <tableColumn id="5140" xr3:uid="{A3900420-B87F-471A-A458-4A0BED3313BF}" name="Column5107"/>
    <tableColumn id="5141" xr3:uid="{F568CDBF-E3ED-4B35-80C3-1393152E1020}" name="Column5108"/>
    <tableColumn id="5142" xr3:uid="{B6E993C1-CFCB-4BF0-B6FC-16A2D1A0F1BC}" name="Column5109"/>
    <tableColumn id="5143" xr3:uid="{A4FB047D-B304-4E82-B507-662E8AB728FD}" name="Column5110"/>
    <tableColumn id="5144" xr3:uid="{28DB10A7-CC6E-48C8-A9B8-F322C069B656}" name="Column5111"/>
    <tableColumn id="5145" xr3:uid="{8597EF7B-48BD-4CB8-980F-3A0818713401}" name="Column5112"/>
    <tableColumn id="5146" xr3:uid="{889F9546-9111-4CB4-BDD3-CF76D639DD0D}" name="Column5113"/>
    <tableColumn id="5147" xr3:uid="{32BE99D9-CA9A-44A3-B4BA-8799AFA01343}" name="Column5114"/>
    <tableColumn id="5148" xr3:uid="{8451DC30-CB5C-4D0B-9BB8-BFC7A2639653}" name="Column5115"/>
    <tableColumn id="5149" xr3:uid="{8F13EB03-4D14-4776-80FE-2EE40BC44DB2}" name="Column5116"/>
    <tableColumn id="5150" xr3:uid="{5AE01509-6739-42C0-B940-18037D8C8257}" name="Column5117"/>
    <tableColumn id="5151" xr3:uid="{7A5B37F7-D857-4119-9A96-B6867B7C760F}" name="Column5118"/>
    <tableColumn id="5152" xr3:uid="{3769F0CC-DE64-45ED-A198-60A38B16158A}" name="Column5119"/>
    <tableColumn id="5153" xr3:uid="{2EB86FB6-7535-4715-A78E-3AC4964E56BA}" name="Column5120"/>
    <tableColumn id="5154" xr3:uid="{40984448-5185-4349-B3EC-7CF0B3C29A29}" name="Column5121"/>
    <tableColumn id="5155" xr3:uid="{3A69ABDD-EA79-40D3-86A8-7CEB99004FAE}" name="Column5122"/>
    <tableColumn id="5156" xr3:uid="{82EC95E1-F280-420D-A00E-15E24D64A96A}" name="Column5123"/>
    <tableColumn id="5157" xr3:uid="{429DDAB8-E7AF-4BD5-8435-8BA2843DEF77}" name="Column5124"/>
    <tableColumn id="5158" xr3:uid="{E77AA41C-B593-405E-87EA-1B0BB1116BA1}" name="Column5125"/>
    <tableColumn id="5159" xr3:uid="{DD74CC89-69F7-49F4-9D9E-93674BBBFA5B}" name="Column5126"/>
    <tableColumn id="5160" xr3:uid="{3AA0E6F7-332C-4C19-A9DB-DF1C69D3768E}" name="Column5127"/>
    <tableColumn id="5161" xr3:uid="{9A62E055-3A76-46A3-AA23-9EF80209E121}" name="Column5128"/>
    <tableColumn id="5162" xr3:uid="{1965CFF5-B686-41E7-AB84-DB0D3CC42E82}" name="Column5129"/>
    <tableColumn id="5163" xr3:uid="{BEB62518-D93A-4FB9-8577-DF1D5122CA7B}" name="Column5130"/>
    <tableColumn id="5164" xr3:uid="{FF73FDBA-43D4-4FA4-9C68-D6C5AD0339EC}" name="Column5131"/>
    <tableColumn id="5165" xr3:uid="{D54A2934-519F-43F7-B764-1A393CB42889}" name="Column5132"/>
    <tableColumn id="5166" xr3:uid="{E7C2E8CA-CB23-4D37-B552-613DFC4C57F1}" name="Column5133"/>
    <tableColumn id="5167" xr3:uid="{7CB6132F-D099-497A-B20A-2895139E6906}" name="Column5134"/>
    <tableColumn id="5168" xr3:uid="{989661CA-D5AA-4C12-ABBA-69E1D708AA65}" name="Column5135"/>
    <tableColumn id="5169" xr3:uid="{D855D2EF-0F12-40EE-BCA5-75B6F12381A4}" name="Column5136"/>
    <tableColumn id="5170" xr3:uid="{1748A3B9-7E2B-4EF1-9B3E-B076E3F8FF23}" name="Column5137"/>
    <tableColumn id="5171" xr3:uid="{22F53C2A-DACD-4702-A67A-D7052C3D65D2}" name="Column5138"/>
    <tableColumn id="5172" xr3:uid="{32028061-5424-412B-BDD5-065FB72EDF6D}" name="Column5139"/>
    <tableColumn id="5173" xr3:uid="{E995AA18-8D4E-440B-8970-3D0ED38E9B00}" name="Column5140"/>
    <tableColumn id="5174" xr3:uid="{6441DA6A-DABA-452A-B5E2-1E0276E83F39}" name="Column5141"/>
    <tableColumn id="5175" xr3:uid="{B608F37D-968A-4B43-A380-EB154B2CC9D2}" name="Column5142"/>
    <tableColumn id="5176" xr3:uid="{BECF0DBE-0AAD-42C4-91AC-15DF7E8EEED5}" name="Column5143"/>
    <tableColumn id="5177" xr3:uid="{10960A0A-4A61-4402-8085-79ECF251929C}" name="Column5144"/>
    <tableColumn id="5178" xr3:uid="{11F38ED5-71B7-4B28-B253-008798CA5833}" name="Column5145"/>
    <tableColumn id="5179" xr3:uid="{52CDC545-CF60-41E7-9EB1-901D0971FC8D}" name="Column5146"/>
    <tableColumn id="5180" xr3:uid="{FB8796E3-1861-446E-96ED-D79F7FC86997}" name="Column5147"/>
    <tableColumn id="5181" xr3:uid="{7F89C570-AB2F-4D58-A66A-90034C3C5BAF}" name="Column5148"/>
    <tableColumn id="5182" xr3:uid="{82B0E424-21BF-4330-9504-F2193FECF6EE}" name="Column5149"/>
    <tableColumn id="5183" xr3:uid="{3BACA41D-7656-4DD1-894F-0D2FB6B52537}" name="Column5150"/>
    <tableColumn id="5184" xr3:uid="{4034BAC4-E6DE-44E3-97AB-EC85AC1F1798}" name="Column5151"/>
    <tableColumn id="5185" xr3:uid="{27A1B92F-E0A4-4152-AC82-73B5A5BF11DB}" name="Column5152"/>
    <tableColumn id="5186" xr3:uid="{AC90314F-B0A9-4F63-B96A-FD08C5CBF127}" name="Column5153"/>
    <tableColumn id="5187" xr3:uid="{E3A6A16B-82EF-4827-AC5F-72F089A04B61}" name="Column5154"/>
    <tableColumn id="5188" xr3:uid="{D969CD0A-83C8-4FE3-930A-DC80B85DE70D}" name="Column5155"/>
    <tableColumn id="5189" xr3:uid="{B3A2930E-18ED-413A-80A4-4E687CF85E46}" name="Column5156"/>
    <tableColumn id="5190" xr3:uid="{06940447-1D3B-46F2-95AC-3895101DAB8C}" name="Column5157"/>
    <tableColumn id="5191" xr3:uid="{02F55405-4C32-4F0C-8BDB-C5AD83920C11}" name="Column5158"/>
    <tableColumn id="5192" xr3:uid="{BA97E0DE-A508-4552-84A1-D9521E60C47C}" name="Column5159"/>
    <tableColumn id="5193" xr3:uid="{812DE07B-2347-4FA6-B289-DAB04090C734}" name="Column5160"/>
    <tableColumn id="5194" xr3:uid="{CF2E07CF-FAC3-4758-A0BB-50BEA6634077}" name="Column5161"/>
    <tableColumn id="5195" xr3:uid="{C7FFD72E-CAE4-490B-AA9F-A39C04979937}" name="Column5162"/>
    <tableColumn id="5196" xr3:uid="{7C4B95D6-3112-4CC7-8AA0-2584AFF609CD}" name="Column5163"/>
    <tableColumn id="5197" xr3:uid="{71F6D68D-8157-4AEF-B93A-1815C200ACFC}" name="Column5164"/>
    <tableColumn id="5198" xr3:uid="{2188F932-BAF3-4B85-BD84-2D78A8FDA99E}" name="Column5165"/>
    <tableColumn id="5199" xr3:uid="{8E04192D-05A4-4A7B-9651-B6007D503FD4}" name="Column5166"/>
    <tableColumn id="5200" xr3:uid="{4298737E-F59C-4918-94CB-5052FC53EAEA}" name="Column5167"/>
    <tableColumn id="5201" xr3:uid="{50978F1E-D441-40CE-9414-D927E851E314}" name="Column5168"/>
    <tableColumn id="5202" xr3:uid="{638116DE-222B-4F22-AEAF-E934E6AFE83F}" name="Column5169"/>
    <tableColumn id="5203" xr3:uid="{550363AD-88D0-4022-8939-09FF9884098D}" name="Column5170"/>
    <tableColumn id="5204" xr3:uid="{30EC9D6B-2AC1-4A78-82A7-12A54FD7DEE8}" name="Column5171"/>
    <tableColumn id="5205" xr3:uid="{31D448DC-8529-4416-8B26-59044287B0ED}" name="Column5172"/>
    <tableColumn id="5206" xr3:uid="{4DCF23FF-B9A7-45C2-8F05-6CCCD74A1844}" name="Column5173"/>
    <tableColumn id="5207" xr3:uid="{397ECD98-8AA6-4C46-B36E-71EAB37A11CE}" name="Column5174"/>
    <tableColumn id="5208" xr3:uid="{EBFC7FAF-0EEC-4091-9DEB-9F1661BA7CA8}" name="Column5175"/>
    <tableColumn id="5209" xr3:uid="{1787E0F3-CE76-49A2-BF85-36CFD785CD27}" name="Column5176"/>
    <tableColumn id="5210" xr3:uid="{D84335D8-F185-4E19-B361-7ADAAB032C45}" name="Column5177"/>
    <tableColumn id="5211" xr3:uid="{4CBFB274-CAD8-4DAC-96C8-EB7A6B89C956}" name="Column5178"/>
    <tableColumn id="5212" xr3:uid="{4F0615A4-C34B-49F1-B716-40EED6D006FC}" name="Column5179"/>
    <tableColumn id="5213" xr3:uid="{2C399C6B-2566-4DD3-829B-3FB15AF39159}" name="Column5180"/>
    <tableColumn id="5214" xr3:uid="{25CF4BEE-8643-4394-95D3-7544733470F6}" name="Column5181"/>
    <tableColumn id="5215" xr3:uid="{C2772916-DD37-45F5-A31E-715E174C655E}" name="Column5182"/>
    <tableColumn id="5216" xr3:uid="{5A65389C-EC12-443C-A82F-69B083F8CE78}" name="Column5183"/>
    <tableColumn id="5217" xr3:uid="{275D2E89-5AFE-4433-927F-48403F1F9482}" name="Column5184"/>
    <tableColumn id="5218" xr3:uid="{7D617992-9E04-40B8-AEF9-461D7AE8180A}" name="Column5185"/>
    <tableColumn id="5219" xr3:uid="{493BF63F-E130-48AA-8499-1392F31645A8}" name="Column5186"/>
    <tableColumn id="5220" xr3:uid="{98FFB77B-BB1E-4E93-A4AE-5286405702ED}" name="Column5187"/>
    <tableColumn id="5221" xr3:uid="{A2138C00-0D11-46C7-AA0C-05EFE02314CE}" name="Column5188"/>
    <tableColumn id="5222" xr3:uid="{FF0DA080-C203-4355-BA1B-E47BBD9D44F0}" name="Column5189"/>
    <tableColumn id="5223" xr3:uid="{7F3EBA06-B85C-4328-933F-E8C473B3684D}" name="Column5190"/>
    <tableColumn id="5224" xr3:uid="{E58CEA89-E283-432E-97D8-BDF722DDF71B}" name="Column5191"/>
    <tableColumn id="5225" xr3:uid="{BA178AAB-56EB-4F60-A328-ACE187502405}" name="Column5192"/>
    <tableColumn id="5226" xr3:uid="{7F4B723D-43F9-419A-90A7-9B6A8DD91962}" name="Column5193"/>
    <tableColumn id="5227" xr3:uid="{4831D952-8140-4A83-A3EC-B15F37F49FD9}" name="Column5194"/>
    <tableColumn id="5228" xr3:uid="{8EF4B599-18BB-4625-B8C6-88BA8CE49998}" name="Column5195"/>
    <tableColumn id="5229" xr3:uid="{29BA2A8E-83D7-4A40-925A-E37691912C38}" name="Column5196"/>
    <tableColumn id="5230" xr3:uid="{528EEDF3-F812-4A0B-B393-16D7BAF4C630}" name="Column5197"/>
    <tableColumn id="5231" xr3:uid="{0EC62F6C-3AE4-40F8-84FB-89CF4E3B5348}" name="Column5198"/>
    <tableColumn id="5232" xr3:uid="{726D0890-209B-4E40-931F-77FDE8FC7C78}" name="Column5199"/>
    <tableColumn id="5233" xr3:uid="{C176567A-C8C4-4812-83FF-39E8B38D2799}" name="Column5200"/>
    <tableColumn id="5234" xr3:uid="{BEA86D7D-BAFC-4CF1-891F-F6276F75777B}" name="Column5201"/>
    <tableColumn id="5235" xr3:uid="{DC9CE1F9-F363-4DA7-B15A-0D0B7D589EA3}" name="Column5202"/>
    <tableColumn id="5236" xr3:uid="{031D074B-D4AC-4E05-8912-2F63B5D10316}" name="Column5203"/>
    <tableColumn id="5237" xr3:uid="{E93C032E-B90C-4C4C-AE65-F173E83C8403}" name="Column5204"/>
    <tableColumn id="5238" xr3:uid="{07DE8A9C-0767-4A4B-B930-E90B45D35737}" name="Column5205"/>
    <tableColumn id="5239" xr3:uid="{8F5EDCAF-A213-4173-BEBE-774239B0FD1F}" name="Column5206"/>
    <tableColumn id="5240" xr3:uid="{E46D4290-AD91-4CFF-B79E-E94B7960C91F}" name="Column5207"/>
    <tableColumn id="5241" xr3:uid="{FE48601E-287B-4D5E-AF05-036DF6D7FC6A}" name="Column5208"/>
    <tableColumn id="5242" xr3:uid="{C6069290-71EC-460E-A47C-3EFE60D7F9F1}" name="Column5209"/>
    <tableColumn id="5243" xr3:uid="{3BC766A9-2787-4DAC-8C5F-6D81373F8A45}" name="Column5210"/>
    <tableColumn id="5244" xr3:uid="{5CE09B34-907D-42A1-8285-E4AA49D7D688}" name="Column5211"/>
    <tableColumn id="5245" xr3:uid="{A9549A95-450E-41DB-B6DC-1E0B435E4992}" name="Column5212"/>
    <tableColumn id="5246" xr3:uid="{04007854-E2B0-453D-BFA9-9441FB5385C3}" name="Column5213"/>
    <tableColumn id="5247" xr3:uid="{A14A7572-3AF4-4220-A0E8-A752103AFB17}" name="Column5214"/>
    <tableColumn id="5248" xr3:uid="{2E4DA545-023F-4F30-8B05-30C7B90352F9}" name="Column5215"/>
    <tableColumn id="5249" xr3:uid="{B4036D3D-D94C-40D5-8C21-CAD2D9FA5E49}" name="Column5216"/>
    <tableColumn id="5250" xr3:uid="{A7FDCA43-2B3F-4022-9B51-69213BCAB272}" name="Column5217"/>
    <tableColumn id="5251" xr3:uid="{33C288A0-10C7-4F77-B5CA-975BC188A319}" name="Column5218"/>
    <tableColumn id="5252" xr3:uid="{D9348CB2-4FAA-409E-A807-746F255EF1C6}" name="Column5219"/>
    <tableColumn id="5253" xr3:uid="{8D6C0C3B-C811-4486-B8CF-FB696B8CE7A7}" name="Column5220"/>
    <tableColumn id="5254" xr3:uid="{B6521E66-11E5-4D4C-98CC-3B28A3ADA6E5}" name="Column5221"/>
    <tableColumn id="5255" xr3:uid="{8546477B-7CDA-41C0-B48A-02B5E8633AA0}" name="Column5222"/>
    <tableColumn id="5256" xr3:uid="{239304A9-7FD5-4B60-8D50-DF19783DD4C5}" name="Column5223"/>
    <tableColumn id="5257" xr3:uid="{A8479C55-BDEE-4193-81C3-96D0CAAE264F}" name="Column5224"/>
    <tableColumn id="5258" xr3:uid="{E87D5519-69A3-4191-B06F-D5FF8C991A3B}" name="Column5225"/>
    <tableColumn id="5259" xr3:uid="{96287E8E-928D-4499-990B-214E45865EB5}" name="Column5226"/>
    <tableColumn id="5260" xr3:uid="{2CF7939D-75BA-408E-BB9F-3323FCE1D222}" name="Column5227"/>
    <tableColumn id="5261" xr3:uid="{23116CC8-A0BA-4195-8B2D-92703501287D}" name="Column5228"/>
    <tableColumn id="5262" xr3:uid="{DFF513AF-91CF-46AC-B729-D2C91D9F93BF}" name="Column5229"/>
    <tableColumn id="5263" xr3:uid="{1A81C5DF-5166-4EED-8487-CDE0BDC95D4D}" name="Column5230"/>
    <tableColumn id="5264" xr3:uid="{28C1285E-DD0B-4D3C-8DF5-37264AA3E076}" name="Column5231"/>
    <tableColumn id="5265" xr3:uid="{E11558FF-0ADE-416D-B89C-89859C882271}" name="Column5232"/>
    <tableColumn id="5266" xr3:uid="{C5E54F08-0563-4AE9-A78E-ECC368B8FBCC}" name="Column5233"/>
    <tableColumn id="5267" xr3:uid="{55937512-7E2C-4C22-BE7A-54FA76B3305A}" name="Column5234"/>
    <tableColumn id="5268" xr3:uid="{8D46ED36-40C3-4CD2-860E-6F53B2BED3F8}" name="Column5235"/>
    <tableColumn id="5269" xr3:uid="{D446D527-0314-4903-98B1-66B7D4B43BF6}" name="Column5236"/>
    <tableColumn id="5270" xr3:uid="{E9D9A131-F0CB-4BE6-B0B0-6B3FD78A6B1A}" name="Column5237"/>
    <tableColumn id="5271" xr3:uid="{954C82D4-F37B-49E9-9478-9B5C6F41B665}" name="Column5238"/>
    <tableColumn id="5272" xr3:uid="{EF544ADF-4A8C-4C74-AA4A-460CB0AA992F}" name="Column5239"/>
    <tableColumn id="5273" xr3:uid="{4AC1139C-A5A7-42C8-BECF-12682D654DF3}" name="Column5240"/>
    <tableColumn id="5274" xr3:uid="{3CE62E4C-6727-49D7-8E6B-A728745EDE91}" name="Column5241"/>
    <tableColumn id="5275" xr3:uid="{41FC106B-4C20-4558-AEFF-D9E254716ECE}" name="Column5242"/>
    <tableColumn id="5276" xr3:uid="{E79EF351-1AF5-4066-9276-11A166D07D8C}" name="Column5243"/>
    <tableColumn id="5277" xr3:uid="{D46AB472-3418-4889-8213-F34B341B453D}" name="Column5244"/>
    <tableColumn id="5278" xr3:uid="{CD5F002B-04DE-450D-8751-9A3824991381}" name="Column5245"/>
    <tableColumn id="5279" xr3:uid="{8CAA19A8-7690-4672-BC4B-7D15AA082E32}" name="Column5246"/>
    <tableColumn id="5280" xr3:uid="{5DF17018-1ED1-43EC-B397-079AE3A23472}" name="Column5247"/>
    <tableColumn id="5281" xr3:uid="{0DDDAB12-8F03-4B59-A6DA-7F14C437E776}" name="Column5248"/>
    <tableColumn id="5282" xr3:uid="{83D17BA3-F752-4E16-A36E-787BBE6A0994}" name="Column5249"/>
    <tableColumn id="5283" xr3:uid="{094C42D9-BB07-4BBE-9914-3CA91E9D85ED}" name="Column5250"/>
    <tableColumn id="5284" xr3:uid="{A2DF14FB-C501-45A0-A636-675F631254A4}" name="Column5251"/>
    <tableColumn id="5285" xr3:uid="{E00839EA-C967-4A9A-BB82-D991F7B1325A}" name="Column5252"/>
    <tableColumn id="5286" xr3:uid="{24D9460F-F392-4513-A186-73A76AE4B809}" name="Column5253"/>
    <tableColumn id="5287" xr3:uid="{63D90DD4-AEA5-43D9-994A-8B51B012F73A}" name="Column5254"/>
    <tableColumn id="5288" xr3:uid="{AFA6D656-B7D6-4E5A-B5B5-805EB30406B5}" name="Column5255"/>
    <tableColumn id="5289" xr3:uid="{678AAB17-D37C-4C1D-9DEA-2C47D992CC9C}" name="Column5256"/>
    <tableColumn id="5290" xr3:uid="{DDC1798C-5162-44FF-8B08-FB32C7906D8A}" name="Column5257"/>
    <tableColumn id="5291" xr3:uid="{E74A02F6-36FB-4208-AC03-7489682C7D02}" name="Column5258"/>
    <tableColumn id="5292" xr3:uid="{B3102D1A-4DC2-40FE-8571-D6A0BC834B94}" name="Column5259"/>
    <tableColumn id="5293" xr3:uid="{34E781FC-8F76-4598-87CB-0ADA68A4FD0F}" name="Column5260"/>
    <tableColumn id="5294" xr3:uid="{A1E1EB51-BD09-42E0-BFA8-2DA10BAFC0DA}" name="Column5261"/>
    <tableColumn id="5295" xr3:uid="{4FF1D37D-6B2D-4716-B36E-9A62DEFA377A}" name="Column5262"/>
    <tableColumn id="5296" xr3:uid="{E86A20C0-C501-4929-9ABD-D1F76653F6D7}" name="Column5263"/>
    <tableColumn id="5297" xr3:uid="{22B7BF11-C94B-44EF-8F6D-BECC2F00AF4D}" name="Column5264"/>
    <tableColumn id="5298" xr3:uid="{E87315AF-AA0D-47B3-A760-2789E7761B05}" name="Column5265"/>
    <tableColumn id="5299" xr3:uid="{4E2236CF-787B-447A-AC05-9F0DD24164D2}" name="Column5266"/>
    <tableColumn id="5300" xr3:uid="{EA7F1373-B056-461F-A52A-AE528CFC29F4}" name="Column5267"/>
    <tableColumn id="5301" xr3:uid="{C01C9266-FA6B-4EA4-94FD-FD0FB7AD32F3}" name="Column5268"/>
    <tableColumn id="5302" xr3:uid="{80D69E90-0A38-4D1E-8D20-01535A82894B}" name="Column5269"/>
    <tableColumn id="5303" xr3:uid="{A98A555E-BDB9-4299-B599-9CCF90189BCE}" name="Column5270"/>
    <tableColumn id="5304" xr3:uid="{46A16B8B-35EF-46E2-B457-694E560AD65F}" name="Column5271"/>
    <tableColumn id="5305" xr3:uid="{69068846-8C4E-4DC3-BDF9-2EB6B5CD80CD}" name="Column5272"/>
    <tableColumn id="5306" xr3:uid="{3A4E9549-1F0F-495D-A9FF-C43A4632F402}" name="Column5273"/>
    <tableColumn id="5307" xr3:uid="{4ABF13DA-1DAC-43C6-A6FF-353C73B2D549}" name="Column5274"/>
    <tableColumn id="5308" xr3:uid="{CA88EECB-3B2B-4C38-B09D-A2A4BF16B457}" name="Column5275"/>
    <tableColumn id="5309" xr3:uid="{AD9188B4-E756-42E5-B284-2E2D8A3EEB97}" name="Column5276"/>
    <tableColumn id="5310" xr3:uid="{49A73EB9-C540-4778-BC6E-6D54DA82BFE7}" name="Column5277"/>
    <tableColumn id="5311" xr3:uid="{81C0A290-6E9D-4A7D-A162-BCB2593EC097}" name="Column5278"/>
    <tableColumn id="5312" xr3:uid="{381B7740-C6EB-4C11-895E-58A05E19E79D}" name="Column5279"/>
    <tableColumn id="5313" xr3:uid="{47AE6060-CEDB-46CD-AA1A-FB91BEB1C744}" name="Column5280"/>
    <tableColumn id="5314" xr3:uid="{094BDD1B-25EA-4BD2-9DC9-5811EABB0B69}" name="Column5281"/>
    <tableColumn id="5315" xr3:uid="{A8D3D647-D31D-40CF-A47B-87AB53B1C37D}" name="Column5282"/>
    <tableColumn id="5316" xr3:uid="{05D1F16E-438A-485D-B5DE-49F9B828F653}" name="Column5283"/>
    <tableColumn id="5317" xr3:uid="{456898A0-04DF-453B-92A7-ED3AA36D562E}" name="Column5284"/>
    <tableColumn id="5318" xr3:uid="{A23757D2-E7FF-4D21-A203-680BA9013E54}" name="Column5285"/>
    <tableColumn id="5319" xr3:uid="{DB2DE38E-D8CF-4797-B3F7-2DC150829E62}" name="Column5286"/>
    <tableColumn id="5320" xr3:uid="{7B97EE0C-0EE9-4079-8CB4-F2124B03DC78}" name="Column5287"/>
    <tableColumn id="5321" xr3:uid="{5DC1F166-2F9D-452B-B6D1-350DCCB4218D}" name="Column5288"/>
    <tableColumn id="5322" xr3:uid="{4F3B5A9D-0681-490E-93E6-A8A81BDD7493}" name="Column5289"/>
    <tableColumn id="5323" xr3:uid="{BD55BF82-641C-42D9-A0CD-FC0DBA541FC8}" name="Column5290"/>
    <tableColumn id="5324" xr3:uid="{0B5075C1-5DF5-425D-AD28-10743EBE7BBE}" name="Column5291"/>
    <tableColumn id="5325" xr3:uid="{DE247447-5941-45A5-ABDF-0F9F43A01B35}" name="Column5292"/>
    <tableColumn id="5326" xr3:uid="{8B82D0ED-C446-487F-8BCD-17ABDE692FDE}" name="Column5293"/>
    <tableColumn id="5327" xr3:uid="{DFDD53A6-6461-40C3-AECF-F9931D7D3780}" name="Column5294"/>
    <tableColumn id="5328" xr3:uid="{BC59A6DE-B41D-4290-A0D7-8F61CE5B9673}" name="Column5295"/>
    <tableColumn id="5329" xr3:uid="{56A4C649-7167-4A30-AD77-AF27D8061D0A}" name="Column5296"/>
    <tableColumn id="5330" xr3:uid="{7CC0FACF-537A-4E32-B3E9-D259EA88217E}" name="Column5297"/>
    <tableColumn id="5331" xr3:uid="{5137A7D5-34D0-4294-A787-297B18F0B43F}" name="Column5298"/>
    <tableColumn id="5332" xr3:uid="{3E7F123A-FB34-49AB-A197-C24930ED7565}" name="Column5299"/>
    <tableColumn id="5333" xr3:uid="{5EF316B5-4D9E-41CB-82C7-A5CF18085614}" name="Column5300"/>
    <tableColumn id="5334" xr3:uid="{DB2AD601-891C-4708-BF40-E4ECAEC32323}" name="Column5301"/>
    <tableColumn id="5335" xr3:uid="{5A0AF72B-A63B-4AD6-BCFA-1AAD45966670}" name="Column5302"/>
    <tableColumn id="5336" xr3:uid="{787E59D0-2F85-4DD1-A60D-8E1DFA880C53}" name="Column5303"/>
    <tableColumn id="5337" xr3:uid="{7800CB4B-B13F-48FD-8A6C-C66114630C43}" name="Column5304"/>
    <tableColumn id="5338" xr3:uid="{0DC7F12A-F332-4FD0-86EA-209C04738621}" name="Column5305"/>
    <tableColumn id="5339" xr3:uid="{88CA12EA-00FE-440E-82AA-4D26F91CC549}" name="Column5306"/>
    <tableColumn id="5340" xr3:uid="{03AA87D2-F488-4B0D-B964-7194ABDBB932}" name="Column5307"/>
    <tableColumn id="5341" xr3:uid="{1DBCACE8-D58D-456A-B109-3B03FC44B9D3}" name="Column5308"/>
    <tableColumn id="5342" xr3:uid="{4063CF6F-F0A2-404F-9960-154DD909FF75}" name="Column5309"/>
    <tableColumn id="5343" xr3:uid="{91D7DAA1-B7D0-4978-89B2-CF01B7B1A9C6}" name="Column5310"/>
    <tableColumn id="5344" xr3:uid="{64842730-7A60-47DE-B2A4-E8BC8B1F4AD3}" name="Column5311"/>
    <tableColumn id="5345" xr3:uid="{4C0AF468-1D73-4D8C-BDFA-15331B06E1EB}" name="Column5312"/>
    <tableColumn id="5346" xr3:uid="{50647E07-2D2A-44EB-9C31-4CAA769E9C37}" name="Column5313"/>
    <tableColumn id="5347" xr3:uid="{74BBA1D6-A967-4C67-9CD6-0D8CAA1B28C6}" name="Column5314"/>
    <tableColumn id="5348" xr3:uid="{140859E4-6BB3-4AA4-926F-04FEFDF35FFA}" name="Column5315"/>
    <tableColumn id="5349" xr3:uid="{8005235D-FD48-46A1-9299-54D03EFE8E6B}" name="Column5316"/>
    <tableColumn id="5350" xr3:uid="{D974AC9D-3239-42E1-8FD0-2CD98CACF531}" name="Column5317"/>
    <tableColumn id="5351" xr3:uid="{845123B5-1CF7-4314-AC05-779DA59B89AB}" name="Column5318"/>
    <tableColumn id="5352" xr3:uid="{3131952E-1D40-4071-87EC-5A8617725B5D}" name="Column5319"/>
    <tableColumn id="5353" xr3:uid="{227D4EC0-30F4-42A8-BAB7-472BFBFF0FDA}" name="Column5320"/>
    <tableColumn id="5354" xr3:uid="{E8FB675D-1C2A-48C9-9D4F-662641EF5959}" name="Column5321"/>
    <tableColumn id="5355" xr3:uid="{356AC56C-6899-484B-806C-E0025915B643}" name="Column5322"/>
    <tableColumn id="5356" xr3:uid="{B836567E-D045-4E59-B234-EC653E703342}" name="Column5323"/>
    <tableColumn id="5357" xr3:uid="{04F50571-610B-4EB6-A5E1-DCC93BC66D98}" name="Column5324"/>
    <tableColumn id="5358" xr3:uid="{B1BF0D71-C356-406E-A6ED-CC35FCBAF4C4}" name="Column5325"/>
    <tableColumn id="5359" xr3:uid="{BC26C2F9-5090-4DC9-BB7A-ADEA1F20263E}" name="Column5326"/>
    <tableColumn id="5360" xr3:uid="{2FEAF0F4-0DDA-470D-99F4-0B983C81C7A1}" name="Column5327"/>
    <tableColumn id="5361" xr3:uid="{21C9AF96-359F-497E-9346-CA850065BA25}" name="Column5328"/>
    <tableColumn id="5362" xr3:uid="{3EC5D4BA-0EBF-4BE3-84F6-2FB4F82D5384}" name="Column5329"/>
    <tableColumn id="5363" xr3:uid="{DF311264-533E-4902-8759-9872D9E2854F}" name="Column5330"/>
    <tableColumn id="5364" xr3:uid="{BC5E371D-9A49-41E5-954E-F71A9CFC17FC}" name="Column5331"/>
    <tableColumn id="5365" xr3:uid="{27B08429-92D8-42C6-9954-9624F71401A5}" name="Column5332"/>
    <tableColumn id="5366" xr3:uid="{BE6A530A-827E-4644-8E0C-3E9C6F441A91}" name="Column5333"/>
    <tableColumn id="5367" xr3:uid="{268F8DD0-6979-46EB-A389-E257F83CA3A1}" name="Column5334"/>
    <tableColumn id="5368" xr3:uid="{50725577-6435-452F-8B5E-5662789AD000}" name="Column5335"/>
    <tableColumn id="5369" xr3:uid="{E5551404-AC77-4B57-9DC2-41320532974B}" name="Column5336"/>
    <tableColumn id="5370" xr3:uid="{DF927245-45E2-4B50-ACBD-8650ED19109C}" name="Column5337"/>
    <tableColumn id="5371" xr3:uid="{6F395E1F-0B76-47C8-84B8-B2A3D559D737}" name="Column5338"/>
    <tableColumn id="5372" xr3:uid="{AEFA0D1F-A954-421A-A846-B7CC5ED5E763}" name="Column5339"/>
    <tableColumn id="5373" xr3:uid="{FB135DA2-26A7-49F0-AB3D-45C88FA684BE}" name="Column5340"/>
    <tableColumn id="5374" xr3:uid="{B9180D80-AFC0-4D94-B1E0-35DF1115FBB5}" name="Column5341"/>
    <tableColumn id="5375" xr3:uid="{0F7E5579-2D1D-4ECC-A6D2-DEAF071BED7E}" name="Column5342"/>
    <tableColumn id="5376" xr3:uid="{4F7387FC-5B05-4BFA-A664-23EE90FE6E8B}" name="Column5343"/>
    <tableColumn id="5377" xr3:uid="{7AD59A77-20B5-4163-BC5C-641CB6657373}" name="Column5344"/>
    <tableColumn id="5378" xr3:uid="{E6D4B313-42DC-4411-82E5-6A7E35F83B44}" name="Column5345"/>
    <tableColumn id="5379" xr3:uid="{C3F92D6D-5DBA-423C-AD38-8C93441F66C6}" name="Column5346"/>
    <tableColumn id="5380" xr3:uid="{EAB02509-5212-4DE9-A479-1EE7287EF299}" name="Column5347"/>
    <tableColumn id="5381" xr3:uid="{C9F37151-52BE-44A4-96EE-B27B7F350D95}" name="Column5348"/>
    <tableColumn id="5382" xr3:uid="{EC5D919C-2523-4A55-A369-D59EB6167542}" name="Column5349"/>
    <tableColumn id="5383" xr3:uid="{F56454B0-AD16-471E-BB08-F48A187C8C39}" name="Column5350"/>
    <tableColumn id="5384" xr3:uid="{C52C0C24-645A-4AF8-BC23-738071897658}" name="Column5351"/>
    <tableColumn id="5385" xr3:uid="{4AE68B4D-1591-4937-971E-936B4D6F3019}" name="Column5352"/>
    <tableColumn id="5386" xr3:uid="{74EB818A-5B81-4E3B-BB9A-FD447119881A}" name="Column5353"/>
    <tableColumn id="5387" xr3:uid="{540037FE-886C-457F-B1D5-4E8150423FEA}" name="Column5354"/>
    <tableColumn id="5388" xr3:uid="{FA11B91C-0CE0-4E6D-97ED-E91BBAA3DD23}" name="Column5355"/>
    <tableColumn id="5389" xr3:uid="{69128A35-7463-423D-B0AB-B6700E7D90D0}" name="Column5356"/>
    <tableColumn id="5390" xr3:uid="{E06C2D19-E0E3-41B3-A672-2E2EDD3FC8F7}" name="Column5357"/>
    <tableColumn id="5391" xr3:uid="{0B954EB2-D37E-4136-8880-1C833FE1EACB}" name="Column5358"/>
    <tableColumn id="5392" xr3:uid="{BBA97B94-2A3B-461F-BD75-80D217EF2361}" name="Column5359"/>
    <tableColumn id="5393" xr3:uid="{DD9BA749-C75F-4798-8C20-0146E1DA5DB5}" name="Column5360"/>
    <tableColumn id="5394" xr3:uid="{D25AE7AA-DE9C-41EC-8311-5614303ED106}" name="Column5361"/>
    <tableColumn id="5395" xr3:uid="{F206EA94-D440-4CEB-B65F-C412E83C950E}" name="Column5362"/>
    <tableColumn id="5396" xr3:uid="{B0080390-DA19-43B8-B5AD-807EDC4E65AA}" name="Column5363"/>
    <tableColumn id="5397" xr3:uid="{9269765E-FEC8-4F8A-9AA6-92D157D8A28D}" name="Column5364"/>
    <tableColumn id="5398" xr3:uid="{DA17986B-606A-40AB-A00E-8754F27621EF}" name="Column5365"/>
    <tableColumn id="5399" xr3:uid="{764953CD-8890-4F74-BE87-E5C477290CE1}" name="Column5366"/>
    <tableColumn id="5400" xr3:uid="{126E615F-E3FC-4130-B5D6-D6F9D73A4021}" name="Column5367"/>
    <tableColumn id="5401" xr3:uid="{BDEE06E1-7165-4A96-9B23-F09093EFC64C}" name="Column5368"/>
    <tableColumn id="5402" xr3:uid="{C65D3A89-7EC1-4AD9-ABEA-FB44FE3E4606}" name="Column5369"/>
    <tableColumn id="5403" xr3:uid="{AB9DF6F7-F367-4D8B-9D85-D1057BE914F8}" name="Column5370"/>
    <tableColumn id="5404" xr3:uid="{506145F3-74E9-4BBB-BC67-8F118B979526}" name="Column5371"/>
    <tableColumn id="5405" xr3:uid="{773DF5F0-AFED-434D-866E-8E2960E819FC}" name="Column5372"/>
    <tableColumn id="5406" xr3:uid="{181D9CF9-A186-4871-98C3-3026C95706A2}" name="Column5373"/>
    <tableColumn id="5407" xr3:uid="{A005F047-850E-4980-A863-5F53BB3520C3}" name="Column5374"/>
    <tableColumn id="5408" xr3:uid="{C200CD0C-2B6E-4889-A05D-7EB56D8A4499}" name="Column5375"/>
    <tableColumn id="5409" xr3:uid="{C02E2A59-BE43-4322-A9C6-26B928E99464}" name="Column5376"/>
    <tableColumn id="5410" xr3:uid="{6CC44A59-2518-43BD-AA5F-8058AE29E4B4}" name="Column5377"/>
    <tableColumn id="5411" xr3:uid="{2B0CA1DE-90B0-45BD-88E7-72B035C0652A}" name="Column5378"/>
    <tableColumn id="5412" xr3:uid="{2D97CDEE-9A7F-41C8-933F-9730BB358E6F}" name="Column5379"/>
    <tableColumn id="5413" xr3:uid="{529F689A-92F1-4678-A797-BC1CD9D2D83F}" name="Column5380"/>
    <tableColumn id="5414" xr3:uid="{8B4715EE-09A2-43F2-A4AA-FD28D0673423}" name="Column5381"/>
    <tableColumn id="5415" xr3:uid="{00E7418E-34BE-4D02-AF56-9219DCD19F85}" name="Column5382"/>
    <tableColumn id="5416" xr3:uid="{252E23BB-515D-4B8B-B65D-F41DB8BB2F7A}" name="Column5383"/>
    <tableColumn id="5417" xr3:uid="{7E3BDA06-AE39-4E65-86EE-4FB1A5AADF0B}" name="Column5384"/>
    <tableColumn id="5418" xr3:uid="{3592E35D-0261-4453-8AD5-B99E1A2CBA19}" name="Column5385"/>
    <tableColumn id="5419" xr3:uid="{070F1B20-1703-4CB7-A832-6A14D450A9EA}" name="Column5386"/>
    <tableColumn id="5420" xr3:uid="{B67293EC-AF02-4BCB-A708-D12E4DE56CC8}" name="Column5387"/>
    <tableColumn id="5421" xr3:uid="{7583DD25-14DE-4BC7-9E4F-A4700EE388A4}" name="Column5388"/>
    <tableColumn id="5422" xr3:uid="{DE2D9C71-48B6-4E39-9FF1-686476F501A3}" name="Column5389"/>
    <tableColumn id="5423" xr3:uid="{BD0D2696-BE3C-4197-9663-659C61A0CD7A}" name="Column5390"/>
    <tableColumn id="5424" xr3:uid="{F9A645C2-033E-4314-AE70-C3806FE80EE5}" name="Column5391"/>
    <tableColumn id="5425" xr3:uid="{E86A1384-4FE3-433A-9DA9-B42A71236157}" name="Column5392"/>
    <tableColumn id="5426" xr3:uid="{504DD9BC-6E2E-48DC-B900-1713766B6691}" name="Column5393"/>
    <tableColumn id="5427" xr3:uid="{EF258308-9A8A-424E-A29F-76FC5148A36A}" name="Column5394"/>
    <tableColumn id="5428" xr3:uid="{14EF9955-D3BB-488C-B873-890FA2090508}" name="Column5395"/>
    <tableColumn id="5429" xr3:uid="{C4FE7630-4412-4BFE-9D63-D53B79867562}" name="Column5396"/>
    <tableColumn id="5430" xr3:uid="{61B42726-31AA-4617-BA60-C0F005478BD0}" name="Column5397"/>
    <tableColumn id="5431" xr3:uid="{A51CC67A-843F-4BF6-97A8-0C6D230955B0}" name="Column5398"/>
    <tableColumn id="5432" xr3:uid="{D67DB047-637C-42A3-914D-9B720A15B64E}" name="Column5399"/>
    <tableColumn id="5433" xr3:uid="{5B461088-5B55-46FD-B229-EDD618DFDFF3}" name="Column5400"/>
    <tableColumn id="5434" xr3:uid="{82E29AA0-23E4-44B8-A371-2DA4034C7B72}" name="Column5401"/>
    <tableColumn id="5435" xr3:uid="{0FE894F0-CB2D-45BF-A916-12C5EB647430}" name="Column5402"/>
    <tableColumn id="5436" xr3:uid="{53BBA9CF-6ECD-407C-BA8F-5A4BED610FB3}" name="Column5403"/>
    <tableColumn id="5437" xr3:uid="{2449DF65-B264-4264-BBE6-B771806CC5BA}" name="Column5404"/>
    <tableColumn id="5438" xr3:uid="{5E39A4B5-445B-4547-9F0B-E9783327D5EF}" name="Column5405"/>
    <tableColumn id="5439" xr3:uid="{16FA2633-B22F-415B-BE5D-C93493DA19D2}" name="Column5406"/>
    <tableColumn id="5440" xr3:uid="{A843C556-BF97-4372-877C-F9C7936B4042}" name="Column5407"/>
    <tableColumn id="5441" xr3:uid="{E297FBB1-360E-4AAB-85E0-B842A0319FEE}" name="Column5408"/>
    <tableColumn id="5442" xr3:uid="{729F9232-6CD7-4750-9C8F-3391B6A58B54}" name="Column5409"/>
    <tableColumn id="5443" xr3:uid="{B837CAAB-67AA-4E91-A16E-FB5A96A58ACD}" name="Column5410"/>
    <tableColumn id="5444" xr3:uid="{A3D90FF2-09C1-4CF8-83B4-CBB34C8B25D4}" name="Column5411"/>
    <tableColumn id="5445" xr3:uid="{B079D2D1-185F-40E1-B502-70DBB2526CED}" name="Column5412"/>
    <tableColumn id="5446" xr3:uid="{31B199B0-FCC9-430F-AB21-ED73171A1038}" name="Column5413"/>
    <tableColumn id="5447" xr3:uid="{D6BF4EDF-E1E2-43AC-B28B-4866E987E43B}" name="Column5414"/>
    <tableColumn id="5448" xr3:uid="{DA151914-2F61-43E0-924F-F43AA2BFC668}" name="Column5415"/>
    <tableColumn id="5449" xr3:uid="{D74DAF65-2700-4709-AEC6-583460892732}" name="Column5416"/>
    <tableColumn id="5450" xr3:uid="{B871E24C-CFBF-42BE-B4CF-961DD0F6F48D}" name="Column5417"/>
    <tableColumn id="5451" xr3:uid="{E63BD4C3-075A-466A-960C-5E0BAC19742D}" name="Column5418"/>
    <tableColumn id="5452" xr3:uid="{3165B928-1461-4E99-81FA-EEC86E7F29DF}" name="Column5419"/>
    <tableColumn id="5453" xr3:uid="{77D4AEDC-9D0E-46B3-8777-A8C92255204D}" name="Column5420"/>
    <tableColumn id="5454" xr3:uid="{3FD318FE-5FB3-4C05-9BC3-F69558F7E53D}" name="Column5421"/>
    <tableColumn id="5455" xr3:uid="{E0CE3DD8-E00A-4200-9C1F-DC61F75DF7B4}" name="Column5422"/>
    <tableColumn id="5456" xr3:uid="{2A06ECD2-037C-4788-A687-A447666A5337}" name="Column5423"/>
    <tableColumn id="5457" xr3:uid="{655B4036-7FDD-446C-AF3B-7135BB4E2572}" name="Column5424"/>
    <tableColumn id="5458" xr3:uid="{C19223D0-888E-4DE8-B9F6-0AAEB9D9B7AD}" name="Column5425"/>
    <tableColumn id="5459" xr3:uid="{5E5DE66F-86AC-4DF3-AC0F-3C9ED6F425B2}" name="Column5426"/>
    <tableColumn id="5460" xr3:uid="{9CEC3788-4E3E-46E0-8B37-8C52C510DEA5}" name="Column5427"/>
    <tableColumn id="5461" xr3:uid="{4AE642D0-5D37-4C4F-B79B-9EBA1FDC1DFA}" name="Column5428"/>
    <tableColumn id="5462" xr3:uid="{47467CEF-EB14-412A-9B4D-19CDA499A748}" name="Column5429"/>
    <tableColumn id="5463" xr3:uid="{17D79882-81AF-4BFE-A167-C6EAF1D2CD47}" name="Column5430"/>
    <tableColumn id="5464" xr3:uid="{3FB4E510-F7C3-41EF-A135-EBCB07259D65}" name="Column5431"/>
    <tableColumn id="5465" xr3:uid="{F1858369-3854-4664-A690-C349E27368B0}" name="Column5432"/>
    <tableColumn id="5466" xr3:uid="{C4B0C82E-3E3E-465A-ADF3-8A698F4964F4}" name="Column5433"/>
    <tableColumn id="5467" xr3:uid="{F4D5990B-06E2-49A8-801E-BB9130AFC7E4}" name="Column5434"/>
    <tableColumn id="5468" xr3:uid="{099A452C-0478-4D7D-B757-92F64C35001D}" name="Column5435"/>
    <tableColumn id="5469" xr3:uid="{0B04603B-3BA7-4C33-BC43-F3C37C84F50C}" name="Column5436"/>
    <tableColumn id="5470" xr3:uid="{4F75C992-9527-4F06-8BC1-CC5BF4A3D1CF}" name="Column5437"/>
    <tableColumn id="5471" xr3:uid="{006F6988-C1E1-46D9-A5EE-F953F59B40B0}" name="Column5438"/>
    <tableColumn id="5472" xr3:uid="{419AB4E4-B4CF-4CAE-A1A0-4102DEBD4946}" name="Column5439"/>
    <tableColumn id="5473" xr3:uid="{6090C8B6-5EEB-4091-8AC1-159E3822E94C}" name="Column5440"/>
    <tableColumn id="5474" xr3:uid="{04664FAC-3507-425D-BDE9-B0E3AC1AE325}" name="Column5441"/>
    <tableColumn id="5475" xr3:uid="{A34AB0E5-5C5E-4B6F-A09B-F7375C6A6C73}" name="Column5442"/>
    <tableColumn id="5476" xr3:uid="{7FE71B55-6AEC-4E40-8B39-073719C13B3A}" name="Column5443"/>
    <tableColumn id="5477" xr3:uid="{FD31B4F2-AA5A-486A-8A0B-3DDF4280F139}" name="Column5444"/>
    <tableColumn id="5478" xr3:uid="{8426BD05-EA30-4BEC-8948-989C034CF086}" name="Column5445"/>
    <tableColumn id="5479" xr3:uid="{54EAF403-5CC9-4B8E-BDDF-6938D93B2BCD}" name="Column5446"/>
    <tableColumn id="5480" xr3:uid="{066EDB41-442B-4A3B-BAF6-D3CD0475554A}" name="Column5447"/>
    <tableColumn id="5481" xr3:uid="{2B57A2B1-4800-4BD8-9AA7-E451F3DD5C7A}" name="Column5448"/>
    <tableColumn id="5482" xr3:uid="{5132676C-45CA-459B-97A6-DC17E71B1DB9}" name="Column5449"/>
    <tableColumn id="5483" xr3:uid="{C029122D-D02A-4C74-A3D8-E17D5F5E8D55}" name="Column5450"/>
    <tableColumn id="5484" xr3:uid="{E2910E50-933D-4582-AC1A-658FD66862D5}" name="Column5451"/>
    <tableColumn id="5485" xr3:uid="{9D5A921D-E7FC-46AC-87C9-B9B6C0FD6AFD}" name="Column5452"/>
    <tableColumn id="5486" xr3:uid="{7BAD32D5-F3FF-4A96-847E-B0AEFDD6BC65}" name="Column5453"/>
    <tableColumn id="5487" xr3:uid="{253E95C3-9B2D-4DFC-93D6-BBEB64422B2B}" name="Column5454"/>
    <tableColumn id="5488" xr3:uid="{F0215908-C77F-4B9D-8C4F-7B6F2A3675CE}" name="Column5455"/>
    <tableColumn id="5489" xr3:uid="{FD2659C1-23B1-426A-BB78-34BF52C03363}" name="Column5456"/>
    <tableColumn id="5490" xr3:uid="{58CA268D-2F9C-4ECC-9D4C-5EF57A61D20E}" name="Column5457"/>
    <tableColumn id="5491" xr3:uid="{790DBC1C-03EB-44F7-B44F-628EA84C93F5}" name="Column5458"/>
    <tableColumn id="5492" xr3:uid="{D082E393-0397-4F85-AEB3-959E9FBE4B10}" name="Column5459"/>
    <tableColumn id="5493" xr3:uid="{3B46911A-0CF8-40B3-99F3-70E789E36DF4}" name="Column5460"/>
    <tableColumn id="5494" xr3:uid="{230B3E71-0A6C-48D6-8952-ACFA93DDE301}" name="Column5461"/>
    <tableColumn id="5495" xr3:uid="{193B2232-78DD-4018-839C-C6E1D7E11B90}" name="Column5462"/>
    <tableColumn id="5496" xr3:uid="{7A7BA92E-DFCB-4E3D-A2FA-04F30868C9F0}" name="Column5463"/>
    <tableColumn id="5497" xr3:uid="{40096C04-8B54-4CA4-8EB8-CED23CFEF76C}" name="Column5464"/>
    <tableColumn id="5498" xr3:uid="{50FE5CC5-9789-4205-8A97-4A41F1DEA5A3}" name="Column5465"/>
    <tableColumn id="5499" xr3:uid="{EFC53C7A-2394-4B08-8484-F447D546D253}" name="Column5466"/>
    <tableColumn id="5500" xr3:uid="{E6D16710-ECF8-4470-A935-D4BA2A5A906D}" name="Column5467"/>
    <tableColumn id="5501" xr3:uid="{3A80525D-902F-49A6-AF46-E8DFDB435BBA}" name="Column5468"/>
    <tableColumn id="5502" xr3:uid="{D876612E-D5DE-4716-B239-117647311BFA}" name="Column5469"/>
    <tableColumn id="5503" xr3:uid="{F2648037-F9D5-41A3-8FF4-7C14D1169D53}" name="Column5470"/>
    <tableColumn id="5504" xr3:uid="{3C4AD76E-8543-4278-BA57-B1170E1296CC}" name="Column5471"/>
    <tableColumn id="5505" xr3:uid="{A2C17FA9-AF3E-4401-B1D5-E9130DFC232A}" name="Column5472"/>
    <tableColumn id="5506" xr3:uid="{141AC204-0CBB-4EF9-A710-8FED6EB3C6AE}" name="Column5473"/>
    <tableColumn id="5507" xr3:uid="{EED2EC7C-0DF0-49C4-BDA2-E72F033A208E}" name="Column5474"/>
    <tableColumn id="5508" xr3:uid="{1B1D3B2D-D7F5-415F-A39C-DAB250FC012C}" name="Column5475"/>
    <tableColumn id="5509" xr3:uid="{9EB84A26-0BD6-4C35-8E2C-B6DB087C262D}" name="Column5476"/>
    <tableColumn id="5510" xr3:uid="{BD300FA6-91AE-48DE-BA0D-19B6E8907482}" name="Column5477"/>
    <tableColumn id="5511" xr3:uid="{86EABB77-DE40-4B17-8CF7-9668C3F19F5B}" name="Column5478"/>
    <tableColumn id="5512" xr3:uid="{C6ADF151-52BA-40A3-BFA9-8D61AD4297CD}" name="Column5479"/>
    <tableColumn id="5513" xr3:uid="{1A52B6E8-07FC-4233-A300-1A4C0CD0FC42}" name="Column5480"/>
    <tableColumn id="5514" xr3:uid="{6E4A6349-A052-43C6-824B-9CAE13C6FA3E}" name="Column5481"/>
    <tableColumn id="5515" xr3:uid="{5586BEA5-F007-4CED-B711-B967B669FED0}" name="Column5482"/>
    <tableColumn id="5516" xr3:uid="{CCB37CFD-55C7-4A9D-A924-2F344BCF1652}" name="Column5483"/>
    <tableColumn id="5517" xr3:uid="{82DD0500-E01D-4483-8E28-E463E1AFE34D}" name="Column5484"/>
    <tableColumn id="5518" xr3:uid="{40487E1A-EE9B-4138-A78B-A5CFF06B0C31}" name="Column5485"/>
    <tableColumn id="5519" xr3:uid="{42F0A21B-4D4E-4636-B9A0-F20D5100C4AB}" name="Column5486"/>
    <tableColumn id="5520" xr3:uid="{10F5FEE2-4CF3-4A7A-92BD-17258855DD76}" name="Column5487"/>
    <tableColumn id="5521" xr3:uid="{BBF694CE-B3ED-4480-8D3F-1B497CCE7FF3}" name="Column5488"/>
    <tableColumn id="5522" xr3:uid="{1AC4E613-D15A-4089-9DB3-5D68B809C169}" name="Column5489"/>
    <tableColumn id="5523" xr3:uid="{7BAE6AA9-8CA0-40DB-B893-8490D42C6368}" name="Column5490"/>
    <tableColumn id="5524" xr3:uid="{6F1590A2-732F-4144-BF71-611A312652AD}" name="Column5491"/>
    <tableColumn id="5525" xr3:uid="{8D4A0E00-5D4C-4A51-AB8B-7B254A48B3F4}" name="Column5492"/>
    <tableColumn id="5526" xr3:uid="{8E11D934-709E-410D-931A-917E519B5EF6}" name="Column5493"/>
    <tableColumn id="5527" xr3:uid="{4CEB5E63-0343-4CB7-A2BA-4077DB369030}" name="Column5494"/>
    <tableColumn id="5528" xr3:uid="{C41079E6-3C0A-4182-BE68-30A8C1AA7916}" name="Column5495"/>
    <tableColumn id="5529" xr3:uid="{71748230-0B1E-4561-8C5A-B7BC6C787190}" name="Column5496"/>
    <tableColumn id="5530" xr3:uid="{C643B9D5-99B3-44A2-AF28-F886C641284B}" name="Column5497"/>
    <tableColumn id="5531" xr3:uid="{F305911D-8091-464C-B24E-2E1BF84977C0}" name="Column5498"/>
    <tableColumn id="5532" xr3:uid="{52607B06-FEBC-40E5-B5F8-D5F6CBA6A0DB}" name="Column5499"/>
    <tableColumn id="5533" xr3:uid="{C361B7BA-2D1D-41EE-BFE1-2F334E3F980D}" name="Column5500"/>
    <tableColumn id="5534" xr3:uid="{957926CC-9386-41A9-95D2-5F3A73933E8C}" name="Column5501"/>
    <tableColumn id="5535" xr3:uid="{C54AC728-4172-49DD-8566-7F3D625F9325}" name="Column5502"/>
    <tableColumn id="5536" xr3:uid="{FD1A3A4D-E3A1-4E32-8BFE-FEA68058EC4D}" name="Column5503"/>
    <tableColumn id="5537" xr3:uid="{39145F7A-0CCA-4C6A-9DF0-C3457F4B73F2}" name="Column5504"/>
    <tableColumn id="5538" xr3:uid="{6C8945C8-A5CB-44B6-AF7C-2DE0AE6C7B29}" name="Column5505"/>
    <tableColumn id="5539" xr3:uid="{34D42F0D-EE8B-49DB-8E95-2534F4A195A1}" name="Column5506"/>
    <tableColumn id="5540" xr3:uid="{606A0DBE-6A54-43EE-8CE7-B7BBFF1ECF4E}" name="Column5507"/>
    <tableColumn id="5541" xr3:uid="{89845402-4141-435B-81E9-6137E1CF0258}" name="Column5508"/>
    <tableColumn id="5542" xr3:uid="{E0A679D5-EF4D-4234-B715-FC08CD9BEA24}" name="Column5509"/>
    <tableColumn id="5543" xr3:uid="{AE9DC33D-6867-4E0E-8A9B-91EB582A0649}" name="Column5510"/>
    <tableColumn id="5544" xr3:uid="{FA6A1FFF-EBC6-4679-A725-77C2BF721C8E}" name="Column5511"/>
    <tableColumn id="5545" xr3:uid="{33A9A99B-6A82-4523-B4A0-F653595AD4F8}" name="Column5512"/>
    <tableColumn id="5546" xr3:uid="{75D6ECD1-4F29-4A04-8DB2-90BB341A7D27}" name="Column5513"/>
    <tableColumn id="5547" xr3:uid="{EF0C4932-1D2C-44BC-88DE-07B52FA57275}" name="Column5514"/>
    <tableColumn id="5548" xr3:uid="{ABD8A3F7-2644-4257-AA1A-960B302CCE2D}" name="Column5515"/>
    <tableColumn id="5549" xr3:uid="{BD9C6368-DBAB-42B3-9EAF-3A4CCE50FB5E}" name="Column5516"/>
    <tableColumn id="5550" xr3:uid="{DEFCA725-8D2C-444E-BA83-28F376447129}" name="Column5517"/>
    <tableColumn id="5551" xr3:uid="{23F32BA2-9984-4A22-ABB3-61A3E86C2F3A}" name="Column5518"/>
    <tableColumn id="5552" xr3:uid="{5F41134E-2DC3-434D-925C-2FF8D6B36CA3}" name="Column5519"/>
    <tableColumn id="5553" xr3:uid="{B2B6E0BA-38DF-4307-8964-6265EF0B1043}" name="Column5520"/>
    <tableColumn id="5554" xr3:uid="{A408FC57-EB5D-47EE-9123-7B62F620167D}" name="Column5521"/>
    <tableColumn id="5555" xr3:uid="{308931FB-16DB-41D5-9E6D-127E3E598B2F}" name="Column5522"/>
    <tableColumn id="5556" xr3:uid="{E881A4D6-DB3B-4640-9AA0-B09F9DC7476F}" name="Column5523"/>
    <tableColumn id="5557" xr3:uid="{CF73D274-51E4-4B17-953C-8C3B52C67A96}" name="Column5524"/>
    <tableColumn id="5558" xr3:uid="{FE681B49-97A2-4ED4-9A61-283CE1E79E8D}" name="Column5525"/>
    <tableColumn id="5559" xr3:uid="{4D4BE3CF-58D9-45A7-8754-D85CAE75755A}" name="Column5526"/>
    <tableColumn id="5560" xr3:uid="{87F81097-8632-4F50-A388-ED2C242A7AD1}" name="Column5527"/>
    <tableColumn id="5561" xr3:uid="{46BD1BA8-EBA7-4702-A7E3-AFB72718490F}" name="Column5528"/>
    <tableColumn id="5562" xr3:uid="{F9E08F58-D067-4CAB-98D6-851206E1A58F}" name="Column5529"/>
    <tableColumn id="5563" xr3:uid="{29BAE060-42BD-4064-B260-64471CE7763B}" name="Column5530"/>
    <tableColumn id="5564" xr3:uid="{03A4F6E8-B662-48AE-A1C4-684431371A19}" name="Column5531"/>
    <tableColumn id="5565" xr3:uid="{8F232AE3-BA31-4842-AF58-DB69EAD35A3D}" name="Column5532"/>
    <tableColumn id="5566" xr3:uid="{8FA8217D-1CC0-4C61-8918-E177AD6E2B72}" name="Column5533"/>
    <tableColumn id="5567" xr3:uid="{6826E77C-1B66-4370-B4E2-5934AFDEEE36}" name="Column5534"/>
    <tableColumn id="5568" xr3:uid="{33C266CC-7F47-4280-8364-BB4DD9009FAE}" name="Column5535"/>
    <tableColumn id="5569" xr3:uid="{2DCE2FED-9C27-4D6B-B344-7DE9BB72E27B}" name="Column5536"/>
    <tableColumn id="5570" xr3:uid="{B0540D91-CFDB-41D6-907C-7E761E3B0302}" name="Column5537"/>
    <tableColumn id="5571" xr3:uid="{91FB550B-CA93-4203-8FBF-E461550E14F0}" name="Column5538"/>
    <tableColumn id="5572" xr3:uid="{5E7CAECD-4774-43F7-818E-79A883E47570}" name="Column5539"/>
    <tableColumn id="5573" xr3:uid="{C22D94F7-55BE-40A7-9DB6-04E9F7E3D20E}" name="Column5540"/>
    <tableColumn id="5574" xr3:uid="{FB21764A-1CA8-4C77-B650-91BF843A1D08}" name="Column5541"/>
    <tableColumn id="5575" xr3:uid="{3B29F6E7-D136-474E-92BA-BF1BC6431EE5}" name="Column5542"/>
    <tableColumn id="5576" xr3:uid="{88258878-2ADD-43FF-8FA7-0659046245F6}" name="Column5543"/>
    <tableColumn id="5577" xr3:uid="{A226D399-D258-4CB7-8C10-BAC9FB42FC6A}" name="Column5544"/>
    <tableColumn id="5578" xr3:uid="{BE9C215D-0464-491E-AE7C-87C214FF9346}" name="Column5545"/>
    <tableColumn id="5579" xr3:uid="{AA9A72C2-6106-4988-B6F3-E74FAD721726}" name="Column5546"/>
    <tableColumn id="5580" xr3:uid="{CC7426EE-9FD2-45E1-BC6F-66318F5C25D6}" name="Column5547"/>
    <tableColumn id="5581" xr3:uid="{305C9693-86AB-4ECD-AB0D-339DD1084963}" name="Column5548"/>
    <tableColumn id="5582" xr3:uid="{A1091546-7F4F-4A8E-BA1B-92D072831AC2}" name="Column5549"/>
    <tableColumn id="5583" xr3:uid="{CF54B020-41CF-4C82-B2A3-17FFD5F8DD59}" name="Column5550"/>
    <tableColumn id="5584" xr3:uid="{338F6EE2-3668-4BB9-BE5C-8E7B482A6D39}" name="Column5551"/>
    <tableColumn id="5585" xr3:uid="{D95CE24F-9ECD-4CA3-81AE-01F31EEF8D18}" name="Column5552"/>
    <tableColumn id="5586" xr3:uid="{F432CAC5-CF7E-485E-B99E-28E14421B6DA}" name="Column5553"/>
    <tableColumn id="5587" xr3:uid="{BEB42A56-F817-47D8-A426-8F45E25D9F9A}" name="Column5554"/>
    <tableColumn id="5588" xr3:uid="{3F2CC860-2073-4C0E-8CDE-5EE7035C74E6}" name="Column5555"/>
    <tableColumn id="5589" xr3:uid="{CDDBDAE8-1C16-4787-8F55-3D4FEB1AA6F7}" name="Column5556"/>
    <tableColumn id="5590" xr3:uid="{E6860361-D8AB-40CA-8660-9F0D39F30F2B}" name="Column5557"/>
    <tableColumn id="5591" xr3:uid="{FFA00AA9-3039-46FF-B369-12CDA275F8FF}" name="Column5558"/>
    <tableColumn id="5592" xr3:uid="{5A611799-3A7D-44F6-A414-56C9B7F255C0}" name="Column5559"/>
    <tableColumn id="5593" xr3:uid="{D45B0663-A1EF-4340-863B-077BD4A8BEE2}" name="Column5560"/>
    <tableColumn id="5594" xr3:uid="{A3C23D13-17B0-407C-A448-7AD75FAC22DF}" name="Column5561"/>
    <tableColumn id="5595" xr3:uid="{75D532C8-DC74-4668-B5FD-758398B549E6}" name="Column5562"/>
    <tableColumn id="5596" xr3:uid="{57BB933E-4B25-4F4C-82C0-A4BED9094D41}" name="Column5563"/>
    <tableColumn id="5597" xr3:uid="{5C341FBB-124D-4B57-950B-544576B729BB}" name="Column5564"/>
    <tableColumn id="5598" xr3:uid="{06A468BD-D4EB-4537-A4CD-3E4D17CDF5FB}" name="Column5565"/>
    <tableColumn id="5599" xr3:uid="{51616F15-1FC4-47FF-A1A0-0BF285FD3F3D}" name="Column5566"/>
    <tableColumn id="5600" xr3:uid="{45F00FFF-6524-49D5-8FD5-D7158E860CC8}" name="Column5567"/>
    <tableColumn id="5601" xr3:uid="{2A670E72-B7D3-44D7-9107-DF5709D0F4AA}" name="Column5568"/>
    <tableColumn id="5602" xr3:uid="{D1E7F089-8E3C-469C-8CD8-C232FF1024B4}" name="Column5569"/>
    <tableColumn id="5603" xr3:uid="{AA154356-CF61-4A95-9FF8-616B452716FB}" name="Column5570"/>
    <tableColumn id="5604" xr3:uid="{B0F13E15-843F-480B-9134-7DD031DB3F24}" name="Column5571"/>
    <tableColumn id="5605" xr3:uid="{8110C9E7-FFDC-49F5-81C2-440A271CF563}" name="Column5572"/>
    <tableColumn id="5606" xr3:uid="{3E0524FD-2CF2-4942-9475-4C39D1C99538}" name="Column5573"/>
    <tableColumn id="5607" xr3:uid="{7494755C-2138-488E-BD33-524C2050B839}" name="Column5574"/>
    <tableColumn id="5608" xr3:uid="{378ECC20-EF83-4C5B-A739-F18B45442E73}" name="Column5575"/>
    <tableColumn id="5609" xr3:uid="{02EBEBBC-8E14-4A1D-A525-2F697189FB3F}" name="Column5576"/>
    <tableColumn id="5610" xr3:uid="{3271906D-4A8F-4A7D-8FDD-258AC6518B50}" name="Column5577"/>
    <tableColumn id="5611" xr3:uid="{CD456273-1B05-484A-879D-FC56A0EB3E76}" name="Column5578"/>
    <tableColumn id="5612" xr3:uid="{6ADF7F20-63D6-4DA8-AA81-B22DEF88BAE4}" name="Column5579"/>
    <tableColumn id="5613" xr3:uid="{0B6A92C9-73C4-4ED7-BE33-E5511FAE111A}" name="Column5580"/>
    <tableColumn id="5614" xr3:uid="{80E93EB8-E64D-4D93-9D82-6A225A99F8EA}" name="Column5581"/>
    <tableColumn id="5615" xr3:uid="{8332367E-A3D8-443C-935C-D0491591725A}" name="Column5582"/>
    <tableColumn id="5616" xr3:uid="{B784CB79-8018-4CE4-8FD3-FAA3FB23D6D2}" name="Column5583"/>
    <tableColumn id="5617" xr3:uid="{39F58C95-A743-4A62-9FA9-C72543EADD3D}" name="Column5584"/>
    <tableColumn id="5618" xr3:uid="{ACD10405-C03A-435F-AABD-604913B2FA79}" name="Column5585"/>
    <tableColumn id="5619" xr3:uid="{1AAD8DC9-02FE-49EE-B052-586405C90330}" name="Column5586"/>
    <tableColumn id="5620" xr3:uid="{616A9D54-2607-49B7-A95D-817DAF369018}" name="Column5587"/>
    <tableColumn id="5621" xr3:uid="{BA04E977-0446-43B3-BDA4-90AFAA1DC110}" name="Column5588"/>
    <tableColumn id="5622" xr3:uid="{3F91CF2E-7DF3-4603-9A8A-702B5C8B12D6}" name="Column5589"/>
    <tableColumn id="5623" xr3:uid="{EFA3FAB4-A84D-4285-B6AB-365598049589}" name="Column5590"/>
    <tableColumn id="5624" xr3:uid="{0EBB39DB-294E-4164-A145-59788EB7F64B}" name="Column5591"/>
    <tableColumn id="5625" xr3:uid="{CF7E1384-8280-42F5-9B2E-21A28A24AAC7}" name="Column5592"/>
    <tableColumn id="5626" xr3:uid="{783C43A5-FF44-4E0D-B38A-9EE564ABD873}" name="Column5593"/>
    <tableColumn id="5627" xr3:uid="{1326C4CA-D81E-4EC5-92F7-E5BAFB97FCDC}" name="Column5594"/>
    <tableColumn id="5628" xr3:uid="{6A5CF34C-319A-431F-A552-21FFF6E3241E}" name="Column5595"/>
    <tableColumn id="5629" xr3:uid="{9BAA28E2-B019-4D1C-A614-6F0003CB5FAF}" name="Column5596"/>
    <tableColumn id="5630" xr3:uid="{CEE19A3B-98AD-4721-8E99-4C25F9304321}" name="Column5597"/>
    <tableColumn id="5631" xr3:uid="{BA9818EB-534C-4504-866A-A5DFDE5D3EAC}" name="Column5598"/>
    <tableColumn id="5632" xr3:uid="{84B5FA71-5232-4D67-8A55-B5B70F33F7B3}" name="Column5599"/>
    <tableColumn id="5633" xr3:uid="{D68C7B68-E462-4279-91FC-D1A961E730A2}" name="Column5600"/>
    <tableColumn id="5634" xr3:uid="{5558AB52-6F87-4018-BD3D-2ED6B52B5793}" name="Column5601"/>
    <tableColumn id="5635" xr3:uid="{AA8255C2-264D-4655-9CBD-088489806068}" name="Column5602"/>
    <tableColumn id="5636" xr3:uid="{8A85806B-B3F2-480D-8E23-B0119EBAF17B}" name="Column5603"/>
    <tableColumn id="5637" xr3:uid="{32FCA154-2427-4AAB-8A4B-248F0172CADE}" name="Column5604"/>
    <tableColumn id="5638" xr3:uid="{BB8B9EFB-8FBB-4920-B1D5-10FA2A915C12}" name="Column5605"/>
    <tableColumn id="5639" xr3:uid="{538F3B83-05D7-4BEA-949C-7860ECBFD2D2}" name="Column5606"/>
    <tableColumn id="5640" xr3:uid="{D7B45B96-1840-421D-8A05-44C457118DCB}" name="Column5607"/>
    <tableColumn id="5641" xr3:uid="{89D15D2A-542A-41E5-A4C2-FF3E6A2D996B}" name="Column5608"/>
    <tableColumn id="5642" xr3:uid="{4E430BE2-E1ED-4C6E-88FA-014B1EDEA93A}" name="Column5609"/>
    <tableColumn id="5643" xr3:uid="{EC11EC08-BEAB-4FAE-A425-0CD4F162D738}" name="Column5610"/>
    <tableColumn id="5644" xr3:uid="{8E53629D-1A20-4D86-A548-6A7ED3A4112D}" name="Column5611"/>
    <tableColumn id="5645" xr3:uid="{01DA328D-F258-4BCB-B517-E171797A2A11}" name="Column5612"/>
    <tableColumn id="5646" xr3:uid="{E4275B3F-EA99-4DEC-8185-5C9F3544485D}" name="Column5613"/>
    <tableColumn id="5647" xr3:uid="{88AE1952-419F-478F-8BC9-F6C7002BC56B}" name="Column5614"/>
    <tableColumn id="5648" xr3:uid="{BB7F4C02-F743-4B83-B1EB-89BA8A46BE39}" name="Column5615"/>
    <tableColumn id="5649" xr3:uid="{B0F61B57-E2EF-4D87-AF7B-E36B77C0F896}" name="Column5616"/>
    <tableColumn id="5650" xr3:uid="{3C5FB533-0ED4-45CB-BB3C-18450183B2AB}" name="Column5617"/>
    <tableColumn id="5651" xr3:uid="{A850A91E-47D0-4F7C-A50B-A9AE4FE75DA8}" name="Column5618"/>
    <tableColumn id="5652" xr3:uid="{8CD2E290-E688-4608-A5EB-F30C5745B80D}" name="Column5619"/>
    <tableColumn id="5653" xr3:uid="{51C214C4-A7B7-4FA0-A5FC-5EFA663DCE11}" name="Column5620"/>
    <tableColumn id="5654" xr3:uid="{23E8D94E-DD32-4273-AC89-0DCDE96ECD6C}" name="Column5621"/>
    <tableColumn id="5655" xr3:uid="{EFA30B68-6980-4C9D-A28E-70A1C95D9E61}" name="Column5622"/>
    <tableColumn id="5656" xr3:uid="{917A4396-D5CE-4404-92DD-62FDB27311C6}" name="Column5623"/>
    <tableColumn id="5657" xr3:uid="{ECB2724B-E2E6-4E01-8D4D-79896DCD4161}" name="Column5624"/>
    <tableColumn id="5658" xr3:uid="{CF948495-A075-48B0-8CA9-70B3217E3293}" name="Column5625"/>
    <tableColumn id="5659" xr3:uid="{10275552-33D3-45CF-910F-EB4E9AE5AE13}" name="Column5626"/>
    <tableColumn id="5660" xr3:uid="{A2247D00-726A-4034-A28E-B2EA8475CE3A}" name="Column5627"/>
    <tableColumn id="5661" xr3:uid="{DF60E60F-823D-4D38-94D6-58E957567344}" name="Column5628"/>
    <tableColumn id="5662" xr3:uid="{EE4D5AA5-C62D-4ACA-9B82-3A2A4AD15ACC}" name="Column5629"/>
    <tableColumn id="5663" xr3:uid="{4CE79C2A-98E2-4560-837A-2B53E07284AA}" name="Column5630"/>
    <tableColumn id="5664" xr3:uid="{F19E37B1-726E-4F54-9085-82246A2CA299}" name="Column5631"/>
    <tableColumn id="5665" xr3:uid="{1047BAF8-983E-444F-8027-DD0419173F0E}" name="Column5632"/>
    <tableColumn id="5666" xr3:uid="{6A6E10AD-AB2E-4BED-A0FB-504B4555B472}" name="Column5633"/>
    <tableColumn id="5667" xr3:uid="{78CE334C-734C-47A3-8A05-04F31E2BCEF1}" name="Column5634"/>
    <tableColumn id="5668" xr3:uid="{D416CD99-1000-4602-BB63-98D2CF20CAED}" name="Column5635"/>
    <tableColumn id="5669" xr3:uid="{0568AF18-A6C6-4453-A69B-7741F2ED3B6F}" name="Column5636"/>
    <tableColumn id="5670" xr3:uid="{73A0318C-01DA-4B86-A530-6270CDAE5625}" name="Column5637"/>
    <tableColumn id="5671" xr3:uid="{35005809-F2DA-4B11-8D58-8B88C8ABEB49}" name="Column5638"/>
    <tableColumn id="5672" xr3:uid="{705D7F02-19F3-42EF-9762-C8BA60896107}" name="Column5639"/>
    <tableColumn id="5673" xr3:uid="{9F2B4D86-269F-4906-948F-1DF6800B1FAA}" name="Column5640"/>
    <tableColumn id="5674" xr3:uid="{6AC74F94-3235-4451-AED8-386A41CFE178}" name="Column5641"/>
    <tableColumn id="5675" xr3:uid="{87369F01-E85E-40C4-8327-4CC81F25A8E8}" name="Column5642"/>
    <tableColumn id="5676" xr3:uid="{42DC051A-3059-4D35-8C62-A5A8F67398EA}" name="Column5643"/>
    <tableColumn id="5677" xr3:uid="{392B8B72-0606-4C64-90B7-7CC5FAE7977D}" name="Column5644"/>
    <tableColumn id="5678" xr3:uid="{9D9733DB-D4A7-469A-A546-5D2024FB2E9F}" name="Column5645"/>
    <tableColumn id="5679" xr3:uid="{A28E9F9E-ED39-4D88-8CC5-363848860F0D}" name="Column5646"/>
    <tableColumn id="5680" xr3:uid="{DC449CCC-B06D-41DF-85BD-267CC91DD583}" name="Column5647"/>
    <tableColumn id="5681" xr3:uid="{2C2A4E1D-A328-4772-B4D5-D0349468A4A9}" name="Column5648"/>
    <tableColumn id="5682" xr3:uid="{4CE23A05-C308-48B2-BF38-5631F847E91B}" name="Column5649"/>
    <tableColumn id="5683" xr3:uid="{0FC7EDFF-9D77-44A3-B1BF-6ED210949B99}" name="Column5650"/>
    <tableColumn id="5684" xr3:uid="{56DE852D-E906-4096-BC0A-05F26A8EDB8C}" name="Column5651"/>
    <tableColumn id="5685" xr3:uid="{30803258-6352-4FA7-9F83-E3BD3B4FC08B}" name="Column5652"/>
    <tableColumn id="5686" xr3:uid="{4361FCD7-0442-4FAA-8A2C-D06A98EA17CE}" name="Column5653"/>
    <tableColumn id="5687" xr3:uid="{F649C9DB-491D-4950-AF13-799B1BD51A10}" name="Column5654"/>
    <tableColumn id="5688" xr3:uid="{FEAC8B43-A91B-4ED4-A673-B18ED56671A3}" name="Column5655"/>
    <tableColumn id="5689" xr3:uid="{FC35246C-53CB-4FE8-804F-7C68CD5E1E7A}" name="Column5656"/>
    <tableColumn id="5690" xr3:uid="{8D5CD15B-E34B-4B02-85D3-1E6082CCD0C7}" name="Column5657"/>
    <tableColumn id="5691" xr3:uid="{B909E5BA-D83C-41E3-BD53-6251DB56541C}" name="Column5658"/>
    <tableColumn id="5692" xr3:uid="{A1AA1DB6-ED86-4A94-8A29-FE167967E6CD}" name="Column5659"/>
    <tableColumn id="5693" xr3:uid="{E2A1C69B-1705-43AF-B77B-C10202746A0F}" name="Column5660"/>
    <tableColumn id="5694" xr3:uid="{D2DF6E4C-C02D-43E1-AAF3-8B972654C7CA}" name="Column5661"/>
    <tableColumn id="5695" xr3:uid="{C030C1EF-91AA-4E07-92E1-7CF029EEA0FB}" name="Column5662"/>
    <tableColumn id="5696" xr3:uid="{69FBB427-D69E-4E1A-BEB8-A35B5329EA34}" name="Column5663"/>
    <tableColumn id="5697" xr3:uid="{C7CCD14A-01BA-48A2-9A26-F9AC6AA0545F}" name="Column5664"/>
    <tableColumn id="5698" xr3:uid="{E2C19C6F-6AD7-42DB-BDF7-48AD6F8F2CEF}" name="Column5665"/>
    <tableColumn id="5699" xr3:uid="{D0A11E29-BE91-4E6E-87A9-EBB4BC28CDD6}" name="Column5666"/>
    <tableColumn id="5700" xr3:uid="{EC7224B8-E25C-4939-89F6-4D6C2E7CF12F}" name="Column5667"/>
    <tableColumn id="5701" xr3:uid="{5BA5E549-5BA5-4C02-96B8-CB9567B4342C}" name="Column5668"/>
    <tableColumn id="5702" xr3:uid="{942ADBB4-DF01-4B39-AA71-2CE47E081CFA}" name="Column5669"/>
    <tableColumn id="5703" xr3:uid="{20CDEB7B-0CB7-4AD3-80F0-5F19CA7AA984}" name="Column5670"/>
    <tableColumn id="5704" xr3:uid="{88FF9624-FBF3-46B6-A259-3B6C1C8F2DE8}" name="Column5671"/>
    <tableColumn id="5705" xr3:uid="{FE1A1400-92FE-4019-9339-B5987CB00678}" name="Column5672"/>
    <tableColumn id="5706" xr3:uid="{59A05D5A-1AE6-4DA4-9F13-33AD6D7BB995}" name="Column5673"/>
    <tableColumn id="5707" xr3:uid="{AFCE6344-7B5E-43B5-A42D-99991195288F}" name="Column5674"/>
    <tableColumn id="5708" xr3:uid="{2DB6DBB8-18C1-4726-9AB8-F7057E05AC90}" name="Column5675"/>
    <tableColumn id="5709" xr3:uid="{081F194F-6BA9-4322-86B6-8E82BCFAF5F4}" name="Column5676"/>
    <tableColumn id="5710" xr3:uid="{ACA7C428-31B8-40B5-8112-4B7EA50A429A}" name="Column5677"/>
    <tableColumn id="5711" xr3:uid="{8BEB16B3-8C7C-460D-BB5C-068B5049C365}" name="Column5678"/>
    <tableColumn id="5712" xr3:uid="{8AA24263-693C-4A1D-9105-FAE24AF17351}" name="Column5679"/>
    <tableColumn id="5713" xr3:uid="{F72C2CCF-7FE5-4677-A08D-BDA1F890F484}" name="Column5680"/>
    <tableColumn id="5714" xr3:uid="{B40D5121-7EB2-4761-A84B-11D878856474}" name="Column5681"/>
    <tableColumn id="5715" xr3:uid="{F3DC6A9B-E4AC-4899-A7F3-C62B4C38154D}" name="Column5682"/>
    <tableColumn id="5716" xr3:uid="{8FE3F6F1-5046-4191-AF97-414595B6FD1C}" name="Column5683"/>
    <tableColumn id="5717" xr3:uid="{20D81356-3AEF-4193-BAA0-4130EFC57675}" name="Column5684"/>
    <tableColumn id="5718" xr3:uid="{E454812B-9EBD-4792-B6C2-B41EFFF72ADB}" name="Column5685"/>
    <tableColumn id="5719" xr3:uid="{1E4AA7AC-184B-4A77-AE42-722DD4F51110}" name="Column5686"/>
    <tableColumn id="5720" xr3:uid="{0A8B0A41-0756-4DBB-B187-C65170C42C5A}" name="Column5687"/>
    <tableColumn id="5721" xr3:uid="{9BE9C757-3ED3-4B3F-8E5E-3E55542ED6D3}" name="Column5688"/>
    <tableColumn id="5722" xr3:uid="{54A24F59-579C-4FA7-A521-BDFCB3B5F32D}" name="Column5689"/>
    <tableColumn id="5723" xr3:uid="{3EB4F968-1CAE-4640-9B3A-8D5434F9C68D}" name="Column5690"/>
    <tableColumn id="5724" xr3:uid="{9F98B894-77EC-490F-A64A-7F8668F2F68E}" name="Column5691"/>
    <tableColumn id="5725" xr3:uid="{EE204A55-96E7-4CA6-B091-05CC61CD15E7}" name="Column5692"/>
    <tableColumn id="5726" xr3:uid="{2EC8BAF0-D444-44AA-A2F5-5511C70F293A}" name="Column5693"/>
    <tableColumn id="5727" xr3:uid="{C313D508-A1DC-4F7D-832D-21C17C3D3A1D}" name="Column5694"/>
    <tableColumn id="5728" xr3:uid="{AE1BCAE5-F8E0-4F83-A577-79BE701AE46D}" name="Column5695"/>
    <tableColumn id="5729" xr3:uid="{038B77BC-FB85-4F71-BE0C-7C171F8EFD31}" name="Column5696"/>
    <tableColumn id="5730" xr3:uid="{D1879DCA-F229-4A9D-B97C-EE6567907713}" name="Column5697"/>
    <tableColumn id="5731" xr3:uid="{517DCB39-B262-41F5-9378-C09CA6CB8097}" name="Column5698"/>
    <tableColumn id="5732" xr3:uid="{A1D9C54D-54EE-47EE-929A-7BB56CB56C30}" name="Column5699"/>
    <tableColumn id="5733" xr3:uid="{909A99A9-CDA6-40DC-B8F7-A16A357F8FCC}" name="Column5700"/>
    <tableColumn id="5734" xr3:uid="{4E496981-28FE-44B9-8E90-89B74E2975DB}" name="Column5701"/>
    <tableColumn id="5735" xr3:uid="{7D2FF77A-12DB-49CE-B7FE-7E450F770BBE}" name="Column5702"/>
    <tableColumn id="5736" xr3:uid="{873F06EA-AE4D-4BA2-9A63-A8CA1A93151D}" name="Column5703"/>
    <tableColumn id="5737" xr3:uid="{76D2100B-474D-4946-A09D-062A14DC378C}" name="Column5704"/>
    <tableColumn id="5738" xr3:uid="{CE75C48C-94DB-4DA2-8774-E0B03C22F936}" name="Column5705"/>
    <tableColumn id="5739" xr3:uid="{1E89072D-1B82-457C-B3AC-EE484D6A975D}" name="Column5706"/>
    <tableColumn id="5740" xr3:uid="{09DF84C4-0D3D-4C8C-B285-9998A532A5C4}" name="Column5707"/>
    <tableColumn id="5741" xr3:uid="{9B2D30D5-9019-42D5-B228-D37C3593D0FD}" name="Column5708"/>
    <tableColumn id="5742" xr3:uid="{E325F76A-B6E7-48C7-82E0-47CDF47281AC}" name="Column5709"/>
    <tableColumn id="5743" xr3:uid="{7151ABDA-F3D9-48F2-B391-748907298C22}" name="Column5710"/>
    <tableColumn id="5744" xr3:uid="{6C0446E4-5B71-4306-94C3-7F6C9DF2D4BB}" name="Column5711"/>
    <tableColumn id="5745" xr3:uid="{591FE9B2-426B-4A09-99F3-2CB719CBE9FD}" name="Column5712"/>
    <tableColumn id="5746" xr3:uid="{ABD3D8E5-E126-4F48-A5A2-FB980D0AAE59}" name="Column5713"/>
    <tableColumn id="5747" xr3:uid="{63FCB398-8196-44C9-962B-86EC464690EA}" name="Column5714"/>
    <tableColumn id="5748" xr3:uid="{ECE63034-97DD-4159-B860-320F1758935B}" name="Column5715"/>
    <tableColumn id="5749" xr3:uid="{9426A564-BCA1-4529-8C61-69F9FF33371A}" name="Column5716"/>
    <tableColumn id="5750" xr3:uid="{7EE465B0-49E7-4FAB-A5FF-0F8EBBE54224}" name="Column5717"/>
    <tableColumn id="5751" xr3:uid="{F4423F75-8990-43A1-A806-969969EC530D}" name="Column5718"/>
    <tableColumn id="5752" xr3:uid="{66306CB2-22FA-47FD-8009-F3D99CCC0DA6}" name="Column5719"/>
    <tableColumn id="5753" xr3:uid="{6AD36434-D14B-4F85-8502-01A6B3E5A697}" name="Column5720"/>
    <tableColumn id="5754" xr3:uid="{28E65291-2A46-43EB-9654-4DDD96C4B492}" name="Column5721"/>
    <tableColumn id="5755" xr3:uid="{3D391C8C-C258-4C68-B181-398B298192BF}" name="Column5722"/>
    <tableColumn id="5756" xr3:uid="{762DDD84-69D4-4626-8EF8-F8970C75E493}" name="Column5723"/>
    <tableColumn id="5757" xr3:uid="{98A0FBC9-67DD-44A4-9591-017CCBA44618}" name="Column5724"/>
    <tableColumn id="5758" xr3:uid="{B88981C3-B7AC-43AF-8993-8A4F15BF7BD1}" name="Column5725"/>
    <tableColumn id="5759" xr3:uid="{4040A0F8-6FF8-48EA-9E0C-38C1313C72C6}" name="Column5726"/>
    <tableColumn id="5760" xr3:uid="{17202D35-34D4-40B9-A151-B1E28D87FDD6}" name="Column5727"/>
    <tableColumn id="5761" xr3:uid="{795AC97B-52AE-41B6-999A-ECD289351B97}" name="Column5728"/>
    <tableColumn id="5762" xr3:uid="{8AA183F6-A3DC-421A-8556-CA3284F7C79B}" name="Column5729"/>
    <tableColumn id="5763" xr3:uid="{08C88DB1-375D-4DA0-A1B6-E643B2337C71}" name="Column5730"/>
    <tableColumn id="5764" xr3:uid="{0004134E-A934-4435-83F3-7069C1848C0C}" name="Column5731"/>
    <tableColumn id="5765" xr3:uid="{CAEF9629-A28E-4326-99A1-B239EAE68579}" name="Column5732"/>
    <tableColumn id="5766" xr3:uid="{8D4B07C0-4BC4-4E35-BCD3-71C0A117C0F9}" name="Column5733"/>
    <tableColumn id="5767" xr3:uid="{B16DB8EC-2E6F-44AF-96B6-7BB905E303A3}" name="Column5734"/>
    <tableColumn id="5768" xr3:uid="{6FE10B32-7DA8-42DF-AEEA-7117C74C1E94}" name="Column5735"/>
    <tableColumn id="5769" xr3:uid="{74E339FF-675D-45B8-81CA-F21FFBE02A69}" name="Column5736"/>
    <tableColumn id="5770" xr3:uid="{0A8781F8-A332-4986-A759-3D19572157A1}" name="Column5737"/>
    <tableColumn id="5771" xr3:uid="{BC7C8191-AA26-474D-813C-F7CDC69367FE}" name="Column5738"/>
    <tableColumn id="5772" xr3:uid="{D1FBCC42-10DE-4450-967E-BB163AA7DD48}" name="Column5739"/>
    <tableColumn id="5773" xr3:uid="{BDB58B98-FD9F-43EA-8AEF-42635C2CEA75}" name="Column5740"/>
    <tableColumn id="5774" xr3:uid="{44771724-7361-4B47-9D2E-4576EC9F5F64}" name="Column5741"/>
    <tableColumn id="5775" xr3:uid="{4E4A3097-0BE6-4D7B-B23D-253194A5BFD2}" name="Column5742"/>
    <tableColumn id="5776" xr3:uid="{D732E979-15A8-45BF-BAF2-CC728547CE51}" name="Column5743"/>
    <tableColumn id="5777" xr3:uid="{68B19BDA-EFBA-4CEB-92E4-F06A75D19A88}" name="Column5744"/>
    <tableColumn id="5778" xr3:uid="{3D76E97A-142A-4005-B4A0-D68A0E36CD04}" name="Column5745"/>
    <tableColumn id="5779" xr3:uid="{74CF44EC-3FC2-422F-AD0B-D1BAE874FBB2}" name="Column5746"/>
    <tableColumn id="5780" xr3:uid="{A27F7602-AED0-49FF-A428-ECB0FFF02F63}" name="Column5747"/>
    <tableColumn id="5781" xr3:uid="{095ACEB4-9F02-4C82-9A41-379AE444946D}" name="Column5748"/>
    <tableColumn id="5782" xr3:uid="{02AB150A-8889-4314-A21B-C17D5EE37DEE}" name="Column5749"/>
    <tableColumn id="5783" xr3:uid="{A3E1A149-808C-47F2-9DA3-C0C593088610}" name="Column5750"/>
    <tableColumn id="5784" xr3:uid="{FE3AEA26-81F9-46DA-B3E2-535BE5681DF6}" name="Column5751"/>
    <tableColumn id="5785" xr3:uid="{83057D43-5170-472D-A958-853B78076BAA}" name="Column5752"/>
    <tableColumn id="5786" xr3:uid="{08E2469B-91BD-4B54-B069-532B3DFBE24E}" name="Column5753"/>
    <tableColumn id="5787" xr3:uid="{845F4070-7183-4693-A05F-97B7545968F2}" name="Column5754"/>
    <tableColumn id="5788" xr3:uid="{FDBA2198-2086-4FF1-97BB-7FDCE11ACD94}" name="Column5755"/>
    <tableColumn id="5789" xr3:uid="{AB30F54E-D49A-4281-AEFC-1DA0E285D573}" name="Column5756"/>
    <tableColumn id="5790" xr3:uid="{7C4290EF-802F-447C-B215-01A1AB7787B6}" name="Column5757"/>
    <tableColumn id="5791" xr3:uid="{1B36F6E3-A26B-43CA-9917-381EB5114EB6}" name="Column5758"/>
    <tableColumn id="5792" xr3:uid="{ADB74619-C84D-4412-9EE3-4BB5572CD505}" name="Column5759"/>
    <tableColumn id="5793" xr3:uid="{2B00510E-2531-42C1-917A-487B504699AD}" name="Column5760"/>
    <tableColumn id="5794" xr3:uid="{B613AB54-8984-4475-B232-6C3ED5CA2A3A}" name="Column5761"/>
    <tableColumn id="5795" xr3:uid="{6EBAEF3C-8819-4E97-BEF6-B8D0CFE48DE5}" name="Column5762"/>
    <tableColumn id="5796" xr3:uid="{C768541D-E64B-43DB-A3DF-770A322BDB1D}" name="Column5763"/>
    <tableColumn id="5797" xr3:uid="{6111CCD7-6790-4F6D-9AF8-5F82480ECC81}" name="Column5764"/>
    <tableColumn id="5798" xr3:uid="{C1904C45-DEF4-4CFD-BC07-0272C52E44F3}" name="Column5765"/>
    <tableColumn id="5799" xr3:uid="{2A6E8697-C1D3-4278-9674-1F016892321A}" name="Column5766"/>
    <tableColumn id="5800" xr3:uid="{B8FC87B5-B055-40AB-AD0B-941294FFBF8E}" name="Column5767"/>
    <tableColumn id="5801" xr3:uid="{1D9E1CB5-D181-40B8-A7E9-110BD1B66B6D}" name="Column5768"/>
    <tableColumn id="5802" xr3:uid="{768B8074-24F3-4E85-806E-D8A7567ABC86}" name="Column5769"/>
    <tableColumn id="5803" xr3:uid="{2D1EC795-FA36-4798-874D-B551E166535C}" name="Column5770"/>
    <tableColumn id="5804" xr3:uid="{A14693EF-5C86-41C8-AAC1-CD68BF102755}" name="Column5771"/>
    <tableColumn id="5805" xr3:uid="{87F36D3F-9265-4CB8-BF95-64D99A44B312}" name="Column5772"/>
    <tableColumn id="5806" xr3:uid="{091E43C8-5333-4457-9D51-41B635EF3E9C}" name="Column5773"/>
    <tableColumn id="5807" xr3:uid="{E207AFEF-ACDC-48AE-B13D-AE8011169B77}" name="Column5774"/>
    <tableColumn id="5808" xr3:uid="{B2C84183-79F2-40B5-92F8-8103AD918940}" name="Column5775"/>
    <tableColumn id="5809" xr3:uid="{0D0EA1F7-C786-4268-9138-5D6D6CB28F94}" name="Column5776"/>
    <tableColumn id="5810" xr3:uid="{BCD0ED38-1EBC-4C96-8899-07F32F62F616}" name="Column5777"/>
    <tableColumn id="5811" xr3:uid="{C4931D9D-800F-4777-BF4C-B7B61F449755}" name="Column5778"/>
    <tableColumn id="5812" xr3:uid="{D295A9AD-04B2-49A0-8EED-061291BAF1E7}" name="Column5779"/>
    <tableColumn id="5813" xr3:uid="{34521E60-32E3-4C0E-996C-A51E0B245E18}" name="Column5780"/>
    <tableColumn id="5814" xr3:uid="{900EF23C-FC04-4FA1-8E4D-F6CD86B2463A}" name="Column5781"/>
    <tableColumn id="5815" xr3:uid="{25E0C9B6-DAE5-4E92-9CB7-7AA847DC7E14}" name="Column5782"/>
    <tableColumn id="5816" xr3:uid="{D01377B7-7E6A-4B5A-B732-F653BCDA4561}" name="Column5783"/>
    <tableColumn id="5817" xr3:uid="{DC918B2E-B0F1-45C3-BAE7-6A5266B1C511}" name="Column5784"/>
    <tableColumn id="5818" xr3:uid="{B5CF9587-69D2-4606-9D81-B87BF33F54EB}" name="Column5785"/>
    <tableColumn id="5819" xr3:uid="{8C897645-E1B5-466F-AF5B-464D040B7862}" name="Column5786"/>
    <tableColumn id="5820" xr3:uid="{75ADF3BB-543F-43E1-9485-0CE0ED8AAE87}" name="Column5787"/>
    <tableColumn id="5821" xr3:uid="{CF00C90F-B853-4BFB-BB8D-4294533AC7FA}" name="Column5788"/>
    <tableColumn id="5822" xr3:uid="{5E938FF3-2581-49AD-9E8F-C5AA70949E18}" name="Column5789"/>
    <tableColumn id="5823" xr3:uid="{3FC97CD0-5410-44B3-93E9-0E07A6CF066C}" name="Column5790"/>
    <tableColumn id="5824" xr3:uid="{7C37844F-10CC-4326-87CA-838C906ED8E2}" name="Column5791"/>
    <tableColumn id="5825" xr3:uid="{0C9477D9-774A-4294-9399-58482BC68663}" name="Column5792"/>
    <tableColumn id="5826" xr3:uid="{91CD449A-B66D-4F8E-9D1F-4052EAD93765}" name="Column5793"/>
    <tableColumn id="5827" xr3:uid="{7037DAAA-2805-4035-9489-0FE17E585753}" name="Column5794"/>
    <tableColumn id="5828" xr3:uid="{B5784742-D2CD-4ED9-9FE3-740A7A97E87B}" name="Column5795"/>
    <tableColumn id="5829" xr3:uid="{0B8C34DE-756B-4AD4-B903-DF89B96B3F1F}" name="Column5796"/>
    <tableColumn id="5830" xr3:uid="{E866993C-B33D-4DAC-BC14-A3FC6D118C77}" name="Column5797"/>
    <tableColumn id="5831" xr3:uid="{5E0E9765-0B96-482D-BD0A-5ED3BF24D820}" name="Column5798"/>
    <tableColumn id="5832" xr3:uid="{40119A12-3B47-46FB-98B7-1506BB8D2129}" name="Column5799"/>
    <tableColumn id="5833" xr3:uid="{D940483A-6D2C-48C7-9343-B79DF528F6B4}" name="Column5800"/>
    <tableColumn id="5834" xr3:uid="{F6BD544E-79CA-4D95-A109-FA36DEAACD90}" name="Column5801"/>
    <tableColumn id="5835" xr3:uid="{C4ABFA38-275C-488A-B067-7C01390101B2}" name="Column5802"/>
    <tableColumn id="5836" xr3:uid="{0A5CCD3D-EBF8-436C-A85B-3CDDFD7FB3D6}" name="Column5803"/>
    <tableColumn id="5837" xr3:uid="{70087DBD-EC0D-4ABA-834C-DB69965F860F}" name="Column5804"/>
    <tableColumn id="5838" xr3:uid="{18CF89A0-DBC2-4982-9D86-4C29AC2164A3}" name="Column5805"/>
    <tableColumn id="5839" xr3:uid="{6498E75F-7BB4-4CEF-B3B3-B52B6AD95ED1}" name="Column5806"/>
    <tableColumn id="5840" xr3:uid="{33F995EA-670B-4CA5-8B05-4BA3C7A6707D}" name="Column5807"/>
    <tableColumn id="5841" xr3:uid="{61C6CCC7-256F-4EEF-820B-9221A7EBF9B1}" name="Column5808"/>
    <tableColumn id="5842" xr3:uid="{C619D198-5CF0-42D3-AD85-087FD7577B89}" name="Column5809"/>
    <tableColumn id="5843" xr3:uid="{1A32C7AD-E979-401A-99EB-47508E40589B}" name="Column5810"/>
    <tableColumn id="5844" xr3:uid="{71ECE035-EB91-43FB-ADC2-CCCA8F5A51E8}" name="Column5811"/>
    <tableColumn id="5845" xr3:uid="{277DF882-59F9-4EAC-993B-AE4D0715F793}" name="Column5812"/>
    <tableColumn id="5846" xr3:uid="{AB782D65-AB52-4EB2-97AC-DBEAF2D38145}" name="Column5813"/>
    <tableColumn id="5847" xr3:uid="{3D6B3E2A-B5AF-4507-AAB9-78A6C69F9A0C}" name="Column5814"/>
    <tableColumn id="5848" xr3:uid="{322AE1C9-557D-4195-869C-A39C97261F27}" name="Column5815"/>
    <tableColumn id="5849" xr3:uid="{D06D3112-8A39-468D-ADBC-CE071C096E51}" name="Column5816"/>
    <tableColumn id="5850" xr3:uid="{34176884-771E-4F2B-8D6F-BAEA21F593AC}" name="Column5817"/>
    <tableColumn id="5851" xr3:uid="{47B05E9A-549B-4626-8306-1778605D0020}" name="Column5818"/>
    <tableColumn id="5852" xr3:uid="{AF96F3B5-0DE8-43DB-B672-7D1B6B22BB9D}" name="Column5819"/>
    <tableColumn id="5853" xr3:uid="{D227DEBF-611E-4426-AD60-780C492BD59E}" name="Column5820"/>
    <tableColumn id="5854" xr3:uid="{857DAD2E-8A50-43D0-B15F-8C6258F875BC}" name="Column5821"/>
    <tableColumn id="5855" xr3:uid="{9282347B-DA30-4C5D-88F5-56D256ED30E3}" name="Column5822"/>
    <tableColumn id="5856" xr3:uid="{735F278D-083E-4A52-8EED-587324F1F6BD}" name="Column5823"/>
    <tableColumn id="5857" xr3:uid="{F9970E7A-95FB-4A82-8EEF-282BC2D2F42F}" name="Column5824"/>
    <tableColumn id="5858" xr3:uid="{5CB489BD-BCCF-4DA6-9890-CB90E5A4D18C}" name="Column5825"/>
    <tableColumn id="5859" xr3:uid="{3235DBF0-4E6C-4BBA-AB78-C69975ADA88D}" name="Column5826"/>
    <tableColumn id="5860" xr3:uid="{12FFEB06-5616-4DE3-AEDA-1B930625A540}" name="Column5827"/>
    <tableColumn id="5861" xr3:uid="{0880A7D3-393E-4EE6-AB53-779979C1C05C}" name="Column5828"/>
    <tableColumn id="5862" xr3:uid="{62D419C5-FDDB-4AF6-9079-05463147EA45}" name="Column5829"/>
    <tableColumn id="5863" xr3:uid="{BBD0E90A-EFAD-456D-861E-CE3F2ECB32C8}" name="Column5830"/>
    <tableColumn id="5864" xr3:uid="{71A70BCC-CDC0-4262-B357-DE433FFD8223}" name="Column5831"/>
    <tableColumn id="5865" xr3:uid="{500AB974-9FB5-4464-AC8F-C735202426F4}" name="Column5832"/>
    <tableColumn id="5866" xr3:uid="{B7BC7AFE-45C8-483D-8C1F-A09760FD55C0}" name="Column5833"/>
    <tableColumn id="5867" xr3:uid="{18BD0549-12AA-443F-B51D-1A9D9C153564}" name="Column5834"/>
    <tableColumn id="5868" xr3:uid="{94225AAC-C2BF-4F99-A7F8-69685F86E173}" name="Column5835"/>
    <tableColumn id="5869" xr3:uid="{EA512318-FA5C-4685-A160-D92EC729F0EC}" name="Column5836"/>
    <tableColumn id="5870" xr3:uid="{4B8E3E58-2063-4C89-B3FB-D5D707B459AC}" name="Column5837"/>
    <tableColumn id="5871" xr3:uid="{59E915F7-AF27-40F6-9FC1-CFD150DA0FF3}" name="Column5838"/>
    <tableColumn id="5872" xr3:uid="{87EFD327-5664-4A0C-912E-10571E805DDC}" name="Column5839"/>
    <tableColumn id="5873" xr3:uid="{AF216306-64CB-4D22-8041-D5F13EC66495}" name="Column5840"/>
    <tableColumn id="5874" xr3:uid="{6C76E968-777B-409A-B5BF-1DC7D8C4AFFF}" name="Column5841"/>
    <tableColumn id="5875" xr3:uid="{7492CF1C-D09C-48D3-B21F-E46A5FB6B228}" name="Column5842"/>
    <tableColumn id="5876" xr3:uid="{80DBF21E-AA70-425F-89B9-A555AA82B6FD}" name="Column5843"/>
    <tableColumn id="5877" xr3:uid="{AFBF6D60-C9C6-462A-9060-47A79E9B2A9B}" name="Column5844"/>
    <tableColumn id="5878" xr3:uid="{3817DCDE-4B60-47A2-BD57-CEEC0B6BD6BA}" name="Column5845"/>
    <tableColumn id="5879" xr3:uid="{7623CB6A-6579-46D0-8ED4-71A3C31C1D40}" name="Column5846"/>
    <tableColumn id="5880" xr3:uid="{54FADA3E-3252-454D-BB2B-C1FAA00316FD}" name="Column5847"/>
    <tableColumn id="5881" xr3:uid="{33A3F29C-B9CC-470E-88F3-478E9D3153BA}" name="Column5848"/>
    <tableColumn id="5882" xr3:uid="{83B2E4A7-EDE8-4B6C-9439-63ABFB067D3D}" name="Column5849"/>
    <tableColumn id="5883" xr3:uid="{D6A5BA9D-8E80-4E41-BE7C-9C9EF442A189}" name="Column5850"/>
    <tableColumn id="5884" xr3:uid="{324B7750-3770-4AD8-8ED8-A05AF8335A45}" name="Column5851"/>
    <tableColumn id="5885" xr3:uid="{491EF8DA-EB45-4FE4-B836-F121419EA5B9}" name="Column5852"/>
    <tableColumn id="5886" xr3:uid="{0FF0491A-21B2-45B5-9A5D-7E6660AB8028}" name="Column5853"/>
    <tableColumn id="5887" xr3:uid="{C7C4183C-83DF-4BA7-BD19-78D9BAD50332}" name="Column5854"/>
    <tableColumn id="5888" xr3:uid="{A0DB8AE1-E24D-44BD-8327-F53036290E05}" name="Column5855"/>
    <tableColumn id="5889" xr3:uid="{787D525F-4341-4BCE-BA63-21461F8CB8EF}" name="Column5856"/>
    <tableColumn id="5890" xr3:uid="{BF2A6AB1-08B1-4E39-84CE-57942AE2DFBF}" name="Column5857"/>
    <tableColumn id="5891" xr3:uid="{239CFC2F-F3F6-449E-B1DA-95E328063630}" name="Column5858"/>
    <tableColumn id="5892" xr3:uid="{F9AC18F7-D72F-47B0-A2E1-4AA38439FB17}" name="Column5859"/>
    <tableColumn id="5893" xr3:uid="{0E146471-17AD-4E26-BC1A-21AC62DAF5DA}" name="Column5860"/>
    <tableColumn id="5894" xr3:uid="{961A3CA9-1AE8-494E-8DDD-50D176ECFF0F}" name="Column5861"/>
    <tableColumn id="5895" xr3:uid="{8C4C1DDF-311A-472F-8957-B7F4171D4CFA}" name="Column5862"/>
    <tableColumn id="5896" xr3:uid="{A4F49C10-BB6E-4546-A17F-4CBE3A6590A3}" name="Column5863"/>
    <tableColumn id="5897" xr3:uid="{3034B15E-2E9A-47FC-B31B-023BF8B09FEC}" name="Column5864"/>
    <tableColumn id="5898" xr3:uid="{EC94D51D-945E-491C-BB05-2BB86D8A70B1}" name="Column5865"/>
    <tableColumn id="5899" xr3:uid="{CB1E544B-B0D7-4EC8-B191-76FD870D4A36}" name="Column5866"/>
    <tableColumn id="5900" xr3:uid="{66DF68BE-E204-45DD-B9F2-3DA6FE9F278F}" name="Column5867"/>
    <tableColumn id="5901" xr3:uid="{ECA81ED7-D4E5-4453-BFC6-BD82A3614A95}" name="Column5868"/>
    <tableColumn id="5902" xr3:uid="{B8F8D1E7-93B3-4C0C-B050-9D97B7B60204}" name="Column5869"/>
    <tableColumn id="5903" xr3:uid="{537C0D6C-2B39-413E-9B30-19BEE15EA474}" name="Column5870"/>
    <tableColumn id="5904" xr3:uid="{993C6E5C-4AA7-4247-9DD6-DAC5F1503190}" name="Column5871"/>
    <tableColumn id="5905" xr3:uid="{8B72FD27-C3EC-4802-B964-92BD6F9C16D9}" name="Column5872"/>
    <tableColumn id="5906" xr3:uid="{31B903AD-8E56-46EB-9996-726CB9F0FD35}" name="Column5873"/>
    <tableColumn id="5907" xr3:uid="{BD2CF944-041C-4925-B4E2-B27701238E1A}" name="Column5874"/>
    <tableColumn id="5908" xr3:uid="{648AE4DA-EFFD-4F1D-8817-F589653249B3}" name="Column5875"/>
    <tableColumn id="5909" xr3:uid="{BCCECD7D-7F0F-4DA8-8ED9-8CC2E84D3B0D}" name="Column5876"/>
    <tableColumn id="5910" xr3:uid="{EF956C64-FAAC-4621-BA1C-94C6DB4B3AD6}" name="Column5877"/>
    <tableColumn id="5911" xr3:uid="{847C0625-9893-416A-B914-C8C6C8C8DCE6}" name="Column5878"/>
    <tableColumn id="5912" xr3:uid="{FCF7189F-5558-43D8-A2D1-4394CD0BB8E8}" name="Column5879"/>
    <tableColumn id="5913" xr3:uid="{1FE727F0-2297-4AB0-9EF8-410E61A18A7A}" name="Column5880"/>
    <tableColumn id="5914" xr3:uid="{17AE6DC0-4DC0-4A60-A66C-255802FC7758}" name="Column5881"/>
    <tableColumn id="5915" xr3:uid="{5FEB8FF1-6348-4EAB-B32E-863F446C2AB2}" name="Column5882"/>
    <tableColumn id="5916" xr3:uid="{A6A00D23-0462-474F-AFC4-4C9D072A741E}" name="Column5883"/>
    <tableColumn id="5917" xr3:uid="{F8DC769E-8BC6-4CEC-8BB2-D98CD60C32B0}" name="Column5884"/>
    <tableColumn id="5918" xr3:uid="{A809B524-3CC2-4623-9B25-CD1DC2CF5849}" name="Column5885"/>
    <tableColumn id="5919" xr3:uid="{44E7B1F3-FDD6-44B1-A561-80EDAFE5B5C2}" name="Column5886"/>
    <tableColumn id="5920" xr3:uid="{14A9C543-B51D-47FF-B387-DCF3EE8E4B0E}" name="Column5887"/>
    <tableColumn id="5921" xr3:uid="{2B9F6AC9-C28C-4DFA-B5F0-98A962B39A3F}" name="Column5888"/>
    <tableColumn id="5922" xr3:uid="{7ED403FB-CAEB-4DDC-A57E-9C42B8EE8BA7}" name="Column5889"/>
    <tableColumn id="5923" xr3:uid="{88BA3B5A-C59A-452E-9E2F-2504D5FA9C5B}" name="Column5890"/>
    <tableColumn id="5924" xr3:uid="{84F74FA5-AE2C-4107-B814-2E333FE3F8E6}" name="Column5891"/>
    <tableColumn id="5925" xr3:uid="{6355CE50-EC9B-4AFF-B871-D600FF1ED312}" name="Column5892"/>
    <tableColumn id="5926" xr3:uid="{834CD26F-3730-4E3E-BFAD-D5C846A99ED1}" name="Column5893"/>
    <tableColumn id="5927" xr3:uid="{B1B18CCC-AD52-4765-A31E-ADD1FBB03A45}" name="Column5894"/>
    <tableColumn id="5928" xr3:uid="{B7A51908-B82E-43F9-A783-6BCE60465628}" name="Column5895"/>
    <tableColumn id="5929" xr3:uid="{EF136EC9-022E-4ABE-90F0-AEAB36F57DFD}" name="Column5896"/>
    <tableColumn id="5930" xr3:uid="{27C56103-0DFE-4CE6-A872-30BEFCDDC7C7}" name="Column5897"/>
    <tableColumn id="5931" xr3:uid="{788FA2FF-5391-47FA-8283-C2D09F7EEA63}" name="Column5898"/>
    <tableColumn id="5932" xr3:uid="{5E071955-311F-441D-9064-73B10D61FE87}" name="Column5899"/>
    <tableColumn id="5933" xr3:uid="{8A5F0F9D-A798-4AF1-9F06-9685153AAE38}" name="Column5900"/>
    <tableColumn id="5934" xr3:uid="{229EB8A7-CDB5-4FE4-A58A-E7B230221AE6}" name="Column5901"/>
    <tableColumn id="5935" xr3:uid="{1A7E574F-6D7D-4FC0-ABE0-98D2D8D06D77}" name="Column5902"/>
    <tableColumn id="5936" xr3:uid="{421CAB8A-B7E9-4871-A9A0-B97765CE203F}" name="Column5903"/>
    <tableColumn id="5937" xr3:uid="{940449EB-78E8-495D-A6D3-D72B2575A182}" name="Column5904"/>
    <tableColumn id="5938" xr3:uid="{6FEC8837-2F95-43DC-86BB-D90901916E05}" name="Column5905"/>
    <tableColumn id="5939" xr3:uid="{7D83E765-0C9E-4AF4-A814-0D0D0464AB29}" name="Column5906"/>
    <tableColumn id="5940" xr3:uid="{16FE3B0A-3A77-42D9-B180-5A0EA5BF2364}" name="Column5907"/>
    <tableColumn id="5941" xr3:uid="{2863B2B9-6A1E-48CE-81C1-A84B94C6A363}" name="Column5908"/>
    <tableColumn id="5942" xr3:uid="{95FB7EB8-5897-4FCD-8E22-7310304B809C}" name="Column5909"/>
    <tableColumn id="5943" xr3:uid="{FDD385A4-9D58-406D-9585-7F4650EB91BF}" name="Column5910"/>
    <tableColumn id="5944" xr3:uid="{49022B9B-4769-4185-8200-040EBF629625}" name="Column5911"/>
    <tableColumn id="5945" xr3:uid="{5CC251AC-7A80-486A-804C-6AF09675E1A4}" name="Column5912"/>
    <tableColumn id="5946" xr3:uid="{9B23DA8F-9FA7-4774-B82D-DDB9664FF3C6}" name="Column5913"/>
    <tableColumn id="5947" xr3:uid="{B084D26F-B298-4C0E-8F23-16851BEF8D0F}" name="Column5914"/>
    <tableColumn id="5948" xr3:uid="{4C0C5DB6-677B-45FE-B0F0-45B04B7E30E1}" name="Column5915"/>
    <tableColumn id="5949" xr3:uid="{062B7963-582F-48DB-9555-549258C8A13F}" name="Column5916"/>
    <tableColumn id="5950" xr3:uid="{C2BE8626-7EAF-491F-811B-1D6B3ABA5F30}" name="Column5917"/>
    <tableColumn id="5951" xr3:uid="{C27CB6E8-DD5D-40BC-9FC4-CE0C8334E4DC}" name="Column5918"/>
    <tableColumn id="5952" xr3:uid="{AD436CFD-E60C-4236-8B40-B7C2949C620C}" name="Column5919"/>
    <tableColumn id="5953" xr3:uid="{D00828EE-57E9-41F0-A495-79E3413E0EF2}" name="Column5920"/>
    <tableColumn id="5954" xr3:uid="{0902A5E8-5748-443F-AFB9-2AC221CA9BDE}" name="Column5921"/>
    <tableColumn id="5955" xr3:uid="{5C14B6CA-FE24-4F4F-A800-6662CE149BAC}" name="Column5922"/>
    <tableColumn id="5956" xr3:uid="{D9E6831E-9F6E-4B6F-B991-F84DF1A17E94}" name="Column5923"/>
    <tableColumn id="5957" xr3:uid="{13A77113-CF0F-47FF-85B2-11FB898521CF}" name="Column5924"/>
    <tableColumn id="5958" xr3:uid="{160A5077-40E5-4A20-9419-01822913A1A4}" name="Column5925"/>
    <tableColumn id="5959" xr3:uid="{7511DE57-D527-4AD0-A4CA-9796808A0D9C}" name="Column5926"/>
    <tableColumn id="5960" xr3:uid="{B7FC684E-EA24-4D20-8C39-A71B98C359EA}" name="Column5927"/>
    <tableColumn id="5961" xr3:uid="{7E4D1461-2633-4BFB-BA8C-A39C779FEB81}" name="Column5928"/>
    <tableColumn id="5962" xr3:uid="{8934118B-3B14-4441-934C-B2AFD0CD236D}" name="Column5929"/>
    <tableColumn id="5963" xr3:uid="{E62A83AF-9531-44D5-811B-CF7C44D443A4}" name="Column5930"/>
    <tableColumn id="5964" xr3:uid="{42409A7A-7E35-4CBC-92EA-D33705AA9953}" name="Column5931"/>
    <tableColumn id="5965" xr3:uid="{6578DD8E-E4C4-46DD-8B10-33D91480BEC0}" name="Column5932"/>
    <tableColumn id="5966" xr3:uid="{D6C40762-A053-4945-9F0C-E0B60BA15D94}" name="Column5933"/>
    <tableColumn id="5967" xr3:uid="{33E6787C-5F76-432C-BAF5-AB768B02A99C}" name="Column5934"/>
    <tableColumn id="5968" xr3:uid="{B00FEECD-D4C8-414D-8E08-1394F5D4FAF5}" name="Column5935"/>
    <tableColumn id="5969" xr3:uid="{4CEFA0C2-5747-4DB6-93D8-0C224E364252}" name="Column5936"/>
    <tableColumn id="5970" xr3:uid="{006348E0-1EF5-4325-92CD-DA68442D4E11}" name="Column5937"/>
    <tableColumn id="5971" xr3:uid="{F18EBF51-159D-4F28-A398-D1008976812E}" name="Column5938"/>
    <tableColumn id="5972" xr3:uid="{1691FE97-F58A-4608-A7B1-B29631376D14}" name="Column5939"/>
    <tableColumn id="5973" xr3:uid="{7C4DD9A9-AF72-467B-AE26-754C14B4DB4A}" name="Column5940"/>
    <tableColumn id="5974" xr3:uid="{75ABA180-487F-4E6F-AC69-9FCE79D8BA4D}" name="Column5941"/>
    <tableColumn id="5975" xr3:uid="{A731C1DB-7B95-44AC-A8A3-317A541A0E1D}" name="Column5942"/>
    <tableColumn id="5976" xr3:uid="{FDE78748-B688-4B92-B937-66D5E2CA345D}" name="Column5943"/>
    <tableColumn id="5977" xr3:uid="{D4BCB911-AAD5-45D5-852C-C0F18701B4A8}" name="Column5944"/>
    <tableColumn id="5978" xr3:uid="{4502BD44-AC87-4D60-ADA7-644C01D7907B}" name="Column5945"/>
    <tableColumn id="5979" xr3:uid="{7D46601B-B682-4F00-BF92-0F1030ACC930}" name="Column5946"/>
    <tableColumn id="5980" xr3:uid="{510F3442-0E49-4A69-AF55-6C260C0C7F72}" name="Column5947"/>
    <tableColumn id="5981" xr3:uid="{9ED2C3DD-B70B-4114-A69A-685630C4E3EB}" name="Column5948"/>
    <tableColumn id="5982" xr3:uid="{49ECA1A8-99DC-40DB-B007-2AB08C7A0798}" name="Column5949"/>
    <tableColumn id="5983" xr3:uid="{4CFA16E5-79AC-488E-9940-55FEB8F610C5}" name="Column5950"/>
    <tableColumn id="5984" xr3:uid="{4213A648-F5CA-428A-9246-AA5652C8A7AC}" name="Column5951"/>
    <tableColumn id="5985" xr3:uid="{201B1C27-7815-4947-A1DC-E48DAAE62508}" name="Column5952"/>
    <tableColumn id="5986" xr3:uid="{A6468020-E734-430F-B28D-7D5FBB3F98AE}" name="Column5953"/>
    <tableColumn id="5987" xr3:uid="{D8050BFA-BBC8-483F-A77D-847E60F939E2}" name="Column5954"/>
    <tableColumn id="5988" xr3:uid="{7246FFC0-946B-44ED-8AC7-A70CF63769F3}" name="Column5955"/>
    <tableColumn id="5989" xr3:uid="{642C350A-E5DE-4A8B-BFA0-65D0129DB657}" name="Column5956"/>
    <tableColumn id="5990" xr3:uid="{DFB1C613-E816-4A42-8412-CA32BED1D6C6}" name="Column5957"/>
    <tableColumn id="5991" xr3:uid="{B508147E-D799-4B82-915F-0FDF1E6785EE}" name="Column5958"/>
    <tableColumn id="5992" xr3:uid="{EA3E9B02-22F6-4D6C-AAA7-A4BBFFABCBD6}" name="Column5959"/>
    <tableColumn id="5993" xr3:uid="{1CD37B78-F854-4D30-B829-7FA6894CCD22}" name="Column5960"/>
    <tableColumn id="5994" xr3:uid="{2F7363CD-0438-4EC9-B541-1A34FAD6CB33}" name="Column5961"/>
    <tableColumn id="5995" xr3:uid="{01CA79E6-015F-4BEA-A874-6410DA2CC08F}" name="Column5962"/>
    <tableColumn id="5996" xr3:uid="{9AC2C51C-F906-48A8-A028-1B19EE207614}" name="Column5963"/>
    <tableColumn id="5997" xr3:uid="{58FE90A0-8975-4C73-8464-1ACD26570CB8}" name="Column5964"/>
    <tableColumn id="5998" xr3:uid="{DE855701-0313-4308-8A65-61304EB0A0EA}" name="Column5965"/>
    <tableColumn id="5999" xr3:uid="{2F258A72-9EE7-412D-91BD-7EDE3A066FCA}" name="Column5966"/>
    <tableColumn id="6000" xr3:uid="{35AE77ED-8023-4355-A8BC-90AA2E1B20AB}" name="Column5967"/>
    <tableColumn id="6001" xr3:uid="{406DB4E1-C71A-4307-872D-6A7F93025B59}" name="Column5968"/>
    <tableColumn id="6002" xr3:uid="{DEAEA1C4-CC35-472E-9919-E6A4CCBFD444}" name="Column5969"/>
    <tableColumn id="6003" xr3:uid="{2BD4C1A3-ECBF-40A7-8381-4D9EBCCBC5A8}" name="Column5970"/>
    <tableColumn id="6004" xr3:uid="{CC37195A-DE7F-4EB0-9725-EEA70BE8CAA3}" name="Column5971"/>
    <tableColumn id="6005" xr3:uid="{D55A972C-9A93-45BE-B2EC-91C90F0BF3AE}" name="Column5972"/>
    <tableColumn id="6006" xr3:uid="{99C65823-542F-4F40-BAD4-394F906F1A4E}" name="Column5973"/>
    <tableColumn id="6007" xr3:uid="{C05C3DAD-8ACA-4F5D-9EF2-AC24C44171BE}" name="Column5974"/>
    <tableColumn id="6008" xr3:uid="{CCF6EBE3-69A5-4C22-A269-EC478E7A9DD7}" name="Column5975"/>
    <tableColumn id="6009" xr3:uid="{41D3158A-D238-4DA0-B60D-7BB0D7ECECBB}" name="Column5976"/>
    <tableColumn id="6010" xr3:uid="{86BF6748-885C-4FCC-94C0-1852E1F8F3EF}" name="Column5977"/>
    <tableColumn id="6011" xr3:uid="{B5FFF4EE-0B03-4EE3-A76E-822D4F0F3510}" name="Column5978"/>
    <tableColumn id="6012" xr3:uid="{231818BC-6B93-406D-ABEB-B80A2740EF16}" name="Column5979"/>
    <tableColumn id="6013" xr3:uid="{8985B675-9AF4-4264-A16D-C311A4200E22}" name="Column5980"/>
    <tableColumn id="6014" xr3:uid="{5FDBA929-1BAE-4299-B214-872B85EB9D0F}" name="Column5981"/>
    <tableColumn id="6015" xr3:uid="{0BB18DA2-11A3-47CE-BE86-46E039EF26F2}" name="Column5982"/>
    <tableColumn id="6016" xr3:uid="{9E9B249B-C35A-4DA5-884E-1E477CD1A39B}" name="Column5983"/>
    <tableColumn id="6017" xr3:uid="{CEF21743-BA72-43D5-88DA-C2183AE82D34}" name="Column5984"/>
    <tableColumn id="6018" xr3:uid="{FFB9E77F-BC93-43CF-9BE2-0B7CEB1F9B2D}" name="Column5985"/>
    <tableColumn id="6019" xr3:uid="{52D8F9BA-04D4-41C9-BB16-ECEC7694CA50}" name="Column5986"/>
    <tableColumn id="6020" xr3:uid="{0BFE57F1-F189-4FDF-9B85-5187C77F7563}" name="Column5987"/>
    <tableColumn id="6021" xr3:uid="{56FB29F5-E64A-4FA4-87D0-19229CB34921}" name="Column5988"/>
    <tableColumn id="6022" xr3:uid="{903FF21E-4D15-4DC3-9D59-867D4F47652C}" name="Column5989"/>
    <tableColumn id="6023" xr3:uid="{6F16E7D6-4349-4357-8143-90425EF92D49}" name="Column5990"/>
    <tableColumn id="6024" xr3:uid="{C13FA6E2-D61B-4BA5-B102-77A550FECC59}" name="Column5991"/>
    <tableColumn id="6025" xr3:uid="{F11449E5-103F-4A3C-9E81-DF932A79AFE5}" name="Column5992"/>
    <tableColumn id="6026" xr3:uid="{A6F2F265-3A8C-4BAA-8CDE-D7640772157A}" name="Column5993"/>
    <tableColumn id="6027" xr3:uid="{3A501433-7931-49DE-A160-2AF549C311BF}" name="Column5994"/>
    <tableColumn id="6028" xr3:uid="{6BA5AA68-F7EE-4CA4-A296-C1A239C15D41}" name="Column5995"/>
    <tableColumn id="6029" xr3:uid="{B6E6D007-C443-463F-8384-9BA838B0EC9E}" name="Column5996"/>
    <tableColumn id="6030" xr3:uid="{032AF831-3DAA-4C39-A2D7-B44C5575F250}" name="Column5997"/>
    <tableColumn id="6031" xr3:uid="{8EA47EA2-D7B8-46F3-9B3A-8E643C335196}" name="Column5998"/>
    <tableColumn id="6032" xr3:uid="{C0F38D75-BD87-4FEF-BCD1-6F60709750CC}" name="Column5999"/>
    <tableColumn id="6033" xr3:uid="{132DFB70-67D1-4FD4-BFA1-AF9AC377BF06}" name="Column6000"/>
    <tableColumn id="6034" xr3:uid="{E5773DB8-575E-43B6-81AE-C64987E078C7}" name="Column6001"/>
    <tableColumn id="6035" xr3:uid="{899EBB5A-98D7-49E2-A276-D32A85D80CB8}" name="Column6002"/>
    <tableColumn id="6036" xr3:uid="{C888AF20-7E07-4F1F-A142-C0BF2673DD71}" name="Column6003"/>
    <tableColumn id="6037" xr3:uid="{6C1E39A5-94F7-4A2D-94BE-0CF9A8F6B461}" name="Column6004"/>
    <tableColumn id="6038" xr3:uid="{B46D8FB0-943A-45BF-B4F0-CC08D796BEB7}" name="Column6005"/>
    <tableColumn id="6039" xr3:uid="{D4A255A9-FA5E-4613-A44E-B5F67B9BF4AD}" name="Column6006"/>
    <tableColumn id="6040" xr3:uid="{41002DC4-08D7-476E-B533-C467DBC52C37}" name="Column6007"/>
    <tableColumn id="6041" xr3:uid="{13C2BAE2-B409-4AED-B88F-E1595F4804D0}" name="Column6008"/>
    <tableColumn id="6042" xr3:uid="{28C603B6-D6A0-414A-A4F2-D03129C733D9}" name="Column6009"/>
    <tableColumn id="6043" xr3:uid="{EE6276A0-5E4C-4346-A50A-42E7D5465BD6}" name="Column6010"/>
    <tableColumn id="6044" xr3:uid="{FE0ECE89-C9A0-467D-A6F3-19605211F80E}" name="Column6011"/>
    <tableColumn id="6045" xr3:uid="{4025DB42-D7D3-462B-8F65-051FA1148358}" name="Column6012"/>
    <tableColumn id="6046" xr3:uid="{0C47CCF2-D6BD-41F0-A40C-BFEA608A21CC}" name="Column6013"/>
    <tableColumn id="6047" xr3:uid="{5446799A-DE0F-4E78-AD62-8FD48DA6B293}" name="Column6014"/>
    <tableColumn id="6048" xr3:uid="{8E6B6F3E-9F8A-4635-8892-61A23D399ED9}" name="Column6015"/>
    <tableColumn id="6049" xr3:uid="{B1BAC3CA-30C5-460C-B44B-424EA68B7A45}" name="Column6016"/>
    <tableColumn id="6050" xr3:uid="{25754C0F-D913-41D9-B816-714336E4B8FF}" name="Column6017"/>
    <tableColumn id="6051" xr3:uid="{F04E32DF-F69E-461A-9FC7-25966E60A1EF}" name="Column6018"/>
    <tableColumn id="6052" xr3:uid="{F876CE25-EC47-4C0F-B619-74EF17061DED}" name="Column6019"/>
    <tableColumn id="6053" xr3:uid="{91A9B222-5014-4612-A20E-BE7F75B4D106}" name="Column6020"/>
    <tableColumn id="6054" xr3:uid="{E26E5C23-FEDA-496D-88B2-8891A2BAA72E}" name="Column6021"/>
    <tableColumn id="6055" xr3:uid="{C2D3EBAF-230F-4F5C-8B04-9941204B0CDF}" name="Column6022"/>
    <tableColumn id="6056" xr3:uid="{D88D8731-A5E0-42B1-AE85-E01A18C5B22D}" name="Column6023"/>
    <tableColumn id="6057" xr3:uid="{010A5165-BEEE-4BB4-A40C-28022B70879C}" name="Column6024"/>
    <tableColumn id="6058" xr3:uid="{F24ACF5A-72F2-4CD5-9A06-B167CAC7A3D2}" name="Column6025"/>
    <tableColumn id="6059" xr3:uid="{A79FC4DD-4B69-4728-8AC5-2F6ECACCB231}" name="Column6026"/>
    <tableColumn id="6060" xr3:uid="{36236628-F532-4042-9369-640DEA0F99CB}" name="Column6027"/>
    <tableColumn id="6061" xr3:uid="{309DCBB6-2565-4E8B-A42B-1CA9B81018A8}" name="Column6028"/>
    <tableColumn id="6062" xr3:uid="{0B907952-5676-4575-8186-0E0E29D43659}" name="Column6029"/>
    <tableColumn id="6063" xr3:uid="{0AB95255-00AE-4505-B6D3-1DC170633DB1}" name="Column6030"/>
    <tableColumn id="6064" xr3:uid="{E47B94C9-E0F4-41F4-8A4E-1453ACF87E48}" name="Column6031"/>
    <tableColumn id="6065" xr3:uid="{A027C054-9F7D-4375-962D-626A51926849}" name="Column6032"/>
    <tableColumn id="6066" xr3:uid="{41DFF9E0-1CEA-4219-B81F-C4DA1428C364}" name="Column6033"/>
    <tableColumn id="6067" xr3:uid="{29D426E2-8F55-4E3F-835E-4AA24E212EFB}" name="Column6034"/>
    <tableColumn id="6068" xr3:uid="{DE4E800B-8C24-43B6-A455-F02A6D575BDF}" name="Column6035"/>
    <tableColumn id="6069" xr3:uid="{B0287530-6998-47D9-934E-1CAB6F79048B}" name="Column6036"/>
    <tableColumn id="6070" xr3:uid="{157D82E9-69E5-49A2-95D4-6C839F632C50}" name="Column6037"/>
    <tableColumn id="6071" xr3:uid="{8D7F8DE6-5A34-4DF1-BB96-B4D045CC3E82}" name="Column6038"/>
    <tableColumn id="6072" xr3:uid="{33D264A7-9891-4052-9EB4-4453FBF16F62}" name="Column6039"/>
    <tableColumn id="6073" xr3:uid="{5316432A-06CB-4CC5-B969-E0B65EA367CE}" name="Column6040"/>
    <tableColumn id="6074" xr3:uid="{D4E8E0BE-330E-4C35-B454-BB4E309CD906}" name="Column6041"/>
    <tableColumn id="6075" xr3:uid="{B33459C0-445E-4970-8A63-CF83A9BF303B}" name="Column6042"/>
    <tableColumn id="6076" xr3:uid="{87126341-777B-47EC-9D35-0A85F89637EB}" name="Column6043"/>
    <tableColumn id="6077" xr3:uid="{3AADAE75-D8BF-407B-8A97-2FA5471DBB83}" name="Column6044"/>
    <tableColumn id="6078" xr3:uid="{B9318C82-2AF7-43E2-8705-2F4621B0A431}" name="Column6045"/>
    <tableColumn id="6079" xr3:uid="{02CF6310-C68E-4FF6-9876-303D4CF9A1B8}" name="Column6046"/>
    <tableColumn id="6080" xr3:uid="{78BA8942-A562-4553-B299-160173DF350F}" name="Column6047"/>
    <tableColumn id="6081" xr3:uid="{4E5A7470-440C-4229-B8E9-2DDFC097D407}" name="Column6048"/>
    <tableColumn id="6082" xr3:uid="{E5CE16A5-2F3D-4277-BC8C-37D3C36E7E43}" name="Column6049"/>
    <tableColumn id="6083" xr3:uid="{80FE31A9-75F7-4FC1-B6AF-502454DBFE70}" name="Column6050"/>
    <tableColumn id="6084" xr3:uid="{4D8DBDDD-D2C3-4441-AEE5-EB18AADFC071}" name="Column6051"/>
    <tableColumn id="6085" xr3:uid="{0DBA8C7D-F17B-49B1-85DA-569A2CC6C1E7}" name="Column6052"/>
    <tableColumn id="6086" xr3:uid="{8668488F-00B7-495F-A448-43DDA017CC03}" name="Column6053"/>
    <tableColumn id="6087" xr3:uid="{7CAAE9B3-8F9B-4466-B062-A0CC87FC0B6A}" name="Column6054"/>
    <tableColumn id="6088" xr3:uid="{0AC69B3E-AC25-4E62-B8DF-B5E551A3F550}" name="Column6055"/>
    <tableColumn id="6089" xr3:uid="{E8A9C8BB-7C33-44ED-A1BF-513A23FD0FC9}" name="Column6056"/>
    <tableColumn id="6090" xr3:uid="{BA17677E-FB30-43FE-B1C9-C81614ABB2D8}" name="Column6057"/>
    <tableColumn id="6091" xr3:uid="{CAEF76D8-5469-4E0F-A3A5-E24FA0058C11}" name="Column6058"/>
    <tableColumn id="6092" xr3:uid="{28C6BB0D-8F89-494B-9E84-75093FE7DE51}" name="Column6059"/>
    <tableColumn id="6093" xr3:uid="{171E80C0-7D7F-4E6F-B84B-F68E535606AF}" name="Column6060"/>
    <tableColumn id="6094" xr3:uid="{8ABC772C-EFF1-4F56-A3B5-801A0F48597F}" name="Column6061"/>
    <tableColumn id="6095" xr3:uid="{8B5B05EB-A694-4354-BC52-403B238CC7AA}" name="Column6062"/>
    <tableColumn id="6096" xr3:uid="{6231D9FC-E00C-40FB-8605-8809C77CB639}" name="Column6063"/>
    <tableColumn id="6097" xr3:uid="{386F77B7-F851-4648-BC63-B238DD92867A}" name="Column6064"/>
    <tableColumn id="6098" xr3:uid="{A0CF16EA-77EF-42F0-99D1-0E6801EC70D5}" name="Column6065"/>
    <tableColumn id="6099" xr3:uid="{B480CF90-D584-4A14-962F-59BD4A66F33A}" name="Column6066"/>
    <tableColumn id="6100" xr3:uid="{36B173E7-10EC-4DA3-B824-17521EABAC08}" name="Column6067"/>
    <tableColumn id="6101" xr3:uid="{82F0DB7A-4E04-4344-B761-F48685366F38}" name="Column6068"/>
    <tableColumn id="6102" xr3:uid="{10B59766-7EA5-4702-9AF7-9112B90C08EE}" name="Column6069"/>
    <tableColumn id="6103" xr3:uid="{762B449B-AA22-460B-963C-92A7330A3463}" name="Column6070"/>
    <tableColumn id="6104" xr3:uid="{BDDCC462-9589-4F11-BE61-0EC201434BEA}" name="Column6071"/>
    <tableColumn id="6105" xr3:uid="{F3C164B2-720E-4733-B9F0-912DB589670A}" name="Column6072"/>
    <tableColumn id="6106" xr3:uid="{EA57CDE3-1006-4661-908C-E9DAB413E517}" name="Column6073"/>
    <tableColumn id="6107" xr3:uid="{A7BE089F-0CF3-4BD0-BD2B-0BD10071F364}" name="Column6074"/>
    <tableColumn id="6108" xr3:uid="{15493AB1-BF8F-4837-9F52-C2B748A7EB33}" name="Column6075"/>
    <tableColumn id="6109" xr3:uid="{8EF65DF6-9EDC-46F6-AD9F-EE7473B536E3}" name="Column6076"/>
    <tableColumn id="6110" xr3:uid="{B9CA24E3-695C-4EE0-9558-76D303877E00}" name="Column6077"/>
    <tableColumn id="6111" xr3:uid="{F0DA93A2-4F90-4598-9C66-FA78397F1174}" name="Column6078"/>
    <tableColumn id="6112" xr3:uid="{B4CAB38B-3A92-49C1-9257-458EC8D98FA6}" name="Column6079"/>
    <tableColumn id="6113" xr3:uid="{4673D34E-9623-4D0A-8832-2D641499CBE8}" name="Column6080"/>
    <tableColumn id="6114" xr3:uid="{14F86C6A-6C69-4D32-B5DB-383FF34BA0D8}" name="Column6081"/>
    <tableColumn id="6115" xr3:uid="{0FCA431E-BE06-464D-951F-23FA530002F3}" name="Column6082"/>
    <tableColumn id="6116" xr3:uid="{7308FA08-C312-49A9-A887-094FC48D2CF9}" name="Column6083"/>
    <tableColumn id="6117" xr3:uid="{3A5A1597-EF22-4A10-8567-A1564333CC49}" name="Column6084"/>
    <tableColumn id="6118" xr3:uid="{16DFD647-0192-4F9A-8AE1-8A92DFE7C716}" name="Column6085"/>
    <tableColumn id="6119" xr3:uid="{B3C304EB-8ABC-45D1-AFFC-047A974DDFA5}" name="Column6086"/>
    <tableColumn id="6120" xr3:uid="{BE3B735C-ACC9-407D-A81C-9336758E7638}" name="Column6087"/>
    <tableColumn id="6121" xr3:uid="{FB0F9CFB-ABD2-4460-BC1E-BE9CA59895C6}" name="Column6088"/>
    <tableColumn id="6122" xr3:uid="{DAF981B8-BB29-4594-9AEB-64833EAA42EF}" name="Column6089"/>
    <tableColumn id="6123" xr3:uid="{3FE727B9-B9A2-498A-9ABA-DF4585542F04}" name="Column6090"/>
    <tableColumn id="6124" xr3:uid="{74CF37A4-492D-429F-9E78-2E6DA68CEC97}" name="Column6091"/>
    <tableColumn id="6125" xr3:uid="{11E35156-2D82-41D0-8363-5FB3E0D1BFDE}" name="Column6092"/>
    <tableColumn id="6126" xr3:uid="{6F80E5CB-6799-40F6-B6BF-E1197BCEE872}" name="Column6093"/>
    <tableColumn id="6127" xr3:uid="{F0E7FBD7-0ADC-456C-9BAE-CD0D5B856586}" name="Column6094"/>
    <tableColumn id="6128" xr3:uid="{703C8C95-C837-4DE6-A243-86DD6AA653A0}" name="Column6095"/>
    <tableColumn id="6129" xr3:uid="{59E0A9AF-C6B6-4B66-8C84-3D16997CA8A3}" name="Column6096"/>
    <tableColumn id="6130" xr3:uid="{B4DE3723-67F5-4B16-AAAE-C7ABCF141ECD}" name="Column6097"/>
    <tableColumn id="6131" xr3:uid="{870C3C1A-27ED-4D53-AAC5-0A6920615CD9}" name="Column6098"/>
    <tableColumn id="6132" xr3:uid="{9D9DB034-2CE3-4F53-8D4C-B6F0AB503E92}" name="Column6099"/>
    <tableColumn id="6133" xr3:uid="{F8E2D7C5-3FA0-4AFE-8E80-44A3446AD74F}" name="Column6100"/>
    <tableColumn id="6134" xr3:uid="{82889D89-09C6-45EE-900F-128A2DE9BD36}" name="Column6101"/>
    <tableColumn id="6135" xr3:uid="{99C54AA8-9819-4951-A98E-D2FB12B88B9A}" name="Column6102"/>
    <tableColumn id="6136" xr3:uid="{96B0608D-4711-4D2D-9C11-75626E496072}" name="Column6103"/>
    <tableColumn id="6137" xr3:uid="{4430A8EE-F4E6-403A-A48C-00AF2511AC39}" name="Column6104"/>
    <tableColumn id="6138" xr3:uid="{111671B9-AAC6-4D9C-A583-A4CF1549CBF9}" name="Column6105"/>
    <tableColumn id="6139" xr3:uid="{5967C36B-BAFF-4177-9A81-312B8413698D}" name="Column6106"/>
    <tableColumn id="6140" xr3:uid="{B961CF4F-5D86-4A72-85FA-8776EAB4160C}" name="Column6107"/>
    <tableColumn id="6141" xr3:uid="{BB318D59-7C03-4B8B-8A8C-D5067087089F}" name="Column6108"/>
    <tableColumn id="6142" xr3:uid="{BF4E6ABA-E5B4-4966-8739-FABFFC5D6440}" name="Column6109"/>
    <tableColumn id="6143" xr3:uid="{1CC28447-7949-4DEC-8C35-4E19853B05CF}" name="Column6110"/>
    <tableColumn id="6144" xr3:uid="{7630314E-3E50-45DB-B0E5-EE9CC9C99963}" name="Column6111"/>
    <tableColumn id="6145" xr3:uid="{B29119E4-E12C-4B8E-A781-5330B8310036}" name="Column6112"/>
    <tableColumn id="6146" xr3:uid="{CFB8DD77-9018-450D-BAB9-88D15B0AB737}" name="Column6113"/>
    <tableColumn id="6147" xr3:uid="{D6CAD1BD-6975-48C8-AF5A-D164D30FB4EE}" name="Column6114"/>
    <tableColumn id="6148" xr3:uid="{0C76DF32-3CE0-4AC2-A4DC-51BB16406DA8}" name="Column6115"/>
    <tableColumn id="6149" xr3:uid="{EBDC4177-6982-4C18-BF91-BE2D13503150}" name="Column6116"/>
    <tableColumn id="6150" xr3:uid="{18B44CC0-E728-4B3F-B9C6-A2EDF642BC73}" name="Column6117"/>
    <tableColumn id="6151" xr3:uid="{74B85745-F44E-475B-9A15-534BA9CA0871}" name="Column6118"/>
    <tableColumn id="6152" xr3:uid="{E85F8F55-490D-4C9D-B1BE-445479E08F33}" name="Column6119"/>
    <tableColumn id="6153" xr3:uid="{3E8CDC0D-957D-4F84-B249-46409136BB2B}" name="Column6120"/>
    <tableColumn id="6154" xr3:uid="{8F25E080-9E96-40E8-BAE5-5659B7732E78}" name="Column6121"/>
    <tableColumn id="6155" xr3:uid="{CBFB16FB-02A2-4656-9344-B7B8DEB2E461}" name="Column6122"/>
    <tableColumn id="6156" xr3:uid="{D94CFF1D-4AAD-4DE5-AC19-2153280A8A38}" name="Column6123"/>
    <tableColumn id="6157" xr3:uid="{3412CB97-0132-4E07-9274-F26329122A2A}" name="Column6124"/>
    <tableColumn id="6158" xr3:uid="{970E9ECE-C43F-46F0-876D-8DF200C7C2E7}" name="Column6125"/>
    <tableColumn id="6159" xr3:uid="{4CE82DE4-9E07-4E65-98D0-7BD535C76A19}" name="Column6126"/>
    <tableColumn id="6160" xr3:uid="{E40F891A-AB98-44ED-B468-0B2860A856CF}" name="Column6127"/>
    <tableColumn id="6161" xr3:uid="{B0776850-B4C1-4FB7-9FED-7161A7BB2C0C}" name="Column6128"/>
    <tableColumn id="6162" xr3:uid="{DC1E0FC2-63D3-4E00-A43C-6C999E5A2ACF}" name="Column6129"/>
    <tableColumn id="6163" xr3:uid="{3C6ECFB6-4633-4D22-929B-CCDAB9F7FD84}" name="Column6130"/>
    <tableColumn id="6164" xr3:uid="{79A33168-C719-494E-A792-53B9A314E6D3}" name="Column6131"/>
    <tableColumn id="6165" xr3:uid="{CD6BB2E2-C60B-4E30-A009-AEF63043B806}" name="Column6132"/>
    <tableColumn id="6166" xr3:uid="{56E0C495-E37F-4D37-8DB2-46C727534EB0}" name="Column6133"/>
    <tableColumn id="6167" xr3:uid="{474E11C5-CB83-4389-A284-471B87DA06FB}" name="Column6134"/>
    <tableColumn id="6168" xr3:uid="{AC47D9BB-804B-4F7E-8868-65D3A80B0E6C}" name="Column6135"/>
    <tableColumn id="6169" xr3:uid="{2144590D-9080-43EC-BFFA-968CB92BDD15}" name="Column6136"/>
    <tableColumn id="6170" xr3:uid="{5A94F3BA-0305-42FF-B0C9-0CB698D1A973}" name="Column6137"/>
    <tableColumn id="6171" xr3:uid="{296DF16B-607F-423A-9CA0-2BE35F6C48EE}" name="Column6138"/>
    <tableColumn id="6172" xr3:uid="{DA6413E8-438F-4556-AE27-1B2D1836556B}" name="Column6139"/>
    <tableColumn id="6173" xr3:uid="{3950D8A4-D983-4DB9-A61C-4F4CEA2797B4}" name="Column6140"/>
    <tableColumn id="6174" xr3:uid="{CE110442-719D-4CFF-8864-69BC71A61D87}" name="Column6141"/>
    <tableColumn id="6175" xr3:uid="{AF26EA04-753B-40F0-A807-A293F5B87702}" name="Column6142"/>
    <tableColumn id="6176" xr3:uid="{9DA88CA6-20F4-441A-A4F2-826D9D967E77}" name="Column6143"/>
    <tableColumn id="6177" xr3:uid="{2719EFC5-38B5-419B-A33D-E948FD814B66}" name="Column6144"/>
    <tableColumn id="6178" xr3:uid="{280233A2-5C3F-4CDD-89D1-9D9D1589D60C}" name="Column6145"/>
    <tableColumn id="6179" xr3:uid="{8C7BBA7A-EA7A-42BE-8C53-CAE24CF110A2}" name="Column6146"/>
    <tableColumn id="6180" xr3:uid="{B52997F8-89CC-47C0-B297-BC6C3FCDAEC9}" name="Column6147"/>
    <tableColumn id="6181" xr3:uid="{993E9406-FAD1-4EC7-82C9-84C3970166E9}" name="Column6148"/>
    <tableColumn id="6182" xr3:uid="{ABDA4D20-3503-43FD-821C-18F2C391BD36}" name="Column6149"/>
    <tableColumn id="6183" xr3:uid="{10F86FE9-11FA-417E-AD76-288E1018A5EC}" name="Column6150"/>
    <tableColumn id="6184" xr3:uid="{9B26E947-17C5-48FE-8313-71DF6F7A5CA0}" name="Column6151"/>
    <tableColumn id="6185" xr3:uid="{1359AC2D-E266-47DB-BE0D-233082DFF3DB}" name="Column6152"/>
    <tableColumn id="6186" xr3:uid="{2873073F-F1E8-4E30-A856-C8519DF713A9}" name="Column6153"/>
    <tableColumn id="6187" xr3:uid="{B58EDFA0-2BD2-48AA-9F29-2E86AAA792F0}" name="Column6154"/>
    <tableColumn id="6188" xr3:uid="{B5775951-0E40-48A5-A282-3E5D428D38C5}" name="Column6155"/>
    <tableColumn id="6189" xr3:uid="{97F76D2F-96C6-4C6B-BD61-4D8EFDB912C5}" name="Column6156"/>
    <tableColumn id="6190" xr3:uid="{32BABA6F-3943-4CC1-9D88-1D17C0E4A055}" name="Column6157"/>
    <tableColumn id="6191" xr3:uid="{3240DE24-3124-4985-A740-CF9C3FA6FA09}" name="Column6158"/>
    <tableColumn id="6192" xr3:uid="{17DD3ACD-6621-4808-A68C-8F6FF7124670}" name="Column6159"/>
    <tableColumn id="6193" xr3:uid="{BDABC174-F81B-4C6D-AB07-C6D682B23B99}" name="Column6160"/>
    <tableColumn id="6194" xr3:uid="{6B069D1A-740F-4E06-A00C-91C376698B50}" name="Column6161"/>
    <tableColumn id="6195" xr3:uid="{041788DC-5081-4B48-AB56-F365216C57AE}" name="Column6162"/>
    <tableColumn id="6196" xr3:uid="{96813012-64D6-4A67-9BFE-792B0A1A0C2B}" name="Column6163"/>
    <tableColumn id="6197" xr3:uid="{6CED9DEA-09C4-4A07-AF52-18CE58BE45F2}" name="Column6164"/>
    <tableColumn id="6198" xr3:uid="{E27478EF-5A2C-4765-91C5-2032E5146627}" name="Column6165"/>
    <tableColumn id="6199" xr3:uid="{41B383B4-E01E-43CF-8D5E-74715377321C}" name="Column6166"/>
    <tableColumn id="6200" xr3:uid="{A284801B-9E5F-47EF-BB70-E00D702C8C4F}" name="Column6167"/>
    <tableColumn id="6201" xr3:uid="{0C263876-7322-47D8-932D-AF20CFB29204}" name="Column6168"/>
    <tableColumn id="6202" xr3:uid="{88A94CC6-5771-41D3-BF40-87814B139500}" name="Column6169"/>
    <tableColumn id="6203" xr3:uid="{C1A0B6E9-9626-4827-A557-6C5AE7C37725}" name="Column6170"/>
    <tableColumn id="6204" xr3:uid="{CC818C3F-D5A6-4A9A-A4A4-6E397AE1539E}" name="Column6171"/>
    <tableColumn id="6205" xr3:uid="{E026E126-13C2-4FA5-9BB5-B908DEB80798}" name="Column6172"/>
    <tableColumn id="6206" xr3:uid="{49BFC6D3-E658-4871-8815-54E9AE430F1E}" name="Column6173"/>
    <tableColumn id="6207" xr3:uid="{04EFACA8-F343-4D1F-9B2D-5245788C7E4C}" name="Column6174"/>
    <tableColumn id="6208" xr3:uid="{9BC6A225-FBAC-4B10-A7EB-D15DD0DAA953}" name="Column6175"/>
    <tableColumn id="6209" xr3:uid="{7B267052-54DD-444D-BE25-E68F74FB26EA}" name="Column6176"/>
    <tableColumn id="6210" xr3:uid="{9386D07D-4211-4FEE-AB35-7B38698241F8}" name="Column6177"/>
    <tableColumn id="6211" xr3:uid="{13240F71-6842-48EF-ABD8-3B9310B667B2}" name="Column6178"/>
    <tableColumn id="6212" xr3:uid="{D127A43C-C442-4681-905E-555A9C224812}" name="Column6179"/>
    <tableColumn id="6213" xr3:uid="{F734F11B-336D-4F3D-8DE4-512C22181588}" name="Column6180"/>
    <tableColumn id="6214" xr3:uid="{0152BD5F-BB9B-4AB4-862C-BAC7D4772CCB}" name="Column6181"/>
    <tableColumn id="6215" xr3:uid="{B08BCE8F-68EA-4AE5-A479-D3736DC419E8}" name="Column6182"/>
    <tableColumn id="6216" xr3:uid="{8E1D5EDC-73C6-43F0-86AB-3B637FA870E0}" name="Column6183"/>
    <tableColumn id="6217" xr3:uid="{A350F918-C265-449A-9CBB-43B73AF70607}" name="Column6184"/>
    <tableColumn id="6218" xr3:uid="{66AAB5C5-6C02-40BF-85DA-9F651F1336A9}" name="Column6185"/>
    <tableColumn id="6219" xr3:uid="{EA212EED-0BB2-4124-AF0A-C0D54E85BB19}" name="Column6186"/>
    <tableColumn id="6220" xr3:uid="{73B469DD-1AE0-4028-8DAF-A04012533FD2}" name="Column6187"/>
    <tableColumn id="6221" xr3:uid="{771D373C-2EED-4136-9697-DD3BE07ED81E}" name="Column6188"/>
    <tableColumn id="6222" xr3:uid="{7F5017C9-D619-4B0F-A7D5-5C3D1D641CE3}" name="Column6189"/>
    <tableColumn id="6223" xr3:uid="{CBAAC38F-EF12-4638-90D8-928B417A729C}" name="Column6190"/>
    <tableColumn id="6224" xr3:uid="{0EBF05C9-5489-4CB3-B89A-A841212B8AD9}" name="Column6191"/>
    <tableColumn id="6225" xr3:uid="{D0993A9E-7E99-41F6-9A6D-5D312070D1E1}" name="Column6192"/>
    <tableColumn id="6226" xr3:uid="{BA6D1F6A-A0F0-4E1A-8D69-915983B61C81}" name="Column6193"/>
    <tableColumn id="6227" xr3:uid="{878CC820-1496-445C-BBE0-016F83BEFD35}" name="Column6194"/>
    <tableColumn id="6228" xr3:uid="{CA80F93F-9286-426E-952C-95DE8BAF5077}" name="Column6195"/>
    <tableColumn id="6229" xr3:uid="{C57EDBAA-2E3C-404C-934B-FBCBF8C57ED2}" name="Column6196"/>
    <tableColumn id="6230" xr3:uid="{213967F1-AD72-4ED1-84F7-E1010637FCBF}" name="Column6197"/>
    <tableColumn id="6231" xr3:uid="{C4657F05-B466-427A-B0EB-CC7DE345E9D9}" name="Column6198"/>
    <tableColumn id="6232" xr3:uid="{93AEA996-537C-40D0-B73E-D1D6C1C90B5B}" name="Column6199"/>
    <tableColumn id="6233" xr3:uid="{0DB4CE3A-D14F-462E-BB24-EDAB910F761F}" name="Column6200"/>
    <tableColumn id="6234" xr3:uid="{B1458F87-ABA1-40A3-B99E-142B24763BFE}" name="Column6201"/>
    <tableColumn id="6235" xr3:uid="{7AC8AAE5-1C3A-41DE-85EA-D66E816FA446}" name="Column6202"/>
    <tableColumn id="6236" xr3:uid="{C1AD727E-2187-4D45-82A0-5812A865CE38}" name="Column6203"/>
    <tableColumn id="6237" xr3:uid="{6F99AAA7-F1AD-47F5-A7E0-C320C753F2AF}" name="Column6204"/>
    <tableColumn id="6238" xr3:uid="{A74083C2-8E88-4B84-9FB9-9C0396B99900}" name="Column6205"/>
    <tableColumn id="6239" xr3:uid="{9253C2D2-2447-4964-83F4-8060CB554F03}" name="Column6206"/>
    <tableColumn id="6240" xr3:uid="{8FA11813-7410-42B3-ABE0-C037891B3B78}" name="Column6207"/>
    <tableColumn id="6241" xr3:uid="{11FB02E6-8E29-46EB-A10C-7615A2B8D061}" name="Column6208"/>
    <tableColumn id="6242" xr3:uid="{A747C413-84F8-4E7B-A65C-1DB683D561B4}" name="Column6209"/>
    <tableColumn id="6243" xr3:uid="{D4EF156C-DF65-4F97-A443-6075C1328F2E}" name="Column6210"/>
    <tableColumn id="6244" xr3:uid="{23838ADF-499B-43F7-AA1B-DFB80C4AEADE}" name="Column6211"/>
    <tableColumn id="6245" xr3:uid="{A15530FF-C148-4577-BA56-3AC77BB45A20}" name="Column6212"/>
    <tableColumn id="6246" xr3:uid="{756A217F-6663-4142-B3E5-E7383E2CB66C}" name="Column6213"/>
    <tableColumn id="6247" xr3:uid="{9FAB8425-3A18-4052-A76E-F227FD5FCA79}" name="Column6214"/>
    <tableColumn id="6248" xr3:uid="{D32A78BB-3F40-4FAB-AD7A-504BEC103424}" name="Column6215"/>
    <tableColumn id="6249" xr3:uid="{E4A51B70-846A-4BE5-80FB-5AA44DB62F34}" name="Column6216"/>
    <tableColumn id="6250" xr3:uid="{0F628F4E-9574-4CD0-9D3E-4227C7622634}" name="Column6217"/>
    <tableColumn id="6251" xr3:uid="{801E848C-3417-45D2-9E05-48819FE13E7D}" name="Column6218"/>
    <tableColumn id="6252" xr3:uid="{ED23789C-A0C4-43B0-AE67-630697D3EBD2}" name="Column6219"/>
    <tableColumn id="6253" xr3:uid="{62543E05-1002-4C09-8C51-984B9315DC58}" name="Column6220"/>
    <tableColumn id="6254" xr3:uid="{BA63F781-C62A-4070-BF6A-8F7654D85C5E}" name="Column6221"/>
    <tableColumn id="6255" xr3:uid="{03B07D4B-F31D-4924-A701-EA073BCCB09A}" name="Column6222"/>
    <tableColumn id="6256" xr3:uid="{645DC83C-C755-4167-94D7-AADE12000972}" name="Column6223"/>
    <tableColumn id="6257" xr3:uid="{7DF3D609-2124-4860-A9DF-114841477D6F}" name="Column6224"/>
    <tableColumn id="6258" xr3:uid="{82E6DD81-4C70-43E1-906A-1C66B3AF502C}" name="Column6225"/>
    <tableColumn id="6259" xr3:uid="{043CFE94-2BC4-4A7E-AC07-52AB167592FE}" name="Column6226"/>
    <tableColumn id="6260" xr3:uid="{9E290E72-ED28-45BE-9844-1DA8D546659A}" name="Column6227"/>
    <tableColumn id="6261" xr3:uid="{07056EE0-4E55-4D7D-8743-0078664319E4}" name="Column6228"/>
    <tableColumn id="6262" xr3:uid="{AD49A55B-8A5F-4629-976D-D6EEC6532D86}" name="Column6229"/>
    <tableColumn id="6263" xr3:uid="{F2431D41-1084-40C3-BBB9-E969C2580E68}" name="Column6230"/>
    <tableColumn id="6264" xr3:uid="{B8A4F2E7-7D48-4EE7-A97B-7774BD7080FB}" name="Column6231"/>
    <tableColumn id="6265" xr3:uid="{8E9F0A47-8527-4AE0-BA8C-B0D4694EF05C}" name="Column6232"/>
    <tableColumn id="6266" xr3:uid="{D60A03A3-BAA0-4A58-A0AB-F73AA45198B6}" name="Column6233"/>
    <tableColumn id="6267" xr3:uid="{869D7A01-9965-4322-BEFF-1AA047792B17}" name="Column6234"/>
    <tableColumn id="6268" xr3:uid="{1084DC49-75DF-48CA-AF11-A61D77FDC70D}" name="Column6235"/>
    <tableColumn id="6269" xr3:uid="{58B147CA-31A1-44C2-9FE8-E8E7629CC126}" name="Column6236"/>
    <tableColumn id="6270" xr3:uid="{148C1DA1-E8C4-4DCC-BB28-92293C66DA05}" name="Column6237"/>
    <tableColumn id="6271" xr3:uid="{5A92CCCB-AE47-421A-8E36-A2038EE0181E}" name="Column6238"/>
    <tableColumn id="6272" xr3:uid="{50CDEDBC-7E78-4D3C-823D-063F39EC8BB8}" name="Column6239"/>
    <tableColumn id="6273" xr3:uid="{CA6839A6-F47A-4DB8-8696-A69674716720}" name="Column6240"/>
    <tableColumn id="6274" xr3:uid="{48903489-DEE2-494E-A61A-C2676F1652FE}" name="Column6241"/>
    <tableColumn id="6275" xr3:uid="{CD523D6F-004D-47EF-A645-2B765C60E6B3}" name="Column6242"/>
    <tableColumn id="6276" xr3:uid="{BEC2B26E-8FAC-422A-9022-6BD008297729}" name="Column6243"/>
    <tableColumn id="6277" xr3:uid="{2D57D50A-1615-449B-8531-7BC0AC9E8B03}" name="Column6244"/>
    <tableColumn id="6278" xr3:uid="{A8E85A62-4279-435B-BB1E-FFE30EC6281D}" name="Column6245"/>
    <tableColumn id="6279" xr3:uid="{A031B85F-D3FF-49F4-90C9-4732C6C693B9}" name="Column6246"/>
    <tableColumn id="6280" xr3:uid="{F9EB6EA1-53C5-479F-A0A8-9D40DD0BEAC4}" name="Column6247"/>
    <tableColumn id="6281" xr3:uid="{87E47842-10D5-4A66-B698-8ABE165FE9EB}" name="Column6248"/>
    <tableColumn id="6282" xr3:uid="{65D33161-D43E-496B-8151-DC87B75B3DB8}" name="Column6249"/>
    <tableColumn id="6283" xr3:uid="{427DFB81-CD9D-4AED-8AD8-31D92723FB01}" name="Column6250"/>
    <tableColumn id="6284" xr3:uid="{656D55DC-9F40-4AF9-BADE-0869EFDFDD65}" name="Column6251"/>
    <tableColumn id="6285" xr3:uid="{1CDD369B-3243-4DC9-9402-1D62AB00B99D}" name="Column6252"/>
    <tableColumn id="6286" xr3:uid="{5909A7FB-67A4-4685-B141-5F112764C994}" name="Column6253"/>
    <tableColumn id="6287" xr3:uid="{2EC572E1-7B55-448F-ADB9-3EF3BED28B75}" name="Column6254"/>
    <tableColumn id="6288" xr3:uid="{B59F49A3-2154-452D-B50F-C5088B854D38}" name="Column6255"/>
    <tableColumn id="6289" xr3:uid="{FBF3C3E7-00E4-4B42-8A33-638790F2DE6C}" name="Column6256"/>
    <tableColumn id="6290" xr3:uid="{AE29611A-B78D-4016-AF5B-9D88796AA3FC}" name="Column6257"/>
    <tableColumn id="6291" xr3:uid="{700FE5C4-39E2-4852-BCAF-08F64ED0339B}" name="Column6258"/>
    <tableColumn id="6292" xr3:uid="{5193216A-B372-4CE6-B045-6C368B86C2BE}" name="Column6259"/>
    <tableColumn id="6293" xr3:uid="{40DCF74D-5EFA-4E39-823F-506BB2106997}" name="Column6260"/>
    <tableColumn id="6294" xr3:uid="{9FB8701F-2F73-4CA7-8CA2-7C56330A0792}" name="Column6261"/>
    <tableColumn id="6295" xr3:uid="{6788CFF4-F220-4A97-8906-3BA25898AB88}" name="Column6262"/>
    <tableColumn id="6296" xr3:uid="{216B9390-BF89-4A42-900F-876B99B128AC}" name="Column6263"/>
    <tableColumn id="6297" xr3:uid="{CC67E086-E26A-479C-867B-1BBAD03B9F6D}" name="Column6264"/>
    <tableColumn id="6298" xr3:uid="{E8253E21-B297-4E88-AD5A-ECEA136B04F0}" name="Column6265"/>
    <tableColumn id="6299" xr3:uid="{41104CEA-4C51-4FA4-9768-820E34137C6E}" name="Column6266"/>
    <tableColumn id="6300" xr3:uid="{95C851EC-4670-47CE-86F0-2AD1A288197B}" name="Column6267"/>
    <tableColumn id="6301" xr3:uid="{608BDFB4-339A-400B-8682-AC529D957ADB}" name="Column6268"/>
    <tableColumn id="6302" xr3:uid="{914072FF-7046-4275-87B6-AF4EE623CA8F}" name="Column6269"/>
    <tableColumn id="6303" xr3:uid="{0906FC36-A771-49FA-A2FA-57F32F64B729}" name="Column6270"/>
    <tableColumn id="6304" xr3:uid="{DAF246C6-19AA-4E39-B2DA-15109E16332D}" name="Column6271"/>
    <tableColumn id="6305" xr3:uid="{5187C93B-1A17-48C2-B2B5-5ADFBB4024C9}" name="Column6272"/>
    <tableColumn id="6306" xr3:uid="{5342CB3F-CBF5-472A-A610-44CBC40D51D3}" name="Column6273"/>
    <tableColumn id="6307" xr3:uid="{951CAC6D-C851-4709-B7A3-ADA74644C62D}" name="Column6274"/>
    <tableColumn id="6308" xr3:uid="{6DAB3202-41CC-4C96-8C82-A22B86E52ADB}" name="Column6275"/>
    <tableColumn id="6309" xr3:uid="{F359CDFC-B952-4C36-ABF8-AC6E553137F1}" name="Column6276"/>
    <tableColumn id="6310" xr3:uid="{388814DE-7F0A-487C-A6EE-DE71F3A1DB2F}" name="Column6277"/>
    <tableColumn id="6311" xr3:uid="{3F6651CD-0B42-4C6B-A078-D0304DE6B7C3}" name="Column6278"/>
    <tableColumn id="6312" xr3:uid="{1D8076BF-DFAB-48C8-B879-C22173FD228D}" name="Column6279"/>
    <tableColumn id="6313" xr3:uid="{98614532-739E-4917-80FA-99E4421D2308}" name="Column6280"/>
    <tableColumn id="6314" xr3:uid="{F37E5085-6793-40EC-BB9D-AB618E102627}" name="Column6281"/>
    <tableColumn id="6315" xr3:uid="{4563AE23-1D14-476A-92B0-EDA5B2853089}" name="Column6282"/>
    <tableColumn id="6316" xr3:uid="{C93A34B2-7E3D-4942-9631-1E437AE19984}" name="Column6283"/>
    <tableColumn id="6317" xr3:uid="{AC41E755-044C-44E0-93D5-FC0BE8AB0049}" name="Column6284"/>
    <tableColumn id="6318" xr3:uid="{F4BB5163-5575-44F1-A5FF-62BE6FFF1438}" name="Column6285"/>
    <tableColumn id="6319" xr3:uid="{F3D9F499-0CC7-4809-84C3-075359AE24D7}" name="Column6286"/>
    <tableColumn id="6320" xr3:uid="{EF033C1E-6282-4819-ACBA-3A33BBD36CC3}" name="Column6287"/>
    <tableColumn id="6321" xr3:uid="{DE604648-7590-4AEB-A3C9-B760EABB4324}" name="Column6288"/>
    <tableColumn id="6322" xr3:uid="{4FE405AA-77CB-4978-BF04-7E7D24AD9E1E}" name="Column6289"/>
    <tableColumn id="6323" xr3:uid="{0D3B94E8-7A92-4AA1-A990-B21CAB204E93}" name="Column6290"/>
    <tableColumn id="6324" xr3:uid="{10E281DA-0902-4941-9A57-B689A6F600DB}" name="Column6291"/>
    <tableColumn id="6325" xr3:uid="{073FCE21-B8E4-456D-BC91-981B4B2B1EE1}" name="Column6292"/>
    <tableColumn id="6326" xr3:uid="{4914E8BF-DC5C-45F5-B632-D577C7FC3B84}" name="Column6293"/>
    <tableColumn id="6327" xr3:uid="{831CA07D-EA0F-40AA-8F9D-67DD76457506}" name="Column6294"/>
    <tableColumn id="6328" xr3:uid="{C7948932-61D4-4BAC-9FC5-3FD258FC1465}" name="Column6295"/>
    <tableColumn id="6329" xr3:uid="{83F95AFD-D8A4-43DC-A2C4-5BBAFB715AF7}" name="Column6296"/>
    <tableColumn id="6330" xr3:uid="{536E3AB0-EAC7-4672-9636-48B589B65A17}" name="Column6297"/>
    <tableColumn id="6331" xr3:uid="{0E611007-E45F-4012-BBCB-ABB9B26F8EAD}" name="Column6298"/>
    <tableColumn id="6332" xr3:uid="{57955C9B-9805-441F-92ED-0928E82EA16E}" name="Column6299"/>
    <tableColumn id="6333" xr3:uid="{05AB40F3-48D8-4835-8343-2A8CAACDBC88}" name="Column6300"/>
    <tableColumn id="6334" xr3:uid="{BD9D2B21-5D57-4BD0-971D-8A26B9B09163}" name="Column6301"/>
    <tableColumn id="6335" xr3:uid="{699AE4B9-1771-44A0-87BB-BC4DA5751525}" name="Column6302"/>
    <tableColumn id="6336" xr3:uid="{3B260C1A-EC5E-43F3-A124-2F27C40AB069}" name="Column6303"/>
    <tableColumn id="6337" xr3:uid="{71C9D2F6-7877-4838-8C80-E6F11686E2EC}" name="Column6304"/>
    <tableColumn id="6338" xr3:uid="{8C98493F-1201-40B8-A7EB-DBE0427F3ADD}" name="Column6305"/>
    <tableColumn id="6339" xr3:uid="{4647247E-8ADC-4149-929D-7B061C48D404}" name="Column6306"/>
    <tableColumn id="6340" xr3:uid="{AE0B32E8-A2ED-4CCE-8CA1-DFD9E0B650B4}" name="Column6307"/>
    <tableColumn id="6341" xr3:uid="{290CC704-1FA5-4DDF-BEF9-FE99C715F167}" name="Column6308"/>
    <tableColumn id="6342" xr3:uid="{6384DFA3-7B48-49CB-B85C-E37F5EE954DE}" name="Column6309"/>
    <tableColumn id="6343" xr3:uid="{A5D06892-7A59-4A82-9D18-D3CB5C27ABBE}" name="Column6310"/>
    <tableColumn id="6344" xr3:uid="{AD4EBF87-E20A-44D0-9031-A21CA2EF633C}" name="Column6311"/>
    <tableColumn id="6345" xr3:uid="{CFAA2C74-200C-4B5E-8613-CD0E44E39A12}" name="Column6312"/>
    <tableColumn id="6346" xr3:uid="{33B8349E-B399-4D4D-AA4D-AECF6206EE98}" name="Column6313"/>
    <tableColumn id="6347" xr3:uid="{5E982053-CA1E-4B60-9FB6-4EF94E35DC14}" name="Column6314"/>
    <tableColumn id="6348" xr3:uid="{F74BCAF4-D0D6-4F24-8B60-2E99D497F8AC}" name="Column6315"/>
    <tableColumn id="6349" xr3:uid="{134D2281-ECA7-4370-95E0-D1E2D2FC4C82}" name="Column6316"/>
    <tableColumn id="6350" xr3:uid="{FC8795F7-72DA-49D6-9629-17A7F60AE7C1}" name="Column6317"/>
    <tableColumn id="6351" xr3:uid="{81C1A132-EB5B-49D1-A222-A55D29DA85A3}" name="Column6318"/>
    <tableColumn id="6352" xr3:uid="{6C445B74-4826-4109-AAE3-BEF01256FA7B}" name="Column6319"/>
    <tableColumn id="6353" xr3:uid="{42D1B28E-9E8C-4C75-A30B-77918545B804}" name="Column6320"/>
    <tableColumn id="6354" xr3:uid="{F8760BAC-8FCE-4366-8708-9D630544B6F6}" name="Column6321"/>
    <tableColumn id="6355" xr3:uid="{C9480A35-2755-452E-97F0-92A0822A424A}" name="Column6322"/>
    <tableColumn id="6356" xr3:uid="{502D5AF0-88E8-4FD5-906A-28902F52FCD4}" name="Column6323"/>
    <tableColumn id="6357" xr3:uid="{C0839073-1783-49C9-9CA0-2FDE9FAECDCD}" name="Column6324"/>
    <tableColumn id="6358" xr3:uid="{ECBF3200-ADB3-407E-99CB-13F555993C15}" name="Column6325"/>
    <tableColumn id="6359" xr3:uid="{04C2653E-1985-4BA0-8CF1-9C6019C388A1}" name="Column6326"/>
    <tableColumn id="6360" xr3:uid="{9A4990FE-0C3D-450B-9D09-BD99730B061E}" name="Column6327"/>
    <tableColumn id="6361" xr3:uid="{D44CB3D3-FF0F-4EF4-BBA9-0906C9861425}" name="Column6328"/>
    <tableColumn id="6362" xr3:uid="{82511509-BE26-4683-AE63-7579B38EFA86}" name="Column6329"/>
    <tableColumn id="6363" xr3:uid="{7836FCEE-2914-41DB-A189-14AEC4A8F14C}" name="Column6330"/>
    <tableColumn id="6364" xr3:uid="{AFD834CC-172F-4C0F-9397-ABCF86A512FB}" name="Column6331"/>
    <tableColumn id="6365" xr3:uid="{ADABF74B-9D74-4A70-8E7D-88B17EB8CB1F}" name="Column6332"/>
    <tableColumn id="6366" xr3:uid="{C7D40F5C-1B9B-400F-BC6E-33A9F7EAAD41}" name="Column6333"/>
    <tableColumn id="6367" xr3:uid="{C56C6A9A-0A1B-4862-BB96-6B045D4A6416}" name="Column6334"/>
    <tableColumn id="6368" xr3:uid="{B8465CA4-23C4-4E20-8C89-49B0599BBF75}" name="Column6335"/>
    <tableColumn id="6369" xr3:uid="{ADFA6CF7-2DA1-4657-99FD-63854635BA6B}" name="Column6336"/>
    <tableColumn id="6370" xr3:uid="{792E8A8F-60BA-45BB-AFBF-E8D5358EF781}" name="Column6337"/>
    <tableColumn id="6371" xr3:uid="{19F96183-7256-4879-8281-C6F31C2EA3A4}" name="Column6338"/>
    <tableColumn id="6372" xr3:uid="{6709D556-3DA0-436C-A0D7-7495BC9DBC2A}" name="Column6339"/>
    <tableColumn id="6373" xr3:uid="{A6434785-4782-4D6B-88D3-4D37CB51BE4E}" name="Column6340"/>
    <tableColumn id="6374" xr3:uid="{1267B5A1-3007-4349-90C2-C5EAF23300B7}" name="Column6341"/>
    <tableColumn id="6375" xr3:uid="{A496B2EE-0450-4049-8482-B7046A2B0C89}" name="Column6342"/>
    <tableColumn id="6376" xr3:uid="{9F938460-3749-4541-9C91-D27B4A4DD701}" name="Column6343"/>
    <tableColumn id="6377" xr3:uid="{E59C79C1-89D3-4595-ADC5-59C570435C2B}" name="Column6344"/>
    <tableColumn id="6378" xr3:uid="{83004874-C480-472D-9B24-D73212912F05}" name="Column6345"/>
    <tableColumn id="6379" xr3:uid="{0DBB9A79-660F-481C-9469-467229ADDF85}" name="Column6346"/>
    <tableColumn id="6380" xr3:uid="{FD816504-D9A7-4C19-BF3C-C1062743E09A}" name="Column6347"/>
    <tableColumn id="6381" xr3:uid="{665BF4F7-9B67-4042-BD64-ACBA1FC8D2F0}" name="Column6348"/>
    <tableColumn id="6382" xr3:uid="{F6E54EF1-BFCD-44DC-937D-FAA5640E47B4}" name="Column6349"/>
    <tableColumn id="6383" xr3:uid="{E222760F-2C53-4A91-ABB0-CB4955B7A93E}" name="Column6350"/>
    <tableColumn id="6384" xr3:uid="{07A25B6B-A645-4700-A243-8FDE04D30083}" name="Column6351"/>
    <tableColumn id="6385" xr3:uid="{CB845298-82E3-4549-B78B-12A046F577DD}" name="Column6352"/>
    <tableColumn id="6386" xr3:uid="{74116A56-B155-4A1F-BC63-D347134FF444}" name="Column6353"/>
    <tableColumn id="6387" xr3:uid="{20F742FF-F195-4667-A57B-25C37AADC51A}" name="Column6354"/>
    <tableColumn id="6388" xr3:uid="{76FF4EEA-813E-4AB1-86C8-56FF7D846330}" name="Column6355"/>
    <tableColumn id="6389" xr3:uid="{500CE773-7A76-4801-8AB7-007AB574E67B}" name="Column6356"/>
    <tableColumn id="6390" xr3:uid="{805E87F1-6978-41A1-B041-7C8F948B1030}" name="Column6357"/>
    <tableColumn id="6391" xr3:uid="{16BD95D5-EB95-4A9A-850F-6EE2547F8052}" name="Column6358"/>
    <tableColumn id="6392" xr3:uid="{59FD2D91-FCC6-4F42-BCBB-758CF2E3F1B8}" name="Column6359"/>
    <tableColumn id="6393" xr3:uid="{6CEECAE6-7BD2-48B4-ACC8-E35E7AD384B3}" name="Column6360"/>
    <tableColumn id="6394" xr3:uid="{C2D17C09-4D2F-4F92-BD32-9DD61557079B}" name="Column6361"/>
    <tableColumn id="6395" xr3:uid="{8D56F15F-8E55-4573-A8A5-CB3FA9B22C04}" name="Column6362"/>
    <tableColumn id="6396" xr3:uid="{E8714BE2-C9A1-436B-82F0-F612ADD6EDD1}" name="Column6363"/>
    <tableColumn id="6397" xr3:uid="{9638572F-2698-4F84-8570-3411529BAB1D}" name="Column6364"/>
    <tableColumn id="6398" xr3:uid="{E52A3B21-E047-42F3-B0DC-125F86E2D957}" name="Column6365"/>
    <tableColumn id="6399" xr3:uid="{114BCDF6-CD96-4685-B740-69FA0E4E589B}" name="Column6366"/>
    <tableColumn id="6400" xr3:uid="{745530E9-7313-4D08-95F2-C0E2823AA5A8}" name="Column6367"/>
    <tableColumn id="6401" xr3:uid="{19E94044-544E-4EF1-BE93-4DEB35BA52CE}" name="Column6368"/>
    <tableColumn id="6402" xr3:uid="{0C3DDF67-A1FA-42FD-A403-B2BCB4B43DB5}" name="Column6369"/>
    <tableColumn id="6403" xr3:uid="{D2C7FAF3-2DBE-407D-AEF3-7168996DACC7}" name="Column6370"/>
    <tableColumn id="6404" xr3:uid="{4E656755-A0DB-4B49-9CC6-41A73A6345C6}" name="Column6371"/>
    <tableColumn id="6405" xr3:uid="{2F522196-6DC9-4A64-B3B0-3B5133CDF48A}" name="Column6372"/>
    <tableColumn id="6406" xr3:uid="{15977CE0-017C-4E6F-9BD8-E77FF4E74275}" name="Column6373"/>
    <tableColumn id="6407" xr3:uid="{97821CAB-4D3E-4CF3-B3B1-3A21462A670B}" name="Column6374"/>
    <tableColumn id="6408" xr3:uid="{900EC34F-97FD-47D9-B0E2-D0FDE0F4007A}" name="Column6375"/>
    <tableColumn id="6409" xr3:uid="{C2920BA4-481E-4742-9877-021946CA983B}" name="Column6376"/>
    <tableColumn id="6410" xr3:uid="{9D4E9EAB-2DCF-49AE-8D04-7ED1C936E179}" name="Column6377"/>
    <tableColumn id="6411" xr3:uid="{34347E8D-6CA8-4CAC-BD3A-E743E0409642}" name="Column6378"/>
    <tableColumn id="6412" xr3:uid="{36449E9F-1AEA-42D6-8E5A-9F79C6EFC57C}" name="Column6379"/>
    <tableColumn id="6413" xr3:uid="{E6E78811-6652-40AC-BA1C-29A3879B7A5F}" name="Column6380"/>
    <tableColumn id="6414" xr3:uid="{9C2DE0F6-5934-4931-A3EB-1DEC16C2AC47}" name="Column6381"/>
    <tableColumn id="6415" xr3:uid="{35E5BA7B-92E8-4A58-9339-FCC1A9227195}" name="Column6382"/>
    <tableColumn id="6416" xr3:uid="{86138E07-9C8B-4E6A-BAA5-7CE295C5450E}" name="Column6383"/>
    <tableColumn id="6417" xr3:uid="{BFD646F9-9AE6-4A13-B81B-D2609C618037}" name="Column6384"/>
    <tableColumn id="6418" xr3:uid="{1DC90C3B-A8A1-42A8-BCAF-ACEC38708E70}" name="Column6385"/>
    <tableColumn id="6419" xr3:uid="{3BAFDF1A-D0F9-4301-8EE0-66120BE35F5F}" name="Column6386"/>
    <tableColumn id="6420" xr3:uid="{E2143968-3956-4902-9B4D-1C29CEF1028C}" name="Column6387"/>
    <tableColumn id="6421" xr3:uid="{EF08A42D-4143-476F-99CC-197665E15AC5}" name="Column6388"/>
    <tableColumn id="6422" xr3:uid="{722C4E25-B4D1-4525-8223-C4213AA12E26}" name="Column6389"/>
    <tableColumn id="6423" xr3:uid="{F0834540-4A21-48EA-B61D-A9961FA84674}" name="Column6390"/>
    <tableColumn id="6424" xr3:uid="{6A08E0B8-F7E2-44FC-BF29-F52DF62EE7D2}" name="Column6391"/>
    <tableColumn id="6425" xr3:uid="{C15957D1-2D86-49EB-832A-81F601D9C2FB}" name="Column6392"/>
    <tableColumn id="6426" xr3:uid="{F6416F7F-7150-4065-857A-FB1D7083B592}" name="Column6393"/>
    <tableColumn id="6427" xr3:uid="{00287A2F-B180-4CDA-AF62-A9835FBF7DF9}" name="Column6394"/>
    <tableColumn id="6428" xr3:uid="{4B1CD853-8CAE-47F1-B8AD-C193EC8E97BA}" name="Column6395"/>
    <tableColumn id="6429" xr3:uid="{BD9E2121-37FF-49DA-8875-E026943ECA32}" name="Column6396"/>
    <tableColumn id="6430" xr3:uid="{A255FEF2-667A-46CA-B19E-8597309D0EDA}" name="Column6397"/>
    <tableColumn id="6431" xr3:uid="{B36D923A-EDC3-4FED-9666-856F9281E568}" name="Column6398"/>
    <tableColumn id="6432" xr3:uid="{5CA26EF9-9F79-45AC-A738-5F980A360C35}" name="Column6399"/>
    <tableColumn id="6433" xr3:uid="{5345DAB9-E5E2-481B-AB83-530185AA25C4}" name="Column6400"/>
    <tableColumn id="6434" xr3:uid="{632D0C99-EE62-4749-A8B6-A891A5F9E4F5}" name="Column6401"/>
    <tableColumn id="6435" xr3:uid="{D64AA666-CEDB-4E56-90B0-A2255009A7CF}" name="Column6402"/>
    <tableColumn id="6436" xr3:uid="{7B3A1780-E173-4ADA-B234-11751E3B9521}" name="Column6403"/>
    <tableColumn id="6437" xr3:uid="{4D39F037-6A9D-4008-B704-F5855B1F094A}" name="Column6404"/>
    <tableColumn id="6438" xr3:uid="{C03D8709-1C42-4A0B-9552-32345BCF94AC}" name="Column6405"/>
    <tableColumn id="6439" xr3:uid="{CB4EDA10-1188-471C-BE6D-5E9A1E2FA0BA}" name="Column6406"/>
    <tableColumn id="6440" xr3:uid="{C1B53E3B-B7BA-426F-BD51-01D20749DC8D}" name="Column6407"/>
    <tableColumn id="6441" xr3:uid="{E70C8979-7425-4539-A552-CE231D5DD9D2}" name="Column6408"/>
    <tableColumn id="6442" xr3:uid="{630C5D7F-4941-4871-8D84-0B9B9C6A0761}" name="Column6409"/>
    <tableColumn id="6443" xr3:uid="{E2D894A5-6732-49FE-8A40-63B6DA20CB0C}" name="Column6410"/>
    <tableColumn id="6444" xr3:uid="{A396B094-C898-4D71-9F0F-BCF04FF59878}" name="Column6411"/>
    <tableColumn id="6445" xr3:uid="{A3A6FEE6-903A-4C98-9000-50C35074D3DB}" name="Column6412"/>
    <tableColumn id="6446" xr3:uid="{BC13A07E-A9D3-49C8-8E9F-2EC1DA32801C}" name="Column6413"/>
    <tableColumn id="6447" xr3:uid="{126392FF-DF74-4D34-821A-56C447523FD6}" name="Column6414"/>
    <tableColumn id="6448" xr3:uid="{EE63F357-AA61-40BC-9F56-C8285C7AC62C}" name="Column6415"/>
    <tableColumn id="6449" xr3:uid="{D71F790F-0AFD-4A8F-8A93-08E42C64B48F}" name="Column6416"/>
    <tableColumn id="6450" xr3:uid="{0AF33F5C-21B9-461A-BCEB-D24EE290589A}" name="Column6417"/>
    <tableColumn id="6451" xr3:uid="{0856D2FE-8D53-422E-813B-A3E04EC772F1}" name="Column6418"/>
    <tableColumn id="6452" xr3:uid="{BB888F1B-E434-4D45-9DA0-FBCA41D8FE26}" name="Column6419"/>
    <tableColumn id="6453" xr3:uid="{D1C7D75F-8F28-4372-BF5F-582FE9A5BB15}" name="Column6420"/>
    <tableColumn id="6454" xr3:uid="{929B3427-D08D-4523-A526-F3292FFF41D5}" name="Column6421"/>
    <tableColumn id="6455" xr3:uid="{C3CCC5F6-DE5E-4F6A-A4FB-B184717D658A}" name="Column6422"/>
    <tableColumn id="6456" xr3:uid="{438C96A7-2992-453F-B0D3-902F1D1F7FEE}" name="Column6423"/>
    <tableColumn id="6457" xr3:uid="{6C11C54D-A89F-41CB-841C-0B04872333E5}" name="Column6424"/>
    <tableColumn id="6458" xr3:uid="{5D93C48F-2729-499B-99B1-DC9BFEF404E8}" name="Column6425"/>
    <tableColumn id="6459" xr3:uid="{FFAB1214-B295-4EE6-B187-E3E596EC5524}" name="Column6426"/>
    <tableColumn id="6460" xr3:uid="{42B30315-F4AA-4428-9903-6743455194B4}" name="Column6427"/>
    <tableColumn id="6461" xr3:uid="{9E7E5C95-CB1B-4A72-B236-D19B65E1D201}" name="Column6428"/>
    <tableColumn id="6462" xr3:uid="{CCAE52F4-4E01-42B2-B6F2-B8FAE4A622FE}" name="Column6429"/>
    <tableColumn id="6463" xr3:uid="{FF00FE82-FD09-410B-9E39-0BC921BF71DB}" name="Column6430"/>
    <tableColumn id="6464" xr3:uid="{A3046CD3-7030-48AE-BDC9-85E98FE3A417}" name="Column6431"/>
    <tableColumn id="6465" xr3:uid="{AAB1533C-CA33-4B48-B2D8-F27C17EA712F}" name="Column6432"/>
    <tableColumn id="6466" xr3:uid="{DECE8F06-9CC1-478E-9721-4AA9EF0FCBDA}" name="Column6433"/>
    <tableColumn id="6467" xr3:uid="{A31F0915-308B-41EC-BB29-241CE725596B}" name="Column6434"/>
    <tableColumn id="6468" xr3:uid="{05C4F76A-D8C9-473F-AAE1-A5F919B2F61D}" name="Column6435"/>
    <tableColumn id="6469" xr3:uid="{6F26D855-9FB6-42EF-9BE9-9287440FC702}" name="Column6436"/>
    <tableColumn id="6470" xr3:uid="{EF15254D-CFC4-4E44-9A7D-6541280468F6}" name="Column6437"/>
    <tableColumn id="6471" xr3:uid="{4B9B5FA5-59D5-44CC-9B4E-7A456E83C5B3}" name="Column6438"/>
    <tableColumn id="6472" xr3:uid="{435A741C-2377-4597-8D9A-2FF839360244}" name="Column6439"/>
    <tableColumn id="6473" xr3:uid="{2645C466-DD0B-4E35-8D71-CB2FEE34A518}" name="Column6440"/>
    <tableColumn id="6474" xr3:uid="{F40FA9EB-A242-4997-844A-C844E2184EE6}" name="Column6441"/>
    <tableColumn id="6475" xr3:uid="{48AC6C1B-9576-41B5-9FA1-6DA82844FCBE}" name="Column6442"/>
    <tableColumn id="6476" xr3:uid="{770E572A-7464-4AF6-8F1C-2798EF1D4161}" name="Column6443"/>
    <tableColumn id="6477" xr3:uid="{B8C28307-DAC6-4E5F-B133-9B5B2D81B2B1}" name="Column6444"/>
    <tableColumn id="6478" xr3:uid="{C291B1FD-D53B-4754-B381-F89959BAAD85}" name="Column6445"/>
    <tableColumn id="6479" xr3:uid="{9B2F0978-BE33-48BC-8EB1-29ADA5421224}" name="Column6446"/>
    <tableColumn id="6480" xr3:uid="{4958593C-519F-46CA-8AB0-8E6C30BFE3DC}" name="Column6447"/>
    <tableColumn id="6481" xr3:uid="{D740A57B-09CF-4389-A2CE-117557A08468}" name="Column6448"/>
    <tableColumn id="6482" xr3:uid="{F28823DA-56C5-4E3C-BBA6-C0C6F1A76CFC}" name="Column6449"/>
    <tableColumn id="6483" xr3:uid="{255EB651-A18B-4AC4-9ED1-94235D11A7FA}" name="Column6450"/>
    <tableColumn id="6484" xr3:uid="{FE95C080-BD36-4AC0-80FD-CC9A20D5B314}" name="Column6451"/>
    <tableColumn id="6485" xr3:uid="{05678411-DB20-468C-A5FB-7BEC66CE68DA}" name="Column6452"/>
    <tableColumn id="6486" xr3:uid="{9DFBC57A-97F9-4C26-9EC9-9CFC7BC5ECE7}" name="Column6453"/>
    <tableColumn id="6487" xr3:uid="{0E80CF57-E4D1-433E-BB1F-CB6681628145}" name="Column6454"/>
    <tableColumn id="6488" xr3:uid="{08EA6020-DBA2-498F-8DFD-B8D5A4267F6D}" name="Column6455"/>
    <tableColumn id="6489" xr3:uid="{E71086E4-4717-4418-A8B3-B36C727BD984}" name="Column6456"/>
    <tableColumn id="6490" xr3:uid="{CD9674A9-B759-455F-953B-3592725308F4}" name="Column6457"/>
    <tableColumn id="6491" xr3:uid="{CFFA0995-1C9B-45C9-90AC-A7A77079B5E8}" name="Column6458"/>
    <tableColumn id="6492" xr3:uid="{E71CA78A-89A4-48B6-A9E8-77CFC172E223}" name="Column6459"/>
    <tableColumn id="6493" xr3:uid="{4594527B-C017-4894-8B69-2A56C3E6DF35}" name="Column6460"/>
    <tableColumn id="6494" xr3:uid="{AD8C633D-134E-4E6D-B3D6-C04D45552250}" name="Column6461"/>
    <tableColumn id="6495" xr3:uid="{4E6AD63B-B2FD-484C-8768-D39968F13880}" name="Column6462"/>
    <tableColumn id="6496" xr3:uid="{5E854C34-B8B4-44E8-8A2E-E814D0C039A2}" name="Column6463"/>
    <tableColumn id="6497" xr3:uid="{F7242AF1-BEDA-4302-AF96-17ECF39391FB}" name="Column6464"/>
    <tableColumn id="6498" xr3:uid="{8B497FED-4699-479B-BC8F-00CBEC790BCF}" name="Column6465"/>
    <tableColumn id="6499" xr3:uid="{D080E201-456E-494F-B87B-70E9D99E2667}" name="Column6466"/>
    <tableColumn id="6500" xr3:uid="{A9E60FC7-313D-4048-9279-BEF0049CF62A}" name="Column6467"/>
    <tableColumn id="6501" xr3:uid="{71DFEB97-195D-4587-BB2B-BD18EABC530E}" name="Column6468"/>
    <tableColumn id="6502" xr3:uid="{25CD76B5-A6EA-4787-AC1F-7E47B6533773}" name="Column6469"/>
    <tableColumn id="6503" xr3:uid="{973287AF-BED3-427D-8E07-C0E56F5D150D}" name="Column6470"/>
    <tableColumn id="6504" xr3:uid="{BB24EB4E-0600-49ED-A1C8-6E54B59132EF}" name="Column6471"/>
    <tableColumn id="6505" xr3:uid="{CA06E5D7-DA66-4576-BFF5-39E89BEDE850}" name="Column6472"/>
    <tableColumn id="6506" xr3:uid="{0AA0E1E8-62B7-40B4-89A1-67D6E43E7ECE}" name="Column6473"/>
    <tableColumn id="6507" xr3:uid="{22F3CF60-C7C6-4C21-A301-65A96EC0BE90}" name="Column6474"/>
    <tableColumn id="6508" xr3:uid="{7D478DFA-3A06-4D27-9057-889954545EF2}" name="Column6475"/>
    <tableColumn id="6509" xr3:uid="{15EE448A-03EB-4611-B003-3C70C3A718BB}" name="Column6476"/>
    <tableColumn id="6510" xr3:uid="{4898367F-D7C3-4A54-A8DB-99F89331AF76}" name="Column6477"/>
    <tableColumn id="6511" xr3:uid="{4D5E3BC4-516C-43A5-8694-B2E69B69865B}" name="Column6478"/>
    <tableColumn id="6512" xr3:uid="{A692317F-D79A-45B4-8591-29670AEB0133}" name="Column6479"/>
    <tableColumn id="6513" xr3:uid="{74D4C1E2-0E79-424A-A221-A4F1A0791854}" name="Column6480"/>
    <tableColumn id="6514" xr3:uid="{79C28BE4-D4CB-4E7D-ABE4-197293F66CA2}" name="Column6481"/>
    <tableColumn id="6515" xr3:uid="{A5A194C1-3F61-42F7-8593-60E9241E8DC4}" name="Column6482"/>
    <tableColumn id="6516" xr3:uid="{4D885B83-F8F6-43EB-99CE-C823300C0551}" name="Column6483"/>
    <tableColumn id="6517" xr3:uid="{F4200A42-0F8C-4AD6-9D56-A60A71463F6A}" name="Column6484"/>
    <tableColumn id="6518" xr3:uid="{BA4730BE-EF46-48C0-9B38-24F4718F260E}" name="Column6485"/>
    <tableColumn id="6519" xr3:uid="{CD25F7CC-0A9E-4996-AD5C-681999358BEB}" name="Column6486"/>
    <tableColumn id="6520" xr3:uid="{076C9EB3-134A-4CA9-9907-70D1887454A4}" name="Column6487"/>
    <tableColumn id="6521" xr3:uid="{E38A0F0F-1925-41EF-BECD-58F7D9A0DA27}" name="Column6488"/>
    <tableColumn id="6522" xr3:uid="{FC943F22-796F-481C-9726-B6F75BCFECC5}" name="Column6489"/>
    <tableColumn id="6523" xr3:uid="{5396BD46-E99E-4FDB-B149-5ABE5409646B}" name="Column6490"/>
    <tableColumn id="6524" xr3:uid="{135EE478-712E-4CC1-8DFC-20F95CE58F05}" name="Column6491"/>
    <tableColumn id="6525" xr3:uid="{581E5469-C7EA-462A-9E7A-F399D409F3CA}" name="Column6492"/>
    <tableColumn id="6526" xr3:uid="{71BB79AA-7BD7-40B0-9D78-6CC2BB6E6F25}" name="Column6493"/>
    <tableColumn id="6527" xr3:uid="{7638524B-5331-42F6-9F2C-19EF876A7F8D}" name="Column6494"/>
    <tableColumn id="6528" xr3:uid="{40E7077E-F988-4173-8B4B-4FE8D738A477}" name="Column6495"/>
    <tableColumn id="6529" xr3:uid="{35B8C559-808A-4702-8985-6BC304CC15BD}" name="Column6496"/>
    <tableColumn id="6530" xr3:uid="{D14E3D51-B917-43E8-99FE-2241D0E04468}" name="Column6497"/>
    <tableColumn id="6531" xr3:uid="{095B0D13-060D-4F1A-AE27-0A9A64945AE1}" name="Column6498"/>
    <tableColumn id="6532" xr3:uid="{D6C5220D-94A1-4581-9422-8633A586BBFD}" name="Column6499"/>
    <tableColumn id="6533" xr3:uid="{1296AF0D-7A09-45A6-9D3F-D1220D77F816}" name="Column6500"/>
    <tableColumn id="6534" xr3:uid="{50A026A6-47C2-4253-85B3-944B9488EBAF}" name="Column6501"/>
    <tableColumn id="6535" xr3:uid="{3FD1CCE9-80A1-401D-9211-0BFC690393AE}" name="Column6502"/>
    <tableColumn id="6536" xr3:uid="{A4720723-4DA9-4D9F-8E25-55CE48D6F9F1}" name="Column6503"/>
    <tableColumn id="6537" xr3:uid="{29FBC07F-B141-420C-AAF6-D69864FB384A}" name="Column6504"/>
    <tableColumn id="6538" xr3:uid="{361FBBF9-EC88-4B41-92BA-0FBAE1ACFE43}" name="Column6505"/>
    <tableColumn id="6539" xr3:uid="{13C83819-FD25-40DC-85DC-3A41087855A1}" name="Column6506"/>
    <tableColumn id="6540" xr3:uid="{72683E43-C2F8-4C45-B477-AF3140699E5C}" name="Column6507"/>
    <tableColumn id="6541" xr3:uid="{681FEED0-7337-4D92-8B7A-775E24A65AED}" name="Column6508"/>
    <tableColumn id="6542" xr3:uid="{70DFFF7F-2546-40B4-A7C1-997E742D80EA}" name="Column6509"/>
    <tableColumn id="6543" xr3:uid="{E0FE077A-488F-4125-AD6B-6817F837DEDB}" name="Column6510"/>
    <tableColumn id="6544" xr3:uid="{787B3A6E-61BD-4E7D-8801-D0F0F5ECFC84}" name="Column6511"/>
    <tableColumn id="6545" xr3:uid="{875BCFFA-18DD-4B9A-8AC2-9F1207D11D5D}" name="Column6512"/>
    <tableColumn id="6546" xr3:uid="{98678D69-C372-4148-BFBD-CF3AE5943B14}" name="Column6513"/>
    <tableColumn id="6547" xr3:uid="{5A21FE8A-A775-47DD-8DCF-589B78BF2A18}" name="Column6514"/>
    <tableColumn id="6548" xr3:uid="{D35B806A-8373-47F5-9800-19995B46DDFD}" name="Column6515"/>
    <tableColumn id="6549" xr3:uid="{06F3C1FF-6D73-47D6-92BD-A32DA1AAB7B5}" name="Column6516"/>
    <tableColumn id="6550" xr3:uid="{F93B1CAD-9E56-42F0-9534-C0E5A1368B39}" name="Column6517"/>
    <tableColumn id="6551" xr3:uid="{B000747D-FE8A-4E3E-82AE-302FA2D1D234}" name="Column6518"/>
    <tableColumn id="6552" xr3:uid="{154CF80E-96BA-483C-93A5-1E5039CF9EEB}" name="Column6519"/>
    <tableColumn id="6553" xr3:uid="{7E2AAFDD-2604-4012-AA93-5ADB80D31AF3}" name="Column6520"/>
    <tableColumn id="6554" xr3:uid="{5188DA13-8F27-47E3-B255-107DD3FA185D}" name="Column6521"/>
    <tableColumn id="6555" xr3:uid="{63C3FDE2-6646-422E-A4B6-475AB4496593}" name="Column6522"/>
    <tableColumn id="6556" xr3:uid="{1BE4D168-4680-4F54-879A-2AEEE07511AF}" name="Column6523"/>
    <tableColumn id="6557" xr3:uid="{B5D78F6E-2CAA-4AC8-8BFA-19E970F01113}" name="Column6524"/>
    <tableColumn id="6558" xr3:uid="{E786A726-A09D-42A6-A0C3-73C46C5B2D58}" name="Column6525"/>
    <tableColumn id="6559" xr3:uid="{F16D332B-3638-4200-ADEF-7C7B2179E68D}" name="Column6526"/>
    <tableColumn id="6560" xr3:uid="{7A163489-1546-4E44-8540-A6685AA50809}" name="Column6527"/>
    <tableColumn id="6561" xr3:uid="{25EC645E-3C31-40CF-8D64-C1B374690946}" name="Column6528"/>
    <tableColumn id="6562" xr3:uid="{69BCED0C-FA14-4A70-A2B7-A8B8CC6968F9}" name="Column6529"/>
    <tableColumn id="6563" xr3:uid="{BCA3DB3E-C37C-49E8-96BF-AA19066594E6}" name="Column6530"/>
    <tableColumn id="6564" xr3:uid="{2077FC23-DA2B-49E8-A80B-E2645EEBD146}" name="Column6531"/>
    <tableColumn id="6565" xr3:uid="{E9918045-B4C8-4911-89A1-67EE56AE3F3F}" name="Column6532"/>
    <tableColumn id="6566" xr3:uid="{2E6B81E8-1D95-43FA-A88D-27DDF3E4A77D}" name="Column6533"/>
    <tableColumn id="6567" xr3:uid="{5AC91E83-F69D-487B-983D-4441E14B1736}" name="Column6534"/>
    <tableColumn id="6568" xr3:uid="{47B57F97-6F5C-4C9D-A61C-42178F6727BF}" name="Column6535"/>
    <tableColumn id="6569" xr3:uid="{0905BBDA-922F-4FB9-8AB4-DBE566C280D2}" name="Column6536"/>
    <tableColumn id="6570" xr3:uid="{CBB05783-1EB0-4EAF-AF69-AA16798F5888}" name="Column6537"/>
    <tableColumn id="6571" xr3:uid="{D237E7EF-ACA0-45E2-A956-37008A0EAF98}" name="Column6538"/>
    <tableColumn id="6572" xr3:uid="{CB755CB4-1BBB-429A-B64E-3AF3687BEC6C}" name="Column6539"/>
    <tableColumn id="6573" xr3:uid="{903B855C-A8FB-4967-A2A2-B1519A263692}" name="Column6540"/>
    <tableColumn id="6574" xr3:uid="{6025BC26-E144-499A-9483-0AE1C31AA988}" name="Column6541"/>
    <tableColumn id="6575" xr3:uid="{BCB6880D-3E44-4CB9-AE0F-8B876AE810CC}" name="Column6542"/>
    <tableColumn id="6576" xr3:uid="{C7DBE632-1BBC-4161-A21F-1A2568AAB22F}" name="Column6543"/>
    <tableColumn id="6577" xr3:uid="{82212602-847A-4143-9E02-F2CFFC4D5833}" name="Column6544"/>
    <tableColumn id="6578" xr3:uid="{571A512B-45EC-483F-BA5F-C8491827F730}" name="Column6545"/>
    <tableColumn id="6579" xr3:uid="{B1EAE968-3168-4B45-BA2A-B66050B15714}" name="Column6546"/>
    <tableColumn id="6580" xr3:uid="{EB997057-E0A5-4FC0-8890-B8700B0B0B87}" name="Column6547"/>
    <tableColumn id="6581" xr3:uid="{F8E87817-765D-4390-A293-85C2C4752AD7}" name="Column6548"/>
    <tableColumn id="6582" xr3:uid="{888E35B2-0983-456A-B853-271BCD76FFC2}" name="Column6549"/>
    <tableColumn id="6583" xr3:uid="{8954C455-6E53-43D1-A357-EF98E67D94C6}" name="Column6550"/>
    <tableColumn id="6584" xr3:uid="{E39B049F-8554-479E-9D2C-6679193B5A70}" name="Column6551"/>
    <tableColumn id="6585" xr3:uid="{72B76149-1C76-4784-AD1A-D15189029080}" name="Column6552"/>
    <tableColumn id="6586" xr3:uid="{E224711E-C77C-4649-AE81-3940BBEF8D6F}" name="Column6553"/>
    <tableColumn id="6587" xr3:uid="{84033D4C-F24E-4110-8279-CB35ED1EAE3C}" name="Column6554"/>
    <tableColumn id="6588" xr3:uid="{51DB0062-CB63-408A-AC9B-75734A1C4754}" name="Column6555"/>
    <tableColumn id="6589" xr3:uid="{0179C197-ADDB-4A56-9A79-04BFE2F8D9B2}" name="Column6556"/>
    <tableColumn id="6590" xr3:uid="{F728B18C-0DF2-440B-9370-B2BEB30D7B96}" name="Column6557"/>
    <tableColumn id="6591" xr3:uid="{7F6627D0-28FA-4F27-A339-42913FB12E4C}" name="Column6558"/>
    <tableColumn id="6592" xr3:uid="{67224C99-A7C0-4496-9B04-9F697B4277E3}" name="Column6559"/>
    <tableColumn id="6593" xr3:uid="{ADCB6A29-D397-4DB1-941D-70EA0D1709D1}" name="Column6560"/>
    <tableColumn id="6594" xr3:uid="{1873C014-3FEC-4D29-A56F-FBA5616CFB2C}" name="Column6561"/>
    <tableColumn id="6595" xr3:uid="{9FE58C31-1104-42D8-89D3-53057E53667C}" name="Column6562"/>
    <tableColumn id="6596" xr3:uid="{071F215E-C54E-4B32-8EF9-036EF6F45D1B}" name="Column6563"/>
    <tableColumn id="6597" xr3:uid="{DDEE4FA4-D9C4-4EB0-8C57-427310084853}" name="Column6564"/>
    <tableColumn id="6598" xr3:uid="{3F806B1E-C81B-4170-BA9F-0F269E68C3EC}" name="Column6565"/>
    <tableColumn id="6599" xr3:uid="{8BCA515B-DC3C-4EE2-9FFE-28B554D20CEE}" name="Column6566"/>
    <tableColumn id="6600" xr3:uid="{9887672D-B322-449F-9E7B-73C6A013BF0D}" name="Column6567"/>
    <tableColumn id="6601" xr3:uid="{BB25D078-5954-4229-B875-2390D8174F06}" name="Column6568"/>
    <tableColumn id="6602" xr3:uid="{C631C984-C33D-45F4-AA01-BD54EC745CEA}" name="Column6569"/>
    <tableColumn id="6603" xr3:uid="{BBBF5336-4924-408C-AC22-319365485308}" name="Column6570"/>
    <tableColumn id="6604" xr3:uid="{3A359364-BDFE-4EC9-8754-4A408EB76213}" name="Column6571"/>
    <tableColumn id="6605" xr3:uid="{802D121D-155F-48D6-BABB-D8B9D415C6DC}" name="Column6572"/>
    <tableColumn id="6606" xr3:uid="{1692595A-9AE4-4B75-B525-71A53DE92349}" name="Column6573"/>
    <tableColumn id="6607" xr3:uid="{D8CC664B-0F76-4B66-9398-C942F8D3E33F}" name="Column6574"/>
    <tableColumn id="6608" xr3:uid="{9F6AC0B0-F4D4-43D8-BB93-B45B5CD274D5}" name="Column6575"/>
    <tableColumn id="6609" xr3:uid="{053E4A7D-83BA-4F25-A7AC-E6399C03EA89}" name="Column6576"/>
    <tableColumn id="6610" xr3:uid="{7FE02DAF-17E6-4044-8C84-4960F5DB36DF}" name="Column6577"/>
    <tableColumn id="6611" xr3:uid="{389DD61A-C32B-4322-92D2-21DE4AAC09A7}" name="Column6578"/>
    <tableColumn id="6612" xr3:uid="{CAA0CCB5-40A8-4F8E-BD52-A9262055BD5F}" name="Column6579"/>
    <tableColumn id="6613" xr3:uid="{D59040D0-8DFA-4141-8277-373B7E3AB8A6}" name="Column6580"/>
    <tableColumn id="6614" xr3:uid="{FA9F6F6C-C955-454D-9197-DB5E44A32172}" name="Column6581"/>
    <tableColumn id="6615" xr3:uid="{5D1350AD-8CEA-4F62-95F8-D0F0BAF0AEC4}" name="Column6582"/>
    <tableColumn id="6616" xr3:uid="{E0BEABDF-62C8-4CE6-ABAB-F3F19AF01968}" name="Column6583"/>
    <tableColumn id="6617" xr3:uid="{024A5037-7F57-48D7-BEC4-0C45E37EF762}" name="Column6584"/>
    <tableColumn id="6618" xr3:uid="{97409498-4898-45DC-B20E-7332E04F60DF}" name="Column6585"/>
    <tableColumn id="6619" xr3:uid="{403A8915-3ABD-4B1E-B4DB-E3DEEA241F39}" name="Column6586"/>
    <tableColumn id="6620" xr3:uid="{1EF7DCCC-68FE-40FA-8A0E-7ADDF385606E}" name="Column6587"/>
    <tableColumn id="6621" xr3:uid="{5D8DEB95-A810-4874-BF23-53C7334CAEC4}" name="Column6588"/>
    <tableColumn id="6622" xr3:uid="{4BE7D1EB-9F61-45FF-B8A7-F10CDB6908B7}" name="Column6589"/>
    <tableColumn id="6623" xr3:uid="{5947C69C-4117-40C1-824C-4B5EA47C3A81}" name="Column6590"/>
    <tableColumn id="6624" xr3:uid="{79CBC5C4-53D1-47FA-AEC1-05425D80CE0E}" name="Column6591"/>
    <tableColumn id="6625" xr3:uid="{C59B4781-C54F-4EFA-9FC4-15BE57EF4A8F}" name="Column6592"/>
    <tableColumn id="6626" xr3:uid="{42F985CA-4A08-4D4C-A3F6-D6F53860A6E5}" name="Column6593"/>
    <tableColumn id="6627" xr3:uid="{EA1E9292-6898-4511-8772-F18C2419B6AF}" name="Column6594"/>
    <tableColumn id="6628" xr3:uid="{0D15E777-63DF-47B2-8C56-659F405F8EFE}" name="Column6595"/>
    <tableColumn id="6629" xr3:uid="{F3FC12CB-1BFE-423F-92CC-0C6391BFF50B}" name="Column6596"/>
    <tableColumn id="6630" xr3:uid="{C01E6083-3418-46F8-A298-A81AF7D1F8DF}" name="Column6597"/>
    <tableColumn id="6631" xr3:uid="{DFAF196A-31FB-4412-8DD9-52480B4E6F9D}" name="Column6598"/>
    <tableColumn id="6632" xr3:uid="{43967D5C-020C-48CB-B757-DAE7939A7824}" name="Column6599"/>
    <tableColumn id="6633" xr3:uid="{60400EFC-01C3-415D-BE3B-735357BB16C3}" name="Column6600"/>
    <tableColumn id="6634" xr3:uid="{39042906-99FD-4005-B101-D9B37817D5E6}" name="Column6601"/>
    <tableColumn id="6635" xr3:uid="{0828F47B-32EA-4026-AB4C-0181A9B86D80}" name="Column6602"/>
    <tableColumn id="6636" xr3:uid="{ECD6AC59-C84D-405D-BC74-57A2456A724B}" name="Column6603"/>
    <tableColumn id="6637" xr3:uid="{9600D674-C3F9-4C51-A9BD-8AF936A4E967}" name="Column6604"/>
    <tableColumn id="6638" xr3:uid="{3B6F8AC7-5BEA-4F6C-918C-31AEC96EECD3}" name="Column6605"/>
    <tableColumn id="6639" xr3:uid="{7CA4B318-BD01-4491-961F-1197643F2920}" name="Column6606"/>
    <tableColumn id="6640" xr3:uid="{BC2A0CCC-F901-4A4F-9D6E-9CF84D9A7E1D}" name="Column6607"/>
    <tableColumn id="6641" xr3:uid="{A955B111-43C3-4923-8512-BD0A223D61FE}" name="Column6608"/>
    <tableColumn id="6642" xr3:uid="{6C6C8170-5E06-445A-88AE-0C5BEF79C763}" name="Column6609"/>
    <tableColumn id="6643" xr3:uid="{1D653314-1C84-4272-A9CA-B25B95DAD3D5}" name="Column6610"/>
    <tableColumn id="6644" xr3:uid="{55CC3C33-D78D-4FC7-B145-FBB2B4E1B4E8}" name="Column6611"/>
    <tableColumn id="6645" xr3:uid="{84F26B73-6314-4FA7-B614-8F7A259B80C2}" name="Column6612"/>
    <tableColumn id="6646" xr3:uid="{6194877A-DE33-4ED6-819D-C59EA59B166A}" name="Column6613"/>
    <tableColumn id="6647" xr3:uid="{8077D257-B6A4-46E4-8919-93F7A0770C82}" name="Column6614"/>
    <tableColumn id="6648" xr3:uid="{46B70A9D-F92C-4A06-A1DF-B0810169A81A}" name="Column6615"/>
    <tableColumn id="6649" xr3:uid="{3FD15C49-98F1-4F59-B730-88F2917B53B6}" name="Column6616"/>
    <tableColumn id="6650" xr3:uid="{1686B440-E86B-43C8-971B-50C54FB2B1C9}" name="Column6617"/>
    <tableColumn id="6651" xr3:uid="{0DE43757-10D7-435D-86A8-B22804442688}" name="Column6618"/>
    <tableColumn id="6652" xr3:uid="{6F4693B3-BFC2-459D-B880-A4FAF8205867}" name="Column6619"/>
    <tableColumn id="6653" xr3:uid="{8036E31E-D14D-41FC-8F75-75E3C9BBDB5B}" name="Column6620"/>
    <tableColumn id="6654" xr3:uid="{0456946A-779F-46FB-88C2-701CBD9DAD66}" name="Column6621"/>
    <tableColumn id="6655" xr3:uid="{572B31F9-D398-4628-B576-DF79392488BE}" name="Column6622"/>
    <tableColumn id="6656" xr3:uid="{470C9E6E-D181-4D96-BD8F-923AA8379235}" name="Column6623"/>
    <tableColumn id="6657" xr3:uid="{12D669E4-569E-4879-83E6-029387243204}" name="Column6624"/>
    <tableColumn id="6658" xr3:uid="{C5F90B84-FE01-4747-9F1E-62BD2AE12A8A}" name="Column6625"/>
    <tableColumn id="6659" xr3:uid="{72BEB7C4-B50D-4953-98FA-6CC1400ABF66}" name="Column6626"/>
    <tableColumn id="6660" xr3:uid="{2E0DAD6D-39B5-4294-9E7D-FB873157A99B}" name="Column6627"/>
    <tableColumn id="6661" xr3:uid="{C81BEFAD-85EF-4951-8802-F4C65D6B6888}" name="Column6628"/>
    <tableColumn id="6662" xr3:uid="{9E5B728D-C5A6-4185-BF1B-FF27310F78FB}" name="Column6629"/>
    <tableColumn id="6663" xr3:uid="{FF62FE86-CAAF-4DA0-824D-F6D0E054208E}" name="Column6630"/>
    <tableColumn id="6664" xr3:uid="{AB74F36A-3217-4AB3-A814-907A528AE579}" name="Column6631"/>
    <tableColumn id="6665" xr3:uid="{BBD3E092-8F56-464D-A88C-AD8D4EFA584B}" name="Column6632"/>
    <tableColumn id="6666" xr3:uid="{A65E5758-0803-4380-AB41-0CDB67F47A69}" name="Column6633"/>
    <tableColumn id="6667" xr3:uid="{3EDD6DB2-3615-4704-B9D3-1BC91F23E562}" name="Column6634"/>
    <tableColumn id="6668" xr3:uid="{FDAF92B7-D72E-49F1-AE13-DA16A124F6D2}" name="Column6635"/>
    <tableColumn id="6669" xr3:uid="{75A0C1D7-7238-455E-9559-42944D57542A}" name="Column6636"/>
    <tableColumn id="6670" xr3:uid="{3EB4E7F4-6CC4-433B-80B5-DD6FFAB45559}" name="Column6637"/>
    <tableColumn id="6671" xr3:uid="{F8DC1968-5AA5-4E82-9FCD-0AEBADBD762B}" name="Column6638"/>
    <tableColumn id="6672" xr3:uid="{2467A20B-1C27-4546-86C4-69581F8714DA}" name="Column6639"/>
    <tableColumn id="6673" xr3:uid="{195BED17-A721-4421-B0A6-3101037E318A}" name="Column6640"/>
    <tableColumn id="6674" xr3:uid="{937B755C-9FAB-42F0-97DD-832AB0D14B5C}" name="Column6641"/>
    <tableColumn id="6675" xr3:uid="{7FB76174-4C32-42BC-A4F0-48D62A58F4A3}" name="Column6642"/>
    <tableColumn id="6676" xr3:uid="{DD1D99C2-B5C2-44F7-BDA6-513E7D4965CE}" name="Column6643"/>
    <tableColumn id="6677" xr3:uid="{ABCD06A9-E682-4284-8FB8-E89A6076C6DD}" name="Column6644"/>
    <tableColumn id="6678" xr3:uid="{69516909-760D-419C-801D-EC051A5B47A0}" name="Column6645"/>
    <tableColumn id="6679" xr3:uid="{80BC2AB0-411E-4372-9267-037D7ABC4437}" name="Column6646"/>
    <tableColumn id="6680" xr3:uid="{C9FDCF9A-0EBA-4B42-A552-5DF449F67801}" name="Column6647"/>
    <tableColumn id="6681" xr3:uid="{039A7AC1-6CE6-4E09-A6D8-214F94C07E9C}" name="Column6648"/>
    <tableColumn id="6682" xr3:uid="{F0FEF7A9-49A1-42F0-905C-C9A2DF349617}" name="Column6649"/>
    <tableColumn id="6683" xr3:uid="{291F31CC-BF9F-48A6-9B02-AC2376578885}" name="Column6650"/>
    <tableColumn id="6684" xr3:uid="{DCE0F539-1344-4619-88B0-605274C2AD38}" name="Column6651"/>
    <tableColumn id="6685" xr3:uid="{4C9741E4-4A18-4816-887F-65C17D988ACC}" name="Column6652"/>
    <tableColumn id="6686" xr3:uid="{0A4FF1F2-5B1A-455D-9EC7-9112387D867E}" name="Column6653"/>
    <tableColumn id="6687" xr3:uid="{B6BB3C68-82E0-4268-B2F4-145BEC23BDC8}" name="Column6654"/>
    <tableColumn id="6688" xr3:uid="{A4B3A158-D5E2-4682-8CEB-001DC077F221}" name="Column6655"/>
    <tableColumn id="6689" xr3:uid="{1BE42E3E-A90E-4957-A792-43455BE741D5}" name="Column6656"/>
    <tableColumn id="6690" xr3:uid="{D2380669-6DD1-4EAF-A165-9F9AB5554D14}" name="Column6657"/>
    <tableColumn id="6691" xr3:uid="{0A1BC866-6E4F-45F6-A1DA-3184908C4C63}" name="Column6658"/>
    <tableColumn id="6692" xr3:uid="{83940ABE-C336-43AF-ACE3-D8783A0E3D1B}" name="Column6659"/>
    <tableColumn id="6693" xr3:uid="{310FE373-E63E-4F0C-9B98-4ACB4B2AB914}" name="Column6660"/>
    <tableColumn id="6694" xr3:uid="{5C74AFBC-9BF6-42FE-BDE2-8B084C398766}" name="Column6661"/>
    <tableColumn id="6695" xr3:uid="{324233EC-D482-4711-8917-1BF7092AF95E}" name="Column6662"/>
    <tableColumn id="6696" xr3:uid="{E94FBD94-E2AA-40C1-9243-BFC66740F8CD}" name="Column6663"/>
    <tableColumn id="6697" xr3:uid="{C4452C69-DD8A-4A79-B6AC-8A95E74072EC}" name="Column6664"/>
    <tableColumn id="6698" xr3:uid="{D2E4670F-A812-4566-80DC-7A2AB7758686}" name="Column6665"/>
    <tableColumn id="6699" xr3:uid="{0540A976-C2D8-4966-ACDE-CDD6982B0633}" name="Column6666"/>
    <tableColumn id="6700" xr3:uid="{95472D55-1836-4800-BB0C-D558BC80B936}" name="Column6667"/>
    <tableColumn id="6701" xr3:uid="{DB11F75A-92C5-4A24-BB6D-8D648849AAFE}" name="Column6668"/>
    <tableColumn id="6702" xr3:uid="{E1C30B7A-055F-48D9-921F-10759C9110B9}" name="Column6669"/>
    <tableColumn id="6703" xr3:uid="{E1ED9114-303D-4E94-BD9B-9405DB2B6AB2}" name="Column6670"/>
    <tableColumn id="6704" xr3:uid="{23D13C46-169E-436C-915A-39439E4AC302}" name="Column6671"/>
    <tableColumn id="6705" xr3:uid="{C423CE20-B122-47CD-8BC8-F25435881A82}" name="Column6672"/>
    <tableColumn id="6706" xr3:uid="{8C63CD1E-11FC-4B36-8D04-F588B84B77D9}" name="Column6673"/>
    <tableColumn id="6707" xr3:uid="{B3B6FE52-467E-460B-8938-AD97D7028EDC}" name="Column6674"/>
    <tableColumn id="6708" xr3:uid="{D3AA928B-8617-4C9F-B138-92FD6E6BF084}" name="Column6675"/>
    <tableColumn id="6709" xr3:uid="{2365CAB7-8721-4555-86A5-AC8E358991A8}" name="Column6676"/>
    <tableColumn id="6710" xr3:uid="{5D1A19DE-C005-4412-9138-094EE8E66E56}" name="Column6677"/>
    <tableColumn id="6711" xr3:uid="{2240484E-CD03-42DF-A41A-9E73CD4170B6}" name="Column6678"/>
    <tableColumn id="6712" xr3:uid="{BAB692B4-A5CB-4D38-8130-F22465EC22C2}" name="Column6679"/>
    <tableColumn id="6713" xr3:uid="{4F9D89F6-0E20-4466-877D-8DC433AC1A47}" name="Column6680"/>
    <tableColumn id="6714" xr3:uid="{C2737DE4-A2BC-49A1-BD8C-EAE424B52A60}" name="Column6681"/>
    <tableColumn id="6715" xr3:uid="{7DF6F218-D799-4081-A65E-DEFAF95FCD65}" name="Column6682"/>
    <tableColumn id="6716" xr3:uid="{0900BCE2-93AC-49F2-BD5E-CE6675609959}" name="Column6683"/>
    <tableColumn id="6717" xr3:uid="{0D63DFCD-06F8-46E7-9051-0F12619F5F22}" name="Column6684"/>
    <tableColumn id="6718" xr3:uid="{A196D3CB-5AB6-4D58-B6B2-CBD50E52DEEB}" name="Column6685"/>
    <tableColumn id="6719" xr3:uid="{414A9618-CAF4-4927-A516-86BD4BBBC73C}" name="Column6686"/>
    <tableColumn id="6720" xr3:uid="{F630660A-DBD9-4685-9108-0CF69A99E6EA}" name="Column6687"/>
    <tableColumn id="6721" xr3:uid="{CBF1A4AE-126C-48EA-BCA4-7FC421DE81DA}" name="Column6688"/>
    <tableColumn id="6722" xr3:uid="{16236162-629E-41C5-A38C-722D76D5BCDF}" name="Column6689"/>
    <tableColumn id="6723" xr3:uid="{7E5389B6-D1BB-4611-9F1F-3839B9587748}" name="Column6690"/>
    <tableColumn id="6724" xr3:uid="{CFF54EF3-BDA2-425B-AE1B-F3E1D0A837E8}" name="Column6691"/>
    <tableColumn id="6725" xr3:uid="{7A95D9DE-92BF-4B31-8D71-F2184C239520}" name="Column6692"/>
    <tableColumn id="6726" xr3:uid="{CEBBC518-C06C-41AC-AD6C-6A6980CAC57F}" name="Column6693"/>
    <tableColumn id="6727" xr3:uid="{BFF6470B-CCD5-4F6B-B9F5-726333D0B341}" name="Column6694"/>
    <tableColumn id="6728" xr3:uid="{8373FAD9-48B3-4254-BA75-96A89E4777F3}" name="Column6695"/>
    <tableColumn id="6729" xr3:uid="{7F136462-30AD-4A51-B144-513A932046BD}" name="Column6696"/>
    <tableColumn id="6730" xr3:uid="{E169C05C-5646-42ED-B22F-073CB1976115}" name="Column6697"/>
    <tableColumn id="6731" xr3:uid="{DB7E69A2-35EE-4202-8EBB-8A27B4F1C76A}" name="Column6698"/>
    <tableColumn id="6732" xr3:uid="{C84C9260-1B29-438E-839E-BB9FB7103C76}" name="Column6699"/>
    <tableColumn id="6733" xr3:uid="{E66783AF-18DA-4482-9177-E01087D9F56B}" name="Column6700"/>
    <tableColumn id="6734" xr3:uid="{C05D9AFE-54FB-4A72-A9FE-02819AFB81EF}" name="Column6701"/>
    <tableColumn id="6735" xr3:uid="{CFE6CF6A-C2B7-428E-BF5B-0F821AAE46BD}" name="Column6702"/>
    <tableColumn id="6736" xr3:uid="{D0E7C2C3-8F8E-4A59-834E-3FBEDB9E1681}" name="Column6703"/>
    <tableColumn id="6737" xr3:uid="{4E9D6BA9-8E3B-4DEC-8D53-CAFAC7151C32}" name="Column6704"/>
    <tableColumn id="6738" xr3:uid="{A8075BD7-509C-4B9D-AD96-F00DFA7E8B23}" name="Column6705"/>
    <tableColumn id="6739" xr3:uid="{29FF9C3D-DDB3-44E0-AA65-98D3151B9CCA}" name="Column6706"/>
    <tableColumn id="6740" xr3:uid="{F8121240-EEFE-47EA-A2F2-BF3346EC66DB}" name="Column6707"/>
    <tableColumn id="6741" xr3:uid="{27B10212-3F1A-4269-93E2-AF71C6B3A1AD}" name="Column6708"/>
    <tableColumn id="6742" xr3:uid="{0F717B2C-1C6B-44FC-8A71-552E032C6E41}" name="Column6709"/>
    <tableColumn id="6743" xr3:uid="{D3AEB8DE-E984-4500-BB85-980489B07A46}" name="Column6710"/>
    <tableColumn id="6744" xr3:uid="{FA8280F0-F36D-46C0-807A-7458617C024C}" name="Column6711"/>
    <tableColumn id="6745" xr3:uid="{9FC70EC2-EE0B-4326-91AF-0092E19CF021}" name="Column6712"/>
    <tableColumn id="6746" xr3:uid="{4B3E7843-194D-426F-8FC6-4E12C0C0D26F}" name="Column6713"/>
    <tableColumn id="6747" xr3:uid="{68C6DE49-9BDF-4AD6-AED7-822F8DD893B6}" name="Column6714"/>
    <tableColumn id="6748" xr3:uid="{3E0A8BF4-2624-437E-9B67-F1277B3DCBDB}" name="Column6715"/>
    <tableColumn id="6749" xr3:uid="{0111DDB1-7CEC-4C8B-938E-8287BB15E71D}" name="Column6716"/>
    <tableColumn id="6750" xr3:uid="{CC9059B6-E84B-4DBB-874B-112CCF329DAF}" name="Column6717"/>
    <tableColumn id="6751" xr3:uid="{D0A7186A-3FD2-403A-BAAC-82F76CD33117}" name="Column6718"/>
    <tableColumn id="6752" xr3:uid="{0036C60E-355E-4E76-9FE4-2072C715EE33}" name="Column6719"/>
    <tableColumn id="6753" xr3:uid="{B76E5CBC-FCB5-4985-92E3-92D3703B3954}" name="Column6720"/>
    <tableColumn id="6754" xr3:uid="{5122F4F1-7CA7-4549-AD71-91C744290BFA}" name="Column6721"/>
    <tableColumn id="6755" xr3:uid="{B843A527-4EEF-4591-B81E-FB27992F8251}" name="Column6722"/>
    <tableColumn id="6756" xr3:uid="{CE7BB29C-2254-464C-9D2D-7E3D2FA0684C}" name="Column6723"/>
    <tableColumn id="6757" xr3:uid="{6A6223A6-B13D-4542-B1A0-67870BA8D47C}" name="Column6724"/>
    <tableColumn id="6758" xr3:uid="{57D26E81-6909-444E-82A0-5CEBAE1E8637}" name="Column6725"/>
    <tableColumn id="6759" xr3:uid="{15DE507E-0E05-490B-8B24-E923F161802C}" name="Column6726"/>
    <tableColumn id="6760" xr3:uid="{F5D4AAEB-ADFA-4E2C-BA42-61597315195E}" name="Column6727"/>
    <tableColumn id="6761" xr3:uid="{1142428A-C403-473A-A370-1CA8D12CFC4A}" name="Column6728"/>
    <tableColumn id="6762" xr3:uid="{DA0B562B-12ED-4CB9-AD28-2AE4410DE3F9}" name="Column6729"/>
    <tableColumn id="6763" xr3:uid="{F7A6C442-09EA-4FE8-9137-9F5B2DA93DB0}" name="Column6730"/>
    <tableColumn id="6764" xr3:uid="{2AE68959-5374-431E-A409-B8B328D7B4C5}" name="Column6731"/>
    <tableColumn id="6765" xr3:uid="{8C5C5463-F9CE-4EB9-A7D9-E268BCEA4E74}" name="Column6732"/>
    <tableColumn id="6766" xr3:uid="{F20AA39A-6501-418E-98D2-FC9492A80D5A}" name="Column6733"/>
    <tableColumn id="6767" xr3:uid="{61DA3AB2-F498-4C9B-B6FE-52779C7AEB43}" name="Column6734"/>
    <tableColumn id="6768" xr3:uid="{8D7543D5-26B6-48E5-8596-DA21BDE00631}" name="Column6735"/>
    <tableColumn id="6769" xr3:uid="{9364AA8A-3970-465F-BDFF-FF5907028630}" name="Column6736"/>
    <tableColumn id="6770" xr3:uid="{E7C05E08-0D8A-46D4-9347-B2C85A8E2430}" name="Column6737"/>
    <tableColumn id="6771" xr3:uid="{A8B54329-4D6B-4447-8186-935E36710BF2}" name="Column6738"/>
    <tableColumn id="6772" xr3:uid="{EC22B462-9023-48C3-8BD6-637856CA7E97}" name="Column6739"/>
    <tableColumn id="6773" xr3:uid="{681A0015-F6D6-4878-AD91-D12EE6B5FD14}" name="Column6740"/>
    <tableColumn id="6774" xr3:uid="{FB93009F-FC91-42D9-BCF5-86F3C4FDD6EF}" name="Column6741"/>
    <tableColumn id="6775" xr3:uid="{4FEA5B91-B27B-4C10-9560-EFD87D141727}" name="Column6742"/>
    <tableColumn id="6776" xr3:uid="{7FCD0B8F-BC4F-4DDB-AAA3-BABBFF910F3A}" name="Column6743"/>
    <tableColumn id="6777" xr3:uid="{41856653-CCA9-4398-B1B3-88FAD2EB06D2}" name="Column6744"/>
    <tableColumn id="6778" xr3:uid="{3EB63650-4A0E-4878-B6FD-977D43A83E24}" name="Column6745"/>
    <tableColumn id="6779" xr3:uid="{EE4A3E9C-AF21-44C5-B4A6-8652AF0D0CAA}" name="Column6746"/>
    <tableColumn id="6780" xr3:uid="{EBF23135-7B06-46FD-B3D5-8D18C6C4CDC6}" name="Column6747"/>
    <tableColumn id="6781" xr3:uid="{94488CB2-1925-4A8A-A414-C3274444CA4C}" name="Column6748"/>
    <tableColumn id="6782" xr3:uid="{83A4948A-B0FF-45DB-9F73-067490BF12AC}" name="Column6749"/>
    <tableColumn id="6783" xr3:uid="{47506E30-1170-44F5-B173-B48A9462D5CB}" name="Column6750"/>
    <tableColumn id="6784" xr3:uid="{E9F9F8E0-5CDE-401A-8F4F-27DC43CF96DA}" name="Column6751"/>
    <tableColumn id="6785" xr3:uid="{87512663-996E-41D1-9447-3C368CBBE11D}" name="Column6752"/>
    <tableColumn id="6786" xr3:uid="{BC048BCB-7C5A-4751-9398-C75BDA316EE0}" name="Column6753"/>
    <tableColumn id="6787" xr3:uid="{B79AB114-D170-4386-9F5B-145A98FC8B2D}" name="Column6754"/>
    <tableColumn id="6788" xr3:uid="{1330E6D8-55C6-4801-8470-8394CB754C72}" name="Column6755"/>
    <tableColumn id="6789" xr3:uid="{D906C1EF-8BE2-4F47-B3D7-2073580DE481}" name="Column6756"/>
    <tableColumn id="6790" xr3:uid="{77489987-CE8B-4212-95E2-2E09A3D302CC}" name="Column6757"/>
    <tableColumn id="6791" xr3:uid="{60590370-2071-48D2-BE27-EE16F0FE42EE}" name="Column6758"/>
    <tableColumn id="6792" xr3:uid="{25709A93-BE98-4B9F-ACBE-6741A86948B5}" name="Column6759"/>
    <tableColumn id="6793" xr3:uid="{9448264C-D0BD-4E15-B578-A5329DEC0BB0}" name="Column6760"/>
    <tableColumn id="6794" xr3:uid="{A58160D5-6C4F-49E4-870F-CF0960984188}" name="Column6761"/>
    <tableColumn id="6795" xr3:uid="{677666C8-CBAF-4259-9B1C-20DE7B3B4A29}" name="Column6762"/>
    <tableColumn id="6796" xr3:uid="{A3BF8124-22F3-4F4D-BF1B-B98D2741077C}" name="Column6763"/>
    <tableColumn id="6797" xr3:uid="{A7BA2579-222B-4FA6-A604-1216F3843E62}" name="Column6764"/>
    <tableColumn id="6798" xr3:uid="{95B3B43A-A8EB-4E99-BC0E-F369A7688BAA}" name="Column6765"/>
    <tableColumn id="6799" xr3:uid="{16120DA8-AAE9-4753-9C04-E8BF299AF71F}" name="Column6766"/>
    <tableColumn id="6800" xr3:uid="{E79FFFA2-5167-49C6-8167-AD34AE657BF8}" name="Column6767"/>
    <tableColumn id="6801" xr3:uid="{89EEB587-E2FD-4675-99AA-55DA362D86BB}" name="Column6768"/>
    <tableColumn id="6802" xr3:uid="{9ED51FC8-4DAA-44D9-8C94-0A30FF0C6F0B}" name="Column6769"/>
    <tableColumn id="6803" xr3:uid="{9493F71F-EEB8-4381-A6E0-CC3BFCBEA53A}" name="Column6770"/>
    <tableColumn id="6804" xr3:uid="{9FF17463-DEF2-4599-A289-D16639B33AF0}" name="Column6771"/>
    <tableColumn id="6805" xr3:uid="{B5F8F896-CBE0-43F9-8929-8B7E39433E99}" name="Column6772"/>
    <tableColumn id="6806" xr3:uid="{281C2079-30DF-4AB8-8109-81F2D226D082}" name="Column6773"/>
    <tableColumn id="6807" xr3:uid="{E0520128-07C7-48FF-86CA-E9244EBA106E}" name="Column6774"/>
    <tableColumn id="6808" xr3:uid="{EAF30768-BD39-4DF9-BBE0-F4A6CAF039A9}" name="Column6775"/>
    <tableColumn id="6809" xr3:uid="{6DCC52FF-323C-465B-B087-3662CDE12FE9}" name="Column6776"/>
    <tableColumn id="6810" xr3:uid="{F3BCD7EE-EBF1-4FF4-B0A0-2DEAEC045777}" name="Column6777"/>
    <tableColumn id="6811" xr3:uid="{D1174731-EB98-41DA-B440-674C07D9BE70}" name="Column6778"/>
    <tableColumn id="6812" xr3:uid="{5D5E0A9D-33F0-47F2-ACD1-55E7ED2BE3A1}" name="Column6779"/>
    <tableColumn id="6813" xr3:uid="{EE981BFE-0E3F-4594-BE46-E01065726F7C}" name="Column6780"/>
    <tableColumn id="6814" xr3:uid="{CE213DFB-4487-4674-85B4-36CC9B3BDBCD}" name="Column6781"/>
    <tableColumn id="6815" xr3:uid="{B06F5486-F17A-4F88-9489-AF5A38F0E691}" name="Column6782"/>
    <tableColumn id="6816" xr3:uid="{0FDBF9DD-4E98-4B47-BF30-1D1D4948B816}" name="Column6783"/>
    <tableColumn id="6817" xr3:uid="{00480C67-7D10-480D-82AD-7DF86D10C91F}" name="Column6784"/>
    <tableColumn id="6818" xr3:uid="{7C95C26F-FCD3-490C-896B-98BD2A0212FA}" name="Column6785"/>
    <tableColumn id="6819" xr3:uid="{BF1797CD-1420-46DD-A522-61CBCF9C67FA}" name="Column6786"/>
    <tableColumn id="6820" xr3:uid="{62C41E6F-ACF3-476F-9BC2-000465413A31}" name="Column6787"/>
    <tableColumn id="6821" xr3:uid="{1C55EF1A-4739-489B-8641-0F8E8805C333}" name="Column6788"/>
    <tableColumn id="6822" xr3:uid="{6479D11C-3FB0-4716-B65A-2E8BD24515E6}" name="Column6789"/>
    <tableColumn id="6823" xr3:uid="{6D784C21-340F-4355-87AB-E2B3F390C3A8}" name="Column6790"/>
    <tableColumn id="6824" xr3:uid="{641EBF4E-5297-449B-8E95-9CB69DE36071}" name="Column6791"/>
    <tableColumn id="6825" xr3:uid="{92431286-FE69-416E-A7DF-76CBC7A01037}" name="Column6792"/>
    <tableColumn id="6826" xr3:uid="{BA7D6881-CDA6-4DD7-AAD9-745EB9CFBAD1}" name="Column6793"/>
    <tableColumn id="6827" xr3:uid="{76AF72BA-9217-4B73-9917-CFE86F0C9433}" name="Column6794"/>
    <tableColumn id="6828" xr3:uid="{0E954EEC-8FDF-44E6-A529-CA7453D2EE1D}" name="Column6795"/>
    <tableColumn id="6829" xr3:uid="{C932EB11-2EDA-46D3-B667-9353D5385C9F}" name="Column6796"/>
    <tableColumn id="6830" xr3:uid="{B1980CC6-72EF-4785-9D89-2AE1A31684C5}" name="Column6797"/>
    <tableColumn id="6831" xr3:uid="{72D73FF0-775D-4F29-AC28-BEEDE6383AD9}" name="Column6798"/>
    <tableColumn id="6832" xr3:uid="{9C0F6CE9-4CA0-4BBB-92C9-D2924D1A2942}" name="Column6799"/>
    <tableColumn id="6833" xr3:uid="{3581F7FC-C830-4C3A-ACE9-1F9586404406}" name="Column6800"/>
    <tableColumn id="6834" xr3:uid="{651F7439-9EDF-48C7-A8BB-834227C52108}" name="Column6801"/>
    <tableColumn id="6835" xr3:uid="{ED903BAC-482E-4765-B760-33001A11370F}" name="Column6802"/>
    <tableColumn id="6836" xr3:uid="{E7DF5941-4B46-4037-86B4-76537BBD82B9}" name="Column6803"/>
    <tableColumn id="6837" xr3:uid="{0CE1A533-B701-45DA-9DDE-96D2F55E7C71}" name="Column6804"/>
    <tableColumn id="6838" xr3:uid="{037DED8E-9151-4873-B800-F331CED8B769}" name="Column6805"/>
    <tableColumn id="6839" xr3:uid="{5D0A3B6A-DB7B-4141-8497-F98ADF81820C}" name="Column6806"/>
    <tableColumn id="6840" xr3:uid="{7E1F89B4-0F51-40CA-868C-717405A6BE62}" name="Column6807"/>
    <tableColumn id="6841" xr3:uid="{8D21370F-7F30-476C-999E-C72317899EE5}" name="Column6808"/>
    <tableColumn id="6842" xr3:uid="{F63C7D75-9A48-4B8C-9491-BD69AD7D81C2}" name="Column6809"/>
    <tableColumn id="6843" xr3:uid="{03F69749-6A9A-438E-9895-85EF100C756C}" name="Column6810"/>
    <tableColumn id="6844" xr3:uid="{08201093-9617-4A85-93E3-96818C314D56}" name="Column6811"/>
    <tableColumn id="6845" xr3:uid="{84A20781-A07F-4F0C-971E-D71AB91A9671}" name="Column6812"/>
    <tableColumn id="6846" xr3:uid="{DC4392DF-97ED-4B3E-AF06-6C4FC4FBCC73}" name="Column6813"/>
    <tableColumn id="6847" xr3:uid="{387E60E8-FA95-40C2-94C8-22DE648D2693}" name="Column6814"/>
    <tableColumn id="6848" xr3:uid="{6018A9A4-695E-4D0A-9084-A2A6D56B0CE5}" name="Column6815"/>
    <tableColumn id="6849" xr3:uid="{824E558A-C9FE-453D-974D-1417CD15066E}" name="Column6816"/>
    <tableColumn id="6850" xr3:uid="{8675ADB1-9900-40CE-9414-7A1DD2E8EB69}" name="Column6817"/>
    <tableColumn id="6851" xr3:uid="{4A6622A4-4870-433D-94F8-C389B98B9606}" name="Column6818"/>
    <tableColumn id="6852" xr3:uid="{6B6ACF4A-F4E0-4D20-AA93-3C1EDD279B78}" name="Column6819"/>
    <tableColumn id="6853" xr3:uid="{549DC7B1-8DF3-4EEB-A842-7AEB77ACEAC4}" name="Column6820"/>
    <tableColumn id="6854" xr3:uid="{0CEAC3FB-2D6B-4885-AB5B-B518E6B733A5}" name="Column6821"/>
    <tableColumn id="6855" xr3:uid="{7368BAD7-471E-40C5-BFE5-842E74C80686}" name="Column6822"/>
    <tableColumn id="6856" xr3:uid="{810820DB-ADCE-4E4B-A17F-2BE40D5DA6FE}" name="Column6823"/>
    <tableColumn id="6857" xr3:uid="{8C32DAE8-D822-49BF-A674-943EB87D8691}" name="Column6824"/>
    <tableColumn id="6858" xr3:uid="{0AB0B0A8-C2DD-4F18-843A-ADE65415BC24}" name="Column6825"/>
    <tableColumn id="6859" xr3:uid="{8E21979C-2517-46F1-81C4-B7FA1B97C197}" name="Column6826"/>
    <tableColumn id="6860" xr3:uid="{C043587C-FD9C-4399-9459-09A566D88148}" name="Column6827"/>
    <tableColumn id="6861" xr3:uid="{3FA184FD-EF9B-455F-9F41-7F81E529EDF7}" name="Column6828"/>
    <tableColumn id="6862" xr3:uid="{8B021362-54A9-4A4B-9FA7-6B2581CA5A81}" name="Column6829"/>
    <tableColumn id="6863" xr3:uid="{3B489878-F31E-4CBF-8386-02424DD0BFE6}" name="Column6830"/>
    <tableColumn id="6864" xr3:uid="{71D595A3-00BE-4292-9C1D-4041519015DD}" name="Column6831"/>
    <tableColumn id="6865" xr3:uid="{7CF13651-138F-4391-A285-B36FB2103CA3}" name="Column6832"/>
    <tableColumn id="6866" xr3:uid="{5C0092D3-66C1-4C86-B153-1560E4822046}" name="Column6833"/>
    <tableColumn id="6867" xr3:uid="{D999AD6C-174F-4982-8087-DAB43BD6E808}" name="Column6834"/>
    <tableColumn id="6868" xr3:uid="{B918C492-ED27-4A3F-9916-81FD3AAAE09B}" name="Column6835"/>
    <tableColumn id="6869" xr3:uid="{C1069990-1542-4238-9978-5A76D0F38063}" name="Column6836"/>
    <tableColumn id="6870" xr3:uid="{5C5ED57C-1628-4B11-92DD-55D7672C9254}" name="Column6837"/>
    <tableColumn id="6871" xr3:uid="{99A57998-1B9F-4C40-A859-D45EBEE2D6AE}" name="Column6838"/>
    <tableColumn id="6872" xr3:uid="{632E1922-D0D8-4616-B27C-65E3EBD8EFF2}" name="Column6839"/>
    <tableColumn id="6873" xr3:uid="{09A3CB81-0844-425A-93D1-9313F9A18EBD}" name="Column6840"/>
    <tableColumn id="6874" xr3:uid="{94AA6B5D-10F2-4541-B038-C477B31F68A0}" name="Column6841"/>
    <tableColumn id="6875" xr3:uid="{D8503B59-DE8B-42A1-946A-02F0BA533638}" name="Column6842"/>
    <tableColumn id="6876" xr3:uid="{28C38F85-0318-4BC4-8B72-F75984C8F1F6}" name="Column6843"/>
    <tableColumn id="6877" xr3:uid="{5035D6FE-B791-4B8C-8BA1-A30DEBD2C6D4}" name="Column6844"/>
    <tableColumn id="6878" xr3:uid="{9FA14169-7902-4D4E-AEE9-C6AB0444903F}" name="Column6845"/>
    <tableColumn id="6879" xr3:uid="{0163C03B-7DA6-41E6-AF94-89D7D501356B}" name="Column6846"/>
    <tableColumn id="6880" xr3:uid="{6C0559C2-23B1-428F-8256-2C8F7692C2FF}" name="Column6847"/>
    <tableColumn id="6881" xr3:uid="{E6E8177A-370F-45FF-AEEF-66686AC6F3E5}" name="Column6848"/>
    <tableColumn id="6882" xr3:uid="{B1105B76-17BC-4A83-B7C8-22FE413BE34A}" name="Column6849"/>
    <tableColumn id="6883" xr3:uid="{685069EC-CF74-483E-AFBA-5AE0FCF9E324}" name="Column6850"/>
    <tableColumn id="6884" xr3:uid="{81AFCE9F-05A7-4552-B1B0-F2C639EADE80}" name="Column6851"/>
    <tableColumn id="6885" xr3:uid="{0A6548D1-CB7C-407C-99F9-F75F6546D090}" name="Column6852"/>
    <tableColumn id="6886" xr3:uid="{5FA023B6-7674-4FB5-99D1-2F840001C4C4}" name="Column6853"/>
    <tableColumn id="6887" xr3:uid="{BC669B2A-1D4E-4D73-8C13-21BEA619F235}" name="Column6854"/>
    <tableColumn id="6888" xr3:uid="{F1B5CF3D-C8C5-4F52-B314-47B0B373C2C8}" name="Column6855"/>
    <tableColumn id="6889" xr3:uid="{528078F6-0FC3-4930-998D-04625BBF85C7}" name="Column6856"/>
    <tableColumn id="6890" xr3:uid="{BAC0FC8D-E6F8-47ED-A59E-7F7B3084C0C9}" name="Column6857"/>
    <tableColumn id="6891" xr3:uid="{B6810CC2-0819-4514-853F-B599ED275431}" name="Column6858"/>
    <tableColumn id="6892" xr3:uid="{3679B3D9-C656-4206-A283-8C6AAFF7F9AA}" name="Column6859"/>
    <tableColumn id="6893" xr3:uid="{C970EDBC-C3FE-4010-AFF9-C31DF60E8EEA}" name="Column6860"/>
    <tableColumn id="6894" xr3:uid="{ADA6C66E-A34B-401E-9752-7E533346EE03}" name="Column6861"/>
    <tableColumn id="6895" xr3:uid="{807380B8-3D7A-4C06-8C5E-05F5A01FB8A0}" name="Column6862"/>
    <tableColumn id="6896" xr3:uid="{C3CDBEE0-66E6-49D7-86C1-8B9E3D9B296A}" name="Column6863"/>
    <tableColumn id="6897" xr3:uid="{AAAAAE86-E213-4A87-A36B-A75C655E234A}" name="Column6864"/>
    <tableColumn id="6898" xr3:uid="{4D7660DB-3BED-40A1-83D5-A63775D8AEC9}" name="Column6865"/>
    <tableColumn id="6899" xr3:uid="{0C1884A1-CE26-4630-9D40-BD894F52305F}" name="Column6866"/>
    <tableColumn id="6900" xr3:uid="{D5E19891-405F-45F8-A3A8-BE220916FA38}" name="Column6867"/>
    <tableColumn id="6901" xr3:uid="{E085D1DA-84E3-4A7F-B4E7-92A1857E1115}" name="Column6868"/>
    <tableColumn id="6902" xr3:uid="{A4E0EE7F-FF6E-4A71-B242-7DFCD420018B}" name="Column6869"/>
    <tableColumn id="6903" xr3:uid="{D213FDE8-4375-47EA-B900-B80F6F24B49B}" name="Column6870"/>
    <tableColumn id="6904" xr3:uid="{CC30C8F1-9FD1-4D15-BC0A-A7588C2588DB}" name="Column6871"/>
    <tableColumn id="6905" xr3:uid="{86DE915D-0C84-4D86-AF31-BE8B5A251F33}" name="Column6872"/>
    <tableColumn id="6906" xr3:uid="{5E28DAF0-99BF-4FCE-A767-37EA4B22683C}" name="Column6873"/>
    <tableColumn id="6907" xr3:uid="{D80D03ED-64BF-449A-B308-E0E18131A32A}" name="Column6874"/>
    <tableColumn id="6908" xr3:uid="{7A799712-BAB5-4428-A063-6E5CBB716FA6}" name="Column6875"/>
    <tableColumn id="6909" xr3:uid="{94A12D6A-A560-4191-90C1-EDD66EAC276F}" name="Column6876"/>
    <tableColumn id="6910" xr3:uid="{7065DD0D-E1F7-4A8E-A9FE-B6688B373FBE}" name="Column6877"/>
    <tableColumn id="6911" xr3:uid="{FE4D1751-C923-4033-ADF2-7D51861AA0A3}" name="Column6878"/>
    <tableColumn id="6912" xr3:uid="{770DC74E-794E-44F6-BC8B-4931271A1AA1}" name="Column6879"/>
    <tableColumn id="6913" xr3:uid="{01E82CF8-4D0B-443E-A486-4A37F0890E59}" name="Column6880"/>
    <tableColumn id="6914" xr3:uid="{6332300E-EF9A-4230-8C49-21F7C1CD5607}" name="Column6881"/>
    <tableColumn id="6915" xr3:uid="{2AEB88C0-6A8A-4153-A41B-75B0A34AB91D}" name="Column6882"/>
    <tableColumn id="6916" xr3:uid="{425626E2-DDD4-4B6F-8BC3-9E3B34914508}" name="Column6883"/>
    <tableColumn id="6917" xr3:uid="{DA9A4960-231F-4079-A944-D70589853455}" name="Column6884"/>
    <tableColumn id="6918" xr3:uid="{C5B44574-8C00-4B46-9EDB-688DDC966D45}" name="Column6885"/>
    <tableColumn id="6919" xr3:uid="{2D1B5CE9-552B-43AD-B124-86DBC8028CCD}" name="Column6886"/>
    <tableColumn id="6920" xr3:uid="{F3492BE4-7540-4F86-B8CA-595EC208EDC6}" name="Column6887"/>
    <tableColumn id="6921" xr3:uid="{FD62EC16-79D7-47E4-8C98-AA06C45300E0}" name="Column6888"/>
    <tableColumn id="6922" xr3:uid="{E449EBB5-6893-4FF4-AFA5-9CBA3ACEA520}" name="Column6889"/>
    <tableColumn id="6923" xr3:uid="{AA4E1356-FD2A-4C00-AB42-A6B981E9AF34}" name="Column6890"/>
    <tableColumn id="6924" xr3:uid="{D2C27DD6-F6F1-4C69-AF08-46C29F9D6781}" name="Column6891"/>
    <tableColumn id="6925" xr3:uid="{7F53ED0E-6D22-4B4C-9A85-BD31297417E3}" name="Column6892"/>
    <tableColumn id="6926" xr3:uid="{96D79465-9947-41F1-8072-D401874C43A8}" name="Column6893"/>
    <tableColumn id="6927" xr3:uid="{7715B2C9-1E26-4D91-A9B2-14AF8EA9C493}" name="Column6894"/>
    <tableColumn id="6928" xr3:uid="{1F54D510-C848-4413-A583-EDF70CBAED5E}" name="Column6895"/>
    <tableColumn id="6929" xr3:uid="{841B902D-E13C-4449-9B30-52AF1EBFC48B}" name="Column6896"/>
    <tableColumn id="6930" xr3:uid="{29273A77-9AD1-4101-8217-E2BA59B01714}" name="Column6897"/>
    <tableColumn id="6931" xr3:uid="{5BBDAE4F-6EA4-44AA-8786-C7F04DBAE4BE}" name="Column6898"/>
    <tableColumn id="6932" xr3:uid="{E4D1F919-56B2-4A9F-9CF6-2062391C9E26}" name="Column6899"/>
    <tableColumn id="6933" xr3:uid="{CAE838C4-54C4-4F86-8065-2E463182619A}" name="Column6900"/>
    <tableColumn id="6934" xr3:uid="{28068583-AFB0-42B6-A563-6766F9AD5CDD}" name="Column6901"/>
    <tableColumn id="6935" xr3:uid="{016FBD92-CF5A-4B56-99C3-ECD9B8A6A312}" name="Column6902"/>
    <tableColumn id="6936" xr3:uid="{F7E85EBC-D383-4EC3-AE5D-B6D91F1CAEBF}" name="Column6903"/>
    <tableColumn id="6937" xr3:uid="{20763D96-2916-4C5B-A02F-B055B9C79FC9}" name="Column6904"/>
    <tableColumn id="6938" xr3:uid="{9655026D-6487-4402-8925-144D09A607CF}" name="Column6905"/>
    <tableColumn id="6939" xr3:uid="{50EEF3F3-1283-4210-9456-D52E5196A182}" name="Column6906"/>
    <tableColumn id="6940" xr3:uid="{D66DC2A7-6DE6-4E58-A5F4-F66C2B7B428B}" name="Column6907"/>
    <tableColumn id="6941" xr3:uid="{6F2F0AA9-8906-46D1-892A-9345C9F81A17}" name="Column6908"/>
    <tableColumn id="6942" xr3:uid="{07201352-8608-4251-A1AB-FA603DDB7E97}" name="Column6909"/>
    <tableColumn id="6943" xr3:uid="{99652EDC-D8BC-4897-AF82-E42BC278B542}" name="Column6910"/>
    <tableColumn id="6944" xr3:uid="{C6216ECB-631E-4179-B397-565BC7654F5B}" name="Column6911"/>
    <tableColumn id="6945" xr3:uid="{B382690E-AAE0-42B0-A535-AFE53837BD13}" name="Column6912"/>
    <tableColumn id="6946" xr3:uid="{9746FC30-5B80-443E-BEA0-969163BC2E95}" name="Column6913"/>
    <tableColumn id="6947" xr3:uid="{5474C8D0-93EF-4644-852E-072673AFA567}" name="Column6914"/>
    <tableColumn id="6948" xr3:uid="{4FCB0761-AB6A-43F1-9C53-AC4DABA05351}" name="Column6915"/>
    <tableColumn id="6949" xr3:uid="{A3CAC3F2-3ECF-4B16-A17A-41828B6FE874}" name="Column6916"/>
    <tableColumn id="6950" xr3:uid="{6A299187-C557-4758-AD30-AD61979DAF1C}" name="Column6917"/>
    <tableColumn id="6951" xr3:uid="{F5D78336-F2AC-4625-AB1A-7DBCDB5DF2C3}" name="Column6918"/>
    <tableColumn id="6952" xr3:uid="{28633C20-58D4-4A31-950F-76D1A4FD0689}" name="Column6919"/>
    <tableColumn id="6953" xr3:uid="{BB306C3E-D6A1-41FC-A1CA-DD3D42B5C989}" name="Column6920"/>
    <tableColumn id="6954" xr3:uid="{66C9A2F6-F668-433A-8767-B9C96C635365}" name="Column6921"/>
    <tableColumn id="6955" xr3:uid="{84026BB4-52D9-47EF-96B9-579AF947F524}" name="Column6922"/>
    <tableColumn id="6956" xr3:uid="{89E094E9-013A-445B-9854-2A7439FA0122}" name="Column6923"/>
    <tableColumn id="6957" xr3:uid="{516BFAB9-AF33-492C-94C2-672328206591}" name="Column6924"/>
    <tableColumn id="6958" xr3:uid="{40044D26-A658-41BB-8C68-A750FCDE85DF}" name="Column6925"/>
    <tableColumn id="6959" xr3:uid="{23B076E2-048C-45D4-B1FA-9105165250F9}" name="Column6926"/>
    <tableColumn id="6960" xr3:uid="{376EEFFD-26CF-4F9F-A07F-3A170DD4B920}" name="Column6927"/>
    <tableColumn id="6961" xr3:uid="{063CC3FE-16A6-4665-95DE-DE470B3140EE}" name="Column6928"/>
    <tableColumn id="6962" xr3:uid="{82FFEF3C-6AAF-4A66-AE31-17B38684A906}" name="Column6929"/>
    <tableColumn id="6963" xr3:uid="{6BD76E56-BF3F-44B8-8288-4D39A2A7FA96}" name="Column6930"/>
    <tableColumn id="6964" xr3:uid="{4C06AB1D-476A-46B4-ABD7-8EF40372E0D6}" name="Column6931"/>
    <tableColumn id="6965" xr3:uid="{BCEB8C94-C0D5-4818-AAE1-519DD8FDB693}" name="Column6932"/>
    <tableColumn id="6966" xr3:uid="{6D34ACEC-D2A4-4B8F-8C53-934C7A67BE94}" name="Column6933"/>
    <tableColumn id="6967" xr3:uid="{0A518718-2CF2-4555-9FC2-413476C4B7CD}" name="Column6934"/>
    <tableColumn id="6968" xr3:uid="{D0F2B8FC-2274-43C5-9711-B39914A81074}" name="Column6935"/>
    <tableColumn id="6969" xr3:uid="{0F3F7964-3DA5-406B-96BE-CE0CBE860D77}" name="Column6936"/>
    <tableColumn id="6970" xr3:uid="{022F9399-3CCB-469E-AE5E-1FD2AC3AAFFA}" name="Column6937"/>
    <tableColumn id="6971" xr3:uid="{AE6BA7F4-C591-4270-9388-B51BA805148B}" name="Column6938"/>
    <tableColumn id="6972" xr3:uid="{E7F763D3-1A30-4AA4-BE75-D71EBD0E6ECA}" name="Column6939"/>
    <tableColumn id="6973" xr3:uid="{C5A38761-EC46-4F4F-B49C-C17CAB8C4C76}" name="Column6940"/>
    <tableColumn id="6974" xr3:uid="{37823004-CC08-458F-B886-834A49F1F5BA}" name="Column6941"/>
    <tableColumn id="6975" xr3:uid="{5324F4F4-1907-49BA-925C-51523297A7A1}" name="Column6942"/>
    <tableColumn id="6976" xr3:uid="{B986D934-1B14-4D73-A413-C750C2A385BB}" name="Column6943"/>
    <tableColumn id="6977" xr3:uid="{7041C064-BE96-44BB-9256-1A3B04A36D52}" name="Column6944"/>
    <tableColumn id="6978" xr3:uid="{D4129D4B-0504-46A7-9F0F-46842BDCA5F8}" name="Column6945"/>
    <tableColumn id="6979" xr3:uid="{0F8E7899-0612-4F33-8177-58C2EDBB9C17}" name="Column6946"/>
    <tableColumn id="6980" xr3:uid="{522F7AD7-F3D0-47FA-A376-7EAF9B26FFA6}" name="Column6947"/>
    <tableColumn id="6981" xr3:uid="{1FDC3059-74F1-46B0-8219-0B727B10D5BC}" name="Column6948"/>
    <tableColumn id="6982" xr3:uid="{B85271B7-D41C-4C1B-BE99-887AB001BEA7}" name="Column6949"/>
    <tableColumn id="6983" xr3:uid="{5678ACA2-E2E5-4267-A102-5014D7C66C26}" name="Column6950"/>
    <tableColumn id="6984" xr3:uid="{DFDAABC4-B52C-44A6-87E3-CA6FB4D5914B}" name="Column6951"/>
    <tableColumn id="6985" xr3:uid="{61E08A0E-F940-48D5-91BF-AA77B87215CD}" name="Column6952"/>
    <tableColumn id="6986" xr3:uid="{797B69F5-F654-4E4C-8383-3A83C4C3752A}" name="Column6953"/>
    <tableColumn id="6987" xr3:uid="{459CA16D-7E10-4DEA-969C-5E96466B170D}" name="Column6954"/>
    <tableColumn id="6988" xr3:uid="{361FB2A5-EDA8-4F84-AA6F-4925B64BBD91}" name="Column6955"/>
    <tableColumn id="6989" xr3:uid="{900593D4-D795-4A70-A691-F9EBA71131EA}" name="Column6956"/>
    <tableColumn id="6990" xr3:uid="{40D2CCFC-236C-48FD-8725-B1A170AE1351}" name="Column6957"/>
    <tableColumn id="6991" xr3:uid="{0066D11F-23E9-4CE1-AE52-DA84A3AC249E}" name="Column6958"/>
    <tableColumn id="6992" xr3:uid="{41063161-49E2-4A22-97E6-770AE9C94194}" name="Column6959"/>
    <tableColumn id="6993" xr3:uid="{2375F97A-FE16-4BE8-B657-58D1ED250014}" name="Column6960"/>
    <tableColumn id="6994" xr3:uid="{0F94B9D5-96C2-4420-B6B5-2B724C732BDE}" name="Column6961"/>
    <tableColumn id="6995" xr3:uid="{ACD6DB26-F580-4F5B-B832-4EA467ABFE94}" name="Column6962"/>
    <tableColumn id="6996" xr3:uid="{1228CFFD-04BA-4BF3-91D7-88C2424870FF}" name="Column6963"/>
    <tableColumn id="6997" xr3:uid="{DB8B4764-2B1D-43CB-AC94-3D4F38CC7991}" name="Column6964"/>
    <tableColumn id="6998" xr3:uid="{DD7950F4-908C-4940-A8D5-E93BD8E695F8}" name="Column6965"/>
    <tableColumn id="6999" xr3:uid="{13EC1EBE-3259-484A-AC64-A5CE1032C5A1}" name="Column6966"/>
    <tableColumn id="7000" xr3:uid="{8CC180C1-287D-4801-90CF-A9C46282B7CF}" name="Column6967"/>
    <tableColumn id="7001" xr3:uid="{AB42B8E7-5202-4B6C-BF14-98E494DC50D6}" name="Column6968"/>
    <tableColumn id="7002" xr3:uid="{BE6D7440-74F1-4E7B-B1FA-04E1C71CFD7F}" name="Column6969"/>
    <tableColumn id="7003" xr3:uid="{9EAF6E73-8C55-43B5-BD8F-805A79CF684D}" name="Column6970"/>
    <tableColumn id="7004" xr3:uid="{1255F48D-C7E6-4228-92C4-C98FA5729DE9}" name="Column6971"/>
    <tableColumn id="7005" xr3:uid="{0984116F-4F95-4DCF-9136-8CE09FBF82C7}" name="Column6972"/>
    <tableColumn id="7006" xr3:uid="{63770295-86B3-42CE-9ACB-BCA872F7845C}" name="Column6973"/>
    <tableColumn id="7007" xr3:uid="{91E6C955-9685-40BA-8E00-CE0E2435E84B}" name="Column6974"/>
    <tableColumn id="7008" xr3:uid="{F4B276F2-6439-4CFD-9F8C-4E6B7F3F7038}" name="Column6975"/>
    <tableColumn id="7009" xr3:uid="{2C0DFA10-0E5A-4198-87F3-88BFFD5AEC6F}" name="Column6976"/>
    <tableColumn id="7010" xr3:uid="{1B08E741-DA03-4401-A391-2E5F58FF3D6C}" name="Column6977"/>
    <tableColumn id="7011" xr3:uid="{120D8D53-969B-4A8B-BD36-BAB25B929FAC}" name="Column6978"/>
    <tableColumn id="7012" xr3:uid="{07B9E830-26BE-4C57-A318-0211AC23F534}" name="Column6979"/>
    <tableColumn id="7013" xr3:uid="{338BF067-CA25-4716-A31B-7F7061A7D96F}" name="Column6980"/>
    <tableColumn id="7014" xr3:uid="{51F30E17-DC86-4329-A49E-9BB22CC64653}" name="Column6981"/>
    <tableColumn id="7015" xr3:uid="{F51D4D8F-6769-41A8-82D1-A24950619997}" name="Column6982"/>
    <tableColumn id="7016" xr3:uid="{04481548-CA63-40F2-BA29-51897E508E88}" name="Column6983"/>
    <tableColumn id="7017" xr3:uid="{51389999-E456-4AE4-A7A9-038AC5D0B8E0}" name="Column6984"/>
    <tableColumn id="7018" xr3:uid="{24243D81-726F-40C2-BCFC-C1DCB72EAADA}" name="Column6985"/>
    <tableColumn id="7019" xr3:uid="{B0052E17-774D-4213-85EF-E4727EB553C5}" name="Column6986"/>
    <tableColumn id="7020" xr3:uid="{6672C482-4240-4C2E-AF5B-75455F1DD539}" name="Column6987"/>
    <tableColumn id="7021" xr3:uid="{D668156C-6B8F-4B9C-B1B5-3F0513779491}" name="Column6988"/>
    <tableColumn id="7022" xr3:uid="{FDB0FA4F-016A-4C62-92CE-B6E166B8B70C}" name="Column6989"/>
    <tableColumn id="7023" xr3:uid="{5DD990C8-8313-450B-8964-0699F2747698}" name="Column6990"/>
    <tableColumn id="7024" xr3:uid="{F446168A-9B5D-427A-BA46-C6DD4C6B566C}" name="Column6991"/>
    <tableColumn id="7025" xr3:uid="{8E2293AB-6C0D-4BAB-A425-74D6DBF83534}" name="Column6992"/>
    <tableColumn id="7026" xr3:uid="{8A05A434-8AE6-42D1-B957-57B3B5F1231B}" name="Column6993"/>
    <tableColumn id="7027" xr3:uid="{B7780B68-7AAE-4FDD-99B3-2306BD58341A}" name="Column6994"/>
    <tableColumn id="7028" xr3:uid="{44605791-C524-4336-869B-9065CDFDE2BF}" name="Column6995"/>
    <tableColumn id="7029" xr3:uid="{EF544B4D-247B-43DD-B7AF-75A43624C6CF}" name="Column6996"/>
    <tableColumn id="7030" xr3:uid="{7E9DE5BB-9227-4EDD-AC90-558856A5689C}" name="Column6997"/>
    <tableColumn id="7031" xr3:uid="{027FCB32-1A06-46C3-A40D-2B516935D8D1}" name="Column6998"/>
    <tableColumn id="7032" xr3:uid="{43DAABE2-DDBC-4F17-B6F8-71BFD2809BD1}" name="Column6999"/>
    <tableColumn id="7033" xr3:uid="{8A091A96-7762-4B1B-8ECD-F271BA476F23}" name="Column7000"/>
    <tableColumn id="7034" xr3:uid="{71B97F33-9C62-41D7-9254-8D7BAD0F0206}" name="Column7001"/>
    <tableColumn id="7035" xr3:uid="{84DB577C-44F4-4549-ABA0-2C660C0973C5}" name="Column7002"/>
    <tableColumn id="7036" xr3:uid="{B4A942DD-8314-4612-BEF2-2B86357A23A9}" name="Column7003"/>
    <tableColumn id="7037" xr3:uid="{3BEB563F-3EBC-487D-8588-C48885B276F2}" name="Column7004"/>
    <tableColumn id="7038" xr3:uid="{503F62BC-AB97-441C-BB90-88B46546E9C3}" name="Column7005"/>
    <tableColumn id="7039" xr3:uid="{A0C80E56-0A8D-45AF-BD81-86C65E5BF0AA}" name="Column7006"/>
    <tableColumn id="7040" xr3:uid="{51DE67AF-AC79-4351-B750-C82645154DA7}" name="Column7007"/>
    <tableColumn id="7041" xr3:uid="{3125C672-FC6B-4E23-B028-AA167E0C02FB}" name="Column7008"/>
    <tableColumn id="7042" xr3:uid="{7EF29627-6B9F-4076-8659-775352D11D82}" name="Column7009"/>
    <tableColumn id="7043" xr3:uid="{32EAE619-7244-4292-B139-7A4FFA811668}" name="Column7010"/>
    <tableColumn id="7044" xr3:uid="{60CD33F4-0F1D-4EB4-94B0-359717FE6683}" name="Column7011"/>
    <tableColumn id="7045" xr3:uid="{9AA219C6-F2EF-4301-8552-56A8F7071BA1}" name="Column7012"/>
    <tableColumn id="7046" xr3:uid="{A7F28BFB-B969-4142-A953-F99F61E863E9}" name="Column7013"/>
    <tableColumn id="7047" xr3:uid="{E1596323-18EF-4837-99F2-F73895139D48}" name="Column7014"/>
    <tableColumn id="7048" xr3:uid="{D19D7DA0-093F-4F30-A783-38330640DE1B}" name="Column7015"/>
    <tableColumn id="7049" xr3:uid="{2175B652-47F3-4C87-A71B-FDF5C3C919E7}" name="Column7016"/>
    <tableColumn id="7050" xr3:uid="{66C057B5-FC77-4F9D-8518-4E029F4EF252}" name="Column7017"/>
    <tableColumn id="7051" xr3:uid="{1C2C4C60-9619-4158-972A-D1E71A8118DC}" name="Column7018"/>
    <tableColumn id="7052" xr3:uid="{08BEDA2B-1B5D-463A-B39F-30388D89FE10}" name="Column7019"/>
    <tableColumn id="7053" xr3:uid="{FF128E9F-BFF3-4E6C-B3F5-A903CBE58382}" name="Column7020"/>
    <tableColumn id="7054" xr3:uid="{C00BF5B6-A805-4E6C-A54D-AC8EB5A3E156}" name="Column7021"/>
    <tableColumn id="7055" xr3:uid="{6FC5D767-2038-41E5-B73D-B78DE96A325A}" name="Column7022"/>
    <tableColumn id="7056" xr3:uid="{075AB19B-4B35-4242-ACA2-15BF34BB008E}" name="Column7023"/>
    <tableColumn id="7057" xr3:uid="{B05522B3-D621-41DE-963F-07A71E91AF0C}" name="Column7024"/>
    <tableColumn id="7058" xr3:uid="{7F17DDF6-A285-4361-872B-52A4163D292C}" name="Column7025"/>
    <tableColumn id="7059" xr3:uid="{DB5E549C-438A-4077-A114-2A79ACC4F841}" name="Column7026"/>
    <tableColumn id="7060" xr3:uid="{5E7C5BCC-101C-4846-B8B8-06DB40CBDCAE}" name="Column7027"/>
    <tableColumn id="7061" xr3:uid="{2C988AC7-3186-45C8-8C03-2154475F63B3}" name="Column7028"/>
    <tableColumn id="7062" xr3:uid="{D0A7BEB5-D3B0-44E8-BF12-58499FC76C77}" name="Column7029"/>
    <tableColumn id="7063" xr3:uid="{37BEE971-86B7-4E1A-8D92-94AF67A4E596}" name="Column7030"/>
    <tableColumn id="7064" xr3:uid="{8C6F5340-1FA1-421B-B728-F5D3D6F8BB51}" name="Column7031"/>
    <tableColumn id="7065" xr3:uid="{BD7E03FD-9C15-4806-85D4-76705C41489F}" name="Column7032"/>
    <tableColumn id="7066" xr3:uid="{DAF03CE9-5243-4C8A-A770-49AC7991B1B0}" name="Column7033"/>
    <tableColumn id="7067" xr3:uid="{A0F8358A-802E-4D44-8950-BA734713D566}" name="Column7034"/>
    <tableColumn id="7068" xr3:uid="{55E4C617-F163-4DD5-965B-D4370DDF3928}" name="Column7035"/>
    <tableColumn id="7069" xr3:uid="{E30E59F5-BA59-4DCB-855D-52CDEDDB3C42}" name="Column7036"/>
    <tableColumn id="7070" xr3:uid="{2CA84A83-7D6D-4D31-ACCF-A1ADAD7502FD}" name="Column7037"/>
    <tableColumn id="7071" xr3:uid="{901F446E-91DF-43B8-8529-87A62E11AB95}" name="Column7038"/>
    <tableColumn id="7072" xr3:uid="{EE85B2EB-AE55-4ACC-86FE-6B6EE3CF9F7F}" name="Column7039"/>
    <tableColumn id="7073" xr3:uid="{1C3B7BBD-8500-4926-BF05-08B88E02174C}" name="Column7040"/>
    <tableColumn id="7074" xr3:uid="{EEB8FB6E-F868-43FB-9246-2759C0F2EB0C}" name="Column7041"/>
    <tableColumn id="7075" xr3:uid="{94CCD93B-DF5A-4D9B-87BC-AD70B5D6B1C8}" name="Column7042"/>
    <tableColumn id="7076" xr3:uid="{5C73EF7E-0BBF-4CD9-8001-E030C672F4B3}" name="Column7043"/>
    <tableColumn id="7077" xr3:uid="{7F212EF2-7522-491F-84DA-CBFE4F5BD50D}" name="Column7044"/>
    <tableColumn id="7078" xr3:uid="{14D828BE-1776-40ED-8E87-D75E9A1178D9}" name="Column7045"/>
    <tableColumn id="7079" xr3:uid="{2A838EC7-37A4-4FDF-B663-3E5311BC3095}" name="Column7046"/>
    <tableColumn id="7080" xr3:uid="{D4607638-8D0E-4FBB-8C1D-0267BF6025B1}" name="Column7047"/>
    <tableColumn id="7081" xr3:uid="{30CE95E9-77EF-4CB2-BD8C-A0D5FEF138FE}" name="Column7048"/>
    <tableColumn id="7082" xr3:uid="{C59A886D-4A17-4A3E-A1AB-60698BE366A3}" name="Column7049"/>
    <tableColumn id="7083" xr3:uid="{2AF92453-A546-4D2F-8677-2F869B0D9BA5}" name="Column7050"/>
    <tableColumn id="7084" xr3:uid="{7A85189E-C5AD-45C8-8A8C-D87AEBA262B2}" name="Column7051"/>
    <tableColumn id="7085" xr3:uid="{FA1D2F7A-5240-446B-925E-B086206C5DC6}" name="Column7052"/>
    <tableColumn id="7086" xr3:uid="{7D41B121-0323-49FE-8D79-21BD3607AE37}" name="Column7053"/>
    <tableColumn id="7087" xr3:uid="{76E1E988-6233-4498-9423-BBAE22717999}" name="Column7054"/>
    <tableColumn id="7088" xr3:uid="{06A3E1A6-9964-42AA-B0D0-576EB79F939C}" name="Column7055"/>
    <tableColumn id="7089" xr3:uid="{2344599B-6B91-4FFF-A979-3CE2CD7FF7AD}" name="Column7056"/>
    <tableColumn id="7090" xr3:uid="{234141CD-3550-4C25-BE65-BFBF1883D894}" name="Column7057"/>
    <tableColumn id="7091" xr3:uid="{1D8CCDDB-425A-45DC-8635-1E99D43C14CA}" name="Column7058"/>
    <tableColumn id="7092" xr3:uid="{6300746E-1ABB-468C-B294-4D5E22E43C50}" name="Column7059"/>
    <tableColumn id="7093" xr3:uid="{86623008-13C0-4A7C-9580-F5A85029C3C9}" name="Column7060"/>
    <tableColumn id="7094" xr3:uid="{789A4BF2-AE1A-4894-86D5-F91BC89EDDC2}" name="Column7061"/>
    <tableColumn id="7095" xr3:uid="{4B7A651E-8C5A-481E-BB25-07CC704BE752}" name="Column7062"/>
    <tableColumn id="7096" xr3:uid="{A5BA15D3-25A6-4E26-8532-6B84779F5617}" name="Column7063"/>
    <tableColumn id="7097" xr3:uid="{1FF34A4F-417C-414E-A316-0A1EADF8FB87}" name="Column7064"/>
    <tableColumn id="7098" xr3:uid="{9D890FC3-A3B9-4A2E-BADB-D70F2A63ED90}" name="Column7065"/>
    <tableColumn id="7099" xr3:uid="{07CF1C64-6791-4E25-8C1B-118C69DBC7CD}" name="Column7066"/>
    <tableColumn id="7100" xr3:uid="{933C9231-64E5-4611-A13A-9421D56DFA30}" name="Column7067"/>
    <tableColumn id="7101" xr3:uid="{16F5D557-CF0F-4888-91EA-CF8B21580B28}" name="Column7068"/>
    <tableColumn id="7102" xr3:uid="{E7CA8451-7A72-4603-BDFC-F78C26630882}" name="Column7069"/>
    <tableColumn id="7103" xr3:uid="{BFE64156-7762-48B5-89FA-8618822FEDC2}" name="Column7070"/>
    <tableColumn id="7104" xr3:uid="{17E2180B-3147-4361-BE89-485F24912B29}" name="Column7071"/>
    <tableColumn id="7105" xr3:uid="{3E2EE425-633C-4771-924A-EEEAF95E19BA}" name="Column7072"/>
    <tableColumn id="7106" xr3:uid="{225DCD34-32CF-437D-B7D7-B018E4E5BF49}" name="Column7073"/>
    <tableColumn id="7107" xr3:uid="{455A57D4-B60A-4CF2-9695-A51089DDD73E}" name="Column7074"/>
    <tableColumn id="7108" xr3:uid="{73308868-5913-4BB9-8B94-786E1E2605AC}" name="Column7075"/>
    <tableColumn id="7109" xr3:uid="{135DC25B-3C42-44AE-AB55-6F9BBDA3A18F}" name="Column7076"/>
    <tableColumn id="7110" xr3:uid="{8DBC2246-5DC4-49F9-A6DF-7B1E20F678A3}" name="Column7077"/>
    <tableColumn id="7111" xr3:uid="{AA4DE8DA-F071-45C4-AB4F-9FC5148C4D7A}" name="Column7078"/>
    <tableColumn id="7112" xr3:uid="{D8CCD06B-4250-4C21-BAA2-F402B2041FB9}" name="Column7079"/>
    <tableColumn id="7113" xr3:uid="{A92651A0-4B5E-4D69-AF6B-7FF22CFD947E}" name="Column7080"/>
    <tableColumn id="7114" xr3:uid="{E5D11E70-501C-4ACE-857C-646094CEFB5B}" name="Column7081"/>
    <tableColumn id="7115" xr3:uid="{5C99A0C3-5050-4DE8-8966-A6297F4EEEE7}" name="Column7082"/>
    <tableColumn id="7116" xr3:uid="{04278FC3-41FE-4944-85E0-1695FFF883BE}" name="Column7083"/>
    <tableColumn id="7117" xr3:uid="{A4C60DC5-B99A-49DF-AF52-EEC27CD60BA4}" name="Column7084"/>
    <tableColumn id="7118" xr3:uid="{DF9C0C11-E32B-4872-8180-223D31519F03}" name="Column7085"/>
    <tableColumn id="7119" xr3:uid="{F3D088C5-00C7-4215-9CB5-E3D65A2D73CF}" name="Column7086"/>
    <tableColumn id="7120" xr3:uid="{AA400291-D35E-403B-A5BD-3F902B95EC5D}" name="Column7087"/>
    <tableColumn id="7121" xr3:uid="{9773852F-80A9-46A7-BF60-E7C802E3D25D}" name="Column7088"/>
    <tableColumn id="7122" xr3:uid="{353293C0-BE25-4D1B-A118-0B2FC9E42606}" name="Column7089"/>
    <tableColumn id="7123" xr3:uid="{FC6B8A6B-CFBE-44D0-84C1-9DDCF702D778}" name="Column7090"/>
    <tableColumn id="7124" xr3:uid="{9F8BD21D-AF45-49E2-85FA-6C51F6A34424}" name="Column7091"/>
    <tableColumn id="7125" xr3:uid="{6078E97D-9A0D-473E-B454-6CE9139B2A40}" name="Column7092"/>
    <tableColumn id="7126" xr3:uid="{6E3C8B81-793A-498D-8E76-AD89654E9BC4}" name="Column7093"/>
    <tableColumn id="7127" xr3:uid="{480CCC88-0A5D-4954-AAF1-A0EDC1329A67}" name="Column7094"/>
    <tableColumn id="7128" xr3:uid="{BB5F4E3A-961B-45C1-A797-8F05977D476E}" name="Column7095"/>
    <tableColumn id="7129" xr3:uid="{DFB2D06C-0E6C-4F53-816E-7B92B161E60B}" name="Column7096"/>
    <tableColumn id="7130" xr3:uid="{FBE3974C-B175-4D91-AD80-5B29DAA699F4}" name="Column7097"/>
    <tableColumn id="7131" xr3:uid="{C94F984C-69AF-4FB2-8104-C95E56C079D9}" name="Column7098"/>
    <tableColumn id="7132" xr3:uid="{02A7BED4-5836-49EE-8B58-974E25D17BCD}" name="Column7099"/>
    <tableColumn id="7133" xr3:uid="{DE669547-A9A1-4503-8AE2-3A2C6F20BE0D}" name="Column7100"/>
    <tableColumn id="7134" xr3:uid="{0ADCECDD-1789-4EB2-84F3-E58342B278F2}" name="Column7101"/>
    <tableColumn id="7135" xr3:uid="{39B2B67C-ABD0-4871-955A-35512EA5897C}" name="Column7102"/>
    <tableColumn id="7136" xr3:uid="{558261AD-8B08-451F-95B5-B1BD7B5094F7}" name="Column7103"/>
    <tableColumn id="7137" xr3:uid="{AC993A7B-2394-4085-B118-828F1008BA9B}" name="Column7104"/>
    <tableColumn id="7138" xr3:uid="{EA78BEC9-166F-4CBA-9226-C1AC6F12FB20}" name="Column7105"/>
    <tableColumn id="7139" xr3:uid="{CE15C241-FFB9-4833-8322-A53932A87E1F}" name="Column7106"/>
    <tableColumn id="7140" xr3:uid="{C72A70AE-59A1-411A-A15E-9763E6D8F977}" name="Column7107"/>
    <tableColumn id="7141" xr3:uid="{97223A14-1199-4CAB-87FA-DECE6495D753}" name="Column7108"/>
    <tableColumn id="7142" xr3:uid="{6D3C4FCD-6E10-4F3E-9720-AD3DA3718295}" name="Column7109"/>
    <tableColumn id="7143" xr3:uid="{699AAF57-B90E-4D24-BE77-8D38D1B354A3}" name="Column7110"/>
    <tableColumn id="7144" xr3:uid="{D0F5A663-391A-4C9A-9C06-72D59F5C47F4}" name="Column7111"/>
    <tableColumn id="7145" xr3:uid="{8D2299B0-CEB2-49D9-BE39-5950C8D6E367}" name="Column7112"/>
    <tableColumn id="7146" xr3:uid="{5729323C-2194-4437-9625-8C1A604E34A4}" name="Column7113"/>
    <tableColumn id="7147" xr3:uid="{F095B990-A5E6-48BD-8389-68DEC3FC88FD}" name="Column7114"/>
    <tableColumn id="7148" xr3:uid="{2DC75F6C-D10B-4054-8764-E61651E311A1}" name="Column7115"/>
    <tableColumn id="7149" xr3:uid="{B9BE1007-F755-4487-A30E-C9E427053D90}" name="Column7116"/>
    <tableColumn id="7150" xr3:uid="{90178EA5-A77B-42C8-AE35-7EAD2283680E}" name="Column7117"/>
    <tableColumn id="7151" xr3:uid="{665B61EF-BAA9-49D9-BD0E-958451F14719}" name="Column7118"/>
    <tableColumn id="7152" xr3:uid="{E4B3C7EA-B333-4F28-9917-CB207739C659}" name="Column7119"/>
    <tableColumn id="7153" xr3:uid="{2B693158-CD4C-4D85-823C-C7026ECDBFC4}" name="Column7120"/>
    <tableColumn id="7154" xr3:uid="{16B792C7-1C1E-4BED-9A3A-D6F341E8068F}" name="Column7121"/>
    <tableColumn id="7155" xr3:uid="{65BD162D-53D6-4E53-9CF6-669822C7BE2B}" name="Column7122"/>
    <tableColumn id="7156" xr3:uid="{C18D66F6-244C-4A8C-BB6F-FE44EDA4BCB5}" name="Column7123"/>
    <tableColumn id="7157" xr3:uid="{A51718A3-4641-40FE-BF73-A0EE31A8AE1E}" name="Column7124"/>
    <tableColumn id="7158" xr3:uid="{6C07409A-EF72-43F1-85A6-C48E9FD7E4C7}" name="Column7125"/>
    <tableColumn id="7159" xr3:uid="{4CDD4B0E-A317-41F1-A903-E69C5D0C30ED}" name="Column7126"/>
    <tableColumn id="7160" xr3:uid="{CC48DDEA-12C1-433C-8956-B36EDB119D3A}" name="Column7127"/>
    <tableColumn id="7161" xr3:uid="{CA0BD911-4725-43E7-83F6-693447743072}" name="Column7128"/>
    <tableColumn id="7162" xr3:uid="{9648140A-4D03-49DC-9470-BAF9E17BDFF7}" name="Column7129"/>
    <tableColumn id="7163" xr3:uid="{78D1686C-B04A-4749-8960-8343BBB27D48}" name="Column7130"/>
    <tableColumn id="7164" xr3:uid="{C2C558EA-1035-4852-A0B6-C5C1AAF80660}" name="Column7131"/>
    <tableColumn id="7165" xr3:uid="{33BBD60D-6120-4037-9289-098E9E1C0CD7}" name="Column7132"/>
    <tableColumn id="7166" xr3:uid="{20B21644-F8BC-4001-ADA8-C2DB0D0B1D03}" name="Column7133"/>
    <tableColumn id="7167" xr3:uid="{F617FCE5-8267-44A7-86B0-F4DD8F5E2C99}" name="Column7134"/>
    <tableColumn id="7168" xr3:uid="{B114CA58-BA8D-446E-B6D9-3BB4728B239D}" name="Column7135"/>
    <tableColumn id="7169" xr3:uid="{198E476B-517D-4BEF-8EA9-81FADF0F00F2}" name="Column7136"/>
    <tableColumn id="7170" xr3:uid="{57C542E7-9829-4969-B5C2-351528EA4200}" name="Column7137"/>
    <tableColumn id="7171" xr3:uid="{EDCEB160-4C5D-41C3-8D41-E9AFDCBF16FF}" name="Column7138"/>
    <tableColumn id="7172" xr3:uid="{6653BEB4-A873-4D13-84CD-41715B009490}" name="Column7139"/>
    <tableColumn id="7173" xr3:uid="{42E677D4-8250-4AFB-AE1F-164A448763F6}" name="Column7140"/>
    <tableColumn id="7174" xr3:uid="{3449BF37-4FD1-4DAD-AC0B-E717796C260E}" name="Column7141"/>
    <tableColumn id="7175" xr3:uid="{7903D273-7B22-4F4B-81C2-052935453C8E}" name="Column7142"/>
    <tableColumn id="7176" xr3:uid="{D7BF67C0-F890-4B10-8854-78D066CA96C1}" name="Column7143"/>
    <tableColumn id="7177" xr3:uid="{B90934E3-D806-44F3-B316-CBDC22F3DA50}" name="Column7144"/>
    <tableColumn id="7178" xr3:uid="{7ADCE071-BB72-4F06-9767-C9125A02AA62}" name="Column7145"/>
    <tableColumn id="7179" xr3:uid="{16DE2AFA-6CBF-4C4F-8503-4D68605FF1F2}" name="Column7146"/>
    <tableColumn id="7180" xr3:uid="{18715F74-29BF-43EF-9429-6CA98153A37C}" name="Column7147"/>
    <tableColumn id="7181" xr3:uid="{AE91586C-9F23-4B02-957E-3A32D71D6E29}" name="Column7148"/>
    <tableColumn id="7182" xr3:uid="{710AD8CC-E9D8-45C5-9E25-0526EF256674}" name="Column7149"/>
    <tableColumn id="7183" xr3:uid="{F727B6E9-4CDD-4A2C-8A86-B96602B9E66A}" name="Column7150"/>
    <tableColumn id="7184" xr3:uid="{FA4C1155-2A68-4AA4-999E-D4F708674396}" name="Column7151"/>
    <tableColumn id="7185" xr3:uid="{A126268F-5873-4CB0-BD98-BB8EFDE5DBDF}" name="Column7152"/>
    <tableColumn id="7186" xr3:uid="{A68AA31D-698F-4B19-ADD8-B36810822B26}" name="Column7153"/>
    <tableColumn id="7187" xr3:uid="{08C46490-A5C3-4353-8DC1-A05B0778D497}" name="Column7154"/>
    <tableColumn id="7188" xr3:uid="{E06A1A69-85F3-4777-9C89-80FE2B4C97F6}" name="Column7155"/>
    <tableColumn id="7189" xr3:uid="{DE78CA06-D25C-4005-8C8C-7D97F14E57CB}" name="Column7156"/>
    <tableColumn id="7190" xr3:uid="{7E3E0353-6EA2-4CCB-A32C-BC9A2617F6DB}" name="Column7157"/>
    <tableColumn id="7191" xr3:uid="{689323C1-433E-48DD-9172-E721E7A583B1}" name="Column7158"/>
    <tableColumn id="7192" xr3:uid="{D75DE9F3-0EDF-46E6-9E2E-6B176F92B1C8}" name="Column7159"/>
    <tableColumn id="7193" xr3:uid="{616E052B-DCBD-47F6-88DE-8C5850A4C8D2}" name="Column7160"/>
    <tableColumn id="7194" xr3:uid="{8BD383B1-E195-4AA1-A2F7-F52CBE60739A}" name="Column7161"/>
    <tableColumn id="7195" xr3:uid="{D3055A68-AA3F-4719-A029-8A1FEF6E9EA4}" name="Column7162"/>
    <tableColumn id="7196" xr3:uid="{0347B3AC-C8E7-401C-A862-64D40045C933}" name="Column7163"/>
    <tableColumn id="7197" xr3:uid="{6CEEF22B-6942-475E-87D5-A1C7B49A371B}" name="Column7164"/>
    <tableColumn id="7198" xr3:uid="{7D2B2EDD-397A-4628-9468-6E3263E2FB9A}" name="Column7165"/>
    <tableColumn id="7199" xr3:uid="{47A6EF98-B544-4490-B53E-93840BCF6B11}" name="Column7166"/>
    <tableColumn id="7200" xr3:uid="{8206092A-44E7-46C0-8E45-3504EBF7BF87}" name="Column7167"/>
    <tableColumn id="7201" xr3:uid="{F2D0F890-EDAB-4417-B132-EE9FFE390638}" name="Column7168"/>
    <tableColumn id="7202" xr3:uid="{B8F4F928-A561-4FCA-9A21-ABE6642CFB64}" name="Column7169"/>
    <tableColumn id="7203" xr3:uid="{A1930CD7-29FE-4B28-A98C-13324B19F5B5}" name="Column7170"/>
    <tableColumn id="7204" xr3:uid="{FE3CDE00-3C92-476A-88E7-AEF3C400B2D2}" name="Column7171"/>
    <tableColumn id="7205" xr3:uid="{B11D4AB7-80AC-4D66-8371-E908848A2B40}" name="Column7172"/>
    <tableColumn id="7206" xr3:uid="{7E4AFE27-017A-4F69-98B0-E8FC6C8FCA41}" name="Column7173"/>
    <tableColumn id="7207" xr3:uid="{58DBDD4D-F7CE-4D64-BAA2-EB2B0234BB25}" name="Column7174"/>
    <tableColumn id="7208" xr3:uid="{4ACF45DA-CE46-45B1-94DB-8F5BF18462F0}" name="Column7175"/>
    <tableColumn id="7209" xr3:uid="{8CCB3C2A-35DC-4637-80B2-F24261339E4E}" name="Column7176"/>
    <tableColumn id="7210" xr3:uid="{365E5A7F-A73E-4EF2-B76A-89AD2DE08286}" name="Column7177"/>
    <tableColumn id="7211" xr3:uid="{4FFD4E76-B59F-48C2-A82D-A0149B544C9C}" name="Column7178"/>
    <tableColumn id="7212" xr3:uid="{1C3712DF-5C1F-4793-B313-5D0EE2819026}" name="Column7179"/>
    <tableColumn id="7213" xr3:uid="{CCDD4D9B-A495-4832-8556-48BEA68CD2BC}" name="Column7180"/>
    <tableColumn id="7214" xr3:uid="{4532E8C8-6847-40BA-8A3F-9BFD84A88A89}" name="Column7181"/>
    <tableColumn id="7215" xr3:uid="{A51CD3DB-9A68-49C5-BF7A-B780CA83FAB8}" name="Column7182"/>
    <tableColumn id="7216" xr3:uid="{3A3746C4-1717-4192-AD34-5DAEBB1EB9E1}" name="Column7183"/>
    <tableColumn id="7217" xr3:uid="{E85ACDF8-A38C-4D05-BBCF-94AE14230637}" name="Column7184"/>
    <tableColumn id="7218" xr3:uid="{839BF60F-CD5C-4879-ADAC-28C73B4DA42D}" name="Column7185"/>
    <tableColumn id="7219" xr3:uid="{E016A8B6-821E-4028-B075-035AA98CA87A}" name="Column7186"/>
    <tableColumn id="7220" xr3:uid="{3D211D44-2F64-4F14-B0E5-CB993FB61632}" name="Column7187"/>
    <tableColumn id="7221" xr3:uid="{634C6E64-CB30-4973-B765-9B999F571F4D}" name="Column7188"/>
    <tableColumn id="7222" xr3:uid="{71AB553C-E4FB-44E2-ABC1-2A22CFF6046F}" name="Column7189"/>
    <tableColumn id="7223" xr3:uid="{C4242F69-45AD-4196-B927-1E6B35B5935A}" name="Column7190"/>
    <tableColumn id="7224" xr3:uid="{35AF0C12-9C4E-460E-A681-D853F297FE3A}" name="Column7191"/>
    <tableColumn id="7225" xr3:uid="{2ECD9254-D7DF-48FE-9FD7-A1C06DB01457}" name="Column7192"/>
    <tableColumn id="7226" xr3:uid="{E7343848-D979-4D14-96D8-189BB7F5AF5A}" name="Column7193"/>
    <tableColumn id="7227" xr3:uid="{3AA9FC74-726C-419F-A19C-DF466B8935DD}" name="Column7194"/>
    <tableColumn id="7228" xr3:uid="{4CA7C3DC-4B28-4E53-A8E9-2197D51DF5DD}" name="Column7195"/>
    <tableColumn id="7229" xr3:uid="{3C11572F-5B3D-4D3D-BC4B-6E96EDD2510F}" name="Column7196"/>
    <tableColumn id="7230" xr3:uid="{A0B64E60-46A6-4CDE-B7C4-79FB27721994}" name="Column7197"/>
    <tableColumn id="7231" xr3:uid="{B5FF1C4D-F6D3-4C4D-93F5-D9E099F8BD8B}" name="Column7198"/>
    <tableColumn id="7232" xr3:uid="{BDEFF97C-EF9A-4660-A792-C0857478EA01}" name="Column7199"/>
    <tableColumn id="7233" xr3:uid="{368EE34F-3ECE-45FD-A88C-E57B9F5493DF}" name="Column7200"/>
    <tableColumn id="7234" xr3:uid="{7E9CBC89-ED25-404D-A072-9D8F1F920BE5}" name="Column7201"/>
    <tableColumn id="7235" xr3:uid="{09B8402D-1502-4770-BF57-4FC925F5A7AC}" name="Column7202"/>
    <tableColumn id="7236" xr3:uid="{7474B753-2800-4DFF-8901-9AD02CBA96C6}" name="Column7203"/>
    <tableColumn id="7237" xr3:uid="{D7DC985B-C584-4787-AD1C-B2E5FFD4C12C}" name="Column7204"/>
    <tableColumn id="7238" xr3:uid="{824B9FA7-D9D0-4AB5-B9E3-32EA2E425CF3}" name="Column7205"/>
    <tableColumn id="7239" xr3:uid="{6DAB8436-15CB-4DF9-8F0E-B4F7483F0AD0}" name="Column7206"/>
    <tableColumn id="7240" xr3:uid="{BD591EE8-E7A1-4B3E-9865-ADD6F539556E}" name="Column7207"/>
    <tableColumn id="7241" xr3:uid="{7BCF0B65-F405-45C5-B19D-0423B2850302}" name="Column7208"/>
    <tableColumn id="7242" xr3:uid="{45EEA57D-838C-4156-879C-4F9D18A8B8A7}" name="Column7209"/>
    <tableColumn id="7243" xr3:uid="{127F3522-1460-44A5-A5D6-CE24CE28BA45}" name="Column7210"/>
    <tableColumn id="7244" xr3:uid="{5D9178D4-9DED-4856-A144-34759B4B5182}" name="Column7211"/>
    <tableColumn id="7245" xr3:uid="{7EFB6D5C-9E44-4484-BCF4-C8E1A67DE434}" name="Column7212"/>
    <tableColumn id="7246" xr3:uid="{A49808E8-DB4E-4CD9-9610-F36031F1D03D}" name="Column7213"/>
    <tableColumn id="7247" xr3:uid="{3B3ECB37-278A-4428-9F52-CD531939D105}" name="Column7214"/>
    <tableColumn id="7248" xr3:uid="{C6C48D5E-DF7E-43B2-BA7C-0E0319C31371}" name="Column7215"/>
    <tableColumn id="7249" xr3:uid="{2ABFD6CB-D780-46CC-9BFD-6641407E47CE}" name="Column7216"/>
    <tableColumn id="7250" xr3:uid="{5C24991E-95A9-47CB-AE10-4C7F47C06A23}" name="Column7217"/>
    <tableColumn id="7251" xr3:uid="{4C585896-8500-44A1-A5C1-A53FA02BC3F9}" name="Column7218"/>
    <tableColumn id="7252" xr3:uid="{623831EB-82E0-46C4-8641-D4ED614D9DB8}" name="Column7219"/>
    <tableColumn id="7253" xr3:uid="{131F17D6-6070-4156-8E5D-AE8EBC94D19E}" name="Column7220"/>
    <tableColumn id="7254" xr3:uid="{2C5F8B43-B4BE-41D3-8EBC-3D346B1A1F26}" name="Column7221"/>
    <tableColumn id="7255" xr3:uid="{47F1626A-8230-4058-AFE5-ABEE066F1991}" name="Column7222"/>
    <tableColumn id="7256" xr3:uid="{270E7EA4-7A22-4349-A0B0-D7C06827A39F}" name="Column7223"/>
    <tableColumn id="7257" xr3:uid="{81547826-FBDC-4A0E-984C-97FEB340C951}" name="Column7224"/>
    <tableColumn id="7258" xr3:uid="{F79FDC3B-BEA8-4A7F-8BBD-1F4E9D510237}" name="Column7225"/>
    <tableColumn id="7259" xr3:uid="{126215FA-E09D-4D83-A608-E332F4920220}" name="Column7226"/>
    <tableColumn id="7260" xr3:uid="{12F3C198-4FBE-44A2-99FF-14BCA19895FD}" name="Column7227"/>
    <tableColumn id="7261" xr3:uid="{E1D74D81-2C8D-4B80-8170-7B1770E265D3}" name="Column7228"/>
    <tableColumn id="7262" xr3:uid="{AD062E50-3976-4831-97C4-499D46190DBC}" name="Column7229"/>
    <tableColumn id="7263" xr3:uid="{6CF9D604-4A84-4119-81BF-AD20ED1BBE8D}" name="Column7230"/>
    <tableColumn id="7264" xr3:uid="{7EAF79D1-0C1B-48E9-BDC4-6569CF4A7B8F}" name="Column7231"/>
    <tableColumn id="7265" xr3:uid="{AC0187FE-1231-43D2-8483-B538CE93ACB3}" name="Column7232"/>
    <tableColumn id="7266" xr3:uid="{32726F6B-BFD2-446B-AABF-84513FDCCC9A}" name="Column7233"/>
    <tableColumn id="7267" xr3:uid="{5CED5975-C161-4F1E-96D8-0A20E3D92084}" name="Column7234"/>
    <tableColumn id="7268" xr3:uid="{8640C88B-3838-4582-869E-4A96F35CCD57}" name="Column7235"/>
    <tableColumn id="7269" xr3:uid="{76C6020C-3F59-4625-8B8B-CF1492CCB0AB}" name="Column7236"/>
    <tableColumn id="7270" xr3:uid="{BFDDFCDE-3348-412F-A812-D6B51DA97776}" name="Column7237"/>
    <tableColumn id="7271" xr3:uid="{4F518D07-DC93-4F5A-8C14-069CDFE580A6}" name="Column7238"/>
    <tableColumn id="7272" xr3:uid="{91FF3608-BB41-44E6-BF3C-15D2335B042B}" name="Column7239"/>
    <tableColumn id="7273" xr3:uid="{A9ED7B84-5878-489E-883C-E4C9965B826D}" name="Column7240"/>
    <tableColumn id="7274" xr3:uid="{8E2DB215-9CBE-48FB-A7D2-E87FC34AA765}" name="Column7241"/>
    <tableColumn id="7275" xr3:uid="{B09CB645-C42F-4EF2-A8AE-C5061F8E9BC5}" name="Column7242"/>
    <tableColumn id="7276" xr3:uid="{81E6335F-B3BB-4CE9-AAE1-48CCFC47D0B9}" name="Column7243"/>
    <tableColumn id="7277" xr3:uid="{9AC9B8A3-1A9C-4B62-9F05-DD28CC648C9F}" name="Column7244"/>
    <tableColumn id="7278" xr3:uid="{BA22AE7E-FD84-424E-AC57-D58CDD882D2E}" name="Column7245"/>
    <tableColumn id="7279" xr3:uid="{99ED3362-BFC3-477C-9121-8C4E37DA330A}" name="Column7246"/>
    <tableColumn id="7280" xr3:uid="{E4A37DDC-D83C-4F99-8155-36742E57C2E6}" name="Column7247"/>
    <tableColumn id="7281" xr3:uid="{2399FDA5-2CFD-4FB0-A835-79C7C7B1A170}" name="Column7248"/>
    <tableColumn id="7282" xr3:uid="{710B5D4B-88A5-44F6-8F28-ADFFA4E54131}" name="Column7249"/>
    <tableColumn id="7283" xr3:uid="{D42A29C8-5C11-4E3C-9831-BBE38C7B1D12}" name="Column7250"/>
    <tableColumn id="7284" xr3:uid="{A0CBB073-DCAD-48F2-B734-1BB7C2083685}" name="Column7251"/>
    <tableColumn id="7285" xr3:uid="{11482CAB-6FF6-456E-84DF-0ABCF09A61F6}" name="Column7252"/>
    <tableColumn id="7286" xr3:uid="{4CA2DEAA-5796-493B-BAA8-23B110BAF32E}" name="Column7253"/>
    <tableColumn id="7287" xr3:uid="{FB6683F0-0A82-465B-AF23-3B58440297B4}" name="Column7254"/>
    <tableColumn id="7288" xr3:uid="{369B4634-E6CC-4E4D-B91D-22CDC0267AB8}" name="Column7255"/>
    <tableColumn id="7289" xr3:uid="{970F76B3-788E-4335-A203-E9F499D65390}" name="Column7256"/>
    <tableColumn id="7290" xr3:uid="{F0B66FC1-953D-4080-8F77-0052FA11C706}" name="Column7257"/>
    <tableColumn id="7291" xr3:uid="{23BEE5F7-1ECC-42B6-A6CF-19696E4D008B}" name="Column7258"/>
    <tableColumn id="7292" xr3:uid="{D2301543-EB69-4CF5-AFE6-539E873D60E0}" name="Column7259"/>
    <tableColumn id="7293" xr3:uid="{C5599876-70DD-4FB7-946E-C10D70AB4EE5}" name="Column7260"/>
    <tableColumn id="7294" xr3:uid="{2DDD2E79-69F9-4406-950D-372C5A542379}" name="Column7261"/>
    <tableColumn id="7295" xr3:uid="{F3210513-4273-4253-A9A2-5DBF4727DA0B}" name="Column7262"/>
    <tableColumn id="7296" xr3:uid="{5BC99021-D587-4F09-89CF-2A4D8A994548}" name="Column7263"/>
    <tableColumn id="7297" xr3:uid="{A1D675B1-A6D6-4409-844E-931AF51C5A2A}" name="Column7264"/>
    <tableColumn id="7298" xr3:uid="{90872F43-7351-434D-9C31-DD90E18A1457}" name="Column7265"/>
    <tableColumn id="7299" xr3:uid="{6D1CA5B1-8EB9-4AE6-9B1E-8CAC0E1E1A76}" name="Column7266"/>
    <tableColumn id="7300" xr3:uid="{01344AC4-E55B-4FEA-B2CD-BCF3781F61B5}" name="Column7267"/>
    <tableColumn id="7301" xr3:uid="{A5F1262C-A964-452C-817C-897B68B3675C}" name="Column7268"/>
    <tableColumn id="7302" xr3:uid="{8D8EC76E-6CE7-486A-9A0C-BF60AD6B6984}" name="Column7269"/>
    <tableColumn id="7303" xr3:uid="{26AFEF78-2FFD-435E-B0A9-D55A48CD7A09}" name="Column7270"/>
    <tableColumn id="7304" xr3:uid="{F07FD2F7-66EF-455F-BA02-6E63ADF0EE8C}" name="Column7271"/>
    <tableColumn id="7305" xr3:uid="{EAE04145-7D0A-44DF-8787-E11AF80A3ADB}" name="Column7272"/>
    <tableColumn id="7306" xr3:uid="{A8F466EE-9118-4F71-A0AE-360050E1789C}" name="Column7273"/>
    <tableColumn id="7307" xr3:uid="{38BCF567-4E12-4BE5-B79D-FECD1BFE53B2}" name="Column7274"/>
    <tableColumn id="7308" xr3:uid="{F6239059-58CB-46C1-AC2C-3C4FB8790B9D}" name="Column7275"/>
    <tableColumn id="7309" xr3:uid="{08A3E1DE-91AC-4BF8-AC54-54F2CF80E170}" name="Column7276"/>
    <tableColumn id="7310" xr3:uid="{D46433B6-BCC4-45C8-AFC3-F19E8E217946}" name="Column7277"/>
    <tableColumn id="7311" xr3:uid="{5E3E428C-6BAE-461E-967E-38A84A4031E5}" name="Column7278"/>
    <tableColumn id="7312" xr3:uid="{1704E014-F21F-4EB2-8973-5BC1E02B406A}" name="Column7279"/>
    <tableColumn id="7313" xr3:uid="{13E434B0-28BA-427E-A121-B615BDDC2424}" name="Column7280"/>
    <tableColumn id="7314" xr3:uid="{0C6C506B-EA00-4CAE-8FED-EA3DDD2F6025}" name="Column7281"/>
    <tableColumn id="7315" xr3:uid="{4007DF34-BAA8-49A2-863D-D7EB56F9FAE5}" name="Column7282"/>
    <tableColumn id="7316" xr3:uid="{B677EBCD-07DD-4C36-B0A9-D51735BC3F9F}" name="Column7283"/>
    <tableColumn id="7317" xr3:uid="{DCD127D3-1CA9-4646-9EE9-081C8C7CB44E}" name="Column7284"/>
    <tableColumn id="7318" xr3:uid="{884D8583-7307-481A-B042-96EA2924F794}" name="Column7285"/>
    <tableColumn id="7319" xr3:uid="{1BE7A1E4-3C44-45E1-A2BE-2414F0521205}" name="Column7286"/>
    <tableColumn id="7320" xr3:uid="{077EEC66-2135-4EC8-AA3C-FCDDDAC8C97C}" name="Column7287"/>
    <tableColumn id="7321" xr3:uid="{F269B969-93D1-454F-9675-05E1D8C70CD1}" name="Column7288"/>
    <tableColumn id="7322" xr3:uid="{DC17BEBF-EA0F-45A0-9BD0-F8E35247C317}" name="Column7289"/>
    <tableColumn id="7323" xr3:uid="{507AB650-8758-4D1C-8610-36F14B2BBF01}" name="Column7290"/>
    <tableColumn id="7324" xr3:uid="{9B272835-12A8-4B8E-A947-2215093B438F}" name="Column7291"/>
    <tableColumn id="7325" xr3:uid="{408846DB-57EA-45F4-870B-ED1C4FCCBF4B}" name="Column7292"/>
    <tableColumn id="7326" xr3:uid="{852BFBBD-4607-4B60-AB9B-95AD383D63DB}" name="Column7293"/>
    <tableColumn id="7327" xr3:uid="{2E781C10-CCCE-4E64-B9D3-E4B3400F5E54}" name="Column7294"/>
    <tableColumn id="7328" xr3:uid="{AE7D6BF7-E0D7-4860-A7A6-304DB69D48F7}" name="Column7295"/>
    <tableColumn id="7329" xr3:uid="{D2C5468C-BD45-4E02-99ED-8F4AD5DE152C}" name="Column7296"/>
    <tableColumn id="7330" xr3:uid="{3DB1FA62-24BA-4215-8BBA-623A859AF259}" name="Column7297"/>
    <tableColumn id="7331" xr3:uid="{BB787203-8D1E-4D04-81EC-6A334A71B716}" name="Column7298"/>
    <tableColumn id="7332" xr3:uid="{D453B94B-15C9-4B47-8965-99AFD2D37F17}" name="Column7299"/>
    <tableColumn id="7333" xr3:uid="{1DC2B6D6-3A5B-48B3-8072-CD9E1B098F53}" name="Column7300"/>
    <tableColumn id="7334" xr3:uid="{77A52BDD-1B80-4916-A64D-4539AB5A44CE}" name="Column7301"/>
    <tableColumn id="7335" xr3:uid="{2F420D55-12CD-4F3B-9A59-0BD97604AF11}" name="Column7302"/>
    <tableColumn id="7336" xr3:uid="{458F5C9A-543C-4DFF-B8C3-D347DDE0498D}" name="Column7303"/>
    <tableColumn id="7337" xr3:uid="{A6A430E0-5F90-4788-9430-79C29021A79A}" name="Column7304"/>
    <tableColumn id="7338" xr3:uid="{763CAE7C-5734-4F5C-9AE0-AEFAAF119779}" name="Column7305"/>
    <tableColumn id="7339" xr3:uid="{B946824F-3E03-4C4D-B8A6-D2720AE886C0}" name="Column7306"/>
    <tableColumn id="7340" xr3:uid="{4B2EBD5D-BB87-44D1-88FB-C4A4100C8F18}" name="Column7307"/>
    <tableColumn id="7341" xr3:uid="{4E3EF37E-FF0C-4BDF-B259-DCF1A71D9361}" name="Column7308"/>
    <tableColumn id="7342" xr3:uid="{7DB23168-8F20-4F0B-BE02-DB40166121AC}" name="Column7309"/>
    <tableColumn id="7343" xr3:uid="{37BC8D45-BE39-46D4-B3CE-A06FC32B55F8}" name="Column7310"/>
    <tableColumn id="7344" xr3:uid="{FFCD72FE-50B0-414C-A9C7-C555D162ECAF}" name="Column7311"/>
    <tableColumn id="7345" xr3:uid="{D3127A55-9ACD-48E0-8422-551C98C6BB21}" name="Column7312"/>
    <tableColumn id="7346" xr3:uid="{1CCBE956-FF6C-4C9B-B580-2572253040F8}" name="Column7313"/>
    <tableColumn id="7347" xr3:uid="{65B076D9-2B61-427B-BBFC-80D9E3438E1F}" name="Column7314"/>
    <tableColumn id="7348" xr3:uid="{18197C80-7759-44A8-8394-7973BAFB4831}" name="Column7315"/>
    <tableColumn id="7349" xr3:uid="{36DA3CBF-CF99-4A26-B036-82F735790022}" name="Column7316"/>
    <tableColumn id="7350" xr3:uid="{8F516B33-1C16-4952-8873-AB7D47FD4ACE}" name="Column7317"/>
    <tableColumn id="7351" xr3:uid="{A98878ED-2B2D-4B14-8D7E-7EA234905E42}" name="Column7318"/>
    <tableColumn id="7352" xr3:uid="{76AC5914-EA61-435C-AFD0-D77B77E8FD8C}" name="Column7319"/>
    <tableColumn id="7353" xr3:uid="{A5A5494B-8750-4726-BC4C-7CA392EBFEEF}" name="Column7320"/>
    <tableColumn id="7354" xr3:uid="{BB1349FA-19EC-4A9F-9902-7D49695D28DA}" name="Column7321"/>
    <tableColumn id="7355" xr3:uid="{4F763648-8134-48A8-8751-88E752C6491D}" name="Column7322"/>
    <tableColumn id="7356" xr3:uid="{5C7E4052-645E-4791-81DB-74DB57870094}" name="Column7323"/>
    <tableColumn id="7357" xr3:uid="{AD08BDB2-8203-4F60-9995-3B7A6DD4D768}" name="Column7324"/>
    <tableColumn id="7358" xr3:uid="{506126EE-E0B0-4EA0-B072-0148D832D1FC}" name="Column7325"/>
    <tableColumn id="7359" xr3:uid="{138AF538-8959-4A47-8431-0A50B41AA7AB}" name="Column7326"/>
    <tableColumn id="7360" xr3:uid="{725C2592-A428-486F-BDB7-5F256E289F37}" name="Column7327"/>
    <tableColumn id="7361" xr3:uid="{220B834B-67CF-45C2-BDD1-CB53A90B8841}" name="Column7328"/>
    <tableColumn id="7362" xr3:uid="{B4EC5523-4EEE-460D-BAC3-193328516299}" name="Column7329"/>
    <tableColumn id="7363" xr3:uid="{736DB294-D7BB-46B7-B780-8A6EA93998A8}" name="Column7330"/>
    <tableColumn id="7364" xr3:uid="{977A31C6-53DB-47C8-94F9-9AD30DC2AF61}" name="Column7331"/>
    <tableColumn id="7365" xr3:uid="{01B4C26C-7186-4A31-B3E6-B73BA3D8963E}" name="Column7332"/>
    <tableColumn id="7366" xr3:uid="{FB08DC9F-8B83-445B-81B8-AF32DC0216E1}" name="Column7333"/>
    <tableColumn id="7367" xr3:uid="{FED27AFD-61B6-4121-8A88-91410FE96E30}" name="Column7334"/>
    <tableColumn id="7368" xr3:uid="{722C2D58-AE04-4C0F-8E3F-13296B516424}" name="Column7335"/>
    <tableColumn id="7369" xr3:uid="{701D9314-0BFF-4B7A-994C-1739509D6CA2}" name="Column7336"/>
    <tableColumn id="7370" xr3:uid="{081C8F56-116B-43EB-B754-39C8A130F099}" name="Column7337"/>
    <tableColumn id="7371" xr3:uid="{CADE33EA-66E7-42F4-BB0C-31AB64607001}" name="Column7338"/>
    <tableColumn id="7372" xr3:uid="{F3A6FDBF-7D1A-44C6-9285-56F0E68D8B08}" name="Column7339"/>
    <tableColumn id="7373" xr3:uid="{5B998CDF-A147-48AB-84BD-91F478BD2D7D}" name="Column7340"/>
    <tableColumn id="7374" xr3:uid="{165DFBE5-6888-424B-BAE3-F6D0AA8B71D8}" name="Column7341"/>
    <tableColumn id="7375" xr3:uid="{D1DCAA60-4B64-46F6-8621-055021FACC1A}" name="Column7342"/>
    <tableColumn id="7376" xr3:uid="{B847F477-46A7-44C6-AABE-8854633D54A2}" name="Column7343"/>
    <tableColumn id="7377" xr3:uid="{2E3F9660-F222-4F74-908A-B0D216A91153}" name="Column7344"/>
    <tableColumn id="7378" xr3:uid="{D5074FD4-5F46-497B-B2B1-5682141FCC13}" name="Column7345"/>
    <tableColumn id="7379" xr3:uid="{A37F2350-A792-4A99-966B-048A82C38FEE}" name="Column7346"/>
    <tableColumn id="7380" xr3:uid="{2ADDBD33-E926-4FED-A6E7-A1D49D26B05D}" name="Column7347"/>
    <tableColumn id="7381" xr3:uid="{59B94621-E028-4F9D-8E8B-2259D0AB6DE9}" name="Column7348"/>
    <tableColumn id="7382" xr3:uid="{A27F0779-6DD2-49D3-B69D-385FBC7CA3CE}" name="Column7349"/>
    <tableColumn id="7383" xr3:uid="{DDBA101F-E66A-4C90-8DC8-83B8D1EE4897}" name="Column7350"/>
    <tableColumn id="7384" xr3:uid="{FF72C739-20F0-43BC-AF47-EAD00DA55F21}" name="Column7351"/>
    <tableColumn id="7385" xr3:uid="{BA4C6360-3004-4384-B819-81D546388A54}" name="Column7352"/>
    <tableColumn id="7386" xr3:uid="{FBED64FB-98BE-49AA-87C4-9C2CDE8A6F83}" name="Column7353"/>
    <tableColumn id="7387" xr3:uid="{CC5DD07F-1B3C-4065-9931-529A58D91EFD}" name="Column7354"/>
    <tableColumn id="7388" xr3:uid="{F24AC3F4-9F55-492E-AB84-7B9E0A99D66B}" name="Column7355"/>
    <tableColumn id="7389" xr3:uid="{52BA3A4B-044A-4D32-BA9C-71952F7583B0}" name="Column7356"/>
    <tableColumn id="7390" xr3:uid="{CB9FF6A1-F678-48C6-8B45-F9FF5ADA96FD}" name="Column7357"/>
    <tableColumn id="7391" xr3:uid="{5081D365-F1ED-4CBA-9CAD-E15583AA6EC6}" name="Column7358"/>
    <tableColumn id="7392" xr3:uid="{E73E00AF-3775-40A9-AE18-1C5CFB7373C7}" name="Column7359"/>
    <tableColumn id="7393" xr3:uid="{3588B7F1-319D-4E2E-9176-6D2C8A15C808}" name="Column7360"/>
    <tableColumn id="7394" xr3:uid="{C66996E4-950F-4AE7-AD0A-6553C6D12697}" name="Column7361"/>
    <tableColumn id="7395" xr3:uid="{380688CE-571F-4BFF-9824-0755A8836046}" name="Column7362"/>
    <tableColumn id="7396" xr3:uid="{1AA1A49B-4217-4AB6-9CCA-54AB295C5C5F}" name="Column7363"/>
    <tableColumn id="7397" xr3:uid="{0865CF77-8724-4408-934D-D427144593C6}" name="Column7364"/>
    <tableColumn id="7398" xr3:uid="{582DE5E6-E623-4A29-9314-6ED0A326F962}" name="Column7365"/>
    <tableColumn id="7399" xr3:uid="{15F1A8E3-F7A7-477D-BBBA-3D2DEC5C2293}" name="Column7366"/>
    <tableColumn id="7400" xr3:uid="{B401CB91-D5CC-424A-966F-77A3143A19A2}" name="Column7367"/>
    <tableColumn id="7401" xr3:uid="{0B769961-C997-4466-9A1E-49517631015C}" name="Column7368"/>
    <tableColumn id="7402" xr3:uid="{E526B3BA-2CBB-4AE7-B1A1-69558407819F}" name="Column7369"/>
    <tableColumn id="7403" xr3:uid="{D757EB34-0D49-4265-93ED-E35D80FC1917}" name="Column7370"/>
    <tableColumn id="7404" xr3:uid="{FD90ECDB-7223-40F9-9F4D-E4DBCA6C4A0B}" name="Column7371"/>
    <tableColumn id="7405" xr3:uid="{96BEF484-219D-4018-B003-5597484A9407}" name="Column7372"/>
    <tableColumn id="7406" xr3:uid="{85714BEF-98A0-46EE-A6B4-7D6E658BEB08}" name="Column7373"/>
    <tableColumn id="7407" xr3:uid="{D052EB8E-1F25-48A0-839D-455753AF0CA6}" name="Column7374"/>
    <tableColumn id="7408" xr3:uid="{BBA169B9-E46A-4E95-A20C-D340C8204DAA}" name="Column7375"/>
    <tableColumn id="7409" xr3:uid="{598764A7-722D-4077-89A9-22237B8C784F}" name="Column7376"/>
    <tableColumn id="7410" xr3:uid="{F41E1F14-5FF0-451F-BE9A-3E90FE4E8C51}" name="Column7377"/>
    <tableColumn id="7411" xr3:uid="{95E5C2B4-F0B3-454A-872D-CD02C6DBAAD4}" name="Column7378"/>
    <tableColumn id="7412" xr3:uid="{2E4FC18B-4F41-48E8-B182-5589D242FE9D}" name="Column7379"/>
    <tableColumn id="7413" xr3:uid="{7859D0BA-840D-4C3F-AC3B-E6B5CE6D5D6D}" name="Column7380"/>
    <tableColumn id="7414" xr3:uid="{0026707F-ED44-4050-8969-C690A9362012}" name="Column7381"/>
    <tableColumn id="7415" xr3:uid="{71256EEC-3A53-4CF8-8514-84D3A2E860E4}" name="Column7382"/>
    <tableColumn id="7416" xr3:uid="{57F44F29-6740-4571-B904-695CDE383EB5}" name="Column7383"/>
    <tableColumn id="7417" xr3:uid="{3B8C8E4A-6E8C-4218-AE10-CAA438C82B45}" name="Column7384"/>
    <tableColumn id="7418" xr3:uid="{26A49753-D7F0-422B-B316-914523CD2804}" name="Column7385"/>
    <tableColumn id="7419" xr3:uid="{1E984FDD-DA69-43F3-961C-F90C45C561DE}" name="Column7386"/>
    <tableColumn id="7420" xr3:uid="{9712F404-5FF9-46EF-95BF-60860F68E47E}" name="Column7387"/>
    <tableColumn id="7421" xr3:uid="{99B6B456-3B3E-4149-9763-205537666F53}" name="Column7388"/>
    <tableColumn id="7422" xr3:uid="{138011D1-B2E7-414C-AEB0-7215188D5D5B}" name="Column7389"/>
    <tableColumn id="7423" xr3:uid="{0B618F2E-CF7B-47CF-BDB1-C5BD09EE343E}" name="Column7390"/>
    <tableColumn id="7424" xr3:uid="{15EC1577-EE64-43DB-99B2-5CDD900B21F7}" name="Column7391"/>
    <tableColumn id="7425" xr3:uid="{A7549B85-F173-47D3-8CF8-1D99D5CF83A4}" name="Column7392"/>
    <tableColumn id="7426" xr3:uid="{DBCAD3C0-145D-4DA3-BCFD-8317EE35ADDD}" name="Column7393"/>
    <tableColumn id="7427" xr3:uid="{93E431D8-6E9A-4392-8E14-4C00A7C8DE2C}" name="Column7394"/>
    <tableColumn id="7428" xr3:uid="{CC8E8F59-040A-486C-8791-47E737A888A6}" name="Column7395"/>
    <tableColumn id="7429" xr3:uid="{0F72E5D6-BD82-4F1E-B0A6-008EEA6E4DEA}" name="Column7396"/>
    <tableColumn id="7430" xr3:uid="{202D6E80-5ECE-43AD-A717-8C540884AD4A}" name="Column7397"/>
    <tableColumn id="7431" xr3:uid="{05F65A27-E5FF-4120-8D34-54C2D2AD9BBB}" name="Column7398"/>
    <tableColumn id="7432" xr3:uid="{2B5B6390-8928-4239-A8E1-2529D5049751}" name="Column7399"/>
    <tableColumn id="7433" xr3:uid="{0B87E526-44F2-43EF-94E8-D4C9D80A083D}" name="Column7400"/>
    <tableColumn id="7434" xr3:uid="{BFE66127-A78B-482A-B265-FCA3A0FE9A7E}" name="Column7401"/>
    <tableColumn id="7435" xr3:uid="{EE01A4F2-D083-451D-B28D-83C7FD806EB4}" name="Column7402"/>
    <tableColumn id="7436" xr3:uid="{8A519E68-7995-46B9-B8FD-4AF57B3EB121}" name="Column7403"/>
    <tableColumn id="7437" xr3:uid="{A09ECDDA-8E75-4E4A-9604-BDFC2D275FEA}" name="Column7404"/>
    <tableColumn id="7438" xr3:uid="{0D7E158B-D2E9-4A8B-B36C-C82F2BCD2AC9}" name="Column7405"/>
    <tableColumn id="7439" xr3:uid="{009AA879-0DAD-4F7D-B130-F8F0EADE0655}" name="Column7406"/>
    <tableColumn id="7440" xr3:uid="{98140A17-7575-41FD-A76E-DD9822F8FB97}" name="Column7407"/>
    <tableColumn id="7441" xr3:uid="{0D3B0F66-38DC-4999-9D3E-D36E0CA020F8}" name="Column7408"/>
    <tableColumn id="7442" xr3:uid="{62621E29-E8AE-4101-A74D-CEDA708923E8}" name="Column7409"/>
    <tableColumn id="7443" xr3:uid="{98FFF15A-1E65-43C2-9A5A-7F37AE871C2F}" name="Column7410"/>
    <tableColumn id="7444" xr3:uid="{CD9AFB50-E8E8-4CE9-BE00-7527E985B14E}" name="Column7411"/>
    <tableColumn id="7445" xr3:uid="{301EA0AF-8C01-4948-A20B-585792CAA9FE}" name="Column7412"/>
    <tableColumn id="7446" xr3:uid="{324C9602-7853-420B-BFD7-5E4C58734A3F}" name="Column7413"/>
    <tableColumn id="7447" xr3:uid="{A441D716-FF68-4816-92E1-4A4467F30F8A}" name="Column7414"/>
    <tableColumn id="7448" xr3:uid="{42DDEF9C-E218-4264-AFBC-3AFAC05EFBA6}" name="Column7415"/>
    <tableColumn id="7449" xr3:uid="{9A9E278B-9AEA-4100-8A3A-BA8327611DB3}" name="Column7416"/>
    <tableColumn id="7450" xr3:uid="{DDD8C31B-F269-4BE0-8EA8-B9A4F827E003}" name="Column7417"/>
    <tableColumn id="7451" xr3:uid="{1E7842F1-C67D-4A2E-9734-7A5437FB5D61}" name="Column7418"/>
    <tableColumn id="7452" xr3:uid="{64145086-441E-4CBA-8367-9FA3878B253A}" name="Column7419"/>
    <tableColumn id="7453" xr3:uid="{F3039794-052E-4181-B463-C72254707E32}" name="Column7420"/>
    <tableColumn id="7454" xr3:uid="{C9D2B862-EA96-4491-BEDC-8EB2DE8D3476}" name="Column7421"/>
    <tableColumn id="7455" xr3:uid="{D9584C8A-A3EB-496C-916A-B4FC3ED51359}" name="Column7422"/>
    <tableColumn id="7456" xr3:uid="{5DDEDE51-8FD8-4B80-8BFF-D02D98306CE2}" name="Column7423"/>
    <tableColumn id="7457" xr3:uid="{C532ED55-B76E-4E09-B90F-8DBFF4A7836B}" name="Column7424"/>
    <tableColumn id="7458" xr3:uid="{BD928AEE-996A-48C9-A649-652CF580E82C}" name="Column7425"/>
    <tableColumn id="7459" xr3:uid="{3643F738-F44A-4928-B31F-C532EFC68E24}" name="Column7426"/>
    <tableColumn id="7460" xr3:uid="{DFDE867A-844D-4E4B-B100-BD651662ECA7}" name="Column7427"/>
    <tableColumn id="7461" xr3:uid="{5F6C599D-B1BB-4FDE-BE03-D0E6BD764486}" name="Column7428"/>
    <tableColumn id="7462" xr3:uid="{445C2CDC-82B5-4302-ADA8-6A5FAAE4F79C}" name="Column7429"/>
    <tableColumn id="7463" xr3:uid="{BB59D1F0-63AD-4DBC-9561-B58DF5D55DE2}" name="Column7430"/>
    <tableColumn id="7464" xr3:uid="{2AF16D94-A530-4160-9A97-BBD186ADD2F0}" name="Column7431"/>
    <tableColumn id="7465" xr3:uid="{E4D9084E-DB0D-4F12-8A27-4FFDB08D05F4}" name="Column7432"/>
    <tableColumn id="7466" xr3:uid="{EB25450A-B5AF-4DA7-8BDC-511591529B1C}" name="Column7433"/>
    <tableColumn id="7467" xr3:uid="{A6CF4B93-1683-4C3D-A74C-1F8517C48944}" name="Column7434"/>
    <tableColumn id="7468" xr3:uid="{22CCFA46-02A3-4444-A260-9505197CE472}" name="Column7435"/>
    <tableColumn id="7469" xr3:uid="{69EBF8E9-4337-4A23-AE4F-7BFE3FB349A1}" name="Column7436"/>
    <tableColumn id="7470" xr3:uid="{3E8E0C08-7EBD-4D95-BA27-240D5FB09BEF}" name="Column7437"/>
    <tableColumn id="7471" xr3:uid="{30E0E865-06B8-4C45-BFBE-8A540C354ED5}" name="Column7438"/>
    <tableColumn id="7472" xr3:uid="{A2A05037-8A89-45E6-838C-2A8060DF27EC}" name="Column7439"/>
    <tableColumn id="7473" xr3:uid="{05D64C61-8BB6-42DD-86C5-31DFD7ADF5F4}" name="Column7440"/>
    <tableColumn id="7474" xr3:uid="{C3EE9A94-7367-42A0-B622-065EBADE8973}" name="Column7441"/>
    <tableColumn id="7475" xr3:uid="{C2D923BE-DCBE-4AA7-8A98-F298061B41AE}" name="Column7442"/>
    <tableColumn id="7476" xr3:uid="{176F21F6-07AB-4636-9126-DE6DD7323868}" name="Column7443"/>
    <tableColumn id="7477" xr3:uid="{CA6F63EB-4F37-49A7-AB0E-DFA0FBB0E9F2}" name="Column7444"/>
    <tableColumn id="7478" xr3:uid="{55D316F8-39D1-4459-8047-CC4497C65EEA}" name="Column7445"/>
    <tableColumn id="7479" xr3:uid="{FECAE7F0-650F-4810-ACD9-571C578777A8}" name="Column7446"/>
    <tableColumn id="7480" xr3:uid="{BF2048FF-62D2-4951-BACD-8690C69E758B}" name="Column7447"/>
    <tableColumn id="7481" xr3:uid="{63EA8B41-0BB8-44AA-BC3C-A43C450F1CCA}" name="Column7448"/>
    <tableColumn id="7482" xr3:uid="{F09E31F6-800D-44EC-9EE6-E991B74AD183}" name="Column7449"/>
    <tableColumn id="7483" xr3:uid="{6265DC20-5E77-4E74-99E7-20436A88DA1B}" name="Column7450"/>
    <tableColumn id="7484" xr3:uid="{4A2EE498-C8E6-4B14-8CD5-5198A2A125CB}" name="Column7451"/>
    <tableColumn id="7485" xr3:uid="{211263E3-F929-41A9-9299-7BBFDE68D78D}" name="Column7452"/>
    <tableColumn id="7486" xr3:uid="{A7D1EF50-D6F0-4A6A-9793-23A8CCBAE645}" name="Column7453"/>
    <tableColumn id="7487" xr3:uid="{135F6591-EC15-45F7-899A-86C6C2A3427B}" name="Column7454"/>
    <tableColumn id="7488" xr3:uid="{6B1FA2B0-A826-4CA4-BBAC-93ACAD874654}" name="Column7455"/>
    <tableColumn id="7489" xr3:uid="{2432BD63-FE23-4E3A-B211-E964C950E8D5}" name="Column7456"/>
    <tableColumn id="7490" xr3:uid="{3E06FD26-C65D-4F0A-AC89-1587D73407EE}" name="Column7457"/>
    <tableColumn id="7491" xr3:uid="{F733B480-8383-4CF1-8EFE-7D384635B9DB}" name="Column7458"/>
    <tableColumn id="7492" xr3:uid="{9DC4F138-32A9-4E3A-A107-43869D30370E}" name="Column7459"/>
    <tableColumn id="7493" xr3:uid="{D51F4BC9-3313-4D41-A161-C9F8B9D0B2F7}" name="Column7460"/>
    <tableColumn id="7494" xr3:uid="{4A99E385-81BD-4854-8317-D5F4A08815B0}" name="Column7461"/>
    <tableColumn id="7495" xr3:uid="{2D75E19F-3A1E-474C-AF8D-F49DA2741752}" name="Column7462"/>
    <tableColumn id="7496" xr3:uid="{9E8DA839-A182-4776-BFD7-C40E12CC409B}" name="Column7463"/>
    <tableColumn id="7497" xr3:uid="{418B2CA1-49A9-4409-ADC9-FD975F315B64}" name="Column7464"/>
    <tableColumn id="7498" xr3:uid="{8A2D2774-7023-49D7-BCD9-8EC8C02C18CE}" name="Column7465"/>
    <tableColumn id="7499" xr3:uid="{512875C7-04D4-46AA-B30B-DEF2FD410FA2}" name="Column7466"/>
    <tableColumn id="7500" xr3:uid="{A1B0439E-248F-48AA-8057-214DD4921E0D}" name="Column7467"/>
    <tableColumn id="7501" xr3:uid="{2B336CA0-2EA3-47A3-8CB7-2A878AA5BBB1}" name="Column7468"/>
    <tableColumn id="7502" xr3:uid="{FAB11B8D-A09F-405D-8753-742344AC5716}" name="Column7469"/>
    <tableColumn id="7503" xr3:uid="{58D28FD0-53C7-448B-AF27-B290F822928A}" name="Column7470"/>
    <tableColumn id="7504" xr3:uid="{B8F73986-960F-4595-97A1-676C6DD1EB09}" name="Column7471"/>
    <tableColumn id="7505" xr3:uid="{8A76C892-02C5-4FA0-8B58-28F647E6AA57}" name="Column7472"/>
    <tableColumn id="7506" xr3:uid="{92C36AA2-89C5-4643-AEAC-AAD4BDCC98F1}" name="Column7473"/>
    <tableColumn id="7507" xr3:uid="{10ADC3F6-FB62-4829-89CE-A180742B289B}" name="Column7474"/>
    <tableColumn id="7508" xr3:uid="{2129D74A-83CF-4618-A58C-C4BA8C4E6511}" name="Column7475"/>
    <tableColumn id="7509" xr3:uid="{014472B7-5CF4-4DEE-BA86-84D63C03A47E}" name="Column7476"/>
    <tableColumn id="7510" xr3:uid="{49F8374B-FE7C-4CE2-870A-5E66C455DB83}" name="Column7477"/>
    <tableColumn id="7511" xr3:uid="{B016071B-56EF-4D4D-B97D-0823A96D2244}" name="Column7478"/>
    <tableColumn id="7512" xr3:uid="{E1611E87-2823-4649-A78C-341A0D429443}" name="Column7479"/>
    <tableColumn id="7513" xr3:uid="{95D0AFF2-3223-40DB-B288-A990F06D1817}" name="Column7480"/>
    <tableColumn id="7514" xr3:uid="{2ADFAAD4-B432-4C35-95BE-B0C8D48B9874}" name="Column7481"/>
    <tableColumn id="7515" xr3:uid="{03953A65-EF7B-4EA9-A736-0A47A46AE7BE}" name="Column7482"/>
    <tableColumn id="7516" xr3:uid="{B524739C-E533-4F2D-9C7E-3D88F8030FA6}" name="Column7483"/>
    <tableColumn id="7517" xr3:uid="{26B85C65-7ABA-4D34-A7C9-CE4838D9BBF5}" name="Column7484"/>
    <tableColumn id="7518" xr3:uid="{2E720925-87C5-4DC2-8384-D1082836F3D3}" name="Column7485"/>
    <tableColumn id="7519" xr3:uid="{802513ED-C83E-49C3-AA0A-FAEEBCF10191}" name="Column7486"/>
    <tableColumn id="7520" xr3:uid="{799A43D1-F2D2-4BD4-8B06-5A0B2DB235A3}" name="Column7487"/>
    <tableColumn id="7521" xr3:uid="{09757961-42C8-44FD-AFF2-7246F60F677C}" name="Column7488"/>
    <tableColumn id="7522" xr3:uid="{2C0AB9B1-9247-4F72-B4A1-0629D15F8667}" name="Column7489"/>
    <tableColumn id="7523" xr3:uid="{A7B3BC68-3FA7-4B8B-B93E-63A12A2C49C6}" name="Column7490"/>
    <tableColumn id="7524" xr3:uid="{71BB718E-1B97-4D06-8F25-F19D8773B81E}" name="Column7491"/>
    <tableColumn id="7525" xr3:uid="{339D5D18-B6C8-47CD-9B2B-2C38EB48F7E4}" name="Column7492"/>
    <tableColumn id="7526" xr3:uid="{905759D5-8F6F-40E0-9697-7489B788320A}" name="Column7493"/>
    <tableColumn id="7527" xr3:uid="{5513C24D-5F10-44E5-A57C-2CE618BFFD90}" name="Column7494"/>
    <tableColumn id="7528" xr3:uid="{CA61782A-CC9D-485A-8D5C-D236429399C6}" name="Column7495"/>
    <tableColumn id="7529" xr3:uid="{684AAFFE-1FBD-4A3E-AB14-3F8B65CFBB28}" name="Column7496"/>
    <tableColumn id="7530" xr3:uid="{F4916A11-A67D-4857-90D0-CE459641E7A1}" name="Column7497"/>
    <tableColumn id="7531" xr3:uid="{3AFF37B3-78FD-4CBA-88B0-A2BFEC6D6C31}" name="Column7498"/>
    <tableColumn id="7532" xr3:uid="{3D22C215-A8B4-488D-96D7-67113D7D15F6}" name="Column7499"/>
    <tableColumn id="7533" xr3:uid="{79EE5858-49C8-4111-970D-6F91B9660831}" name="Column7500"/>
    <tableColumn id="7534" xr3:uid="{AD84B8A0-470B-461D-8107-EB7351BE1157}" name="Column7501"/>
    <tableColumn id="7535" xr3:uid="{9495A467-E886-4638-98F9-6B9A253EBFD0}" name="Column7502"/>
    <tableColumn id="7536" xr3:uid="{94A9E47E-5FFB-4D9E-8837-C3C7E034D446}" name="Column7503"/>
    <tableColumn id="7537" xr3:uid="{4BD3ABCE-760E-468D-B964-5F87052EF261}" name="Column7504"/>
    <tableColumn id="7538" xr3:uid="{204FA606-6A0A-47E1-9002-85C93808D5CC}" name="Column7505"/>
    <tableColumn id="7539" xr3:uid="{43745E48-92E6-43E6-BC03-0EF3F0773250}" name="Column7506"/>
    <tableColumn id="7540" xr3:uid="{E2EC899E-B69B-46A5-82B3-B64CCCA54C6C}" name="Column7507"/>
    <tableColumn id="7541" xr3:uid="{6F1F1A37-178E-46B1-A4EE-4F6810414705}" name="Column7508"/>
    <tableColumn id="7542" xr3:uid="{0E531333-062A-459A-B103-4D94C04DF509}" name="Column7509"/>
    <tableColumn id="7543" xr3:uid="{2DD6F6E7-1559-4349-8FAA-B4408F2679DC}" name="Column7510"/>
    <tableColumn id="7544" xr3:uid="{9E2FF177-2CBF-419A-B18C-6405D4F41F08}" name="Column7511"/>
    <tableColumn id="7545" xr3:uid="{3539B710-AF90-47E1-BFB3-CA5AD9889116}" name="Column7512"/>
    <tableColumn id="7546" xr3:uid="{8A41F9AF-8A23-4FE8-8A43-CA69B35C164D}" name="Column7513"/>
    <tableColumn id="7547" xr3:uid="{BEC52902-EAFF-48E2-BB2B-FABA2B3B06DA}" name="Column7514"/>
    <tableColumn id="7548" xr3:uid="{BF1493CE-609D-4FAB-8024-9998747270FF}" name="Column7515"/>
    <tableColumn id="7549" xr3:uid="{5BEFF2C3-1C0F-426F-BD60-566BFF6597B4}" name="Column7516"/>
    <tableColumn id="7550" xr3:uid="{CA0F4456-9C88-4412-8FF6-97EE01027032}" name="Column7517"/>
    <tableColumn id="7551" xr3:uid="{158F3F1C-3AE6-486B-AC6D-CC82749D07A8}" name="Column7518"/>
    <tableColumn id="7552" xr3:uid="{109B9731-1272-4095-8280-A3AE89FBD1C1}" name="Column7519"/>
    <tableColumn id="7553" xr3:uid="{BE9194B2-DBCF-44CC-84C2-505EF64011AE}" name="Column7520"/>
    <tableColumn id="7554" xr3:uid="{E5D55476-9D1E-4B3E-A371-182CC31F8BD5}" name="Column7521"/>
    <tableColumn id="7555" xr3:uid="{E52442B6-096D-4BBD-84C2-3ED5466A701A}" name="Column7522"/>
    <tableColumn id="7556" xr3:uid="{49BCD6C7-FEED-48B0-8C5C-01B82F58531F}" name="Column7523"/>
    <tableColumn id="7557" xr3:uid="{84BFBEF8-AA15-4631-A193-72BD86FF3ADF}" name="Column7524"/>
    <tableColumn id="7558" xr3:uid="{F8E8AEBB-6BB5-4CBB-85EB-C82BFC179A8F}" name="Column7525"/>
    <tableColumn id="7559" xr3:uid="{9151B269-AF8F-4C1E-AB56-D1C8CF7CD389}" name="Column7526"/>
    <tableColumn id="7560" xr3:uid="{D161F056-B7BB-485F-9A94-2FA74587AC13}" name="Column7527"/>
    <tableColumn id="7561" xr3:uid="{025A83AF-D1D1-4C3C-BD60-5AC37567B36C}" name="Column7528"/>
    <tableColumn id="7562" xr3:uid="{784ACEAD-756D-4BC6-B14B-7E6EDD48F07B}" name="Column7529"/>
    <tableColumn id="7563" xr3:uid="{BB9B2E24-605B-4448-9F97-EA3BCF0239AC}" name="Column7530"/>
    <tableColumn id="7564" xr3:uid="{9DC4638E-ED26-4180-B732-EE1DFE90DABF}" name="Column7531"/>
    <tableColumn id="7565" xr3:uid="{72C78D26-63F3-4615-B066-E08856283672}" name="Column7532"/>
    <tableColumn id="7566" xr3:uid="{8AAB7108-DC9C-4A95-9524-4DF0292338FA}" name="Column7533"/>
    <tableColumn id="7567" xr3:uid="{0AA84398-2779-4616-9177-30CE23BFEF68}" name="Column7534"/>
    <tableColumn id="7568" xr3:uid="{9A1B65E5-85CF-42A6-AC97-4347F955CA1D}" name="Column7535"/>
    <tableColumn id="7569" xr3:uid="{2F534B67-317C-47E1-8CAD-DA28246DBA55}" name="Column7536"/>
    <tableColumn id="7570" xr3:uid="{13CC06B6-FF11-4E23-A185-833821E7C58A}" name="Column7537"/>
    <tableColumn id="7571" xr3:uid="{5085AF49-50E5-4CAF-9D43-7DAC4C0847B8}" name="Column7538"/>
    <tableColumn id="7572" xr3:uid="{DEB6A5C4-F91E-4ABC-BE39-D0943AE47E96}" name="Column7539"/>
    <tableColumn id="7573" xr3:uid="{0F03A72E-6412-4888-95D0-20B79B6EC409}" name="Column7540"/>
    <tableColumn id="7574" xr3:uid="{BEA5CF2A-5B75-48E5-9352-BC368B8693AB}" name="Column7541"/>
    <tableColumn id="7575" xr3:uid="{382B3502-A2B6-4313-A35A-B9EDCBCA1F44}" name="Column7542"/>
    <tableColumn id="7576" xr3:uid="{7660ED19-23DD-4A12-85F3-9DF03C117313}" name="Column7543"/>
    <tableColumn id="7577" xr3:uid="{D2E29931-C1F1-4188-B61F-688DCFE5092D}" name="Column7544"/>
    <tableColumn id="7578" xr3:uid="{BC182E96-9171-422B-85FB-FFCD99FA7D7B}" name="Column7545"/>
    <tableColumn id="7579" xr3:uid="{C0B413E3-9999-48DC-867C-8D4A639C3CA6}" name="Column7546"/>
    <tableColumn id="7580" xr3:uid="{A3264764-53DE-4C70-8C8D-3F22EB690FA3}" name="Column7547"/>
    <tableColumn id="7581" xr3:uid="{07C07287-C3EC-43CD-8D92-53FD4D020899}" name="Column7548"/>
    <tableColumn id="7582" xr3:uid="{76BC2C4F-2414-4783-B224-E4CB2BA1A4C8}" name="Column7549"/>
    <tableColumn id="7583" xr3:uid="{F416678D-2C38-43B0-B80C-2A516CAF5EA3}" name="Column7550"/>
    <tableColumn id="7584" xr3:uid="{DA7A0852-7446-464F-9EE3-DABDFAC7CB3C}" name="Column7551"/>
    <tableColumn id="7585" xr3:uid="{124F3864-074B-4957-B072-3EFFDDF1C26E}" name="Column7552"/>
    <tableColumn id="7586" xr3:uid="{DB0E3505-C64C-4746-8441-52049B732EA1}" name="Column7553"/>
    <tableColumn id="7587" xr3:uid="{7CF20873-CB4A-4732-9506-1CD7C56B4322}" name="Column7554"/>
    <tableColumn id="7588" xr3:uid="{0E5ACC97-7B9E-4FE5-A6BC-03158D62E618}" name="Column7555"/>
    <tableColumn id="7589" xr3:uid="{037E365B-E2C8-42A7-80F9-1AA79F885FBF}" name="Column7556"/>
    <tableColumn id="7590" xr3:uid="{09A4922B-F347-4111-A9C4-375F720B265F}" name="Column7557"/>
    <tableColumn id="7591" xr3:uid="{41C84129-293A-47CC-8F34-380860910742}" name="Column7558"/>
    <tableColumn id="7592" xr3:uid="{6E9B3629-6608-4FD7-838D-6C5FEA7E3028}" name="Column7559"/>
    <tableColumn id="7593" xr3:uid="{5882BFE5-2C35-44D3-88FC-394D094DE769}" name="Column7560"/>
    <tableColumn id="7594" xr3:uid="{276A3BD8-0D45-43DE-858E-C0577A83340A}" name="Column7561"/>
    <tableColumn id="7595" xr3:uid="{B3DFFC7E-5508-4AE8-BA42-75E231ABF0D3}" name="Column7562"/>
    <tableColumn id="7596" xr3:uid="{43F8DEA0-C1DC-4569-AC7C-2F83B9C1570A}" name="Column7563"/>
    <tableColumn id="7597" xr3:uid="{5FBB625F-6F52-43FE-93AB-B1D2B783498D}" name="Column7564"/>
    <tableColumn id="7598" xr3:uid="{C04FE7A9-0500-4C47-A7E4-BDCA51C535D9}" name="Column7565"/>
    <tableColumn id="7599" xr3:uid="{BE38FEC3-2EB9-4E88-A8B9-78D7240C2BC1}" name="Column7566"/>
    <tableColumn id="7600" xr3:uid="{81A52C84-7AC4-4EE1-AC3E-2AD33B441AD9}" name="Column7567"/>
    <tableColumn id="7601" xr3:uid="{C25CB558-342A-40E7-9A9B-A8605732C7B7}" name="Column7568"/>
    <tableColumn id="7602" xr3:uid="{BC3D2810-C175-4C05-AD61-89EC323CF381}" name="Column7569"/>
    <tableColumn id="7603" xr3:uid="{1015C5A0-3A8F-4DCC-BD9F-A75E0487CC31}" name="Column7570"/>
    <tableColumn id="7604" xr3:uid="{618BC292-8CCC-4D05-A32F-26DA9BC63DE4}" name="Column7571"/>
    <tableColumn id="7605" xr3:uid="{4C498B47-583C-48FD-8365-A6BA87897BD3}" name="Column7572"/>
    <tableColumn id="7606" xr3:uid="{11C0A4FE-C302-4142-B140-48824B20783B}" name="Column7573"/>
    <tableColumn id="7607" xr3:uid="{E2744BE0-5D2C-48A2-8E95-1F8A87CCDC62}" name="Column7574"/>
    <tableColumn id="7608" xr3:uid="{B11B4075-5EDD-40F1-A014-7D04F2BC2419}" name="Column7575"/>
    <tableColumn id="7609" xr3:uid="{485ECF60-701B-4FE6-8843-6CD3659F2650}" name="Column7576"/>
    <tableColumn id="7610" xr3:uid="{22447C9C-D941-4217-85E6-86F029394596}" name="Column7577"/>
    <tableColumn id="7611" xr3:uid="{4FF00630-8B3A-4873-8F4C-E6F028B9C2CA}" name="Column7578"/>
    <tableColumn id="7612" xr3:uid="{BEE4739D-0754-4867-B64B-DE324408B7FB}" name="Column7579"/>
    <tableColumn id="7613" xr3:uid="{580F59A6-69CA-47A1-8571-5F70AB3B99EE}" name="Column7580"/>
    <tableColumn id="7614" xr3:uid="{CC123368-2562-48DD-A4D8-BACC0848AD53}" name="Column7581"/>
    <tableColumn id="7615" xr3:uid="{5D1B16E0-C9DF-48DC-B2D5-D27C5A4ED637}" name="Column7582"/>
    <tableColumn id="7616" xr3:uid="{04A295B5-0883-448E-A0CF-5D291ACC07B1}" name="Column7583"/>
    <tableColumn id="7617" xr3:uid="{E04E6D7E-6E84-4474-9C8B-F0BDEA5638CB}" name="Column7584"/>
    <tableColumn id="7618" xr3:uid="{09FA978B-21F7-42C1-9FD1-500E18D116CD}" name="Column7585"/>
    <tableColumn id="7619" xr3:uid="{84DFAA29-AF75-46D4-BAB4-83B165699B97}" name="Column7586"/>
    <tableColumn id="7620" xr3:uid="{D6884BA3-D49D-4033-BD37-F21A166D1F81}" name="Column7587"/>
    <tableColumn id="7621" xr3:uid="{99FF0CFB-E31C-495E-92EE-76716E818B33}" name="Column7588"/>
    <tableColumn id="7622" xr3:uid="{C3D82BA9-AB99-450A-B00F-6BD0A5050B30}" name="Column7589"/>
    <tableColumn id="7623" xr3:uid="{DAB3B391-4C8F-4688-9860-054190510B15}" name="Column7590"/>
    <tableColumn id="7624" xr3:uid="{6B6B3CD6-0BF9-4CAD-B1C1-5E4861747A5C}" name="Column7591"/>
    <tableColumn id="7625" xr3:uid="{B583D3CB-8213-4E95-9873-1DBCE0EB7738}" name="Column7592"/>
    <tableColumn id="7626" xr3:uid="{17F38C9E-BBB5-4D26-ADA3-AA98AE5EEB1F}" name="Column7593"/>
    <tableColumn id="7627" xr3:uid="{589B537C-EA29-4795-9A74-F48E1959CACB}" name="Column7594"/>
    <tableColumn id="7628" xr3:uid="{873DA71B-6C87-4BE5-962E-11F5F788D4C4}" name="Column7595"/>
    <tableColumn id="7629" xr3:uid="{589C990F-F133-4ACA-8FF3-56FD5164BBE5}" name="Column7596"/>
    <tableColumn id="7630" xr3:uid="{6DA40D81-0264-4DD7-968B-CF792A1A8254}" name="Column7597"/>
    <tableColumn id="7631" xr3:uid="{DD37B016-D13A-47B5-B5CB-A88CBFB917D6}" name="Column7598"/>
    <tableColumn id="7632" xr3:uid="{D7E57D99-6E6E-4C6D-8FCA-DAA76B897441}" name="Column7599"/>
    <tableColumn id="7633" xr3:uid="{E6A60A6D-7DCA-4245-B7B5-0B8820E9B1C5}" name="Column7600"/>
    <tableColumn id="7634" xr3:uid="{DCAFD69A-37BC-40D9-B67E-BE133360E285}" name="Column7601"/>
    <tableColumn id="7635" xr3:uid="{7549E788-62C3-4AB3-8214-ABCC32A4FF65}" name="Column7602"/>
    <tableColumn id="7636" xr3:uid="{C34F411A-E8C0-4879-A942-C492774CF204}" name="Column7603"/>
    <tableColumn id="7637" xr3:uid="{6A675E79-463B-4954-AEE6-9C6CD65B4CCA}" name="Column7604"/>
    <tableColumn id="7638" xr3:uid="{F16F88FE-1B7C-453C-AEA3-295B5A4CB30D}" name="Column7605"/>
    <tableColumn id="7639" xr3:uid="{4902384A-D91D-48A0-B0C3-1E46CD23966C}" name="Column7606"/>
    <tableColumn id="7640" xr3:uid="{A2E2ADE8-52BE-404F-9E8F-A4EE8D45E160}" name="Column7607"/>
    <tableColumn id="7641" xr3:uid="{4C9F2949-D57C-496E-813C-E7E6B962B08B}" name="Column7608"/>
    <tableColumn id="7642" xr3:uid="{5AEE01B4-7579-4948-BE74-8A08FFE3135B}" name="Column7609"/>
    <tableColumn id="7643" xr3:uid="{620A508B-8CE7-4E53-BEA6-964D0615CDA6}" name="Column7610"/>
    <tableColumn id="7644" xr3:uid="{27616CE0-968E-4728-B103-1F8BD182CF13}" name="Column7611"/>
    <tableColumn id="7645" xr3:uid="{32999712-F6B5-41B6-B8DE-682AAF9CD619}" name="Column7612"/>
    <tableColumn id="7646" xr3:uid="{D4393293-D425-4E35-A2F3-BF942B9E709A}" name="Column7613"/>
    <tableColumn id="7647" xr3:uid="{E4E7CFDD-4BE0-423C-B3E7-70F7A067843F}" name="Column7614"/>
    <tableColumn id="7648" xr3:uid="{F1BE8E9B-A40B-4C0A-A64E-48D974CD1970}" name="Column7615"/>
    <tableColumn id="7649" xr3:uid="{4E258E36-2EDA-4A85-8519-0BCE35729EB9}" name="Column7616"/>
    <tableColumn id="7650" xr3:uid="{3552C448-37B2-46D3-9716-B327DF73636C}" name="Column7617"/>
    <tableColumn id="7651" xr3:uid="{B6263B4A-6DE1-42AE-8743-DBF32B0680F1}" name="Column7618"/>
    <tableColumn id="7652" xr3:uid="{4574C8DA-D6AD-437E-93D9-D2816A94D503}" name="Column7619"/>
    <tableColumn id="7653" xr3:uid="{E8F0D1F3-9CE0-4F6D-B30C-86625B83E625}" name="Column7620"/>
    <tableColumn id="7654" xr3:uid="{AB10E10F-1F66-46BD-81C4-D0DF3940EA5C}" name="Column7621"/>
    <tableColumn id="7655" xr3:uid="{AF3048A8-4065-476A-B260-7580F6F090AF}" name="Column7622"/>
    <tableColumn id="7656" xr3:uid="{09A7B74B-DA5D-44F2-9DCA-399C4A207909}" name="Column7623"/>
    <tableColumn id="7657" xr3:uid="{06885307-CA63-4C24-B483-E82A06329F35}" name="Column7624"/>
    <tableColumn id="7658" xr3:uid="{84052DF2-BD47-4AEC-B710-780046A61FFC}" name="Column7625"/>
    <tableColumn id="7659" xr3:uid="{645AAEEC-ADEC-4949-99FA-A51DD591788D}" name="Column7626"/>
    <tableColumn id="7660" xr3:uid="{415A21A4-D8A4-403B-AD66-7E1D6155CD9B}" name="Column7627"/>
    <tableColumn id="7661" xr3:uid="{131DFF37-4163-4550-9E60-B0D6C5CC3100}" name="Column7628"/>
    <tableColumn id="7662" xr3:uid="{EEE2C3B9-0D25-4822-8C18-50DAC8BA7F96}" name="Column7629"/>
    <tableColumn id="7663" xr3:uid="{334F14F1-2351-41AB-9711-52A4DCA214AA}" name="Column7630"/>
    <tableColumn id="7664" xr3:uid="{B7F8D39C-06EC-4E00-ACD2-4725B38FA4F7}" name="Column7631"/>
    <tableColumn id="7665" xr3:uid="{FAA2B1D6-19CB-4F6A-A3B7-1258428AFE48}" name="Column7632"/>
    <tableColumn id="7666" xr3:uid="{8FD6B5AA-2871-456C-9DF5-185DE9F87A17}" name="Column7633"/>
    <tableColumn id="7667" xr3:uid="{FDF27351-47F6-4A18-89F8-DD7BE69A734D}" name="Column7634"/>
    <tableColumn id="7668" xr3:uid="{93390D00-3312-4FB1-9A9A-0648CAD1178C}" name="Column7635"/>
    <tableColumn id="7669" xr3:uid="{287FD9C9-245E-475D-B715-6DC2DDB25120}" name="Column7636"/>
    <tableColumn id="7670" xr3:uid="{AAE10BCB-134E-4605-9040-700CCEF52596}" name="Column7637"/>
    <tableColumn id="7671" xr3:uid="{5291A86D-FBAC-4152-A603-775C76A2D561}" name="Column7638"/>
    <tableColumn id="7672" xr3:uid="{29E98099-ADC9-4E48-AD17-2F9064E1386F}" name="Column7639"/>
    <tableColumn id="7673" xr3:uid="{80A801F7-7945-4A80-B90F-0D7CBF59A456}" name="Column7640"/>
    <tableColumn id="7674" xr3:uid="{06935352-DCEC-4735-86A2-417FDA9D1161}" name="Column7641"/>
    <tableColumn id="7675" xr3:uid="{65B78239-44BC-42BB-ACCD-F1C8F3AFE73F}" name="Column7642"/>
    <tableColumn id="7676" xr3:uid="{F3CEF038-A7B4-488C-90DD-B75B6966DA3E}" name="Column7643"/>
    <tableColumn id="7677" xr3:uid="{3470700D-5EC3-45F2-AEF8-6C469C3C76A8}" name="Column7644"/>
    <tableColumn id="7678" xr3:uid="{D3ACEBD9-D45E-4551-84CC-1AF65CF5CFE9}" name="Column7645"/>
    <tableColumn id="7679" xr3:uid="{62FBCB5E-9C7E-452A-9578-268B39968FAF}" name="Column7646"/>
    <tableColumn id="7680" xr3:uid="{AD8F5381-BAA3-4EB6-B249-6BB9786E79F7}" name="Column7647"/>
    <tableColumn id="7681" xr3:uid="{FD3756F6-E896-47EF-8D7A-4CBEFC2BF5B6}" name="Column7648"/>
    <tableColumn id="7682" xr3:uid="{30A84A36-A758-43DD-A872-F8C70BA6A9E6}" name="Column7649"/>
    <tableColumn id="7683" xr3:uid="{A5C47D27-F7C4-4427-92FB-5195DA9F77ED}" name="Column7650"/>
    <tableColumn id="7684" xr3:uid="{3A36316D-B7B3-467D-91C8-0554FA158527}" name="Column7651"/>
    <tableColumn id="7685" xr3:uid="{59274082-6B8C-45CD-B2C5-FD5071E3F8B4}" name="Column7652"/>
    <tableColumn id="7686" xr3:uid="{AC87D7E8-C69B-4884-849D-D559BD60B0B2}" name="Column7653"/>
    <tableColumn id="7687" xr3:uid="{7931E808-8DF5-4EB7-87FA-9403A03BB020}" name="Column7654"/>
    <tableColumn id="7688" xr3:uid="{2D8849B1-DE7A-41BD-9BD0-33B750ED9A9F}" name="Column7655"/>
    <tableColumn id="7689" xr3:uid="{AC4AE4C1-4889-472C-B28D-D271320B6119}" name="Column7656"/>
    <tableColumn id="7690" xr3:uid="{ACEE2697-865E-4445-8566-976089A51C53}" name="Column7657"/>
    <tableColumn id="7691" xr3:uid="{D593866D-0905-4BF5-9DB8-E61F05882EDA}" name="Column7658"/>
    <tableColumn id="7692" xr3:uid="{8C89567E-C899-4C82-8232-C2C2952A0662}" name="Column7659"/>
    <tableColumn id="7693" xr3:uid="{FB8BAFC7-3D74-484C-8B8A-AF39B274BAC2}" name="Column7660"/>
    <tableColumn id="7694" xr3:uid="{A459E43C-D997-40E0-82F1-74E83594CCB5}" name="Column7661"/>
    <tableColumn id="7695" xr3:uid="{1A83AE67-6AB5-4227-97A6-560571330DB3}" name="Column7662"/>
    <tableColumn id="7696" xr3:uid="{5612A580-BF10-40BF-84A2-3C8217D103BF}" name="Column7663"/>
    <tableColumn id="7697" xr3:uid="{78F6C08A-353F-4AEB-A7CD-3D74EEB407CF}" name="Column7664"/>
    <tableColumn id="7698" xr3:uid="{38C4CAA5-93D7-4706-ABF7-6D290D8BBD85}" name="Column7665"/>
    <tableColumn id="7699" xr3:uid="{8C018F49-7299-49EE-8895-215463EAC4E4}" name="Column7666"/>
    <tableColumn id="7700" xr3:uid="{1F254A39-71C9-4EF8-B8E5-598C10423CB1}" name="Column7667"/>
    <tableColumn id="7701" xr3:uid="{C090BB8E-7444-47FD-B483-54CFA54C6FEC}" name="Column7668"/>
    <tableColumn id="7702" xr3:uid="{D4E61C22-5EA4-4FF5-83BB-5FA27AE4DD65}" name="Column7669"/>
    <tableColumn id="7703" xr3:uid="{0D8CF918-49AB-4A78-AC17-231F69455913}" name="Column7670"/>
    <tableColumn id="7704" xr3:uid="{821B52B8-F754-4651-BBBF-0C6742D0DBB4}" name="Column7671"/>
    <tableColumn id="7705" xr3:uid="{BC6138F9-0B19-423C-8A43-E730732B1B46}" name="Column7672"/>
    <tableColumn id="7706" xr3:uid="{FC6A79BB-CF82-4FFD-A449-E741B35B0EB7}" name="Column7673"/>
    <tableColumn id="7707" xr3:uid="{649DFAD1-C311-4E14-BC4D-809F3EA6A55E}" name="Column7674"/>
    <tableColumn id="7708" xr3:uid="{11FC0BEC-B3F2-4287-94A7-14E5BCA8F58A}" name="Column7675"/>
    <tableColumn id="7709" xr3:uid="{143195EB-8308-43BD-BA0D-272AA8C03618}" name="Column7676"/>
    <tableColumn id="7710" xr3:uid="{A8F46ECA-94A6-44B7-8CBA-B606F7B75332}" name="Column7677"/>
    <tableColumn id="7711" xr3:uid="{6BEECCC1-CDC8-4446-B57D-542D7598182E}" name="Column7678"/>
    <tableColumn id="7712" xr3:uid="{793E1551-7510-4A85-9776-64AC4894E682}" name="Column7679"/>
    <tableColumn id="7713" xr3:uid="{C61046E5-7130-4E4D-9DA2-BFA5D5A6A2A5}" name="Column7680"/>
    <tableColumn id="7714" xr3:uid="{8F23363D-44FC-4FB1-842B-191AEC631C93}" name="Column7681"/>
    <tableColumn id="7715" xr3:uid="{BB4E51E6-4E8A-47BA-ACDA-E1F43EC138D4}" name="Column7682"/>
    <tableColumn id="7716" xr3:uid="{01868E80-D72F-4A7C-9852-8F03CA776C95}" name="Column7683"/>
    <tableColumn id="7717" xr3:uid="{6540E3E4-1320-4E66-A002-39FF805B99DD}" name="Column7684"/>
    <tableColumn id="7718" xr3:uid="{58275CC2-0E71-4792-89F6-C7A281D3F19E}" name="Column7685"/>
    <tableColumn id="7719" xr3:uid="{758D7243-23B9-480F-9441-69B74522F12D}" name="Column7686"/>
    <tableColumn id="7720" xr3:uid="{18D92C34-9116-4C45-A811-735D6FA2A0E4}" name="Column7687"/>
    <tableColumn id="7721" xr3:uid="{814A3158-39E1-41D3-9916-C62672E9FCF1}" name="Column7688"/>
    <tableColumn id="7722" xr3:uid="{09900AE9-28C1-4D44-8DCC-B087CBF1A0CD}" name="Column7689"/>
    <tableColumn id="7723" xr3:uid="{7991221B-DA47-4339-9598-2DEBC162FFC8}" name="Column7690"/>
    <tableColumn id="7724" xr3:uid="{51081B23-0CE7-4F31-84CE-F32804C9636D}" name="Column7691"/>
    <tableColumn id="7725" xr3:uid="{BA582869-8CF6-4792-8322-5F419663DA43}" name="Column7692"/>
    <tableColumn id="7726" xr3:uid="{45B77ACB-95C8-4377-A945-38649527847B}" name="Column7693"/>
    <tableColumn id="7727" xr3:uid="{80367053-63CA-4880-BE1D-6DC5F0FA1B3A}" name="Column7694"/>
    <tableColumn id="7728" xr3:uid="{3CE92545-8E6B-4768-810A-75B13029C1ED}" name="Column7695"/>
    <tableColumn id="7729" xr3:uid="{93D15748-AFAA-4ACD-9D80-7363FEB6CA4B}" name="Column7696"/>
    <tableColumn id="7730" xr3:uid="{1D720A66-12DA-4779-B150-4330318539C8}" name="Column7697"/>
    <tableColumn id="7731" xr3:uid="{8B53B4F7-68A2-48A0-9742-8178AC1377A3}" name="Column7698"/>
    <tableColumn id="7732" xr3:uid="{F26F8E6F-C6DC-40A4-BE8B-57D4DB5D9FF9}" name="Column7699"/>
    <tableColumn id="7733" xr3:uid="{94AC90D5-434E-4516-B745-E50524538438}" name="Column7700"/>
    <tableColumn id="7734" xr3:uid="{95F8C8F4-B3B5-4CF6-B6E5-98A42B4DE2DD}" name="Column7701"/>
    <tableColumn id="7735" xr3:uid="{4485B549-703A-4492-91E8-A80BB1A15E4C}" name="Column7702"/>
    <tableColumn id="7736" xr3:uid="{52034B5B-E44E-4153-ADE4-9CFE13EE4CF5}" name="Column7703"/>
    <tableColumn id="7737" xr3:uid="{E0CDD104-717E-4BB0-9AE7-761EEA916138}" name="Column7704"/>
    <tableColumn id="7738" xr3:uid="{B5B0C694-628A-488D-BF40-5F8FB74CFE50}" name="Column7705"/>
    <tableColumn id="7739" xr3:uid="{873A7416-8CAC-4BE8-B1E7-4D39ACE0C9F5}" name="Column7706"/>
    <tableColumn id="7740" xr3:uid="{8E8310A1-E113-40DA-80F4-29E683468549}" name="Column7707"/>
    <tableColumn id="7741" xr3:uid="{21D8C22F-1E32-4600-ACB6-31573CD2CFE2}" name="Column7708"/>
    <tableColumn id="7742" xr3:uid="{CB6B4D0D-E683-48C6-A5D3-0883D5787065}" name="Column7709"/>
    <tableColumn id="7743" xr3:uid="{ECF7A7CA-1ABC-460E-973E-98E16CF032B7}" name="Column7710"/>
    <tableColumn id="7744" xr3:uid="{049A2814-C0B3-4CED-8230-A0D1C8A36567}" name="Column7711"/>
    <tableColumn id="7745" xr3:uid="{559AB523-3930-4945-B7FF-4E200579B182}" name="Column7712"/>
    <tableColumn id="7746" xr3:uid="{8626B795-055C-4BD0-910F-A5BF93F56D94}" name="Column7713"/>
    <tableColumn id="7747" xr3:uid="{00420F20-4B5F-4EE4-9F6B-026F458E9475}" name="Column7714"/>
    <tableColumn id="7748" xr3:uid="{B14163BF-3024-4374-8FD7-4966D77FF610}" name="Column7715"/>
    <tableColumn id="7749" xr3:uid="{BBC5ECA2-3D54-4A58-8915-6A8D44653D15}" name="Column7716"/>
    <tableColumn id="7750" xr3:uid="{3390C609-7688-436C-B742-40C0422763A3}" name="Column7717"/>
    <tableColumn id="7751" xr3:uid="{24B3BD4E-2FBA-4C47-9882-6D1FF01BDA6B}" name="Column7718"/>
    <tableColumn id="7752" xr3:uid="{67DD7190-DFB3-4112-8117-43F3B5AEFB74}" name="Column7719"/>
    <tableColumn id="7753" xr3:uid="{640BE5C6-D97A-4C1C-8638-43DCB7A9A770}" name="Column7720"/>
    <tableColumn id="7754" xr3:uid="{1B2A7D94-C889-4290-94EB-FAFF840D9C30}" name="Column7721"/>
    <tableColumn id="7755" xr3:uid="{567E6DF7-0890-4D21-812F-225A7DFBEA40}" name="Column7722"/>
    <tableColumn id="7756" xr3:uid="{260A332C-8A6E-416B-A46D-3A63DF3A6FEF}" name="Column7723"/>
    <tableColumn id="7757" xr3:uid="{CB384271-2E26-430C-B57A-F987ACA20F5C}" name="Column7724"/>
    <tableColumn id="7758" xr3:uid="{AFB7F479-4AED-4F7F-AFF6-574C5AE2DFAE}" name="Column7725"/>
    <tableColumn id="7759" xr3:uid="{FC8BB635-21FA-4A5F-825A-CA0407D07736}" name="Column7726"/>
    <tableColumn id="7760" xr3:uid="{E5A1B8C3-21BC-4635-8273-17E82A689E32}" name="Column7727"/>
    <tableColumn id="7761" xr3:uid="{0788EE4A-5FD6-438D-8ABD-652D79AF6085}" name="Column7728"/>
    <tableColumn id="7762" xr3:uid="{7962A205-09A3-4FCB-89A9-CDFB47B02C4D}" name="Column7729"/>
    <tableColumn id="7763" xr3:uid="{8E384FE0-44B1-4732-A56A-D05B1546512D}" name="Column7730"/>
    <tableColumn id="7764" xr3:uid="{9ED778D8-C9FF-4B51-A1D1-362CDA1DB3BD}" name="Column7731"/>
    <tableColumn id="7765" xr3:uid="{EBD34CAE-4AAE-48C4-999A-B63F4645D74F}" name="Column7732"/>
    <tableColumn id="7766" xr3:uid="{BC674D54-6B47-424F-804A-49CC8F280556}" name="Column7733"/>
    <tableColumn id="7767" xr3:uid="{D3BBBB76-9248-4455-B023-1CE0CB408095}" name="Column7734"/>
    <tableColumn id="7768" xr3:uid="{7786E437-5336-4E87-9B5A-4D7B15B08855}" name="Column7735"/>
    <tableColumn id="7769" xr3:uid="{2CCC1AC7-D9FB-44C2-BDC1-A357BDF93760}" name="Column7736"/>
    <tableColumn id="7770" xr3:uid="{F515F84B-996F-41E7-B6A9-418EFD3223F8}" name="Column7737"/>
    <tableColumn id="7771" xr3:uid="{B69C72DD-E689-4BFE-BE74-561E7C125256}" name="Column7738"/>
    <tableColumn id="7772" xr3:uid="{D0462F3B-F443-411A-A535-2E3C20D63421}" name="Column7739"/>
    <tableColumn id="7773" xr3:uid="{986373DB-EAC8-46C5-B2E3-CFB3C01BB707}" name="Column7740"/>
    <tableColumn id="7774" xr3:uid="{2C7C71EB-D73D-4B64-9D88-AED4624C0047}" name="Column7741"/>
    <tableColumn id="7775" xr3:uid="{4BBFE6E5-BCA5-4490-B81F-D65187525477}" name="Column7742"/>
    <tableColumn id="7776" xr3:uid="{F143729F-A856-45ED-8F12-A43D2F1EC288}" name="Column7743"/>
    <tableColumn id="7777" xr3:uid="{5FB300F2-599F-4EDB-A112-A800F2FC2536}" name="Column7744"/>
    <tableColumn id="7778" xr3:uid="{26B6B3DF-D4D5-4D5A-B34D-DB8C54C3CEAD}" name="Column7745"/>
    <tableColumn id="7779" xr3:uid="{97F89726-566F-47A4-86D3-0B0AD1557FFA}" name="Column7746"/>
    <tableColumn id="7780" xr3:uid="{EE60BD11-D38E-4841-89C3-159C3231CEB1}" name="Column7747"/>
    <tableColumn id="7781" xr3:uid="{FE5305E7-4EA6-4B4C-A4F4-1F884E6B5312}" name="Column7748"/>
    <tableColumn id="7782" xr3:uid="{FB77C244-DAA9-4701-93DB-1C0047C39200}" name="Column7749"/>
    <tableColumn id="7783" xr3:uid="{CAD4FC71-045A-4C6B-9DBF-234B570429A7}" name="Column7750"/>
    <tableColumn id="7784" xr3:uid="{D64A5ED0-C3A3-4A49-8F07-42F410181A1E}" name="Column7751"/>
    <tableColumn id="7785" xr3:uid="{C6E77D44-B723-4A32-B6B8-50A3FEFD4AEC}" name="Column7752"/>
    <tableColumn id="7786" xr3:uid="{8E42EFCE-04A0-4BA1-80CA-793E09B689A7}" name="Column7753"/>
    <tableColumn id="7787" xr3:uid="{F86EBBAD-ABA2-4E2A-9B8B-90E9ED4E6325}" name="Column7754"/>
    <tableColumn id="7788" xr3:uid="{B4A8816B-5DC9-4DB4-848F-9C416C7E34B9}" name="Column7755"/>
    <tableColumn id="7789" xr3:uid="{25F8BECF-4C02-4F5F-877E-7C2B7A7DCE20}" name="Column7756"/>
    <tableColumn id="7790" xr3:uid="{82C8DF95-F2E1-455F-9515-1A5A5B353F63}" name="Column7757"/>
    <tableColumn id="7791" xr3:uid="{A5940279-990B-4D6A-9AB6-3DABB2BBDFEE}" name="Column7758"/>
    <tableColumn id="7792" xr3:uid="{81E90522-8FA1-4AEB-BDD4-BCCDB337A365}" name="Column7759"/>
    <tableColumn id="7793" xr3:uid="{E96D0EB3-6836-44E9-B952-237BD500B8DD}" name="Column7760"/>
    <tableColumn id="7794" xr3:uid="{1ABBBA76-1A71-45E8-B6D5-D17B2975A381}" name="Column7761"/>
    <tableColumn id="7795" xr3:uid="{149C8603-311C-4D4F-9ECF-F5FCCA716115}" name="Column7762"/>
    <tableColumn id="7796" xr3:uid="{02E1FCF9-50EB-4AA4-BFA9-13EB21707D9C}" name="Column7763"/>
    <tableColumn id="7797" xr3:uid="{6ECA663A-FABD-4CD6-B9DE-6843B9785DFE}" name="Column7764"/>
    <tableColumn id="7798" xr3:uid="{3FC0C82A-7F21-4CAA-9ABD-E7D7D06762A7}" name="Column7765"/>
    <tableColumn id="7799" xr3:uid="{2D1E1F36-C029-473B-A79E-FE159B084827}" name="Column7766"/>
    <tableColumn id="7800" xr3:uid="{A4DE47B1-5F14-4E5D-B0DD-FF54F0520FE6}" name="Column7767"/>
    <tableColumn id="7801" xr3:uid="{0179A76D-ECDD-4D64-896D-29F803896195}" name="Column7768"/>
    <tableColumn id="7802" xr3:uid="{706097D7-C6BA-41FB-A6FD-0F905480FF77}" name="Column7769"/>
    <tableColumn id="7803" xr3:uid="{2BD9F1F7-1743-4227-9BD1-433706C5069B}" name="Column7770"/>
    <tableColumn id="7804" xr3:uid="{91D63644-310E-4F4A-8E36-790315C2BF61}" name="Column7771"/>
    <tableColumn id="7805" xr3:uid="{9F043414-ACA0-43F8-88E5-0C60997BC3D2}" name="Column7772"/>
    <tableColumn id="7806" xr3:uid="{8C1D8B2B-2C99-4D3A-8AAD-57A959C33EAD}" name="Column7773"/>
    <tableColumn id="7807" xr3:uid="{28CFC7D2-DAAA-49A8-A801-7688188427ED}" name="Column7774"/>
    <tableColumn id="7808" xr3:uid="{8258EBD7-2776-4A4C-8DD8-E4F081C28EE9}" name="Column7775"/>
    <tableColumn id="7809" xr3:uid="{9E9EB79C-342C-452F-9FEA-1A01FB6D4070}" name="Column7776"/>
    <tableColumn id="7810" xr3:uid="{3D6399C0-3821-489A-B4B5-41D747274AA4}" name="Column7777"/>
    <tableColumn id="7811" xr3:uid="{5D78FE06-5228-4034-93F0-230848F29FA0}" name="Column7778"/>
    <tableColumn id="7812" xr3:uid="{6018A311-68E7-4241-A208-7393D2DF2E65}" name="Column7779"/>
    <tableColumn id="7813" xr3:uid="{20328D54-AD18-469B-B978-1D37A06D57E5}" name="Column7780"/>
    <tableColumn id="7814" xr3:uid="{7F13BEB1-3591-4789-B177-C525E92A92C2}" name="Column7781"/>
    <tableColumn id="7815" xr3:uid="{F48DE157-3CDB-4C59-B7F2-773DEF90CF8B}" name="Column7782"/>
    <tableColumn id="7816" xr3:uid="{60577623-9D5A-465E-A9A4-171B27ADC8F7}" name="Column7783"/>
    <tableColumn id="7817" xr3:uid="{D87E6F57-E3AB-4201-8789-5DFDC943A2AC}" name="Column7784"/>
    <tableColumn id="7818" xr3:uid="{D5186253-1EA9-4BB2-8C00-1403C6E1DBDA}" name="Column7785"/>
    <tableColumn id="7819" xr3:uid="{1C21B5D5-02C8-4198-B58F-41BA0F3015A8}" name="Column7786"/>
    <tableColumn id="7820" xr3:uid="{7DE54240-A384-42CE-A819-2DF29E4189C1}" name="Column7787"/>
    <tableColumn id="7821" xr3:uid="{01C6DD19-9175-4892-BDB4-AF2403B7C836}" name="Column7788"/>
    <tableColumn id="7822" xr3:uid="{34C864F8-0D22-42E2-8FDA-9BF5490919C4}" name="Column7789"/>
    <tableColumn id="7823" xr3:uid="{FCD61D97-8CFD-454D-8E4F-ADB3E61A1DB1}" name="Column7790"/>
    <tableColumn id="7824" xr3:uid="{4E237602-30D1-4F4A-B350-8FDB906159BC}" name="Column7791"/>
    <tableColumn id="7825" xr3:uid="{8BF7FE9A-9BD4-408F-A4B7-FF00A42B1440}" name="Column7792"/>
    <tableColumn id="7826" xr3:uid="{396571EC-B375-468D-AAED-C8E03922A10D}" name="Column7793"/>
    <tableColumn id="7827" xr3:uid="{CB967344-86EB-40F7-8AE5-F94F97A36436}" name="Column7794"/>
    <tableColumn id="7828" xr3:uid="{6C15BF80-CB34-413E-9D33-E66B0DA0335B}" name="Column7795"/>
    <tableColumn id="7829" xr3:uid="{5C5DA70F-53EC-4444-8C58-FCF72E937924}" name="Column7796"/>
    <tableColumn id="7830" xr3:uid="{9DD22192-B8FB-4CC8-9FB1-E0B82A374330}" name="Column7797"/>
    <tableColumn id="7831" xr3:uid="{13852924-F98F-44A4-B82F-468324B7CCB1}" name="Column7798"/>
    <tableColumn id="7832" xr3:uid="{07E544AF-C847-410C-ABB0-F81FF9FE33FF}" name="Column7799"/>
    <tableColumn id="7833" xr3:uid="{328B7492-99ED-437E-9FFF-7CF0F5D6D534}" name="Column7800"/>
    <tableColumn id="7834" xr3:uid="{928893AF-6BE7-4CB6-B8F8-8386A9F2646D}" name="Column7801"/>
    <tableColumn id="7835" xr3:uid="{74F03E0A-9DB0-49AC-B225-1E611F8C4DDD}" name="Column7802"/>
    <tableColumn id="7836" xr3:uid="{9FBC74EA-94CF-4AF4-A3C0-B6F0A738BCF8}" name="Column7803"/>
    <tableColumn id="7837" xr3:uid="{901851C1-F8C9-439D-9420-AA5BB1328A4E}" name="Column7804"/>
    <tableColumn id="7838" xr3:uid="{709507F9-C97F-4223-BE60-DB1E45CB3EF0}" name="Column7805"/>
    <tableColumn id="7839" xr3:uid="{0C9E184F-E1ED-4D83-8CB9-BE6E02B6CFED}" name="Column7806"/>
    <tableColumn id="7840" xr3:uid="{EFF67CF9-0705-47CF-AE43-53653D50191F}" name="Column7807"/>
    <tableColumn id="7841" xr3:uid="{0C916E23-9F22-4A04-AC55-28869B07B8DD}" name="Column7808"/>
    <tableColumn id="7842" xr3:uid="{B5694E2A-7B29-4756-A54D-8C4A8825D424}" name="Column7809"/>
    <tableColumn id="7843" xr3:uid="{0D44B305-5D72-4D5B-96C3-EC7AE2A188A6}" name="Column7810"/>
    <tableColumn id="7844" xr3:uid="{B93978C5-B436-4B41-94C2-6441ADFA620A}" name="Column7811"/>
    <tableColumn id="7845" xr3:uid="{12C0E552-74DC-4A41-8E95-244012132BB2}" name="Column7812"/>
    <tableColumn id="7846" xr3:uid="{FD8F4B7D-7226-4A5F-B656-06A474A66B33}" name="Column7813"/>
    <tableColumn id="7847" xr3:uid="{0C4FFDB2-943F-46A2-96E4-4C01D0DC2BDB}" name="Column7814"/>
    <tableColumn id="7848" xr3:uid="{83381347-2174-4217-8D31-771CAF50F5BD}" name="Column7815"/>
    <tableColumn id="7849" xr3:uid="{9291F620-CE75-46FC-B505-99D18EB05E23}" name="Column7816"/>
    <tableColumn id="7850" xr3:uid="{4D6E5C15-0DC8-4408-965D-9079D9920CE8}" name="Column7817"/>
    <tableColumn id="7851" xr3:uid="{FF6C9E2A-D093-4398-9B60-5CE33E0A15AA}" name="Column7818"/>
    <tableColumn id="7852" xr3:uid="{E553AE7E-6769-4E39-B6ED-2D6ED7C1838E}" name="Column7819"/>
    <tableColumn id="7853" xr3:uid="{5F93275C-6463-409B-BC81-8395E0AB7462}" name="Column7820"/>
    <tableColumn id="7854" xr3:uid="{0250D993-1116-4F0C-8C28-857900136D42}" name="Column7821"/>
    <tableColumn id="7855" xr3:uid="{5356EAE0-7709-4482-8DD8-EE1DAA03BD32}" name="Column7822"/>
    <tableColumn id="7856" xr3:uid="{4038BE7B-9C14-4575-B850-4B453D7CB4CD}" name="Column7823"/>
    <tableColumn id="7857" xr3:uid="{52A0C7A9-6FB2-4A1E-8F8C-55BAD6892EB0}" name="Column7824"/>
    <tableColumn id="7858" xr3:uid="{2B9D21B6-B920-491F-BCD7-5F59814578AE}" name="Column7825"/>
    <tableColumn id="7859" xr3:uid="{E73B2BC2-759D-45D3-8589-7CA4979426F5}" name="Column7826"/>
    <tableColumn id="7860" xr3:uid="{C459BF65-BD52-4D30-8A9B-4F334A91F4EA}" name="Column7827"/>
    <tableColumn id="7861" xr3:uid="{019F18AE-7C22-4154-B49F-06EBE82C4523}" name="Column7828"/>
    <tableColumn id="7862" xr3:uid="{6FA618A6-F2AF-4831-8138-5D98E70364B5}" name="Column7829"/>
    <tableColumn id="7863" xr3:uid="{87F2E637-1AE4-468B-812C-FD8F836C7504}" name="Column7830"/>
    <tableColumn id="7864" xr3:uid="{83F2975B-934D-445B-8903-2D959DF8D485}" name="Column7831"/>
    <tableColumn id="7865" xr3:uid="{61938614-C68B-4698-8705-3F258D2B9B72}" name="Column7832"/>
    <tableColumn id="7866" xr3:uid="{D16CD135-27A0-466A-A09F-DBE7AC450E96}" name="Column7833"/>
    <tableColumn id="7867" xr3:uid="{F2A78233-A3C6-4057-8654-0B1346F53797}" name="Column7834"/>
    <tableColumn id="7868" xr3:uid="{81CB4AE1-FBD8-49C6-98C8-51F50DDA8F0E}" name="Column7835"/>
    <tableColumn id="7869" xr3:uid="{C8EE9670-1D4A-4EE2-8070-9830AFCEA463}" name="Column7836"/>
    <tableColumn id="7870" xr3:uid="{13830246-6BEB-48D1-96C4-25F75B6795E0}" name="Column7837"/>
    <tableColumn id="7871" xr3:uid="{0AED8DF3-F055-4A5F-B72A-96618D000332}" name="Column7838"/>
    <tableColumn id="7872" xr3:uid="{06C428E1-36B2-43C8-8E99-E4B5F0A3907A}" name="Column7839"/>
    <tableColumn id="7873" xr3:uid="{ABC84044-C43C-498F-84B0-E4E20B885A36}" name="Column7840"/>
    <tableColumn id="7874" xr3:uid="{B849BF90-0377-4739-ABA6-3B05376C38F2}" name="Column7841"/>
    <tableColumn id="7875" xr3:uid="{E0C07B29-6558-476E-B66F-6CD0C385B964}" name="Column7842"/>
    <tableColumn id="7876" xr3:uid="{DFC6A96C-EDC1-45B2-ABE5-8FA0DC13635F}" name="Column7843"/>
    <tableColumn id="7877" xr3:uid="{43CA4731-322F-45D4-BF7E-3C20D7B9F960}" name="Column7844"/>
    <tableColumn id="7878" xr3:uid="{CB9297DC-FBBC-44C7-A137-7A9C2A88F16E}" name="Column7845"/>
    <tableColumn id="7879" xr3:uid="{3A6BC2E1-23CA-4948-A0BA-152EEA361949}" name="Column7846"/>
    <tableColumn id="7880" xr3:uid="{2CEF7260-5EE6-40FF-8861-75D7287F6D19}" name="Column7847"/>
    <tableColumn id="7881" xr3:uid="{BB92796A-FE3E-4D51-8D34-CBCD48598149}" name="Column7848"/>
    <tableColumn id="7882" xr3:uid="{D95B901A-D1DC-4BDF-8EA8-B5C11D3A326B}" name="Column7849"/>
    <tableColumn id="7883" xr3:uid="{CA1F14F2-82F7-4BB3-A906-2BF7399B8213}" name="Column7850"/>
    <tableColumn id="7884" xr3:uid="{004EE72F-201B-4EF9-ABEC-C7D13CFBECB8}" name="Column7851"/>
    <tableColumn id="7885" xr3:uid="{AF63BEA7-39E4-4B98-8545-3DE53568C532}" name="Column7852"/>
    <tableColumn id="7886" xr3:uid="{5C94BAC1-6FA5-4D41-803E-8BDBE912BFAC}" name="Column7853"/>
    <tableColumn id="7887" xr3:uid="{B7EDB525-42E2-48FD-A3FA-3615B535BEC5}" name="Column7854"/>
    <tableColumn id="7888" xr3:uid="{1D0BD72C-981F-402C-9A32-8B1FB736340E}" name="Column7855"/>
    <tableColumn id="7889" xr3:uid="{D2DF98E3-4D45-47CC-8F16-319F68254197}" name="Column7856"/>
    <tableColumn id="7890" xr3:uid="{6D146D7C-FE48-4D5E-A6E4-7773883545FF}" name="Column7857"/>
    <tableColumn id="7891" xr3:uid="{14CF97B9-5491-474F-A701-204AFD07133B}" name="Column7858"/>
    <tableColumn id="7892" xr3:uid="{0E17476B-CF0D-458B-88FE-2A647681A051}" name="Column7859"/>
    <tableColumn id="7893" xr3:uid="{68A0D2E5-F7DB-435B-828B-E790CBCB0807}" name="Column7860"/>
    <tableColumn id="7894" xr3:uid="{3D89A521-2756-4EEC-BB52-FDEFB86D9650}" name="Column7861"/>
    <tableColumn id="7895" xr3:uid="{647C4A72-D62D-4B61-8C2B-0C9388CE0A7D}" name="Column7862"/>
    <tableColumn id="7896" xr3:uid="{C314205E-B337-42CB-B989-DB414BCB6670}" name="Column7863"/>
    <tableColumn id="7897" xr3:uid="{ADD5018B-EB32-46D6-8926-73FA3F3C9ECD}" name="Column7864"/>
    <tableColumn id="7898" xr3:uid="{6C5051A8-6AAC-4D8A-84FC-965184C557A2}" name="Column7865"/>
    <tableColumn id="7899" xr3:uid="{F3B4CBB7-7345-44EC-A6EE-CCADB4BD7A66}" name="Column7866"/>
    <tableColumn id="7900" xr3:uid="{D9BB9650-A08E-4D9F-8AA5-22DC2F6FDDE2}" name="Column7867"/>
    <tableColumn id="7901" xr3:uid="{2DA1F5B9-849A-453D-90F3-1E9A66781411}" name="Column7868"/>
    <tableColumn id="7902" xr3:uid="{8805D82F-9179-4869-9C7E-E01D91E833D7}" name="Column7869"/>
    <tableColumn id="7903" xr3:uid="{C6A0AC38-712A-4768-AB75-325EB8217F81}" name="Column7870"/>
    <tableColumn id="7904" xr3:uid="{805D161D-2D5D-4ACD-AFAF-914B6859DCBC}" name="Column7871"/>
    <tableColumn id="7905" xr3:uid="{04F0CFA2-62D6-4248-AC3F-97A76BD12FC1}" name="Column7872"/>
    <tableColumn id="7906" xr3:uid="{3806C687-FBD7-4C3B-A522-845158C80785}" name="Column7873"/>
    <tableColumn id="7907" xr3:uid="{FBF35696-8691-4AA9-A53C-EF63DD5D639F}" name="Column7874"/>
    <tableColumn id="7908" xr3:uid="{F689E3C5-42FD-484C-958D-315C933A9A19}" name="Column7875"/>
    <tableColumn id="7909" xr3:uid="{6FC60881-5C94-4201-BC66-8E3E34E6796C}" name="Column7876"/>
    <tableColumn id="7910" xr3:uid="{37D28299-2D87-4C10-A424-468BD988CE0F}" name="Column7877"/>
    <tableColumn id="7911" xr3:uid="{082DB45B-6B52-4DA6-9FB8-C5CA6A4F37DE}" name="Column7878"/>
    <tableColumn id="7912" xr3:uid="{E8F2EA38-5BE2-4985-A0AC-0B63D9DE28CB}" name="Column7879"/>
    <tableColumn id="7913" xr3:uid="{E88F590A-9058-437B-AABD-EA11C932725A}" name="Column7880"/>
    <tableColumn id="7914" xr3:uid="{598E0368-B74D-40E2-831B-41E695A2C0BE}" name="Column7881"/>
    <tableColumn id="7915" xr3:uid="{2043BA85-EB48-452E-B2D2-1A7F090D1338}" name="Column7882"/>
    <tableColumn id="7916" xr3:uid="{1833BF23-CE52-4329-A535-F401CA0D4DBD}" name="Column7883"/>
    <tableColumn id="7917" xr3:uid="{4DECCC93-2EC5-4A1C-860C-25404DE3997A}" name="Column7884"/>
    <tableColumn id="7918" xr3:uid="{80AE060D-746C-4A0B-B6CE-5171C01873CF}" name="Column7885"/>
    <tableColumn id="7919" xr3:uid="{1859408A-F156-4D51-9A41-A9D48FF2C978}" name="Column7886"/>
    <tableColumn id="7920" xr3:uid="{8F7893BB-C941-4E41-A180-2D4152F8FAAF}" name="Column7887"/>
    <tableColumn id="7921" xr3:uid="{6F8C3BD5-2EB8-450E-B1F5-68F5195E01BF}" name="Column7888"/>
    <tableColumn id="7922" xr3:uid="{B74E67B2-44BC-4F70-AFFE-A2D8DC714032}" name="Column7889"/>
    <tableColumn id="7923" xr3:uid="{3D078B5D-2510-4FA2-9431-EA2FB5B0A8C9}" name="Column7890"/>
    <tableColumn id="7924" xr3:uid="{09C02A8A-AD21-4787-996B-E646CF33DA83}" name="Column7891"/>
    <tableColumn id="7925" xr3:uid="{CACF24F2-E2E4-47BB-83CF-0F278A5FBCE2}" name="Column7892"/>
    <tableColumn id="7926" xr3:uid="{DC474EC3-4128-4568-B17B-5843980F1ACE}" name="Column7893"/>
    <tableColumn id="7927" xr3:uid="{30750092-7F78-4712-B4D8-D7D8BEFD75C9}" name="Column7894"/>
    <tableColumn id="7928" xr3:uid="{E2712C00-73DC-4078-82F2-B3D3D9FC679D}" name="Column7895"/>
    <tableColumn id="7929" xr3:uid="{E4F16523-DDF2-4D80-A3FD-538E509FA6E3}" name="Column7896"/>
    <tableColumn id="7930" xr3:uid="{0BDED6B9-97F2-4A2C-A262-D86ECC62A9B0}" name="Column7897"/>
    <tableColumn id="7931" xr3:uid="{385073B7-980B-4919-AFC8-D0D2515E6CA2}" name="Column7898"/>
    <tableColumn id="7932" xr3:uid="{E89C33A9-670E-4475-A617-D017CEF353CB}" name="Column7899"/>
    <tableColumn id="7933" xr3:uid="{9929DEB7-9C1D-45D5-80CF-6F1B13741EAC}" name="Column7900"/>
    <tableColumn id="7934" xr3:uid="{A72B2C94-7931-4E73-8E12-D0AE1CEDCBA2}" name="Column7901"/>
    <tableColumn id="7935" xr3:uid="{BCD8E8EC-3B45-4CE4-8710-1EDEF59C2B32}" name="Column7902"/>
    <tableColumn id="7936" xr3:uid="{5F684C4E-EFE8-4A3D-8739-06B53F9F7B10}" name="Column7903"/>
    <tableColumn id="7937" xr3:uid="{75C2E8A0-7C3C-4947-A194-853207A166B8}" name="Column7904"/>
    <tableColumn id="7938" xr3:uid="{BB10A06F-1B81-4551-B066-75ED395E43CD}" name="Column7905"/>
    <tableColumn id="7939" xr3:uid="{A6066A2E-90FA-46B2-97BD-F796E9D51D45}" name="Column7906"/>
    <tableColumn id="7940" xr3:uid="{559B5944-CB6B-4A85-A483-DB47AEC35068}" name="Column7907"/>
    <tableColumn id="7941" xr3:uid="{813822B4-3B48-4430-A6D2-6F32083CEF1D}" name="Column7908"/>
    <tableColumn id="7942" xr3:uid="{629F7DD6-BACC-492E-ABE9-2C8702BD50CD}" name="Column7909"/>
    <tableColumn id="7943" xr3:uid="{8DACF751-53A9-474E-861A-73B47D53025E}" name="Column7910"/>
    <tableColumn id="7944" xr3:uid="{4CA7AAF0-7D7A-4976-A204-6A21DA9E6FA2}" name="Column7911"/>
    <tableColumn id="7945" xr3:uid="{95752567-EAE5-4C25-95C2-9AB1FED46719}" name="Column7912"/>
    <tableColumn id="7946" xr3:uid="{DA0E0FF1-9CB5-4838-B24B-6E5D88ABE96E}" name="Column7913"/>
    <tableColumn id="7947" xr3:uid="{E85E2661-2BFE-4F1C-B27E-A2D97BB0458C}" name="Column7914"/>
    <tableColumn id="7948" xr3:uid="{4A523C90-3155-47C7-BBF8-EE765DDFE5CB}" name="Column7915"/>
    <tableColumn id="7949" xr3:uid="{5EDF7CB5-7598-427D-8654-1116E0C3CEB8}" name="Column7916"/>
    <tableColumn id="7950" xr3:uid="{82341273-85F5-4FCA-B9E4-7B77658D76B7}" name="Column7917"/>
    <tableColumn id="7951" xr3:uid="{3A075245-A4D5-42E0-AEA4-00404A276527}" name="Column7918"/>
    <tableColumn id="7952" xr3:uid="{0359E628-C1D2-4643-9326-395A17747420}" name="Column7919"/>
    <tableColumn id="7953" xr3:uid="{248A7095-1924-4E31-9915-8B1D1724F080}" name="Column7920"/>
    <tableColumn id="7954" xr3:uid="{D18DECA6-F270-4A60-A87E-4D6BD67E6209}" name="Column7921"/>
    <tableColumn id="7955" xr3:uid="{134E9614-FC49-431E-9EF4-61BFD3EDA482}" name="Column7922"/>
    <tableColumn id="7956" xr3:uid="{1ACAB300-622E-4B31-BFB2-72E75F13E8BE}" name="Column7923"/>
    <tableColumn id="7957" xr3:uid="{BFD0A963-5880-4F6A-9343-E058C060DFEF}" name="Column7924"/>
    <tableColumn id="7958" xr3:uid="{4D90D992-B011-4E2F-AB13-98567BF9CBCB}" name="Column7925"/>
    <tableColumn id="7959" xr3:uid="{6CA374C3-0148-41F4-A973-A44F5E50CAC0}" name="Column7926"/>
    <tableColumn id="7960" xr3:uid="{74744F18-C42E-423E-9DEB-1873DC00B369}" name="Column7927"/>
    <tableColumn id="7961" xr3:uid="{8AE89B73-D3AB-4D88-BE70-59E73E9A405C}" name="Column7928"/>
    <tableColumn id="7962" xr3:uid="{CF4A2D01-7615-4D00-841F-5500D808D4DA}" name="Column7929"/>
    <tableColumn id="7963" xr3:uid="{A43EA5B8-8811-4FEF-80EC-D918D7251298}" name="Column7930"/>
    <tableColumn id="7964" xr3:uid="{B834C57C-BB26-4BC4-B7AF-6E002E5A415D}" name="Column7931"/>
    <tableColumn id="7965" xr3:uid="{8DCCE31F-8098-4F17-AB93-0D272CE99F01}" name="Column7932"/>
    <tableColumn id="7966" xr3:uid="{7935A6A3-53B1-46D3-A454-FBC635DB2A15}" name="Column7933"/>
    <tableColumn id="7967" xr3:uid="{5DF4BEC4-B740-4141-9572-AA286BE5DF36}" name="Column7934"/>
    <tableColumn id="7968" xr3:uid="{D01CDC0C-F7C0-49B7-9975-9DE45B112718}" name="Column7935"/>
    <tableColumn id="7969" xr3:uid="{3C6C343A-F1A6-4E20-A45D-8E9A8ED4DA50}" name="Column7936"/>
    <tableColumn id="7970" xr3:uid="{DE9FF949-C41B-4C90-BD92-A8431AB39601}" name="Column7937"/>
    <tableColumn id="7971" xr3:uid="{37D5A886-86E9-496E-9B99-3218D227AAD1}" name="Column7938"/>
    <tableColumn id="7972" xr3:uid="{4269ED2B-145B-462A-8CE0-A27B44F17164}" name="Column7939"/>
    <tableColumn id="7973" xr3:uid="{1CA454F5-DB2E-4B4C-A150-67D407A1E30C}" name="Column7940"/>
    <tableColumn id="7974" xr3:uid="{6FAA5100-95A2-48F6-A379-34DE4D1AF6DC}" name="Column7941"/>
    <tableColumn id="7975" xr3:uid="{8F1ADAC2-9475-45F9-89B0-B6F458F723C1}" name="Column7942"/>
    <tableColumn id="7976" xr3:uid="{CAF5449E-F2A8-46BB-A767-7DBFA1AA9427}" name="Column7943"/>
    <tableColumn id="7977" xr3:uid="{657AF530-599C-4D6C-8BEF-85C73D6BEF8E}" name="Column7944"/>
    <tableColumn id="7978" xr3:uid="{5640D539-32D4-4DDB-B143-9FF13601ED0D}" name="Column7945"/>
    <tableColumn id="7979" xr3:uid="{AB2243A0-AADF-4C8B-AF22-6AAFEC3D56AD}" name="Column7946"/>
    <tableColumn id="7980" xr3:uid="{46B9A2DB-D45B-49CE-B96E-170A2DFD8458}" name="Column7947"/>
    <tableColumn id="7981" xr3:uid="{643B475E-BA89-47BB-87DD-A0B2A05F83B8}" name="Column7948"/>
    <tableColumn id="7982" xr3:uid="{50758282-32C4-4445-A8D9-38E2F2A358F8}" name="Column7949"/>
    <tableColumn id="7983" xr3:uid="{0EF284B9-B79A-41B8-8D63-84DD9C5ABC22}" name="Column7950"/>
    <tableColumn id="7984" xr3:uid="{22E92F94-47CF-4280-BBE1-0CB3035081AF}" name="Column7951"/>
    <tableColumn id="7985" xr3:uid="{2765F5A1-4672-484A-9906-FF29A2A6C3ED}" name="Column7952"/>
    <tableColumn id="7986" xr3:uid="{465AD6A7-F478-44FE-97C2-C54875F4040F}" name="Column7953"/>
    <tableColumn id="7987" xr3:uid="{6900D689-B646-4BDA-934C-3D376587F944}" name="Column7954"/>
    <tableColumn id="7988" xr3:uid="{45E051D1-EEA3-4135-9C18-4A24ADE2750B}" name="Column7955"/>
    <tableColumn id="7989" xr3:uid="{04970A9A-A1B2-4FF6-8196-B95CF90B1E35}" name="Column7956"/>
    <tableColumn id="7990" xr3:uid="{1325EE4E-FB59-4AFA-B8F0-752A5E300982}" name="Column7957"/>
    <tableColumn id="7991" xr3:uid="{2E7F48A1-61FC-4724-8E18-E313C0948AFA}" name="Column7958"/>
    <tableColumn id="7992" xr3:uid="{0F87C267-3EB9-437D-8363-6EAD1D1CEF7B}" name="Column7959"/>
    <tableColumn id="7993" xr3:uid="{5B950E06-8892-4347-85D9-34F400CD1057}" name="Column7960"/>
    <tableColumn id="7994" xr3:uid="{DB8ED600-520D-4613-8CB7-19C1BDAD7DC6}" name="Column7961"/>
    <tableColumn id="7995" xr3:uid="{15B5A1CA-EDB7-438A-A53D-95186299D0FA}" name="Column7962"/>
    <tableColumn id="7996" xr3:uid="{C66DFD7B-A0D0-4888-B6F0-9A3436C80582}" name="Column7963"/>
    <tableColumn id="7997" xr3:uid="{81E624C2-2366-4108-80FA-B2B5A79E30D3}" name="Column7964"/>
    <tableColumn id="7998" xr3:uid="{7EB71320-11FA-4AFF-B079-28CFB48BF9FE}" name="Column7965"/>
    <tableColumn id="7999" xr3:uid="{724C4E72-C884-460D-89BD-1DAC1FE39317}" name="Column7966"/>
    <tableColumn id="8000" xr3:uid="{8DE098A7-40E2-4539-ABB7-A143E0F74383}" name="Column7967"/>
    <tableColumn id="8001" xr3:uid="{B1171B6D-F130-41C5-89DC-40F5369C2EE9}" name="Column7968"/>
    <tableColumn id="8002" xr3:uid="{7BB6F26A-47CC-4CD8-89F0-FBBAAC567FE2}" name="Column7969"/>
    <tableColumn id="8003" xr3:uid="{B6FE5002-8831-4918-923B-A14DE012AE26}" name="Column7970"/>
    <tableColumn id="8004" xr3:uid="{A0C0DB52-B9C9-4825-A5CC-3BF1E03FC9B3}" name="Column7971"/>
    <tableColumn id="8005" xr3:uid="{09165173-A10B-424C-A136-DAD8CB06EB34}" name="Column7972"/>
    <tableColumn id="8006" xr3:uid="{D38F0122-DC3B-4B06-95DD-B733CB7B51F7}" name="Column7973"/>
    <tableColumn id="8007" xr3:uid="{AE084F68-B128-44D5-9E5B-3BF53C974EBD}" name="Column7974"/>
    <tableColumn id="8008" xr3:uid="{B1A7E3AE-B339-4C66-BDE4-434147957726}" name="Column7975"/>
    <tableColumn id="8009" xr3:uid="{004CE1A0-F4A8-4904-8848-4B1FC52E4A8C}" name="Column7976"/>
    <tableColumn id="8010" xr3:uid="{472CA041-0EA2-408C-81CB-067A1AA8AC14}" name="Column7977"/>
    <tableColumn id="8011" xr3:uid="{A3322D99-77C8-4C47-B1AB-65F4F4D5E064}" name="Column7978"/>
    <tableColumn id="8012" xr3:uid="{74325423-CACB-4A9F-B7E9-9945837C6DED}" name="Column7979"/>
    <tableColumn id="8013" xr3:uid="{EA8DCE7D-1C67-4DA1-A780-D3DA315E1E6D}" name="Column7980"/>
    <tableColumn id="8014" xr3:uid="{E1807EDA-37AD-41D5-9BDB-593727BDAED9}" name="Column7981"/>
    <tableColumn id="8015" xr3:uid="{613BE234-E836-48B9-B11D-31FC71820DED}" name="Column7982"/>
    <tableColumn id="8016" xr3:uid="{C6072278-16AA-4377-88DC-5DAB206E303B}" name="Column7983"/>
    <tableColumn id="8017" xr3:uid="{FB8363E8-CC49-4908-AEE1-A163295A70A3}" name="Column7984"/>
    <tableColumn id="8018" xr3:uid="{4B586163-CC18-490F-BAB4-7962451EE006}" name="Column7985"/>
    <tableColumn id="8019" xr3:uid="{3C395BD5-20B4-41A9-92B0-3F26E90A9D03}" name="Column7986"/>
    <tableColumn id="8020" xr3:uid="{61F7BF79-DF53-4D7A-9CBD-B258E1589E46}" name="Column7987"/>
    <tableColumn id="8021" xr3:uid="{99749613-0F52-4183-B382-D6B11A7BD565}" name="Column7988"/>
    <tableColumn id="8022" xr3:uid="{897B6F74-52E6-4DB4-BB52-61D69C7FC917}" name="Column7989"/>
    <tableColumn id="8023" xr3:uid="{E79F0B3F-9551-4419-8FB1-223F9F5F4129}" name="Column7990"/>
    <tableColumn id="8024" xr3:uid="{FF39E0A1-7E9A-4FD4-AEC3-19E4DABF7544}" name="Column7991"/>
    <tableColumn id="8025" xr3:uid="{6B7F5A34-6499-4D36-BCDB-7BD3176BE754}" name="Column7992"/>
    <tableColumn id="8026" xr3:uid="{D288DEF7-C889-4ECF-92D0-9C86D3EDB7A9}" name="Column7993"/>
    <tableColumn id="8027" xr3:uid="{5B1A97B7-7548-4AEA-BEBE-3DA540DFFDE3}" name="Column7994"/>
    <tableColumn id="8028" xr3:uid="{F376FF98-1F77-4854-BF4D-3EFAC7A0E9AC}" name="Column7995"/>
    <tableColumn id="8029" xr3:uid="{1CED19D5-CC1E-41E8-9F0B-47E5745787C5}" name="Column7996"/>
    <tableColumn id="8030" xr3:uid="{D84E6806-8717-419B-B355-DF6534CD6D6E}" name="Column7997"/>
    <tableColumn id="8031" xr3:uid="{D95049D5-4543-4280-BB3A-B5554D6EED5B}" name="Column7998"/>
    <tableColumn id="8032" xr3:uid="{7C29CDA1-7158-426D-87F2-37DCF38E4059}" name="Column7999"/>
    <tableColumn id="8033" xr3:uid="{A3F0AC9C-BBB1-4760-9469-DA5C166179D0}" name="Column8000"/>
    <tableColumn id="8034" xr3:uid="{FC932539-01FF-4AFD-B1E3-E8FB1B49C50D}" name="Column8001"/>
    <tableColumn id="8035" xr3:uid="{7A476320-844A-4A05-AA6F-B9787996E283}" name="Column8002"/>
    <tableColumn id="8036" xr3:uid="{3800EAAA-D661-4749-A667-FBF0162C92DC}" name="Column8003"/>
    <tableColumn id="8037" xr3:uid="{D5ABDB4E-52CC-4A39-8692-812AEB48CD2B}" name="Column8004"/>
    <tableColumn id="8038" xr3:uid="{34E2855E-3173-4E8B-AE1F-E800FB6EAB5B}" name="Column8005"/>
    <tableColumn id="8039" xr3:uid="{B4230B5D-B7E1-41B8-AA2D-07B324B887E5}" name="Column8006"/>
    <tableColumn id="8040" xr3:uid="{B63BE1D3-F5D1-42AF-B76B-E649A7156357}" name="Column8007"/>
    <tableColumn id="8041" xr3:uid="{80311113-A3E8-413B-95D1-939FA5E4F434}" name="Column8008"/>
    <tableColumn id="8042" xr3:uid="{587E4F98-CF30-4996-93E1-17F67CF7744A}" name="Column8009"/>
    <tableColumn id="8043" xr3:uid="{B7B77348-D86A-4A64-9757-A0D46B9ACF12}" name="Column8010"/>
    <tableColumn id="8044" xr3:uid="{6BB86C11-7879-4390-83BB-F649DBB6A024}" name="Column8011"/>
    <tableColumn id="8045" xr3:uid="{10209E3C-B98E-4457-AEF0-A22B494C1E1D}" name="Column8012"/>
    <tableColumn id="8046" xr3:uid="{18988AC2-620E-43CD-A9F7-9AFD95218A9B}" name="Column8013"/>
    <tableColumn id="8047" xr3:uid="{903AD130-1CD2-4A88-9A7F-1A60831F0FC4}" name="Column8014"/>
    <tableColumn id="8048" xr3:uid="{65F69CE9-5A6A-4B83-8101-488977C79A5C}" name="Column8015"/>
    <tableColumn id="8049" xr3:uid="{58A431FE-FC78-402E-A9ED-FBF55AE66AC0}" name="Column8016"/>
    <tableColumn id="8050" xr3:uid="{6116FD91-E2DB-437A-8FB9-24FA26F08684}" name="Column8017"/>
    <tableColumn id="8051" xr3:uid="{BAD7A536-7A35-4B74-9348-6249E239D328}" name="Column8018"/>
    <tableColumn id="8052" xr3:uid="{7CA9302D-D71F-49DC-836C-53E5AA090681}" name="Column8019"/>
    <tableColumn id="8053" xr3:uid="{C7AEF71D-2D07-434F-BDCA-0456BA01D4C9}" name="Column8020"/>
    <tableColumn id="8054" xr3:uid="{30C6A884-AD47-4022-9E88-FA090CA269B5}" name="Column8021"/>
    <tableColumn id="8055" xr3:uid="{B08E6BC7-9843-46A1-98D1-203BC9031034}" name="Column8022"/>
    <tableColumn id="8056" xr3:uid="{BCBCD760-6CB7-49B4-B63E-0AC3B328B4D4}" name="Column8023"/>
    <tableColumn id="8057" xr3:uid="{DABF1DBA-D9A3-4969-93A1-E0BB5CBE704D}" name="Column8024"/>
    <tableColumn id="8058" xr3:uid="{B9B8BD1E-A5EC-41E8-841B-7855B05B9367}" name="Column8025"/>
    <tableColumn id="8059" xr3:uid="{DB2C6DD7-C209-4929-B046-6BC3CA0FE34C}" name="Column8026"/>
    <tableColumn id="8060" xr3:uid="{57F32869-E460-4226-93D0-B753E6515054}" name="Column8027"/>
    <tableColumn id="8061" xr3:uid="{F3C69705-D414-4489-AED2-95075225226B}" name="Column8028"/>
    <tableColumn id="8062" xr3:uid="{FDA5F122-0464-43CD-A294-E0D8411F8368}" name="Column8029"/>
    <tableColumn id="8063" xr3:uid="{5E8590F0-6425-467B-8F48-018D0A5C1838}" name="Column8030"/>
    <tableColumn id="8064" xr3:uid="{0BFE0CB9-C8AE-413E-B023-21523DE77E18}" name="Column8031"/>
    <tableColumn id="8065" xr3:uid="{7827F69F-E573-431F-B9D5-065354258FEE}" name="Column8032"/>
    <tableColumn id="8066" xr3:uid="{0D09C196-4275-4BBF-8214-2961BF74F820}" name="Column8033"/>
    <tableColumn id="8067" xr3:uid="{A0A4AA1E-5269-4E6A-9B52-6035907A2349}" name="Column8034"/>
    <tableColumn id="8068" xr3:uid="{1BA099D0-2C86-486F-AA13-22CE8AB89813}" name="Column8035"/>
    <tableColumn id="8069" xr3:uid="{11EB2217-2463-46E1-B028-74DB4F10D6D8}" name="Column8036"/>
    <tableColumn id="8070" xr3:uid="{8757BED3-9E4F-4B97-83FF-CD9845DDCFA4}" name="Column8037"/>
    <tableColumn id="8071" xr3:uid="{281B813E-CCB0-498C-88D5-BBC29E13394A}" name="Column8038"/>
    <tableColumn id="8072" xr3:uid="{DF7F7877-4ECE-4684-81C1-700C8B2FCCFF}" name="Column8039"/>
    <tableColumn id="8073" xr3:uid="{56EDD19B-3A46-4048-A558-89DEB50F288A}" name="Column8040"/>
    <tableColumn id="8074" xr3:uid="{7304FC82-44A0-49C5-BF26-B4942B961F98}" name="Column8041"/>
    <tableColumn id="8075" xr3:uid="{F958AA45-7001-470E-A942-7114802DCB35}" name="Column8042"/>
    <tableColumn id="8076" xr3:uid="{A69FBB66-96E8-47E3-BF7B-57FD31357F9D}" name="Column8043"/>
    <tableColumn id="8077" xr3:uid="{900BF877-8BBD-4B3C-BEE3-C12EA598AE12}" name="Column8044"/>
    <tableColumn id="8078" xr3:uid="{25F94F40-AA32-44F1-A47B-5A014EABBB3A}" name="Column8045"/>
    <tableColumn id="8079" xr3:uid="{3ABEB5A9-FEF8-4043-A3DD-DACF4B91A417}" name="Column8046"/>
    <tableColumn id="8080" xr3:uid="{AD0A144A-86D6-4CD9-91DF-3941E3AA5008}" name="Column8047"/>
    <tableColumn id="8081" xr3:uid="{46EF9620-9F2C-4114-B188-1F3F777CD99F}" name="Column8048"/>
    <tableColumn id="8082" xr3:uid="{D701C032-A25A-4ABE-9372-2347BB8133CD}" name="Column8049"/>
    <tableColumn id="8083" xr3:uid="{B871F271-19D3-472F-AF56-6D1E077F5D5D}" name="Column8050"/>
    <tableColumn id="8084" xr3:uid="{18E4E470-1178-4798-856D-95608D82D427}" name="Column8051"/>
    <tableColumn id="8085" xr3:uid="{9D935D8B-3D44-4936-8A61-97F00F588167}" name="Column8052"/>
    <tableColumn id="8086" xr3:uid="{54BCBAFA-0FBF-4A9B-964F-E91E39FCA84D}" name="Column8053"/>
    <tableColumn id="8087" xr3:uid="{31AE1D0B-E3EC-463F-B2F9-DC98F27FE6A0}" name="Column8054"/>
    <tableColumn id="8088" xr3:uid="{B98DAA9F-FFC5-409B-A0D0-2A2EB2E7BBBE}" name="Column8055"/>
    <tableColumn id="8089" xr3:uid="{3E85F86A-7B74-4EB0-95B1-880827B7F393}" name="Column8056"/>
    <tableColumn id="8090" xr3:uid="{D51F024E-F060-4D41-A506-C35E070DCE15}" name="Column8057"/>
    <tableColumn id="8091" xr3:uid="{2E6AADBB-110E-4DB1-B511-0A19CFFEA8EC}" name="Column8058"/>
    <tableColumn id="8092" xr3:uid="{6A801C19-BA8A-4AEB-A544-F5F3C44D90D2}" name="Column8059"/>
    <tableColumn id="8093" xr3:uid="{708F6C0C-098C-4BA7-B40E-DE2D683F84EF}" name="Column8060"/>
    <tableColumn id="8094" xr3:uid="{6D3D4C22-EA70-41F2-B875-27A1C153027C}" name="Column8061"/>
    <tableColumn id="8095" xr3:uid="{10AE29C5-F05D-4C4C-B956-C4C87D6F10E9}" name="Column8062"/>
    <tableColumn id="8096" xr3:uid="{8A37E5EC-B312-4429-B84D-6F7E663D5A73}" name="Column8063"/>
    <tableColumn id="8097" xr3:uid="{82A0D6A5-B32E-4A81-94B7-B00C527A023A}" name="Column8064"/>
    <tableColumn id="8098" xr3:uid="{DFCE5CC3-2E21-48A4-A1B0-C42FE33C51E7}" name="Column8065"/>
    <tableColumn id="8099" xr3:uid="{72A8294F-9DE2-4FF3-8E5C-70EA8786EC89}" name="Column8066"/>
    <tableColumn id="8100" xr3:uid="{EA16B6EB-890E-4564-890A-9664D0D855E4}" name="Column8067"/>
    <tableColumn id="8101" xr3:uid="{7685E6BE-BBF7-4B3E-B5EC-FAB4826183B7}" name="Column8068"/>
    <tableColumn id="8102" xr3:uid="{58283ECA-06DE-48A5-A7CD-E5C2D69EFB4D}" name="Column8069"/>
    <tableColumn id="8103" xr3:uid="{CDBAFFCF-CB03-434D-ACD6-6B8F098134A5}" name="Column8070"/>
    <tableColumn id="8104" xr3:uid="{1296C902-549D-48DC-895A-5654736F0221}" name="Column8071"/>
    <tableColumn id="8105" xr3:uid="{CA2D82A8-E384-4707-A8AB-387B6DB361AE}" name="Column8072"/>
    <tableColumn id="8106" xr3:uid="{4720A83D-8BD3-47D1-A94E-F783F8B76FC3}" name="Column8073"/>
    <tableColumn id="8107" xr3:uid="{59760407-E9F4-453A-B34A-F3392879F7D1}" name="Column8074"/>
    <tableColumn id="8108" xr3:uid="{5D95A31F-6178-431E-BF18-6BC0B8277161}" name="Column8075"/>
    <tableColumn id="8109" xr3:uid="{1BC09571-4B38-48E1-A9FC-46E3EFA36E61}" name="Column8076"/>
    <tableColumn id="8110" xr3:uid="{C6BF0408-126A-4C77-BA5B-E8865A77A3AC}" name="Column8077"/>
    <tableColumn id="8111" xr3:uid="{1F0AA9DF-2092-4BD6-8C8A-451E184B9F88}" name="Column8078"/>
    <tableColumn id="8112" xr3:uid="{F7E665EC-1C6E-4757-8BDC-B987D511DF0C}" name="Column8079"/>
    <tableColumn id="8113" xr3:uid="{D52E4708-9B85-4148-A974-E7A40EB82C9A}" name="Column8080"/>
    <tableColumn id="8114" xr3:uid="{BD1EF02D-FE69-41FE-BE19-9FF41B4140A0}" name="Column8081"/>
    <tableColumn id="8115" xr3:uid="{9AB29C17-0827-4763-B70E-7E86AA575D7C}" name="Column8082"/>
    <tableColumn id="8116" xr3:uid="{A0EEDAC1-DEA4-468C-8493-B81D242CFB18}" name="Column8083"/>
    <tableColumn id="8117" xr3:uid="{42E3F4A5-4407-4DFE-B243-823992C5AA7A}" name="Column8084"/>
    <tableColumn id="8118" xr3:uid="{CF35DD44-6B79-4B22-BBE9-471E9613FF95}" name="Column8085"/>
    <tableColumn id="8119" xr3:uid="{3E9FEC91-470A-4EC0-A256-20C70C1797AE}" name="Column8086"/>
    <tableColumn id="8120" xr3:uid="{1C050CF6-D149-44DF-8938-7B66F285264A}" name="Column8087"/>
    <tableColumn id="8121" xr3:uid="{9801501F-99D6-46F3-84A4-B57F5F95EF98}" name="Column8088"/>
    <tableColumn id="8122" xr3:uid="{054F6A61-4CA5-4FE3-984E-607C61223293}" name="Column8089"/>
    <tableColumn id="8123" xr3:uid="{11C94B0B-06DD-4333-9690-6F3F41B56292}" name="Column8090"/>
    <tableColumn id="8124" xr3:uid="{984C4539-9191-4BFA-B415-C80E7285E9EB}" name="Column8091"/>
    <tableColumn id="8125" xr3:uid="{E8C28F4D-C72E-40A1-BAE6-2D98CD6212E2}" name="Column8092"/>
    <tableColumn id="8126" xr3:uid="{748687E1-1514-4FFA-A72F-0B7C6C1DC188}" name="Column8093"/>
    <tableColumn id="8127" xr3:uid="{A8F50F76-61CA-4139-8942-7C601E47EBD3}" name="Column8094"/>
    <tableColumn id="8128" xr3:uid="{9AE5B2DB-5AF7-4E47-A154-FCC7629E9748}" name="Column8095"/>
    <tableColumn id="8129" xr3:uid="{0F63F473-879E-4203-B19B-44D8CAF99BE3}" name="Column8096"/>
    <tableColumn id="8130" xr3:uid="{84FAF0DE-2099-4C85-97DA-2542F77A2A66}" name="Column8097"/>
    <tableColumn id="8131" xr3:uid="{503246C2-98A8-4620-BED4-1D47A8D7DAF0}" name="Column8098"/>
    <tableColumn id="8132" xr3:uid="{B6197412-D6A9-446D-9A29-DEFD210F3A0C}" name="Column8099"/>
    <tableColumn id="8133" xr3:uid="{F5173178-B121-4E49-BB3C-6A7487B71F61}" name="Column8100"/>
    <tableColumn id="8134" xr3:uid="{4391E4CA-79FF-4010-83B5-46E2BEBEFC41}" name="Column8101"/>
    <tableColumn id="8135" xr3:uid="{2F711B89-95B8-40DB-8AAB-541DA197409F}" name="Column8102"/>
    <tableColumn id="8136" xr3:uid="{42F8C9B9-52A6-4D3C-A7D1-7E707C21FCD1}" name="Column8103"/>
    <tableColumn id="8137" xr3:uid="{C0D09C9F-0647-4351-8780-A41EB1F9E87D}" name="Column8104"/>
    <tableColumn id="8138" xr3:uid="{C12B4CE3-61C8-4875-B9B1-118778F352D0}" name="Column8105"/>
    <tableColumn id="8139" xr3:uid="{F015C5A7-BA03-4CCF-A412-B08D1E2F2DED}" name="Column8106"/>
    <tableColumn id="8140" xr3:uid="{C508A843-3069-4139-A5ED-D7739BAC621A}" name="Column8107"/>
    <tableColumn id="8141" xr3:uid="{AB608281-0AAE-4FB5-BA63-75141E42FA22}" name="Column8108"/>
    <tableColumn id="8142" xr3:uid="{FFDDECFF-7C53-4F45-81C4-C075EE302B39}" name="Column8109"/>
    <tableColumn id="8143" xr3:uid="{3984A4E3-0E83-4F1F-813A-43A4AE37E277}" name="Column8110"/>
    <tableColumn id="8144" xr3:uid="{496DA48B-446C-446B-B306-DB2068B09672}" name="Column8111"/>
    <tableColumn id="8145" xr3:uid="{06F95098-A348-4A16-B98A-C2A52B1AABAF}" name="Column8112"/>
    <tableColumn id="8146" xr3:uid="{D78F13A1-0D4E-4A08-B7AB-8A0BB5ABB0F8}" name="Column8113"/>
    <tableColumn id="8147" xr3:uid="{7466080C-23AE-47C4-90D3-149249440649}" name="Column8114"/>
    <tableColumn id="8148" xr3:uid="{A0A0C6B5-6DBA-4938-86D5-C6554C609E50}" name="Column8115"/>
    <tableColumn id="8149" xr3:uid="{825D9227-E3E3-44A1-9726-3B604F0DD6B2}" name="Column8116"/>
    <tableColumn id="8150" xr3:uid="{1CE51083-299D-43D6-AB26-857443EA5F54}" name="Column8117"/>
    <tableColumn id="8151" xr3:uid="{B1FD490B-69AA-415A-B9C0-EB69971E0CF8}" name="Column8118"/>
    <tableColumn id="8152" xr3:uid="{76657598-1E5F-4253-86E7-F00398D0CFD6}" name="Column8119"/>
    <tableColumn id="8153" xr3:uid="{52E7709F-68EC-4B17-9ACA-28B5FF4AF357}" name="Column8120"/>
    <tableColumn id="8154" xr3:uid="{C57D8538-8999-4C8B-B56E-FB75E53644EE}" name="Column8121"/>
    <tableColumn id="8155" xr3:uid="{01B47563-2D02-499B-ADA2-AF310516E599}" name="Column8122"/>
    <tableColumn id="8156" xr3:uid="{6C89058E-BED0-4E6E-8142-D0BB9D96185A}" name="Column8123"/>
    <tableColumn id="8157" xr3:uid="{03527367-6771-47A3-9786-C923F3127E39}" name="Column8124"/>
    <tableColumn id="8158" xr3:uid="{23142B60-1DF8-4F56-A30F-ACF463F1C623}" name="Column8125"/>
    <tableColumn id="8159" xr3:uid="{FF92CEB7-E70A-41B6-B41B-953E4916BE56}" name="Column8126"/>
    <tableColumn id="8160" xr3:uid="{45E0F7D1-09BB-4E4B-821D-52B1D164B3F4}" name="Column8127"/>
    <tableColumn id="8161" xr3:uid="{B07FA981-B6FD-4F05-B636-55958565C722}" name="Column8128"/>
    <tableColumn id="8162" xr3:uid="{26ED9D1A-2EEE-4965-AA53-9F718AA42F4B}" name="Column8129"/>
    <tableColumn id="8163" xr3:uid="{1B3270C2-0264-46CD-B78E-F4CB496E187B}" name="Column8130"/>
    <tableColumn id="8164" xr3:uid="{D913DC8B-02DF-49AC-ADE1-FA184D70E3D3}" name="Column8131"/>
    <tableColumn id="8165" xr3:uid="{5EC66A0E-4B67-4F12-8BB8-B105DBD3BC95}" name="Column8132"/>
    <tableColumn id="8166" xr3:uid="{F86B4156-DA09-4D19-BC4B-1748C33AD6F7}" name="Column8133"/>
    <tableColumn id="8167" xr3:uid="{051E7CD7-C8D8-414B-AD4B-E4F1236918FD}" name="Column8134"/>
    <tableColumn id="8168" xr3:uid="{45BF19B6-9ADA-4709-8DEA-417FF2BD103A}" name="Column8135"/>
    <tableColumn id="8169" xr3:uid="{00A70923-E893-43E9-8643-B4C82629A7C9}" name="Column8136"/>
    <tableColumn id="8170" xr3:uid="{91DF8D53-B3A7-4755-863F-AA00691BD153}" name="Column8137"/>
    <tableColumn id="8171" xr3:uid="{427C943F-1D31-4ACC-9F8F-2F69910FA2C6}" name="Column8138"/>
    <tableColumn id="8172" xr3:uid="{7E25E777-6D80-42EA-B4B6-3937DA181FC0}" name="Column8139"/>
    <tableColumn id="8173" xr3:uid="{8DCE046F-DEA7-4E90-A3BD-2610E1AB533F}" name="Column8140"/>
    <tableColumn id="8174" xr3:uid="{9013969C-C50A-46E8-83A7-57EF40641AB8}" name="Column8141"/>
    <tableColumn id="8175" xr3:uid="{2C3341FB-87E6-4DA8-AA62-1FAF1E9DAECC}" name="Column8142"/>
    <tableColumn id="8176" xr3:uid="{06C67413-9B24-44AD-A639-0F74217AB348}" name="Column8143"/>
    <tableColumn id="8177" xr3:uid="{571927E2-7B5C-4163-AF38-DA9AA250C430}" name="Column8144"/>
    <tableColumn id="8178" xr3:uid="{45EDC5CE-4757-4E07-B1B6-249E29B5EE15}" name="Column8145"/>
    <tableColumn id="8179" xr3:uid="{961181BC-0059-48FD-A775-294B66B6B00E}" name="Column8146"/>
    <tableColumn id="8180" xr3:uid="{21001538-3B8F-4124-B431-E2ABAA22AF9E}" name="Column8147"/>
    <tableColumn id="8181" xr3:uid="{A5166E0C-B359-4C99-9CD4-A540C236A0F0}" name="Column8148"/>
    <tableColumn id="8182" xr3:uid="{0F0515E9-F1A3-417D-AA92-4BB5713340F4}" name="Column8149"/>
    <tableColumn id="8183" xr3:uid="{DEC30B93-964C-4D03-88A8-37276032E2F8}" name="Column8150"/>
    <tableColumn id="8184" xr3:uid="{04B8FB4B-3DCB-4F2D-9874-6BECD4266671}" name="Column8151"/>
    <tableColumn id="8185" xr3:uid="{94DEFD87-4656-446D-93BC-6AFDDB6E029B}" name="Column8152"/>
    <tableColumn id="8186" xr3:uid="{0405038E-73EE-46A9-A1B3-8620209C613B}" name="Column8153"/>
    <tableColumn id="8187" xr3:uid="{DF59A482-78A4-422F-B9BF-60294B4DA2F3}" name="Column8154"/>
    <tableColumn id="8188" xr3:uid="{87F459B6-7D28-4EA2-98B1-7F32C2F638D5}" name="Column8155"/>
    <tableColumn id="8189" xr3:uid="{DB7B7AED-8278-466F-A355-5ED37C98E1DB}" name="Column8156"/>
    <tableColumn id="8190" xr3:uid="{ECA1511D-2840-43BE-922C-F524E7C4858B}" name="Column8157"/>
    <tableColumn id="8191" xr3:uid="{655842AF-F27C-4251-B59F-B3D7C75A3E9D}" name="Column8158"/>
    <tableColumn id="8192" xr3:uid="{CE58DA89-7E1E-40DE-8E57-F2990D5CF27C}" name="Column8159"/>
    <tableColumn id="8193" xr3:uid="{8692A674-25D6-4880-AE4D-C45C6855A685}" name="Column8160"/>
    <tableColumn id="8194" xr3:uid="{EC9DA25D-1AE9-45CD-AF20-AC33667B9BB8}" name="Column8161"/>
    <tableColumn id="8195" xr3:uid="{11001D94-00D2-4380-8626-973355CCB929}" name="Column8162"/>
    <tableColumn id="8196" xr3:uid="{EEED34D8-BD8E-4074-9EC8-D0B278F620A6}" name="Column8163"/>
    <tableColumn id="8197" xr3:uid="{FD7564E5-3E9C-4A25-9F83-6F5E54771368}" name="Column8164"/>
    <tableColumn id="8198" xr3:uid="{F9E53026-022E-4E9A-8DDF-05D0945F4498}" name="Column8165"/>
    <tableColumn id="8199" xr3:uid="{E79C6240-9E1B-4342-97DB-FA2EB7D42C7F}" name="Column8166"/>
    <tableColumn id="8200" xr3:uid="{EC70009C-94EF-4EB2-9D75-D0E24B30061A}" name="Column8167"/>
    <tableColumn id="8201" xr3:uid="{3FEA1CEA-FCA8-4991-94BF-56785903904F}" name="Column8168"/>
    <tableColumn id="8202" xr3:uid="{76A2B4F1-00CD-48C3-8AD4-D13A3DBA1433}" name="Column8169"/>
    <tableColumn id="8203" xr3:uid="{D1CA4A2C-48C7-450C-8AB2-CA0C2B21C78D}" name="Column8170"/>
    <tableColumn id="8204" xr3:uid="{B05871F2-F83F-47D8-860E-7FF56FFAD2B4}" name="Column8171"/>
    <tableColumn id="8205" xr3:uid="{3DC20011-6440-4E51-8CF8-2A6B2CB2D93D}" name="Column8172"/>
    <tableColumn id="8206" xr3:uid="{132265C9-8BA4-45F8-BCC3-1B78B347DAA7}" name="Column8173"/>
    <tableColumn id="8207" xr3:uid="{DF234A3A-8CD4-4F77-BB3B-8592BE91D32E}" name="Column8174"/>
    <tableColumn id="8208" xr3:uid="{6548DA14-EA41-453A-BA68-3D9C03F3233B}" name="Column8175"/>
    <tableColumn id="8209" xr3:uid="{33FACE73-C715-4A63-A60C-B5DF6796C45C}" name="Column8176"/>
    <tableColumn id="8210" xr3:uid="{F00D44BA-89C6-4E5D-BB5A-4B013B164C55}" name="Column8177"/>
    <tableColumn id="8211" xr3:uid="{CCC3F611-B750-42BA-99E0-6395DC8313EF}" name="Column8178"/>
    <tableColumn id="8212" xr3:uid="{5E8A6E65-D7B2-400E-922D-60F735DFE30A}" name="Column8179"/>
    <tableColumn id="8213" xr3:uid="{05B9EA0E-6E25-4068-A1E1-077F3243402E}" name="Column8180"/>
    <tableColumn id="8214" xr3:uid="{1364073D-4C8A-47E6-B69A-E0374F3596AC}" name="Column8181"/>
    <tableColumn id="8215" xr3:uid="{ABEB274A-474F-4651-96FE-73FCE5F46EB7}" name="Column8182"/>
    <tableColumn id="8216" xr3:uid="{6DE379E3-9360-4D4D-86E7-20035C98BE12}" name="Column8183"/>
    <tableColumn id="8217" xr3:uid="{272E0EF3-0F8E-4692-8D9A-EC16B99FD33B}" name="Column8184"/>
    <tableColumn id="8218" xr3:uid="{705330BC-658E-47C8-B89D-D2F54CA9CDA1}" name="Column8185"/>
    <tableColumn id="8219" xr3:uid="{FAEDEE1C-3A5E-4094-B288-8EAE829846C1}" name="Column8186"/>
    <tableColumn id="8220" xr3:uid="{C4103745-220A-416F-9344-41888FD53439}" name="Column8187"/>
    <tableColumn id="8221" xr3:uid="{4AC36B1B-7562-4DB5-9388-E2CD628C0266}" name="Column8188"/>
    <tableColumn id="8222" xr3:uid="{2A992A1F-3BED-42E1-B23A-B7D93EE16A11}" name="Column8189"/>
    <tableColumn id="8223" xr3:uid="{D8EE4DC0-3D5D-4443-844A-8355E466D8F5}" name="Column8190"/>
    <tableColumn id="8224" xr3:uid="{2661BA9D-4E72-4048-AA33-4F0C536D6212}" name="Column8191"/>
    <tableColumn id="8225" xr3:uid="{1C3617D7-67E6-4873-82E6-63D2A5C59241}" name="Column8192"/>
    <tableColumn id="8226" xr3:uid="{2D5456FF-35E5-4F82-B453-4F39354935BC}" name="Column8193"/>
    <tableColumn id="8227" xr3:uid="{1FAB09A0-3BC3-4FC4-877E-491218E192D6}" name="Column8194"/>
    <tableColumn id="8228" xr3:uid="{C7B52EED-1218-4A24-BC68-BE7E3C2F554E}" name="Column8195"/>
    <tableColumn id="8229" xr3:uid="{AF96EA85-A3CB-4554-ABEF-51150FF95C90}" name="Column8196"/>
    <tableColumn id="8230" xr3:uid="{B05D635C-29F5-4EEB-A0A8-D6562A553D84}" name="Column8197"/>
    <tableColumn id="8231" xr3:uid="{0F23CBE9-2F37-4F6F-B6B3-30C20FCD6FA1}" name="Column8198"/>
    <tableColumn id="8232" xr3:uid="{A173FA92-C07F-4525-BD40-8C89BDE7EA50}" name="Column8199"/>
    <tableColumn id="8233" xr3:uid="{F0AD7528-EF06-48CB-A18E-5AF14AB126F5}" name="Column8200"/>
    <tableColumn id="8234" xr3:uid="{13EE2B02-5967-4DC6-BA5E-8AB597C66FB5}" name="Column8201"/>
    <tableColumn id="8235" xr3:uid="{0968CD90-BA5E-475D-BA01-A8F39914786D}" name="Column8202"/>
    <tableColumn id="8236" xr3:uid="{F22A21C5-BDAE-4CD1-909D-E00C94871F3E}" name="Column8203"/>
    <tableColumn id="8237" xr3:uid="{6BD417FA-EBB0-43B2-81CD-D7348F3CC33E}" name="Column8204"/>
    <tableColumn id="8238" xr3:uid="{29253C3A-4976-4549-828D-816D4F51B29F}" name="Column8205"/>
    <tableColumn id="8239" xr3:uid="{2F233E01-6010-4D28-B3ED-BB40BC281A33}" name="Column8206"/>
    <tableColumn id="8240" xr3:uid="{5EDBC510-0FDE-452F-AB44-6AAD52FFEB05}" name="Column8207"/>
    <tableColumn id="8241" xr3:uid="{4CA69D01-27C3-4BAE-87C8-9EBC44AF2814}" name="Column8208"/>
    <tableColumn id="8242" xr3:uid="{DA3D31A3-FADD-47B5-882D-9C916EAD0C27}" name="Column8209"/>
    <tableColumn id="8243" xr3:uid="{FA56F685-933D-48E3-AB43-126694E23E87}" name="Column8210"/>
    <tableColumn id="8244" xr3:uid="{EE2790BC-7D55-4564-82BA-3AA0856720FC}" name="Column8211"/>
    <tableColumn id="8245" xr3:uid="{13E8C7A9-855F-4D1B-ADDB-9497C1622E81}" name="Column8212"/>
    <tableColumn id="8246" xr3:uid="{E6236F30-E097-4D1A-8BA7-6050E0EF8B4C}" name="Column8213"/>
    <tableColumn id="8247" xr3:uid="{D99DD285-CE12-49DF-B239-63BBF6FE5415}" name="Column8214"/>
    <tableColumn id="8248" xr3:uid="{7CD44A16-A08E-435C-BFF4-6FA9B09DA265}" name="Column8215"/>
    <tableColumn id="8249" xr3:uid="{91C49BAC-9215-4B26-8410-E27960D8C12A}" name="Column8216"/>
    <tableColumn id="8250" xr3:uid="{473E0DE0-D93B-45F5-B399-73DC1ED00FE2}" name="Column8217"/>
    <tableColumn id="8251" xr3:uid="{EB495CC8-E4AD-4696-928B-C3EA2AFCC5AF}" name="Column8218"/>
    <tableColumn id="8252" xr3:uid="{A7BE2358-5670-4336-9D0C-42096711DD0B}" name="Column8219"/>
    <tableColumn id="8253" xr3:uid="{85CC6B8B-04C3-48CC-ADAD-DD717715F9A5}" name="Column8220"/>
    <tableColumn id="8254" xr3:uid="{3B5BA040-6AEB-4BAA-B75F-CAC4966DA79D}" name="Column8221"/>
    <tableColumn id="8255" xr3:uid="{3F83AA69-5AE8-49A8-9E2A-BF2AB4721506}" name="Column8222"/>
    <tableColumn id="8256" xr3:uid="{5449AEC3-C318-40E8-8A9D-56F441FE2ABE}" name="Column8223"/>
    <tableColumn id="8257" xr3:uid="{08DD269D-7179-4280-8808-01EAC6830E6F}" name="Column8224"/>
    <tableColumn id="8258" xr3:uid="{CFA2CEED-DD62-4DE1-8989-BB036D1CC069}" name="Column8225"/>
    <tableColumn id="8259" xr3:uid="{42BACF50-69F4-46E6-8ED5-E72A6B7EC630}" name="Column8226"/>
    <tableColumn id="8260" xr3:uid="{9C85EA18-A1B6-4F02-ABBB-A244BA81EA1E}" name="Column8227"/>
    <tableColumn id="8261" xr3:uid="{AB56F2F2-7DDC-4E12-AEDD-F83E7F6ACD54}" name="Column8228"/>
    <tableColumn id="8262" xr3:uid="{357B3D0E-EFB4-4ACE-8ECC-31E161F4DA23}" name="Column8229"/>
    <tableColumn id="8263" xr3:uid="{EEBD3EEF-C837-4FC7-8715-BD756A65A879}" name="Column8230"/>
    <tableColumn id="8264" xr3:uid="{0FE67DD4-0553-4E14-970F-467997FF4725}" name="Column8231"/>
    <tableColumn id="8265" xr3:uid="{4D473640-B3BC-4035-9893-9E27612A77DF}" name="Column8232"/>
    <tableColumn id="8266" xr3:uid="{BCE5521F-D64C-4A5D-AC7E-DEBCF0BE8156}" name="Column8233"/>
    <tableColumn id="8267" xr3:uid="{8502C692-C917-4625-9C0D-829A1DB4F45C}" name="Column8234"/>
    <tableColumn id="8268" xr3:uid="{490762A3-EA6E-43F9-A3F5-DA355AECA20C}" name="Column8235"/>
    <tableColumn id="8269" xr3:uid="{40BCCFA1-3193-4263-850B-5B070C4AB4F8}" name="Column8236"/>
    <tableColumn id="8270" xr3:uid="{3D4DA9C4-C950-4DEE-AC61-98819C431FA7}" name="Column8237"/>
    <tableColumn id="8271" xr3:uid="{EED39E52-E131-4813-A1AF-4A5885FBB1A8}" name="Column8238"/>
    <tableColumn id="8272" xr3:uid="{A63CD912-0886-470A-B50C-079FB82BA388}" name="Column8239"/>
    <tableColumn id="8273" xr3:uid="{103DA56A-F7BD-4F0A-9B8E-284E2F1C1EB2}" name="Column8240"/>
    <tableColumn id="8274" xr3:uid="{810A7297-70A1-467F-814E-F0C702E74785}" name="Column8241"/>
    <tableColumn id="8275" xr3:uid="{6E3EE5E4-2ECA-45AD-86C1-87196825D35B}" name="Column8242"/>
    <tableColumn id="8276" xr3:uid="{54C8C0E3-96FA-4512-BA47-4ACB32F0A47C}" name="Column8243"/>
    <tableColumn id="8277" xr3:uid="{A87E2908-0744-40D5-A6BB-16DD49D77274}" name="Column8244"/>
    <tableColumn id="8278" xr3:uid="{FA2A0A2E-AA7A-4B30-AFF1-5C7DB43938AF}" name="Column8245"/>
    <tableColumn id="8279" xr3:uid="{100F7E7C-8F23-4DCE-B718-608C6E8F2650}" name="Column8246"/>
    <tableColumn id="8280" xr3:uid="{C69CCEA8-4DB9-4682-BFA6-8B67325661B3}" name="Column8247"/>
    <tableColumn id="8281" xr3:uid="{3E4B783A-D477-4B6A-9503-C29AE09D130B}" name="Column8248"/>
    <tableColumn id="8282" xr3:uid="{996C2DB1-EC68-4B12-BD46-7FFB9D1F2487}" name="Column8249"/>
    <tableColumn id="8283" xr3:uid="{BBA44107-F3CE-4467-967F-1393B6F30CB0}" name="Column8250"/>
    <tableColumn id="8284" xr3:uid="{2AE63334-872D-4926-9A7F-ED597AE50ACD}" name="Column8251"/>
    <tableColumn id="8285" xr3:uid="{9E57DB6B-73E6-4585-A45C-F52128C68382}" name="Column8252"/>
    <tableColumn id="8286" xr3:uid="{927BF1F1-F349-43B9-BCAB-2E6FF610A230}" name="Column8253"/>
    <tableColumn id="8287" xr3:uid="{51501D50-A03D-4E40-8B11-1ED9A3E1E47F}" name="Column8254"/>
    <tableColumn id="8288" xr3:uid="{97E46C09-2EE0-4D12-BF88-5DA218D9E094}" name="Column8255"/>
    <tableColumn id="8289" xr3:uid="{EE7F747F-B06C-4694-A683-E069B54763A2}" name="Column8256"/>
    <tableColumn id="8290" xr3:uid="{A0F06394-669A-486D-BFDB-317249D26D6A}" name="Column8257"/>
    <tableColumn id="8291" xr3:uid="{83F39CF4-C565-4F1E-BAA9-BEFEC04A6497}" name="Column8258"/>
    <tableColumn id="8292" xr3:uid="{CE3B3C9C-81F0-44ED-AE78-1E8BAD850BB5}" name="Column8259"/>
    <tableColumn id="8293" xr3:uid="{BAB5A995-8625-45F7-8D25-DAC90B4E0AA8}" name="Column8260"/>
    <tableColumn id="8294" xr3:uid="{CE19F3D3-5FA3-4B76-82ED-1A2E6BB9222F}" name="Column8261"/>
    <tableColumn id="8295" xr3:uid="{D495ECA3-9696-41C0-BCEB-4F592CF5673D}" name="Column8262"/>
    <tableColumn id="8296" xr3:uid="{2057468E-B276-45F4-976E-FF7D89467D90}" name="Column8263"/>
    <tableColumn id="8297" xr3:uid="{6FFC3D31-2085-40EC-AD6D-5331D27EDBDE}" name="Column8264"/>
    <tableColumn id="8298" xr3:uid="{1CB86F9D-D6CB-495E-B3E8-D3470FA23A3E}" name="Column8265"/>
    <tableColumn id="8299" xr3:uid="{7C8A1615-8DBC-44A8-9F66-2C0CEB351475}" name="Column8266"/>
    <tableColumn id="8300" xr3:uid="{4C63F764-7276-467F-AECA-94DFB4A365B2}" name="Column8267"/>
    <tableColumn id="8301" xr3:uid="{A886E0D0-4AE4-4CF2-AF6B-C399D226B44F}" name="Column8268"/>
    <tableColumn id="8302" xr3:uid="{29E72F2B-237A-4B10-856C-4A20EFAA81BB}" name="Column8269"/>
    <tableColumn id="8303" xr3:uid="{5B74A6A2-73B0-4CC0-9FC4-01BC6854F61E}" name="Column8270"/>
    <tableColumn id="8304" xr3:uid="{0E5D1655-04F2-4A62-9CE4-EBB8E9FF2327}" name="Column8271"/>
    <tableColumn id="8305" xr3:uid="{492A7DA7-2925-41D4-AD6E-072B9BAF44AE}" name="Column8272"/>
    <tableColumn id="8306" xr3:uid="{2C9E45B4-9ED5-41C7-B601-45B535CCDD4A}" name="Column8273"/>
    <tableColumn id="8307" xr3:uid="{84BD8B6D-4B94-498A-89AA-6AB6F8AFD98C}" name="Column8274"/>
    <tableColumn id="8308" xr3:uid="{5B5B4AF1-9E44-439A-AA8D-FA6AA075D668}" name="Column8275"/>
    <tableColumn id="8309" xr3:uid="{89577D25-F614-4784-A463-4362B2A86E93}" name="Column8276"/>
    <tableColumn id="8310" xr3:uid="{6408EC80-0F25-43A6-9133-2315DB43CD91}" name="Column8277"/>
    <tableColumn id="8311" xr3:uid="{E4B0B726-767B-4C65-BA72-81EAA6BE46AF}" name="Column8278"/>
    <tableColumn id="8312" xr3:uid="{F730641E-9977-409F-9085-80ED89EF7001}" name="Column8279"/>
    <tableColumn id="8313" xr3:uid="{C3BB05CE-4816-4CFF-BF40-AA51321F6F6F}" name="Column8280"/>
    <tableColumn id="8314" xr3:uid="{58254911-E71C-4E2B-931D-2E97FFA8C323}" name="Column8281"/>
    <tableColumn id="8315" xr3:uid="{28D438C4-CC8F-43CE-8AAC-B8A9F9F9DA0E}" name="Column8282"/>
    <tableColumn id="8316" xr3:uid="{90B55E4D-8887-4DFE-A2F9-0985A3888B15}" name="Column8283"/>
    <tableColumn id="8317" xr3:uid="{E4D5AB98-029E-4236-92E8-66D6C426ABD1}" name="Column8284"/>
    <tableColumn id="8318" xr3:uid="{FCFB3BF2-486E-48E7-9B26-2C62827C03AE}" name="Column8285"/>
    <tableColumn id="8319" xr3:uid="{D83B3A4D-926E-410C-AA8F-0032CDE1303F}" name="Column8286"/>
    <tableColumn id="8320" xr3:uid="{78DCD4A9-094F-4C2F-995F-7B588DDF4057}" name="Column8287"/>
    <tableColumn id="8321" xr3:uid="{AAA7FA6F-1027-4C55-8FED-CEBA906B743A}" name="Column8288"/>
    <tableColumn id="8322" xr3:uid="{BAAF477A-EC4D-4990-BE09-DB08312D4BEF}" name="Column8289"/>
    <tableColumn id="8323" xr3:uid="{A64AF113-71EF-4AB7-9B50-080132DF01C2}" name="Column8290"/>
    <tableColumn id="8324" xr3:uid="{1D2D9807-A8F9-46C0-9D62-C4908A155A42}" name="Column8291"/>
    <tableColumn id="8325" xr3:uid="{35DE89ED-D577-46EA-B2B0-EC91F71F4F19}" name="Column8292"/>
    <tableColumn id="8326" xr3:uid="{D22A5C73-54CD-4687-9941-C7D44977AA7A}" name="Column8293"/>
    <tableColumn id="8327" xr3:uid="{471E1473-A623-4175-94CF-AAD36B62A68D}" name="Column8294"/>
    <tableColumn id="8328" xr3:uid="{99FCA3C8-281A-4641-84B6-333624BB6499}" name="Column8295"/>
    <tableColumn id="8329" xr3:uid="{44575E1C-D343-4BBB-BBCC-01DB05076BD4}" name="Column8296"/>
    <tableColumn id="8330" xr3:uid="{C3BAB0B9-CCD6-49EE-B28F-E626BA2B087B}" name="Column8297"/>
    <tableColumn id="8331" xr3:uid="{9CED243D-E296-4789-B7FA-715FBBF77AC4}" name="Column8298"/>
    <tableColumn id="8332" xr3:uid="{7C4850F2-E273-4FC4-9953-E1A3939CE1A4}" name="Column8299"/>
    <tableColumn id="8333" xr3:uid="{2F8E2912-ECAC-4C0A-AE9C-A25CFF481FDD}" name="Column8300"/>
    <tableColumn id="8334" xr3:uid="{2BD22604-B14B-4F6B-B2BA-76F51CFC7568}" name="Column8301"/>
    <tableColumn id="8335" xr3:uid="{885D6B6F-699D-4DCA-AA2C-386817A7E864}" name="Column8302"/>
    <tableColumn id="8336" xr3:uid="{6C49F7D0-EF88-49EF-9BDF-D6FF4180F7C4}" name="Column8303"/>
    <tableColumn id="8337" xr3:uid="{0E82E841-676E-48DF-9864-856C6B026E61}" name="Column8304"/>
    <tableColumn id="8338" xr3:uid="{DD8C16C0-F887-4A61-BE1C-FA8A07CACD5E}" name="Column8305"/>
    <tableColumn id="8339" xr3:uid="{F15383F4-9BE8-46AE-AFD7-710CCA3E2B6F}" name="Column8306"/>
    <tableColumn id="8340" xr3:uid="{C98453B1-ED9A-436D-AEAC-43AAE0E43749}" name="Column8307"/>
    <tableColumn id="8341" xr3:uid="{5BC3E056-5849-4897-8265-8F1367DC4008}" name="Column8308"/>
    <tableColumn id="8342" xr3:uid="{05A761A1-E1EC-4FAA-9C8F-DA802EFA02AA}" name="Column8309"/>
    <tableColumn id="8343" xr3:uid="{B9C31E00-7B34-4657-8DFE-2E8EA97B0460}" name="Column8310"/>
    <tableColumn id="8344" xr3:uid="{15C3BEB7-58DD-4151-B838-250317788EA4}" name="Column8311"/>
    <tableColumn id="8345" xr3:uid="{9A5F6AEB-8459-444E-961D-9E9E9597A8B6}" name="Column8312"/>
    <tableColumn id="8346" xr3:uid="{C79031B5-9868-47EB-A2BB-DF8900D3FC9D}" name="Column8313"/>
    <tableColumn id="8347" xr3:uid="{BD75CEA2-7C73-43F3-B334-695412F6C4CC}" name="Column8314"/>
    <tableColumn id="8348" xr3:uid="{AD7ABE70-7019-4435-A334-098C53E20D16}" name="Column8315"/>
    <tableColumn id="8349" xr3:uid="{41EDD07A-71C4-4896-9225-5D5FC0F46BA4}" name="Column8316"/>
    <tableColumn id="8350" xr3:uid="{7ACE84D2-F6B2-42F9-BD29-44B4858581E2}" name="Column8317"/>
    <tableColumn id="8351" xr3:uid="{541A6023-3D47-49AC-844A-969516DBB744}" name="Column8318"/>
    <tableColumn id="8352" xr3:uid="{FACFEECA-97F4-4793-BA4E-BE5C1377CB73}" name="Column8319"/>
    <tableColumn id="8353" xr3:uid="{C4A69C68-34B6-4EC9-A170-B8CDBF87A95A}" name="Column8320"/>
    <tableColumn id="8354" xr3:uid="{71C9B15C-2950-40A4-98BD-3FF77B62FAD6}" name="Column8321"/>
    <tableColumn id="8355" xr3:uid="{A18414A9-9231-4626-9309-DABB33A291C2}" name="Column8322"/>
    <tableColumn id="8356" xr3:uid="{204653A0-7758-4233-8D15-322A4EE5C9CA}" name="Column8323"/>
    <tableColumn id="8357" xr3:uid="{13F97F5D-77FB-4E3D-AE09-B8D9C9663E35}" name="Column8324"/>
    <tableColumn id="8358" xr3:uid="{FCBF6AD4-2B09-4973-8DC9-CE5221A62ECD}" name="Column8325"/>
    <tableColumn id="8359" xr3:uid="{E15D25F3-1AAC-4FDD-8C49-C4F17B4BD28B}" name="Column8326"/>
    <tableColumn id="8360" xr3:uid="{922CEB50-613F-42F9-AF19-B755F5933078}" name="Column8327"/>
    <tableColumn id="8361" xr3:uid="{F2ECA3CF-E766-4783-A7EB-90454AB29887}" name="Column8328"/>
    <tableColumn id="8362" xr3:uid="{2D99E6ED-9835-429F-819E-4BF1019808C6}" name="Column8329"/>
    <tableColumn id="8363" xr3:uid="{167550CF-D20A-448B-9451-7B5179E0A821}" name="Column8330"/>
    <tableColumn id="8364" xr3:uid="{5EC51B54-F155-4B0A-8E81-0BDC2246C4DC}" name="Column8331"/>
    <tableColumn id="8365" xr3:uid="{57D26551-2745-4DF0-AF2E-E2F6649F3EFB}" name="Column8332"/>
    <tableColumn id="8366" xr3:uid="{EECE3927-D26B-402E-A94A-32C9ACF59C08}" name="Column8333"/>
    <tableColumn id="8367" xr3:uid="{B2AB7479-86B6-4A0E-8CC2-9A71481D086D}" name="Column8334"/>
    <tableColumn id="8368" xr3:uid="{EFF7A9FA-F23D-44AF-8543-6F2B2AE38178}" name="Column8335"/>
    <tableColumn id="8369" xr3:uid="{C5210A7F-0F32-418B-A838-17993933D4E1}" name="Column8336"/>
    <tableColumn id="8370" xr3:uid="{8102D19D-E3C8-4ABE-8C0B-20BC882EE4AE}" name="Column8337"/>
    <tableColumn id="8371" xr3:uid="{A1750F26-500E-4324-9760-826458F03A5F}" name="Column8338"/>
    <tableColumn id="8372" xr3:uid="{AAC2104C-1AE6-4041-9493-B661C01A6EC5}" name="Column8339"/>
    <tableColumn id="8373" xr3:uid="{BB6EC39B-1017-41BA-9B89-6A2A5E37C82B}" name="Column8340"/>
    <tableColumn id="8374" xr3:uid="{8CF3A7A9-4384-416A-9E15-AE9B1C054299}" name="Column8341"/>
    <tableColumn id="8375" xr3:uid="{F161410F-0B7B-4F25-A5C7-3091F37F7B55}" name="Column8342"/>
    <tableColumn id="8376" xr3:uid="{A57AB18D-0AA3-4E2C-8070-1C6F036D5B41}" name="Column8343"/>
    <tableColumn id="8377" xr3:uid="{1E178CA6-4231-46C9-A33B-F83D0D5CA2FD}" name="Column8344"/>
    <tableColumn id="8378" xr3:uid="{17C8199B-4533-43A9-9552-ED29A53489DB}" name="Column8345"/>
    <tableColumn id="8379" xr3:uid="{BF371BDC-CB0E-4EAC-BBF5-245F4902E3E8}" name="Column8346"/>
    <tableColumn id="8380" xr3:uid="{3E1FEAD9-C29F-4144-AEF5-A558392EEE0A}" name="Column8347"/>
    <tableColumn id="8381" xr3:uid="{9BAC3B16-B273-4CF7-93B7-0FA9EAD42160}" name="Column8348"/>
    <tableColumn id="8382" xr3:uid="{AFF9DF08-D955-432D-930F-0CE76EF2F92D}" name="Column8349"/>
    <tableColumn id="8383" xr3:uid="{9A5F7B9C-1EAB-421D-83D4-095D01384E1D}" name="Column8350"/>
    <tableColumn id="8384" xr3:uid="{D9E4A099-1BF2-4D03-8377-7532FD7EB351}" name="Column8351"/>
    <tableColumn id="8385" xr3:uid="{1C147A34-5392-4B13-B83D-A834A458B449}" name="Column8352"/>
    <tableColumn id="8386" xr3:uid="{3F6BC439-0A94-4FCF-9822-270A798DE0BB}" name="Column8353"/>
    <tableColumn id="8387" xr3:uid="{ED5ABDD4-F7B0-4410-BF5F-ABB53EAA8EA5}" name="Column8354"/>
    <tableColumn id="8388" xr3:uid="{248947AC-9839-4A54-89B7-A6FD4C19DC64}" name="Column8355"/>
    <tableColumn id="8389" xr3:uid="{F7B8D8D0-1D5D-42A1-8470-5B9F31813D8F}" name="Column8356"/>
    <tableColumn id="8390" xr3:uid="{87F406B8-E4EB-4E13-BCB6-C1C7FEC6E1CE}" name="Column8357"/>
    <tableColumn id="8391" xr3:uid="{63CD302B-564F-4422-A7F6-70E4E4631DA5}" name="Column8358"/>
    <tableColumn id="8392" xr3:uid="{4E71D596-0E93-4E87-BE69-F935D237702D}" name="Column8359"/>
    <tableColumn id="8393" xr3:uid="{0C5D72EC-5A0B-43F1-B0E6-9873CC40B30C}" name="Column8360"/>
    <tableColumn id="8394" xr3:uid="{F6D64485-EA50-4A5E-89CA-942046D4ED95}" name="Column8361"/>
    <tableColumn id="8395" xr3:uid="{7CE87F82-B349-493F-969F-533390C2B8F0}" name="Column8362"/>
    <tableColumn id="8396" xr3:uid="{205D8024-8C8E-40BD-BC40-CE7779929CDE}" name="Column8363"/>
    <tableColumn id="8397" xr3:uid="{0760650D-B7F0-4075-9E1E-B93B9ADB961A}" name="Column8364"/>
    <tableColumn id="8398" xr3:uid="{187ECB87-CE7A-44A2-9B17-B3B0893D8C08}" name="Column8365"/>
    <tableColumn id="8399" xr3:uid="{4A0FEB52-F6F7-48AD-85CE-5F73763B8C04}" name="Column8366"/>
    <tableColumn id="8400" xr3:uid="{53861DFB-B2CB-4E2D-8410-B7D04ED0EC21}" name="Column8367"/>
    <tableColumn id="8401" xr3:uid="{1B1442FC-030F-4F2A-BB2C-532142A62423}" name="Column8368"/>
    <tableColumn id="8402" xr3:uid="{BE7BF17C-6F8D-4F55-A16B-E719B3E9E042}" name="Column8369"/>
    <tableColumn id="8403" xr3:uid="{D9D30C17-FD42-4114-BF9C-020815905C19}" name="Column8370"/>
    <tableColumn id="8404" xr3:uid="{7C427AF1-B312-4FFC-AE88-C0FB2C0C71AD}" name="Column8371"/>
    <tableColumn id="8405" xr3:uid="{78DF33CC-804F-4A69-95FF-BAA4CD54AD75}" name="Column8372"/>
    <tableColumn id="8406" xr3:uid="{DAE9B1FC-BDA7-4371-8C83-616226C0B894}" name="Column8373"/>
    <tableColumn id="8407" xr3:uid="{7DD6B4CA-25FC-4F0B-AC1D-84F0AD823A6F}" name="Column8374"/>
    <tableColumn id="8408" xr3:uid="{68E0BEE2-5F38-4FB0-8068-D599988F3ECC}" name="Column8375"/>
    <tableColumn id="8409" xr3:uid="{7AE2D3E4-1B75-48BB-9741-F5A40CF49B34}" name="Column8376"/>
    <tableColumn id="8410" xr3:uid="{9031AA6E-AD37-4CFB-AD33-29CF92EACDE0}" name="Column8377"/>
    <tableColumn id="8411" xr3:uid="{E0D0E450-7EEC-422A-B472-CA544D370732}" name="Column8378"/>
    <tableColumn id="8412" xr3:uid="{0A1BCA9F-669C-49CA-A1CC-4CE023C868F2}" name="Column8379"/>
    <tableColumn id="8413" xr3:uid="{48ED950F-F58F-47C6-8FD5-39F3614665D2}" name="Column8380"/>
    <tableColumn id="8414" xr3:uid="{9E427BA7-8432-4145-821F-3B3FD32F7BCE}" name="Column8381"/>
    <tableColumn id="8415" xr3:uid="{8003B57E-5F30-451D-97E3-3F805CC38F54}" name="Column8382"/>
    <tableColumn id="8416" xr3:uid="{DD7EE03B-B2D5-44D7-BEBF-43155047ABC9}" name="Column8383"/>
    <tableColumn id="8417" xr3:uid="{9A0E0FC4-56CB-48DA-B897-B676EEF8A792}" name="Column8384"/>
    <tableColumn id="8418" xr3:uid="{50DBDA40-3D5F-404F-80DF-DED043F3FFDA}" name="Column8385"/>
    <tableColumn id="8419" xr3:uid="{463CF01D-383C-4F59-871F-6775989A186B}" name="Column8386"/>
    <tableColumn id="8420" xr3:uid="{30962641-135D-4095-BA25-58C817B1D606}" name="Column8387"/>
    <tableColumn id="8421" xr3:uid="{05DB244F-7F9A-453D-BB89-DB4CD7BDEA64}" name="Column8388"/>
    <tableColumn id="8422" xr3:uid="{F3D6864F-9B03-4546-9DD7-BAE0C21E7140}" name="Column8389"/>
    <tableColumn id="8423" xr3:uid="{A9AAFEAD-8467-432B-90EC-9F666EE7156E}" name="Column8390"/>
    <tableColumn id="8424" xr3:uid="{3F3597A4-127C-413A-BBE6-686624E9AB77}" name="Column8391"/>
    <tableColumn id="8425" xr3:uid="{E47C2053-69F7-4D5A-A7B0-924C3F102400}" name="Column8392"/>
    <tableColumn id="8426" xr3:uid="{3C374E2E-BB45-4A98-805F-029F29B450E3}" name="Column8393"/>
    <tableColumn id="8427" xr3:uid="{180FC1B1-10DD-4E76-9BD4-DC3419EFDE45}" name="Column8394"/>
    <tableColumn id="8428" xr3:uid="{F4E447C1-6B6A-4856-92E0-8137B81438B9}" name="Column8395"/>
    <tableColumn id="8429" xr3:uid="{110AAAF6-93C1-4662-935A-B93C6E1050ED}" name="Column8396"/>
    <tableColumn id="8430" xr3:uid="{024E4024-428C-4240-BA64-7192C8FF449C}" name="Column8397"/>
    <tableColumn id="8431" xr3:uid="{547B7168-3BDA-4CA3-8899-697D17AE734C}" name="Column8398"/>
    <tableColumn id="8432" xr3:uid="{D26942C1-7182-419F-BCD6-FAA6207852EA}" name="Column8399"/>
    <tableColumn id="8433" xr3:uid="{5D270789-963B-4995-A1E6-3E7DB7C12E6E}" name="Column8400"/>
    <tableColumn id="8434" xr3:uid="{6AAFE14C-7517-4851-BCE0-29D4DBF34448}" name="Column8401"/>
    <tableColumn id="8435" xr3:uid="{B9210B32-1776-424B-98C9-7CC07EB03112}" name="Column8402"/>
    <tableColumn id="8436" xr3:uid="{5F904015-60EF-4B83-B679-F66984BD6FEC}" name="Column8403"/>
    <tableColumn id="8437" xr3:uid="{687C7EB8-CA69-4353-B121-CD7FC565CEF2}" name="Column8404"/>
    <tableColumn id="8438" xr3:uid="{9794A0FF-744C-4FAF-84D9-6619D670F729}" name="Column8405"/>
    <tableColumn id="8439" xr3:uid="{9F3D3583-F23C-452A-9F85-A3FD4326550C}" name="Column8406"/>
    <tableColumn id="8440" xr3:uid="{44F6EE26-4916-4ECE-AA96-E3591C541171}" name="Column8407"/>
    <tableColumn id="8441" xr3:uid="{4D5AE7DF-7A63-4577-8CED-728EA340D4B6}" name="Column8408"/>
    <tableColumn id="8442" xr3:uid="{407CB157-7D20-41B9-9C09-60F11A194322}" name="Column8409"/>
    <tableColumn id="8443" xr3:uid="{DEA89177-4B22-4CD4-96E8-1674CFFFB6FF}" name="Column8410"/>
    <tableColumn id="8444" xr3:uid="{BB1646E4-1C8E-4679-B67F-0AB6A87C3EDC}" name="Column8411"/>
    <tableColumn id="8445" xr3:uid="{DE7E816F-C62B-4DEA-8A51-67392B53D4A1}" name="Column8412"/>
    <tableColumn id="8446" xr3:uid="{37963885-F286-48F8-B955-77659E9596C7}" name="Column8413"/>
    <tableColumn id="8447" xr3:uid="{1126B14D-C8F9-4EFD-ACA3-8CD089F3C298}" name="Column8414"/>
    <tableColumn id="8448" xr3:uid="{04CEEF4B-70C6-48BD-9EED-5F7C7A740BA9}" name="Column8415"/>
    <tableColumn id="8449" xr3:uid="{006EF679-8B8F-4DEC-9DB6-8CD436EB83A2}" name="Column8416"/>
    <tableColumn id="8450" xr3:uid="{731FCE8B-D97B-4CB4-9C4C-17981395780E}" name="Column8417"/>
    <tableColumn id="8451" xr3:uid="{0CBBAD65-FD8E-4775-8C3C-4D8AA29ACE4E}" name="Column8418"/>
    <tableColumn id="8452" xr3:uid="{FCE17B5F-FF25-42CC-AD92-976785759E5D}" name="Column8419"/>
    <tableColumn id="8453" xr3:uid="{5CC3821A-F1C7-4F3D-9E6F-7485E57AE6AA}" name="Column8420"/>
    <tableColumn id="8454" xr3:uid="{9D519E97-787F-42B5-82D9-4E4127411AD5}" name="Column8421"/>
    <tableColumn id="8455" xr3:uid="{EADF1CDA-BB67-4651-8FDA-99182D353F2D}" name="Column8422"/>
    <tableColumn id="8456" xr3:uid="{6B270232-6D1C-4980-8926-E0D51E5B8818}" name="Column8423"/>
    <tableColumn id="8457" xr3:uid="{A096DD77-DAD7-42F0-AC21-CE404D3D7611}" name="Column8424"/>
    <tableColumn id="8458" xr3:uid="{6C03A706-FE3E-4127-AF67-983E2D289CC8}" name="Column8425"/>
    <tableColumn id="8459" xr3:uid="{052FD2DD-CBFB-4C0A-8EFF-3FFE78965B6C}" name="Column8426"/>
    <tableColumn id="8460" xr3:uid="{AE5F5A58-85A8-4425-A6C2-75CDE4BE0438}" name="Column8427"/>
    <tableColumn id="8461" xr3:uid="{DD8193F5-DADF-49C3-8E27-FADB49F3A6EE}" name="Column8428"/>
    <tableColumn id="8462" xr3:uid="{C614F0AB-CA79-424E-876E-6F1B07BAC0B9}" name="Column8429"/>
    <tableColumn id="8463" xr3:uid="{C4CF7ED4-7B01-4850-9073-10ECA646CD1F}" name="Column8430"/>
    <tableColumn id="8464" xr3:uid="{DB3F2379-812B-4A66-BC89-6E7D1830FA19}" name="Column8431"/>
    <tableColumn id="8465" xr3:uid="{64C6A587-61C9-4D61-886D-DD6896E986BA}" name="Column8432"/>
    <tableColumn id="8466" xr3:uid="{00B9A365-E0BB-4614-975A-B672EE2F9FDD}" name="Column8433"/>
    <tableColumn id="8467" xr3:uid="{4C2103A9-1EC0-4CBD-B22C-07927F428E03}" name="Column8434"/>
    <tableColumn id="8468" xr3:uid="{BD134E89-4052-456C-854F-B0B982487071}" name="Column8435"/>
    <tableColumn id="8469" xr3:uid="{60A7A391-E318-4138-B042-4CF4EDC98B84}" name="Column8436"/>
    <tableColumn id="8470" xr3:uid="{907B01CD-2E56-4601-873F-5DFE6912EE72}" name="Column8437"/>
    <tableColumn id="8471" xr3:uid="{96AD82BC-FD7E-4B0C-8189-F643586474B2}" name="Column8438"/>
    <tableColumn id="8472" xr3:uid="{45B7C97A-4011-42E1-8AF4-C426246698C8}" name="Column8439"/>
    <tableColumn id="8473" xr3:uid="{51452142-49CC-494D-B096-22ADD7A03946}" name="Column8440"/>
    <tableColumn id="8474" xr3:uid="{9330FB17-1583-4828-ADA0-A7C981181490}" name="Column8441"/>
    <tableColumn id="8475" xr3:uid="{652F767E-54B1-4776-BB8B-3935F1F34801}" name="Column8442"/>
    <tableColumn id="8476" xr3:uid="{A4D4ABFF-54ED-423B-88C8-984927153A1E}" name="Column8443"/>
    <tableColumn id="8477" xr3:uid="{FFC3B7CA-7024-40CD-AFC1-BCC25C9C09B0}" name="Column8444"/>
    <tableColumn id="8478" xr3:uid="{B3296098-425D-4AF3-849D-A357F14D4403}" name="Column8445"/>
    <tableColumn id="8479" xr3:uid="{B4C44F83-BA58-4F67-AA6D-81668CE4464E}" name="Column8446"/>
    <tableColumn id="8480" xr3:uid="{167DC0F2-6DD0-46DF-9620-B3647F6AE009}" name="Column8447"/>
    <tableColumn id="8481" xr3:uid="{33C158FE-8613-4A22-8EDD-629387995620}" name="Column8448"/>
    <tableColumn id="8482" xr3:uid="{5CB9E30A-6465-4BEE-A5F5-8DFA75EC536C}" name="Column8449"/>
    <tableColumn id="8483" xr3:uid="{86C63695-0AAA-4269-A48D-233A36C83C78}" name="Column8450"/>
    <tableColumn id="8484" xr3:uid="{E24C3E53-7237-4CB0-9A24-F29E7BFDF541}" name="Column8451"/>
    <tableColumn id="8485" xr3:uid="{430195E4-3739-4995-A217-70362AB52183}" name="Column8452"/>
    <tableColumn id="8486" xr3:uid="{DDE3917C-0C7C-4D5D-891E-3454D1A06C41}" name="Column8453"/>
    <tableColumn id="8487" xr3:uid="{0DA6A6E8-5C1F-43C2-A704-347452367096}" name="Column8454"/>
    <tableColumn id="8488" xr3:uid="{AC81A06F-99CA-4FEB-88D0-046A7E1A5B40}" name="Column8455"/>
    <tableColumn id="8489" xr3:uid="{6BE0B80C-C85E-4C20-B2F2-485A46E39991}" name="Column8456"/>
    <tableColumn id="8490" xr3:uid="{F346932D-2F1C-44F6-9800-590581469783}" name="Column8457"/>
    <tableColumn id="8491" xr3:uid="{AF6D5B00-052B-4F3E-975C-1BFA0AC85418}" name="Column8458"/>
    <tableColumn id="8492" xr3:uid="{DC1AF546-5B92-44AD-8715-0C1C5F867E00}" name="Column8459"/>
    <tableColumn id="8493" xr3:uid="{90463CD6-BFAD-4D0A-85B9-CF6CE2771517}" name="Column8460"/>
    <tableColumn id="8494" xr3:uid="{103A60DB-A87D-4151-A87E-DAA9187D497A}" name="Column8461"/>
    <tableColumn id="8495" xr3:uid="{3C3260CF-BDCF-451F-9004-0BD6DC3D3697}" name="Column8462"/>
    <tableColumn id="8496" xr3:uid="{B4333A2E-CFEB-4C9C-A312-B859A2463687}" name="Column8463"/>
    <tableColumn id="8497" xr3:uid="{8A62ED18-4CD8-40E3-BEC7-F14C331887FD}" name="Column8464"/>
    <tableColumn id="8498" xr3:uid="{174444D4-0524-4F64-AE07-48E9D7C26971}" name="Column8465"/>
    <tableColumn id="8499" xr3:uid="{FF302699-7DB4-4B60-B662-48982ED6EA03}" name="Column8466"/>
    <tableColumn id="8500" xr3:uid="{A948A9E6-6BEA-4FA8-AF5D-8DEB141F0A82}" name="Column8467"/>
    <tableColumn id="8501" xr3:uid="{AF641CD9-7B4E-4483-8FA9-DDE4693D458B}" name="Column8468"/>
    <tableColumn id="8502" xr3:uid="{26417BA6-BF34-440A-83B3-0392BF1BEB2B}" name="Column8469"/>
    <tableColumn id="8503" xr3:uid="{8FA0C97C-7641-4884-A4EE-627D70E5D91A}" name="Column8470"/>
    <tableColumn id="8504" xr3:uid="{93B7F01B-22FB-4C73-B9F0-3CA771BED9E4}" name="Column8471"/>
    <tableColumn id="8505" xr3:uid="{1C5E8810-237F-48C6-A611-6D86CD5296FD}" name="Column8472"/>
    <tableColumn id="8506" xr3:uid="{44FD49E5-ABF3-4743-8DC0-7CC25002680E}" name="Column8473"/>
    <tableColumn id="8507" xr3:uid="{2C4639F4-7492-4AFA-97D3-2E8799C778E1}" name="Column8474"/>
    <tableColumn id="8508" xr3:uid="{38FFCB15-CFF8-4548-A05B-508CAC4A86A2}" name="Column8475"/>
    <tableColumn id="8509" xr3:uid="{60940C91-70DD-41DF-939D-82BB8B06C11C}" name="Column8476"/>
    <tableColumn id="8510" xr3:uid="{AAE5D5FC-7E0A-4B1C-959C-2F0176DEBB5D}" name="Column8477"/>
    <tableColumn id="8511" xr3:uid="{6EFED79D-28F4-4BCA-BE3C-1D300CDA2AEB}" name="Column8478"/>
    <tableColumn id="8512" xr3:uid="{F0694844-9425-4EFA-9A3D-66F655E503A2}" name="Column8479"/>
    <tableColumn id="8513" xr3:uid="{2E3732ED-5924-42D7-9C4D-22EF516A1F61}" name="Column8480"/>
    <tableColumn id="8514" xr3:uid="{2D0EB319-A23A-469B-878B-784E883A84AE}" name="Column8481"/>
    <tableColumn id="8515" xr3:uid="{135E3A12-C3B6-4BF7-8652-9E4A4D3CD92A}" name="Column8482"/>
    <tableColumn id="8516" xr3:uid="{7C7CE500-8A10-41EC-995E-3274245EE889}" name="Column8483"/>
    <tableColumn id="8517" xr3:uid="{7523D71B-51EF-462C-A7E6-8D7C8910EEFA}" name="Column8484"/>
    <tableColumn id="8518" xr3:uid="{F229BF0D-706A-47C1-9D42-A82214C21721}" name="Column8485"/>
    <tableColumn id="8519" xr3:uid="{830AA843-E28F-46B8-8E1B-2DD060B27F54}" name="Column8486"/>
    <tableColumn id="8520" xr3:uid="{D5E42970-B625-4567-ADC7-70D6955C3AEB}" name="Column8487"/>
    <tableColumn id="8521" xr3:uid="{57B125D5-4ABA-4D4C-BFD5-B4F1EF7F6EBF}" name="Column8488"/>
    <tableColumn id="8522" xr3:uid="{76DCB138-C54D-4000-8F1B-4BBBEC8E2973}" name="Column8489"/>
    <tableColumn id="8523" xr3:uid="{288CED0E-7F77-459A-832F-B67A43306009}" name="Column8490"/>
    <tableColumn id="8524" xr3:uid="{FACFCC27-5162-477E-915C-36265A21D035}" name="Column8491"/>
    <tableColumn id="8525" xr3:uid="{0F9F98CB-EBF5-46E3-A420-F7F95C7DA363}" name="Column8492"/>
    <tableColumn id="8526" xr3:uid="{1E3E66FE-3AC0-4FA1-AD2D-88C05C6B813B}" name="Column8493"/>
    <tableColumn id="8527" xr3:uid="{608EDF5D-C876-4A48-AE1D-B9F3C9E93221}" name="Column8494"/>
    <tableColumn id="8528" xr3:uid="{842B85AC-0937-476D-A0E2-7D8D60D1BD56}" name="Column8495"/>
    <tableColumn id="8529" xr3:uid="{DA153773-67E0-4B8B-8733-379F79FC42CD}" name="Column8496"/>
    <tableColumn id="8530" xr3:uid="{DE492358-4AAB-4124-97F8-71471394CFC3}" name="Column8497"/>
    <tableColumn id="8531" xr3:uid="{5E47028C-15AB-44F3-A7E5-BC3E1D6FEC3E}" name="Column8498"/>
    <tableColumn id="8532" xr3:uid="{7A1DD526-CB5B-49AD-8A83-84BFF560D631}" name="Column8499"/>
    <tableColumn id="8533" xr3:uid="{FFA427B6-DB31-41A7-828D-9F6672BB094F}" name="Column8500"/>
    <tableColumn id="8534" xr3:uid="{6EB98D01-5DA1-4755-8739-0FCD652899F5}" name="Column8501"/>
    <tableColumn id="8535" xr3:uid="{D8A3653A-99E3-43C2-A97D-2CD9670D7207}" name="Column8502"/>
    <tableColumn id="8536" xr3:uid="{4E8A7D19-8980-4749-9BD6-AD2D7B8F896A}" name="Column8503"/>
    <tableColumn id="8537" xr3:uid="{2D012076-D42A-40E6-9741-7FF984891B52}" name="Column8504"/>
    <tableColumn id="8538" xr3:uid="{107C71A6-501D-45B9-8A46-CF7BF589F462}" name="Column8505"/>
    <tableColumn id="8539" xr3:uid="{94D42F5C-D8A2-4EFE-BD91-022D16E7160A}" name="Column8506"/>
    <tableColumn id="8540" xr3:uid="{8D3D72AE-5DD5-41CE-8754-97EB709F2E2B}" name="Column8507"/>
    <tableColumn id="8541" xr3:uid="{3030AD43-2AAD-4DBA-8AE5-25819A83AF4E}" name="Column8508"/>
    <tableColumn id="8542" xr3:uid="{CC055C88-5485-478D-AAE6-A084CC9068EF}" name="Column8509"/>
    <tableColumn id="8543" xr3:uid="{AF011777-1BD4-4177-8567-4B32736F7E58}" name="Column8510"/>
    <tableColumn id="8544" xr3:uid="{E5A96B68-0FAC-43A7-9DDC-C7D2E4E8C05D}" name="Column8511"/>
    <tableColumn id="8545" xr3:uid="{AF171780-5B7A-446D-ADDD-C684414841AE}" name="Column8512"/>
    <tableColumn id="8546" xr3:uid="{FAEBB7BD-07C2-4CA0-A7E2-EAF9767469FD}" name="Column8513"/>
    <tableColumn id="8547" xr3:uid="{B594F91F-E9DA-498D-82C3-0947D926A55D}" name="Column8514"/>
    <tableColumn id="8548" xr3:uid="{FE1E3D03-B2A4-4D87-AAA1-19AB93EB2590}" name="Column8515"/>
    <tableColumn id="8549" xr3:uid="{7E7A4E23-013E-4C6B-AE2E-843AAFB7DF29}" name="Column8516"/>
    <tableColumn id="8550" xr3:uid="{E31972D4-F36C-4937-A910-7C7F2E8FBCC8}" name="Column8517"/>
    <tableColumn id="8551" xr3:uid="{A9A92C9E-1C8B-4865-87E0-2E5577B1BBFC}" name="Column8518"/>
    <tableColumn id="8552" xr3:uid="{8BB9396A-53CA-47BB-8630-DD51927B8C2D}" name="Column8519"/>
    <tableColumn id="8553" xr3:uid="{3B404234-2967-46D6-91C9-6F27DD185020}" name="Column8520"/>
    <tableColumn id="8554" xr3:uid="{069C4285-D689-4F98-9384-286B71284405}" name="Column8521"/>
    <tableColumn id="8555" xr3:uid="{8108F544-9C52-4A82-A54E-DD61946D2A94}" name="Column8522"/>
    <tableColumn id="8556" xr3:uid="{2E56C57B-4F08-45A7-9C91-42AA7F05C72E}" name="Column8523"/>
    <tableColumn id="8557" xr3:uid="{31A29F4F-FDDC-4AC2-A7AC-1A15F8514435}" name="Column8524"/>
    <tableColumn id="8558" xr3:uid="{603AB3B7-DB8C-4824-A989-16F8302169E1}" name="Column8525"/>
    <tableColumn id="8559" xr3:uid="{4FC4C8EE-C60F-493A-966B-3213D04B3F62}" name="Column8526"/>
    <tableColumn id="8560" xr3:uid="{0ED5FA93-A001-4883-A64F-78A3199990D1}" name="Column8527"/>
    <tableColumn id="8561" xr3:uid="{280FA5A2-7408-42C9-AC82-227C924EEF02}" name="Column8528"/>
    <tableColumn id="8562" xr3:uid="{2B359B38-1235-4B4D-B348-4CCA23AF5595}" name="Column8529"/>
    <tableColumn id="8563" xr3:uid="{472EF45D-F18B-4649-900D-7B4824A1571C}" name="Column8530"/>
    <tableColumn id="8564" xr3:uid="{1F03A2B4-99FC-4744-A366-E45144762DDF}" name="Column8531"/>
    <tableColumn id="8565" xr3:uid="{76AD5838-4ED7-49AD-BA40-5ABD8C45E72B}" name="Column8532"/>
    <tableColumn id="8566" xr3:uid="{C69E2CB9-9859-43C8-9E76-E56E7C7AED26}" name="Column8533"/>
    <tableColumn id="8567" xr3:uid="{CDE98AD7-DF49-45D3-93B1-5CDB5147BD40}" name="Column8534"/>
    <tableColumn id="8568" xr3:uid="{C7844D5A-E926-4440-895B-4CBFDB1857F1}" name="Column8535"/>
    <tableColumn id="8569" xr3:uid="{9AE68366-A0F6-47B4-868E-D4B0FEA42CB1}" name="Column8536"/>
    <tableColumn id="8570" xr3:uid="{8FA564D0-F078-4972-82DA-412363AC3D5C}" name="Column8537"/>
    <tableColumn id="8571" xr3:uid="{3E06BC6C-F5DA-444C-89D4-7D8097701733}" name="Column8538"/>
    <tableColumn id="8572" xr3:uid="{C644B8E5-422D-4221-BF10-F0096C82FC85}" name="Column8539"/>
    <tableColumn id="8573" xr3:uid="{DCA05ED2-1BCD-40FE-862A-B51E07BD178A}" name="Column8540"/>
    <tableColumn id="8574" xr3:uid="{3C8BCAD1-44FC-42FB-BDF4-B73DA599CC7D}" name="Column8541"/>
    <tableColumn id="8575" xr3:uid="{7B68687C-92BF-4BD6-8180-5596C84D949C}" name="Column8542"/>
    <tableColumn id="8576" xr3:uid="{20BB0AE7-F9DB-49C2-ADEF-7DEC825ED1DC}" name="Column8543"/>
    <tableColumn id="8577" xr3:uid="{8FB72401-3ABD-46D6-91A4-7F73202574CA}" name="Column8544"/>
    <tableColumn id="8578" xr3:uid="{2F8C12B3-B481-43A1-ACF0-A2896DBAE301}" name="Column8545"/>
    <tableColumn id="8579" xr3:uid="{C1825553-A05A-4B65-9F0E-BCC9A6D81EB1}" name="Column8546"/>
    <tableColumn id="8580" xr3:uid="{4D899A5F-1B62-4E0D-BE38-A10E1CAFAD29}" name="Column8547"/>
    <tableColumn id="8581" xr3:uid="{33E205D6-B21A-40DD-AC49-EDA428BA4435}" name="Column8548"/>
    <tableColumn id="8582" xr3:uid="{EC121826-D6C1-4ECE-9C3C-1FDEDC4C0F06}" name="Column8549"/>
    <tableColumn id="8583" xr3:uid="{14CB2B8C-B6D1-48F1-9665-B6B0F995706F}" name="Column8550"/>
    <tableColumn id="8584" xr3:uid="{78F05BF6-65A3-4C50-A605-20D28DF9F730}" name="Column8551"/>
    <tableColumn id="8585" xr3:uid="{54DFE802-382B-42C7-9C21-4DA1CD65D504}" name="Column8552"/>
    <tableColumn id="8586" xr3:uid="{B200043B-5DCC-4DC9-A03E-EEC9BB529436}" name="Column8553"/>
    <tableColumn id="8587" xr3:uid="{A4836418-6392-40CD-9A69-DCF833A5C334}" name="Column8554"/>
    <tableColumn id="8588" xr3:uid="{839A5475-D355-4A32-8C18-2C18D89303D7}" name="Column8555"/>
    <tableColumn id="8589" xr3:uid="{2BB69A72-0F9C-4927-A8CE-D682DB51DE96}" name="Column8556"/>
    <tableColumn id="8590" xr3:uid="{D30BFEA9-742C-4352-8A3A-70BC06C51DB2}" name="Column8557"/>
    <tableColumn id="8591" xr3:uid="{FBC72FB8-26A8-4A70-9E78-C3421279D0C5}" name="Column8558"/>
    <tableColumn id="8592" xr3:uid="{1ADFD30C-5800-45A4-BF33-162A47DEA04F}" name="Column8559"/>
    <tableColumn id="8593" xr3:uid="{2FA6618A-BE21-4294-B6B1-2B541ECD327C}" name="Column8560"/>
    <tableColumn id="8594" xr3:uid="{C93A2CBB-38B2-4422-B0D8-CA33C1D93EC2}" name="Column8561"/>
    <tableColumn id="8595" xr3:uid="{DF0FEB7D-7D7D-4A0E-98EF-9C16B5B8D081}" name="Column8562"/>
    <tableColumn id="8596" xr3:uid="{5BBDEF70-B375-4039-B60E-BD08F2F5F481}" name="Column8563"/>
    <tableColumn id="8597" xr3:uid="{6CB577F8-47C3-42A5-BFFA-94D31EEC24CD}" name="Column8564"/>
    <tableColumn id="8598" xr3:uid="{9CBE4D51-BF37-4F98-B0E3-4EEB6E8BF202}" name="Column8565"/>
    <tableColumn id="8599" xr3:uid="{61ED8242-2594-487C-BE90-608A2CC096D6}" name="Column8566"/>
    <tableColumn id="8600" xr3:uid="{4CB3C952-F067-46B5-8B87-56FBC6515BE6}" name="Column8567"/>
    <tableColumn id="8601" xr3:uid="{4D51F9A7-1B70-4D42-AA0E-043F3557046F}" name="Column8568"/>
    <tableColumn id="8602" xr3:uid="{61DC54D9-A4EA-4837-89B5-3132A2DD74CC}" name="Column8569"/>
    <tableColumn id="8603" xr3:uid="{AE909781-9B55-4D24-9481-A7F79DEF76AF}" name="Column8570"/>
    <tableColumn id="8604" xr3:uid="{1288A398-376A-4030-809D-C9A6B9743C2F}" name="Column8571"/>
    <tableColumn id="8605" xr3:uid="{EC58E60B-7B8E-4AFD-A218-F415653B8001}" name="Column8572"/>
    <tableColumn id="8606" xr3:uid="{3E43C2DF-B57E-461E-A371-47B6939A362D}" name="Column8573"/>
    <tableColumn id="8607" xr3:uid="{BAEFA039-31C6-48E0-98DB-74D07713D75B}" name="Column8574"/>
    <tableColumn id="8608" xr3:uid="{5826E80F-66D2-4196-90A8-8AEC3A166D5C}" name="Column8575"/>
    <tableColumn id="8609" xr3:uid="{FA1D7391-F4B9-46E8-9932-F74A9C887835}" name="Column8576"/>
    <tableColumn id="8610" xr3:uid="{21417FDE-120B-4D95-9724-AD71EA331EE3}" name="Column8577"/>
    <tableColumn id="8611" xr3:uid="{398D4129-DE9B-4DEC-AE74-FA4B9B36B334}" name="Column8578"/>
    <tableColumn id="8612" xr3:uid="{46EA8040-199F-4C94-B37C-77BF8F71AD80}" name="Column8579"/>
    <tableColumn id="8613" xr3:uid="{FB7CDE7C-4B81-4CFE-A66F-E03EFCDAF3DB}" name="Column8580"/>
    <tableColumn id="8614" xr3:uid="{42CA7011-42E7-461B-B5EC-FD0670B77C89}" name="Column8581"/>
    <tableColumn id="8615" xr3:uid="{A2CCD92E-0E37-44CD-8FE5-11AD017345BE}" name="Column8582"/>
    <tableColumn id="8616" xr3:uid="{E10399C0-9D23-4DA0-9680-8A886851D84F}" name="Column8583"/>
    <tableColumn id="8617" xr3:uid="{89318E55-F5D7-489D-B74F-14BFEDF2B9E0}" name="Column8584"/>
    <tableColumn id="8618" xr3:uid="{D853D34A-82EF-4215-A636-11CC00173E48}" name="Column8585"/>
    <tableColumn id="8619" xr3:uid="{E748DD53-5A25-432D-8E3F-50D6DAE0EAF4}" name="Column8586"/>
    <tableColumn id="8620" xr3:uid="{47E4FBB5-28CE-4830-8650-78BA5A4EEF7C}" name="Column8587"/>
    <tableColumn id="8621" xr3:uid="{92A5DA13-6D5B-486C-9B56-0B7772C286FF}" name="Column8588"/>
    <tableColumn id="8622" xr3:uid="{910BCBBD-71E3-456D-9FFA-C22C48AAAA8C}" name="Column8589"/>
    <tableColumn id="8623" xr3:uid="{AC49318F-137B-4A83-BD76-E67CE0FE14CE}" name="Column8590"/>
    <tableColumn id="8624" xr3:uid="{FB272A7C-B5CB-430C-8AE4-4B509759BAFD}" name="Column8591"/>
    <tableColumn id="8625" xr3:uid="{CB36363D-4519-47BE-9D83-D9A0A1E20F69}" name="Column8592"/>
    <tableColumn id="8626" xr3:uid="{C00313A3-6285-4FD7-AB63-F167BCD92164}" name="Column8593"/>
    <tableColumn id="8627" xr3:uid="{9F5C0DC1-4C74-4C60-B92C-366A5F2F1C5F}" name="Column8594"/>
    <tableColumn id="8628" xr3:uid="{54960DB4-0091-4F46-9321-A23B9F6D7083}" name="Column8595"/>
    <tableColumn id="8629" xr3:uid="{431F4FA3-88FE-49F1-B217-99AFB9916229}" name="Column8596"/>
    <tableColumn id="8630" xr3:uid="{2FDCD3B5-4EC1-48AF-BD3E-6A94A4D27A80}" name="Column8597"/>
    <tableColumn id="8631" xr3:uid="{93408EE3-4B93-42C5-B915-42EC5F324E36}" name="Column8598"/>
    <tableColumn id="8632" xr3:uid="{C585CDDF-CA4B-4AD1-8D2B-BE037A5B0172}" name="Column8599"/>
    <tableColumn id="8633" xr3:uid="{7D2C0B69-5372-40F7-B468-CECF5F763D35}" name="Column8600"/>
    <tableColumn id="8634" xr3:uid="{03EBA517-19E6-4AE2-B139-2FA86CC2B984}" name="Column8601"/>
    <tableColumn id="8635" xr3:uid="{DA2D498A-FE14-41DF-ADA8-F4F090C8FD39}" name="Column8602"/>
    <tableColumn id="8636" xr3:uid="{CAB528A6-3358-45E5-98F3-21A8A0846488}" name="Column8603"/>
    <tableColumn id="8637" xr3:uid="{228DE727-762E-4A76-A7AA-F6A4D943A5A7}" name="Column8604"/>
    <tableColumn id="8638" xr3:uid="{B13EEC57-41B8-4EA6-8578-11CE6FAF0545}" name="Column8605"/>
    <tableColumn id="8639" xr3:uid="{09C795FB-6F1B-4FC1-906E-6F0B37722D88}" name="Column8606"/>
    <tableColumn id="8640" xr3:uid="{CA04956C-866B-4183-B395-02BB9B91130E}" name="Column8607"/>
    <tableColumn id="8641" xr3:uid="{8DE4F2A8-A3DC-4BEC-8C13-9BD78778C1F6}" name="Column8608"/>
    <tableColumn id="8642" xr3:uid="{8C7562A5-87A1-4E76-8951-E97761F0E38F}" name="Column8609"/>
    <tableColumn id="8643" xr3:uid="{773B41FD-1BE7-4852-A50B-5782852CAC1C}" name="Column8610"/>
    <tableColumn id="8644" xr3:uid="{943F9C05-FC9B-4E95-96FB-6570DCC2A76C}" name="Column8611"/>
    <tableColumn id="8645" xr3:uid="{47760A6B-11DD-489C-A0A5-9DDC5B2FCA0D}" name="Column8612"/>
    <tableColumn id="8646" xr3:uid="{41347717-0F19-4D9A-B1B4-02F4DB8F587E}" name="Column8613"/>
    <tableColumn id="8647" xr3:uid="{A9154A97-9C7B-4DD7-81D0-3A8C0E1027DF}" name="Column8614"/>
    <tableColumn id="8648" xr3:uid="{111C514B-44B1-49EE-A385-5147F0523C9F}" name="Column8615"/>
    <tableColumn id="8649" xr3:uid="{E0AF6700-6450-44F4-A77A-E79DC4BEA517}" name="Column8616"/>
    <tableColumn id="8650" xr3:uid="{E892EE54-CF60-49F0-9DBA-7AD5DB44C4E9}" name="Column8617"/>
    <tableColumn id="8651" xr3:uid="{75741572-5410-449D-91EB-F4C5DF1CA453}" name="Column8618"/>
    <tableColumn id="8652" xr3:uid="{2DD8DCA9-7CDB-44AA-A18C-51B7766F417B}" name="Column8619"/>
    <tableColumn id="8653" xr3:uid="{6C2DE318-294A-4447-BADD-EFB6F82E13CF}" name="Column8620"/>
    <tableColumn id="8654" xr3:uid="{AE8DBB23-02CB-40C5-A9BD-8AD4A2E6CF5F}" name="Column8621"/>
    <tableColumn id="8655" xr3:uid="{AEDCFB91-6DF5-412B-A2F9-9E0388DB2E6E}" name="Column8622"/>
    <tableColumn id="8656" xr3:uid="{A02C7064-6D3A-4A61-B479-42E91497D416}" name="Column8623"/>
    <tableColumn id="8657" xr3:uid="{F5368B0C-05AE-4998-855C-228F6745AD9F}" name="Column8624"/>
    <tableColumn id="8658" xr3:uid="{E60EBD22-3190-4FD3-93AE-B7A4241809F9}" name="Column8625"/>
    <tableColumn id="8659" xr3:uid="{C78F6688-2485-4F7D-BD76-C9C7D69130AE}" name="Column8626"/>
    <tableColumn id="8660" xr3:uid="{B659D669-9D52-437F-9270-575D07734F73}" name="Column8627"/>
    <tableColumn id="8661" xr3:uid="{33EE7039-5477-4516-A11C-FD98D013B707}" name="Column8628"/>
    <tableColumn id="8662" xr3:uid="{ECF8551E-6A16-403C-A585-57A713E3DAC6}" name="Column8629"/>
    <tableColumn id="8663" xr3:uid="{D509DA5E-257A-429E-A69A-5ACDF2995184}" name="Column8630"/>
    <tableColumn id="8664" xr3:uid="{71611245-F0D3-4BCB-B3BC-42B8FFD976ED}" name="Column8631"/>
    <tableColumn id="8665" xr3:uid="{9909853E-DD43-4F84-B773-D916D372D874}" name="Column8632"/>
    <tableColumn id="8666" xr3:uid="{5DEB1BCA-A10E-494F-88ED-C64EE12AAD65}" name="Column8633"/>
    <tableColumn id="8667" xr3:uid="{B1D90DFF-B3D7-49AD-B112-F9046125EC72}" name="Column8634"/>
    <tableColumn id="8668" xr3:uid="{148638DC-5635-4B9C-8AFD-3F88F1FA37B5}" name="Column8635"/>
    <tableColumn id="8669" xr3:uid="{1A108F25-E25F-411D-94B0-8D8EC1BDA720}" name="Column8636"/>
    <tableColumn id="8670" xr3:uid="{547D46B2-90C1-44D2-9C95-1F227055FBA8}" name="Column8637"/>
    <tableColumn id="8671" xr3:uid="{224000B7-3556-40FE-A452-64FBE7128A0D}" name="Column8638"/>
    <tableColumn id="8672" xr3:uid="{6FB85E36-7ED3-4C3A-A6FD-9E9F599CF2BC}" name="Column8639"/>
    <tableColumn id="8673" xr3:uid="{EF40F1A8-6E8C-4538-A2AB-64AA9A4DD11C}" name="Column8640"/>
    <tableColumn id="8674" xr3:uid="{465CF015-ED46-46B7-B341-48182B429E47}" name="Column8641"/>
    <tableColumn id="8675" xr3:uid="{EE0837D2-A46A-496A-A4E4-B05B67F1A479}" name="Column8642"/>
    <tableColumn id="8676" xr3:uid="{DC91E67C-7744-48E1-9708-3FFB4829962A}" name="Column8643"/>
    <tableColumn id="8677" xr3:uid="{C6A6B333-BE2F-4131-BFC9-8A789091D583}" name="Column8644"/>
    <tableColumn id="8678" xr3:uid="{A05DC089-72D2-4BCE-98DB-729AAD068901}" name="Column8645"/>
    <tableColumn id="8679" xr3:uid="{D7CC1004-0039-421C-92EC-5BC1A80EE8A8}" name="Column8646"/>
    <tableColumn id="8680" xr3:uid="{E6AE4B48-1010-4F3C-AF66-CF063A966107}" name="Column8647"/>
    <tableColumn id="8681" xr3:uid="{00A486E2-D94A-414E-8E53-F461E58161AE}" name="Column8648"/>
    <tableColumn id="8682" xr3:uid="{189BA922-78B3-4C9E-9CA4-CB85BFFCC5B8}" name="Column8649"/>
    <tableColumn id="8683" xr3:uid="{0ACA1D37-B70E-4FBA-A13A-1D1F9B151712}" name="Column8650"/>
    <tableColumn id="8684" xr3:uid="{132745B1-2174-4B8E-A623-1D8206830883}" name="Column8651"/>
    <tableColumn id="8685" xr3:uid="{72273D65-E35E-487B-8BF4-C0C1F6EB9F7F}" name="Column8652"/>
    <tableColumn id="8686" xr3:uid="{BEB44BA5-21F4-48C9-9DAE-AEC8A0494863}" name="Column8653"/>
    <tableColumn id="8687" xr3:uid="{9955B89C-FC63-4E02-8DEE-D731B44DE116}" name="Column8654"/>
    <tableColumn id="8688" xr3:uid="{16C73654-40DD-4A2E-9543-43C9A54D7474}" name="Column8655"/>
    <tableColumn id="8689" xr3:uid="{44EECE7F-D2D6-4CDA-8145-D57A246DBB69}" name="Column8656"/>
    <tableColumn id="8690" xr3:uid="{E5DDAE8B-FB81-45C8-99F8-6768C57984FF}" name="Column8657"/>
    <tableColumn id="8691" xr3:uid="{4D907F6C-7DAF-4A18-B4E1-8D807EB1AFC4}" name="Column8658"/>
    <tableColumn id="8692" xr3:uid="{86EB879A-17EC-4B8B-8AD5-4AA4DD453972}" name="Column8659"/>
    <tableColumn id="8693" xr3:uid="{3E6B5D8F-3BD0-4593-89C5-CCF23D210F1E}" name="Column8660"/>
    <tableColumn id="8694" xr3:uid="{9FB4FA24-35BD-4B8B-829C-718DD12B1E1B}" name="Column8661"/>
    <tableColumn id="8695" xr3:uid="{C20F5178-5D3D-4058-BFDE-79A16DB0E374}" name="Column8662"/>
    <tableColumn id="8696" xr3:uid="{C6859CC2-E47C-42BF-BFE7-5089F3D79CB7}" name="Column8663"/>
    <tableColumn id="8697" xr3:uid="{67B0B312-AFD1-4FD4-BAC3-47904D5ABD34}" name="Column8664"/>
    <tableColumn id="8698" xr3:uid="{98E5A3F4-9ECA-47D6-8169-6FF65EC0A074}" name="Column8665"/>
    <tableColumn id="8699" xr3:uid="{F50BEB70-3D87-4A1F-A050-1CF5D73BA85E}" name="Column8666"/>
    <tableColumn id="8700" xr3:uid="{7EB256C1-5E39-4254-BB2D-077A2E825065}" name="Column8667"/>
    <tableColumn id="8701" xr3:uid="{F796A0BD-D79C-4758-BC35-5846DE653D8A}" name="Column8668"/>
    <tableColumn id="8702" xr3:uid="{9FB7C77D-9AD7-4E79-A674-AB2615B57BB6}" name="Column8669"/>
    <tableColumn id="8703" xr3:uid="{315F1D95-AD33-4CD6-83ED-5E9BA13DCFA0}" name="Column8670"/>
    <tableColumn id="8704" xr3:uid="{9023F265-E4EA-469B-9F9F-F84EDCBE4404}" name="Column8671"/>
    <tableColumn id="8705" xr3:uid="{808F0777-5EE4-441D-8F64-2D07FD41BA2D}" name="Column8672"/>
    <tableColumn id="8706" xr3:uid="{4CAF6631-7E6D-4A91-AAB6-1D44D5D661FA}" name="Column8673"/>
    <tableColumn id="8707" xr3:uid="{346BAD68-BAA8-4DF1-A972-EDBE28D4FE46}" name="Column8674"/>
    <tableColumn id="8708" xr3:uid="{DEF3891B-D504-4388-BF7C-36B4CC28D0ED}" name="Column8675"/>
    <tableColumn id="8709" xr3:uid="{044885DA-4753-48B7-A819-40E43C9569B1}" name="Column8676"/>
    <tableColumn id="8710" xr3:uid="{FCC4EB4D-AB6F-4C2D-9C8F-AACBECF146AA}" name="Column8677"/>
    <tableColumn id="8711" xr3:uid="{5EC2CC26-74AD-47B0-BDB3-3217BFB53A3D}" name="Column8678"/>
    <tableColumn id="8712" xr3:uid="{7B10FDDA-C15D-450F-81E0-959D38DB9401}" name="Column8679"/>
    <tableColumn id="8713" xr3:uid="{258A06EE-5F65-431B-AE44-D88205D2C8D4}" name="Column8680"/>
    <tableColumn id="8714" xr3:uid="{47CD1B17-B84D-4F85-8145-2BAE2A632B07}" name="Column8681"/>
    <tableColumn id="8715" xr3:uid="{242D82F3-1242-4FEA-B8AE-3090D3570B71}" name="Column8682"/>
    <tableColumn id="8716" xr3:uid="{C454F4A6-3B35-42E8-B4A5-EE6F76528AF7}" name="Column8683"/>
    <tableColumn id="8717" xr3:uid="{23401E52-C0A9-44F6-9134-F5B915F0AD15}" name="Column8684"/>
    <tableColumn id="8718" xr3:uid="{ABC94F1C-14D8-4E7B-9162-C9747B0BCBCC}" name="Column8685"/>
    <tableColumn id="8719" xr3:uid="{59A88528-DDE0-4411-9094-1C4798C4504B}" name="Column8686"/>
    <tableColumn id="8720" xr3:uid="{F81E7DA7-8D2A-42A1-907D-50226767B2AE}" name="Column8687"/>
    <tableColumn id="8721" xr3:uid="{7C7B7D67-DC85-46FF-90F9-1396FD1E5648}" name="Column8688"/>
    <tableColumn id="8722" xr3:uid="{CD6B2E0B-5CAB-4716-A3C9-45928341425F}" name="Column8689"/>
    <tableColumn id="8723" xr3:uid="{5DCE0EFC-0976-46B9-A939-11AF244CB528}" name="Column8690"/>
    <tableColumn id="8724" xr3:uid="{8A1B3902-2835-4FFE-B222-6335AB18291A}" name="Column8691"/>
    <tableColumn id="8725" xr3:uid="{CBD1D05B-E5B8-410F-8345-47D590FFD344}" name="Column8692"/>
    <tableColumn id="8726" xr3:uid="{A6370559-A1D0-420E-A0D9-B9D72C5AD569}" name="Column8693"/>
    <tableColumn id="8727" xr3:uid="{1DD44FBE-89DA-4A35-BD58-24FC83128AE1}" name="Column8694"/>
    <tableColumn id="8728" xr3:uid="{F338CC92-D8E4-4458-84FC-6FEF6E3A141F}" name="Column8695"/>
    <tableColumn id="8729" xr3:uid="{D4EA3B77-7BFE-4E20-B4F6-3D685C80D048}" name="Column8696"/>
    <tableColumn id="8730" xr3:uid="{EE7BB455-6676-44AC-BCCD-E589AA931008}" name="Column8697"/>
    <tableColumn id="8731" xr3:uid="{4FD12ED6-5BDE-4748-92EB-E4915E663F77}" name="Column8698"/>
    <tableColumn id="8732" xr3:uid="{5656CAF9-28C6-41A7-BE0D-F511E8D0708C}" name="Column8699"/>
    <tableColumn id="8733" xr3:uid="{91DE83C1-E1BA-430D-85C3-ECE7C1CA3ADD}" name="Column8700"/>
    <tableColumn id="8734" xr3:uid="{3BFDA978-637D-465C-9920-325BC9244CAE}" name="Column8701"/>
    <tableColumn id="8735" xr3:uid="{690F3E89-A39E-4BC8-AA34-8CF12E3A0B34}" name="Column8702"/>
    <tableColumn id="8736" xr3:uid="{FA07572B-2599-4056-AD98-9D7935A514E6}" name="Column8703"/>
    <tableColumn id="8737" xr3:uid="{1541F812-88D5-4104-9899-C8904BC877A2}" name="Column8704"/>
    <tableColumn id="8738" xr3:uid="{92B576FB-6392-4D37-9366-8A22871C2F53}" name="Column8705"/>
    <tableColumn id="8739" xr3:uid="{D48EDD7B-238C-442B-AC24-AE7C77DCC0A9}" name="Column8706"/>
    <tableColumn id="8740" xr3:uid="{0314B58F-6C11-4F1E-8BB1-0755C081B5A0}" name="Column8707"/>
    <tableColumn id="8741" xr3:uid="{ABE2F49E-8406-4FD1-90EE-50185746C068}" name="Column8708"/>
    <tableColumn id="8742" xr3:uid="{654826FF-B11F-4E31-982F-A2FAE3F1106E}" name="Column8709"/>
    <tableColumn id="8743" xr3:uid="{930D389F-B706-49BA-8862-DA21C33CDF25}" name="Column8710"/>
    <tableColumn id="8744" xr3:uid="{86964256-59FD-4E15-9A9C-DDEB3B7204B8}" name="Column8711"/>
    <tableColumn id="8745" xr3:uid="{76EF0CA0-5B2E-4934-8B66-5E487761519A}" name="Column8712"/>
    <tableColumn id="8746" xr3:uid="{C652D1B1-CE8B-4F62-9F28-587F44488C5F}" name="Column8713"/>
    <tableColumn id="8747" xr3:uid="{75FD1DF3-13A6-40AD-9191-AC8C1312810E}" name="Column8714"/>
    <tableColumn id="8748" xr3:uid="{513FA4DB-7214-405A-A50C-109697E78AA8}" name="Column8715"/>
    <tableColumn id="8749" xr3:uid="{9A2C09CD-9015-41A8-9866-53C03B581CD1}" name="Column8716"/>
    <tableColumn id="8750" xr3:uid="{3F3867FD-ED4C-491E-AA5D-1CEE47EF4CA4}" name="Column8717"/>
    <tableColumn id="8751" xr3:uid="{6C2D7ACC-8B93-449E-8960-F13EC94F8AC1}" name="Column8718"/>
    <tableColumn id="8752" xr3:uid="{7D335B1E-68F6-4A56-A52D-F38F0F252A8A}" name="Column8719"/>
    <tableColumn id="8753" xr3:uid="{E84CD325-6D64-4893-8C76-B1D2D489F96D}" name="Column8720"/>
    <tableColumn id="8754" xr3:uid="{D35ECD1D-8CFA-40E6-8572-8EFB5C8CDED4}" name="Column8721"/>
    <tableColumn id="8755" xr3:uid="{9FFE9FDA-DC5B-472E-8F23-84F3D4234419}" name="Column8722"/>
    <tableColumn id="8756" xr3:uid="{441F0743-C545-4532-9248-1B9E91C6815E}" name="Column8723"/>
    <tableColumn id="8757" xr3:uid="{E40EC01F-6641-4ADB-BD1A-FBA03F5249FB}" name="Column8724"/>
    <tableColumn id="8758" xr3:uid="{5118FE4C-FDBB-409D-834E-CA630998825C}" name="Column8725"/>
    <tableColumn id="8759" xr3:uid="{C90BA061-69E4-4C55-8115-37533F74F26F}" name="Column8726"/>
    <tableColumn id="8760" xr3:uid="{E39EB24E-4B81-4AEC-BF0B-2A565619A723}" name="Column8727"/>
    <tableColumn id="8761" xr3:uid="{BCF21489-0659-49D0-8C54-D6BF7D2C2F5B}" name="Column8728"/>
    <tableColumn id="8762" xr3:uid="{7450A243-13D2-40C8-9F6B-B876CE96B178}" name="Column8729"/>
    <tableColumn id="8763" xr3:uid="{CB0B3C3D-5933-4AAA-BDCE-5FBF98F8B79D}" name="Column8730"/>
    <tableColumn id="8764" xr3:uid="{589ACCE0-C5C3-4329-BA15-E6BBEE47B686}" name="Column8731"/>
    <tableColumn id="8765" xr3:uid="{DC68226F-8232-4B47-9DB2-54806F682B25}" name="Column8732"/>
    <tableColumn id="8766" xr3:uid="{DB1368F0-36A3-48C8-BB0E-0D6EF0B55035}" name="Column8733"/>
    <tableColumn id="8767" xr3:uid="{6A2197A4-4B78-4D1B-A9DC-00E198757731}" name="Column8734"/>
    <tableColumn id="8768" xr3:uid="{0123F88D-ACC5-4DDE-B9C7-CDE285BC20E8}" name="Column8735"/>
    <tableColumn id="8769" xr3:uid="{6DA08751-2954-4F2C-827C-A83A6CE8B0DC}" name="Column8736"/>
    <tableColumn id="8770" xr3:uid="{CB91E0DF-2AF3-4A5E-A53D-8950816CE914}" name="Column8737"/>
    <tableColumn id="8771" xr3:uid="{17A63F66-3180-4DA5-B847-910CEE41C088}" name="Column8738"/>
    <tableColumn id="8772" xr3:uid="{A22B2668-7C3D-4C90-BB44-8B57115198D9}" name="Column8739"/>
    <tableColumn id="8773" xr3:uid="{471CBD80-6A64-4799-B79D-00D72CD3FBE2}" name="Column8740"/>
    <tableColumn id="8774" xr3:uid="{5CE3D2A5-3726-42A0-BE15-E1D94AA136B2}" name="Column8741"/>
    <tableColumn id="8775" xr3:uid="{45E50D8D-C25B-4206-BE5B-D2DDBA5C02D1}" name="Column8742"/>
    <tableColumn id="8776" xr3:uid="{CCF991AC-A6C3-4A1E-92BE-B71E569C1ADE}" name="Column8743"/>
    <tableColumn id="8777" xr3:uid="{81CA138F-0EB8-4D2E-8C82-17C529B5077B}" name="Column8744"/>
    <tableColumn id="8778" xr3:uid="{F8C99DA0-8B4C-43B7-B4E7-4B006B8FA98A}" name="Column8745"/>
    <tableColumn id="8779" xr3:uid="{3F94E4E8-D9CC-4A0A-85D6-6FF2E8E2F884}" name="Column8746"/>
    <tableColumn id="8780" xr3:uid="{E6558D84-39A5-4EEF-B189-C56B6E52D67F}" name="Column8747"/>
    <tableColumn id="8781" xr3:uid="{2015E51C-217B-404B-9BB9-BAADDFA0A037}" name="Column8748"/>
    <tableColumn id="8782" xr3:uid="{DF8F5983-93A0-4F95-8BA4-DC590F08795E}" name="Column8749"/>
    <tableColumn id="8783" xr3:uid="{F172ADD5-A825-4024-B41E-B1570B5C05EA}" name="Column8750"/>
    <tableColumn id="8784" xr3:uid="{3FEB0D8B-EB64-47AF-A1E1-8126BE1F526D}" name="Column8751"/>
    <tableColumn id="8785" xr3:uid="{326859AC-565D-442D-9860-775D71502758}" name="Column8752"/>
    <tableColumn id="8786" xr3:uid="{9619DBC6-7DAF-459B-B45D-F866EAE4A27F}" name="Column8753"/>
    <tableColumn id="8787" xr3:uid="{5C397968-22D2-4499-AC38-32DD8DAC1EEE}" name="Column8754"/>
    <tableColumn id="8788" xr3:uid="{FCC15CE8-1E15-4867-97C0-DC03211FE373}" name="Column8755"/>
    <tableColumn id="8789" xr3:uid="{55BA92B7-EDB0-4091-AD9A-EEC5E921E40A}" name="Column8756"/>
    <tableColumn id="8790" xr3:uid="{1BFDB16F-3919-4402-AFD6-E3E61BE63033}" name="Column8757"/>
    <tableColumn id="8791" xr3:uid="{483555CA-4391-4DEF-96B1-A89D67077ABA}" name="Column8758"/>
    <tableColumn id="8792" xr3:uid="{769C0D4A-2C35-4851-A2EE-205A4E2E4ED1}" name="Column8759"/>
    <tableColumn id="8793" xr3:uid="{26D37006-535B-4BFC-BDEA-E14A5D14452C}" name="Column8760"/>
    <tableColumn id="8794" xr3:uid="{1D701669-1292-446F-A505-247FF7BA2791}" name="Column8761"/>
    <tableColumn id="8795" xr3:uid="{DA25D0EA-5DF8-4A08-8D5F-5D81BFD9A72E}" name="Column8762"/>
    <tableColumn id="8796" xr3:uid="{CF1F667A-B96D-4C85-9DA4-CE1A9EB6E24D}" name="Column8763"/>
    <tableColumn id="8797" xr3:uid="{1B85D156-A510-4A92-8677-A12F5C27C753}" name="Column8764"/>
    <tableColumn id="8798" xr3:uid="{A8330EDB-C8BB-4200-AD74-6C44087C0227}" name="Column8765"/>
    <tableColumn id="8799" xr3:uid="{8C68AD92-2A0A-4E87-A677-58637FD7A234}" name="Column8766"/>
    <tableColumn id="8800" xr3:uid="{759E3685-6398-4632-A61E-1DB75207BC54}" name="Column8767"/>
    <tableColumn id="8801" xr3:uid="{32AB9EC0-3287-410B-B270-8A0AE75A80B0}" name="Column8768"/>
    <tableColumn id="8802" xr3:uid="{30D762E5-A87D-4A45-AC4E-0BFC329B0FDF}" name="Column8769"/>
    <tableColumn id="8803" xr3:uid="{DA1C3BC4-00D1-4FBC-9EA8-DD6B25D53F95}" name="Column8770"/>
    <tableColumn id="8804" xr3:uid="{7AC6B615-5A0B-49B0-99FE-0BF088B167B0}" name="Column8771"/>
    <tableColumn id="8805" xr3:uid="{24576974-8D57-41C0-B259-0E6DCEF4A54F}" name="Column8772"/>
    <tableColumn id="8806" xr3:uid="{EDD4B7F3-50F6-4999-B129-28F7B3593997}" name="Column8773"/>
    <tableColumn id="8807" xr3:uid="{3B995E04-CADE-4577-8B49-4CA91486ECE6}" name="Column8774"/>
    <tableColumn id="8808" xr3:uid="{04F6D00C-BDA8-412D-9447-A9768A99110E}" name="Column8775"/>
    <tableColumn id="8809" xr3:uid="{E5BA9706-6C93-4DE2-B49A-1F0C1437970A}" name="Column8776"/>
    <tableColumn id="8810" xr3:uid="{0CA9DCA2-757E-4DFB-8023-7D61B4A522C7}" name="Column8777"/>
    <tableColumn id="8811" xr3:uid="{966E6C74-8445-455F-8938-A7BAF072F638}" name="Column8778"/>
    <tableColumn id="8812" xr3:uid="{A8E79FBF-71C3-4710-8DF4-E0896A1804F5}" name="Column8779"/>
    <tableColumn id="8813" xr3:uid="{7DF0F8E5-4E56-4D7C-82A0-C59955535BAC}" name="Column8780"/>
    <tableColumn id="8814" xr3:uid="{73BE914C-F389-4159-A28D-0C26AF523F8E}" name="Column8781"/>
    <tableColumn id="8815" xr3:uid="{921125F6-454B-41C3-82E9-ED2416A90D99}" name="Column8782"/>
    <tableColumn id="8816" xr3:uid="{BE314671-7FDA-476B-99A7-F8FF5FAE4105}" name="Column8783"/>
    <tableColumn id="8817" xr3:uid="{338E04A1-66AE-4CED-9148-FFE189A61611}" name="Column8784"/>
    <tableColumn id="8818" xr3:uid="{049BB6B5-3881-43F7-A8E1-BBFA76E390E9}" name="Column8785"/>
    <tableColumn id="8819" xr3:uid="{29DA7766-A9CE-4729-BE37-D2CA61736176}" name="Column8786"/>
    <tableColumn id="8820" xr3:uid="{35521CF6-45EC-4263-A86E-C43516AD2317}" name="Column8787"/>
    <tableColumn id="8821" xr3:uid="{DA044B11-8C79-4F0C-908B-0EA13B757C88}" name="Column8788"/>
    <tableColumn id="8822" xr3:uid="{0390481A-C527-48C8-B844-AC8E619269C3}" name="Column8789"/>
    <tableColumn id="8823" xr3:uid="{8C9332BC-F7B0-4371-B9E4-3C35FA22F467}" name="Column8790"/>
    <tableColumn id="8824" xr3:uid="{390CDC19-43EF-4322-9CF3-7558D368F4E1}" name="Column8791"/>
    <tableColumn id="8825" xr3:uid="{4F630455-85C8-4663-A1E9-6439F72884D6}" name="Column8792"/>
    <tableColumn id="8826" xr3:uid="{405814C3-307D-4B16-888A-F4A24F5D6C23}" name="Column8793"/>
    <tableColumn id="8827" xr3:uid="{7A3EAD30-0884-4A88-AA69-2ACA4A95C362}" name="Column8794"/>
    <tableColumn id="8828" xr3:uid="{12CD094D-74E4-4DD0-9890-04FB7C74D8AA}" name="Column8795"/>
    <tableColumn id="8829" xr3:uid="{BF31ABD9-FB06-4D45-AFCC-22FF2A1042A0}" name="Column8796"/>
    <tableColumn id="8830" xr3:uid="{3EC697E6-FAA9-49C7-B17C-00739CDEC954}" name="Column8797"/>
    <tableColumn id="8831" xr3:uid="{43B9CAFA-7AD9-46B3-8DD9-BE9DD30E3CA1}" name="Column8798"/>
    <tableColumn id="8832" xr3:uid="{283ABD3D-0E21-4F3A-8311-826821694DCF}" name="Column8799"/>
    <tableColumn id="8833" xr3:uid="{CCEB4EFE-78E8-467E-834A-E4550C4E3E92}" name="Column8800"/>
    <tableColumn id="8834" xr3:uid="{1FCDBB4A-DEBB-49F8-B722-D36EA53B22FD}" name="Column8801"/>
    <tableColumn id="8835" xr3:uid="{5622036B-C9FF-48C8-A16B-C59D5F414588}" name="Column8802"/>
    <tableColumn id="8836" xr3:uid="{1D5C64D6-370E-477D-A975-5DC6C102F7E9}" name="Column8803"/>
    <tableColumn id="8837" xr3:uid="{FCCBB704-9C74-4490-B89E-F0993634A8F9}" name="Column8804"/>
    <tableColumn id="8838" xr3:uid="{61041434-6E9E-4457-AEC3-317D6F88C044}" name="Column8805"/>
    <tableColumn id="8839" xr3:uid="{06A7D9F0-CF81-402D-8970-7E835DBF8888}" name="Column8806"/>
    <tableColumn id="8840" xr3:uid="{7CC7CB86-E7B3-4C4A-983A-AAED4B66C85A}" name="Column8807"/>
    <tableColumn id="8841" xr3:uid="{59206145-189E-432E-8C25-010872CC024A}" name="Column8808"/>
    <tableColumn id="8842" xr3:uid="{049DBA79-D0CF-4F9B-943C-E07CF7A6DD5E}" name="Column8809"/>
    <tableColumn id="8843" xr3:uid="{DDF3C1F9-4BB2-4507-8519-86583B4AFA9C}" name="Column8810"/>
    <tableColumn id="8844" xr3:uid="{E6B92CE0-C8F6-435E-BABE-0798441695EB}" name="Column8811"/>
    <tableColumn id="8845" xr3:uid="{E58EC273-BC02-4F8F-AB94-8028C28BAD57}" name="Column8812"/>
    <tableColumn id="8846" xr3:uid="{F3C5540F-BE54-48D0-84AF-D2D5CD43DFE8}" name="Column8813"/>
    <tableColumn id="8847" xr3:uid="{593B480F-FF3C-4412-824D-0E5134200691}" name="Column8814"/>
    <tableColumn id="8848" xr3:uid="{F142CB63-D095-4A68-A2C8-2BB893EB0D88}" name="Column8815"/>
    <tableColumn id="8849" xr3:uid="{47CE44A7-EC37-4866-B2BF-2715B7893208}" name="Column8816"/>
    <tableColumn id="8850" xr3:uid="{A769DD3E-4D12-4A3A-8033-BCA2FED9634C}" name="Column8817"/>
    <tableColumn id="8851" xr3:uid="{7D7AC1EC-9ADD-4E2A-A781-DC8BC7A923AD}" name="Column8818"/>
    <tableColumn id="8852" xr3:uid="{9BDDCDCA-0FBE-4964-9A6B-EC983C009117}" name="Column8819"/>
    <tableColumn id="8853" xr3:uid="{C3231BEF-4740-451C-BB0C-CD1D4A17E268}" name="Column8820"/>
    <tableColumn id="8854" xr3:uid="{F3580164-6860-46E9-AB98-696C4E1807DA}" name="Column8821"/>
    <tableColumn id="8855" xr3:uid="{2B25F7F7-232B-414F-A83A-90C16FF5D36C}" name="Column8822"/>
    <tableColumn id="8856" xr3:uid="{7C621F94-CE7B-425A-ADE6-3DA84D1BB4A6}" name="Column8823"/>
    <tableColumn id="8857" xr3:uid="{105933A4-2059-4D74-BB9D-ABFD424AC9C7}" name="Column8824"/>
    <tableColumn id="8858" xr3:uid="{5186571E-0E0B-4377-9B0C-9449886BBEC8}" name="Column8825"/>
    <tableColumn id="8859" xr3:uid="{2D0468E1-2245-4404-8A86-199459155C6C}" name="Column8826"/>
    <tableColumn id="8860" xr3:uid="{74000B4E-D158-4AB0-9247-EABD84E81C89}" name="Column8827"/>
    <tableColumn id="8861" xr3:uid="{917273DC-8B64-45EE-9393-5BA52B01990B}" name="Column8828"/>
    <tableColumn id="8862" xr3:uid="{7A42AAF1-2DA9-4B54-84C7-DF5BD21C1349}" name="Column8829"/>
    <tableColumn id="8863" xr3:uid="{759C490F-461D-40AD-800B-2653932009EB}" name="Column8830"/>
    <tableColumn id="8864" xr3:uid="{7B7706D6-AA0C-445B-B091-95097349EFDE}" name="Column8831"/>
    <tableColumn id="8865" xr3:uid="{0362D888-2E25-4CF7-963C-DCEEE3FAED6D}" name="Column8832"/>
    <tableColumn id="8866" xr3:uid="{75EFAE7A-44F6-43BA-A779-3E227C7DEBBD}" name="Column8833"/>
    <tableColumn id="8867" xr3:uid="{3BE4D6BD-7A5C-42CC-9061-545572C27B69}" name="Column8834"/>
    <tableColumn id="8868" xr3:uid="{5F779728-BEC0-4243-BD91-17BB2EDC11C7}" name="Column8835"/>
    <tableColumn id="8869" xr3:uid="{63BE2903-8293-47A7-A342-D838F7F6E2C5}" name="Column8836"/>
    <tableColumn id="8870" xr3:uid="{DB6B52EE-2C22-419A-A672-8A7AA35BE9DA}" name="Column8837"/>
    <tableColumn id="8871" xr3:uid="{75AA953A-DCF0-4086-A700-DDC79DBDB675}" name="Column8838"/>
    <tableColumn id="8872" xr3:uid="{EB09DC88-BDC6-4793-872B-2C06FE94AE65}" name="Column8839"/>
    <tableColumn id="8873" xr3:uid="{98423EED-0C7B-4BC5-B4DF-A331124F4D39}" name="Column8840"/>
    <tableColumn id="8874" xr3:uid="{E89D4E95-8E60-4493-88D1-7674440489A3}" name="Column8841"/>
    <tableColumn id="8875" xr3:uid="{2F34817E-B695-4628-941F-252B98421D7F}" name="Column8842"/>
    <tableColumn id="8876" xr3:uid="{BB1DE049-E20B-4CEE-8FD2-54F9A0914D5A}" name="Column8843"/>
    <tableColumn id="8877" xr3:uid="{EB483C4F-B6F5-4B00-88E1-C74B1E4D3822}" name="Column8844"/>
    <tableColumn id="8878" xr3:uid="{845A36CF-74B4-4354-A0B5-B01835ADBF4F}" name="Column8845"/>
    <tableColumn id="8879" xr3:uid="{711FBF27-2218-471C-97F8-CFBEB744E420}" name="Column8846"/>
    <tableColumn id="8880" xr3:uid="{81E25346-7268-4058-8BAD-B9E908446EEA}" name="Column8847"/>
    <tableColumn id="8881" xr3:uid="{F41C326F-1874-4FD3-9A0F-C7B96C84D5A3}" name="Column8848"/>
    <tableColumn id="8882" xr3:uid="{2D43E9A4-BDDD-4533-B53F-8703C08F6543}" name="Column8849"/>
    <tableColumn id="8883" xr3:uid="{2FE99F10-B005-430A-BF09-86E540E3CD04}" name="Column8850"/>
    <tableColumn id="8884" xr3:uid="{4B974BDD-D50D-4207-80D2-7DE951A20CF1}" name="Column8851"/>
    <tableColumn id="8885" xr3:uid="{3C2A8A24-402F-4649-BA90-4BC02494A54C}" name="Column8852"/>
    <tableColumn id="8886" xr3:uid="{22BA03E1-296C-4AEA-8751-FDF77700E1A3}" name="Column8853"/>
    <tableColumn id="8887" xr3:uid="{15865990-67A6-4FFF-9989-E242751AF5E8}" name="Column8854"/>
    <tableColumn id="8888" xr3:uid="{BE087234-2AD4-410C-967B-C5EA8687DB62}" name="Column8855"/>
    <tableColumn id="8889" xr3:uid="{E2263EF1-97EF-40E0-9948-E88D186BDB87}" name="Column8856"/>
    <tableColumn id="8890" xr3:uid="{48B889A7-EAD9-41E7-8BDB-F1DAD9F8E364}" name="Column8857"/>
    <tableColumn id="8891" xr3:uid="{3E4F0C7B-1258-481C-BAFE-67F91F1264F8}" name="Column8858"/>
    <tableColumn id="8892" xr3:uid="{31799585-AF2F-4D20-BEB0-C16D9908722C}" name="Column8859"/>
    <tableColumn id="8893" xr3:uid="{06E3E27A-365E-4919-8D75-E4633D955138}" name="Column8860"/>
    <tableColumn id="8894" xr3:uid="{E181299B-F34D-46C1-9768-54E81C2BFEAC}" name="Column8861"/>
    <tableColumn id="8895" xr3:uid="{94B614D6-BFF0-44E2-AE08-3C80840F325C}" name="Column8862"/>
    <tableColumn id="8896" xr3:uid="{5A9ECF6D-4586-4229-A9FF-3A07A5158B1D}" name="Column8863"/>
    <tableColumn id="8897" xr3:uid="{86FDD569-2323-4950-BAFB-7A0A6C268813}" name="Column8864"/>
    <tableColumn id="8898" xr3:uid="{638E7F77-C479-4BA6-81FD-C7264F348723}" name="Column8865"/>
    <tableColumn id="8899" xr3:uid="{A344F4B9-9A6C-4960-B088-AB3D46B4F99C}" name="Column8866"/>
    <tableColumn id="8900" xr3:uid="{08D553D0-A8BD-4B6B-9554-7F678A973414}" name="Column8867"/>
    <tableColumn id="8901" xr3:uid="{3D59F9CA-01CF-46E6-ACE6-5D8DC5BB98DA}" name="Column8868"/>
    <tableColumn id="8902" xr3:uid="{B6569C6B-126F-4617-BBD7-7CD4BAE799F9}" name="Column8869"/>
    <tableColumn id="8903" xr3:uid="{5F11C0C7-D342-4B12-A8F6-88565FAAA0E2}" name="Column8870"/>
    <tableColumn id="8904" xr3:uid="{26047ADD-077C-4FA7-83C6-270C84449941}" name="Column8871"/>
    <tableColumn id="8905" xr3:uid="{EFB5F93A-F296-4F4F-90B9-A2408114BCD5}" name="Column8872"/>
    <tableColumn id="8906" xr3:uid="{976A11A8-F77E-44AC-8928-4D9209E031DA}" name="Column8873"/>
    <tableColumn id="8907" xr3:uid="{F547D66D-39EB-44E5-9555-81D9475CA1B7}" name="Column8874"/>
    <tableColumn id="8908" xr3:uid="{5B808896-69CF-4AE4-A81D-338DB6956B55}" name="Column8875"/>
    <tableColumn id="8909" xr3:uid="{78730528-0ECD-4719-8EF8-3C66A3E6649D}" name="Column8876"/>
    <tableColumn id="8910" xr3:uid="{719FD366-0760-44E8-AB91-EF9CEAF635D3}" name="Column8877"/>
    <tableColumn id="8911" xr3:uid="{8A2EDFD8-E914-4957-85DB-AC83E04A327F}" name="Column8878"/>
    <tableColumn id="8912" xr3:uid="{CD53D5E2-36FF-4086-A559-CE780817E2D5}" name="Column8879"/>
    <tableColumn id="8913" xr3:uid="{B0A2E9C0-5F14-4008-9833-BC97485E34C9}" name="Column8880"/>
    <tableColumn id="8914" xr3:uid="{7EF8128A-7D97-4F89-8A13-0B8D1721CB1C}" name="Column8881"/>
    <tableColumn id="8915" xr3:uid="{95D8C149-C249-4EF2-B182-F9EBD1DCE32D}" name="Column8882"/>
    <tableColumn id="8916" xr3:uid="{46880AB3-49D1-4157-A558-06CB11E41183}" name="Column8883"/>
    <tableColumn id="8917" xr3:uid="{C260D364-C486-4E1D-A73B-E67FA9BE7019}" name="Column8884"/>
    <tableColumn id="8918" xr3:uid="{48D48766-97AE-40DD-B8EA-C5A6796C7515}" name="Column8885"/>
    <tableColumn id="8919" xr3:uid="{D73B3DA7-0105-4A3F-847B-A3F3DB6028EE}" name="Column8886"/>
    <tableColumn id="8920" xr3:uid="{ED0E510D-45E6-4D87-A387-F92BD674A9CD}" name="Column8887"/>
    <tableColumn id="8921" xr3:uid="{7A36F669-FE5F-4BC9-8A32-D4B1DA54E56A}" name="Column8888"/>
    <tableColumn id="8922" xr3:uid="{974C08F3-D806-4EDA-848E-24419F61FA63}" name="Column8889"/>
    <tableColumn id="8923" xr3:uid="{C2E31D0E-13A9-45EC-9147-8B487C1D2B06}" name="Column8890"/>
    <tableColumn id="8924" xr3:uid="{0AFEDF36-3085-404D-A1D2-3CE25A02A515}" name="Column8891"/>
    <tableColumn id="8925" xr3:uid="{6869F86E-811C-401F-8B0F-F4FFB9E9EB2F}" name="Column8892"/>
    <tableColumn id="8926" xr3:uid="{4B843FE0-8680-49A7-A2A5-1E48C99890EC}" name="Column8893"/>
    <tableColumn id="8927" xr3:uid="{488F7CD0-6E34-49C4-8A64-9921D38DC059}" name="Column8894"/>
    <tableColumn id="8928" xr3:uid="{13055EAE-DC1D-4FEF-A09B-D066A76A68A2}" name="Column8895"/>
    <tableColumn id="8929" xr3:uid="{D87947CC-DEF0-4312-B6D5-ECCE72177538}" name="Column8896"/>
    <tableColumn id="8930" xr3:uid="{F4D6D234-3BFE-4F6D-8A44-FA1E2B5E49E1}" name="Column8897"/>
    <tableColumn id="8931" xr3:uid="{51180733-6AD6-4F3F-8732-8446C4EA6700}" name="Column8898"/>
    <tableColumn id="8932" xr3:uid="{4B90D613-5928-4762-BA0A-4C34CB423E7E}" name="Column8899"/>
    <tableColumn id="8933" xr3:uid="{56E48339-A042-4257-B438-E98CE859A7D3}" name="Column8900"/>
    <tableColumn id="8934" xr3:uid="{1F99AC58-28EF-4E42-836D-98A82B648295}" name="Column8901"/>
    <tableColumn id="8935" xr3:uid="{95D43E96-4AA0-44AB-A171-3CBE325B9A1D}" name="Column8902"/>
    <tableColumn id="8936" xr3:uid="{60F3C66A-121F-4246-8490-3A706713274D}" name="Column8903"/>
    <tableColumn id="8937" xr3:uid="{75B0B2EB-26B0-48C6-94ED-3DBE1873EE31}" name="Column8904"/>
    <tableColumn id="8938" xr3:uid="{DE7C13EE-3918-4684-AB02-E84C18CE659B}" name="Column8905"/>
    <tableColumn id="8939" xr3:uid="{7BBF8B76-7568-4609-BB9A-2365C29406F4}" name="Column8906"/>
    <tableColumn id="8940" xr3:uid="{D80C2D2C-5C25-4C98-B314-A705A311A172}" name="Column8907"/>
    <tableColumn id="8941" xr3:uid="{F6B45D80-1514-4321-A23C-E3E87E5F3C38}" name="Column8908"/>
    <tableColumn id="8942" xr3:uid="{928255EB-D93E-493C-85D0-5AD44EB17065}" name="Column8909"/>
    <tableColumn id="8943" xr3:uid="{490987E5-4560-4A3F-8D0C-1DCD746AAF24}" name="Column8910"/>
    <tableColumn id="8944" xr3:uid="{5714273E-AF0F-4AB8-80C3-69D7B0946F34}" name="Column8911"/>
    <tableColumn id="8945" xr3:uid="{B0F1155F-BE90-488F-9BDA-643ED5C580FC}" name="Column8912"/>
    <tableColumn id="8946" xr3:uid="{D0E1CE21-E04D-47DE-B8AB-DB593EEEA451}" name="Column8913"/>
    <tableColumn id="8947" xr3:uid="{07F2F7E3-62A0-44FB-A0D9-698C6035FAAE}" name="Column8914"/>
    <tableColumn id="8948" xr3:uid="{2EDBA17F-9474-4E37-B4DA-0A06D9D11C86}" name="Column8915"/>
    <tableColumn id="8949" xr3:uid="{FBF3028A-2B36-47BC-B33B-B182A80E062F}" name="Column8916"/>
    <tableColumn id="8950" xr3:uid="{E255F8B1-F338-4FC9-BF42-74B0D7C0F5FA}" name="Column8917"/>
    <tableColumn id="8951" xr3:uid="{C496A46D-CB0A-4112-9406-81E918588688}" name="Column8918"/>
    <tableColumn id="8952" xr3:uid="{9A9C7A81-FB1E-4AB6-B6F8-1D9BE49DFFFB}" name="Column8919"/>
    <tableColumn id="8953" xr3:uid="{878118E9-8227-430F-8EC6-106C4A635261}" name="Column8920"/>
    <tableColumn id="8954" xr3:uid="{E8C5349E-F005-47F6-A39C-4219B48921F2}" name="Column8921"/>
    <tableColumn id="8955" xr3:uid="{F775058D-6E6B-4660-8F6D-6AEB771E97D9}" name="Column8922"/>
    <tableColumn id="8956" xr3:uid="{83B9663E-9E2B-42E7-B424-B5E754096001}" name="Column8923"/>
    <tableColumn id="8957" xr3:uid="{B16B2C14-9D4B-41BB-8C9F-232DF4632613}" name="Column8924"/>
    <tableColumn id="8958" xr3:uid="{C14B28BE-8E59-4A8E-939E-3A45487C1EB0}" name="Column8925"/>
    <tableColumn id="8959" xr3:uid="{D8CC1C0F-B97B-4846-AE86-9D4F0C777995}" name="Column8926"/>
    <tableColumn id="8960" xr3:uid="{C4CED8B1-EF74-459E-8E0B-7AF64486C482}" name="Column8927"/>
    <tableColumn id="8961" xr3:uid="{E23D152E-AD6D-41A3-A5CA-ED8E696FC7B4}" name="Column8928"/>
    <tableColumn id="8962" xr3:uid="{5759A1CE-D37C-41A9-8A57-15323707391B}" name="Column8929"/>
    <tableColumn id="8963" xr3:uid="{788CF7FF-0D53-4B58-813F-73F6881AF42B}" name="Column8930"/>
    <tableColumn id="8964" xr3:uid="{F3849B8B-E2BB-4B59-A876-F7B2319835A6}" name="Column8931"/>
    <tableColumn id="8965" xr3:uid="{25FB7A4F-631E-43A4-8EDA-88D9E4EBDFF1}" name="Column8932"/>
    <tableColumn id="8966" xr3:uid="{08601FAB-E7E4-4056-AC2A-C1B357C97C0E}" name="Column8933"/>
    <tableColumn id="8967" xr3:uid="{41C2CD9F-2628-419B-8274-2508EC856334}" name="Column8934"/>
    <tableColumn id="8968" xr3:uid="{FDAA093F-4FFB-4318-B160-7BF21FEECAD3}" name="Column8935"/>
    <tableColumn id="8969" xr3:uid="{652FD5DB-FBA8-4CAC-BF22-DFB747E013F5}" name="Column8936"/>
    <tableColumn id="8970" xr3:uid="{AE94A5E8-0B91-42C3-8482-D9A026FD145F}" name="Column8937"/>
    <tableColumn id="8971" xr3:uid="{3E49AB6F-76A2-4C44-92FB-06EEEF790501}" name="Column8938"/>
    <tableColumn id="8972" xr3:uid="{44AF5009-0FD7-4B43-B50E-7754DE0FF16F}" name="Column8939"/>
    <tableColumn id="8973" xr3:uid="{4376F65F-9DA3-4349-A4D0-E441736CA9BB}" name="Column8940"/>
    <tableColumn id="8974" xr3:uid="{3092504E-83AC-471D-AF1B-537250FC0374}" name="Column8941"/>
    <tableColumn id="8975" xr3:uid="{05C0A913-429F-4D9E-A95F-F06C1FB85601}" name="Column8942"/>
    <tableColumn id="8976" xr3:uid="{621E27F0-9B72-49E6-A247-86D9534C3BDC}" name="Column8943"/>
    <tableColumn id="8977" xr3:uid="{3365E012-9994-4CD9-94AD-EB4531163E34}" name="Column8944"/>
    <tableColumn id="8978" xr3:uid="{004476BD-5937-4443-9ED9-E8CB1786F21C}" name="Column8945"/>
    <tableColumn id="8979" xr3:uid="{4E7180B7-56AF-4895-B1E1-0F769FD71318}" name="Column8946"/>
    <tableColumn id="8980" xr3:uid="{A67C8A3B-65D2-4A87-9422-D19384C26D62}" name="Column8947"/>
    <tableColumn id="8981" xr3:uid="{B188414A-1DD9-439F-B4AE-6982F119F9FA}" name="Column8948"/>
    <tableColumn id="8982" xr3:uid="{B00F2DD6-9BB9-470A-B3D8-F18A69998D7F}" name="Column8949"/>
    <tableColumn id="8983" xr3:uid="{0372B1BA-384D-47D3-A07C-C2BA31513463}" name="Column8950"/>
    <tableColumn id="8984" xr3:uid="{0E4BDA4B-88D2-4A10-B8FA-754957F77162}" name="Column8951"/>
    <tableColumn id="8985" xr3:uid="{F5ACD82E-3E21-4D05-9702-A23AB6C9B12B}" name="Column8952"/>
    <tableColumn id="8986" xr3:uid="{10B2AE9B-F1B3-4CCE-95C7-232805BD015A}" name="Column8953"/>
    <tableColumn id="8987" xr3:uid="{6C011F4D-A8B0-4821-B043-C73EE4696A78}" name="Column8954"/>
    <tableColumn id="8988" xr3:uid="{0DFD1FE2-3330-4C1A-A224-E6FB3BF3A1CB}" name="Column8955"/>
    <tableColumn id="8989" xr3:uid="{37F72A88-824F-4FB7-A005-19253DDB4804}" name="Column8956"/>
    <tableColumn id="8990" xr3:uid="{717EC675-F938-4121-ABF6-D9C922C64C4E}" name="Column8957"/>
    <tableColumn id="8991" xr3:uid="{66FFCC15-2824-464E-93E5-F0906B7818B9}" name="Column8958"/>
    <tableColumn id="8992" xr3:uid="{66925361-D9B9-44F1-BF2E-2543B683B82C}" name="Column8959"/>
    <tableColumn id="8993" xr3:uid="{53A81B0A-1431-4E9E-AA0E-A7AD922F9717}" name="Column8960"/>
    <tableColumn id="8994" xr3:uid="{DC27EDEA-B42E-4CBB-841F-431623148EAB}" name="Column8961"/>
    <tableColumn id="8995" xr3:uid="{1DE29233-2C69-4D34-AF0A-C3EDBE6932C9}" name="Column8962"/>
    <tableColumn id="8996" xr3:uid="{459ED771-57BB-4553-AF38-3B7E3ECBD04E}" name="Column8963"/>
    <tableColumn id="8997" xr3:uid="{6786C959-531F-45AC-AF21-5782BCD9CCFF}" name="Column8964"/>
    <tableColumn id="8998" xr3:uid="{E96204F4-34A2-4396-892A-B15F44B23FF3}" name="Column8965"/>
    <tableColumn id="8999" xr3:uid="{8F071541-7057-444F-A5FD-22476F16FD7D}" name="Column8966"/>
    <tableColumn id="9000" xr3:uid="{9556F57F-BD80-4502-8BCB-D9220900FDFF}" name="Column8967"/>
    <tableColumn id="9001" xr3:uid="{ACED3687-98A6-4971-8E0F-7AB34F630ADC}" name="Column8968"/>
    <tableColumn id="9002" xr3:uid="{5BDF5EBC-CC44-4376-A912-C4E70050663D}" name="Column8969"/>
    <tableColumn id="9003" xr3:uid="{376922F8-3A67-43FE-80FF-E4DDA7236A32}" name="Column8970"/>
    <tableColumn id="9004" xr3:uid="{6C659365-CF45-43C8-B4FF-739405382152}" name="Column8971"/>
    <tableColumn id="9005" xr3:uid="{32490824-881E-443D-850F-F11FE2E8A8AE}" name="Column8972"/>
    <tableColumn id="9006" xr3:uid="{F0751D57-FE1E-4C9A-A345-868651732208}" name="Column8973"/>
    <tableColumn id="9007" xr3:uid="{B81CD737-625F-4E78-9B9F-6D0A615B6419}" name="Column8974"/>
    <tableColumn id="9008" xr3:uid="{184E4BD7-8C75-48D4-894A-3D2D690648CA}" name="Column8975"/>
    <tableColumn id="9009" xr3:uid="{A1071A8E-CEE4-4080-BEAA-92FF5D877AD9}" name="Column8976"/>
    <tableColumn id="9010" xr3:uid="{38070A14-6CF5-4644-BDAD-28BB62F34379}" name="Column8977"/>
    <tableColumn id="9011" xr3:uid="{DC65CD02-1714-444A-B2F4-10BB4D09CEB0}" name="Column8978"/>
    <tableColumn id="9012" xr3:uid="{156B4404-5257-4D04-904B-738D83EE7DA8}" name="Column8979"/>
    <tableColumn id="9013" xr3:uid="{5CA195FB-BD12-4C71-BFD5-2B413FA77AE3}" name="Column8980"/>
    <tableColumn id="9014" xr3:uid="{8E1E7055-E282-4D1E-BF7E-BF8FE089DC08}" name="Column8981"/>
    <tableColumn id="9015" xr3:uid="{5D697D57-EB01-402D-AA15-AA112BE8DF96}" name="Column8982"/>
    <tableColumn id="9016" xr3:uid="{C8901586-700C-4E6F-BEB8-8F66D01BC046}" name="Column8983"/>
    <tableColumn id="9017" xr3:uid="{E2BE4690-F755-401C-8605-2E98E17EE78E}" name="Column8984"/>
    <tableColumn id="9018" xr3:uid="{FCF84EE8-72A8-4CCB-9BB4-50CC6F2607EE}" name="Column8985"/>
    <tableColumn id="9019" xr3:uid="{30B33470-B6A5-4173-977E-1B9559A56734}" name="Column8986"/>
    <tableColumn id="9020" xr3:uid="{B4642810-641E-44B2-90F5-5C0BE94E0C0B}" name="Column8987"/>
    <tableColumn id="9021" xr3:uid="{6611CBBB-A91D-4788-BF23-834E5ED0FC04}" name="Column8988"/>
    <tableColumn id="9022" xr3:uid="{C65A8045-0C81-4A10-A9C4-EBC4091B201D}" name="Column8989"/>
    <tableColumn id="9023" xr3:uid="{C5D42963-86E0-4AA5-82F7-27963D424498}" name="Column8990"/>
    <tableColumn id="9024" xr3:uid="{0BEA016F-414B-4421-8ECA-411C579890D1}" name="Column8991"/>
    <tableColumn id="9025" xr3:uid="{D3E4F492-A691-47AA-9846-9C7F1DE53E71}" name="Column8992"/>
    <tableColumn id="9026" xr3:uid="{5BD06201-9F43-43F5-BAEF-838B45EE62C7}" name="Column8993"/>
    <tableColumn id="9027" xr3:uid="{1599E634-A1AC-474E-8625-27B1206D2DD2}" name="Column8994"/>
    <tableColumn id="9028" xr3:uid="{FE025838-30FF-4585-961D-6DA0C275236D}" name="Column8995"/>
    <tableColumn id="9029" xr3:uid="{BA836DEC-A4A6-49CF-B48E-C16B515E3CC7}" name="Column8996"/>
    <tableColumn id="9030" xr3:uid="{44A522DB-2677-45A4-94A6-FFDC091FD707}" name="Column8997"/>
    <tableColumn id="9031" xr3:uid="{CBDB22CF-7DEA-44B4-8239-83AF037022A5}" name="Column8998"/>
    <tableColumn id="9032" xr3:uid="{CB763092-5574-403A-98AE-64EDC76A6D4B}" name="Column8999"/>
    <tableColumn id="9033" xr3:uid="{0EF57196-E582-45E4-B7DA-7AB15FC62AB7}" name="Column9000"/>
    <tableColumn id="9034" xr3:uid="{D8926A84-40F1-483B-B07D-9B0293D10466}" name="Column9001"/>
    <tableColumn id="9035" xr3:uid="{626E2915-BEEF-43A8-80D3-998FD0C73FB0}" name="Column9002"/>
    <tableColumn id="9036" xr3:uid="{A7E3F524-BF3C-488A-AE14-EFBF50D15497}" name="Column9003"/>
    <tableColumn id="9037" xr3:uid="{75DB9D85-759E-49D0-8252-9C92B71A13BB}" name="Column9004"/>
    <tableColumn id="9038" xr3:uid="{7077ADD5-AA45-4AE8-95B8-333EBC5A97D4}" name="Column9005"/>
    <tableColumn id="9039" xr3:uid="{393A0E56-5D79-4110-AD20-C2B3D7DD0E3B}" name="Column9006"/>
    <tableColumn id="9040" xr3:uid="{FD2A4601-2FFA-4D46-B3C6-44066E85179C}" name="Column9007"/>
    <tableColumn id="9041" xr3:uid="{DFE8C246-C0E0-4D55-B968-567A6D84CA15}" name="Column9008"/>
    <tableColumn id="9042" xr3:uid="{E6C6EF80-5E36-4B72-BEB4-83225C41FB72}" name="Column9009"/>
    <tableColumn id="9043" xr3:uid="{BE67A42F-FAEC-4EBF-9BDA-9AC3A8481D6C}" name="Column9010"/>
    <tableColumn id="9044" xr3:uid="{C1D0E309-FF7D-4918-843A-11FFA1365DA8}" name="Column9011"/>
    <tableColumn id="9045" xr3:uid="{29CC657E-95B8-47DD-B813-B874E8629241}" name="Column9012"/>
    <tableColumn id="9046" xr3:uid="{A204D3EE-D64B-4690-9BB9-8F9CD935D484}" name="Column9013"/>
    <tableColumn id="9047" xr3:uid="{5645A82B-A359-4D1A-A702-CC8DA2C202DE}" name="Column9014"/>
    <tableColumn id="9048" xr3:uid="{8E0A44BF-2EB4-439C-9A4D-5ADE571F71D9}" name="Column9015"/>
    <tableColumn id="9049" xr3:uid="{ED4F7350-4EA8-4E1F-957F-5ECD509CA67B}" name="Column9016"/>
    <tableColumn id="9050" xr3:uid="{84AF7003-CECB-4117-9A55-9F762EB889D7}" name="Column9017"/>
    <tableColumn id="9051" xr3:uid="{3CF5A70F-2F8F-4D66-8A9B-23E12E21060B}" name="Column9018"/>
    <tableColumn id="9052" xr3:uid="{48B49FD0-8BB8-4EC6-96DB-E491EB9B5B5E}" name="Column9019"/>
    <tableColumn id="9053" xr3:uid="{6DBAF5C9-ED7D-48B1-93ED-06CE0343E95B}" name="Column9020"/>
    <tableColumn id="9054" xr3:uid="{DD168432-926D-46B1-A4F6-4D39B20A75BD}" name="Column9021"/>
    <tableColumn id="9055" xr3:uid="{5B6703BF-30D8-490C-A3AF-2DF373603B35}" name="Column9022"/>
    <tableColumn id="9056" xr3:uid="{F38730C5-B126-462C-AA13-204A13A58AFD}" name="Column9023"/>
    <tableColumn id="9057" xr3:uid="{43DB462B-7AE8-4B96-82A7-293E5F249E75}" name="Column9024"/>
    <tableColumn id="9058" xr3:uid="{096F5EA6-9E1F-483B-8E4A-31564CCB9CAD}" name="Column9025"/>
    <tableColumn id="9059" xr3:uid="{81CA39B7-0870-43C8-9C61-41541C2EA4C6}" name="Column9026"/>
    <tableColumn id="9060" xr3:uid="{E6A5A11F-32FA-4A74-BE49-480ACE8952A8}" name="Column9027"/>
    <tableColumn id="9061" xr3:uid="{C91418A6-4B21-4AFB-A533-381562EFE483}" name="Column9028"/>
    <tableColumn id="9062" xr3:uid="{AB195927-0E66-4467-B0FF-C591C4CE9E77}" name="Column9029"/>
    <tableColumn id="9063" xr3:uid="{F3CE76A8-C57A-40B3-AB6F-6565724AA37D}" name="Column9030"/>
    <tableColumn id="9064" xr3:uid="{1DD345F9-6733-45AE-A751-7B796068D28B}" name="Column9031"/>
    <tableColumn id="9065" xr3:uid="{43BD65F4-686B-43B8-A965-8D80B0B3BFF2}" name="Column9032"/>
    <tableColumn id="9066" xr3:uid="{89E5A630-B543-40C3-B552-C322431D0074}" name="Column9033"/>
    <tableColumn id="9067" xr3:uid="{1F1CC349-341E-42B7-BE9A-52526174B28F}" name="Column9034"/>
    <tableColumn id="9068" xr3:uid="{10E8C5DB-14CF-4163-9D1E-5D80C0742E11}" name="Column9035"/>
    <tableColumn id="9069" xr3:uid="{8145B78D-1569-4B9A-BC18-D6D5BED934FC}" name="Column9036"/>
    <tableColumn id="9070" xr3:uid="{74FA73C9-12D1-4EEB-8CAE-C028EB548452}" name="Column9037"/>
    <tableColumn id="9071" xr3:uid="{4303D79E-72B5-4CC3-94B6-6169D79FFEA9}" name="Column9038"/>
    <tableColumn id="9072" xr3:uid="{5F3F24A9-192C-4470-9259-810B36D971DD}" name="Column9039"/>
    <tableColumn id="9073" xr3:uid="{9AF2D4D0-8BE7-4D1F-8C15-D21C8E8C6288}" name="Column9040"/>
    <tableColumn id="9074" xr3:uid="{70172C4C-F6DD-4DA4-BBA2-7CEE26615BC7}" name="Column9041"/>
    <tableColumn id="9075" xr3:uid="{0AA9D54A-B78E-4E53-9A2F-1A5C4904496A}" name="Column9042"/>
    <tableColumn id="9076" xr3:uid="{EB715EC3-2409-4226-9750-27420990BF70}" name="Column9043"/>
    <tableColumn id="9077" xr3:uid="{73180BA3-5B26-45FA-BD1B-C9085E7354CE}" name="Column9044"/>
    <tableColumn id="9078" xr3:uid="{0CC9628C-288C-437E-8B00-C39A447F8C23}" name="Column9045"/>
    <tableColumn id="9079" xr3:uid="{D9476008-401E-4140-B88C-2E86A91294F6}" name="Column9046"/>
    <tableColumn id="9080" xr3:uid="{7B2F2917-3844-4AB7-9E3E-43AB392FB5B1}" name="Column9047"/>
    <tableColumn id="9081" xr3:uid="{D4E4D9AB-D100-485C-9C9F-D83E0019DE11}" name="Column9048"/>
    <tableColumn id="9082" xr3:uid="{CC1B80BC-E01F-4EFB-9756-274A2158172B}" name="Column9049"/>
    <tableColumn id="9083" xr3:uid="{1198EB5C-88C7-4460-A995-D55A9236FA95}" name="Column9050"/>
    <tableColumn id="9084" xr3:uid="{B4B288D8-8A52-4B54-9924-75435B89B621}" name="Column9051"/>
    <tableColumn id="9085" xr3:uid="{7A706D7A-BE70-45D9-AEE2-24ACBBD5D66F}" name="Column9052"/>
    <tableColumn id="9086" xr3:uid="{0E7BCECA-21B0-4D3E-90AB-B92F5F2787E8}" name="Column9053"/>
    <tableColumn id="9087" xr3:uid="{AE28800E-DECA-41AE-958C-D6A207B67E94}" name="Column9054"/>
    <tableColumn id="9088" xr3:uid="{4850265C-94EE-401D-93D4-1835AC3EB0DE}" name="Column9055"/>
    <tableColumn id="9089" xr3:uid="{BCD22FF8-A360-4CC7-A9EF-ACFE82E5D85B}" name="Column9056"/>
    <tableColumn id="9090" xr3:uid="{194FD46C-D35B-4CC0-AFB3-F5EBA7CF60D0}" name="Column9057"/>
    <tableColumn id="9091" xr3:uid="{392C24F3-DF6B-4F85-B01A-D94C3B6539AF}" name="Column9058"/>
    <tableColumn id="9092" xr3:uid="{C8BE3F2B-E50B-4F6E-A9ED-0A22B9C9C9D3}" name="Column9059"/>
    <tableColumn id="9093" xr3:uid="{D0C45EDD-38B9-4A88-8D9B-D135A1C532CB}" name="Column9060"/>
    <tableColumn id="9094" xr3:uid="{EE4DF962-DD66-407D-9D91-F577085CB762}" name="Column9061"/>
    <tableColumn id="9095" xr3:uid="{2F890C18-FAB0-46D2-962D-70BECC3C2008}" name="Column9062"/>
    <tableColumn id="9096" xr3:uid="{86D46692-1780-44B6-9406-778107674CCF}" name="Column9063"/>
    <tableColumn id="9097" xr3:uid="{C599E64E-7001-4CE2-99F7-63F87B67758A}" name="Column9064"/>
    <tableColumn id="9098" xr3:uid="{A68C0962-8D45-4176-8D36-61DCB3657F46}" name="Column9065"/>
    <tableColumn id="9099" xr3:uid="{7ABB21CA-BE6F-4E5D-A646-4504449075B7}" name="Column9066"/>
    <tableColumn id="9100" xr3:uid="{93F27D15-1EEC-4771-A8DC-E8742D47392E}" name="Column9067"/>
    <tableColumn id="9101" xr3:uid="{674A598E-393A-43AC-8C47-F2C1608F1D60}" name="Column9068"/>
    <tableColumn id="9102" xr3:uid="{568A6213-0E39-4387-9919-33D26DCAC686}" name="Column9069"/>
    <tableColumn id="9103" xr3:uid="{DD46AFC7-D11E-4B15-9A90-5D36B43FC387}" name="Column9070"/>
    <tableColumn id="9104" xr3:uid="{21383791-EDC4-4046-B1F5-E3717230C18C}" name="Column9071"/>
    <tableColumn id="9105" xr3:uid="{4F87553D-BF1F-44FB-8905-34077DFB639E}" name="Column9072"/>
    <tableColumn id="9106" xr3:uid="{D87152D5-87D9-4EBB-9A71-0432DF90E942}" name="Column9073"/>
    <tableColumn id="9107" xr3:uid="{BEF8B258-1C79-498D-B8A9-C0500F0170EC}" name="Column9074"/>
    <tableColumn id="9108" xr3:uid="{73050D2B-C73F-4A2B-9BFD-938D775AD449}" name="Column9075"/>
    <tableColumn id="9109" xr3:uid="{88B6ACEE-0E26-42AD-98B5-D5B2678A16DF}" name="Column9076"/>
    <tableColumn id="9110" xr3:uid="{C6531E31-ED96-4BD1-8567-A32978722CA4}" name="Column9077"/>
    <tableColumn id="9111" xr3:uid="{5DB61DD1-7D43-4EAD-9F2B-39B8D24468F7}" name="Column9078"/>
    <tableColumn id="9112" xr3:uid="{90E72C8E-7000-4D4F-B389-3335FC386A28}" name="Column9079"/>
    <tableColumn id="9113" xr3:uid="{8915B84D-B98F-4815-8172-666E001043CB}" name="Column9080"/>
    <tableColumn id="9114" xr3:uid="{BDB8E7BD-6D4E-458F-A92C-D0CEA81E18E3}" name="Column9081"/>
    <tableColumn id="9115" xr3:uid="{AE5B6497-26D5-4143-8110-7285D03F4A3F}" name="Column9082"/>
    <tableColumn id="9116" xr3:uid="{46BFF2EB-3F90-4843-BE02-6EC7AC530389}" name="Column9083"/>
    <tableColumn id="9117" xr3:uid="{9915AD27-DD47-4139-B2E8-759AC9451658}" name="Column9084"/>
    <tableColumn id="9118" xr3:uid="{C9C62B62-2AC2-451C-8B3E-B1F09CFED6EB}" name="Column9085"/>
    <tableColumn id="9119" xr3:uid="{2EBBFE86-502B-44B4-968C-4A64CADA3AED}" name="Column9086"/>
    <tableColumn id="9120" xr3:uid="{86583FD2-0147-48B4-96AD-9A4EBDA39A19}" name="Column9087"/>
    <tableColumn id="9121" xr3:uid="{AFE57880-1170-41D4-9A97-706D86A7F67A}" name="Column9088"/>
    <tableColumn id="9122" xr3:uid="{64486FA7-8848-46F7-BF57-7CFAD9807D27}" name="Column9089"/>
    <tableColumn id="9123" xr3:uid="{4801CF24-F5EF-4793-A28C-08B5DBC1C5C2}" name="Column9090"/>
    <tableColumn id="9124" xr3:uid="{9641AA11-C31D-47B6-BA8C-DCA22765E846}" name="Column9091"/>
    <tableColumn id="9125" xr3:uid="{4F588953-4A87-436E-A5B3-3222EE5276F5}" name="Column9092"/>
    <tableColumn id="9126" xr3:uid="{F24492D5-0DD8-4F4C-AB8C-5012899E6CBD}" name="Column9093"/>
    <tableColumn id="9127" xr3:uid="{5D2F9056-157E-43EE-AA8F-24C8D9D6A735}" name="Column9094"/>
    <tableColumn id="9128" xr3:uid="{0D30BE20-DF15-4695-9824-B9B491AAF7D3}" name="Column9095"/>
    <tableColumn id="9129" xr3:uid="{67D1BCC4-E2C0-4519-9A83-023D5D6E6103}" name="Column9096"/>
    <tableColumn id="9130" xr3:uid="{1C73C695-2D50-4C6A-84D6-4958D291E283}" name="Column9097"/>
    <tableColumn id="9131" xr3:uid="{A0EB9B29-1A88-4209-B0FE-16FB140E0A81}" name="Column9098"/>
    <tableColumn id="9132" xr3:uid="{DE886678-05DA-465A-AC80-58C336347F10}" name="Column9099"/>
    <tableColumn id="9133" xr3:uid="{3E9878DA-8B98-4D1D-93AC-A1EF4A5FF180}" name="Column9100"/>
    <tableColumn id="9134" xr3:uid="{8F3D6231-7B8F-4A92-A905-CEAC31339940}" name="Column9101"/>
    <tableColumn id="9135" xr3:uid="{31277A4E-2CB9-49E8-8FBF-097B5940EFD4}" name="Column9102"/>
    <tableColumn id="9136" xr3:uid="{24A4C8C7-C0D1-48BB-A231-FA44031BDEDB}" name="Column9103"/>
    <tableColumn id="9137" xr3:uid="{820927DD-D036-4B43-9D78-3592F9AB529D}" name="Column9104"/>
    <tableColumn id="9138" xr3:uid="{4E8EAED5-A442-4723-82F2-4318A33A4AF5}" name="Column9105"/>
    <tableColumn id="9139" xr3:uid="{EEBBEA83-D0D3-4388-865E-8AC390141BF4}" name="Column9106"/>
    <tableColumn id="9140" xr3:uid="{A41736CE-49B5-43C2-A1F3-DCEA247B9431}" name="Column9107"/>
    <tableColumn id="9141" xr3:uid="{823B4AA3-A69C-4570-8FDF-6DD8871F66B6}" name="Column9108"/>
    <tableColumn id="9142" xr3:uid="{0A4EF7C9-36D0-438C-A861-FCA56C210D29}" name="Column9109"/>
    <tableColumn id="9143" xr3:uid="{7DDADEEB-BD02-4DCE-A774-1A40E52382DA}" name="Column9110"/>
    <tableColumn id="9144" xr3:uid="{4FC0C6A8-8BBE-4AC4-BFB6-6D6107202C89}" name="Column9111"/>
    <tableColumn id="9145" xr3:uid="{1EB54491-4A66-45B5-BFBE-556AB93F092C}" name="Column9112"/>
    <tableColumn id="9146" xr3:uid="{EA1609F2-1390-47FD-91D2-54EDC185127A}" name="Column9113"/>
    <tableColumn id="9147" xr3:uid="{3ECAE9E6-D8DD-4D43-BFED-15665C28A48F}" name="Column9114"/>
    <tableColumn id="9148" xr3:uid="{242EFAF7-B1D5-43E0-A81A-2A7ABA7997A7}" name="Column9115"/>
    <tableColumn id="9149" xr3:uid="{001F8CEE-69D3-438F-90DA-92D01FBB6900}" name="Column9116"/>
    <tableColumn id="9150" xr3:uid="{A6ECDC3B-A6FF-445A-9C18-DEA44B86C5FD}" name="Column9117"/>
    <tableColumn id="9151" xr3:uid="{D90D28DF-E4CE-49F9-8D3C-B87B68956133}" name="Column9118"/>
    <tableColumn id="9152" xr3:uid="{A438CF8E-E7D9-44D3-A7D0-C78F2FAD238B}" name="Column9119"/>
    <tableColumn id="9153" xr3:uid="{8BB0FC9A-986E-432D-8E70-5003B1D29684}" name="Column9120"/>
    <tableColumn id="9154" xr3:uid="{5A4D2455-0A8A-4BD1-AEF6-21E82D39A1F3}" name="Column9121"/>
    <tableColumn id="9155" xr3:uid="{71AA4575-F9C6-4CB6-A010-A56B031C5EA9}" name="Column9122"/>
    <tableColumn id="9156" xr3:uid="{83A018F1-31AB-43A0-A9D5-B76E2EF12945}" name="Column9123"/>
    <tableColumn id="9157" xr3:uid="{3707B76F-4466-4D6B-AED4-A82818CA66F3}" name="Column9124"/>
    <tableColumn id="9158" xr3:uid="{C1449843-B7D1-4D18-8F73-AF1ABAAE13C5}" name="Column9125"/>
    <tableColumn id="9159" xr3:uid="{B1A95A6A-8ED7-4AF3-B0C5-0DA6E789AF55}" name="Column9126"/>
    <tableColumn id="9160" xr3:uid="{3E4C7FC2-921A-4A47-984E-F5741BE60C11}" name="Column9127"/>
    <tableColumn id="9161" xr3:uid="{648E85F9-92A8-44C7-A3EE-C3E0DACF0FB2}" name="Column9128"/>
    <tableColumn id="9162" xr3:uid="{0767B983-7E84-45A6-BDBA-50C2C8E2E8FB}" name="Column9129"/>
    <tableColumn id="9163" xr3:uid="{053023CA-BD54-4DD4-A61F-CBC010AAF615}" name="Column9130"/>
    <tableColumn id="9164" xr3:uid="{66C155CA-24F7-456F-BA30-ED007CFEB014}" name="Column9131"/>
    <tableColumn id="9165" xr3:uid="{F58F6E19-A6D5-49BC-B4A4-A3241C7C71E7}" name="Column9132"/>
    <tableColumn id="9166" xr3:uid="{727F2073-AE2C-4B77-A5F9-F83A3327EC82}" name="Column9133"/>
    <tableColumn id="9167" xr3:uid="{7E534FBA-B605-46EF-AAD5-7EB7CD83BB1F}" name="Column9134"/>
    <tableColumn id="9168" xr3:uid="{B07313F2-513A-4EA7-9253-43C3D4BF3C0C}" name="Column9135"/>
    <tableColumn id="9169" xr3:uid="{63952003-D5E7-4B9D-A1E5-268B5319E406}" name="Column9136"/>
    <tableColumn id="9170" xr3:uid="{4C6B7092-D58C-4BC3-913D-0AF2D108BCDF}" name="Column9137"/>
    <tableColumn id="9171" xr3:uid="{C070F89B-BCA5-4EB8-B8B3-8FC873C72F32}" name="Column9138"/>
    <tableColumn id="9172" xr3:uid="{69F2F622-C461-4678-9757-C5ED0FF2C1B7}" name="Column9139"/>
    <tableColumn id="9173" xr3:uid="{35640D40-EA6A-4F4A-A1DB-BA1A94308BEC}" name="Column9140"/>
    <tableColumn id="9174" xr3:uid="{154DC2E2-C67B-4819-8239-CA0DD7C3EF85}" name="Column9141"/>
    <tableColumn id="9175" xr3:uid="{028ED96A-DE44-45D7-8790-A7FE7784F51F}" name="Column9142"/>
    <tableColumn id="9176" xr3:uid="{31819F4B-3A55-4542-9F87-9783A81DA7EB}" name="Column9143"/>
    <tableColumn id="9177" xr3:uid="{598CF69C-75B4-48CF-96E1-4B77614EB448}" name="Column9144"/>
    <tableColumn id="9178" xr3:uid="{9F585700-5873-48E2-90FD-95A4A06C121A}" name="Column9145"/>
    <tableColumn id="9179" xr3:uid="{810CEE54-AF7D-4974-9254-657298996663}" name="Column9146"/>
    <tableColumn id="9180" xr3:uid="{FECD250C-CC22-4A57-A537-454089B15134}" name="Column9147"/>
    <tableColumn id="9181" xr3:uid="{FA777E36-22C5-4320-A940-82D2F52517FA}" name="Column9148"/>
    <tableColumn id="9182" xr3:uid="{2B9E6F48-C2B1-487D-B088-76AEAF8C1F3F}" name="Column9149"/>
    <tableColumn id="9183" xr3:uid="{E5D5866D-556F-4B38-89FF-4368A13FC0B6}" name="Column9150"/>
    <tableColumn id="9184" xr3:uid="{19B50F2B-310A-4FE9-BC50-DC6E6C08CD96}" name="Column9151"/>
    <tableColumn id="9185" xr3:uid="{972F099A-573B-4E3B-8B53-1B17C865836D}" name="Column9152"/>
    <tableColumn id="9186" xr3:uid="{6DB3CC27-DFF4-4B54-B399-9B53EE28DAA8}" name="Column9153"/>
    <tableColumn id="9187" xr3:uid="{E5F69410-E3F4-48D3-B8A2-729080D8587C}" name="Column9154"/>
    <tableColumn id="9188" xr3:uid="{7DC84378-AD6B-42FD-9187-D90FE165087F}" name="Column9155"/>
    <tableColumn id="9189" xr3:uid="{92B84735-D75C-48ED-8F93-2B2FAF68F226}" name="Column9156"/>
    <tableColumn id="9190" xr3:uid="{AC45DEBB-85D9-4C29-A96F-A1FB167A6979}" name="Column9157"/>
    <tableColumn id="9191" xr3:uid="{B3FA0D23-665E-4498-ABD8-875FCFFC9CB0}" name="Column9158"/>
    <tableColumn id="9192" xr3:uid="{D0DEE97F-2226-4969-BC66-06A2C2C70B11}" name="Column9159"/>
    <tableColumn id="9193" xr3:uid="{64E8F797-07AE-4DEF-AA4F-5AAA25C377B4}" name="Column9160"/>
    <tableColumn id="9194" xr3:uid="{EA340C10-78DB-4C21-A936-44C3BD7DF646}" name="Column9161"/>
    <tableColumn id="9195" xr3:uid="{D08C6CBC-9A7D-4168-907B-05BF80BAC140}" name="Column9162"/>
    <tableColumn id="9196" xr3:uid="{50D9CF86-E93D-44BE-BD65-0282A65563DC}" name="Column9163"/>
    <tableColumn id="9197" xr3:uid="{3E97BE7D-1457-4D12-9857-BA2F9B3D7B2B}" name="Column9164"/>
    <tableColumn id="9198" xr3:uid="{8DC5EE02-E060-4B11-AEC0-5C0F716D8954}" name="Column9165"/>
    <tableColumn id="9199" xr3:uid="{CE098B9F-184B-485A-B006-9BF4DCB129B3}" name="Column9166"/>
    <tableColumn id="9200" xr3:uid="{8B3B65A9-D50E-4B6C-AEDA-7BC2BF10E9FD}" name="Column9167"/>
    <tableColumn id="9201" xr3:uid="{9CC5DD05-0ADC-4EDC-8334-905906E7D3F0}" name="Column9168"/>
    <tableColumn id="9202" xr3:uid="{84F2BC35-EF85-47F9-93A8-11DB5E9A436C}" name="Column9169"/>
    <tableColumn id="9203" xr3:uid="{38632A4E-DF6C-46A2-9B49-42BC87E2DA64}" name="Column9170"/>
    <tableColumn id="9204" xr3:uid="{F7EC6EFF-EFDB-4CFA-8C16-08B59EA12E92}" name="Column9171"/>
    <tableColumn id="9205" xr3:uid="{8DB00558-88DA-4023-95A8-F7A66120397F}" name="Column9172"/>
    <tableColumn id="9206" xr3:uid="{6D198106-8CFB-4694-AE82-550298B3F224}" name="Column9173"/>
    <tableColumn id="9207" xr3:uid="{F0D2FFD9-91A2-42F8-AF39-227D90BA281B}" name="Column9174"/>
    <tableColumn id="9208" xr3:uid="{6B2BF53F-6BDA-4CC5-AC98-E88B5170AD2D}" name="Column9175"/>
    <tableColumn id="9209" xr3:uid="{8BBCE9DE-DC63-4F89-903D-8497EF0C1D0D}" name="Column9176"/>
    <tableColumn id="9210" xr3:uid="{D1A44B2F-8128-4F80-9E3C-D1AE0B55FF91}" name="Column9177"/>
    <tableColumn id="9211" xr3:uid="{ADD410EE-588E-4190-8E19-9EF85A54AE5C}" name="Column9178"/>
    <tableColumn id="9212" xr3:uid="{A33E93B9-46EA-4823-84B7-74306BCF6CEC}" name="Column9179"/>
    <tableColumn id="9213" xr3:uid="{6094D29D-E51C-4A80-A35B-886ECB7C7CFD}" name="Column9180"/>
    <tableColumn id="9214" xr3:uid="{CFFF02B2-0CBD-4192-B4E9-ED7152FD56C1}" name="Column9181"/>
    <tableColumn id="9215" xr3:uid="{FD920872-D93E-4639-BC64-446863221391}" name="Column9182"/>
    <tableColumn id="9216" xr3:uid="{1181078A-6396-4904-B610-E76889EC5269}" name="Column9183"/>
    <tableColumn id="9217" xr3:uid="{5CF7100E-2AFD-4DC3-BD38-89D8A629CE9A}" name="Column9184"/>
    <tableColumn id="9218" xr3:uid="{C076EB68-1FAD-4E59-BF89-764A64492098}" name="Column9185"/>
    <tableColumn id="9219" xr3:uid="{5DAD56F5-2D7B-4A23-8B89-58F7030881DB}" name="Column9186"/>
    <tableColumn id="9220" xr3:uid="{13AB0FFE-C0BB-4945-B5D3-51B7A62E04F8}" name="Column9187"/>
    <tableColumn id="9221" xr3:uid="{A06DBEB6-145C-449D-9128-A8BA2E535EC3}" name="Column9188"/>
    <tableColumn id="9222" xr3:uid="{C14D2E84-EF44-40B4-9462-A2FEE38691C3}" name="Column9189"/>
    <tableColumn id="9223" xr3:uid="{1843EBD1-794C-4B31-BC12-25C18CD48F2D}" name="Column9190"/>
    <tableColumn id="9224" xr3:uid="{F7BE79A0-B55A-4709-B3C8-7334C84C7BE5}" name="Column9191"/>
    <tableColumn id="9225" xr3:uid="{A4834B1A-832D-422F-B5B5-DF09F3690A6C}" name="Column9192"/>
    <tableColumn id="9226" xr3:uid="{8F3F8D39-85EA-4CE1-A1DE-B6E0881C1D7A}" name="Column9193"/>
    <tableColumn id="9227" xr3:uid="{2F6FE214-15E5-4C20-890C-F1D461F3DE87}" name="Column9194"/>
    <tableColumn id="9228" xr3:uid="{4F72DDAC-1293-4931-B3CC-044EE30C8C62}" name="Column9195"/>
    <tableColumn id="9229" xr3:uid="{244F44B0-E9A7-481C-9601-5DE461272611}" name="Column9196"/>
    <tableColumn id="9230" xr3:uid="{E19D775E-B32A-4A39-943E-F6A4D19DB61E}" name="Column9197"/>
    <tableColumn id="9231" xr3:uid="{7F8A0478-4F9D-4A3D-8A77-F90996ECB060}" name="Column9198"/>
    <tableColumn id="9232" xr3:uid="{87390892-15CC-41A9-A51C-9E7497E0EBE6}" name="Column9199"/>
    <tableColumn id="9233" xr3:uid="{0794EC60-A1B5-46FC-9907-97A3D6FAC5DC}" name="Column9200"/>
    <tableColumn id="9234" xr3:uid="{A7D6CAB2-21EB-406A-B22C-10DAF3665EFB}" name="Column9201"/>
    <tableColumn id="9235" xr3:uid="{777A95D8-DD63-4518-A56A-E101F87F8282}" name="Column9202"/>
    <tableColumn id="9236" xr3:uid="{5621C83D-8A8E-44CD-B1D0-4F3656622FD7}" name="Column9203"/>
    <tableColumn id="9237" xr3:uid="{B02F9F90-D261-43E3-A349-8B50B65BCFFA}" name="Column9204"/>
    <tableColumn id="9238" xr3:uid="{B5B9C875-2D95-492D-B84E-3F4E7AFD41AC}" name="Column9205"/>
    <tableColumn id="9239" xr3:uid="{7DA6B13F-5547-4259-88DC-CF332C551F12}" name="Column9206"/>
    <tableColumn id="9240" xr3:uid="{9D9AAEEE-AFD1-4533-971E-3BAF01FE7E72}" name="Column9207"/>
    <tableColumn id="9241" xr3:uid="{E8A081EE-8E48-4463-B592-9B8AC894C1E8}" name="Column9208"/>
    <tableColumn id="9242" xr3:uid="{6E7B3DA5-31E3-4EE0-BF57-3A867934636B}" name="Column9209"/>
    <tableColumn id="9243" xr3:uid="{08FB283E-F7AE-4456-96CA-72D785AA4A0C}" name="Column9210"/>
    <tableColumn id="9244" xr3:uid="{0C1219BE-C30C-4FDA-BCFB-CFF72E898761}" name="Column9211"/>
    <tableColumn id="9245" xr3:uid="{464EE6ED-CE2A-4EDB-89D9-9FFE186744E9}" name="Column9212"/>
    <tableColumn id="9246" xr3:uid="{BEB0157A-14DD-42E3-9F35-3B0B2B814F4A}" name="Column9213"/>
    <tableColumn id="9247" xr3:uid="{233E04A0-1FA1-4C40-80EE-100B126CB1D5}" name="Column9214"/>
    <tableColumn id="9248" xr3:uid="{F497AFA3-5584-42FC-95C6-1C64BA1046F4}" name="Column9215"/>
    <tableColumn id="9249" xr3:uid="{489B9945-53DB-4141-AF70-C17B55C98196}" name="Column9216"/>
    <tableColumn id="9250" xr3:uid="{2C8CD130-9940-4EEC-8EC3-480B632699EA}" name="Column9217"/>
    <tableColumn id="9251" xr3:uid="{147355AD-8856-4F1F-ABF6-9E11479D90B7}" name="Column9218"/>
    <tableColumn id="9252" xr3:uid="{3D8AFD68-5A47-4FB2-8424-82AEA332DF47}" name="Column9219"/>
    <tableColumn id="9253" xr3:uid="{A1CCDC52-716F-42E7-9CB6-DAB39655E94B}" name="Column9220"/>
    <tableColumn id="9254" xr3:uid="{A26DE390-C894-4848-8F25-242812615656}" name="Column9221"/>
    <tableColumn id="9255" xr3:uid="{81A6FCED-D3D4-4769-B96A-FAC1CA4508EC}" name="Column9222"/>
    <tableColumn id="9256" xr3:uid="{8CC0C9E7-1066-4559-8EBA-5C69A7579170}" name="Column9223"/>
    <tableColumn id="9257" xr3:uid="{49B01031-6238-4F3F-96B6-A97552C16C42}" name="Column9224"/>
    <tableColumn id="9258" xr3:uid="{0BC46948-88B0-45BD-8866-9361E18E9F36}" name="Column9225"/>
    <tableColumn id="9259" xr3:uid="{2B27236F-A292-455C-B56E-AF216CEBC713}" name="Column9226"/>
    <tableColumn id="9260" xr3:uid="{F1447D7C-7021-4618-8A32-1A465720CA18}" name="Column9227"/>
    <tableColumn id="9261" xr3:uid="{891C63C2-6D13-49C2-B43A-4E85F2F53861}" name="Column9228"/>
    <tableColumn id="9262" xr3:uid="{F19450FC-F21B-41DC-B9A2-A62B13993626}" name="Column9229"/>
    <tableColumn id="9263" xr3:uid="{9AA64406-DCE2-4F83-9A4C-1C24B2D10BEA}" name="Column9230"/>
    <tableColumn id="9264" xr3:uid="{D13CF574-C3A0-4767-A44E-BA85378B0817}" name="Column9231"/>
    <tableColumn id="9265" xr3:uid="{3CA3A664-0063-4AFC-B58E-E5014C13A73B}" name="Column9232"/>
    <tableColumn id="9266" xr3:uid="{9445B906-8C8C-4EE0-A3CF-9BD4E8651C48}" name="Column9233"/>
    <tableColumn id="9267" xr3:uid="{4B3B4130-E706-4419-9D76-D591DFE7F6ED}" name="Column9234"/>
    <tableColumn id="9268" xr3:uid="{ED6CDF66-5DDA-4811-8A55-FC8C56C1415A}" name="Column9235"/>
    <tableColumn id="9269" xr3:uid="{F446171F-188B-49FE-89B9-6D0636B145C4}" name="Column9236"/>
    <tableColumn id="9270" xr3:uid="{DF2D5881-3CA8-4E59-9344-A87711906DC0}" name="Column9237"/>
    <tableColumn id="9271" xr3:uid="{13C18207-B3D4-4C74-B58F-ED1F2305089F}" name="Column9238"/>
    <tableColumn id="9272" xr3:uid="{3160DC89-37A5-4288-90E3-7178890BB111}" name="Column9239"/>
    <tableColumn id="9273" xr3:uid="{64E3B789-F125-4472-A85E-E4DD34E75470}" name="Column9240"/>
    <tableColumn id="9274" xr3:uid="{32D5FD35-C1E1-4BE4-8B3E-CE0091475E80}" name="Column9241"/>
    <tableColumn id="9275" xr3:uid="{FE9AA6B0-0964-4E32-8EFB-0C53B6E7E16F}" name="Column9242"/>
    <tableColumn id="9276" xr3:uid="{C7D9B2D7-4730-4B4B-966C-33D4CA6B21AB}" name="Column9243"/>
    <tableColumn id="9277" xr3:uid="{E40130E1-C134-4DFB-B40E-A6B4844E0253}" name="Column9244"/>
    <tableColumn id="9278" xr3:uid="{AC1E0673-7FA5-49A1-8C40-A1C096742EE2}" name="Column9245"/>
    <tableColumn id="9279" xr3:uid="{1A24ED21-5778-41E5-A1BF-D9C59F827357}" name="Column9246"/>
    <tableColumn id="9280" xr3:uid="{65A52796-BED7-456D-BAD8-165D337AEE66}" name="Column9247"/>
    <tableColumn id="9281" xr3:uid="{53423B4F-9E7F-43B3-BB7F-EFE92BF7A4CE}" name="Column9248"/>
    <tableColumn id="9282" xr3:uid="{56F97D29-BA14-4CE3-BE1F-62AD6DA979F3}" name="Column9249"/>
    <tableColumn id="9283" xr3:uid="{B90BD1E5-BC00-49CC-AA8E-235DECB0C45F}" name="Column9250"/>
    <tableColumn id="9284" xr3:uid="{4543FFE3-0F18-41BC-A61B-2EEBD3874556}" name="Column9251"/>
    <tableColumn id="9285" xr3:uid="{D38B05DE-8651-4651-BE11-9F38D428DAB9}" name="Column9252"/>
    <tableColumn id="9286" xr3:uid="{9670FA02-47E9-4FF4-84C8-E01A13EA8458}" name="Column9253"/>
    <tableColumn id="9287" xr3:uid="{99D97A8F-EACE-4CB6-AA52-0937413D871F}" name="Column9254"/>
    <tableColumn id="9288" xr3:uid="{A880D584-74E3-4159-867A-22F86F87F884}" name="Column9255"/>
    <tableColumn id="9289" xr3:uid="{1FA2D0B8-5ED0-446F-94E0-334115234279}" name="Column9256"/>
    <tableColumn id="9290" xr3:uid="{C155B3B7-129D-43EB-9F8D-68EB2AF8D16B}" name="Column9257"/>
    <tableColumn id="9291" xr3:uid="{D326450C-4925-47A6-AB01-F11C8B784663}" name="Column9258"/>
    <tableColumn id="9292" xr3:uid="{9A5BCAA3-4A1D-436C-A36B-8CEE64D3A660}" name="Column9259"/>
    <tableColumn id="9293" xr3:uid="{200DDB37-CC55-4671-AE66-13860C5355AB}" name="Column9260"/>
    <tableColumn id="9294" xr3:uid="{ACE554C1-ABBC-49EA-8644-52AE0940CCA5}" name="Column9261"/>
    <tableColumn id="9295" xr3:uid="{95D74A78-B50D-4302-A77D-F95A5B319BA5}" name="Column9262"/>
    <tableColumn id="9296" xr3:uid="{5D989B61-FB8A-47EF-ACD0-F663008AD64F}" name="Column9263"/>
    <tableColumn id="9297" xr3:uid="{DA2328B1-C799-4ECE-9F5D-9F368991DEC4}" name="Column9264"/>
    <tableColumn id="9298" xr3:uid="{D4B0FF7B-CFED-4941-8E53-EAAE57D2B150}" name="Column9265"/>
    <tableColumn id="9299" xr3:uid="{FB959368-9B86-4FF6-9540-14C84397CBD9}" name="Column9266"/>
    <tableColumn id="9300" xr3:uid="{99D28AFA-C30D-409B-BD0C-4AA388851922}" name="Column9267"/>
    <tableColumn id="9301" xr3:uid="{6E7295D2-E58C-4160-AC0E-1CA0BB80734A}" name="Column9268"/>
    <tableColumn id="9302" xr3:uid="{34302922-66C4-4FE1-AFA4-29368A3DD1FF}" name="Column9269"/>
    <tableColumn id="9303" xr3:uid="{45AA76C5-8C0C-40F9-B01A-D91A5839ACFF}" name="Column9270"/>
    <tableColumn id="9304" xr3:uid="{48D12ED5-8D0A-46D8-BE8F-1A8A1E4CEF38}" name="Column9271"/>
    <tableColumn id="9305" xr3:uid="{B25D93D1-24CC-43ED-8347-610DFF27BE1C}" name="Column9272"/>
    <tableColumn id="9306" xr3:uid="{A1B71C5D-49F7-4DB6-BA48-E2E6A027A339}" name="Column9273"/>
    <tableColumn id="9307" xr3:uid="{03A8D58F-AB8A-4116-94D6-1E58F2C0B601}" name="Column9274"/>
    <tableColumn id="9308" xr3:uid="{60E8E13F-7381-42B3-A524-12E51039467B}" name="Column9275"/>
    <tableColumn id="9309" xr3:uid="{5C9CDE2D-6C1F-4FD2-A508-3AAB0176A304}" name="Column9276"/>
    <tableColumn id="9310" xr3:uid="{FD286FED-D816-4CF3-B649-68892C338FDB}" name="Column9277"/>
    <tableColumn id="9311" xr3:uid="{018E58DA-D8C5-4B73-8BF2-9A20150EBE04}" name="Column9278"/>
    <tableColumn id="9312" xr3:uid="{7AB24510-E99D-4092-BC6F-29508C1776C9}" name="Column9279"/>
    <tableColumn id="9313" xr3:uid="{C1670D74-922A-4CE7-893A-F1266C621280}" name="Column9280"/>
    <tableColumn id="9314" xr3:uid="{B26C034B-1230-4EDD-B7CB-6AE32B207D1F}" name="Column9281"/>
    <tableColumn id="9315" xr3:uid="{2A76BE3F-9668-4F76-8C4E-2356DC4772C3}" name="Column9282"/>
    <tableColumn id="9316" xr3:uid="{C7A3AE35-D6E8-4B7B-B88E-5873182D542B}" name="Column9283"/>
    <tableColumn id="9317" xr3:uid="{CB0D43AE-AB01-4ADE-AEC8-169DFE015101}" name="Column9284"/>
    <tableColumn id="9318" xr3:uid="{F40D2638-702D-4DB2-9CF2-1F2A885AFB88}" name="Column9285"/>
    <tableColumn id="9319" xr3:uid="{4A67943D-4400-4098-BCD5-033D660F5043}" name="Column9286"/>
    <tableColumn id="9320" xr3:uid="{3684CD17-B8E1-4F55-9ACB-08D14B775F20}" name="Column9287"/>
    <tableColumn id="9321" xr3:uid="{029FE254-CD6B-42D3-9101-50270B348E99}" name="Column9288"/>
    <tableColumn id="9322" xr3:uid="{E7E7F1BD-3E92-4C22-BF6D-FBF8107265BE}" name="Column9289"/>
    <tableColumn id="9323" xr3:uid="{470A1C0F-D775-49C0-95C5-F97DC0051B8C}" name="Column9290"/>
    <tableColumn id="9324" xr3:uid="{830058AE-460C-4590-A968-3CE336702A51}" name="Column9291"/>
    <tableColumn id="9325" xr3:uid="{D7736035-01AF-4C31-99E8-86D77A59AC4A}" name="Column9292"/>
    <tableColumn id="9326" xr3:uid="{38DDCA7C-D62F-4057-976D-1829BC5ECE87}" name="Column9293"/>
    <tableColumn id="9327" xr3:uid="{F47A06B7-F252-4C83-B586-B981287D20A2}" name="Column9294"/>
    <tableColumn id="9328" xr3:uid="{3D42DA3E-602C-4AAD-876E-105777AA4160}" name="Column9295"/>
    <tableColumn id="9329" xr3:uid="{320D0F40-AAAB-4748-A079-7553EEBFF861}" name="Column9296"/>
    <tableColumn id="9330" xr3:uid="{F05459B6-72CE-448E-B49D-FA1FD9C2766B}" name="Column9297"/>
    <tableColumn id="9331" xr3:uid="{3EBC4AFA-2DD9-4BB1-A3EE-2E4D4C23B77D}" name="Column9298"/>
    <tableColumn id="9332" xr3:uid="{DF64B5A7-BC41-405D-A581-E3729DB1E8E4}" name="Column9299"/>
    <tableColumn id="9333" xr3:uid="{EAF14FC3-8A4C-417B-8E47-43EA5DB766B8}" name="Column9300"/>
    <tableColumn id="9334" xr3:uid="{425DDABD-254B-4268-9B03-F5A011492D0D}" name="Column9301"/>
    <tableColumn id="9335" xr3:uid="{99FCD2A9-1370-4957-94D5-4CCA5F9DB716}" name="Column9302"/>
    <tableColumn id="9336" xr3:uid="{3C179C50-E786-43CB-B341-D1387FC27802}" name="Column9303"/>
    <tableColumn id="9337" xr3:uid="{A9FF0F1D-F2AA-45B7-896A-D20818274EF7}" name="Column9304"/>
    <tableColumn id="9338" xr3:uid="{C5DC0DDD-02B8-450C-B167-35CFD0A076D6}" name="Column9305"/>
    <tableColumn id="9339" xr3:uid="{85552EA8-C657-432A-80EB-F67A4ABD2772}" name="Column9306"/>
    <tableColumn id="9340" xr3:uid="{14B190FD-647A-4412-838A-CEC017BFE1B6}" name="Column9307"/>
    <tableColumn id="9341" xr3:uid="{62C65A01-1F19-4ACE-BF9A-35DCB4B6C2DD}" name="Column9308"/>
    <tableColumn id="9342" xr3:uid="{528038F0-69B9-4BCC-936D-DE83D30A5FF5}" name="Column9309"/>
    <tableColumn id="9343" xr3:uid="{9C4F38AA-0AAC-4FD3-B00A-1B8574B2525C}" name="Column9310"/>
    <tableColumn id="9344" xr3:uid="{C21AEDF9-5899-43D2-97FD-18CACF0576B3}" name="Column9311"/>
    <tableColumn id="9345" xr3:uid="{2210D9A7-C284-4F67-B0E6-4BDA450A663E}" name="Column9312"/>
    <tableColumn id="9346" xr3:uid="{1301284B-62C7-4CBA-A648-5B6E7A07E6FB}" name="Column9313"/>
    <tableColumn id="9347" xr3:uid="{1473F9F3-B927-41DB-9C83-666542691228}" name="Column9314"/>
    <tableColumn id="9348" xr3:uid="{2498D794-214B-4326-B3D6-70A873CFAF8F}" name="Column9315"/>
    <tableColumn id="9349" xr3:uid="{EE702292-2F60-4B84-9881-8B5C455F01F4}" name="Column9316"/>
    <tableColumn id="9350" xr3:uid="{C22F8783-9005-4B47-9B47-5468CC5AC368}" name="Column9317"/>
    <tableColumn id="9351" xr3:uid="{AF8E7822-E27A-4182-BEED-E17FC63C4D2C}" name="Column9318"/>
    <tableColumn id="9352" xr3:uid="{873C155E-920F-4DC3-8EAB-D250D59096F2}" name="Column9319"/>
    <tableColumn id="9353" xr3:uid="{ACCCA574-6AE3-4DFF-8093-03B3E23BD6E5}" name="Column9320"/>
    <tableColumn id="9354" xr3:uid="{5063DB81-F2B2-4131-8CC3-722723E76B1A}" name="Column9321"/>
    <tableColumn id="9355" xr3:uid="{A2EDABC8-B351-4DD5-9683-B2CE665E9113}" name="Column9322"/>
    <tableColumn id="9356" xr3:uid="{0C15496A-7171-4722-968A-29E00BE3B6E1}" name="Column9323"/>
    <tableColumn id="9357" xr3:uid="{277AB313-4965-4C4C-92BA-7459EF9BADE7}" name="Column9324"/>
    <tableColumn id="9358" xr3:uid="{4B76ADAF-21B5-41C2-AAEC-70A4FC3D64DB}" name="Column9325"/>
    <tableColumn id="9359" xr3:uid="{80D68167-745C-4E93-AB09-C0F52B71D6E6}" name="Column9326"/>
    <tableColumn id="9360" xr3:uid="{5C7DD152-ECC7-48AF-9FF9-7829E4373DBA}" name="Column9327"/>
    <tableColumn id="9361" xr3:uid="{FDE803E1-9E72-4CD4-A735-B3C1320B5BFC}" name="Column9328"/>
    <tableColumn id="9362" xr3:uid="{1E34EA50-ACED-4258-9A67-E99A51180A6C}" name="Column9329"/>
    <tableColumn id="9363" xr3:uid="{C4A8E3D1-9AFF-4720-86DD-06C5385A8FC1}" name="Column9330"/>
    <tableColumn id="9364" xr3:uid="{86FF4F96-EE39-467B-AB4B-4ED37A333AF3}" name="Column9331"/>
    <tableColumn id="9365" xr3:uid="{F344E6D5-8CDE-46A6-ABB4-CB5A506DD4D6}" name="Column9332"/>
    <tableColumn id="9366" xr3:uid="{0794B59C-512B-4EFA-B1BB-5502C2C5E3BD}" name="Column9333"/>
    <tableColumn id="9367" xr3:uid="{E7BF9AD8-8690-4D78-A1B7-480154C48328}" name="Column9334"/>
    <tableColumn id="9368" xr3:uid="{C985C49A-B66E-4908-807C-61BA54CFC3F1}" name="Column9335"/>
    <tableColumn id="9369" xr3:uid="{74229227-EEB5-47A5-83D8-8292886CAF9F}" name="Column9336"/>
    <tableColumn id="9370" xr3:uid="{4BD96AA6-6CD6-48E0-BB1C-D7747C531506}" name="Column9337"/>
    <tableColumn id="9371" xr3:uid="{ED914A98-BF4D-41EE-9EBE-3842FE9A8E27}" name="Column9338"/>
    <tableColumn id="9372" xr3:uid="{28130669-BA15-48CA-B154-C3F04A539A39}" name="Column9339"/>
    <tableColumn id="9373" xr3:uid="{43EE4F95-C543-4D15-8263-E39CDC500263}" name="Column9340"/>
    <tableColumn id="9374" xr3:uid="{A32DEDE0-32A5-4822-9CA5-0B5FC2BDDB48}" name="Column9341"/>
    <tableColumn id="9375" xr3:uid="{2CB512C2-73E0-4B74-887F-362D4BF82636}" name="Column9342"/>
    <tableColumn id="9376" xr3:uid="{2B6EC496-B45C-4AE6-812E-32C8A34BBCE8}" name="Column9343"/>
    <tableColumn id="9377" xr3:uid="{E8CD27AE-470D-4DF8-AB27-8D9463E2806C}" name="Column9344"/>
    <tableColumn id="9378" xr3:uid="{6DCB50C8-33C7-4749-A0AC-31DEA0306A3C}" name="Column9345"/>
    <tableColumn id="9379" xr3:uid="{96B6AC83-424B-41B6-8F33-6D7870BD36DB}" name="Column9346"/>
    <tableColumn id="9380" xr3:uid="{61D47B34-8114-4278-802B-AA0CB62F6064}" name="Column9347"/>
    <tableColumn id="9381" xr3:uid="{F7BDE53C-D7F3-4B45-AAB0-7968FC1A30DB}" name="Column9348"/>
    <tableColumn id="9382" xr3:uid="{C6F2B68B-8FE6-4DD7-883E-DEC44417E75E}" name="Column9349"/>
    <tableColumn id="9383" xr3:uid="{DE9547D7-42C9-4E1C-8EE1-8F0E86A48E8D}" name="Column9350"/>
    <tableColumn id="9384" xr3:uid="{89DD1D86-5C2F-4E3F-BF13-42C1991D0768}" name="Column9351"/>
    <tableColumn id="9385" xr3:uid="{B1F97F1D-135D-4D8A-AA85-EE0A7FA6C78D}" name="Column9352"/>
    <tableColumn id="9386" xr3:uid="{CEDF98B5-3DCD-49AD-A728-6885E32148AE}" name="Column9353"/>
    <tableColumn id="9387" xr3:uid="{316E73AC-12F4-4DA3-94B9-1AE10AA25E72}" name="Column9354"/>
    <tableColumn id="9388" xr3:uid="{911680D2-8074-4B0A-8859-34519F88F8B5}" name="Column9355"/>
    <tableColumn id="9389" xr3:uid="{FD5B22E0-51EA-40D9-942D-D8B86399FB0F}" name="Column9356"/>
    <tableColumn id="9390" xr3:uid="{8C2D85B7-AE2B-4EA8-AC45-DA5516F28E9A}" name="Column9357"/>
    <tableColumn id="9391" xr3:uid="{4F5A76BA-1187-4AE8-8FE3-819AE6F7FC88}" name="Column9358"/>
    <tableColumn id="9392" xr3:uid="{951B0D76-4860-429D-86B4-D9D0688E4BE9}" name="Column9359"/>
    <tableColumn id="9393" xr3:uid="{625E5663-C1F9-4D4E-98FC-7C5AA0EFC747}" name="Column9360"/>
    <tableColumn id="9394" xr3:uid="{04E6E2D3-31F4-4F5F-92E8-B508BEF37DD2}" name="Column9361"/>
    <tableColumn id="9395" xr3:uid="{381D2995-248C-4DC9-86BC-A86E6D8D9389}" name="Column9362"/>
    <tableColumn id="9396" xr3:uid="{3BC1FBD6-DE61-4722-ABA0-96DA97D33251}" name="Column9363"/>
    <tableColumn id="9397" xr3:uid="{5973A61F-568A-4F6A-AC6E-D7A30AD99CD0}" name="Column9364"/>
    <tableColumn id="9398" xr3:uid="{4C1D0A14-236A-4557-B6FC-8EFCB8FF4A37}" name="Column9365"/>
    <tableColumn id="9399" xr3:uid="{507FEB4A-19F3-4B38-9BE4-9AA7C1BCE087}" name="Column9366"/>
    <tableColumn id="9400" xr3:uid="{D73F3B04-F558-479C-BCC2-15A63D7B53CE}" name="Column9367"/>
    <tableColumn id="9401" xr3:uid="{B2AF3E63-0AB9-4731-9484-4D6E0504DC85}" name="Column9368"/>
    <tableColumn id="9402" xr3:uid="{C90FB48F-6400-4826-9400-2727671651AF}" name="Column9369"/>
    <tableColumn id="9403" xr3:uid="{FF8865CD-E62E-47AA-8412-B9E4CEA9A444}" name="Column9370"/>
    <tableColumn id="9404" xr3:uid="{3728A4FF-4483-4B59-94D8-910AE7BC405B}" name="Column9371"/>
    <tableColumn id="9405" xr3:uid="{E188057A-711E-4BEF-875C-17B48DC08960}" name="Column9372"/>
    <tableColumn id="9406" xr3:uid="{EDA0AE6B-2ED7-4DAA-8ACD-024092A9D386}" name="Column9373"/>
    <tableColumn id="9407" xr3:uid="{7E7DC803-2F7A-4830-8BEF-A85B9E7BD659}" name="Column9374"/>
    <tableColumn id="9408" xr3:uid="{D1254011-830F-4581-AA85-47407760B67E}" name="Column9375"/>
    <tableColumn id="9409" xr3:uid="{1E47E983-B70D-4A50-B20D-94593DA0F928}" name="Column9376"/>
    <tableColumn id="9410" xr3:uid="{3C1835AC-14EF-434B-A04C-0F78E7CA40CF}" name="Column9377"/>
    <tableColumn id="9411" xr3:uid="{16DC86ED-0494-4605-87F6-AD1DA65EBFE2}" name="Column9378"/>
    <tableColumn id="9412" xr3:uid="{2C4CC4B5-A596-4F7E-B7F9-7D6D62DD1994}" name="Column9379"/>
    <tableColumn id="9413" xr3:uid="{22563267-222B-455F-A1D7-4E141C94A2E9}" name="Column9380"/>
    <tableColumn id="9414" xr3:uid="{B02F54EE-0578-4C90-B0F6-D30CF0F6E708}" name="Column9381"/>
    <tableColumn id="9415" xr3:uid="{8826AEFC-7A83-402C-979D-99926E2ED463}" name="Column9382"/>
    <tableColumn id="9416" xr3:uid="{1B970F7E-25C7-4557-99F3-669DD3897F34}" name="Column9383"/>
    <tableColumn id="9417" xr3:uid="{7262AAB4-7BE8-4163-B282-5F0B0F608B60}" name="Column9384"/>
    <tableColumn id="9418" xr3:uid="{BBB3ED7A-A0DD-4C70-A38B-CA443EFF9BB2}" name="Column9385"/>
    <tableColumn id="9419" xr3:uid="{60045490-4FE1-4729-88C5-6E469636B69B}" name="Column9386"/>
    <tableColumn id="9420" xr3:uid="{0E06C7C0-B7C5-4DA0-95CD-C3EF4304434F}" name="Column9387"/>
    <tableColumn id="9421" xr3:uid="{02DEB8EF-B767-4004-90F0-B238FA11DC96}" name="Column9388"/>
    <tableColumn id="9422" xr3:uid="{047FAEB7-6358-4756-8689-0020DD7C7347}" name="Column9389"/>
    <tableColumn id="9423" xr3:uid="{6429ED81-DC95-4CEC-A9FC-9269ECF4B54D}" name="Column9390"/>
    <tableColumn id="9424" xr3:uid="{8C31542B-D6F8-4882-9962-5F36010ACA00}" name="Column9391"/>
    <tableColumn id="9425" xr3:uid="{EFDED72B-81A1-471B-8759-931D1F6AD8C1}" name="Column9392"/>
    <tableColumn id="9426" xr3:uid="{B97D187A-8B14-40FD-8699-CF121CCFCAD7}" name="Column9393"/>
    <tableColumn id="9427" xr3:uid="{FC19BBB3-AC6E-4636-85F8-6D249E811471}" name="Column9394"/>
    <tableColumn id="9428" xr3:uid="{DE77CC7C-7E09-4AEB-A75C-A6A5EF77DE80}" name="Column9395"/>
    <tableColumn id="9429" xr3:uid="{B8952977-9F88-4EDE-A5B9-64385885B24C}" name="Column9396"/>
    <tableColumn id="9430" xr3:uid="{E3131CC7-7FFA-4F36-83B3-553D90184688}" name="Column9397"/>
    <tableColumn id="9431" xr3:uid="{E6DDD3AB-62BE-4A80-99F9-A1A6F49ECC15}" name="Column9398"/>
    <tableColumn id="9432" xr3:uid="{17BC75EC-D405-4297-A652-60B40BCD7BE4}" name="Column9399"/>
    <tableColumn id="9433" xr3:uid="{33629661-6C91-4159-9B32-70066871FBC4}" name="Column9400"/>
    <tableColumn id="9434" xr3:uid="{A204C05C-B923-4512-A372-654F8077541E}" name="Column9401"/>
    <tableColumn id="9435" xr3:uid="{BC95DE96-77CC-4CD0-B6AB-9F533C13350C}" name="Column9402"/>
    <tableColumn id="9436" xr3:uid="{EFBAABD6-9E48-41F2-A1A8-1561E939062F}" name="Column9403"/>
    <tableColumn id="9437" xr3:uid="{220BE8EA-4559-4094-AF69-3DF4DB1AEA95}" name="Column9404"/>
    <tableColumn id="9438" xr3:uid="{2D1E080D-BE14-4EF4-BCF8-3E325B55B789}" name="Column9405"/>
    <tableColumn id="9439" xr3:uid="{B0EDDD61-814D-479F-A8D2-F73059407B85}" name="Column9406"/>
    <tableColumn id="9440" xr3:uid="{09FF133A-BB74-4D28-BE8F-C1DDE024CC7E}" name="Column9407"/>
    <tableColumn id="9441" xr3:uid="{AF294336-CF6B-4DBB-82A7-C38CC12D5F91}" name="Column9408"/>
    <tableColumn id="9442" xr3:uid="{7C793439-47D6-46C2-BB01-0140D86A3C7C}" name="Column9409"/>
    <tableColumn id="9443" xr3:uid="{E89201E4-F75B-4416-9E5E-E58B23130BCF}" name="Column9410"/>
    <tableColumn id="9444" xr3:uid="{AD63DF82-2886-450B-84C9-2874C1AD57CC}" name="Column9411"/>
    <tableColumn id="9445" xr3:uid="{3734304B-67A9-431E-B888-F2F077EAD47C}" name="Column9412"/>
    <tableColumn id="9446" xr3:uid="{666EE531-36C1-4352-84F8-77AA33E21685}" name="Column9413"/>
    <tableColumn id="9447" xr3:uid="{81BC0B7F-20DE-435A-A1ED-E211B7FB962E}" name="Column9414"/>
    <tableColumn id="9448" xr3:uid="{10BF5F81-38AC-43E0-A456-E6AD0689C998}" name="Column9415"/>
    <tableColumn id="9449" xr3:uid="{FF715725-FED2-4EBF-B638-B571E9BC179A}" name="Column9416"/>
    <tableColumn id="9450" xr3:uid="{3FE17C49-C1AB-491A-85CD-BB4C9D81734D}" name="Column9417"/>
    <tableColumn id="9451" xr3:uid="{EE0BF55C-235A-4C51-A269-4734E40E02A9}" name="Column9418"/>
    <tableColumn id="9452" xr3:uid="{321D8C72-3E36-4DAC-9C75-3CFC93342FCF}" name="Column9419"/>
    <tableColumn id="9453" xr3:uid="{11548E8F-800C-4A2F-B5AD-4FFB7EDED20A}" name="Column9420"/>
    <tableColumn id="9454" xr3:uid="{466CD86E-7490-4CD1-B903-38983F726C48}" name="Column9421"/>
    <tableColumn id="9455" xr3:uid="{4A9CDE7A-1ACE-4621-AD64-6D1FA3188AE1}" name="Column9422"/>
    <tableColumn id="9456" xr3:uid="{B38FBD16-C5FF-41FD-8578-FAC4228A6727}" name="Column9423"/>
    <tableColumn id="9457" xr3:uid="{F8F1450B-3E7C-4456-AF8F-E96AA21DAD6A}" name="Column9424"/>
    <tableColumn id="9458" xr3:uid="{E0E6B8BC-204F-4C64-8D67-D29692353A85}" name="Column9425"/>
    <tableColumn id="9459" xr3:uid="{7B35CAE3-BCAF-42D3-B3F8-EC70489EF524}" name="Column9426"/>
    <tableColumn id="9460" xr3:uid="{7E0A8298-802C-4CD8-A44C-7F823E2BE2C9}" name="Column9427"/>
    <tableColumn id="9461" xr3:uid="{5DDBBD87-E22E-4CDC-BC46-C916EDD3F1EA}" name="Column9428"/>
    <tableColumn id="9462" xr3:uid="{1E7F464F-393F-4DAB-A123-778330CFA55B}" name="Column9429"/>
    <tableColumn id="9463" xr3:uid="{B5BA9554-F704-4E0A-892B-8724144963B0}" name="Column9430"/>
    <tableColumn id="9464" xr3:uid="{C998CB2E-8E94-42B9-9FE8-0B41E7F94BFE}" name="Column9431"/>
    <tableColumn id="9465" xr3:uid="{937DCDAD-ACEB-4F51-AD84-77DC98B73278}" name="Column9432"/>
    <tableColumn id="9466" xr3:uid="{9782D8F3-C417-4112-BEB7-873E5518DF50}" name="Column9433"/>
    <tableColumn id="9467" xr3:uid="{A430C6AB-A342-4E29-BCD5-F2262D829BBC}" name="Column9434"/>
    <tableColumn id="9468" xr3:uid="{7C905A56-8765-4C24-8562-D88FB1C9097E}" name="Column9435"/>
    <tableColumn id="9469" xr3:uid="{10D1F613-8686-45F8-95C7-DE1EA4B7906F}" name="Column9436"/>
    <tableColumn id="9470" xr3:uid="{45D40841-879A-42C6-925A-C03ED44FDCD8}" name="Column9437"/>
    <tableColumn id="9471" xr3:uid="{C1B26B95-FE16-4EEA-AC87-908ED41D274F}" name="Column9438"/>
    <tableColumn id="9472" xr3:uid="{24DAF612-B09C-4785-B61F-545E0DB53F58}" name="Column9439"/>
    <tableColumn id="9473" xr3:uid="{C2867B67-B35D-451E-9359-A4FEE3932EC1}" name="Column9440"/>
    <tableColumn id="9474" xr3:uid="{77E8ACD1-58DD-4760-8867-8CCCC9C245B1}" name="Column9441"/>
    <tableColumn id="9475" xr3:uid="{32E32F33-4D8C-45B0-9E42-A1A717803E36}" name="Column9442"/>
    <tableColumn id="9476" xr3:uid="{F3CAE5A8-F41E-423F-8F02-044CC7BD3C6B}" name="Column9443"/>
    <tableColumn id="9477" xr3:uid="{A9E8B713-CD73-4C9E-B16C-9B79DF46406A}" name="Column9444"/>
    <tableColumn id="9478" xr3:uid="{8CAE289A-2137-44C9-9FA5-B6B27DE55A05}" name="Column9445"/>
    <tableColumn id="9479" xr3:uid="{5FFDCE0C-111B-4F59-8FFC-0551F37FC561}" name="Column9446"/>
    <tableColumn id="9480" xr3:uid="{3A2D886B-4104-4541-8C38-EC12041562D7}" name="Column9447"/>
    <tableColumn id="9481" xr3:uid="{4C623B9D-ACCA-4080-80F6-159344B6387F}" name="Column9448"/>
    <tableColumn id="9482" xr3:uid="{F07672EE-1E68-4781-AA46-73A4B828B717}" name="Column9449"/>
    <tableColumn id="9483" xr3:uid="{F90BD329-0C65-4B43-86BA-F24CC9228601}" name="Column9450"/>
    <tableColumn id="9484" xr3:uid="{5EBC5665-9940-43DE-A6CB-5283D039512F}" name="Column9451"/>
    <tableColumn id="9485" xr3:uid="{5D33BD5B-259D-4C83-B159-B79FB7D742F3}" name="Column9452"/>
    <tableColumn id="9486" xr3:uid="{4D5BB058-8039-4DED-BDFB-549B2B90CDC3}" name="Column9453"/>
    <tableColumn id="9487" xr3:uid="{E75A23B0-D5DF-45C4-AAA8-0933BC9E9CCE}" name="Column9454"/>
    <tableColumn id="9488" xr3:uid="{E13DC5EF-5CD5-4D95-92AC-DB98A0C52154}" name="Column9455"/>
    <tableColumn id="9489" xr3:uid="{12B87C53-0B12-4948-B066-B9D8E09ADEAF}" name="Column9456"/>
    <tableColumn id="9490" xr3:uid="{17E892F6-D989-498F-AC06-78DD67BF7B6D}" name="Column9457"/>
    <tableColumn id="9491" xr3:uid="{5A62AF10-DAB4-4AB5-AEBD-1C4E6E3A0E6A}" name="Column9458"/>
    <tableColumn id="9492" xr3:uid="{FC767522-9648-4782-BB3D-057803193F61}" name="Column9459"/>
    <tableColumn id="9493" xr3:uid="{1BBBD28D-2099-49DC-B2DA-6DB645FF3780}" name="Column9460"/>
    <tableColumn id="9494" xr3:uid="{5799A92B-718B-45DE-B789-87EF24C3EDF6}" name="Column9461"/>
    <tableColumn id="9495" xr3:uid="{0CC974C6-FE79-43C4-BE4C-E6F2FF401CD3}" name="Column9462"/>
    <tableColumn id="9496" xr3:uid="{0E03E6D1-5291-4E5A-9CD0-12D5D396277C}" name="Column9463"/>
    <tableColumn id="9497" xr3:uid="{A7EBDDFE-B3F5-41F7-BAB4-8CBFCE92972B}" name="Column9464"/>
    <tableColumn id="9498" xr3:uid="{218391A8-CE39-4C7B-83A4-9EE316E16764}" name="Column9465"/>
    <tableColumn id="9499" xr3:uid="{48B1A30B-D653-460C-81C3-5A8CC26E1A1A}" name="Column9466"/>
    <tableColumn id="9500" xr3:uid="{54B30605-BACD-4529-9591-86A050F8F9D7}" name="Column9467"/>
    <tableColumn id="9501" xr3:uid="{39F078F0-7BCA-4747-873A-869870D4F3FA}" name="Column9468"/>
    <tableColumn id="9502" xr3:uid="{E732C0E4-9C3A-40F4-BC44-7A91ACD28DD4}" name="Column9469"/>
    <tableColumn id="9503" xr3:uid="{2F0E6CE9-7397-4A17-B996-4DCF389E0FF1}" name="Column9470"/>
    <tableColumn id="9504" xr3:uid="{F6835D0C-41FC-4481-ADA9-45A240AE40D2}" name="Column9471"/>
    <tableColumn id="9505" xr3:uid="{E6DDC604-6103-4F6B-9218-92DA437E7BFC}" name="Column9472"/>
    <tableColumn id="9506" xr3:uid="{1E58162F-02C3-482B-9D46-BB2629310A32}" name="Column9473"/>
    <tableColumn id="9507" xr3:uid="{3D4A05D9-F8C5-42D7-95B6-0EFA8CE2ED0A}" name="Column9474"/>
    <tableColumn id="9508" xr3:uid="{AF2B004A-DE12-47FB-AF0C-33971EF38420}" name="Column9475"/>
    <tableColumn id="9509" xr3:uid="{5FE05E5E-21BB-4BEF-B782-70AA1E860A06}" name="Column9476"/>
    <tableColumn id="9510" xr3:uid="{62DDFE22-90DF-4DEB-B866-1049FC475F97}" name="Column9477"/>
    <tableColumn id="9511" xr3:uid="{9B221B65-8503-46AD-B428-DB5913C1C94E}" name="Column9478"/>
    <tableColumn id="9512" xr3:uid="{F9D56921-1F55-4684-BD73-88C2A5632B7D}" name="Column9479"/>
    <tableColumn id="9513" xr3:uid="{072D6A49-85B2-4C73-9911-C4CBA74AE2EB}" name="Column9480"/>
    <tableColumn id="9514" xr3:uid="{AAAAB1F5-CB42-4EE6-806B-86CB6CC66186}" name="Column9481"/>
    <tableColumn id="9515" xr3:uid="{9B9CB37A-06C0-4833-B17D-F05D9212A4EB}" name="Column9482"/>
    <tableColumn id="9516" xr3:uid="{1D7647C6-7CB2-4192-9A5E-C87C131083C4}" name="Column9483"/>
    <tableColumn id="9517" xr3:uid="{0315E580-D734-499C-8BEC-C0D8610212DF}" name="Column9484"/>
    <tableColumn id="9518" xr3:uid="{F6919BC1-AB2E-4767-BD4C-7C3286EF3CD2}" name="Column9485"/>
    <tableColumn id="9519" xr3:uid="{E4DAFDA1-F700-44BC-9220-3D97207410A2}" name="Column9486"/>
    <tableColumn id="9520" xr3:uid="{99AAC7A4-4063-4A2B-9E19-4B255AA41EE5}" name="Column9487"/>
    <tableColumn id="9521" xr3:uid="{B8D24A3A-A772-49AC-9142-1FA70E2B090F}" name="Column9488"/>
    <tableColumn id="9522" xr3:uid="{4BD33FC8-0649-49AF-BFF5-55835CBF55A0}" name="Column9489"/>
    <tableColumn id="9523" xr3:uid="{693ACBF6-8CB4-409F-BC87-3AAB0EE5C766}" name="Column9490"/>
    <tableColumn id="9524" xr3:uid="{F08511C9-A451-4394-993C-0F7E2549437E}" name="Column9491"/>
    <tableColumn id="9525" xr3:uid="{CC00D04F-5595-4981-A8E0-235658C3FF60}" name="Column9492"/>
    <tableColumn id="9526" xr3:uid="{092BABF1-0C1D-43C4-9AEE-131CD5102063}" name="Column9493"/>
    <tableColumn id="9527" xr3:uid="{70DE658C-EEF3-4883-8B47-D3034A970573}" name="Column9494"/>
    <tableColumn id="9528" xr3:uid="{794E8B93-FF17-4DA6-A34E-5679AB0D341C}" name="Column9495"/>
    <tableColumn id="9529" xr3:uid="{E5681EC9-560D-4561-9E34-C543FA36CAD3}" name="Column9496"/>
    <tableColumn id="9530" xr3:uid="{6025473A-BFD0-449D-B7D6-388339FE7305}" name="Column9497"/>
    <tableColumn id="9531" xr3:uid="{D3C3B5CA-5862-4A5F-B833-ADDFA474E62E}" name="Column9498"/>
    <tableColumn id="9532" xr3:uid="{90579B5C-11AD-4394-8222-950957469D56}" name="Column9499"/>
    <tableColumn id="9533" xr3:uid="{FEA91CDC-A51A-46FF-99C6-95AF866E6255}" name="Column9500"/>
    <tableColumn id="9534" xr3:uid="{356EA65D-46FE-421A-A70F-177AD3D4F1D8}" name="Column9501"/>
    <tableColumn id="9535" xr3:uid="{F9D6F26C-98B5-4938-94CF-D75CFC5AD766}" name="Column9502"/>
    <tableColumn id="9536" xr3:uid="{F2AFA3D2-252F-46E7-9588-1D4D67C9ADE8}" name="Column9503"/>
    <tableColumn id="9537" xr3:uid="{262A7269-AF80-4875-8530-1DA011EC133C}" name="Column9504"/>
    <tableColumn id="9538" xr3:uid="{FCB66AAB-0A96-4128-A50F-823629F97BF0}" name="Column9505"/>
    <tableColumn id="9539" xr3:uid="{F1F4780D-3540-4616-9D95-743A4B39AD15}" name="Column9506"/>
    <tableColumn id="9540" xr3:uid="{81C4B781-1736-4ACA-B87D-2E371316FB3F}" name="Column9507"/>
    <tableColumn id="9541" xr3:uid="{0F9F680D-D0ED-450B-BBBC-A7D59D7CA5E5}" name="Column9508"/>
    <tableColumn id="9542" xr3:uid="{F7BFDA9E-A0A4-406D-A7E6-ED49664B82F4}" name="Column9509"/>
    <tableColumn id="9543" xr3:uid="{21961878-8A12-4395-BF0F-0727F8BB6100}" name="Column9510"/>
    <tableColumn id="9544" xr3:uid="{C6D27E88-4D17-4CCE-851D-9780F82CD66F}" name="Column9511"/>
    <tableColumn id="9545" xr3:uid="{8A73CE52-D00F-45CE-93FC-C54B5129D7AD}" name="Column9512"/>
    <tableColumn id="9546" xr3:uid="{4E29E65B-2FCC-4C51-ADDC-08A8EAA9390D}" name="Column9513"/>
    <tableColumn id="9547" xr3:uid="{AB142CDB-1E6B-4BEF-BFB1-E32B335D4501}" name="Column9514"/>
    <tableColumn id="9548" xr3:uid="{31625E9A-20CB-4ECC-B5DB-8A5F7F05F97E}" name="Column9515"/>
    <tableColumn id="9549" xr3:uid="{E6085F98-CF43-4F1C-8AAF-0A5779EEB498}" name="Column9516"/>
    <tableColumn id="9550" xr3:uid="{4F228816-9C71-45DE-B94D-67AE501F4D51}" name="Column9517"/>
    <tableColumn id="9551" xr3:uid="{BA5DF411-E1A4-4211-986E-7230B54B3F0E}" name="Column9518"/>
    <tableColumn id="9552" xr3:uid="{84181ED6-B7D0-4BE8-9129-75998FCC7E89}" name="Column9519"/>
    <tableColumn id="9553" xr3:uid="{FDB6EDC7-B656-4FAF-BE04-A86FCB98D066}" name="Column9520"/>
    <tableColumn id="9554" xr3:uid="{9D70A2E7-6433-4D9E-A4AB-46214BE801D3}" name="Column9521"/>
    <tableColumn id="9555" xr3:uid="{4050054F-A577-45A9-A6DF-BC40300EE862}" name="Column9522"/>
    <tableColumn id="9556" xr3:uid="{A31F50A4-4018-465A-B4BC-48A70A2FA964}" name="Column9523"/>
    <tableColumn id="9557" xr3:uid="{AF82D8C8-C792-4216-BA29-FACCE715BAA2}" name="Column9524"/>
    <tableColumn id="9558" xr3:uid="{7E0EB71B-B13D-470B-B251-30B8A14B56EE}" name="Column9525"/>
    <tableColumn id="9559" xr3:uid="{7F24B281-0752-4B3F-9B54-C861E00C745C}" name="Column9526"/>
    <tableColumn id="9560" xr3:uid="{66808973-E9E1-4E8E-BA93-8FB66D2E1595}" name="Column9527"/>
    <tableColumn id="9561" xr3:uid="{45D99255-B01A-4F60-8489-69FA97629563}" name="Column9528"/>
    <tableColumn id="9562" xr3:uid="{47CAC009-5FBA-4FA8-AE65-D4647D03EC7C}" name="Column9529"/>
    <tableColumn id="9563" xr3:uid="{D98BFC52-766D-4A15-B9A1-9F02219EDC17}" name="Column9530"/>
    <tableColumn id="9564" xr3:uid="{358170D4-AB6D-411A-AD14-93497C6D39DE}" name="Column9531"/>
    <tableColumn id="9565" xr3:uid="{A4406767-E823-4C64-BB86-C31BFBC0ED65}" name="Column9532"/>
    <tableColumn id="9566" xr3:uid="{CFE2A95D-3B98-440F-8872-A2AE822854E3}" name="Column9533"/>
    <tableColumn id="9567" xr3:uid="{01940876-D11E-4575-84C7-78B4D83BA957}" name="Column9534"/>
    <tableColumn id="9568" xr3:uid="{79208090-8545-4CB2-BFE7-5CC99FE54796}" name="Column9535"/>
    <tableColumn id="9569" xr3:uid="{104D27B8-5244-4660-B282-EAC9C0CD6357}" name="Column9536"/>
    <tableColumn id="9570" xr3:uid="{E9674617-3D08-4730-B764-97042E63404F}" name="Column9537"/>
    <tableColumn id="9571" xr3:uid="{BA5AC131-2A19-4619-8624-8623CE7660F8}" name="Column9538"/>
    <tableColumn id="9572" xr3:uid="{3BF1BF53-DD2E-4806-9C8C-7B091F707F5D}" name="Column9539"/>
    <tableColumn id="9573" xr3:uid="{15E3D3CC-7909-4153-9BDB-FB12655EA42F}" name="Column9540"/>
    <tableColumn id="9574" xr3:uid="{02D2866A-DD5A-47C6-8F59-C6E54CE3C585}" name="Column9541"/>
    <tableColumn id="9575" xr3:uid="{FB9C0FD6-55A6-4A33-BAC5-603772514C9A}" name="Column9542"/>
    <tableColumn id="9576" xr3:uid="{407CD569-C6B4-410C-B0CC-B02B7290A1EA}" name="Column9543"/>
    <tableColumn id="9577" xr3:uid="{C7EEFE19-722F-41D6-A134-F69FD095B44A}" name="Column9544"/>
    <tableColumn id="9578" xr3:uid="{0DBD3909-ADDE-4A53-9C53-8411FD5C1BF9}" name="Column9545"/>
    <tableColumn id="9579" xr3:uid="{6D7894CE-F939-41B3-B1D8-246F002C6AFD}" name="Column9546"/>
    <tableColumn id="9580" xr3:uid="{6C0FEE65-F3A0-4215-BC14-64366A93FB45}" name="Column9547"/>
    <tableColumn id="9581" xr3:uid="{82DB2B38-6647-458B-8B0C-E0E9608433F0}" name="Column9548"/>
    <tableColumn id="9582" xr3:uid="{200DD35D-26C0-4E2D-98B8-9BDF417550E0}" name="Column9549"/>
    <tableColumn id="9583" xr3:uid="{4C07AEF0-7F48-4266-B9E9-B57583737752}" name="Column9550"/>
    <tableColumn id="9584" xr3:uid="{03A4CDC4-B7A7-4639-A9F1-20A092604F99}" name="Column9551"/>
    <tableColumn id="9585" xr3:uid="{FDF3F292-86ED-4039-9134-F50BD198AF6B}" name="Column9552"/>
    <tableColumn id="9586" xr3:uid="{9FCDD639-B91A-40CD-9C18-7BA50E7D7A23}" name="Column9553"/>
    <tableColumn id="9587" xr3:uid="{E39BE034-C1B8-4F9F-BE20-6482F85F6A72}" name="Column9554"/>
    <tableColumn id="9588" xr3:uid="{D4EE5F4F-7A16-492A-897B-FF5AD7051142}" name="Column9555"/>
    <tableColumn id="9589" xr3:uid="{92DFE796-F524-4E54-8404-D9673B4A4A51}" name="Column9556"/>
    <tableColumn id="9590" xr3:uid="{FC790A9D-C4B9-4616-9E7D-003D2DC19BB3}" name="Column9557"/>
    <tableColumn id="9591" xr3:uid="{2F543FF8-DFFF-44C7-A64F-469DD5055BDA}" name="Column9558"/>
    <tableColumn id="9592" xr3:uid="{1CCB8783-FA10-4756-927D-A8B69253364E}" name="Column9559"/>
    <tableColumn id="9593" xr3:uid="{D5118509-DC6C-447D-8AF4-2FD2C30989FA}" name="Column9560"/>
    <tableColumn id="9594" xr3:uid="{3EB3E3F0-30C8-41F1-923D-975230F13FDD}" name="Column9561"/>
    <tableColumn id="9595" xr3:uid="{3503FE06-6959-414F-AC31-A93F1142168D}" name="Column9562"/>
    <tableColumn id="9596" xr3:uid="{F0AD1B9A-9924-4C37-BA8E-65F4D39873C7}" name="Column9563"/>
    <tableColumn id="9597" xr3:uid="{E7D2C5D5-29A3-47CA-A970-FF2E8A5A807E}" name="Column9564"/>
    <tableColumn id="9598" xr3:uid="{F3856AF7-9602-4FD5-8663-CCFFA9D2D898}" name="Column9565"/>
    <tableColumn id="9599" xr3:uid="{E56351A0-6DF3-4950-8C35-1F1DABDA8219}" name="Column9566"/>
    <tableColumn id="9600" xr3:uid="{2128F507-4516-4397-B510-325607C6B137}" name="Column9567"/>
    <tableColumn id="9601" xr3:uid="{5B5958F1-073F-4DAB-BA97-BCE91F82CF94}" name="Column9568"/>
    <tableColumn id="9602" xr3:uid="{6CF5F61E-FD10-45F2-9CA1-DFC6608AD673}" name="Column9569"/>
    <tableColumn id="9603" xr3:uid="{8A3060FC-D782-4F1D-8222-D0170F8BE2F6}" name="Column9570"/>
    <tableColumn id="9604" xr3:uid="{FA4CD3A6-66B9-4CF6-91E7-D6DF8606440F}" name="Column9571"/>
    <tableColumn id="9605" xr3:uid="{79805BEB-67B3-4B1A-B574-531C2ECFDA53}" name="Column9572"/>
    <tableColumn id="9606" xr3:uid="{25E751D6-1E5D-446E-ABDA-B96A4D8DF375}" name="Column9573"/>
    <tableColumn id="9607" xr3:uid="{C0319B4C-E202-4080-904B-BC0802C3BCAA}" name="Column9574"/>
    <tableColumn id="9608" xr3:uid="{A3313BDE-01DD-4F62-9308-02743B9D92F6}" name="Column9575"/>
    <tableColumn id="9609" xr3:uid="{0411F09F-573A-4685-8701-9080FF37EFAC}" name="Column9576"/>
    <tableColumn id="9610" xr3:uid="{0ABDD6D3-7376-4E06-914C-3A58BC513627}" name="Column9577"/>
    <tableColumn id="9611" xr3:uid="{CF3BAE45-2849-48E2-A116-E3A110658ECD}" name="Column9578"/>
    <tableColumn id="9612" xr3:uid="{E900B8D4-FFD6-4CAD-B0AE-CABAB845C767}" name="Column9579"/>
    <tableColumn id="9613" xr3:uid="{C474DBBC-AC25-4833-9A63-2B67B806D96B}" name="Column9580"/>
    <tableColumn id="9614" xr3:uid="{1479675D-0B98-483F-9095-9D6CDCE260A4}" name="Column9581"/>
    <tableColumn id="9615" xr3:uid="{E1548CC4-1D83-4C40-AABB-BD4DA14BDC35}" name="Column9582"/>
    <tableColumn id="9616" xr3:uid="{B0FC3D18-70EB-4843-AABD-9AD9DA818B1E}" name="Column9583"/>
    <tableColumn id="9617" xr3:uid="{B5685E82-921D-4B52-BAE8-7A5344F3D699}" name="Column9584"/>
    <tableColumn id="9618" xr3:uid="{ED2F2467-BEE9-427A-A288-995283835A50}" name="Column9585"/>
    <tableColumn id="9619" xr3:uid="{DCE2E748-CA20-4B05-8E51-B9C873AA23D8}" name="Column9586"/>
    <tableColumn id="9620" xr3:uid="{CC5A94B1-C9C3-4929-847A-4FBBEB783036}" name="Column9587"/>
    <tableColumn id="9621" xr3:uid="{EEF5551E-0E9C-42BA-A7EB-3ACA5E59DE49}" name="Column9588"/>
    <tableColumn id="9622" xr3:uid="{5EE8BECE-4669-4C8D-AAF4-26558C04433F}" name="Column9589"/>
    <tableColumn id="9623" xr3:uid="{C9AB294A-74FE-41B2-993C-90B299B734E8}" name="Column9590"/>
    <tableColumn id="9624" xr3:uid="{B1836F5E-7D56-4614-B112-43EC9CFEBEB6}" name="Column9591"/>
    <tableColumn id="9625" xr3:uid="{FA295B26-7D0D-4185-A3E0-2CD12805099C}" name="Column9592"/>
    <tableColumn id="9626" xr3:uid="{1F2C4D5F-4A6B-449E-817A-5AD99702E56C}" name="Column9593"/>
    <tableColumn id="9627" xr3:uid="{E47A235A-9228-4B23-BA72-866F663091B9}" name="Column9594"/>
    <tableColumn id="9628" xr3:uid="{F5055FF0-A7AD-44BD-BEF8-D46861043C36}" name="Column9595"/>
    <tableColumn id="9629" xr3:uid="{2D366AFC-D993-4538-B010-21601C97F119}" name="Column9596"/>
    <tableColumn id="9630" xr3:uid="{26E0F71D-4548-45EE-A355-E01EE995FC0A}" name="Column9597"/>
    <tableColumn id="9631" xr3:uid="{7F23CADA-BB61-4AE8-9DEE-5B87AE7F36F9}" name="Column9598"/>
    <tableColumn id="9632" xr3:uid="{38DCAC7A-D347-4439-9FBE-ADE506C7176A}" name="Column9599"/>
    <tableColumn id="9633" xr3:uid="{630696D9-8739-45C1-9FA6-3C5F173C9990}" name="Column9600"/>
    <tableColumn id="9634" xr3:uid="{7958F1D5-01C2-405C-9836-E1593D667F4E}" name="Column9601"/>
    <tableColumn id="9635" xr3:uid="{8DF48E70-D4BD-4BEC-90D2-40FE4716AC98}" name="Column9602"/>
    <tableColumn id="9636" xr3:uid="{C9BCB4F0-9515-4DB3-8A58-F7672F5FD480}" name="Column9603"/>
    <tableColumn id="9637" xr3:uid="{EFD453DA-7805-4B57-9DBB-25333BACE798}" name="Column9604"/>
    <tableColumn id="9638" xr3:uid="{2C46E07A-60B6-44C2-AC4A-23A2ABB2CE8D}" name="Column9605"/>
    <tableColumn id="9639" xr3:uid="{B2032A30-95BA-4179-B583-1C02818740F7}" name="Column9606"/>
    <tableColumn id="9640" xr3:uid="{047766B4-F9CD-4BCB-9C3E-2B02F05C15A5}" name="Column9607"/>
    <tableColumn id="9641" xr3:uid="{99A2971B-FE4B-4DA9-8064-317587A7FE05}" name="Column9608"/>
    <tableColumn id="9642" xr3:uid="{4C9D45FD-27F1-4938-94CE-2B959A6C34EC}" name="Column9609"/>
    <tableColumn id="9643" xr3:uid="{69DA2B71-761E-4987-8FC6-DB8605BC1461}" name="Column9610"/>
    <tableColumn id="9644" xr3:uid="{B5D10947-EDDC-4705-988C-ABE01E2B3774}" name="Column9611"/>
    <tableColumn id="9645" xr3:uid="{42528DCB-103C-467A-A241-430E3E8DFE36}" name="Column9612"/>
    <tableColumn id="9646" xr3:uid="{19E65210-9975-4DDD-9431-590028F1646F}" name="Column9613"/>
    <tableColumn id="9647" xr3:uid="{9E5C5EFF-B850-4902-A979-EDC64BAF1F57}" name="Column9614"/>
    <tableColumn id="9648" xr3:uid="{523B72E0-C6C1-4012-894A-86621BCB8E3A}" name="Column9615"/>
    <tableColumn id="9649" xr3:uid="{2352C9E1-D92D-42DA-AE82-B350C630696B}" name="Column9616"/>
    <tableColumn id="9650" xr3:uid="{663BFE35-8838-47AE-872D-50481A252BA8}" name="Column9617"/>
    <tableColumn id="9651" xr3:uid="{6EE3144B-A5CD-4E71-8246-0A577AED92EB}" name="Column9618"/>
    <tableColumn id="9652" xr3:uid="{766FEC32-4DA0-40FA-8A8E-B2D0487C3EFA}" name="Column9619"/>
    <tableColumn id="9653" xr3:uid="{E34E30D3-BBC5-4F2A-8E26-E3A515340C09}" name="Column9620"/>
    <tableColumn id="9654" xr3:uid="{349B6AB0-3489-4D3D-BB01-49E0F151F7B2}" name="Column9621"/>
    <tableColumn id="9655" xr3:uid="{A5610C44-9BFF-406B-B1B1-DD2B4EA287B2}" name="Column9622"/>
    <tableColumn id="9656" xr3:uid="{B905DA81-C82E-46C1-A04B-AA65D3B1BB22}" name="Column9623"/>
    <tableColumn id="9657" xr3:uid="{F92D0149-70D4-4C23-AB3F-8F51FB296E76}" name="Column9624"/>
    <tableColumn id="9658" xr3:uid="{ACF1A81A-46F3-4A6A-A4BD-37B4E1C5CFED}" name="Column9625"/>
    <tableColumn id="9659" xr3:uid="{2D64D79D-B734-42C9-915D-F09837FC5392}" name="Column9626"/>
    <tableColumn id="9660" xr3:uid="{2E944DB7-BEDF-4476-9367-A09DC9CF27A2}" name="Column9627"/>
    <tableColumn id="9661" xr3:uid="{313DE9CF-544D-43F9-96E2-4BD39C39F697}" name="Column9628"/>
    <tableColumn id="9662" xr3:uid="{540D3FB5-E9BC-42CD-BCC7-64FCF536C177}" name="Column9629"/>
    <tableColumn id="9663" xr3:uid="{0E051B36-B5B3-41AE-8DF1-CCBB38FA7767}" name="Column9630"/>
    <tableColumn id="9664" xr3:uid="{6944ECC5-C20B-4843-BB3C-58F2564A2555}" name="Column9631"/>
    <tableColumn id="9665" xr3:uid="{23D51499-BC76-4D8B-821A-B8AA39FAB8C3}" name="Column9632"/>
    <tableColumn id="9666" xr3:uid="{45D966C4-4B87-4FF1-99E9-21FE2DE5A0D4}" name="Column9633"/>
    <tableColumn id="9667" xr3:uid="{85C79B0E-CD99-4BE0-B627-A11A42769D54}" name="Column9634"/>
    <tableColumn id="9668" xr3:uid="{690FE7CD-E095-4268-82CE-9C00CE34D071}" name="Column9635"/>
    <tableColumn id="9669" xr3:uid="{043A9269-1D0C-4850-95D7-FE1FC17AFB89}" name="Column9636"/>
    <tableColumn id="9670" xr3:uid="{9EA4F039-DF1A-4A62-A4F1-2A0C4E8D85A4}" name="Column9637"/>
    <tableColumn id="9671" xr3:uid="{1AA226C1-0D94-4816-8242-B7F9600D3BBF}" name="Column9638"/>
    <tableColumn id="9672" xr3:uid="{980AE25F-A0BE-46E9-8983-6BE76BCCCAB9}" name="Column9639"/>
    <tableColumn id="9673" xr3:uid="{FB18866F-6585-4FCF-AFFC-192AC21750D9}" name="Column9640"/>
    <tableColumn id="9674" xr3:uid="{56B8A9E7-F1BF-4720-8842-0BD8AA8A20DC}" name="Column9641"/>
    <tableColumn id="9675" xr3:uid="{883126BF-45F9-4662-AD90-B920B1ADE9CC}" name="Column9642"/>
    <tableColumn id="9676" xr3:uid="{9152BD50-A117-468C-AE10-9A78202F6656}" name="Column9643"/>
    <tableColumn id="9677" xr3:uid="{FFF806FF-1E0E-404C-BED1-6491EFEE1E8D}" name="Column9644"/>
    <tableColumn id="9678" xr3:uid="{D5F052F4-CD83-4701-8914-8FF3D2BD11D5}" name="Column9645"/>
    <tableColumn id="9679" xr3:uid="{188A2860-9F62-4090-A297-F95BE43C8A97}" name="Column9646"/>
    <tableColumn id="9680" xr3:uid="{B724BE07-C5AE-4D5E-98DE-1EEC744C09E8}" name="Column9647"/>
    <tableColumn id="9681" xr3:uid="{58DC98C1-BE27-4BCA-B8B7-DE45AC2748D4}" name="Column9648"/>
    <tableColumn id="9682" xr3:uid="{522B607E-A4ED-47E8-BE9A-B04281B89A52}" name="Column9649"/>
    <tableColumn id="9683" xr3:uid="{FCD6E02E-10DD-4FB7-9E67-E22DFE47AD69}" name="Column9650"/>
    <tableColumn id="9684" xr3:uid="{54CDC5C0-F135-44F6-9896-4B29D55CBBA5}" name="Column9651"/>
    <tableColumn id="9685" xr3:uid="{D09F0EFD-B8E6-4D95-9FD4-6C00FCAE2B6D}" name="Column9652"/>
    <tableColumn id="9686" xr3:uid="{09F86827-AEDB-43CE-BD2D-28E3194025E6}" name="Column9653"/>
    <tableColumn id="9687" xr3:uid="{3044D935-96F0-49D5-84FD-65B80922C8A6}" name="Column9654"/>
    <tableColumn id="9688" xr3:uid="{5001A7B4-0417-4652-A350-F4E2EE895D9C}" name="Column9655"/>
    <tableColumn id="9689" xr3:uid="{60F0DFB2-19A9-4880-B7D8-056F120DE512}" name="Column9656"/>
    <tableColumn id="9690" xr3:uid="{7A4842FC-61A8-4361-809C-57D2564CE5E2}" name="Column9657"/>
    <tableColumn id="9691" xr3:uid="{09FB742F-FCAA-4A02-A996-3F2F22299215}" name="Column9658"/>
    <tableColumn id="9692" xr3:uid="{C2101A60-4AFA-4BDD-8D30-1D17A7277CD8}" name="Column9659"/>
    <tableColumn id="9693" xr3:uid="{7C23EF2F-6078-4EC1-93F4-3B3B4D5F2E2B}" name="Column9660"/>
    <tableColumn id="9694" xr3:uid="{AFD9B250-EEA8-498D-87CB-69047F5F0302}" name="Column9661"/>
    <tableColumn id="9695" xr3:uid="{E344794C-D668-45AF-8C22-F96EE1E32A2B}" name="Column9662"/>
    <tableColumn id="9696" xr3:uid="{FD6C6131-C5A7-488B-958F-E3B126B4E89F}" name="Column9663"/>
    <tableColumn id="9697" xr3:uid="{062093A8-D402-427D-9BAC-308F3728879B}" name="Column9664"/>
    <tableColumn id="9698" xr3:uid="{3B826BE7-9F42-47B1-AF16-35E22AEFED15}" name="Column9665"/>
    <tableColumn id="9699" xr3:uid="{CAF989B0-2A6D-4C1F-8AC7-A200072CF685}" name="Column9666"/>
    <tableColumn id="9700" xr3:uid="{1258C748-BD20-4F20-AB19-1031979D8611}" name="Column9667"/>
    <tableColumn id="9701" xr3:uid="{D75C2358-B671-40C6-A647-70D55F64CCFF}" name="Column9668"/>
    <tableColumn id="9702" xr3:uid="{45D259BA-7E6B-40B6-8BC6-025C8DF6DA54}" name="Column9669"/>
    <tableColumn id="9703" xr3:uid="{BD0DD2D1-2698-4B72-92C8-79DC4C2C433B}" name="Column9670"/>
    <tableColumn id="9704" xr3:uid="{A8650F8D-C5D6-47CF-97E1-55FC82C84D41}" name="Column9671"/>
    <tableColumn id="9705" xr3:uid="{56E411E3-9E87-4685-900F-BF441B585E97}" name="Column9672"/>
    <tableColumn id="9706" xr3:uid="{9419DF21-E075-4D73-863C-57690328BF8C}" name="Column9673"/>
    <tableColumn id="9707" xr3:uid="{DA06DCC6-84F6-470D-9AFA-E2CF8D395CA0}" name="Column9674"/>
    <tableColumn id="9708" xr3:uid="{ED8EEEA7-5C2C-4F65-A182-54BFE5A18382}" name="Column9675"/>
    <tableColumn id="9709" xr3:uid="{28CCB4AB-16A0-4789-8176-0B8409646D48}" name="Column9676"/>
    <tableColumn id="9710" xr3:uid="{D9E348F4-A70F-437C-B4CE-DB879B64EFB5}" name="Column9677"/>
    <tableColumn id="9711" xr3:uid="{1C0B7EDD-F258-40D9-87EF-4126EFA15410}" name="Column9678"/>
    <tableColumn id="9712" xr3:uid="{96920593-0B45-4266-8A04-7AEB87E80F22}" name="Column9679"/>
    <tableColumn id="9713" xr3:uid="{9870F0AC-D719-477F-BFC5-C7845413890D}" name="Column9680"/>
    <tableColumn id="9714" xr3:uid="{DD9C4AF1-EC85-43E3-B645-9EA2A021E93B}" name="Column9681"/>
    <tableColumn id="9715" xr3:uid="{9DD9F388-77AC-4B15-AA89-4E962D2F269A}" name="Column9682"/>
    <tableColumn id="9716" xr3:uid="{0C733BF5-F272-4244-A4D1-24EA5BA0AACE}" name="Column9683"/>
    <tableColumn id="9717" xr3:uid="{DE36BB1E-ADE4-4F6B-BDCB-BF6B0759B590}" name="Column9684"/>
    <tableColumn id="9718" xr3:uid="{080ACE28-9E52-4029-8FBA-A455E9B248F6}" name="Column9685"/>
    <tableColumn id="9719" xr3:uid="{2530DEEC-7DCF-411A-B620-9C78A3713495}" name="Column9686"/>
    <tableColumn id="9720" xr3:uid="{66A42A0F-C78D-49D9-BD90-D852C508FC96}" name="Column9687"/>
    <tableColumn id="9721" xr3:uid="{39DAF87D-5EDF-4591-8AAB-E10DAC7F228E}" name="Column9688"/>
    <tableColumn id="9722" xr3:uid="{7C63712D-AFA0-4204-BEB0-9C9483E31CFB}" name="Column9689"/>
    <tableColumn id="9723" xr3:uid="{1B9C8E75-B0DF-4018-908A-78E3ADD24E2A}" name="Column9690"/>
    <tableColumn id="9724" xr3:uid="{3375A187-8720-4509-B6AA-0495A643D468}" name="Column9691"/>
    <tableColumn id="9725" xr3:uid="{A2BDBF57-B6C7-42D2-ACB9-6DA71DB78A88}" name="Column9692"/>
    <tableColumn id="9726" xr3:uid="{751F53BE-5732-4746-90F3-A3CFCAAB57AB}" name="Column9693"/>
    <tableColumn id="9727" xr3:uid="{4690FD79-02EF-4BB5-883C-D5886A31C8E3}" name="Column9694"/>
    <tableColumn id="9728" xr3:uid="{C613037E-9F06-4452-A363-614062E11438}" name="Column9695"/>
    <tableColumn id="9729" xr3:uid="{4BB07A6F-620A-4A3D-8FA6-4E832D63FE4D}" name="Column9696"/>
    <tableColumn id="9730" xr3:uid="{C5B07C1A-0516-4681-8468-68968313F72C}" name="Column9697"/>
    <tableColumn id="9731" xr3:uid="{20413242-044E-4F34-88B6-2D1BBF464977}" name="Column9698"/>
    <tableColumn id="9732" xr3:uid="{A5A94AE4-5873-4498-A046-5FF28EE52D01}" name="Column9699"/>
    <tableColumn id="9733" xr3:uid="{FCDD5D67-B576-4E29-9DB0-765201AACC38}" name="Column9700"/>
    <tableColumn id="9734" xr3:uid="{AB5F2D0B-1CFD-4E2D-A4D1-632E0235B33C}" name="Column9701"/>
    <tableColumn id="9735" xr3:uid="{3E69A333-7C88-45F6-8BBF-7C9C0C4F26DC}" name="Column9702"/>
    <tableColumn id="9736" xr3:uid="{A15AED77-815C-4FFD-AED3-48170700E92D}" name="Column9703"/>
    <tableColumn id="9737" xr3:uid="{17F3C736-D529-42E0-8EA0-71E7B1AC8A10}" name="Column9704"/>
    <tableColumn id="9738" xr3:uid="{CBE61745-16BC-436E-8E12-DFED4CA7DC2C}" name="Column9705"/>
    <tableColumn id="9739" xr3:uid="{FF460969-C7B6-48F1-91C7-4B1CF14F992E}" name="Column9706"/>
    <tableColumn id="9740" xr3:uid="{A762F2A3-97D4-4370-BB97-93F65987D6D9}" name="Column9707"/>
    <tableColumn id="9741" xr3:uid="{2845433B-E578-49A8-B7E9-54604547BD6C}" name="Column9708"/>
    <tableColumn id="9742" xr3:uid="{1D5667DA-F31B-429B-A8C8-098619069C2A}" name="Column9709"/>
    <tableColumn id="9743" xr3:uid="{ABBDB0B8-02D7-44D8-ADD4-FC3494EC5CEA}" name="Column9710"/>
    <tableColumn id="9744" xr3:uid="{E82EBD50-F94A-4A78-92D6-35453765BC2F}" name="Column9711"/>
    <tableColumn id="9745" xr3:uid="{4A2C167D-8470-4470-AEAC-5A7DBCECC1E4}" name="Column9712"/>
    <tableColumn id="9746" xr3:uid="{484E5745-66FB-4BC9-A940-E86660ECFCD4}" name="Column9713"/>
    <tableColumn id="9747" xr3:uid="{C72DA7CC-B0CB-4C7C-BF25-7CFA70E52FAB}" name="Column9714"/>
    <tableColumn id="9748" xr3:uid="{4D5B500F-DDE7-4E16-9A90-E710E63F2ED0}" name="Column9715"/>
    <tableColumn id="9749" xr3:uid="{1BF9B628-13FE-45DC-9EA5-D97E97982C6B}" name="Column9716"/>
    <tableColumn id="9750" xr3:uid="{D8396ED8-CAA3-46BB-88F9-EA758AC181C8}" name="Column9717"/>
    <tableColumn id="9751" xr3:uid="{4272F349-E011-4550-91BF-98A824522099}" name="Column9718"/>
    <tableColumn id="9752" xr3:uid="{00286F20-8F9A-4166-9205-D20CE4AF7570}" name="Column9719"/>
    <tableColumn id="9753" xr3:uid="{FD406CE9-EEFA-4B8C-AC14-C315C361EE28}" name="Column9720"/>
    <tableColumn id="9754" xr3:uid="{863C534F-1561-419C-92E8-E663A8F6F6F2}" name="Column9721"/>
    <tableColumn id="9755" xr3:uid="{1FCDD7CC-0192-4584-ABF9-96FC11DEFD68}" name="Column9722"/>
    <tableColumn id="9756" xr3:uid="{C4ED1C84-470A-4F2A-A24B-38580F739658}" name="Column9723"/>
    <tableColumn id="9757" xr3:uid="{F16CC00A-DF93-4234-8A3F-1437B0AD5FAC}" name="Column9724"/>
    <tableColumn id="9758" xr3:uid="{57803BDF-6AC0-443D-8CAD-9AFAA31150A6}" name="Column9725"/>
    <tableColumn id="9759" xr3:uid="{5AAF6E0C-36A9-4A43-9C39-34939B678E68}" name="Column9726"/>
    <tableColumn id="9760" xr3:uid="{9D8D020D-87C3-4F4F-9067-97E723576098}" name="Column9727"/>
    <tableColumn id="9761" xr3:uid="{1AADBA85-0638-4CAB-B73F-2A2D44EE51B1}" name="Column9728"/>
    <tableColumn id="9762" xr3:uid="{05C5341A-2399-419E-B5F1-255B1B3452B9}" name="Column9729"/>
    <tableColumn id="9763" xr3:uid="{D6151219-FF2E-4EE4-A725-39A862ECE1CA}" name="Column9730"/>
    <tableColumn id="9764" xr3:uid="{0ACB498B-ED3B-4E1B-815B-6CCA24FE4554}" name="Column9731"/>
    <tableColumn id="9765" xr3:uid="{5332736A-67CA-480A-B629-D0B416ABC05F}" name="Column9732"/>
    <tableColumn id="9766" xr3:uid="{13CFFF21-5A78-47B2-90C5-446709C7C2CC}" name="Column9733"/>
    <tableColumn id="9767" xr3:uid="{4129EA58-FB91-44F5-8CDF-61EC7D7BF1C7}" name="Column9734"/>
    <tableColumn id="9768" xr3:uid="{AFD76241-04AC-40D1-8ED2-9116F4F0F38B}" name="Column9735"/>
    <tableColumn id="9769" xr3:uid="{0EC81802-FEE9-4A74-A29E-C084296F8285}" name="Column9736"/>
    <tableColumn id="9770" xr3:uid="{38AFF508-E845-4E21-B0A6-6AF55897BDDD}" name="Column9737"/>
    <tableColumn id="9771" xr3:uid="{DBFC01C6-B1DF-4F5F-94B6-15A370A9F9FC}" name="Column9738"/>
    <tableColumn id="9772" xr3:uid="{8054EC77-8B73-4A37-B8C0-9302E1B4EFCD}" name="Column9739"/>
    <tableColumn id="9773" xr3:uid="{00812905-EBA2-45BF-BFA9-81537268CD65}" name="Column9740"/>
    <tableColumn id="9774" xr3:uid="{EDE73F9D-4272-4AB0-A1E6-BCE3BAC62A15}" name="Column9741"/>
    <tableColumn id="9775" xr3:uid="{A0BFED52-A55A-4033-9D97-A8E5BCEFF0E5}" name="Column9742"/>
    <tableColumn id="9776" xr3:uid="{208C3759-7A29-41FA-A160-01FA2BFA37DA}" name="Column9743"/>
    <tableColumn id="9777" xr3:uid="{668DF02B-3299-4417-8751-EDE3986B3C6A}" name="Column9744"/>
    <tableColumn id="9778" xr3:uid="{3131173E-5F81-491B-AD28-55B27942B260}" name="Column9745"/>
    <tableColumn id="9779" xr3:uid="{BF0C44F6-9214-48CB-9922-75E72AF56865}" name="Column9746"/>
    <tableColumn id="9780" xr3:uid="{910B43A8-EB69-4FD9-BC65-BA03B47D7044}" name="Column9747"/>
    <tableColumn id="9781" xr3:uid="{DB8EFD59-59ED-4B42-A70C-EAD854610FE7}" name="Column9748"/>
    <tableColumn id="9782" xr3:uid="{A6E5D95C-F565-499A-A9F3-14C2BF13F8E2}" name="Column9749"/>
    <tableColumn id="9783" xr3:uid="{7EABC098-5965-4477-98C5-638C54151F49}" name="Column9750"/>
    <tableColumn id="9784" xr3:uid="{C96D7CFF-FB6C-46C7-8E36-1A15638ACD15}" name="Column9751"/>
    <tableColumn id="9785" xr3:uid="{64272F7A-094E-4476-8128-8BF1E1B34D25}" name="Column9752"/>
    <tableColumn id="9786" xr3:uid="{327D221B-8D04-4EE9-9972-7023B6E74817}" name="Column9753"/>
    <tableColumn id="9787" xr3:uid="{03D7F383-7910-4B1C-A51A-C3F511F7A009}" name="Column9754"/>
    <tableColumn id="9788" xr3:uid="{CB87740C-059F-4C87-AF00-3C4F8A7E3E66}" name="Column9755"/>
    <tableColumn id="9789" xr3:uid="{27DB853A-9ACD-49AE-ACB2-5F407557B619}" name="Column9756"/>
    <tableColumn id="9790" xr3:uid="{BE903F2A-AFCB-4B5A-9131-50555818A0C0}" name="Column9757"/>
    <tableColumn id="9791" xr3:uid="{2E0F3620-AB88-4DD7-B16E-F07564CE5323}" name="Column9758"/>
    <tableColumn id="9792" xr3:uid="{8149839A-45F2-42CF-BF7F-640DCDCEAAF6}" name="Column9759"/>
    <tableColumn id="9793" xr3:uid="{B8F92DC1-3A14-4993-B378-B20E2312F12D}" name="Column9760"/>
    <tableColumn id="9794" xr3:uid="{5FCBE505-AB8A-4D49-B1B7-D6BEA76EAB68}" name="Column9761"/>
    <tableColumn id="9795" xr3:uid="{01CAEA20-FC93-4C7E-B0CF-652A4836A33E}" name="Column9762"/>
    <tableColumn id="9796" xr3:uid="{A0BAFD65-0EFA-41A5-A2B0-396063DF032F}" name="Column9763"/>
    <tableColumn id="9797" xr3:uid="{F7A95A36-01C2-4C99-ABEB-EB05F2376E5C}" name="Column9764"/>
    <tableColumn id="9798" xr3:uid="{04427841-978D-473E-ADB6-31135D13ADFD}" name="Column9765"/>
    <tableColumn id="9799" xr3:uid="{5E41E550-295A-4CAA-B423-7D91D456361C}" name="Column9766"/>
    <tableColumn id="9800" xr3:uid="{8A5B043F-3F0E-4BC0-B74A-1BC13AFE0944}" name="Column9767"/>
    <tableColumn id="9801" xr3:uid="{8AC78C26-8A0F-48DD-86BC-575D471B8779}" name="Column9768"/>
    <tableColumn id="9802" xr3:uid="{6949FA66-BE59-4CA3-AC40-7648C735F0E7}" name="Column9769"/>
    <tableColumn id="9803" xr3:uid="{C76C5A8C-F75A-4E3E-9B53-5AFA43F40E07}" name="Column9770"/>
    <tableColumn id="9804" xr3:uid="{5219F2E0-EDEE-4B09-BFCF-CE1D2D8099D9}" name="Column9771"/>
    <tableColumn id="9805" xr3:uid="{4B673EE3-DD80-4DD1-A0C2-9BBDCC3FF5CC}" name="Column9772"/>
    <tableColumn id="9806" xr3:uid="{E3F8388D-2C78-4E26-883B-D7364CE7D772}" name="Column9773"/>
    <tableColumn id="9807" xr3:uid="{7A48BBE4-1671-44DF-8636-4F7AA4D587FC}" name="Column9774"/>
    <tableColumn id="9808" xr3:uid="{456D29E9-9A23-4788-AE2A-D8D812C78CD7}" name="Column9775"/>
    <tableColumn id="9809" xr3:uid="{46E0F226-F545-4D36-9A3E-F9E4A751BD49}" name="Column9776"/>
    <tableColumn id="9810" xr3:uid="{0A0A42E1-EDC9-4CE8-9665-3D79FD916571}" name="Column9777"/>
    <tableColumn id="9811" xr3:uid="{53F73441-0ED9-4A24-A7CE-267693AC37E8}" name="Column9778"/>
    <tableColumn id="9812" xr3:uid="{5AB70697-37B5-4FF7-B6B2-FEB0BA4F23A9}" name="Column9779"/>
    <tableColumn id="9813" xr3:uid="{2E21C686-0223-4061-AB18-833015993370}" name="Column9780"/>
    <tableColumn id="9814" xr3:uid="{D627CCFA-DC9B-49BC-90DE-D7854ACC9DF5}" name="Column9781"/>
    <tableColumn id="9815" xr3:uid="{DBD5E58B-6F1F-425D-9A56-69187BAED4BD}" name="Column9782"/>
    <tableColumn id="9816" xr3:uid="{E517D57F-504B-4EA7-998F-33D4796DF011}" name="Column9783"/>
    <tableColumn id="9817" xr3:uid="{E09D869B-7659-4950-82C3-9A3911F6BA08}" name="Column9784"/>
    <tableColumn id="9818" xr3:uid="{61601326-3498-4CD8-9407-92608B9A481B}" name="Column9785"/>
    <tableColumn id="9819" xr3:uid="{1692411E-0559-49B6-9E9E-9071B6156453}" name="Column9786"/>
    <tableColumn id="9820" xr3:uid="{5D70AF75-3C80-4730-83E5-407412971B64}" name="Column9787"/>
    <tableColumn id="9821" xr3:uid="{DCB6BC9D-BF88-4461-97C4-57FD34FCB64F}" name="Column9788"/>
    <tableColumn id="9822" xr3:uid="{2672C0AB-656A-43BD-8FB2-DF279803B09D}" name="Column9789"/>
    <tableColumn id="9823" xr3:uid="{EECE9D3E-B044-4A40-8F6B-8F505B2097E4}" name="Column9790"/>
    <tableColumn id="9824" xr3:uid="{22409940-897F-43E8-B195-11947EA4E343}" name="Column9791"/>
    <tableColumn id="9825" xr3:uid="{756E466F-08D1-4DD0-8095-31FC40FC10F9}" name="Column9792"/>
    <tableColumn id="9826" xr3:uid="{EE57121D-99CF-4BDA-8366-2BCB7BB5A6D2}" name="Column9793"/>
    <tableColumn id="9827" xr3:uid="{3A9E7948-9124-40B0-8C2F-0F39FFF5F8A1}" name="Column9794"/>
    <tableColumn id="9828" xr3:uid="{CC27D6E5-6098-4131-BB1E-1FAA1722BCF5}" name="Column9795"/>
    <tableColumn id="9829" xr3:uid="{2DEF1ABE-A2FA-47E6-B709-C3678BE88A2D}" name="Column9796"/>
    <tableColumn id="9830" xr3:uid="{466D80FB-74FB-48A4-BA89-5D4C096166B8}" name="Column9797"/>
    <tableColumn id="9831" xr3:uid="{25B79DB1-DDC8-4711-93D2-058C0C511F1D}" name="Column9798"/>
    <tableColumn id="9832" xr3:uid="{461FABF4-33BF-4DDF-AA8C-57C2DA260F72}" name="Column9799"/>
    <tableColumn id="9833" xr3:uid="{C8529684-0A8B-48AB-AACD-A3E6F8844D0B}" name="Column9800"/>
    <tableColumn id="9834" xr3:uid="{523062EA-C4A5-4BBA-8FB5-83094FC7528D}" name="Column9801"/>
    <tableColumn id="9835" xr3:uid="{809E9361-B67A-4879-8DD1-62C5437186A7}" name="Column9802"/>
    <tableColumn id="9836" xr3:uid="{69BCDD04-E561-4A3C-8D98-95427B686ADC}" name="Column9803"/>
    <tableColumn id="9837" xr3:uid="{E8C376AB-1B8B-49E6-93B6-F387F4A61011}" name="Column9804"/>
    <tableColumn id="9838" xr3:uid="{9BF1ACE7-F54F-4408-A7D9-67737FA1326E}" name="Column9805"/>
    <tableColumn id="9839" xr3:uid="{6848296C-7943-4B6F-A2F5-38392E051033}" name="Column9806"/>
    <tableColumn id="9840" xr3:uid="{262079E8-17BB-4EF7-AC85-4A683213B852}" name="Column9807"/>
    <tableColumn id="9841" xr3:uid="{277EE350-336D-48E8-85F6-8F585571DAF1}" name="Column9808"/>
    <tableColumn id="9842" xr3:uid="{3466AC1E-7112-40AD-839D-EEA095F30BF3}" name="Column9809"/>
    <tableColumn id="9843" xr3:uid="{5FE3C714-512A-42D7-A9CE-6D4AC27E3050}" name="Column9810"/>
    <tableColumn id="9844" xr3:uid="{F97A9C99-7B0C-464A-8BFF-9FED1E909029}" name="Column9811"/>
    <tableColumn id="9845" xr3:uid="{068A6372-E6B4-4288-B490-47A62FD018A0}" name="Column9812"/>
    <tableColumn id="9846" xr3:uid="{78A6F441-8D82-450C-B8C2-39418D7AA7A1}" name="Column9813"/>
    <tableColumn id="9847" xr3:uid="{9D3F4E1D-C5F0-4E1F-9473-509465C77073}" name="Column9814"/>
    <tableColumn id="9848" xr3:uid="{F1013555-158D-49F5-9717-310DF8BFA964}" name="Column9815"/>
    <tableColumn id="9849" xr3:uid="{56EDCE54-E28B-4B2C-862B-89FD17F249AB}" name="Column9816"/>
    <tableColumn id="9850" xr3:uid="{C8B9247D-07F8-4795-B0A2-7647DF8CD7FB}" name="Column9817"/>
    <tableColumn id="9851" xr3:uid="{C76C5CFF-466D-485A-9E38-9CBA8F0FAAC7}" name="Column9818"/>
    <tableColumn id="9852" xr3:uid="{FA3BA94D-6E89-49E3-9FEA-FE9A3823528A}" name="Column9819"/>
    <tableColumn id="9853" xr3:uid="{0F28534A-B764-4DF4-B3F5-715A43EF5C14}" name="Column9820"/>
    <tableColumn id="9854" xr3:uid="{DB849891-B4B7-4F91-93CE-1C46C6EF80F2}" name="Column9821"/>
    <tableColumn id="9855" xr3:uid="{7D581631-9621-4A41-9F9F-8E6A542A8A94}" name="Column9822"/>
    <tableColumn id="9856" xr3:uid="{D4B91827-5A0B-4164-A901-5F61E27EF8B5}" name="Column9823"/>
    <tableColumn id="9857" xr3:uid="{954311B5-9325-4953-960A-A2120CC4AD38}" name="Column9824"/>
    <tableColumn id="9858" xr3:uid="{83570C1E-487F-41F7-970B-B68EC7637537}" name="Column9825"/>
    <tableColumn id="9859" xr3:uid="{0F5B7917-3A0D-4BC2-9107-5F131AB7020B}" name="Column9826"/>
    <tableColumn id="9860" xr3:uid="{40D65CE3-492A-4FAA-9AE2-06CC8573E16B}" name="Column9827"/>
    <tableColumn id="9861" xr3:uid="{A3BD6767-647C-4201-8162-83C5A30077BC}" name="Column9828"/>
    <tableColumn id="9862" xr3:uid="{64BCE695-4560-40B1-A86F-F818076C937E}" name="Column9829"/>
    <tableColumn id="9863" xr3:uid="{5864C17B-837C-45B1-9B54-D70B73D4E02C}" name="Column9830"/>
    <tableColumn id="9864" xr3:uid="{23A15CFB-27C1-4EE4-8BA0-C3352E4B08F4}" name="Column9831"/>
    <tableColumn id="9865" xr3:uid="{F5A04DC9-9C13-4015-B69B-8BC1BB6504F8}" name="Column9832"/>
    <tableColumn id="9866" xr3:uid="{D8904786-E4C6-4FB6-9D56-A77337A414C9}" name="Column9833"/>
    <tableColumn id="9867" xr3:uid="{DCF65B7C-49E1-4B0C-AC8F-93D50FA3C641}" name="Column9834"/>
    <tableColumn id="9868" xr3:uid="{8A37D8BF-1463-43E7-9EE8-A07FA26B1F72}" name="Column9835"/>
    <tableColumn id="9869" xr3:uid="{9234D24C-E0D6-46D1-9D5A-2C2D9D393869}" name="Column9836"/>
    <tableColumn id="9870" xr3:uid="{3940F15B-4A8B-4A2F-99CE-B2270E15F629}" name="Column9837"/>
    <tableColumn id="9871" xr3:uid="{604E18FC-7ECD-4095-BBDF-8AA07F57C4D7}" name="Column9838"/>
    <tableColumn id="9872" xr3:uid="{60E8A677-7B61-468F-929D-7D79D3834BB7}" name="Column9839"/>
    <tableColumn id="9873" xr3:uid="{0B7766D3-DBFF-42CD-BF78-2ABCF1E19309}" name="Column9840"/>
    <tableColumn id="9874" xr3:uid="{62C34085-4585-46C8-82E9-9722B2D4830F}" name="Column9841"/>
    <tableColumn id="9875" xr3:uid="{89CC1B7F-109A-4639-A6D1-5B035253CFD6}" name="Column9842"/>
    <tableColumn id="9876" xr3:uid="{D99B6BF9-0ACF-4DAA-89B0-EC6BD54F8B8C}" name="Column9843"/>
    <tableColumn id="9877" xr3:uid="{910D5CD1-0FBF-4394-B8E7-439103B7F129}" name="Column9844"/>
    <tableColumn id="9878" xr3:uid="{710A538F-6B33-4C10-9D73-D0D24F736056}" name="Column9845"/>
    <tableColumn id="9879" xr3:uid="{C9A123B3-5B26-418D-B0AE-018CCFB1FCFE}" name="Column9846"/>
    <tableColumn id="9880" xr3:uid="{327C954B-2B3D-42A1-9858-D02C4E19EE8C}" name="Column9847"/>
    <tableColumn id="9881" xr3:uid="{6D74F205-1DA6-4123-B4AE-3F98B098DF3F}" name="Column9848"/>
    <tableColumn id="9882" xr3:uid="{3086B82E-48EC-4C66-97AB-1C13C5E5159E}" name="Column9849"/>
    <tableColumn id="9883" xr3:uid="{A5D7A87F-5D56-40EC-B505-E6C07A76DE58}" name="Column9850"/>
    <tableColumn id="9884" xr3:uid="{7E0B8D06-1E4E-436B-BECC-0A53C0AEC2C1}" name="Column9851"/>
    <tableColumn id="9885" xr3:uid="{9F828728-682F-4F7A-969E-C6C0B9F6947F}" name="Column9852"/>
    <tableColumn id="9886" xr3:uid="{3ADB4A42-E2FE-4248-BC9A-41A50D1C575C}" name="Column9853"/>
    <tableColumn id="9887" xr3:uid="{5F5F4A0C-81B5-4AAE-893C-408E837FAA34}" name="Column9854"/>
    <tableColumn id="9888" xr3:uid="{500ACED8-EF8D-45DE-806C-5535B804A44C}" name="Column9855"/>
    <tableColumn id="9889" xr3:uid="{A5F486B9-87FA-4493-AC65-82BBC02E0969}" name="Column9856"/>
    <tableColumn id="9890" xr3:uid="{3AA2F341-7199-401D-9222-36865715B7C1}" name="Column9857"/>
    <tableColumn id="9891" xr3:uid="{8EAAC721-E63E-4E55-AE09-658BFBF5517E}" name="Column9858"/>
    <tableColumn id="9892" xr3:uid="{AEAEF192-68B0-41AC-8F1D-8537D0C1E627}" name="Column9859"/>
    <tableColumn id="9893" xr3:uid="{6ED3DD16-843A-48C6-9AA2-388C8A9F2B09}" name="Column9860"/>
    <tableColumn id="9894" xr3:uid="{D50C5656-0C27-449E-B1C8-CF0967128A4B}" name="Column9861"/>
    <tableColumn id="9895" xr3:uid="{822D06DC-7678-4BA2-9C3A-6F1C40AB4D1B}" name="Column9862"/>
    <tableColumn id="9896" xr3:uid="{6C9EC88F-B50B-4F86-8461-69ED7F97C349}" name="Column9863"/>
    <tableColumn id="9897" xr3:uid="{2B5EA77F-C78A-48DD-BEF8-F482DF81DB1D}" name="Column9864"/>
    <tableColumn id="9898" xr3:uid="{8C2C40DC-6AAB-446A-A012-132E4A0F699E}" name="Column9865"/>
    <tableColumn id="9899" xr3:uid="{EC640C13-9F54-4152-886C-EE7D385C9FCD}" name="Column9866"/>
    <tableColumn id="9900" xr3:uid="{D2CBDB5B-8DCE-4C62-A412-42CAB532A992}" name="Column9867"/>
    <tableColumn id="9901" xr3:uid="{40A74C38-97A6-47D9-9A25-39B1B79E74C3}" name="Column9868"/>
    <tableColumn id="9902" xr3:uid="{EB9CBC44-D546-4A88-AE27-5FAE627F6D52}" name="Column9869"/>
    <tableColumn id="9903" xr3:uid="{41F34C8F-AE25-446E-B244-379A61C8B5A0}" name="Column9870"/>
    <tableColumn id="9904" xr3:uid="{5AADE2C9-21E7-40CE-B598-3E64D4286DBB}" name="Column9871"/>
    <tableColumn id="9905" xr3:uid="{185CF968-E847-48CF-8D39-A14A65778229}" name="Column9872"/>
    <tableColumn id="9906" xr3:uid="{FEBE64D9-9046-4810-9664-B17B9B02B9A4}" name="Column9873"/>
    <tableColumn id="9907" xr3:uid="{AA2A11AD-EB1D-4B2E-BB47-5ED86E7BEAA3}" name="Column9874"/>
    <tableColumn id="9908" xr3:uid="{8912FCE0-4BC4-4561-A5BC-07B02498CC37}" name="Column9875"/>
    <tableColumn id="9909" xr3:uid="{EE0F6885-1E33-4679-85F0-4759C2C40EEA}" name="Column9876"/>
    <tableColumn id="9910" xr3:uid="{6741A026-7CD4-4F5D-AC56-8077AD3AACE0}" name="Column9877"/>
    <tableColumn id="9911" xr3:uid="{2E46E3F5-13EC-44F1-B419-78E8F83EFD8B}" name="Column9878"/>
    <tableColumn id="9912" xr3:uid="{D19347DD-4DF4-469E-B534-BA2E8B4A44E5}" name="Column9879"/>
    <tableColumn id="9913" xr3:uid="{4951B4B8-B770-4374-8609-D51E40FCAA82}" name="Column9880"/>
    <tableColumn id="9914" xr3:uid="{69D58448-DFD8-430D-BDE6-2DAB0D8E45B4}" name="Column9881"/>
    <tableColumn id="9915" xr3:uid="{16B45331-9D99-41E4-A173-B80BC830E43C}" name="Column9882"/>
    <tableColumn id="9916" xr3:uid="{6B668FF4-2A5D-4D26-98B2-9AE06A190926}" name="Column9883"/>
    <tableColumn id="9917" xr3:uid="{02647FDF-5CE8-4522-BCBD-15EE83D99A83}" name="Column9884"/>
    <tableColumn id="9918" xr3:uid="{F1EF54F0-99ED-4ABA-B5CE-6257F6DA8171}" name="Column9885"/>
    <tableColumn id="9919" xr3:uid="{39C7BEF4-0BE8-44AE-AE60-0A7742340BD4}" name="Column9886"/>
    <tableColumn id="9920" xr3:uid="{88150B2E-8391-4A47-AB71-81BA6557ED0E}" name="Column9887"/>
    <tableColumn id="9921" xr3:uid="{C1B815EF-E152-4099-AC14-F83439B09A5F}" name="Column9888"/>
    <tableColumn id="9922" xr3:uid="{B1D005CC-CBC6-442C-9885-0FE1E77C2D86}" name="Column9889"/>
    <tableColumn id="9923" xr3:uid="{036D7B13-805D-4942-A993-FD65303D0BE2}" name="Column9890"/>
    <tableColumn id="9924" xr3:uid="{971011E2-8DBC-41F7-8404-778E2024AC49}" name="Column9891"/>
    <tableColumn id="9925" xr3:uid="{BAB32ECC-D41A-446F-9359-6B67F7028BEB}" name="Column9892"/>
    <tableColumn id="9926" xr3:uid="{4D01AA43-3F7F-4D53-8DB7-2C85D9220155}" name="Column9893"/>
    <tableColumn id="9927" xr3:uid="{8753A5E7-E9D1-4BAF-8369-AEAF3133C59C}" name="Column9894"/>
    <tableColumn id="9928" xr3:uid="{12D54F00-B76C-44F1-ADA2-72AD46BF92E1}" name="Column9895"/>
    <tableColumn id="9929" xr3:uid="{CECFD55C-0F0A-4B3F-919B-41622D8204C1}" name="Column9896"/>
    <tableColumn id="9930" xr3:uid="{7E5AAA80-978C-45F0-A4F0-5040FB3A7B5F}" name="Column9897"/>
    <tableColumn id="9931" xr3:uid="{600FB599-BC2A-4E4B-9E85-9E5E29D03940}" name="Column9898"/>
    <tableColumn id="9932" xr3:uid="{D530E850-AD80-46CA-A2C0-97383C249634}" name="Column9899"/>
    <tableColumn id="9933" xr3:uid="{849BB2F6-38EA-41DF-A997-2B7DEEC62A55}" name="Column9900"/>
    <tableColumn id="9934" xr3:uid="{5157CF0C-799D-48FD-B3CD-3023C134AAD8}" name="Column9901"/>
    <tableColumn id="9935" xr3:uid="{5A32D5C0-33D0-4285-AC20-1D97C2272607}" name="Column9902"/>
    <tableColumn id="9936" xr3:uid="{0989D381-0852-4CF8-B4E1-FCF34D9BCC0C}" name="Column9903"/>
    <tableColumn id="9937" xr3:uid="{9E768565-2E80-4C7F-8527-9E81E9E98379}" name="Column9904"/>
    <tableColumn id="9938" xr3:uid="{2AF5C5DA-B63D-4D40-BE64-414F7B284D66}" name="Column9905"/>
    <tableColumn id="9939" xr3:uid="{6C172620-DD27-48E7-AD12-853F9128FA37}" name="Column9906"/>
    <tableColumn id="9940" xr3:uid="{1B2D10F4-CF79-46E1-9806-67314BED3A72}" name="Column9907"/>
    <tableColumn id="9941" xr3:uid="{9A5ACF65-DF6B-491A-BC6F-6013C5804ED0}" name="Column9908"/>
    <tableColumn id="9942" xr3:uid="{A450E12C-CDBD-429B-9C5A-CEFA10A0BE1E}" name="Column9909"/>
    <tableColumn id="9943" xr3:uid="{B8132870-2880-47F7-A1E0-EE37EAEB6E84}" name="Column9910"/>
    <tableColumn id="9944" xr3:uid="{165E147C-C8A5-42CF-84F1-7C850859E66D}" name="Column9911"/>
    <tableColumn id="9945" xr3:uid="{4267E633-B32C-4D6C-91A7-81013FA443DF}" name="Column9912"/>
    <tableColumn id="9946" xr3:uid="{C72EFAE6-639A-4FF4-A857-6BC75CBB39BC}" name="Column9913"/>
    <tableColumn id="9947" xr3:uid="{79E833DB-4907-436C-81A7-BA59C0DB5A27}" name="Column9914"/>
    <tableColumn id="9948" xr3:uid="{EA2FA3BD-8AE2-4031-BF08-4BAF1C506FD9}" name="Column9915"/>
    <tableColumn id="9949" xr3:uid="{ABD14246-2583-494F-8BE3-913AFF0511CD}" name="Column9916"/>
    <tableColumn id="9950" xr3:uid="{40D12E6C-0751-41AF-AF14-C12E47831655}" name="Column9917"/>
    <tableColumn id="9951" xr3:uid="{183F635E-E370-4AA8-BEE5-A80033A3763F}" name="Column9918"/>
    <tableColumn id="9952" xr3:uid="{1097E2F2-7052-4B58-AFE8-A25B6F0DDBBA}" name="Column9919"/>
    <tableColumn id="9953" xr3:uid="{87795C9C-CE3C-4A27-89E1-9BBC511B1D25}" name="Column9920"/>
    <tableColumn id="9954" xr3:uid="{706CD00E-2D0C-4897-9BF9-7C00EEEE1429}" name="Column9921"/>
    <tableColumn id="9955" xr3:uid="{DA0A25BD-C856-44E1-9F1E-4235BBF23200}" name="Column9922"/>
    <tableColumn id="9956" xr3:uid="{4EE42335-DC50-4158-AC3B-3885343C9778}" name="Column9923"/>
    <tableColumn id="9957" xr3:uid="{986DAC32-D7CA-46FA-956F-8BCF2E6F1752}" name="Column9924"/>
    <tableColumn id="9958" xr3:uid="{FDC16EFE-562C-4BB9-93A3-124A72074EAE}" name="Column9925"/>
    <tableColumn id="9959" xr3:uid="{5F9E6EFA-5701-4A89-91A3-96CFB9D65EE7}" name="Column9926"/>
    <tableColumn id="9960" xr3:uid="{E02850C5-B489-48C1-AAA4-FD282BD6B85F}" name="Column9927"/>
    <tableColumn id="9961" xr3:uid="{69072C4E-901B-447E-A0DB-4F2F6B06193D}" name="Column9928"/>
    <tableColumn id="9962" xr3:uid="{1C67F1D5-B75E-4021-9FE1-714A19E4DA33}" name="Column9929"/>
    <tableColumn id="9963" xr3:uid="{FC6A945B-8B92-4A7D-AE4D-79C6DF207928}" name="Column9930"/>
    <tableColumn id="9964" xr3:uid="{6BAD47A8-C9AE-4286-82D5-D82270026506}" name="Column9931"/>
    <tableColumn id="9965" xr3:uid="{46688AB0-3D1A-45B0-931D-CB0949B5096B}" name="Column9932"/>
    <tableColumn id="9966" xr3:uid="{BFD2287E-3A93-4D4A-9F25-894F0C1700BA}" name="Column9933"/>
    <tableColumn id="9967" xr3:uid="{BAC8C7B7-9AB0-4D18-9C38-77216E638AA2}" name="Column9934"/>
    <tableColumn id="9968" xr3:uid="{E53E688B-B4E6-4414-B82F-57F59165492D}" name="Column9935"/>
    <tableColumn id="9969" xr3:uid="{B0C6153D-3DC3-42D5-8E77-89031E9A94F4}" name="Column9936"/>
    <tableColumn id="9970" xr3:uid="{CCF75F94-3906-43B2-8412-C5CAAD322D95}" name="Column9937"/>
    <tableColumn id="9971" xr3:uid="{B0BDD1D6-88B9-4940-B6A6-F5A468A05A6C}" name="Column9938"/>
    <tableColumn id="9972" xr3:uid="{EB8BC032-693E-453A-BD6A-BAA28C26480F}" name="Column9939"/>
    <tableColumn id="9973" xr3:uid="{5C871B7B-40C4-48ED-BF84-FE3237373EB0}" name="Column9940"/>
    <tableColumn id="9974" xr3:uid="{0CD6AC7D-162A-4C3C-B3CF-5B56AB04D622}" name="Column9941"/>
    <tableColumn id="9975" xr3:uid="{65CB6834-DBA0-470F-938B-6C200D946F4C}" name="Column9942"/>
    <tableColumn id="9976" xr3:uid="{38305F68-9B91-4B36-8F10-7782C71FF213}" name="Column9943"/>
    <tableColumn id="9977" xr3:uid="{30C47B57-D726-4102-B16A-22BB26110E0C}" name="Column9944"/>
    <tableColumn id="9978" xr3:uid="{B589F5EE-D841-44C5-9875-4425D2F4DA34}" name="Column9945"/>
    <tableColumn id="9979" xr3:uid="{A3A4C5A0-A9EF-4811-A84E-9A128479E34C}" name="Column9946"/>
    <tableColumn id="9980" xr3:uid="{059781C4-7B8F-4B56-8CCD-864A8D015316}" name="Column9947"/>
    <tableColumn id="9981" xr3:uid="{F6327A51-FD6E-46A1-8836-53655232AB6D}" name="Column9948"/>
    <tableColumn id="9982" xr3:uid="{F18C13D1-3CC2-46EE-AFB5-962B41C9C8E4}" name="Column9949"/>
    <tableColumn id="9983" xr3:uid="{90E8674B-08F3-4BAA-8FA5-22F6AE3CF59B}" name="Column9950"/>
    <tableColumn id="9984" xr3:uid="{5602EC2B-C833-460F-B10B-DFA46E540CD9}" name="Column9951"/>
    <tableColumn id="9985" xr3:uid="{A5CC8F44-3DBC-4FF4-A8DF-69A4BD114E08}" name="Column9952"/>
    <tableColumn id="9986" xr3:uid="{6B0E082D-8911-41A6-80DB-EEB6AB886011}" name="Column9953"/>
    <tableColumn id="9987" xr3:uid="{9A39F3C2-2424-480E-9ECE-C664AC1B2115}" name="Column9954"/>
    <tableColumn id="9988" xr3:uid="{5E48411E-AF07-4063-AAEE-E555501C178E}" name="Column9955"/>
    <tableColumn id="9989" xr3:uid="{FBB3E6B1-665D-4CE5-8013-9FE74D150BFE}" name="Column9956"/>
    <tableColumn id="9990" xr3:uid="{F478FDB4-0711-4F84-8919-B86FCC377A9E}" name="Column9957"/>
    <tableColumn id="9991" xr3:uid="{BB23BD85-DF43-4C3C-A7AF-EC58CF863169}" name="Column9958"/>
    <tableColumn id="9992" xr3:uid="{4B13A625-F8DB-47E9-9E50-424E15BB3D2F}" name="Column9959"/>
    <tableColumn id="9993" xr3:uid="{15364EDE-1871-4DC8-BEAA-4E4FB06541BE}" name="Column9960"/>
    <tableColumn id="9994" xr3:uid="{6B01C535-2713-487D-98CC-510880D605F9}" name="Column9961"/>
    <tableColumn id="9995" xr3:uid="{4E41D5C4-4F60-493F-82F7-48009C3EF61C}" name="Column9962"/>
    <tableColumn id="9996" xr3:uid="{E9F75912-E382-4786-B543-12964FB809BE}" name="Column9963"/>
    <tableColumn id="9997" xr3:uid="{4C4AB3FA-CEEB-4F4A-927F-E13B6C752279}" name="Column9964"/>
    <tableColumn id="9998" xr3:uid="{0BF7E362-D938-41FB-9E66-56F3C11904B0}" name="Column9965"/>
    <tableColumn id="9999" xr3:uid="{5B01DBBA-07AB-40E3-B45F-097C974820EB}" name="Column9966"/>
    <tableColumn id="10000" xr3:uid="{6B2D7C2F-C8ED-4188-90FA-07D844789D19}" name="Column9967"/>
    <tableColumn id="10001" xr3:uid="{29C4C6A5-32C4-46C4-B414-DB39EE086514}" name="Column9968"/>
    <tableColumn id="10002" xr3:uid="{AC7E45EC-9E04-4ECD-A29B-C5A94212B3B0}" name="Column9969"/>
    <tableColumn id="10003" xr3:uid="{C0F2A123-372F-4A61-BB60-B071103E388C}" name="Column9970"/>
    <tableColumn id="10004" xr3:uid="{41584284-2797-4C30-9294-FCD82F586809}" name="Column9971"/>
    <tableColumn id="10005" xr3:uid="{F2B8D60F-82BB-4089-83AE-8D4CD31D3E99}" name="Column9972"/>
    <tableColumn id="10006" xr3:uid="{E894273B-17FE-43A0-8449-A4E647A3FECB}" name="Column9973"/>
    <tableColumn id="10007" xr3:uid="{A19580F8-48D5-4434-9C98-4C09CFC000D1}" name="Column9974"/>
    <tableColumn id="10008" xr3:uid="{7E15AF2D-6F19-493F-B0C6-780956B4FB3F}" name="Column9975"/>
    <tableColumn id="10009" xr3:uid="{1147A8E5-C0D4-407F-847C-750F3A689468}" name="Column9976"/>
    <tableColumn id="10010" xr3:uid="{899582A2-4630-4423-AD99-BAC7BEB82AEF}" name="Column9977"/>
    <tableColumn id="10011" xr3:uid="{54CC027D-8040-41CE-A878-CE391DE94A7A}" name="Column9978"/>
    <tableColumn id="10012" xr3:uid="{199EBE0E-1BAC-4ACE-AB95-22E1D6A16E49}" name="Column9979"/>
    <tableColumn id="10013" xr3:uid="{77BECDAA-2B4C-422F-8416-630C84445099}" name="Column9980"/>
    <tableColumn id="10014" xr3:uid="{FE1D90E7-1D10-41E4-8A4A-A0ED9DC75673}" name="Column9981"/>
    <tableColumn id="10015" xr3:uid="{933C9F10-8E02-4AC7-9F1C-40C683D85D96}" name="Column9982"/>
    <tableColumn id="10016" xr3:uid="{A5EA2B45-553B-4FEB-9599-45654394F6CB}" name="Column9983"/>
    <tableColumn id="10017" xr3:uid="{4F28F177-4B09-416B-A8E3-862F821DCD67}" name="Column9984"/>
    <tableColumn id="10018" xr3:uid="{D348A0CD-AA9C-4CD2-BA27-56506881019E}" name="Column9985"/>
    <tableColumn id="10019" xr3:uid="{DE064AC1-EE4A-4B02-BDA0-19F1CF139373}" name="Column9986"/>
    <tableColumn id="10020" xr3:uid="{7833EE1D-469A-438C-A850-0DAC3DA3FE84}" name="Column9987"/>
    <tableColumn id="10021" xr3:uid="{DC35DBAE-FF67-4EE5-8C63-D068BF5EC5F7}" name="Column9988"/>
    <tableColumn id="10022" xr3:uid="{E045FFBE-12A6-4D58-9EE9-635D4D85CDDC}" name="Column9989"/>
    <tableColumn id="10023" xr3:uid="{C3F0194A-5330-400B-B12F-EC4C79F1F25A}" name="Column9990"/>
    <tableColumn id="10024" xr3:uid="{6D44AD6A-E4E8-49E4-A013-DEB03EE35968}" name="Column9991"/>
    <tableColumn id="10025" xr3:uid="{20542AE8-F944-4648-9E8A-5E155A7200C0}" name="Column9992"/>
    <tableColumn id="10026" xr3:uid="{ADFEBDA9-ECCF-4E75-B1B5-4655A20BD40B}" name="Column9993"/>
    <tableColumn id="10027" xr3:uid="{B9AA2DC0-DFE5-49FD-A5F2-66D309401326}" name="Column9994"/>
    <tableColumn id="10028" xr3:uid="{033046F0-88D8-48F9-A6C9-B9E3AC1DD70B}" name="Column9995"/>
    <tableColumn id="10029" xr3:uid="{2A499DC8-19B6-4ABB-B7F0-DECD2AEE61A5}" name="Column9996"/>
    <tableColumn id="10030" xr3:uid="{89E0430F-C59D-486F-A301-FA78BD83B90F}" name="Column9997"/>
    <tableColumn id="10031" xr3:uid="{56380EE7-7EB3-4AFE-8ECE-5E177A041194}" name="Column9998"/>
    <tableColumn id="10032" xr3:uid="{B22EA30A-6F4D-4031-80C1-DCDA5A9DABF1}" name="Column9999"/>
    <tableColumn id="10033" xr3:uid="{C791B5C5-55A2-40A6-A48E-0983BA66EBD6}" name="Column10000"/>
    <tableColumn id="10034" xr3:uid="{10E981EE-89B3-4AA0-9CF6-43181BC85314}" name="Column10001"/>
    <tableColumn id="10035" xr3:uid="{8B30B6CC-ED1A-478B-B51E-AEB42FCEDC22}" name="Column10002"/>
    <tableColumn id="10036" xr3:uid="{80B17FF0-4170-4F57-8920-3E86765A438E}" name="Column10003"/>
    <tableColumn id="10037" xr3:uid="{33A71850-C30F-4DAA-A876-20CFDA92960E}" name="Column10004"/>
    <tableColumn id="10038" xr3:uid="{53ABEF27-377D-42D2-B4C7-BDACA363DDE7}" name="Column10005"/>
    <tableColumn id="10039" xr3:uid="{0CDA2316-40D4-4C7A-A1A7-C555A3C2DA85}" name="Column10006"/>
    <tableColumn id="10040" xr3:uid="{BF91BD3C-4415-4F74-985F-E627DAD464F6}" name="Column10007"/>
    <tableColumn id="10041" xr3:uid="{9634CA7A-2A0C-4ED5-9472-8473AE7ABF8B}" name="Column10008"/>
    <tableColumn id="10042" xr3:uid="{46566BD7-BC70-47A1-A60E-8E221861189E}" name="Column10009"/>
    <tableColumn id="10043" xr3:uid="{9760A13D-A17E-4844-B836-F66D42858B9E}" name="Column10010"/>
    <tableColumn id="10044" xr3:uid="{6E65239B-5F13-4268-98B6-3BCD817BE7BB}" name="Column10011"/>
    <tableColumn id="10045" xr3:uid="{3C450A05-2A35-4ECF-8819-A49DDCA2739B}" name="Column10012"/>
    <tableColumn id="10046" xr3:uid="{655B5780-D4A9-4600-8988-A0C805741CF4}" name="Column10013"/>
    <tableColumn id="10047" xr3:uid="{121C1F8E-FD2F-4AFC-B642-7472B6238087}" name="Column10014"/>
    <tableColumn id="10048" xr3:uid="{8EF9B6EE-4A4D-4167-B07B-E310C804851D}" name="Column10015"/>
    <tableColumn id="10049" xr3:uid="{77289980-D801-4959-A9D6-143DDF4380D1}" name="Column10016"/>
    <tableColumn id="10050" xr3:uid="{27DF0BB4-200E-4AF0-9C11-6714E85ED5C3}" name="Column10017"/>
    <tableColumn id="10051" xr3:uid="{FB7AE7C3-C592-4757-80E9-52FF84172BDE}" name="Column10018"/>
    <tableColumn id="10052" xr3:uid="{1289FDCE-63BE-4134-925A-AD2E5DD12D49}" name="Column10019"/>
    <tableColumn id="10053" xr3:uid="{B1C414A2-12C2-464E-A03F-D5E9387FFDE4}" name="Column10020"/>
    <tableColumn id="10054" xr3:uid="{13F9CC2B-007D-4E38-BAC5-5B05DD6D880E}" name="Column10021"/>
    <tableColumn id="10055" xr3:uid="{EC279D08-B0B7-4F54-B82D-65152C2EF905}" name="Column10022"/>
    <tableColumn id="10056" xr3:uid="{E22B3415-A7D6-46B4-B84D-D2F164DAC1AA}" name="Column10023"/>
    <tableColumn id="10057" xr3:uid="{0FA67BC0-2888-4780-8204-4BFE5048ADFC}" name="Column10024"/>
    <tableColumn id="10058" xr3:uid="{504E09E5-2874-42BE-AB25-175032D2C2F9}" name="Column10025"/>
    <tableColumn id="10059" xr3:uid="{B91C4E58-CD8B-400A-83C4-6D4F7CB761CA}" name="Column10026"/>
    <tableColumn id="10060" xr3:uid="{9422DC18-BCB8-4B7A-87A2-45C71C42C1B2}" name="Column10027"/>
    <tableColumn id="10061" xr3:uid="{8FC8843A-247B-4FB9-980A-8AD8DA61FAC7}" name="Column10028"/>
    <tableColumn id="10062" xr3:uid="{182C4B74-43BB-49C3-8CE3-5CBC65FE5944}" name="Column10029"/>
    <tableColumn id="10063" xr3:uid="{301259CE-C62B-41A6-89E6-3C750C60C0AF}" name="Column10030"/>
    <tableColumn id="10064" xr3:uid="{799E827A-17B5-4754-BFF2-D231099F86B6}" name="Column10031"/>
    <tableColumn id="10065" xr3:uid="{9514273C-6D8D-4D43-A127-F0207F64C212}" name="Column10032"/>
    <tableColumn id="10066" xr3:uid="{F89B2C6F-67AA-440E-8B51-D363A30A59DB}" name="Column10033"/>
    <tableColumn id="10067" xr3:uid="{07ED844F-29D2-4B64-9C49-F02179A48B9D}" name="Column10034"/>
    <tableColumn id="10068" xr3:uid="{73DB1389-1B13-4649-86A8-04D986DF8EB5}" name="Column10035"/>
    <tableColumn id="10069" xr3:uid="{AADD6276-2541-4C9C-A0FC-C956770ACAC1}" name="Column10036"/>
    <tableColumn id="10070" xr3:uid="{4C369EC2-EBF5-44F6-A1FE-40367640204E}" name="Column10037"/>
    <tableColumn id="10071" xr3:uid="{E752AA24-8D30-497C-94EF-21C3FC1310B9}" name="Column10038"/>
    <tableColumn id="10072" xr3:uid="{3F79A1C6-D4BE-4B62-9CE9-94AC84F1E154}" name="Column10039"/>
    <tableColumn id="10073" xr3:uid="{C788AD9F-A5F8-425E-ACE1-15D5C26497EA}" name="Column10040"/>
    <tableColumn id="10074" xr3:uid="{B3811F70-F57E-4BAB-9826-9E3D87E6C1F6}" name="Column10041"/>
    <tableColumn id="10075" xr3:uid="{D23DDAD4-533F-46DB-90E1-19EE200AFE38}" name="Column10042"/>
    <tableColumn id="10076" xr3:uid="{7596D9C6-8347-40C6-87F5-D20B429C17FD}" name="Column10043"/>
    <tableColumn id="10077" xr3:uid="{6917EADE-4E76-4507-BC27-4D3C69391662}" name="Column10044"/>
    <tableColumn id="10078" xr3:uid="{F56A89BA-7AE7-4B08-8353-8F1F56CF2554}" name="Column10045"/>
    <tableColumn id="10079" xr3:uid="{0AF97413-CE00-4BBB-A824-FA4B5E6E23E7}" name="Column10046"/>
    <tableColumn id="10080" xr3:uid="{F27C69D7-EC5E-49C3-BC56-DB7935BAE2B3}" name="Column10047"/>
    <tableColumn id="10081" xr3:uid="{5351338F-7D03-40B8-B6F9-298A760C963A}" name="Column10048"/>
    <tableColumn id="10082" xr3:uid="{A3623392-FD7C-4903-B4E0-FC0A637EC17F}" name="Column10049"/>
    <tableColumn id="10083" xr3:uid="{82ED528F-1C16-4A38-8CF8-5460A71CCC56}" name="Column10050"/>
    <tableColumn id="10084" xr3:uid="{C4009480-24B1-4CE6-B573-6C52E141D558}" name="Column10051"/>
    <tableColumn id="10085" xr3:uid="{0527AA8F-6005-4BC8-BC7D-E22F77FFE5C4}" name="Column10052"/>
    <tableColumn id="10086" xr3:uid="{2CF619BD-9EA5-497A-A872-FB952E3578EC}" name="Column10053"/>
    <tableColumn id="10087" xr3:uid="{17666C18-943D-4470-A7FD-A59E4EE81E7F}" name="Column10054"/>
    <tableColumn id="10088" xr3:uid="{95C26584-2273-4C13-992C-A34293E898B6}" name="Column10055"/>
    <tableColumn id="10089" xr3:uid="{FC8D1FB1-5BBD-4277-8086-8F7156832F61}" name="Column10056"/>
    <tableColumn id="10090" xr3:uid="{E43BA7DE-FD07-4EA0-9E27-B22E8AB76BAF}" name="Column10057"/>
    <tableColumn id="10091" xr3:uid="{1DDF2B13-16C9-4729-96A5-40524C549783}" name="Column10058"/>
    <tableColumn id="10092" xr3:uid="{5A06F0BB-B2A4-4E13-A647-C907987655C3}" name="Column10059"/>
    <tableColumn id="10093" xr3:uid="{9B0B493C-E868-4635-BD27-271C10CA64AA}" name="Column10060"/>
    <tableColumn id="10094" xr3:uid="{F2D9C71A-4133-47B8-B78A-73F1B59D6689}" name="Column10061"/>
    <tableColumn id="10095" xr3:uid="{CB0BDF13-6B73-441D-8D87-BB5B16A67F0F}" name="Column10062"/>
    <tableColumn id="10096" xr3:uid="{C2FADFFF-D744-482D-957E-7319080B42AD}" name="Column10063"/>
    <tableColumn id="10097" xr3:uid="{E8D6C84E-7BC3-4281-A316-DE45C7DA21A4}" name="Column10064"/>
    <tableColumn id="10098" xr3:uid="{DC7791C6-96CD-46F7-B499-51F189E0698C}" name="Column10065"/>
    <tableColumn id="10099" xr3:uid="{739491E9-6F32-4097-8DEF-11D827E684F3}" name="Column10066"/>
    <tableColumn id="10100" xr3:uid="{926B7974-5B20-45B9-BBD7-BD704BCA511D}" name="Column10067"/>
    <tableColumn id="10101" xr3:uid="{E0DA42EB-8DCC-456A-A482-8EA82A4B09FF}" name="Column10068"/>
    <tableColumn id="10102" xr3:uid="{E463F880-8960-41D3-A95D-834F533910BF}" name="Column10069"/>
    <tableColumn id="10103" xr3:uid="{04297871-3EBD-4BF7-B6F8-94A5402812B3}" name="Column10070"/>
    <tableColumn id="10104" xr3:uid="{C5EC3F83-C89D-4538-8314-B450B5E1B414}" name="Column10071"/>
    <tableColumn id="10105" xr3:uid="{169D794C-30FF-4E4D-9BE7-97E9057B4FDC}" name="Column10072"/>
    <tableColumn id="10106" xr3:uid="{91EDF8FB-123F-4BAF-8F1B-B41D0D08D02B}" name="Column10073"/>
    <tableColumn id="10107" xr3:uid="{E359D731-602E-47DE-81A0-B44CE0FCA9D0}" name="Column10074"/>
    <tableColumn id="10108" xr3:uid="{C07AA09E-161E-470B-8920-E811B514159A}" name="Column10075"/>
    <tableColumn id="10109" xr3:uid="{95BEE072-4FA3-48EE-87F4-FBF78CACA687}" name="Column10076"/>
    <tableColumn id="10110" xr3:uid="{0D91801A-7100-4F72-8C81-F3781893593E}" name="Column10077"/>
    <tableColumn id="10111" xr3:uid="{F491F994-29F1-4221-8DC5-D4C23AC227F2}" name="Column10078"/>
    <tableColumn id="10112" xr3:uid="{0D5E5E03-35B6-452E-9C30-8FB7F63E72E1}" name="Column10079"/>
    <tableColumn id="10113" xr3:uid="{99370BB5-5593-45F4-8B9D-BAF0661062E2}" name="Column10080"/>
    <tableColumn id="10114" xr3:uid="{73255C12-C147-456E-86DB-818670442A59}" name="Column10081"/>
    <tableColumn id="10115" xr3:uid="{74A6E682-4E66-4543-B998-35C29EEFB478}" name="Column10082"/>
    <tableColumn id="10116" xr3:uid="{335B6846-83FB-4622-9643-7F137A24BCB8}" name="Column10083"/>
    <tableColumn id="10117" xr3:uid="{B35C595A-6376-4CEA-9100-488BB2949F33}" name="Column10084"/>
    <tableColumn id="10118" xr3:uid="{A05763A2-3077-456A-B8FE-C339D0978CFE}" name="Column10085"/>
    <tableColumn id="10119" xr3:uid="{4F587117-EA9E-41D2-BF2C-55E5F8F33F86}" name="Column10086"/>
    <tableColumn id="10120" xr3:uid="{7D706700-BE73-431F-A131-AC37F6A79673}" name="Column10087"/>
    <tableColumn id="10121" xr3:uid="{CC9D8741-C0C3-47E5-B21B-0AD96C16E870}" name="Column10088"/>
    <tableColumn id="10122" xr3:uid="{AD373144-F7D7-4BD8-B769-BCF393876297}" name="Column10089"/>
    <tableColumn id="10123" xr3:uid="{0E7261A0-B123-4533-812B-17FE98FAA1E8}" name="Column10090"/>
    <tableColumn id="10124" xr3:uid="{4DAA8625-F68C-4DB7-B359-02C597FCA646}" name="Column10091"/>
    <tableColumn id="10125" xr3:uid="{0D686507-5AEC-407D-98E6-A3C998965CD8}" name="Column10092"/>
    <tableColumn id="10126" xr3:uid="{E603E57C-416E-4344-9FEE-96A4A52128F6}" name="Column10093"/>
    <tableColumn id="10127" xr3:uid="{A49D3386-C810-4A91-A312-C53176F1F9BA}" name="Column10094"/>
    <tableColumn id="10128" xr3:uid="{58C1CA59-66ED-4EA0-8101-589B62F23D93}" name="Column10095"/>
    <tableColumn id="10129" xr3:uid="{B75EC6ED-7C05-4BA7-8B04-BEC9FDC3AE57}" name="Column10096"/>
    <tableColumn id="10130" xr3:uid="{D122CDFA-0607-418D-9E8C-32625BF43529}" name="Column10097"/>
    <tableColumn id="10131" xr3:uid="{9848DB6B-443C-4A2A-A690-68F6A5694D8A}" name="Column10098"/>
    <tableColumn id="10132" xr3:uid="{94D8C0A4-E54A-4472-B2C2-2B2EDAD8886F}" name="Column10099"/>
    <tableColumn id="10133" xr3:uid="{D5BC00D4-595F-430D-A6EF-8CEC3156C909}" name="Column10100"/>
    <tableColumn id="10134" xr3:uid="{C89C6B7C-6D52-47C4-96D7-B17E40CBCB2B}" name="Column10101"/>
    <tableColumn id="10135" xr3:uid="{975409A9-7AAC-400D-AF9A-7FDC728A1C8B}" name="Column10102"/>
    <tableColumn id="10136" xr3:uid="{F94BD5F6-5A74-497B-B003-0BC80FD8E6EF}" name="Column10103"/>
    <tableColumn id="10137" xr3:uid="{9B3F5748-21A3-4C18-A472-B260F2E9A6B8}" name="Column10104"/>
    <tableColumn id="10138" xr3:uid="{83A01A46-04EB-47D6-8B18-606D63F8C56E}" name="Column10105"/>
    <tableColumn id="10139" xr3:uid="{9AA6D154-C239-40E0-8F9F-30AECDD7CD66}" name="Column10106"/>
    <tableColumn id="10140" xr3:uid="{65A08D34-6338-48E1-BE45-E73E384DAB52}" name="Column10107"/>
    <tableColumn id="10141" xr3:uid="{22EFC1A9-9A1D-4265-B881-E349F21A52DF}" name="Column10108"/>
    <tableColumn id="10142" xr3:uid="{181E11EC-063D-4601-89E4-E34F59B78151}" name="Column10109"/>
    <tableColumn id="10143" xr3:uid="{30796B81-1E97-451F-B741-6D8E04C2DB25}" name="Column10110"/>
    <tableColumn id="10144" xr3:uid="{FC18627E-08F5-46CC-8577-44B173BDCE12}" name="Column10111"/>
    <tableColumn id="10145" xr3:uid="{DE62AA2C-D31E-487A-B476-38BAC88EAB49}" name="Column10112"/>
    <tableColumn id="10146" xr3:uid="{FC28FB64-5B61-4050-A766-EBD951EE77D8}" name="Column10113"/>
    <tableColumn id="10147" xr3:uid="{CB612D9E-821F-4C8B-B653-DE456629CDBC}" name="Column10114"/>
    <tableColumn id="10148" xr3:uid="{3D446941-5454-42D7-AFBD-9CD81CB67A83}" name="Column10115"/>
    <tableColumn id="10149" xr3:uid="{74848993-1D6E-4B39-8AB1-545CC62D47EA}" name="Column10116"/>
    <tableColumn id="10150" xr3:uid="{9B28E30A-EE04-4467-90B1-4412FA2765F5}" name="Column10117"/>
    <tableColumn id="10151" xr3:uid="{DE46569F-8B4B-42D3-9E29-361A37DEB18F}" name="Column10118"/>
    <tableColumn id="10152" xr3:uid="{1FE0A159-752B-4B31-B38F-32F1E793D98F}" name="Column10119"/>
    <tableColumn id="10153" xr3:uid="{DBC26A4D-5995-4098-B987-DB6CCE918BD2}" name="Column10120"/>
    <tableColumn id="10154" xr3:uid="{9F729C76-63D5-410B-AE94-A7E54D721D80}" name="Column10121"/>
    <tableColumn id="10155" xr3:uid="{0E80D35F-486F-4F19-AFDB-4431BB04E572}" name="Column10122"/>
    <tableColumn id="10156" xr3:uid="{6F4F73F4-8EC0-4339-A417-7307837FC53E}" name="Column10123"/>
    <tableColumn id="10157" xr3:uid="{8ADCBEE7-F697-42EF-9BDE-295D33184687}" name="Column10124"/>
    <tableColumn id="10158" xr3:uid="{12F98C83-21C8-4DF8-90AB-E7C259FB8A91}" name="Column10125"/>
    <tableColumn id="10159" xr3:uid="{E9979F8E-9024-43AC-93E4-A067381BC4A3}" name="Column10126"/>
    <tableColumn id="10160" xr3:uid="{3718E380-0E80-4BD5-90D6-D58827074A0A}" name="Column10127"/>
    <tableColumn id="10161" xr3:uid="{7C16D5EF-3F78-4265-BA72-87C50138A660}" name="Column10128"/>
    <tableColumn id="10162" xr3:uid="{3D8485E1-D287-4088-94D4-477634381BB8}" name="Column10129"/>
    <tableColumn id="10163" xr3:uid="{6E1D1EFD-62C1-40AB-A3D0-A7A6B891D5A9}" name="Column10130"/>
    <tableColumn id="10164" xr3:uid="{7C437330-1433-4A97-BF82-4BB633D13730}" name="Column10131"/>
    <tableColumn id="10165" xr3:uid="{E89EA50C-F066-442E-9D7C-EDCCCC8192C0}" name="Column10132"/>
    <tableColumn id="10166" xr3:uid="{25A2897B-0533-4E77-86B9-4A587C6AF0D8}" name="Column10133"/>
    <tableColumn id="10167" xr3:uid="{26BA9C61-BF93-4ADD-BEFD-2492AAD77E93}" name="Column10134"/>
    <tableColumn id="10168" xr3:uid="{0D93B914-03E8-445E-95B5-59BBC2868F9F}" name="Column10135"/>
    <tableColumn id="10169" xr3:uid="{D47ED1A8-592D-43DE-873D-6D33924CB458}" name="Column10136"/>
    <tableColumn id="10170" xr3:uid="{15AA865F-F4C6-47D8-A724-4FFF8D5254D5}" name="Column10137"/>
    <tableColumn id="10171" xr3:uid="{DF1EF392-8C4D-42FC-A152-F79057D3AC08}" name="Column10138"/>
    <tableColumn id="10172" xr3:uid="{72712D9E-153B-4136-9236-804FF9F8D601}" name="Column10139"/>
    <tableColumn id="10173" xr3:uid="{D72C8A19-A50E-49AE-9BE5-2EBB13B3E3E3}" name="Column10140"/>
    <tableColumn id="10174" xr3:uid="{720B185C-25E6-482D-91DF-9478EA372814}" name="Column10141"/>
    <tableColumn id="10175" xr3:uid="{4C41939C-1785-4310-8166-F0FC863EDB28}" name="Column10142"/>
    <tableColumn id="10176" xr3:uid="{336836DF-0BC8-42A8-A1EE-38269E95384D}" name="Column10143"/>
    <tableColumn id="10177" xr3:uid="{98FEF2F3-D7F5-4E02-881D-A1A843A05A10}" name="Column10144"/>
    <tableColumn id="10178" xr3:uid="{6A867B42-38BA-4CF4-A27E-EC5E7A2C03A2}" name="Column10145"/>
    <tableColumn id="10179" xr3:uid="{F9139A3B-EFAC-47F8-BE62-71797CBC1FF0}" name="Column10146"/>
    <tableColumn id="10180" xr3:uid="{F985C8DB-4A73-4993-ACB4-19B5370D220E}" name="Column10147"/>
    <tableColumn id="10181" xr3:uid="{281DBA8B-EFC2-4BE4-ADCC-5CD9B65A44FD}" name="Column10148"/>
    <tableColumn id="10182" xr3:uid="{1C4DFAFD-4702-4C72-82C2-202931E19F64}" name="Column10149"/>
    <tableColumn id="10183" xr3:uid="{34110EFF-CC5D-4167-8B34-23F785E5C505}" name="Column10150"/>
    <tableColumn id="10184" xr3:uid="{95D2128A-FF77-49EB-8CB9-930A4F7AB351}" name="Column10151"/>
    <tableColumn id="10185" xr3:uid="{299204D8-BC91-41D4-9FE9-DFB44ACB2CC9}" name="Column10152"/>
    <tableColumn id="10186" xr3:uid="{D582C69D-A269-478C-9425-EE7ADA9A73D7}" name="Column10153"/>
    <tableColumn id="10187" xr3:uid="{5F95804D-57B7-4D3A-9A23-BB03BBEE647B}" name="Column10154"/>
    <tableColumn id="10188" xr3:uid="{F99F2196-D6CE-4003-BA6F-923A8A29C173}" name="Column10155"/>
    <tableColumn id="10189" xr3:uid="{3D073F5A-B7C0-4313-8A20-23B609D05F79}" name="Column10156"/>
    <tableColumn id="10190" xr3:uid="{72A0FED2-C5CF-4FB4-B430-D651BEB57A1E}" name="Column10157"/>
    <tableColumn id="10191" xr3:uid="{188DBC36-A617-4D35-B164-172881465E8A}" name="Column10158"/>
    <tableColumn id="10192" xr3:uid="{BD251F4C-E521-458F-9777-F3D5768FFB4F}" name="Column10159"/>
    <tableColumn id="10193" xr3:uid="{D1A083C4-098A-453F-9FC7-663ACEA0153B}" name="Column10160"/>
    <tableColumn id="10194" xr3:uid="{823D4BF8-D3F7-44C3-A43C-8F687AEE84F9}" name="Column10161"/>
    <tableColumn id="10195" xr3:uid="{47E17930-B15A-4843-8FD8-352FC80B20EE}" name="Column10162"/>
    <tableColumn id="10196" xr3:uid="{4BF569DC-CAB3-4D57-B873-981CF831B63A}" name="Column10163"/>
    <tableColumn id="10197" xr3:uid="{5265DC0A-2786-40DD-9086-084BA0F04A88}" name="Column10164"/>
    <tableColumn id="10198" xr3:uid="{D16F154A-DEC1-40BD-9DB0-B0899CB95EB2}" name="Column10165"/>
    <tableColumn id="10199" xr3:uid="{29E57CB5-01E1-4378-932B-11382DC4A495}" name="Column10166"/>
    <tableColumn id="10200" xr3:uid="{9F5158C4-5C44-4B5E-8902-DB7137AA2DAD}" name="Column10167"/>
    <tableColumn id="10201" xr3:uid="{A5490A51-1D27-4201-AE73-57FB4000F9CC}" name="Column10168"/>
    <tableColumn id="10202" xr3:uid="{5EA06ADB-0889-48C5-A08C-07ACEB46E468}" name="Column10169"/>
    <tableColumn id="10203" xr3:uid="{0D926894-D5A3-42C7-AEF4-25FC84364985}" name="Column10170"/>
    <tableColumn id="10204" xr3:uid="{44E2F479-734B-47AB-A195-738096387454}" name="Column10171"/>
    <tableColumn id="10205" xr3:uid="{1BC5FD5D-6FDE-4849-AAC3-BB7133513BC2}" name="Column10172"/>
    <tableColumn id="10206" xr3:uid="{638BEC9A-F7DB-4419-A0ED-7708E240C409}" name="Column10173"/>
    <tableColumn id="10207" xr3:uid="{F4255668-4253-4854-B01A-D2602F642651}" name="Column10174"/>
    <tableColumn id="10208" xr3:uid="{16CC9848-7FBF-467B-B00A-E16A25D55E4D}" name="Column10175"/>
    <tableColumn id="10209" xr3:uid="{B8311BB2-80DE-4418-BF91-DEDD960771FC}" name="Column10176"/>
    <tableColumn id="10210" xr3:uid="{A536C71F-F0BE-4EB1-9D38-F2825A190862}" name="Column10177"/>
    <tableColumn id="10211" xr3:uid="{013BBDEF-1A1A-4E2B-938D-BD67AA6CB083}" name="Column10178"/>
    <tableColumn id="10212" xr3:uid="{A2055C7D-4AC5-4508-BB7B-D4E19C629D5B}" name="Column10179"/>
    <tableColumn id="10213" xr3:uid="{FF1E06E3-A201-42CC-97A6-A162762548C1}" name="Column10180"/>
    <tableColumn id="10214" xr3:uid="{8A5362E5-A9CF-4781-A2F5-82A93547B6F2}" name="Column10181"/>
    <tableColumn id="10215" xr3:uid="{B3689B7A-7123-446D-911D-EF51569C5602}" name="Column10182"/>
    <tableColumn id="10216" xr3:uid="{B4528F11-FE38-4D43-9A77-0B715FB80596}" name="Column10183"/>
    <tableColumn id="10217" xr3:uid="{41D87B4B-8CDA-4101-9A7E-0776DBA7FEAE}" name="Column10184"/>
    <tableColumn id="10218" xr3:uid="{D95B337A-C0D0-4152-85F0-920754963D8A}" name="Column10185"/>
    <tableColumn id="10219" xr3:uid="{C2F93EE5-D941-4298-A91F-7B5DB8F3D54A}" name="Column10186"/>
    <tableColumn id="10220" xr3:uid="{ACA59742-65F6-45E8-9A5F-2486D8FCC897}" name="Column10187"/>
    <tableColumn id="10221" xr3:uid="{1769F46D-5810-43CA-AA51-BCD48C1C9D53}" name="Column10188"/>
    <tableColumn id="10222" xr3:uid="{527AEFE6-6BFE-4006-BC18-6D56334D9AAA}" name="Column10189"/>
    <tableColumn id="10223" xr3:uid="{E05B2DC6-FB57-42BA-8E8F-9AF48FF1BE6F}" name="Column10190"/>
    <tableColumn id="10224" xr3:uid="{850B95FD-C944-428C-A7E2-5342A482ECDF}" name="Column10191"/>
    <tableColumn id="10225" xr3:uid="{BCB17C54-E11B-46EB-A7F3-9C0E3FD60A4E}" name="Column10192"/>
    <tableColumn id="10226" xr3:uid="{1DC59AC9-7C14-4F2B-8FF5-2832F9462399}" name="Column10193"/>
    <tableColumn id="10227" xr3:uid="{C1D1DE9B-C8B3-4FBA-86F5-7A79C5D9196D}" name="Column10194"/>
    <tableColumn id="10228" xr3:uid="{4CA8F659-05E8-465E-93E2-A91DF68C80E9}" name="Column10195"/>
    <tableColumn id="10229" xr3:uid="{BA803D33-EDE0-4496-BB88-CA6B1613E2BC}" name="Column10196"/>
    <tableColumn id="10230" xr3:uid="{E9A773ED-861E-40EC-A6D2-A21E6D586135}" name="Column10197"/>
    <tableColumn id="10231" xr3:uid="{C5BBCFCB-3026-400B-BD1C-592EC40FCE7E}" name="Column10198"/>
    <tableColumn id="10232" xr3:uid="{962D9D16-DD66-4EC7-9D7F-684E88A6C25D}" name="Column10199"/>
    <tableColumn id="10233" xr3:uid="{59D9F824-9D5E-4CB5-BB8A-C073236FB0CE}" name="Column10200"/>
    <tableColumn id="10234" xr3:uid="{14EEF253-6D1C-4683-906B-61AF8B5950FE}" name="Column10201"/>
    <tableColumn id="10235" xr3:uid="{70337320-5066-458C-8F7F-C62860BE793C}" name="Column10202"/>
    <tableColumn id="10236" xr3:uid="{42A8B113-E0D9-475D-B63B-5F5A1F08B335}" name="Column10203"/>
    <tableColumn id="10237" xr3:uid="{87AE23A0-C81E-4B88-A622-C415ED562849}" name="Column10204"/>
    <tableColumn id="10238" xr3:uid="{C6D7DD2F-FA05-4782-BD91-06E187F18068}" name="Column10205"/>
    <tableColumn id="10239" xr3:uid="{91B8962A-EE72-4D7C-AA39-77C8D6CED40D}" name="Column10206"/>
    <tableColumn id="10240" xr3:uid="{FAE57525-A379-403F-9718-F80DFE7D930F}" name="Column10207"/>
    <tableColumn id="10241" xr3:uid="{46A65D66-5D4B-418D-B4BC-76A3A8595222}" name="Column10208"/>
    <tableColumn id="10242" xr3:uid="{9938F516-53E3-40BE-A817-78757F795DE8}" name="Column10209"/>
    <tableColumn id="10243" xr3:uid="{98E37E63-1631-44DC-8913-B5339312EA93}" name="Column10210"/>
    <tableColumn id="10244" xr3:uid="{49CD7A52-6894-4935-89EA-FBA7B20CE255}" name="Column10211"/>
    <tableColumn id="10245" xr3:uid="{125C9A7F-8745-4D38-AF66-369506C40030}" name="Column10212"/>
    <tableColumn id="10246" xr3:uid="{4E1AD1E5-8B26-4767-9790-AC17651BF4F9}" name="Column10213"/>
    <tableColumn id="10247" xr3:uid="{0F733A17-D923-4F37-9DD7-72C136BCA3C0}" name="Column10214"/>
    <tableColumn id="10248" xr3:uid="{DC1B0946-421E-4AD7-9DBE-C51E7D2B4104}" name="Column10215"/>
    <tableColumn id="10249" xr3:uid="{8B810363-8DAD-4D45-B070-57D773F354CF}" name="Column10216"/>
    <tableColumn id="10250" xr3:uid="{6E62F511-6DF1-4EDF-8AD0-5F8F192D2638}" name="Column10217"/>
    <tableColumn id="10251" xr3:uid="{0AD342E0-D593-4B9E-B567-A3DD11A91835}" name="Column10218"/>
    <tableColumn id="10252" xr3:uid="{8F875B70-2153-468D-9677-A135F963B652}" name="Column10219"/>
    <tableColumn id="10253" xr3:uid="{2DB7C306-6E89-4215-A836-39608E366BD4}" name="Column10220"/>
    <tableColumn id="10254" xr3:uid="{CEABC32C-D6F4-4365-A694-6550358CFEAC}" name="Column10221"/>
    <tableColumn id="10255" xr3:uid="{D2325CE1-7963-4E50-984F-D10E342B8AEA}" name="Column10222"/>
    <tableColumn id="10256" xr3:uid="{CD94C225-9CA4-4134-9C7B-781662372D16}" name="Column10223"/>
    <tableColumn id="10257" xr3:uid="{A5F70B82-DA14-43A4-B0FD-FBC116CDE1E4}" name="Column10224"/>
    <tableColumn id="10258" xr3:uid="{B464C2EC-18C0-48B3-97B5-960B5220B67A}" name="Column10225"/>
    <tableColumn id="10259" xr3:uid="{F3B262B3-5BC3-4939-8BFF-F58D995B7447}" name="Column10226"/>
    <tableColumn id="10260" xr3:uid="{CDFCBA20-1184-4D70-8804-B315862D8BCB}" name="Column10227"/>
    <tableColumn id="10261" xr3:uid="{A9141B8E-BCAA-46F3-9B18-C80523071E89}" name="Column10228"/>
    <tableColumn id="10262" xr3:uid="{9DE334F4-A559-45FB-BC0E-085C2300565A}" name="Column10229"/>
    <tableColumn id="10263" xr3:uid="{30EDF4E3-A629-499C-A279-037C3F0A2078}" name="Column10230"/>
    <tableColumn id="10264" xr3:uid="{EA651707-D067-4DD5-BC3B-95E2782ADEC4}" name="Column10231"/>
    <tableColumn id="10265" xr3:uid="{A7541BAC-E6FC-4B55-9DE5-EEA11AA78C12}" name="Column10232"/>
    <tableColumn id="10266" xr3:uid="{99BED16F-F49B-4209-A666-2481B1E4B6C9}" name="Column10233"/>
    <tableColumn id="10267" xr3:uid="{DDEC30C9-8608-48CA-A0E5-CBC39241EA8C}" name="Column10234"/>
    <tableColumn id="10268" xr3:uid="{851FCCC6-FE42-4D86-AC75-BFDD9D90F46C}" name="Column10235"/>
    <tableColumn id="10269" xr3:uid="{A8A0EF06-934D-4DED-B0DD-68C5C538A468}" name="Column10236"/>
    <tableColumn id="10270" xr3:uid="{E1E2FDFD-8231-4524-ABA5-71A62714D237}" name="Column10237"/>
    <tableColumn id="10271" xr3:uid="{E7385FFA-B752-46D5-8058-48BB4F411E20}" name="Column10238"/>
    <tableColumn id="10272" xr3:uid="{3938A5B7-CC3D-4D0F-82B6-2D42FC426D3A}" name="Column10239"/>
    <tableColumn id="10273" xr3:uid="{A07FFA48-5361-488D-8C53-5DF6749BECD8}" name="Column10240"/>
    <tableColumn id="10274" xr3:uid="{A567BB9C-3245-48D8-8783-1D696CB2EA60}" name="Column10241"/>
    <tableColumn id="10275" xr3:uid="{3D7A2992-3C20-4977-8E37-A32133D4860B}" name="Column10242"/>
    <tableColumn id="10276" xr3:uid="{E329A544-8CE5-42FF-9E88-9AD3422FA023}" name="Column10243"/>
    <tableColumn id="10277" xr3:uid="{B4E0ED63-2E1F-4546-A5E6-4DC43E4E461A}" name="Column10244"/>
    <tableColumn id="10278" xr3:uid="{9D37F297-564B-4EB8-A01F-9CA00AC851BF}" name="Column10245"/>
    <tableColumn id="10279" xr3:uid="{0B02A13D-59D4-46D1-9F76-DF60B93F1DCD}" name="Column10246"/>
    <tableColumn id="10280" xr3:uid="{3EA2DAF4-4162-4870-B782-E637A790A62B}" name="Column10247"/>
    <tableColumn id="10281" xr3:uid="{B110226A-9E0F-468D-9780-2EA42C024A08}" name="Column10248"/>
    <tableColumn id="10282" xr3:uid="{47701D92-FF72-4AE2-A772-C18CD4EE1027}" name="Column10249"/>
    <tableColumn id="10283" xr3:uid="{2DD06FC3-199E-4ED8-9AAC-832EDDDC353D}" name="Column10250"/>
    <tableColumn id="10284" xr3:uid="{9177E5FC-2206-445E-B943-A7A4326EFBBB}" name="Column10251"/>
    <tableColumn id="10285" xr3:uid="{4D643B71-9F8A-4676-BA46-3119B859BDB8}" name="Column10252"/>
    <tableColumn id="10286" xr3:uid="{5F901000-95C2-4787-842F-76F4F138269B}" name="Column10253"/>
    <tableColumn id="10287" xr3:uid="{885435F0-0294-44DD-BEFA-DEA770D12D22}" name="Column10254"/>
    <tableColumn id="10288" xr3:uid="{681E2042-356D-4B12-8A5A-C594413FFA2B}" name="Column10255"/>
    <tableColumn id="10289" xr3:uid="{396160A2-5CB3-4964-81B9-4A769B19D382}" name="Column10256"/>
    <tableColumn id="10290" xr3:uid="{C0D48E9C-AF9E-4712-A3B9-6C379F6B93CB}" name="Column10257"/>
    <tableColumn id="10291" xr3:uid="{E264BAF2-2C46-414D-A650-EB933286AC66}" name="Column10258"/>
    <tableColumn id="10292" xr3:uid="{FBA57B96-1AB6-4E3C-8321-04BF26A4ACAB}" name="Column10259"/>
    <tableColumn id="10293" xr3:uid="{266CF514-BA4B-4803-9594-094E5E4A3D71}" name="Column10260"/>
    <tableColumn id="10294" xr3:uid="{17EC8456-687B-4375-8967-14500B2EDFBC}" name="Column10261"/>
    <tableColumn id="10295" xr3:uid="{E3319518-2F88-45B1-B4DD-F21E4A77D551}" name="Column10262"/>
    <tableColumn id="10296" xr3:uid="{AFD5788B-3E11-4552-AA74-152E5661248E}" name="Column10263"/>
    <tableColumn id="10297" xr3:uid="{1744A2E2-06DD-40E8-A53B-4CBD6BF0D180}" name="Column10264"/>
    <tableColumn id="10298" xr3:uid="{6C5C25D1-8CE2-4E6B-84F3-614D7E85B630}" name="Column10265"/>
    <tableColumn id="10299" xr3:uid="{80A07E87-994D-4A98-820B-6D38F185BE26}" name="Column10266"/>
    <tableColumn id="10300" xr3:uid="{95E90DAE-9833-4624-AD7D-B580C61914BD}" name="Column10267"/>
    <tableColumn id="10301" xr3:uid="{25252EA5-8628-4DAE-8D91-5CE1CC5FB2C5}" name="Column10268"/>
    <tableColumn id="10302" xr3:uid="{E5F177D8-3070-4789-AF35-F16246F236D0}" name="Column10269"/>
    <tableColumn id="10303" xr3:uid="{BAD37BB3-38F2-4C5F-ACB9-5CC736CCE131}" name="Column10270"/>
    <tableColumn id="10304" xr3:uid="{22E516D5-FDB3-4C5A-96C4-ABBC560D54D0}" name="Column10271"/>
    <tableColumn id="10305" xr3:uid="{5FE8E27B-0C20-4870-92F8-07543406784D}" name="Column10272"/>
    <tableColumn id="10306" xr3:uid="{F30563FC-9DE5-4700-9C4A-D48049BBEB0F}" name="Column10273"/>
    <tableColumn id="10307" xr3:uid="{26CBB967-9100-46E4-9A93-D1A043C7E9E4}" name="Column10274"/>
    <tableColumn id="10308" xr3:uid="{C1D110C6-DC89-4049-BEFB-539098FB1EAE}" name="Column10275"/>
    <tableColumn id="10309" xr3:uid="{AB9568EC-9BA1-47AE-A625-A66740B59728}" name="Column10276"/>
    <tableColumn id="10310" xr3:uid="{3991CE29-D641-4E86-A117-D888BAD693E1}" name="Column10277"/>
    <tableColumn id="10311" xr3:uid="{C4F0265E-3E47-4D03-BB21-7873D2883DC3}" name="Column10278"/>
    <tableColumn id="10312" xr3:uid="{49EFD063-5C94-4CFE-8F60-5562CDE1416F}" name="Column10279"/>
    <tableColumn id="10313" xr3:uid="{10F76D41-48B7-4060-8EB5-455C5FB4F817}" name="Column10280"/>
    <tableColumn id="10314" xr3:uid="{512493AB-8B46-4015-BD93-A866303CCAA6}" name="Column10281"/>
    <tableColumn id="10315" xr3:uid="{0FAA9B88-3FFC-477E-B47E-A1608A8B0D2A}" name="Column10282"/>
    <tableColumn id="10316" xr3:uid="{CB55FDEF-316F-42D6-AA68-3B795D984104}" name="Column10283"/>
    <tableColumn id="10317" xr3:uid="{D67BD31D-1639-45A7-B619-29FDBA93DDF4}" name="Column10284"/>
    <tableColumn id="10318" xr3:uid="{35032722-C033-46F7-A798-62598EECF824}" name="Column10285"/>
    <tableColumn id="10319" xr3:uid="{DB104C10-4C27-4E88-99E7-CF2ABAF3100A}" name="Column10286"/>
    <tableColumn id="10320" xr3:uid="{DC060204-83BC-4DA5-B481-253C1633F512}" name="Column10287"/>
    <tableColumn id="10321" xr3:uid="{C668749A-3836-486D-B1B3-19B9F34596E8}" name="Column10288"/>
    <tableColumn id="10322" xr3:uid="{67E78FCD-364C-40EA-96FC-128C17213A61}" name="Column10289"/>
    <tableColumn id="10323" xr3:uid="{1A0601C3-0476-421B-8B86-F933A4053B6A}" name="Column10290"/>
    <tableColumn id="10324" xr3:uid="{BD366A4B-FCA9-4E09-8814-B19D15775A77}" name="Column10291"/>
    <tableColumn id="10325" xr3:uid="{D5C09C2B-2238-47D8-832B-31C9BE8FE7D1}" name="Column10292"/>
    <tableColumn id="10326" xr3:uid="{1C705726-40D3-4B39-B703-4C4A7002DBB1}" name="Column10293"/>
    <tableColumn id="10327" xr3:uid="{8B8911C9-A7AA-4504-A377-DF2F93BAA644}" name="Column10294"/>
    <tableColumn id="10328" xr3:uid="{D8B634F7-0E54-4B1B-9059-688D979684BD}" name="Column10295"/>
    <tableColumn id="10329" xr3:uid="{05665034-BCCA-4144-A8E0-6053FA7FBC0E}" name="Column10296"/>
    <tableColumn id="10330" xr3:uid="{D91D1E3E-EAE7-4FDE-9CAD-2CBF19CF05F7}" name="Column10297"/>
    <tableColumn id="10331" xr3:uid="{B0FCF44A-7D4C-447C-BBC4-A59EA8F64628}" name="Column10298"/>
    <tableColumn id="10332" xr3:uid="{5BF4F0C8-C399-47AA-BEC7-59C54B9BFE49}" name="Column10299"/>
    <tableColumn id="10333" xr3:uid="{F1C7645A-2CA1-448C-A9F2-21E9FE47ABC9}" name="Column10300"/>
    <tableColumn id="10334" xr3:uid="{070E9403-5DBD-4306-A9EE-68A12963120C}" name="Column10301"/>
    <tableColumn id="10335" xr3:uid="{25AEAB2A-18D6-4517-8D61-B7BADF1B7036}" name="Column10302"/>
    <tableColumn id="10336" xr3:uid="{6EF6F58B-5443-4722-9771-F86B67DD89A0}" name="Column10303"/>
    <tableColumn id="10337" xr3:uid="{1DDD4F2B-75FB-4DA0-B33A-9588880E43D9}" name="Column10304"/>
    <tableColumn id="10338" xr3:uid="{1CA0D427-059E-44BA-AED6-DA57C6DB6959}" name="Column10305"/>
    <tableColumn id="10339" xr3:uid="{46B1983F-DFD7-4E6F-BD5B-579D284DC4FE}" name="Column10306"/>
    <tableColumn id="10340" xr3:uid="{1322549F-9D8D-4696-A7EC-5AEA11388B9E}" name="Column10307"/>
    <tableColumn id="10341" xr3:uid="{F35C738D-1132-40A8-ABB7-7879823152A0}" name="Column10308"/>
    <tableColumn id="10342" xr3:uid="{6A4CF6C7-8696-4843-B091-6DE6A1E6F426}" name="Column10309"/>
    <tableColumn id="10343" xr3:uid="{2D794E39-723F-49A7-9861-58FB86822EF6}" name="Column10310"/>
    <tableColumn id="10344" xr3:uid="{D207A942-961F-44E0-AB12-85BF49D28E71}" name="Column10311"/>
    <tableColumn id="10345" xr3:uid="{27E30ECB-4658-428C-9386-85BF2B27F15F}" name="Column10312"/>
    <tableColumn id="10346" xr3:uid="{055F64BF-7890-42E0-BBA3-A64D5E4361E1}" name="Column10313"/>
    <tableColumn id="10347" xr3:uid="{B4EEA704-A44E-456D-9BE4-A691224F9BAB}" name="Column10314"/>
    <tableColumn id="10348" xr3:uid="{02C2DB59-49F6-45DC-9EE9-DC5986DC8D25}" name="Column10315"/>
    <tableColumn id="10349" xr3:uid="{6BB5DA27-4765-4F9B-95BB-F38BB8218AB7}" name="Column10316"/>
    <tableColumn id="10350" xr3:uid="{089EF9DD-6238-4ACE-8C12-9196C2E16E8C}" name="Column10317"/>
    <tableColumn id="10351" xr3:uid="{7E3883A3-DFFC-4DE8-AB34-DEEA561110AF}" name="Column10318"/>
    <tableColumn id="10352" xr3:uid="{11276571-48D4-4113-A779-064A7398FA89}" name="Column10319"/>
    <tableColumn id="10353" xr3:uid="{1CC6B672-045B-4970-8A9E-D90C93DEFD07}" name="Column10320"/>
    <tableColumn id="10354" xr3:uid="{27CB4B20-B5E3-4A23-9323-88B23B5C2014}" name="Column10321"/>
    <tableColumn id="10355" xr3:uid="{530E8CBA-5AF4-4B7A-BF46-13A1DDDB2F70}" name="Column10322"/>
    <tableColumn id="10356" xr3:uid="{F4BEFD4D-9BEC-44E8-9469-761E9D1A0722}" name="Column10323"/>
    <tableColumn id="10357" xr3:uid="{721A4E2C-33A5-4696-9CEB-276BFE1058AD}" name="Column10324"/>
    <tableColumn id="10358" xr3:uid="{A42D49C3-8971-44EA-8D31-AB1DF5AD2D39}" name="Column10325"/>
    <tableColumn id="10359" xr3:uid="{AE7EA9E4-2A44-4F46-A6B3-FC8E3230AC4F}" name="Column10326"/>
    <tableColumn id="10360" xr3:uid="{0151DE66-A1F4-4142-AC0C-83B12DA43561}" name="Column10327"/>
    <tableColumn id="10361" xr3:uid="{227B1257-4A72-46DA-8EFF-7CE1703C5175}" name="Column10328"/>
    <tableColumn id="10362" xr3:uid="{5CB05245-0CDD-408E-A5E8-9158C41801B7}" name="Column10329"/>
    <tableColumn id="10363" xr3:uid="{4505B924-8E71-4058-9C47-FCC147EF27D6}" name="Column10330"/>
    <tableColumn id="10364" xr3:uid="{242F4271-208F-44C6-B866-84C34C3E707A}" name="Column10331"/>
    <tableColumn id="10365" xr3:uid="{CC4D3CAE-5126-438B-ACC4-0378E309CBAC}" name="Column10332"/>
    <tableColumn id="10366" xr3:uid="{64DA94DD-8C9A-4568-BB23-5F80BFB57C2F}" name="Column10333"/>
    <tableColumn id="10367" xr3:uid="{2B1C306E-C7D2-4F38-A1CC-3B92319B8FC9}" name="Column10334"/>
    <tableColumn id="10368" xr3:uid="{05BDA02D-D49A-4E03-90BB-52AD02E520EF}" name="Column10335"/>
    <tableColumn id="10369" xr3:uid="{B544CCC0-53BC-4B43-B28F-86025E531D08}" name="Column10336"/>
    <tableColumn id="10370" xr3:uid="{8F8F9DCF-8A82-45BF-AC71-5BC9F767D367}" name="Column10337"/>
    <tableColumn id="10371" xr3:uid="{B841EC1B-CC35-4900-A2B7-91B60D65D001}" name="Column10338"/>
    <tableColumn id="10372" xr3:uid="{3281200D-EC85-4B25-AC15-CA0F127BE328}" name="Column10339"/>
    <tableColumn id="10373" xr3:uid="{8DF495AD-3D05-47B8-B0FB-A8255AB67378}" name="Column10340"/>
    <tableColumn id="10374" xr3:uid="{D42B4BFE-DED8-4128-B009-FC163F8A527E}" name="Column10341"/>
    <tableColumn id="10375" xr3:uid="{271F92E1-8475-4B81-9271-89B9F70690FA}" name="Column10342"/>
    <tableColumn id="10376" xr3:uid="{339B3FE1-3EA2-4E27-80FF-69BB15418FBB}" name="Column10343"/>
    <tableColumn id="10377" xr3:uid="{8C2D9BBA-2AAD-447A-A768-E2C461BFCE20}" name="Column10344"/>
    <tableColumn id="10378" xr3:uid="{C9C09B1A-F143-4641-B506-C0C5D6C373CD}" name="Column10345"/>
    <tableColumn id="10379" xr3:uid="{1E1C7104-6DE3-4A67-9BE8-290DBAB13855}" name="Column10346"/>
    <tableColumn id="10380" xr3:uid="{B8A7623B-657A-42EA-A056-A49E9C5AF7FD}" name="Column10347"/>
    <tableColumn id="10381" xr3:uid="{B122D803-20C6-4356-8D46-CF689EC00111}" name="Column10348"/>
    <tableColumn id="10382" xr3:uid="{5A0F5E24-2717-47C5-8559-CFE3742C89CC}" name="Column10349"/>
    <tableColumn id="10383" xr3:uid="{0D5EABC4-2957-4325-B190-067EEF2E349C}" name="Column10350"/>
    <tableColumn id="10384" xr3:uid="{E65C497E-EC8B-424E-B131-8A8303E191C0}" name="Column10351"/>
    <tableColumn id="10385" xr3:uid="{CD435D55-485B-4EB6-88BF-A8F0266BC2D2}" name="Column10352"/>
    <tableColumn id="10386" xr3:uid="{907EEECA-F259-4AEE-ABBD-FEDA1A8C0853}" name="Column10353"/>
    <tableColumn id="10387" xr3:uid="{B9330347-7009-48EB-BF72-6116861FB473}" name="Column10354"/>
    <tableColumn id="10388" xr3:uid="{A58053CF-5A4E-4086-A1BB-78E169EE786C}" name="Column10355"/>
    <tableColumn id="10389" xr3:uid="{F808ADB0-92F4-409F-8E01-21531D39107D}" name="Column10356"/>
    <tableColumn id="10390" xr3:uid="{44BA8A31-A084-426C-84A0-8AC35576494B}" name="Column10357"/>
    <tableColumn id="10391" xr3:uid="{89E6F6DE-CCC7-4853-A4CE-D37F254183A2}" name="Column10358"/>
    <tableColumn id="10392" xr3:uid="{3AC0F596-5546-40FE-90EB-2D017E45D5CE}" name="Column10359"/>
    <tableColumn id="10393" xr3:uid="{1C44CA6E-736B-4C7A-955C-11162737F447}" name="Column10360"/>
    <tableColumn id="10394" xr3:uid="{057792B3-F0D4-4A67-B1C7-9401E06F5211}" name="Column10361"/>
    <tableColumn id="10395" xr3:uid="{DBB50532-D927-4C4C-8077-7E8E33909FFB}" name="Column10362"/>
    <tableColumn id="10396" xr3:uid="{575C12F4-D870-4733-AEE9-1625B9429CF8}" name="Column10363"/>
    <tableColumn id="10397" xr3:uid="{54A08607-05F5-43E2-8B1A-B49609ACF02A}" name="Column10364"/>
    <tableColumn id="10398" xr3:uid="{BF53D202-4C29-4572-AF90-AE9F4E65E090}" name="Column10365"/>
    <tableColumn id="10399" xr3:uid="{C8164444-AFD6-4449-B7B8-07F95EDEFEAD}" name="Column10366"/>
    <tableColumn id="10400" xr3:uid="{8FE477A6-3F5A-4835-843E-ED6C47F73A79}" name="Column10367"/>
    <tableColumn id="10401" xr3:uid="{D60C8B9C-1808-4CCE-9E72-9232708AF569}" name="Column10368"/>
    <tableColumn id="10402" xr3:uid="{3DD3F670-2408-409C-B6A9-A476BA26C360}" name="Column10369"/>
    <tableColumn id="10403" xr3:uid="{EC0B80C5-D344-49B2-B1B5-249374AE209E}" name="Column10370"/>
    <tableColumn id="10404" xr3:uid="{A3420FDA-F0AE-4346-BA2A-DF28A235AD91}" name="Column10371"/>
    <tableColumn id="10405" xr3:uid="{58AC9CF9-F08A-46FE-8508-40EF8D6BEBDD}" name="Column10372"/>
    <tableColumn id="10406" xr3:uid="{E3A3F8CC-63BE-4522-BED6-E14EA0272FA5}" name="Column10373"/>
    <tableColumn id="10407" xr3:uid="{B094EAC7-91FD-4C7A-BB1B-31F5BFCB66F6}" name="Column10374"/>
    <tableColumn id="10408" xr3:uid="{7E50C5F1-97A0-4C27-A416-CD232DBBAA74}" name="Column10375"/>
    <tableColumn id="10409" xr3:uid="{54B1E0A2-6585-4280-892A-95A39CE6CD74}" name="Column10376"/>
    <tableColumn id="10410" xr3:uid="{8CD5176F-483B-4169-8CA8-6041C812E01F}" name="Column10377"/>
    <tableColumn id="10411" xr3:uid="{22BFE910-4A6A-4F78-9AC0-65FBDA70A2A7}" name="Column10378"/>
    <tableColumn id="10412" xr3:uid="{0B6DE320-F93F-4F26-996C-657D1EFD983F}" name="Column10379"/>
    <tableColumn id="10413" xr3:uid="{BAD53AA6-F697-419E-8FB8-AA347AB94053}" name="Column10380"/>
    <tableColumn id="10414" xr3:uid="{A42B20CC-7DE1-48B5-B7CF-20BEC2445E99}" name="Column10381"/>
    <tableColumn id="10415" xr3:uid="{273BFE7E-1C40-4B1A-8010-9C6DA2E85C50}" name="Column10382"/>
    <tableColumn id="10416" xr3:uid="{15F0019E-91B7-46E0-94C1-75181DB65DFB}" name="Column10383"/>
    <tableColumn id="10417" xr3:uid="{A8A53C04-DC14-4F39-8F0B-B05225EF1E2D}" name="Column10384"/>
    <tableColumn id="10418" xr3:uid="{202F2FA4-EFAC-4196-BF15-84E14AAAE348}" name="Column10385"/>
    <tableColumn id="10419" xr3:uid="{183E4941-0A6C-4F9C-8DBE-343144A99520}" name="Column10386"/>
    <tableColumn id="10420" xr3:uid="{040D2BB2-50B0-46CC-BBAF-D5015C2FD8E1}" name="Column10387"/>
    <tableColumn id="10421" xr3:uid="{6AA6D306-8AFF-424D-A8AB-9698E581B900}" name="Column10388"/>
    <tableColumn id="10422" xr3:uid="{A67F030A-3ABD-4715-A322-72F1BD0E52B4}" name="Column10389"/>
    <tableColumn id="10423" xr3:uid="{6EC1784B-7903-4B5D-B1B1-2F47F3204C32}" name="Column10390"/>
    <tableColumn id="10424" xr3:uid="{1B8A8961-986F-42F5-8DDA-6C1780C02464}" name="Column10391"/>
    <tableColumn id="10425" xr3:uid="{707C403A-E7E6-4018-96FC-AE220AC525DF}" name="Column10392"/>
    <tableColumn id="10426" xr3:uid="{EDDB22AA-5EFF-4BBA-9965-FC420EDBFD9A}" name="Column10393"/>
    <tableColumn id="10427" xr3:uid="{EA91D9BD-7F4F-43E2-A2AA-7F5DC1355A91}" name="Column10394"/>
    <tableColumn id="10428" xr3:uid="{198282D6-DC96-44C9-9EA5-AAAB10B258A5}" name="Column10395"/>
    <tableColumn id="10429" xr3:uid="{CDDAB93A-DE86-4D34-8FB5-894C0F90CE20}" name="Column10396"/>
    <tableColumn id="10430" xr3:uid="{B4EAB96E-D0CE-4D39-B02E-CD67A3C26FD0}" name="Column10397"/>
    <tableColumn id="10431" xr3:uid="{52640F84-5BB7-45BD-8020-06539F80C4E4}" name="Column10398"/>
    <tableColumn id="10432" xr3:uid="{98CA1373-7452-4D72-9F62-8A8788F64F7C}" name="Column10399"/>
    <tableColumn id="10433" xr3:uid="{340EAB50-45C4-48A9-9853-EF4CB5BA789E}" name="Column10400"/>
    <tableColumn id="10434" xr3:uid="{B4CCCF2B-04E5-4A8B-8C03-41A55AB2ADAA}" name="Column10401"/>
    <tableColumn id="10435" xr3:uid="{72C68720-22F2-4B43-A5B4-688D00D0723E}" name="Column10402"/>
    <tableColumn id="10436" xr3:uid="{D5AAD0BC-0CBB-43DD-B1FC-C72E915F0C4B}" name="Column10403"/>
    <tableColumn id="10437" xr3:uid="{AB5999DD-FFCE-48A1-960C-793F629679C8}" name="Column10404"/>
    <tableColumn id="10438" xr3:uid="{EFA256AD-B554-4D04-8D1B-8ECB341D57CB}" name="Column10405"/>
    <tableColumn id="10439" xr3:uid="{A3910646-1415-4EEA-85D9-2CEF77725BC9}" name="Column10406"/>
    <tableColumn id="10440" xr3:uid="{28EEF698-EEE2-428D-9EF0-E20467D82F6B}" name="Column10407"/>
    <tableColumn id="10441" xr3:uid="{481DE080-5737-49C6-8E70-0EAEAA86C062}" name="Column10408"/>
    <tableColumn id="10442" xr3:uid="{A92A23C7-6211-4E17-95DC-4AC2436A6322}" name="Column10409"/>
    <tableColumn id="10443" xr3:uid="{37190E4B-4050-4021-8F3A-2A93BEBC00D6}" name="Column10410"/>
    <tableColumn id="10444" xr3:uid="{ACA348E4-5140-4920-9FD5-AFD0DF0ECFE3}" name="Column10411"/>
    <tableColumn id="10445" xr3:uid="{7248E0DF-CBC2-4515-9CE5-42CAFA935F08}" name="Column10412"/>
    <tableColumn id="10446" xr3:uid="{AD1E1DA3-3CFC-41FF-909E-543466D52CF3}" name="Column10413"/>
    <tableColumn id="10447" xr3:uid="{958015E9-E06D-40C6-AB45-FC4AE64BC356}" name="Column10414"/>
    <tableColumn id="10448" xr3:uid="{4A01BEE1-281E-4BB3-B0C9-467AF3C9FE9D}" name="Column10415"/>
    <tableColumn id="10449" xr3:uid="{7D4DC780-9E37-4718-AB87-C7CC553DD9AA}" name="Column10416"/>
    <tableColumn id="10450" xr3:uid="{CDEF9377-9C5A-4323-A61B-37ABBA08D6A9}" name="Column10417"/>
    <tableColumn id="10451" xr3:uid="{D33D5849-8E7A-4E89-B398-B4A461E2CEFE}" name="Column10418"/>
    <tableColumn id="10452" xr3:uid="{63BB815A-1AA2-4263-93F0-5C46B9995F82}" name="Column10419"/>
    <tableColumn id="10453" xr3:uid="{B58F2EBF-38E3-4DF8-A497-559C4BACA552}" name="Column10420"/>
    <tableColumn id="10454" xr3:uid="{ED4B88B3-6920-4654-A6FC-5A41FC5A8228}" name="Column10421"/>
    <tableColumn id="10455" xr3:uid="{C884083B-0C3F-44E9-86ED-EF65B25A9C52}" name="Column10422"/>
    <tableColumn id="10456" xr3:uid="{E5E787B6-DE33-45EA-80ED-343A002223B1}" name="Column10423"/>
    <tableColumn id="10457" xr3:uid="{213CA714-57C8-4FE6-8AA9-46E9FCE07DAE}" name="Column10424"/>
    <tableColumn id="10458" xr3:uid="{75C2B563-7834-4F7E-BA9D-9C9B256DD141}" name="Column10425"/>
    <tableColumn id="10459" xr3:uid="{E191BFC1-023E-4CA9-8117-E4C26A5D41D6}" name="Column10426"/>
    <tableColumn id="10460" xr3:uid="{142B9A65-E54F-4B74-B748-6F678A31493D}" name="Column10427"/>
    <tableColumn id="10461" xr3:uid="{655D66EF-7D2E-4D48-880D-AF372401015B}" name="Column10428"/>
    <tableColumn id="10462" xr3:uid="{CE79ABF8-733A-4425-850A-C9EEFFAE94AE}" name="Column10429"/>
    <tableColumn id="10463" xr3:uid="{DC1D47E9-6806-435F-8418-B98A39A07A46}" name="Column10430"/>
    <tableColumn id="10464" xr3:uid="{BE4397C6-9F58-4907-BE79-4468A59E0D1B}" name="Column10431"/>
    <tableColumn id="10465" xr3:uid="{933C6338-4374-44BE-AA6E-801B6E1AE4D3}" name="Column10432"/>
    <tableColumn id="10466" xr3:uid="{8606067B-121B-41B4-9B23-3908E12D68E5}" name="Column10433"/>
    <tableColumn id="10467" xr3:uid="{49E5A7AC-D5BB-4A4E-8194-660A05E6F7D9}" name="Column10434"/>
    <tableColumn id="10468" xr3:uid="{9BBA50F1-9C76-4509-958E-EBF51A386B94}" name="Column10435"/>
    <tableColumn id="10469" xr3:uid="{CEE0D58D-D646-422D-8DFD-87215736854B}" name="Column10436"/>
    <tableColumn id="10470" xr3:uid="{8354F4B9-1AA5-429D-AC8C-4A4A242E8E7C}" name="Column10437"/>
    <tableColumn id="10471" xr3:uid="{9E0BD19A-D959-45A5-B8F0-263FF0062D71}" name="Column10438"/>
    <tableColumn id="10472" xr3:uid="{302D501E-64FD-4176-AB76-DC91D8C25452}" name="Column10439"/>
    <tableColumn id="10473" xr3:uid="{4C21D487-1FD4-4A4A-B148-F9C480296CBF}" name="Column10440"/>
    <tableColumn id="10474" xr3:uid="{C5A7A5A0-7BAB-4685-8DCA-5D1F5A710682}" name="Column10441"/>
    <tableColumn id="10475" xr3:uid="{B6AE66EE-44C8-47D8-8466-1D6577C63E2F}" name="Column10442"/>
    <tableColumn id="10476" xr3:uid="{556F0E3A-69A9-420C-84AD-9705B1A99D25}" name="Column10443"/>
    <tableColumn id="10477" xr3:uid="{E9025758-330D-4FD7-91A7-8D1A84B363D1}" name="Column10444"/>
    <tableColumn id="10478" xr3:uid="{2DB462EC-78AA-432B-9AB3-8BEA96DC88C9}" name="Column10445"/>
    <tableColumn id="10479" xr3:uid="{A7AC57B5-9E39-4566-9B5C-15A10C3C0978}" name="Column10446"/>
    <tableColumn id="10480" xr3:uid="{170276B4-7F55-46E9-AF43-D9C47DA3F2F9}" name="Column10447"/>
    <tableColumn id="10481" xr3:uid="{703A5EBF-42B8-432D-8A3D-E22E56C88037}" name="Column10448"/>
    <tableColumn id="10482" xr3:uid="{47648DB1-8403-4AF9-BA0A-4C20DDC18718}" name="Column10449"/>
    <tableColumn id="10483" xr3:uid="{A238ABBB-05F4-4EC0-9B03-34D0C0BB7D99}" name="Column10450"/>
    <tableColumn id="10484" xr3:uid="{2086FCF5-D007-48BB-8D9F-9509A5E5C04C}" name="Column10451"/>
    <tableColumn id="10485" xr3:uid="{251B4DFE-C6C5-45F9-93F2-1878DDC04BEC}" name="Column10452"/>
    <tableColumn id="10486" xr3:uid="{7A50DEC9-D06F-4BFF-80F1-902761354A68}" name="Column10453"/>
    <tableColumn id="10487" xr3:uid="{8A90E48C-2479-420D-85ED-55A8F99F7BA8}" name="Column10454"/>
    <tableColumn id="10488" xr3:uid="{B64ABD27-3F4B-4104-9964-167A36FDC45C}" name="Column10455"/>
    <tableColumn id="10489" xr3:uid="{73751094-A1D6-49A4-915D-47F297229A19}" name="Column10456"/>
    <tableColumn id="10490" xr3:uid="{887AEBD5-88FF-4169-929E-50F203D454BD}" name="Column10457"/>
    <tableColumn id="10491" xr3:uid="{7098D3E8-76B1-4D23-A676-E005E8D07A6C}" name="Column10458"/>
    <tableColumn id="10492" xr3:uid="{77A31341-FF30-4CFC-BB9F-68F39B2F39C5}" name="Column10459"/>
    <tableColumn id="10493" xr3:uid="{8CA2C44E-0B7F-451C-A12D-765443B8020D}" name="Column10460"/>
    <tableColumn id="10494" xr3:uid="{27B92D00-38B0-4735-8F52-69C284329254}" name="Column10461"/>
    <tableColumn id="10495" xr3:uid="{125D7859-6CAE-4830-B797-73B66D9202D8}" name="Column10462"/>
    <tableColumn id="10496" xr3:uid="{D3D962AE-CC7D-4490-A885-E8E178FE0D49}" name="Column10463"/>
    <tableColumn id="10497" xr3:uid="{FE11587B-490D-43ED-A4F4-CC153D9BEFA1}" name="Column10464"/>
    <tableColumn id="10498" xr3:uid="{20E27625-A7DF-4CB3-B5B4-398C07FC126F}" name="Column10465"/>
    <tableColumn id="10499" xr3:uid="{BBD18DED-167A-4F92-A678-D53FAE8BB653}" name="Column10466"/>
    <tableColumn id="10500" xr3:uid="{DF6048FA-4022-4C28-A554-789AA8106EAC}" name="Column10467"/>
    <tableColumn id="10501" xr3:uid="{6E97C230-AAEA-4845-923D-80C2D4E7E7F8}" name="Column10468"/>
    <tableColumn id="10502" xr3:uid="{3C75A9E8-2676-4CBE-8312-A29052816DE4}" name="Column10469"/>
    <tableColumn id="10503" xr3:uid="{8BF77BBB-8117-4CA0-99A2-F6641DAD8E71}" name="Column10470"/>
    <tableColumn id="10504" xr3:uid="{01BFF829-9C1E-4B2D-BBB2-2FE6BEEF4DAE}" name="Column10471"/>
    <tableColumn id="10505" xr3:uid="{7A0B94DC-6437-403F-9D3F-D885383B1E9C}" name="Column10472"/>
    <tableColumn id="10506" xr3:uid="{A69B0B80-197B-4B73-BA0D-6D8BD6A51217}" name="Column10473"/>
    <tableColumn id="10507" xr3:uid="{B9B75FB3-38AC-4DC4-8944-EF4EEDE707B4}" name="Column10474"/>
    <tableColumn id="10508" xr3:uid="{D8CAF43F-A6C1-4ADE-AD87-6F422839A6E4}" name="Column10475"/>
    <tableColumn id="10509" xr3:uid="{CEAF50A1-E059-45B0-9740-41C7C88E80EB}" name="Column10476"/>
    <tableColumn id="10510" xr3:uid="{26278D7E-7B0D-4449-8CF7-101D698345E7}" name="Column10477"/>
    <tableColumn id="10511" xr3:uid="{9592EE84-F605-451F-9B3A-DA901B668129}" name="Column10478"/>
    <tableColumn id="10512" xr3:uid="{BDB32506-E8C3-4480-954A-EB5EDAE7C405}" name="Column10479"/>
    <tableColumn id="10513" xr3:uid="{42083950-2F6B-441C-8E14-288D31F01FCF}" name="Column10480"/>
    <tableColumn id="10514" xr3:uid="{686CD119-1D47-4B17-A84B-CEF61FCB066B}" name="Column10481"/>
    <tableColumn id="10515" xr3:uid="{6A443FB8-B862-4A73-8CDE-5DA8D8D79707}" name="Column10482"/>
    <tableColumn id="10516" xr3:uid="{C7108A40-2F00-4924-9CFD-092AC27E3E7D}" name="Column10483"/>
    <tableColumn id="10517" xr3:uid="{C63EE73D-A0C1-4E1D-93B2-E09CA478DBEB}" name="Column10484"/>
    <tableColumn id="10518" xr3:uid="{04F2B79F-505D-420A-864E-4F10429812A1}" name="Column10485"/>
    <tableColumn id="10519" xr3:uid="{55ED144B-5639-4030-8B47-511B51AB177F}" name="Column10486"/>
    <tableColumn id="10520" xr3:uid="{633B5D4B-82CD-462E-9C59-EDAC9A578041}" name="Column10487"/>
    <tableColumn id="10521" xr3:uid="{00793C02-9413-4BDF-A11C-CBBCDDA06FC6}" name="Column10488"/>
    <tableColumn id="10522" xr3:uid="{A2EBDFA9-01B5-4041-B1D4-6BB2C408B887}" name="Column10489"/>
    <tableColumn id="10523" xr3:uid="{D4E84E31-FC06-4604-9F0B-ED1459EB4A9B}" name="Column10490"/>
    <tableColumn id="10524" xr3:uid="{EA6F70A3-A480-4D25-AE3B-099634BC5F6D}" name="Column10491"/>
    <tableColumn id="10525" xr3:uid="{88B57F59-D6E5-4017-A07C-7B47CE6916E4}" name="Column10492"/>
    <tableColumn id="10526" xr3:uid="{C7A071F4-2A35-48F4-934F-2D6F6A92AA9C}" name="Column10493"/>
    <tableColumn id="10527" xr3:uid="{0405219D-BBBF-417F-8CBC-4CB36B9DFA2B}" name="Column10494"/>
    <tableColumn id="10528" xr3:uid="{3F0B74B0-072A-4334-A429-C32934D514FB}" name="Column10495"/>
    <tableColumn id="10529" xr3:uid="{4F7454E7-734E-4BD0-B916-4731638A4B47}" name="Column10496"/>
    <tableColumn id="10530" xr3:uid="{299D9D97-8010-4839-B044-6AB8F5D37AF5}" name="Column10497"/>
    <tableColumn id="10531" xr3:uid="{1F79BE4A-002F-41DF-8FDC-3B540CBE2853}" name="Column10498"/>
    <tableColumn id="10532" xr3:uid="{39C143C0-66C8-4922-9F7A-234472F3DD13}" name="Column10499"/>
    <tableColumn id="10533" xr3:uid="{D5C038E1-4933-4DAA-87FC-0D55A399C50B}" name="Column10500"/>
    <tableColumn id="10534" xr3:uid="{67D7EF65-DD0B-4110-907F-C665779587FE}" name="Column10501"/>
    <tableColumn id="10535" xr3:uid="{29AA6032-EFEF-4B83-AC67-57AE36413DF8}" name="Column10502"/>
    <tableColumn id="10536" xr3:uid="{33D616F8-9F35-4C6E-A0FF-D206B5A99797}" name="Column10503"/>
    <tableColumn id="10537" xr3:uid="{9C1A6F43-6292-4BA9-B1F5-23D3D2DE01CD}" name="Column10504"/>
    <tableColumn id="10538" xr3:uid="{5DA9EC42-53E8-42BE-9AE0-DB8AB4C607D7}" name="Column10505"/>
    <tableColumn id="10539" xr3:uid="{40F107E3-D638-4E46-AD30-F47FB8D27208}" name="Column10506"/>
    <tableColumn id="10540" xr3:uid="{27E127C7-0B41-43B0-9B0E-71610DE27D63}" name="Column10507"/>
    <tableColumn id="10541" xr3:uid="{A41089E7-115C-4933-95FA-97AFCD7EA813}" name="Column10508"/>
    <tableColumn id="10542" xr3:uid="{71DAE250-437A-4831-9C54-9637DEDA8D23}" name="Column10509"/>
    <tableColumn id="10543" xr3:uid="{031246E8-35D8-477D-9888-737A0DCA816C}" name="Column10510"/>
    <tableColumn id="10544" xr3:uid="{C90D1234-2315-4298-8BAF-48F95C7084FC}" name="Column10511"/>
    <tableColumn id="10545" xr3:uid="{0CE61FDD-ABD8-4E2F-9A30-8DD31A6BAD92}" name="Column10512"/>
    <tableColumn id="10546" xr3:uid="{6073C257-1D43-4062-96C0-DF74F460AEB6}" name="Column10513"/>
    <tableColumn id="10547" xr3:uid="{EBDC3AF4-C904-40FF-B99E-053AC2C5043B}" name="Column10514"/>
    <tableColumn id="10548" xr3:uid="{29EFF580-9DA3-4EFD-BCAA-E5D9C47A8816}" name="Column10515"/>
    <tableColumn id="10549" xr3:uid="{885B153E-0B84-4413-9532-8F1E9F121BE1}" name="Column10516"/>
    <tableColumn id="10550" xr3:uid="{49FB3B46-1ED1-4050-AFA6-FF110833E176}" name="Column10517"/>
    <tableColumn id="10551" xr3:uid="{638837D4-1315-4309-B986-747114C6E1D4}" name="Column10518"/>
    <tableColumn id="10552" xr3:uid="{3937BF27-2751-42F8-BCE8-31507A5832F3}" name="Column10519"/>
    <tableColumn id="10553" xr3:uid="{7B25943B-824E-44A1-9891-A908EF6226AF}" name="Column10520"/>
    <tableColumn id="10554" xr3:uid="{9CA2C30C-2DDD-4C4B-A38B-89227EFEF57F}" name="Column10521"/>
    <tableColumn id="10555" xr3:uid="{42FD5E38-DB50-438B-9B80-18B3B1D83C1E}" name="Column10522"/>
    <tableColumn id="10556" xr3:uid="{C2D68D5B-116C-4D89-9B25-56C349D5A9DB}" name="Column10523"/>
    <tableColumn id="10557" xr3:uid="{7842D893-FD90-48FC-9BA3-25FA0629B4AF}" name="Column10524"/>
    <tableColumn id="10558" xr3:uid="{498C0DEC-187A-4585-92AA-D4CFE8ECD8B1}" name="Column10525"/>
    <tableColumn id="10559" xr3:uid="{FA5C7AB4-BD79-47B8-B499-6AD746C507AA}" name="Column10526"/>
    <tableColumn id="10560" xr3:uid="{B50C0FE7-55CE-4C14-9C30-609C5B095A70}" name="Column10527"/>
    <tableColumn id="10561" xr3:uid="{03F86C1B-6B68-4B75-BEB6-2D5D1161EC8F}" name="Column10528"/>
    <tableColumn id="10562" xr3:uid="{DA0C44D1-664E-4FCE-98D9-68E297918600}" name="Column10529"/>
    <tableColumn id="10563" xr3:uid="{4E07073B-4F8B-4F4A-908E-9124DE4AFB9B}" name="Column10530"/>
    <tableColumn id="10564" xr3:uid="{800B6CEA-999E-4B5E-B98D-6DB62CDA9230}" name="Column10531"/>
    <tableColumn id="10565" xr3:uid="{BA5665B7-C7A0-46C4-84A4-DCE7D6A49D26}" name="Column10532"/>
    <tableColumn id="10566" xr3:uid="{264DF1DF-1B22-484D-A052-EEE0CB664E16}" name="Column10533"/>
    <tableColumn id="10567" xr3:uid="{EAEDDBDD-E9CD-48CA-A29B-0E33EE9ACD0C}" name="Column10534"/>
    <tableColumn id="10568" xr3:uid="{FA140C09-AC97-4FF9-B68F-66A2A329B5CE}" name="Column10535"/>
    <tableColumn id="10569" xr3:uid="{2CE06E16-2633-48C2-BED7-6B1E9C4FAE14}" name="Column10536"/>
    <tableColumn id="10570" xr3:uid="{9C57CBDC-67D1-4D79-AA9E-7B64948C624A}" name="Column10537"/>
    <tableColumn id="10571" xr3:uid="{F14A54CC-35B0-4D0E-8DD7-6A3B36D3E561}" name="Column10538"/>
    <tableColumn id="10572" xr3:uid="{1FB569E9-58A2-4533-8F35-A76FF681F2CB}" name="Column10539"/>
    <tableColumn id="10573" xr3:uid="{EABC99BC-750A-4BF1-A520-75637B9D8755}" name="Column10540"/>
    <tableColumn id="10574" xr3:uid="{ADA91B14-6320-455D-958E-99A197C20D2C}" name="Column10541"/>
    <tableColumn id="10575" xr3:uid="{E2CC78FC-3C9F-42B7-A307-262C063A4834}" name="Column10542"/>
    <tableColumn id="10576" xr3:uid="{D3407C5B-0136-4CBB-B85F-65AC386AEC6B}" name="Column10543"/>
    <tableColumn id="10577" xr3:uid="{88599F41-4A22-441E-A012-F9FF3C15F3D8}" name="Column10544"/>
    <tableColumn id="10578" xr3:uid="{11A1913C-AE5F-4A9B-81CB-4B41DAF2CB19}" name="Column10545"/>
    <tableColumn id="10579" xr3:uid="{5324CAF1-E16E-4091-8441-7056F54C6C79}" name="Column10546"/>
    <tableColumn id="10580" xr3:uid="{31968954-49AA-4CBB-94BE-BA419260C765}" name="Column10547"/>
    <tableColumn id="10581" xr3:uid="{67FF641B-E691-4E43-97F7-F20654AB47A0}" name="Column10548"/>
    <tableColumn id="10582" xr3:uid="{DE681C4B-90BB-4CED-A06A-95775F49178F}" name="Column10549"/>
    <tableColumn id="10583" xr3:uid="{AA3B713F-7919-4EEF-AAFE-7B867BA48B39}" name="Column10550"/>
    <tableColumn id="10584" xr3:uid="{1745E820-6FE0-4699-BF87-7230089696DF}" name="Column10551"/>
    <tableColumn id="10585" xr3:uid="{CD8F294E-C575-4A31-8739-77AA5FDE46A4}" name="Column10552"/>
    <tableColumn id="10586" xr3:uid="{A56F9F40-F8CB-4620-9458-FCDEF9494043}" name="Column10553"/>
    <tableColumn id="10587" xr3:uid="{C46B704B-DDD9-4B59-A2A3-7BEB1FFC5A2A}" name="Column10554"/>
    <tableColumn id="10588" xr3:uid="{DD433F14-1F4C-4E97-9A47-2C6A7DA56897}" name="Column10555"/>
    <tableColumn id="10589" xr3:uid="{E57E074A-CFC6-4DD3-AC30-D1B6EB66FFD9}" name="Column10556"/>
    <tableColumn id="10590" xr3:uid="{328ADCF5-9379-42C9-98B4-F7B7820C2F93}" name="Column10557"/>
    <tableColumn id="10591" xr3:uid="{878C75F1-CA2C-46B4-9478-F0E2F047B1DE}" name="Column10558"/>
    <tableColumn id="10592" xr3:uid="{1CB1DF4E-6CC2-4E3E-8C1D-3DE2A68E64F1}" name="Column10559"/>
    <tableColumn id="10593" xr3:uid="{F787EBA9-6A99-4618-AC5A-C12B99BFD17F}" name="Column10560"/>
    <tableColumn id="10594" xr3:uid="{A902D54E-B1D2-445B-9E33-95970386F352}" name="Column10561"/>
    <tableColumn id="10595" xr3:uid="{A731F3C0-693A-43AB-82CB-BEEEFECAC16B}" name="Column10562"/>
    <tableColumn id="10596" xr3:uid="{00C4183B-9FD8-490E-B57B-E332FF327721}" name="Column10563"/>
    <tableColumn id="10597" xr3:uid="{724C34BF-335A-4B3E-BA73-9B67DE9096F3}" name="Column10564"/>
    <tableColumn id="10598" xr3:uid="{DCC0647A-CA5C-42B0-B493-6FDD3F03035E}" name="Column10565"/>
    <tableColumn id="10599" xr3:uid="{D6CA37D9-7DC4-4236-B308-C9D7AFC41F29}" name="Column10566"/>
    <tableColumn id="10600" xr3:uid="{5C2ECC87-19C3-4682-8BCA-0ACE1D48B108}" name="Column10567"/>
    <tableColumn id="10601" xr3:uid="{0B728A1B-33D0-4F51-B46D-82A8F62EE4BC}" name="Column10568"/>
    <tableColumn id="10602" xr3:uid="{2986838D-01CC-4494-AE08-347F93E86026}" name="Column10569"/>
    <tableColumn id="10603" xr3:uid="{D204C3BC-0831-4F62-B090-EC63E310816E}" name="Column10570"/>
    <tableColumn id="10604" xr3:uid="{83D9A782-6EEF-49A9-81AE-C8731F6680E2}" name="Column10571"/>
    <tableColumn id="10605" xr3:uid="{13963008-F6AB-4494-B9CF-990E4992DB85}" name="Column10572"/>
    <tableColumn id="10606" xr3:uid="{B7FC475F-512D-4D8C-ABE1-4124BFA0D9C5}" name="Column10573"/>
    <tableColumn id="10607" xr3:uid="{4E2B12BF-8E55-4E62-AB60-7EAE656F74D3}" name="Column10574"/>
    <tableColumn id="10608" xr3:uid="{F2D9E463-17CE-40D7-9384-D7775F808255}" name="Column10575"/>
    <tableColumn id="10609" xr3:uid="{11E22C5A-4889-4F81-8DCD-8F8640B43159}" name="Column10576"/>
    <tableColumn id="10610" xr3:uid="{812F95CF-8536-4410-A09E-AADD38200ECC}" name="Column10577"/>
    <tableColumn id="10611" xr3:uid="{122B0A94-B92D-4F0D-95FC-3B489E0641E9}" name="Column10578"/>
    <tableColumn id="10612" xr3:uid="{FDB0A518-8D01-4D35-86E2-8C23AFE92699}" name="Column10579"/>
    <tableColumn id="10613" xr3:uid="{B8F98033-6A1F-424C-8127-2E6630A1DE2C}" name="Column10580"/>
    <tableColumn id="10614" xr3:uid="{2730E333-6BE5-4409-8437-9E22FD7D8F2A}" name="Column10581"/>
    <tableColumn id="10615" xr3:uid="{CAB31270-93EF-408B-8128-60BA68097864}" name="Column10582"/>
    <tableColumn id="10616" xr3:uid="{8A26ABA3-709F-43D3-9852-736D9D63C4E4}" name="Column10583"/>
    <tableColumn id="10617" xr3:uid="{C67186E8-3C57-45B9-B8AB-3CA8E89B99B3}" name="Column10584"/>
    <tableColumn id="10618" xr3:uid="{30A147E7-3988-4CA8-856E-E94226F0D1C6}" name="Column10585"/>
    <tableColumn id="10619" xr3:uid="{0B74B6C0-2EB0-4888-90DC-EDCE81186D6D}" name="Column10586"/>
    <tableColumn id="10620" xr3:uid="{F2C171FD-7A53-42A9-AD97-618C55D5E13E}" name="Column10587"/>
    <tableColumn id="10621" xr3:uid="{B378165D-ADAD-4398-882C-C74A2AFC2E19}" name="Column10588"/>
    <tableColumn id="10622" xr3:uid="{6AEE7F4E-FE4F-448A-9AAD-7671D6995B29}" name="Column10589"/>
    <tableColumn id="10623" xr3:uid="{AAD246C0-06C8-4450-A135-A3E070B07967}" name="Column10590"/>
    <tableColumn id="10624" xr3:uid="{DAEA9B2B-6459-437A-A9C5-4DD5A9BDEBF7}" name="Column10591"/>
    <tableColumn id="10625" xr3:uid="{EF186D93-F8BD-465A-8873-06F859922B5A}" name="Column10592"/>
    <tableColumn id="10626" xr3:uid="{4A5442E9-AC1A-49EC-98DD-7CED826B44DA}" name="Column10593"/>
    <tableColumn id="10627" xr3:uid="{5FF0AE86-76F9-4BA2-972F-EA3C0E6AD4F6}" name="Column10594"/>
    <tableColumn id="10628" xr3:uid="{37428367-8871-49CD-9A95-1ECE3640F42D}" name="Column10595"/>
    <tableColumn id="10629" xr3:uid="{DD5B9695-1F21-460E-AD76-64539C205267}" name="Column10596"/>
    <tableColumn id="10630" xr3:uid="{CC3A166C-476C-4E62-9D37-9CAF38FD874F}" name="Column10597"/>
    <tableColumn id="10631" xr3:uid="{887A2069-2342-49FA-9B3E-E2311B4F55C0}" name="Column10598"/>
    <tableColumn id="10632" xr3:uid="{5D1DA78E-B40F-4700-83E5-A84EBEA80183}" name="Column10599"/>
    <tableColumn id="10633" xr3:uid="{0B761C22-6E80-4158-AEB8-E7E61CF133A6}" name="Column10600"/>
    <tableColumn id="10634" xr3:uid="{5B44D348-0393-4A7C-B9E7-913E72FA4A86}" name="Column10601"/>
    <tableColumn id="10635" xr3:uid="{19AFF537-E758-4348-8B25-04A5CA8584B7}" name="Column10602"/>
    <tableColumn id="10636" xr3:uid="{F0A9135D-C182-446D-9CC4-F2A35EB2CD78}" name="Column10603"/>
    <tableColumn id="10637" xr3:uid="{B8FDB00A-AE50-4B25-82B1-6CF1B487B802}" name="Column10604"/>
    <tableColumn id="10638" xr3:uid="{5A856F2E-3FBE-41E3-AA34-BCA7EEA21254}" name="Column10605"/>
    <tableColumn id="10639" xr3:uid="{2E399051-7C54-40CE-896E-3D26DBD24012}" name="Column10606"/>
    <tableColumn id="10640" xr3:uid="{F6357C4E-442D-43D2-97D9-EB1A8070DA56}" name="Column10607"/>
    <tableColumn id="10641" xr3:uid="{9AB084CE-DF12-4EAB-B430-9915B73FBCF6}" name="Column10608"/>
    <tableColumn id="10642" xr3:uid="{636F7B9F-F714-446B-BDC5-88A2399026E6}" name="Column10609"/>
    <tableColumn id="10643" xr3:uid="{84B0B64C-D8EC-463A-8AF1-B13D3CA20EBB}" name="Column10610"/>
    <tableColumn id="10644" xr3:uid="{D7A6B7F8-6B17-4CE1-A3B5-A94EECB62855}" name="Column10611"/>
    <tableColumn id="10645" xr3:uid="{FE9EF388-257E-43A4-851B-009BA868A798}" name="Column10612"/>
    <tableColumn id="10646" xr3:uid="{386A0393-F77B-488D-983C-9C52332E3D04}" name="Column10613"/>
    <tableColumn id="10647" xr3:uid="{DD205E41-E0C6-4BFF-B73E-44BA535C7F98}" name="Column10614"/>
    <tableColumn id="10648" xr3:uid="{CD329A74-FEA7-484B-A07D-31F5F46DF8D1}" name="Column10615"/>
    <tableColumn id="10649" xr3:uid="{8586EC08-C47C-45AD-964C-157EA658F9CD}" name="Column10616"/>
    <tableColumn id="10650" xr3:uid="{01057135-1EEC-4F88-B756-C1973165AF97}" name="Column10617"/>
    <tableColumn id="10651" xr3:uid="{D8CF2A14-4404-4C9D-95C2-6018F6417EE3}" name="Column10618"/>
    <tableColumn id="10652" xr3:uid="{B414FAB3-CA37-4446-844D-430C88A7D8F2}" name="Column10619"/>
    <tableColumn id="10653" xr3:uid="{974E4973-7E21-4226-AD22-1005B58D876F}" name="Column10620"/>
    <tableColumn id="10654" xr3:uid="{13618062-8B2C-455F-8033-0745C0C6BD93}" name="Column10621"/>
    <tableColumn id="10655" xr3:uid="{FBE822FC-5371-4818-9510-272D7400F5D6}" name="Column10622"/>
    <tableColumn id="10656" xr3:uid="{B3F1C343-68DE-4C21-A524-EF86A9C32FE9}" name="Column10623"/>
    <tableColumn id="10657" xr3:uid="{E26AB3A9-2234-4704-B474-8D608055B3D0}" name="Column10624"/>
    <tableColumn id="10658" xr3:uid="{851F242F-F2B4-4DA3-BD64-78A8C9A2E940}" name="Column10625"/>
    <tableColumn id="10659" xr3:uid="{B182E377-98FB-43E1-9C50-C8D3D6157E62}" name="Column10626"/>
    <tableColumn id="10660" xr3:uid="{FFE077EC-3444-47D9-9A56-DE8BA2E1ECB4}" name="Column10627"/>
    <tableColumn id="10661" xr3:uid="{AC4973E1-0661-45C8-AB4F-0CC8AAECB56E}" name="Column10628"/>
    <tableColumn id="10662" xr3:uid="{7FE5C567-04BA-47F5-806F-008D35917137}" name="Column10629"/>
    <tableColumn id="10663" xr3:uid="{B3517436-2DC3-4CFE-909A-7ED720C9954C}" name="Column10630"/>
    <tableColumn id="10664" xr3:uid="{721F5765-192B-4152-9F0B-BFC21A6FFC79}" name="Column10631"/>
    <tableColumn id="10665" xr3:uid="{9311C81D-9DDF-4055-B995-6F27D2B1521B}" name="Column10632"/>
    <tableColumn id="10666" xr3:uid="{B29F496B-52CA-4B77-BDDB-1823EE82D1D6}" name="Column10633"/>
    <tableColumn id="10667" xr3:uid="{9C8EC6F7-CD0F-4584-8628-762ACDCBC12C}" name="Column10634"/>
    <tableColumn id="10668" xr3:uid="{1DD54604-60BD-412A-9406-5A780A018B7F}" name="Column10635"/>
    <tableColumn id="10669" xr3:uid="{AE0484CD-A954-4FEA-BBF1-02D85E3868E4}" name="Column10636"/>
    <tableColumn id="10670" xr3:uid="{6E880A2F-C537-439B-BD5C-8325570F80F6}" name="Column10637"/>
    <tableColumn id="10671" xr3:uid="{74B3D2C4-F8B4-45A0-8B01-EF2668BBF4F7}" name="Column10638"/>
    <tableColumn id="10672" xr3:uid="{1376FBC1-C0DD-4618-B58D-20399E9E6B21}" name="Column10639"/>
    <tableColumn id="10673" xr3:uid="{62A47E08-1730-4E2A-87E3-2128488C95B4}" name="Column10640"/>
    <tableColumn id="10674" xr3:uid="{F16E32DE-95D9-4B66-BBD0-25F1C1B141DB}" name="Column10641"/>
    <tableColumn id="10675" xr3:uid="{EE7D6193-9BC9-4203-A66F-AE70E7D3506E}" name="Column10642"/>
    <tableColumn id="10676" xr3:uid="{81D656EC-F0A1-4CA4-96D1-A1C0F14C64F2}" name="Column10643"/>
    <tableColumn id="10677" xr3:uid="{C6931991-02D7-46E4-AA7F-595C60E75199}" name="Column10644"/>
    <tableColumn id="10678" xr3:uid="{974A2912-2342-4B6B-BF6F-FAD9260A4599}" name="Column10645"/>
    <tableColumn id="10679" xr3:uid="{5E32A22F-E857-4F54-87C2-AECD79E0B966}" name="Column10646"/>
    <tableColumn id="10680" xr3:uid="{3C30240B-0E46-4617-85E5-E2E1A2A0D23F}" name="Column10647"/>
    <tableColumn id="10681" xr3:uid="{B2361D87-249A-4E5B-A67E-D6512659BFC3}" name="Column10648"/>
    <tableColumn id="10682" xr3:uid="{DB6117F4-2FC9-4F0D-A4E3-85FE2E9CFDEC}" name="Column10649"/>
    <tableColumn id="10683" xr3:uid="{55BF01CA-AA85-496C-B73B-E4C8869E7C7C}" name="Column10650"/>
    <tableColumn id="10684" xr3:uid="{18801C26-8986-4534-98B9-F3839A87BDEE}" name="Column10651"/>
    <tableColumn id="10685" xr3:uid="{76E100E1-5FBA-4792-8A73-2FEB7AFE3E50}" name="Column10652"/>
    <tableColumn id="10686" xr3:uid="{3752FD62-A80A-495E-B08A-8462F6791453}" name="Column10653"/>
    <tableColumn id="10687" xr3:uid="{CE44AB48-5684-4043-ADCA-AD29F6411830}" name="Column10654"/>
    <tableColumn id="10688" xr3:uid="{C82253BB-C96D-45E6-8B78-B89842C79994}" name="Column10655"/>
    <tableColumn id="10689" xr3:uid="{B4A11DCE-8A7C-415D-839F-F8E3D96A80D0}" name="Column10656"/>
    <tableColumn id="10690" xr3:uid="{7565EB6D-15B3-4AB5-9188-9F3D7528A812}" name="Column10657"/>
    <tableColumn id="10691" xr3:uid="{5F1C764F-3A8F-4891-ADEB-080407293497}" name="Column10658"/>
    <tableColumn id="10692" xr3:uid="{D276EF50-FE42-4B4C-A098-A1D7FCE72BFC}" name="Column10659"/>
    <tableColumn id="10693" xr3:uid="{66F7F983-1215-423F-87D6-1E121F2D096F}" name="Column10660"/>
    <tableColumn id="10694" xr3:uid="{D091F225-5713-4652-AC5B-05384A9B6606}" name="Column10661"/>
    <tableColumn id="10695" xr3:uid="{B01E1EBA-BA0E-49E8-81A1-74B3E11D5AC2}" name="Column10662"/>
    <tableColumn id="10696" xr3:uid="{E5DCC50E-AA4F-40E1-87DB-DF4BE2D1D1D4}" name="Column10663"/>
    <tableColumn id="10697" xr3:uid="{83DE6E80-24E0-4714-9CC2-3A3C63066525}" name="Column10664"/>
    <tableColumn id="10698" xr3:uid="{738FE6CA-9FA3-4887-B69E-8ED5D14C5380}" name="Column10665"/>
    <tableColumn id="10699" xr3:uid="{A6898427-3A1D-4B76-A3EA-77A6DE3428EC}" name="Column10666"/>
    <tableColumn id="10700" xr3:uid="{90A6EDC4-1064-4AF8-A41C-6706CF92CEC3}" name="Column10667"/>
    <tableColumn id="10701" xr3:uid="{B845ABFB-8F54-43E4-8569-4DBB2031BE27}" name="Column10668"/>
    <tableColumn id="10702" xr3:uid="{02C618D7-72A3-4277-8442-9947188F43AD}" name="Column10669"/>
    <tableColumn id="10703" xr3:uid="{8549A4C8-827D-4911-992E-2A6CB50409FD}" name="Column10670"/>
    <tableColumn id="10704" xr3:uid="{0A2425EF-B29F-4ABD-940B-B4F85DC9538E}" name="Column10671"/>
    <tableColumn id="10705" xr3:uid="{8CE642A8-0227-476A-9823-C76CC7CBB2CA}" name="Column10672"/>
    <tableColumn id="10706" xr3:uid="{CA91E030-B952-4EB2-A57D-1A890793C0E0}" name="Column10673"/>
    <tableColumn id="10707" xr3:uid="{983F484B-C146-4798-A3B0-7E7BFAAC2781}" name="Column10674"/>
    <tableColumn id="10708" xr3:uid="{303AB783-9C01-44CA-AF0E-BB49C7921748}" name="Column10675"/>
    <tableColumn id="10709" xr3:uid="{284C836E-105A-4C26-9D88-58D96DF9066F}" name="Column10676"/>
    <tableColumn id="10710" xr3:uid="{92A7ED9D-C052-4648-81C6-0155C5B9F44D}" name="Column10677"/>
    <tableColumn id="10711" xr3:uid="{A634BA9C-9422-49F4-B2EF-EC0FA549BDE9}" name="Column10678"/>
    <tableColumn id="10712" xr3:uid="{E1C09029-68B7-443D-94BF-6B87EF901A8A}" name="Column10679"/>
    <tableColumn id="10713" xr3:uid="{7714B857-64AC-4189-81B3-A3D51F223509}" name="Column10680"/>
    <tableColumn id="10714" xr3:uid="{3CB49C47-E600-490A-AB44-D6149FE04988}" name="Column10681"/>
    <tableColumn id="10715" xr3:uid="{9A33A7F0-ABE8-4E21-8038-B15D3BF22A09}" name="Column10682"/>
    <tableColumn id="10716" xr3:uid="{AE6C629B-0EC8-4AB0-996D-CD6A3A84EAA6}" name="Column10683"/>
    <tableColumn id="10717" xr3:uid="{030DDEA4-DD00-4A9E-BBF0-B7C0AC4829EB}" name="Column10684"/>
    <tableColumn id="10718" xr3:uid="{C7C4ABA6-3000-4493-97BD-712EBA987669}" name="Column10685"/>
    <tableColumn id="10719" xr3:uid="{50259CBC-BC8B-45F6-924D-549DB6767AB7}" name="Column10686"/>
    <tableColumn id="10720" xr3:uid="{229BB909-A802-4F96-9C01-0A4E754B733C}" name="Column10687"/>
    <tableColumn id="10721" xr3:uid="{5FCB08CF-D80B-4D2E-9D0D-5F9284445BCD}" name="Column10688"/>
    <tableColumn id="10722" xr3:uid="{C168517E-8E0E-4124-AB10-684701271F5A}" name="Column10689"/>
    <tableColumn id="10723" xr3:uid="{363A7F7A-FFEE-4374-94B3-D6E2813819CA}" name="Column10690"/>
    <tableColumn id="10724" xr3:uid="{A9498CBD-CB6E-400A-8A55-6CFFB76ABA71}" name="Column10691"/>
    <tableColumn id="10725" xr3:uid="{502B9297-3FF0-4EC6-BAC0-87B4A05290DF}" name="Column10692"/>
    <tableColumn id="10726" xr3:uid="{7E010FC0-39B9-4C19-8630-5B3F2B4D55E7}" name="Column10693"/>
    <tableColumn id="10727" xr3:uid="{ADD15525-F242-4727-9E1C-36BDB369D2C2}" name="Column10694"/>
    <tableColumn id="10728" xr3:uid="{20F8FA6E-B235-4DED-8399-6579207F0359}" name="Column10695"/>
    <tableColumn id="10729" xr3:uid="{83F6314D-E2C2-4593-9C82-663BA725AF0D}" name="Column10696"/>
    <tableColumn id="10730" xr3:uid="{A4923421-03AF-4132-99F9-5C3C076BB977}" name="Column10697"/>
    <tableColumn id="10731" xr3:uid="{50F5D38B-AD14-4343-A849-E3DD190B37DD}" name="Column10698"/>
    <tableColumn id="10732" xr3:uid="{49E7895A-0E14-4D35-8FA9-870E19EDE886}" name="Column10699"/>
    <tableColumn id="10733" xr3:uid="{A6736204-3E34-4AAF-84FF-391911320304}" name="Column10700"/>
    <tableColumn id="10734" xr3:uid="{7E38E1F5-A8B7-4835-873E-FFE01D767E17}" name="Column10701"/>
    <tableColumn id="10735" xr3:uid="{89B581C9-801B-436A-A1A7-1044B7EE3E80}" name="Column10702"/>
    <tableColumn id="10736" xr3:uid="{5A147783-0712-49F2-85BE-DDE5E718AF72}" name="Column10703"/>
    <tableColumn id="10737" xr3:uid="{EFCCC9AC-6F1E-418A-9F5C-2E0193DC7CF4}" name="Column10704"/>
    <tableColumn id="10738" xr3:uid="{4A889D1D-0F79-4088-876E-FE5DA9742996}" name="Column10705"/>
    <tableColumn id="10739" xr3:uid="{226D1BB9-7BF6-4769-8536-D409A4F6EC62}" name="Column10706"/>
    <tableColumn id="10740" xr3:uid="{1C3B8A5C-3D24-4F2C-AFBC-93B8C0A1FD99}" name="Column10707"/>
    <tableColumn id="10741" xr3:uid="{C5C71E8C-31EC-4A69-BEC9-D92CC17A17B9}" name="Column10708"/>
    <tableColumn id="10742" xr3:uid="{0C56AA16-8D9B-4755-B4CF-BD82257F1DB5}" name="Column10709"/>
    <tableColumn id="10743" xr3:uid="{A784DC3C-7F61-4AF0-A0B9-6859211B2D4C}" name="Column10710"/>
    <tableColumn id="10744" xr3:uid="{7F02D64C-9E56-4801-A369-4F37FA1D1982}" name="Column10711"/>
    <tableColumn id="10745" xr3:uid="{7275756D-BA03-45F5-8B15-05FBDF9371D6}" name="Column10712"/>
    <tableColumn id="10746" xr3:uid="{7F4084CB-8E01-49AA-BED5-AE931AF4BFC4}" name="Column10713"/>
    <tableColumn id="10747" xr3:uid="{02620295-4E4B-4272-A00D-3FF824FFA809}" name="Column10714"/>
    <tableColumn id="10748" xr3:uid="{E844332E-ADE2-4A86-B9CE-AA0BB19C3DB8}" name="Column10715"/>
    <tableColumn id="10749" xr3:uid="{7241DC1A-D098-4232-A01F-33D7665DC095}" name="Column10716"/>
    <tableColumn id="10750" xr3:uid="{EB0B02C6-3417-46D0-B31D-F648A23B970A}" name="Column10717"/>
    <tableColumn id="10751" xr3:uid="{6AEBF5AD-535F-4845-BA5E-C3E5B0B2B3AE}" name="Column10718"/>
    <tableColumn id="10752" xr3:uid="{74C76AE0-984A-4AEB-A734-DBBE04E0DECC}" name="Column10719"/>
    <tableColumn id="10753" xr3:uid="{6146EA46-A82A-4794-B335-B8F7BA1EDD78}" name="Column10720"/>
    <tableColumn id="10754" xr3:uid="{F295717C-27CF-46DD-9EE3-D9B03DDDFC75}" name="Column10721"/>
    <tableColumn id="10755" xr3:uid="{CF601674-775E-4BF4-8E56-66533EB75E79}" name="Column10722"/>
    <tableColumn id="10756" xr3:uid="{31E274C5-56C2-413F-856B-CCAA1E4B1016}" name="Column10723"/>
    <tableColumn id="10757" xr3:uid="{59CBCCA4-73A9-48AD-8C8D-8435DBCA3E12}" name="Column10724"/>
    <tableColumn id="10758" xr3:uid="{E568482D-21BC-4D5B-BE71-9F1E8148E482}" name="Column10725"/>
    <tableColumn id="10759" xr3:uid="{E821A2AE-7504-473A-943D-3B76CDC70597}" name="Column10726"/>
    <tableColumn id="10760" xr3:uid="{2AFB69C1-4435-44FA-889D-7536E818BC5B}" name="Column10727"/>
    <tableColumn id="10761" xr3:uid="{71F83D34-6449-40D2-86E9-109A1EFB3704}" name="Column10728"/>
    <tableColumn id="10762" xr3:uid="{81413C87-1C71-430D-9F11-C31DE3C56795}" name="Column10729"/>
    <tableColumn id="10763" xr3:uid="{37F964B8-E292-47F7-9495-77A9DB349B77}" name="Column10730"/>
    <tableColumn id="10764" xr3:uid="{10CDCBE7-1B9B-4D53-A065-F43467F3A40B}" name="Column10731"/>
    <tableColumn id="10765" xr3:uid="{17B65E36-A222-43CE-BDD1-5CE12B114DC3}" name="Column10732"/>
    <tableColumn id="10766" xr3:uid="{AA10F5BA-F583-42D7-8270-3060B4255F64}" name="Column10733"/>
    <tableColumn id="10767" xr3:uid="{801C9F15-8D25-4E10-AD4B-FC962557F34D}" name="Column10734"/>
    <tableColumn id="10768" xr3:uid="{6C739C31-3071-4182-A1EF-08F859ADEAB8}" name="Column10735"/>
    <tableColumn id="10769" xr3:uid="{D08E4A82-3C58-4944-A1ED-2A50C761B3A9}" name="Column10736"/>
    <tableColumn id="10770" xr3:uid="{E1787A30-CCAC-40A3-8CEA-98425DD9ED98}" name="Column10737"/>
    <tableColumn id="10771" xr3:uid="{A3212326-C75F-4136-A64F-8FE5FDCFB872}" name="Column10738"/>
    <tableColumn id="10772" xr3:uid="{B91E2B7B-3E32-43B4-A2F4-BEAB1A9610FD}" name="Column10739"/>
    <tableColumn id="10773" xr3:uid="{74DE2614-65AF-4336-95DC-8BC8ED21A8D4}" name="Column10740"/>
    <tableColumn id="10774" xr3:uid="{DA6C4819-2343-46A7-97FF-D86306E9DCC5}" name="Column10741"/>
    <tableColumn id="10775" xr3:uid="{E4B1FF5E-D88A-4A59-9005-FBEE72A54173}" name="Column10742"/>
    <tableColumn id="10776" xr3:uid="{F17AEEAF-DF58-4371-9898-34F25E6DBC94}" name="Column10743"/>
    <tableColumn id="10777" xr3:uid="{43CE004D-9431-4BF8-8DF6-62F313A76692}" name="Column10744"/>
    <tableColumn id="10778" xr3:uid="{77AADD54-14F7-4AC1-8536-A286615C8BD7}" name="Column10745"/>
    <tableColumn id="10779" xr3:uid="{302EAE5E-1B53-4ADE-9F87-F9558BC59D26}" name="Column10746"/>
    <tableColumn id="10780" xr3:uid="{69E617FC-1D5C-4069-B797-BF9207FF508D}" name="Column10747"/>
    <tableColumn id="10781" xr3:uid="{E3C12AB9-F62B-4E3F-864B-F973CCBCCF13}" name="Column10748"/>
    <tableColumn id="10782" xr3:uid="{D0934AB0-726B-4654-BDA1-F388F823AE06}" name="Column10749"/>
    <tableColumn id="10783" xr3:uid="{D65BE121-C5AC-4A9F-862F-E47394CD9B66}" name="Column10750"/>
    <tableColumn id="10784" xr3:uid="{8A947461-6CA3-476C-9928-7450E5FD3791}" name="Column10751"/>
    <tableColumn id="10785" xr3:uid="{8A6EF3E7-6FE1-4722-AAFD-AD8B514D3CFB}" name="Column10752"/>
    <tableColumn id="10786" xr3:uid="{AB21964C-366E-469F-9162-FCF88E6E1E28}" name="Column10753"/>
    <tableColumn id="10787" xr3:uid="{5D0A8562-A253-4615-8CBF-344642759E32}" name="Column10754"/>
    <tableColumn id="10788" xr3:uid="{431CB141-F61E-4566-9331-E565ADD10B61}" name="Column10755"/>
    <tableColumn id="10789" xr3:uid="{663543ED-2C96-4EF0-A23D-709B44F37F61}" name="Column10756"/>
    <tableColumn id="10790" xr3:uid="{4F1577CF-0914-4998-A52F-67920C5611C8}" name="Column10757"/>
    <tableColumn id="10791" xr3:uid="{7FAC7BA9-6834-471E-90BC-24C7E1AB58E8}" name="Column10758"/>
    <tableColumn id="10792" xr3:uid="{C910E37C-B73D-400A-B7FD-D79FF5A919DB}" name="Column10759"/>
    <tableColumn id="10793" xr3:uid="{E55EFB8D-B039-4C7E-859A-178B40C339AA}" name="Column10760"/>
    <tableColumn id="10794" xr3:uid="{E2705171-90BE-4439-A815-32DBECD7DD8C}" name="Column10761"/>
    <tableColumn id="10795" xr3:uid="{92DD1B04-F92E-4DD5-AF13-06FC7DA4D36C}" name="Column10762"/>
    <tableColumn id="10796" xr3:uid="{40B386A9-F144-413F-B622-4B821291A345}" name="Column10763"/>
    <tableColumn id="10797" xr3:uid="{EA4FE39B-5346-40B3-BEBF-85A44AB6B4D7}" name="Column10764"/>
    <tableColumn id="10798" xr3:uid="{81746BB6-9585-4ED7-AB1B-F0A97D338028}" name="Column10765"/>
    <tableColumn id="10799" xr3:uid="{EFE1FCB4-5AC2-481C-8496-026611D33812}" name="Column10766"/>
    <tableColumn id="10800" xr3:uid="{8C090BF4-F2E7-41B5-8F48-D3B68B18BAD9}" name="Column10767"/>
    <tableColumn id="10801" xr3:uid="{41A9D938-5D74-4C13-83E8-42CF968B8D84}" name="Column10768"/>
    <tableColumn id="10802" xr3:uid="{0C347CB7-CB36-4847-8BA2-63CE0CFAF7D2}" name="Column10769"/>
    <tableColumn id="10803" xr3:uid="{B972BAE4-084A-46BC-B411-C95FAAB6DD5D}" name="Column10770"/>
    <tableColumn id="10804" xr3:uid="{0E45D8C3-F958-4C0B-A6CE-84613F4AC771}" name="Column10771"/>
    <tableColumn id="10805" xr3:uid="{99D22015-65A3-4A44-B7DF-9A22D90B584B}" name="Column10772"/>
    <tableColumn id="10806" xr3:uid="{2BDE0414-2093-437F-9B41-10BF65A0EF9A}" name="Column10773"/>
    <tableColumn id="10807" xr3:uid="{CB3858C5-7F9E-460A-AC2A-570D04A3A8D0}" name="Column10774"/>
    <tableColumn id="10808" xr3:uid="{F5E5B5F3-904E-4FDD-9C3C-6960623C8F1D}" name="Column10775"/>
    <tableColumn id="10809" xr3:uid="{F6522349-C110-465C-B4CF-4DD83BB77524}" name="Column10776"/>
    <tableColumn id="10810" xr3:uid="{D53B323A-F4AE-4A84-922D-E98DD42F1577}" name="Column10777"/>
    <tableColumn id="10811" xr3:uid="{9E51FE75-8C5F-4BBE-B9F8-8BFA9338F48E}" name="Column10778"/>
    <tableColumn id="10812" xr3:uid="{DCBA2B67-7848-4034-85B4-76F0674C730B}" name="Column10779"/>
    <tableColumn id="10813" xr3:uid="{2A61AFBF-755D-49FD-86B4-82E6902F167A}" name="Column10780"/>
    <tableColumn id="10814" xr3:uid="{BDAD88C0-5F83-48B8-995E-2A1548406067}" name="Column10781"/>
    <tableColumn id="10815" xr3:uid="{88C3BA6D-87C2-4533-8BF4-581F9582FED9}" name="Column10782"/>
    <tableColumn id="10816" xr3:uid="{731906C4-75F0-468A-BE5B-D1A019A88D97}" name="Column10783"/>
    <tableColumn id="10817" xr3:uid="{6FAF79E9-026F-4036-88AD-644FA1B27EB1}" name="Column10784"/>
    <tableColumn id="10818" xr3:uid="{F4A75C21-7883-4A46-B1A6-A6C61D94BE7B}" name="Column10785"/>
    <tableColumn id="10819" xr3:uid="{90003111-CF0A-4A5D-AC8E-209C8EBE46A8}" name="Column10786"/>
    <tableColumn id="10820" xr3:uid="{864C5BCD-6404-4095-AC37-5329526C9AFB}" name="Column10787"/>
    <tableColumn id="10821" xr3:uid="{98756072-3E85-4C99-B57C-929188E45069}" name="Column10788"/>
    <tableColumn id="10822" xr3:uid="{35C00A18-42AD-424C-9B01-D496F4E72C36}" name="Column10789"/>
    <tableColumn id="10823" xr3:uid="{E9F72B08-AEDE-48BD-8E09-7F4DD7275ABD}" name="Column10790"/>
    <tableColumn id="10824" xr3:uid="{E498EC67-A96D-4685-82A4-109FAC7A2FC5}" name="Column10791"/>
    <tableColumn id="10825" xr3:uid="{A6DA844F-BA1D-49ED-8779-D167F452EE1B}" name="Column10792"/>
    <tableColumn id="10826" xr3:uid="{7D2644F6-8032-4BDB-AAFD-DC9AA52023A3}" name="Column10793"/>
    <tableColumn id="10827" xr3:uid="{24949E73-7FA1-4150-8E46-4FA349B1CECE}" name="Column10794"/>
    <tableColumn id="10828" xr3:uid="{A66C39BE-9FF9-44F9-8AE0-9AAC444CC48E}" name="Column10795"/>
    <tableColumn id="10829" xr3:uid="{AEA768DB-3680-4A22-A4FA-B772FEE7CE4B}" name="Column10796"/>
    <tableColumn id="10830" xr3:uid="{00463E79-572B-4752-8F87-C3E7B825078A}" name="Column10797"/>
    <tableColumn id="10831" xr3:uid="{7CD059FE-CD20-4F1A-A341-FB130F0DAE94}" name="Column10798"/>
    <tableColumn id="10832" xr3:uid="{9A3C4FA5-869A-45B7-A90E-1C20216A903A}" name="Column10799"/>
    <tableColumn id="10833" xr3:uid="{69FCF814-E087-4245-9525-311DC462F217}" name="Column10800"/>
    <tableColumn id="10834" xr3:uid="{D845704E-2DFC-46EF-8FA2-42BC69C87374}" name="Column10801"/>
    <tableColumn id="10835" xr3:uid="{D24E32EA-7613-44ED-806E-5A0BCF3F152C}" name="Column10802"/>
    <tableColumn id="10836" xr3:uid="{8B6180C0-0469-4DF9-9FDD-23DF3F1035A8}" name="Column10803"/>
    <tableColumn id="10837" xr3:uid="{38082FEE-0BFB-4755-9726-E95334330ABC}" name="Column10804"/>
    <tableColumn id="10838" xr3:uid="{468C45FA-623F-4305-A55B-CE092B2F1A86}" name="Column10805"/>
    <tableColumn id="10839" xr3:uid="{E385E4FE-53BD-4094-9F9B-6CE33707A1EA}" name="Column10806"/>
    <tableColumn id="10840" xr3:uid="{325C6A37-C3D7-45FA-A239-958C4582F973}" name="Column10807"/>
    <tableColumn id="10841" xr3:uid="{6207D9F1-D9D2-46F9-ADBB-9E1DF44B49A0}" name="Column10808"/>
    <tableColumn id="10842" xr3:uid="{D455CD0F-F6D7-4B62-A183-4E393CAE0C68}" name="Column10809"/>
    <tableColumn id="10843" xr3:uid="{EE06FE09-C3B9-4693-AF93-480AD70CADCA}" name="Column10810"/>
    <tableColumn id="10844" xr3:uid="{C383373B-8BB6-4B07-85FA-078711EF9EE3}" name="Column10811"/>
    <tableColumn id="10845" xr3:uid="{3E7BB897-239A-4B0C-8650-6A66A964003B}" name="Column10812"/>
    <tableColumn id="10846" xr3:uid="{0213FBD0-E6D8-4FE8-AFBA-40DEC4F784DC}" name="Column10813"/>
    <tableColumn id="10847" xr3:uid="{38076E7B-628E-4756-968C-7F3BBAB1B15D}" name="Column10814"/>
    <tableColumn id="10848" xr3:uid="{22C9D822-6B18-4207-AFE4-DB4A135EB99D}" name="Column10815"/>
    <tableColumn id="10849" xr3:uid="{2E48278B-9A24-4764-8F9C-BDBB49FF6059}" name="Column10816"/>
    <tableColumn id="10850" xr3:uid="{20F8F4AD-A65F-40D3-882C-E4D8EB5169FC}" name="Column10817"/>
    <tableColumn id="10851" xr3:uid="{375ABAD7-2B15-4A3A-9F62-47B06671E5B1}" name="Column10818"/>
    <tableColumn id="10852" xr3:uid="{3BC9B014-763E-4352-907C-80F000453BA3}" name="Column10819"/>
    <tableColumn id="10853" xr3:uid="{4ADD9811-D500-468E-A90E-86DCCE64F889}" name="Column10820"/>
    <tableColumn id="10854" xr3:uid="{FDC7EE83-2835-4D9D-9E7A-80A25D5D5303}" name="Column10821"/>
    <tableColumn id="10855" xr3:uid="{F33D7D85-70A2-45F0-A961-99B1E2DE3CC8}" name="Column10822"/>
    <tableColumn id="10856" xr3:uid="{214DF0C3-2822-407F-9C21-4E25508C26B5}" name="Column10823"/>
    <tableColumn id="10857" xr3:uid="{0867BBE9-D732-4818-9683-887A62DE2FB6}" name="Column10824"/>
    <tableColumn id="10858" xr3:uid="{C77882E4-CF7A-40BB-9AFB-66BDB2F46572}" name="Column10825"/>
    <tableColumn id="10859" xr3:uid="{8C177A66-3E59-4C22-8456-299F432C2D6D}" name="Column10826"/>
    <tableColumn id="10860" xr3:uid="{C3C3A725-4660-46E1-89DB-127A0CD5EA7C}" name="Column10827"/>
    <tableColumn id="10861" xr3:uid="{CC81BCFD-8A02-41DF-8A87-DD5DA8892A8A}" name="Column10828"/>
    <tableColumn id="10862" xr3:uid="{51F5E767-AC22-44C5-ADFD-C60D1C60E5B0}" name="Column10829"/>
    <tableColumn id="10863" xr3:uid="{5ED250E9-6FB3-4704-B000-FC49CFB81C26}" name="Column10830"/>
    <tableColumn id="10864" xr3:uid="{92083B03-E1AE-4B8F-8A5E-FF57CAEF69CE}" name="Column10831"/>
    <tableColumn id="10865" xr3:uid="{0C498D77-D957-4ACF-9074-D02D60D53755}" name="Column10832"/>
    <tableColumn id="10866" xr3:uid="{AD6FCA9A-97E1-4458-8469-69C04A74EA09}" name="Column10833"/>
    <tableColumn id="10867" xr3:uid="{2AACF3F4-F51F-475A-BA94-520F54F6A142}" name="Column10834"/>
    <tableColumn id="10868" xr3:uid="{B4FA582F-133E-495D-AE82-E806BFF88A70}" name="Column10835"/>
    <tableColumn id="10869" xr3:uid="{3F84698F-AB25-432F-B182-32ABB1402B30}" name="Column10836"/>
    <tableColumn id="10870" xr3:uid="{50E1BC16-59C4-4E5B-935B-9252B850C757}" name="Column10837"/>
    <tableColumn id="10871" xr3:uid="{99203120-FB06-4BC3-AD50-53BD1FE4BDB0}" name="Column10838"/>
    <tableColumn id="10872" xr3:uid="{A4936788-F6CE-4DFD-9BBB-47AE67F738C4}" name="Column10839"/>
    <tableColumn id="10873" xr3:uid="{FC08A1D0-EBA1-4611-94E9-E4C8A0E2AF6A}" name="Column10840"/>
    <tableColumn id="10874" xr3:uid="{C8FEC48B-DF71-41A6-8E79-2FB0704480FA}" name="Column10841"/>
    <tableColumn id="10875" xr3:uid="{BACFBD41-CAE1-4CFE-9732-0470820EA5AF}" name="Column10842"/>
    <tableColumn id="10876" xr3:uid="{3122B1ED-9CBC-42F7-9964-5859FAFF302B}" name="Column10843"/>
    <tableColumn id="10877" xr3:uid="{CA987065-0C67-4FEF-ABCB-C83E1E2F25F3}" name="Column10844"/>
    <tableColumn id="10878" xr3:uid="{1C2AF882-4047-4E10-B2F5-6262B4D49F54}" name="Column10845"/>
    <tableColumn id="10879" xr3:uid="{489DD202-E020-409B-BA07-9636FE6B8A33}" name="Column10846"/>
    <tableColumn id="10880" xr3:uid="{8C12F175-3678-451C-905A-F372248DDD0A}" name="Column10847"/>
    <tableColumn id="10881" xr3:uid="{C44DBCF8-F308-474B-8382-E80902CC069C}" name="Column10848"/>
    <tableColumn id="10882" xr3:uid="{0C2D8D8C-D81E-41B0-991E-765CEBED5454}" name="Column10849"/>
    <tableColumn id="10883" xr3:uid="{3207754C-13BF-4FE3-A301-FE34DD8AFFA6}" name="Column10850"/>
    <tableColumn id="10884" xr3:uid="{0FAF1350-681D-4CBA-BBD2-E235EB16E8BA}" name="Column10851"/>
    <tableColumn id="10885" xr3:uid="{CA25F056-A3AA-4586-955C-33D422F6D4F1}" name="Column10852"/>
    <tableColumn id="10886" xr3:uid="{B417B7A6-DB98-48A0-96F1-C2BA5F9173C8}" name="Column10853"/>
    <tableColumn id="10887" xr3:uid="{D7886610-9BBB-4F94-B810-2D043754CA13}" name="Column10854"/>
    <tableColumn id="10888" xr3:uid="{60BF2A9C-E058-4A2C-BEBE-95B9CB136931}" name="Column10855"/>
    <tableColumn id="10889" xr3:uid="{0432C90E-76FB-48E2-9B27-0428F2C68A4B}" name="Column10856"/>
    <tableColumn id="10890" xr3:uid="{0B8487C1-23B1-4B7A-81AA-48CFE4B8434B}" name="Column10857"/>
    <tableColumn id="10891" xr3:uid="{5C36D4C1-E29F-4EBD-8E62-C0FEC391AE25}" name="Column10858"/>
    <tableColumn id="10892" xr3:uid="{2236E999-CC4A-4A53-9398-3307EC5AD8DC}" name="Column10859"/>
    <tableColumn id="10893" xr3:uid="{916127B0-24A0-4093-9404-97DF3EDFDEF6}" name="Column10860"/>
    <tableColumn id="10894" xr3:uid="{024EEA8F-2DFA-4EFD-ABD8-D28F25F7BB89}" name="Column10861"/>
    <tableColumn id="10895" xr3:uid="{7EF26CFD-71E1-4274-BC78-217CB8B08154}" name="Column10862"/>
    <tableColumn id="10896" xr3:uid="{5B6252A2-97E3-4CFA-BFDF-ADBDFEE15A08}" name="Column10863"/>
    <tableColumn id="10897" xr3:uid="{123A9281-AA01-4289-BB0E-90A67D02F963}" name="Column10864"/>
    <tableColumn id="10898" xr3:uid="{452E4DF8-16AF-4875-B8FF-3FE693837550}" name="Column10865"/>
    <tableColumn id="10899" xr3:uid="{10FC5B9B-B634-4BAD-90D8-8B006DBEF0CD}" name="Column10866"/>
    <tableColumn id="10900" xr3:uid="{934A143D-C8A9-4961-8F50-37ABBBB36DAB}" name="Column10867"/>
    <tableColumn id="10901" xr3:uid="{983C830E-BBD6-4BBF-84C8-FB45D2DD48F6}" name="Column10868"/>
    <tableColumn id="10902" xr3:uid="{6816F0F8-C663-4913-A935-7E7C960FD375}" name="Column10869"/>
    <tableColumn id="10903" xr3:uid="{BD48ADA3-365D-4084-8A87-90FED2BD12EF}" name="Column10870"/>
    <tableColumn id="10904" xr3:uid="{7AB44AAB-E59D-4956-B200-06C034315D1D}" name="Column10871"/>
    <tableColumn id="10905" xr3:uid="{B1CB2A72-8B73-4CBF-A347-DB6C6AEB79EC}" name="Column10872"/>
    <tableColumn id="10906" xr3:uid="{203C394C-D50D-486D-A8C7-AC72EA1F9A49}" name="Column10873"/>
    <tableColumn id="10907" xr3:uid="{A411DAD9-755F-4DD5-8E33-56AC3F7ECEDB}" name="Column10874"/>
    <tableColumn id="10908" xr3:uid="{6AF4A9F1-F07A-4A03-B92A-1D6567D4AEE7}" name="Column10875"/>
    <tableColumn id="10909" xr3:uid="{10DD93D7-83B0-45E8-8977-22FCF71D2F66}" name="Column10876"/>
    <tableColumn id="10910" xr3:uid="{C5C06B57-BE59-4F00-B13A-72B7A8B08865}" name="Column10877"/>
    <tableColumn id="10911" xr3:uid="{C3B99A5D-0ED8-4B8A-BBFC-28223F969F8A}" name="Column10878"/>
    <tableColumn id="10912" xr3:uid="{F134C61B-13E9-463E-863C-7D2C22A4AEAF}" name="Column10879"/>
    <tableColumn id="10913" xr3:uid="{94B7A6FC-78E9-4C8C-A40A-B60E09388635}" name="Column10880"/>
    <tableColumn id="10914" xr3:uid="{E53EDE30-40AD-4804-B70D-0DB0F8E8015B}" name="Column10881"/>
    <tableColumn id="10915" xr3:uid="{102A5D87-B713-4174-BF82-74313BBF528C}" name="Column10882"/>
    <tableColumn id="10916" xr3:uid="{900AC6DC-0913-4853-B1CD-6AAD669BE456}" name="Column10883"/>
    <tableColumn id="10917" xr3:uid="{A142EA9F-FEBA-4A7E-95FB-8D0071CE3B67}" name="Column10884"/>
    <tableColumn id="10918" xr3:uid="{E16EB14A-EDB6-4DF1-9E15-8A0C8F1F1A89}" name="Column10885"/>
    <tableColumn id="10919" xr3:uid="{965048BF-0DF3-49D6-BD9D-6891CA127756}" name="Column10886"/>
    <tableColumn id="10920" xr3:uid="{A711C7B3-1E10-4B81-A95C-EB1C213372E9}" name="Column10887"/>
    <tableColumn id="10921" xr3:uid="{7629E1EA-7DEC-471E-ADD3-81E23D302BC9}" name="Column10888"/>
    <tableColumn id="10922" xr3:uid="{B7DBA110-5CE9-48B6-903C-A9696CE22FAB}" name="Column10889"/>
    <tableColumn id="10923" xr3:uid="{5821C2C4-E8B6-4727-ABD8-EAD97565FC2F}" name="Column10890"/>
    <tableColumn id="10924" xr3:uid="{8E4338C2-982C-4EBD-B2D3-A8BB12967584}" name="Column10891"/>
    <tableColumn id="10925" xr3:uid="{7F8A1168-1B3F-4461-A42F-710560501729}" name="Column10892"/>
    <tableColumn id="10926" xr3:uid="{7BBBC3EA-5206-4128-BB89-B5EF99EE1ECD}" name="Column10893"/>
    <tableColumn id="10927" xr3:uid="{3EF7A5A1-36EE-432B-ADBC-9D3E71862F96}" name="Column10894"/>
    <tableColumn id="10928" xr3:uid="{36E6FF61-0E03-4139-9967-6BDCD0BE63D3}" name="Column10895"/>
    <tableColumn id="10929" xr3:uid="{8A190FBA-2191-4BD1-9EEF-2B660DAFDDA1}" name="Column10896"/>
    <tableColumn id="10930" xr3:uid="{769D8C81-1C95-45D4-A939-4A9F396B0ABE}" name="Column10897"/>
    <tableColumn id="10931" xr3:uid="{0DF6BE28-221D-4B5C-8C31-795E7170C3C9}" name="Column10898"/>
    <tableColumn id="10932" xr3:uid="{396B7A91-9202-43D4-AC0C-E9D0A1B991A1}" name="Column10899"/>
    <tableColumn id="10933" xr3:uid="{027876FD-D8F2-41A8-98C0-6D39B03889FF}" name="Column10900"/>
    <tableColumn id="10934" xr3:uid="{D804841F-403D-4BB7-8150-118342F774A9}" name="Column10901"/>
    <tableColumn id="10935" xr3:uid="{0F74B7DD-43C7-4A7D-B2EF-1B11B5F65A08}" name="Column10902"/>
    <tableColumn id="10936" xr3:uid="{23AB715F-6A95-4D51-9E34-307CCB83D1CA}" name="Column10903"/>
    <tableColumn id="10937" xr3:uid="{2C815E5F-7219-41E2-B67C-AD26507346D7}" name="Column10904"/>
    <tableColumn id="10938" xr3:uid="{D35E6DA2-2EEF-42B9-BBDF-5BF4E8489A36}" name="Column10905"/>
    <tableColumn id="10939" xr3:uid="{C6B87D84-9D8E-4924-8E55-5431FB19207A}" name="Column10906"/>
    <tableColumn id="10940" xr3:uid="{3CE4A05E-1BC5-43FA-8A8E-753ADDF6C843}" name="Column10907"/>
    <tableColumn id="10941" xr3:uid="{FD2DA6D1-EB86-4C8C-9D6F-60D9498222F3}" name="Column10908"/>
    <tableColumn id="10942" xr3:uid="{EC7CEFB0-7768-4000-B7E2-2D0E67D84DC5}" name="Column10909"/>
    <tableColumn id="10943" xr3:uid="{A1BBC11F-021E-4EBE-9E0E-6CA4B7EADE9A}" name="Column10910"/>
    <tableColumn id="10944" xr3:uid="{31FDC95D-AAB1-4143-A639-3238FC13C4C6}" name="Column10911"/>
    <tableColumn id="10945" xr3:uid="{274508AD-C63D-43AD-8FD8-41EF69550649}" name="Column10912"/>
    <tableColumn id="10946" xr3:uid="{0FFA0F2C-F8E7-4036-B56F-0623FE52C6D2}" name="Column10913"/>
    <tableColumn id="10947" xr3:uid="{A8DA305E-78CE-4A13-84A9-E1AD4BBBD71F}" name="Column10914"/>
    <tableColumn id="10948" xr3:uid="{F58ABFDD-2EA0-4B2A-B9F0-90207CFAE698}" name="Column10915"/>
    <tableColumn id="10949" xr3:uid="{DC99D0B6-56D3-411D-BA82-DE314119DE88}" name="Column10916"/>
    <tableColumn id="10950" xr3:uid="{7F587B29-AB92-46F9-84AF-00D74F785E7A}" name="Column10917"/>
    <tableColumn id="10951" xr3:uid="{71FACDA4-061A-4D28-B896-64D89BF2E968}" name="Column10918"/>
    <tableColumn id="10952" xr3:uid="{9DB2EB32-E12B-49C0-BC22-CD6F30C99394}" name="Column10919"/>
    <tableColumn id="10953" xr3:uid="{6D3B4E9D-692B-47DF-B4BD-AA78E4BA0DD3}" name="Column10920"/>
    <tableColumn id="10954" xr3:uid="{43BBDC7F-0027-467C-8029-51E76216F017}" name="Column10921"/>
    <tableColumn id="10955" xr3:uid="{9E4F7700-42B2-496C-BE8E-8675B11FF5BE}" name="Column10922"/>
    <tableColumn id="10956" xr3:uid="{A8B240A7-57F2-428F-95D0-BDAA0AD62D92}" name="Column10923"/>
    <tableColumn id="10957" xr3:uid="{2B3D5DCE-62E5-47ED-915C-E84AF07FA731}" name="Column10924"/>
    <tableColumn id="10958" xr3:uid="{6939385B-B95E-49D5-8A49-324F8EB61877}" name="Column10925"/>
    <tableColumn id="10959" xr3:uid="{14D23554-A655-4A3C-98EB-7F96F964D2DE}" name="Column10926"/>
    <tableColumn id="10960" xr3:uid="{7FB15A36-5ED4-414F-82AF-8AF1F1C3ADCE}" name="Column10927"/>
    <tableColumn id="10961" xr3:uid="{FCE5B55C-068E-454A-81B6-C944C5738FEF}" name="Column10928"/>
    <tableColumn id="10962" xr3:uid="{F8FC7518-38D9-4726-BC06-8202243DE8D9}" name="Column10929"/>
    <tableColumn id="10963" xr3:uid="{6C2ECEE0-AED3-4113-8437-767616A0EB0B}" name="Column10930"/>
    <tableColumn id="10964" xr3:uid="{B7576C9C-F318-4870-80A4-10988CAA09B7}" name="Column10931"/>
    <tableColumn id="10965" xr3:uid="{E41F4ED7-0E84-40C2-B781-AA378646421E}" name="Column10932"/>
    <tableColumn id="10966" xr3:uid="{E5E49A17-3E30-435E-8B0B-1CF4D7DABCB1}" name="Column10933"/>
    <tableColumn id="10967" xr3:uid="{371ABA73-03C6-45DB-AA4F-F7FF26671710}" name="Column10934"/>
    <tableColumn id="10968" xr3:uid="{348D12C1-6E37-4864-9B78-B48290CE4727}" name="Column10935"/>
    <tableColumn id="10969" xr3:uid="{95E6BB1F-92D7-4E58-BC95-B4E0BBFF974A}" name="Column10936"/>
    <tableColumn id="10970" xr3:uid="{BF703860-A42E-4AD9-8E53-8C53BA5ECF63}" name="Column10937"/>
    <tableColumn id="10971" xr3:uid="{D0E5FE7E-027F-4945-846A-D0CE34623527}" name="Column10938"/>
    <tableColumn id="10972" xr3:uid="{84ADE744-975C-44D2-9122-C2FE1A8779CF}" name="Column10939"/>
    <tableColumn id="10973" xr3:uid="{75AE5807-E449-4896-B45D-F99FD8DED4EC}" name="Column10940"/>
    <tableColumn id="10974" xr3:uid="{867AC67A-707B-4CEB-8289-D953081A5ED3}" name="Column10941"/>
    <tableColumn id="10975" xr3:uid="{D118517E-6121-44F9-A974-0DAC9CAA4E3D}" name="Column10942"/>
    <tableColumn id="10976" xr3:uid="{96B74CF3-B322-4C44-9FD0-F3AEB959961A}" name="Column10943"/>
    <tableColumn id="10977" xr3:uid="{2630E366-AC51-42D9-9A82-37E3854F01C1}" name="Column10944"/>
    <tableColumn id="10978" xr3:uid="{06B78757-7B9C-4544-88DF-662B92D22457}" name="Column10945"/>
    <tableColumn id="10979" xr3:uid="{C0F9AB14-C200-4D6C-88BE-FCC04595CB70}" name="Column10946"/>
    <tableColumn id="10980" xr3:uid="{71B5776F-7E33-4057-9985-BC45C70B23C6}" name="Column10947"/>
    <tableColumn id="10981" xr3:uid="{F8A46DE8-27B2-496D-9CCE-3CFDAE0D767C}" name="Column10948"/>
    <tableColumn id="10982" xr3:uid="{1252A4FA-A2B9-4A23-A6E2-4F1C3181FEC3}" name="Column10949"/>
    <tableColumn id="10983" xr3:uid="{BA1EDDEA-937F-4554-A636-FE36F2402062}" name="Column10950"/>
    <tableColumn id="10984" xr3:uid="{9845BA6C-554D-43FF-851E-B45DF90BD41C}" name="Column10951"/>
    <tableColumn id="10985" xr3:uid="{6C46EE4B-5E60-4292-B58E-C4AA8E3F73C3}" name="Column10952"/>
    <tableColumn id="10986" xr3:uid="{C08F3C9E-0199-405D-8997-00D456E1549F}" name="Column10953"/>
    <tableColumn id="10987" xr3:uid="{BABB5DDD-76A2-4ECB-B387-156FE0B031B9}" name="Column10954"/>
    <tableColumn id="10988" xr3:uid="{1E481A15-7A01-454E-9573-BE350E81B70A}" name="Column10955"/>
    <tableColumn id="10989" xr3:uid="{85CFD6A1-FCF0-407B-BD4E-0E1D9B6F1F17}" name="Column10956"/>
    <tableColumn id="10990" xr3:uid="{0BA0EFA2-AEBD-4F6E-B3E4-2D20A817C3B4}" name="Column10957"/>
    <tableColumn id="10991" xr3:uid="{551ADF9B-1061-4644-8945-8C0CBD9C022A}" name="Column10958"/>
    <tableColumn id="10992" xr3:uid="{8FE6D53F-0F29-4102-9272-78D7B288319E}" name="Column10959"/>
    <tableColumn id="10993" xr3:uid="{DD09102E-705D-4D74-8E20-68A5E47CE127}" name="Column10960"/>
    <tableColumn id="10994" xr3:uid="{2A077B5A-5B1D-4856-B557-E4D10E356A0C}" name="Column10961"/>
    <tableColumn id="10995" xr3:uid="{2B5AD405-99D0-4B76-BB4D-98F102D21E19}" name="Column10962"/>
    <tableColumn id="10996" xr3:uid="{4C8F98DA-F5AD-4210-9C1A-8C135D234458}" name="Column10963"/>
    <tableColumn id="10997" xr3:uid="{BEFA9B5F-9ADF-4C01-ACBB-29197A2B05D9}" name="Column10964"/>
    <tableColumn id="10998" xr3:uid="{F7C93D6E-67AA-47C6-BE13-0B0BA5370C79}" name="Column10965"/>
    <tableColumn id="10999" xr3:uid="{2D09F639-AAAA-4778-AFDE-F0A123AC283E}" name="Column10966"/>
    <tableColumn id="11000" xr3:uid="{6D4E297C-78F4-44A4-B704-42E8123ECF12}" name="Column10967"/>
    <tableColumn id="11001" xr3:uid="{A6E40CA5-8A52-4399-8665-609693032A77}" name="Column10968"/>
    <tableColumn id="11002" xr3:uid="{71095E4F-0C04-461B-B188-01D5F7BC60E2}" name="Column10969"/>
    <tableColumn id="11003" xr3:uid="{E46EC8A8-5187-4EEB-829D-9DDC4E4DEACF}" name="Column10970"/>
    <tableColumn id="11004" xr3:uid="{B47A990F-37E4-406E-A0B8-B28C7F28D941}" name="Column10971"/>
    <tableColumn id="11005" xr3:uid="{EA930D63-6DC3-479E-8888-19AD75054207}" name="Column10972"/>
    <tableColumn id="11006" xr3:uid="{23C6DE7A-E4C4-4E3F-BAD6-5E68722E6FBA}" name="Column10973"/>
    <tableColumn id="11007" xr3:uid="{192CF391-559C-47CC-BAED-AB8DC0E66817}" name="Column10974"/>
    <tableColumn id="11008" xr3:uid="{E1E361E1-500E-4787-8654-D0A511C416DD}" name="Column10975"/>
    <tableColumn id="11009" xr3:uid="{E9B31B94-2B7A-4AED-B72D-01E1239FCC94}" name="Column10976"/>
    <tableColumn id="11010" xr3:uid="{07962B2E-00F6-4B29-AC58-B04CF9735E48}" name="Column10977"/>
    <tableColumn id="11011" xr3:uid="{56187D9B-1793-4FC8-8180-9FAE95CA1529}" name="Column10978"/>
    <tableColumn id="11012" xr3:uid="{68FED538-4055-4F61-BC55-ABA4E7A2D025}" name="Column10979"/>
    <tableColumn id="11013" xr3:uid="{64B1C988-DC43-44C2-A618-81F86C028BC2}" name="Column10980"/>
    <tableColumn id="11014" xr3:uid="{D4341F9C-AB96-46C0-9425-78FEA2B0988D}" name="Column10981"/>
    <tableColumn id="11015" xr3:uid="{CD35DFB3-7E4D-4E36-9C50-8ED5B18832B9}" name="Column10982"/>
    <tableColumn id="11016" xr3:uid="{BDD1DB63-286C-4BB0-B3AA-223A8B498956}" name="Column10983"/>
    <tableColumn id="11017" xr3:uid="{54276B0D-936A-441D-B285-EC2E31DD0131}" name="Column10984"/>
    <tableColumn id="11018" xr3:uid="{DB5040C5-6766-4F6C-87A7-ACBFE7A96CB1}" name="Column10985"/>
    <tableColumn id="11019" xr3:uid="{001D3547-54B8-47D4-96BF-F8B2DC7C94D4}" name="Column10986"/>
    <tableColumn id="11020" xr3:uid="{1901F5D2-FB2B-4B87-A6D9-D5C389307508}" name="Column10987"/>
    <tableColumn id="11021" xr3:uid="{0E4FF6D3-2406-4B32-BB88-98F1698F0827}" name="Column10988"/>
    <tableColumn id="11022" xr3:uid="{4E061AC8-E07D-4806-BC89-FA743E86A53D}" name="Column10989"/>
    <tableColumn id="11023" xr3:uid="{71FF5FE9-7518-4417-9A74-020282273ED7}" name="Column10990"/>
    <tableColumn id="11024" xr3:uid="{BFB482D8-CBD7-46DA-AC6C-CF20DA9AA435}" name="Column10991"/>
    <tableColumn id="11025" xr3:uid="{A62852E2-A67C-4511-AED8-06BDE537FED3}" name="Column10992"/>
    <tableColumn id="11026" xr3:uid="{4750CA3D-7D22-4E56-88DC-31977402D8D8}" name="Column10993"/>
    <tableColumn id="11027" xr3:uid="{F17AFAB5-789A-4036-A9D1-5230C66BA72A}" name="Column10994"/>
    <tableColumn id="11028" xr3:uid="{DA36C325-7B20-4ACF-B08A-FD9100DB8CC0}" name="Column10995"/>
    <tableColumn id="11029" xr3:uid="{DC65336D-A173-49C6-9B5B-D53DA4CFE57E}" name="Column10996"/>
    <tableColumn id="11030" xr3:uid="{D49E34C4-1EA6-4135-88AE-30F247FB40D2}" name="Column10997"/>
    <tableColumn id="11031" xr3:uid="{BB48ED11-4295-4AB1-8BDD-B528AA37D001}" name="Column10998"/>
    <tableColumn id="11032" xr3:uid="{475699C7-C647-4EA5-A85F-39003EF2ACAD}" name="Column10999"/>
    <tableColumn id="11033" xr3:uid="{38E12D6A-7D5B-40E0-A9FD-80F4F596793B}" name="Column11000"/>
    <tableColumn id="11034" xr3:uid="{B0136C69-8685-49F7-AD33-41F44831C5B1}" name="Column11001"/>
    <tableColumn id="11035" xr3:uid="{A2CD0DBE-0C76-44EB-9DA9-DDE5A4526BE1}" name="Column11002"/>
    <tableColumn id="11036" xr3:uid="{5C49BAA2-35E1-418C-8321-3646B26C6256}" name="Column11003"/>
    <tableColumn id="11037" xr3:uid="{8ADC6324-88FC-44A4-A896-787CA31F236C}" name="Column11004"/>
    <tableColumn id="11038" xr3:uid="{EF855769-4905-41F8-A520-0E92BEE75A0A}" name="Column11005"/>
    <tableColumn id="11039" xr3:uid="{1E0D7D2F-A087-4966-A8EC-3F2539CB8D0C}" name="Column11006"/>
    <tableColumn id="11040" xr3:uid="{457C998A-840F-4FC8-926D-62A69459040A}" name="Column11007"/>
    <tableColumn id="11041" xr3:uid="{637A2730-3E52-4D01-95CC-68B937428626}" name="Column11008"/>
    <tableColumn id="11042" xr3:uid="{C4866DF6-9622-418F-9F67-9EB7DA669C9F}" name="Column11009"/>
    <tableColumn id="11043" xr3:uid="{BA5C32FB-ACFC-4F3F-ABA2-B4307758AB2D}" name="Column11010"/>
    <tableColumn id="11044" xr3:uid="{40B83ECC-8F39-4662-BFAB-3435DB80BAED}" name="Column11011"/>
    <tableColumn id="11045" xr3:uid="{92AFC9AB-DBF1-4705-851E-B01B3999621C}" name="Column11012"/>
    <tableColumn id="11046" xr3:uid="{E8B20C82-46E7-4473-AD90-769D6C9B1E66}" name="Column11013"/>
    <tableColumn id="11047" xr3:uid="{FF6072C1-D759-486A-A9ED-7E63692A5DB0}" name="Column11014"/>
    <tableColumn id="11048" xr3:uid="{BC122E22-923C-4A22-9C28-822CDB6B4D07}" name="Column11015"/>
    <tableColumn id="11049" xr3:uid="{69AB6A32-6255-4C6D-A7F1-E70081A3BAE9}" name="Column11016"/>
    <tableColumn id="11050" xr3:uid="{8D4D1193-757C-430B-A554-765C866E3B32}" name="Column11017"/>
    <tableColumn id="11051" xr3:uid="{3A272FA3-36C7-4932-ACD3-CAEE85363FD1}" name="Column11018"/>
    <tableColumn id="11052" xr3:uid="{FD2BDFDF-1AEB-4CB7-971A-76A9579540AE}" name="Column11019"/>
    <tableColumn id="11053" xr3:uid="{B7F9A6C3-C34F-45A3-A181-40C83C4FECD4}" name="Column11020"/>
    <tableColumn id="11054" xr3:uid="{E74353E1-51BA-4FAC-A469-F75210D6D598}" name="Column11021"/>
    <tableColumn id="11055" xr3:uid="{4CB3FFBA-3A2E-4C79-BD40-DE3EACFB9B37}" name="Column11022"/>
    <tableColumn id="11056" xr3:uid="{977761AA-4945-400A-AC67-B78FE5B3B2DB}" name="Column11023"/>
    <tableColumn id="11057" xr3:uid="{DEF4C9AF-D7A2-4956-8F43-82B632617A0C}" name="Column11024"/>
    <tableColumn id="11058" xr3:uid="{EC46C4F9-4EC4-493E-B460-A80246587360}" name="Column11025"/>
    <tableColumn id="11059" xr3:uid="{9BBAB691-6EAC-4D9B-8868-3BDE88976370}" name="Column11026"/>
    <tableColumn id="11060" xr3:uid="{9ABEC0BA-C73A-4F96-918F-E48784422923}" name="Column11027"/>
    <tableColumn id="11061" xr3:uid="{B75DB5CB-777B-44F5-877D-141C996CFC1B}" name="Column11028"/>
    <tableColumn id="11062" xr3:uid="{725D3AAA-46E3-4D2A-BEE8-80B4AF8C2CD6}" name="Column11029"/>
    <tableColumn id="11063" xr3:uid="{E2D9ADA0-D268-4A79-B9EF-3357A90A3A22}" name="Column11030"/>
    <tableColumn id="11064" xr3:uid="{C10F1AE6-6580-43BE-B918-67812DFB6724}" name="Column11031"/>
    <tableColumn id="11065" xr3:uid="{75CBEB6D-74BA-46C0-848B-92D61B68F7F8}" name="Column11032"/>
    <tableColumn id="11066" xr3:uid="{962AACFE-EC56-4D09-9514-A89F14518FF3}" name="Column11033"/>
    <tableColumn id="11067" xr3:uid="{66F9834C-7807-4D21-B207-175D08BACD31}" name="Column11034"/>
    <tableColumn id="11068" xr3:uid="{5F196BCB-BF9C-475B-9843-0EC98A2241FF}" name="Column11035"/>
    <tableColumn id="11069" xr3:uid="{A831049D-D371-41D7-86A1-2B96D1E033A5}" name="Column11036"/>
    <tableColumn id="11070" xr3:uid="{1BC67FE4-044C-42AD-A6F7-715DE43F7F01}" name="Column11037"/>
    <tableColumn id="11071" xr3:uid="{D41E3690-C8E6-4FF8-B795-2B340C719974}" name="Column11038"/>
    <tableColumn id="11072" xr3:uid="{DA4C1257-3692-495A-AC33-21151164E0DB}" name="Column11039"/>
    <tableColumn id="11073" xr3:uid="{B453EDBD-46C5-4782-89FB-E22566F08EB0}" name="Column11040"/>
    <tableColumn id="11074" xr3:uid="{459D3AC0-C20A-4AE0-AE0A-11A879AF6BE3}" name="Column11041"/>
    <tableColumn id="11075" xr3:uid="{62A9B440-DED9-4F43-8CDB-B7274E348578}" name="Column11042"/>
    <tableColumn id="11076" xr3:uid="{F707B8FE-7A76-4CC2-B281-AA92B2EE335D}" name="Column11043"/>
    <tableColumn id="11077" xr3:uid="{EAA743A2-CABF-4087-BDF2-505A78153686}" name="Column11044"/>
    <tableColumn id="11078" xr3:uid="{65468C26-6B97-4A59-B520-A471E34BCA96}" name="Column11045"/>
    <tableColumn id="11079" xr3:uid="{5B6043A9-8FFC-4BFC-B174-8A5E919C399D}" name="Column11046"/>
    <tableColumn id="11080" xr3:uid="{B58DDC07-1225-43F3-A095-ED41777A7F49}" name="Column11047"/>
    <tableColumn id="11081" xr3:uid="{D0862340-88B7-4F56-ADB4-EAE1EB7FBFA2}" name="Column11048"/>
    <tableColumn id="11082" xr3:uid="{C748E995-677F-4027-9D87-274F10A1DFCD}" name="Column11049"/>
    <tableColumn id="11083" xr3:uid="{5BCAE958-8D3A-433D-A944-C3CBAC3DCB3F}" name="Column11050"/>
    <tableColumn id="11084" xr3:uid="{7311D5B3-6C96-4EC7-8EAC-64E96D748F61}" name="Column11051"/>
    <tableColumn id="11085" xr3:uid="{EA89F4AC-9F20-4A3B-AD39-815A6552FCEB}" name="Column11052"/>
    <tableColumn id="11086" xr3:uid="{241652DC-2EE8-4FAE-AE77-1A5737963EE2}" name="Column11053"/>
    <tableColumn id="11087" xr3:uid="{A5214332-ED67-4A7F-BAE2-4D00BC8D3A1B}" name="Column11054"/>
    <tableColumn id="11088" xr3:uid="{E7353BE0-936A-43BB-AB28-508B3577C809}" name="Column11055"/>
    <tableColumn id="11089" xr3:uid="{1C434570-6209-4535-9175-198F2839D012}" name="Column11056"/>
    <tableColumn id="11090" xr3:uid="{127E8898-63B8-4B30-8619-40A86364398E}" name="Column11057"/>
    <tableColumn id="11091" xr3:uid="{106B0F2F-E814-42B4-BC64-C2E127FC9207}" name="Column11058"/>
    <tableColumn id="11092" xr3:uid="{1B82BA57-2A2E-4EEF-B13E-CB1A130A6DDC}" name="Column11059"/>
    <tableColumn id="11093" xr3:uid="{D9E663A5-69E1-4A99-973D-1E0785ABE4D5}" name="Column11060"/>
    <tableColumn id="11094" xr3:uid="{5A44664C-A9F0-41CE-AD64-12BFA05FB0D7}" name="Column11061"/>
    <tableColumn id="11095" xr3:uid="{75AB75A3-A3BE-4E5D-8205-9D6D18C10005}" name="Column11062"/>
    <tableColumn id="11096" xr3:uid="{FE7E0BC5-58D6-4569-BAFE-B4ED2135B1E5}" name="Column11063"/>
    <tableColumn id="11097" xr3:uid="{C13CE3F3-A5FA-461E-B7FE-5B91EE8973A4}" name="Column11064"/>
    <tableColumn id="11098" xr3:uid="{12973AFD-0E2E-4101-907B-BE63B29307A7}" name="Column11065"/>
    <tableColumn id="11099" xr3:uid="{52E2B6F5-4F0E-4E8A-91DC-E843DC594954}" name="Column11066"/>
    <tableColumn id="11100" xr3:uid="{D20E5D5B-4DDB-418C-9C09-C71610692585}" name="Column11067"/>
    <tableColumn id="11101" xr3:uid="{905CA0D6-8B85-4CDA-96D3-B39909353300}" name="Column11068"/>
    <tableColumn id="11102" xr3:uid="{B50D2CAC-5CE5-4E08-AD9A-88873C235B45}" name="Column11069"/>
    <tableColumn id="11103" xr3:uid="{099A7DBF-AA32-4F42-9EB2-9577A0622245}" name="Column11070"/>
    <tableColumn id="11104" xr3:uid="{E3FCF8E0-1548-44A4-9C09-6996AA756466}" name="Column11071"/>
    <tableColumn id="11105" xr3:uid="{C4C4093F-B3C0-46D8-8CCA-BD9C1464462E}" name="Column11072"/>
    <tableColumn id="11106" xr3:uid="{97746264-A87C-4EF8-8BB8-5C4E570A2D52}" name="Column11073"/>
    <tableColumn id="11107" xr3:uid="{A06B5731-FF80-43E9-93CC-1BAF99CC5BB3}" name="Column11074"/>
    <tableColumn id="11108" xr3:uid="{117814E5-C715-4D93-A996-7CDF97A1126A}" name="Column11075"/>
    <tableColumn id="11109" xr3:uid="{6F915255-CB26-4721-9BCF-F5DC96902AE5}" name="Column11076"/>
    <tableColumn id="11110" xr3:uid="{8B3AB146-3EFC-4C28-9D4D-2F1039EF4B1C}" name="Column11077"/>
    <tableColumn id="11111" xr3:uid="{3E2BA1F2-3E4F-49E9-AE95-41AF8CC9E1F4}" name="Column11078"/>
    <tableColumn id="11112" xr3:uid="{AA74699D-68ED-48B7-BDBB-09D668BFDC27}" name="Column11079"/>
    <tableColumn id="11113" xr3:uid="{3D1379FD-2B83-4F3B-A020-6EC6EA28FD1E}" name="Column11080"/>
    <tableColumn id="11114" xr3:uid="{CBE9609C-BFB0-4A4B-9188-9901751DEEC6}" name="Column11081"/>
    <tableColumn id="11115" xr3:uid="{567ED267-BC71-4EE7-BB66-408A67ED3082}" name="Column11082"/>
    <tableColumn id="11116" xr3:uid="{59D742D7-E773-4C54-83A5-C03CB768C4DF}" name="Column11083"/>
    <tableColumn id="11117" xr3:uid="{215333F5-2133-4F79-B56B-734AF79873D8}" name="Column11084"/>
    <tableColumn id="11118" xr3:uid="{2C47496D-488D-482C-ADD1-DD94E2FECD3D}" name="Column11085"/>
    <tableColumn id="11119" xr3:uid="{F54BDE6A-637A-4D98-A211-AAAA0DA74E04}" name="Column11086"/>
    <tableColumn id="11120" xr3:uid="{23713AE7-847A-4497-8B59-B405F99C2BA3}" name="Column11087"/>
    <tableColumn id="11121" xr3:uid="{4B3E60A2-C0FB-48BE-A517-C782623608E6}" name="Column11088"/>
    <tableColumn id="11122" xr3:uid="{C4AFC53C-2730-4C03-8CDC-1ABCFDA7A2D2}" name="Column11089"/>
    <tableColumn id="11123" xr3:uid="{4E747963-5399-4ADB-B082-97F07C0CBC6D}" name="Column11090"/>
    <tableColumn id="11124" xr3:uid="{1E330506-A4CC-4B67-8293-7F86DDE650CF}" name="Column11091"/>
    <tableColumn id="11125" xr3:uid="{EFDF1F72-B98B-4FAE-B7F2-79501C05763D}" name="Column11092"/>
    <tableColumn id="11126" xr3:uid="{970A5F34-8E22-43AC-BBE6-455C94377D08}" name="Column11093"/>
    <tableColumn id="11127" xr3:uid="{283F4975-621A-42CC-80FF-9F6CF24D2DE2}" name="Column11094"/>
    <tableColumn id="11128" xr3:uid="{F491B3BB-D442-4180-80A8-ACB5C9F1EB0A}" name="Column11095"/>
    <tableColumn id="11129" xr3:uid="{90653669-9749-4FC1-878B-E1A80ADACBCC}" name="Column11096"/>
    <tableColumn id="11130" xr3:uid="{281EB790-DD25-4C63-BEF5-A8E107747B24}" name="Column11097"/>
    <tableColumn id="11131" xr3:uid="{ED93ACB6-7824-4BC7-B4E2-EB73863EDB48}" name="Column11098"/>
    <tableColumn id="11132" xr3:uid="{6C6057D7-BC08-4E78-9A5C-458C5EDDA82D}" name="Column11099"/>
    <tableColumn id="11133" xr3:uid="{9B3EC485-3E18-48B6-AB1A-2EBC8F3BBD41}" name="Column11100"/>
    <tableColumn id="11134" xr3:uid="{2FCB37E7-E768-40F6-9993-08A1C442B5D6}" name="Column11101"/>
    <tableColumn id="11135" xr3:uid="{D6E98DB6-D9C3-4E51-A4D1-8BB54CF55190}" name="Column11102"/>
    <tableColumn id="11136" xr3:uid="{4739BA5B-6B41-4E22-8A00-9C72B4EDFBEB}" name="Column11103"/>
    <tableColumn id="11137" xr3:uid="{CA4D6BEB-7416-41FA-84CD-2A4DE2B98C47}" name="Column11104"/>
    <tableColumn id="11138" xr3:uid="{40744C46-9B52-4B27-A112-11D119EE4379}" name="Column11105"/>
    <tableColumn id="11139" xr3:uid="{3B1B0BB2-7217-4D79-93BF-9D51A44C965C}" name="Column11106"/>
    <tableColumn id="11140" xr3:uid="{5AFDD31A-0CCF-42E0-9479-85A8619AE261}" name="Column11107"/>
    <tableColumn id="11141" xr3:uid="{3EA13313-0A61-4ED9-9194-7B725B806D9E}" name="Column11108"/>
    <tableColumn id="11142" xr3:uid="{77C72B8C-D3F4-451E-B8ED-AB7A360FF472}" name="Column11109"/>
    <tableColumn id="11143" xr3:uid="{8D22C4C5-2069-4F59-A6C6-7A9266475BF0}" name="Column11110"/>
    <tableColumn id="11144" xr3:uid="{4F21D2C6-5614-47AE-A749-D16538E99FEC}" name="Column11111"/>
    <tableColumn id="11145" xr3:uid="{ADF91FD6-FE3A-4638-8E69-E12F66A8398E}" name="Column11112"/>
    <tableColumn id="11146" xr3:uid="{DDA1BEBC-C2C1-4438-93CD-3CB12D459862}" name="Column11113"/>
    <tableColumn id="11147" xr3:uid="{EBEBF7B8-D673-45BD-98D4-61CC7C4C69DD}" name="Column11114"/>
    <tableColumn id="11148" xr3:uid="{07A7280A-6A18-4720-9637-0577B47E045A}" name="Column11115"/>
    <tableColumn id="11149" xr3:uid="{DB5EFA56-3389-41B6-8981-4B20EEDED30B}" name="Column11116"/>
    <tableColumn id="11150" xr3:uid="{B64A7FA9-2C51-4C47-99F0-8303676EC68B}" name="Column11117"/>
    <tableColumn id="11151" xr3:uid="{61619540-D6D5-4AF5-BC68-7409B5B731B5}" name="Column11118"/>
    <tableColumn id="11152" xr3:uid="{142A17E5-2CDF-41EB-BBC5-9494378AB2C6}" name="Column11119"/>
    <tableColumn id="11153" xr3:uid="{77ABE6F9-E7C5-470E-8BD7-1B81A25F3A45}" name="Column11120"/>
    <tableColumn id="11154" xr3:uid="{BEAA1D8D-6F2E-4DD6-859A-B2F5209A61B7}" name="Column11121"/>
    <tableColumn id="11155" xr3:uid="{68AD6FD8-1DF2-4377-99F7-A287DA005D92}" name="Column11122"/>
    <tableColumn id="11156" xr3:uid="{832F625D-EE52-4EE0-B364-DA53FA6FA0CE}" name="Column11123"/>
    <tableColumn id="11157" xr3:uid="{1FBFBE85-27BA-49D4-A7F4-CF75684CE32D}" name="Column11124"/>
    <tableColumn id="11158" xr3:uid="{CCF24827-CB3A-4FCA-93F6-485C4C44C952}" name="Column11125"/>
    <tableColumn id="11159" xr3:uid="{26E6D47E-6E92-4559-B45A-67B78BABE516}" name="Column11126"/>
    <tableColumn id="11160" xr3:uid="{E48ACA3A-B69C-4232-B49D-6551A0C60C29}" name="Column11127"/>
    <tableColumn id="11161" xr3:uid="{273F4775-25F1-45F9-A530-7492159881BE}" name="Column11128"/>
    <tableColumn id="11162" xr3:uid="{62FFF0A3-2C7D-4445-B05C-239800233CA4}" name="Column11129"/>
    <tableColumn id="11163" xr3:uid="{11993635-A82B-43E8-85BB-91FD1B87CD38}" name="Column11130"/>
    <tableColumn id="11164" xr3:uid="{6D2B7822-589E-4A87-BEED-814B730A92C1}" name="Column11131"/>
    <tableColumn id="11165" xr3:uid="{1F842CB4-0BBF-416B-B8D2-776CA710B302}" name="Column11132"/>
    <tableColumn id="11166" xr3:uid="{95516D37-FEBB-4CDF-A6F4-A2E8B93F8A13}" name="Column11133"/>
    <tableColumn id="11167" xr3:uid="{492FB7B2-E5A6-4818-AB03-C107D84236B7}" name="Column11134"/>
    <tableColumn id="11168" xr3:uid="{9703D9C5-55E9-4E1E-B356-EA517F12931C}" name="Column11135"/>
    <tableColumn id="11169" xr3:uid="{B83DB52F-C271-4B88-AE92-16AF7B7B582E}" name="Column11136"/>
    <tableColumn id="11170" xr3:uid="{CD27ECA8-7FEA-419E-A873-34CB09346852}" name="Column11137"/>
    <tableColumn id="11171" xr3:uid="{45FD2589-0F3A-4319-8F4E-19F4261744DA}" name="Column11138"/>
    <tableColumn id="11172" xr3:uid="{FCCC9A9D-8ADA-4504-8C00-954DC82964F6}" name="Column11139"/>
    <tableColumn id="11173" xr3:uid="{21B4B013-39B3-4D07-B169-6A45917C4464}" name="Column11140"/>
    <tableColumn id="11174" xr3:uid="{55CFC25D-ACAF-400D-8E5A-47472ECB10F0}" name="Column11141"/>
    <tableColumn id="11175" xr3:uid="{D7D2D51C-227B-4D44-A872-5332AC79A6B4}" name="Column11142"/>
    <tableColumn id="11176" xr3:uid="{FA9723EA-F72B-4CBB-9880-68E94E4C9C5E}" name="Column11143"/>
    <tableColumn id="11177" xr3:uid="{7FB0D3F4-EDDC-4EA0-8C8B-431EFA771F32}" name="Column11144"/>
    <tableColumn id="11178" xr3:uid="{8BEF1B82-7E44-462B-8B09-A8FFE514E052}" name="Column11145"/>
    <tableColumn id="11179" xr3:uid="{56809438-C5B5-4D82-90DB-392B4D03BBD1}" name="Column11146"/>
    <tableColumn id="11180" xr3:uid="{9E9442C4-F247-4CEC-9DD5-9D284134806B}" name="Column11147"/>
    <tableColumn id="11181" xr3:uid="{1A186112-B897-4579-A6EC-AB2969EF155A}" name="Column11148"/>
    <tableColumn id="11182" xr3:uid="{2B2C2708-B688-41A3-AED7-0F69ED790EA0}" name="Column11149"/>
    <tableColumn id="11183" xr3:uid="{DE055205-5236-44DE-A673-E48EF5688E6C}" name="Column11150"/>
    <tableColumn id="11184" xr3:uid="{942095F8-CC1E-4912-8A87-DF1DFFE133CD}" name="Column11151"/>
    <tableColumn id="11185" xr3:uid="{85045A2F-7F62-41DE-B681-F369D16C0CF7}" name="Column11152"/>
    <tableColumn id="11186" xr3:uid="{63280F90-9E5D-40DC-BEC0-7F3D3BF1BD67}" name="Column11153"/>
    <tableColumn id="11187" xr3:uid="{87E38BB0-655B-4E8A-A363-E2D6CAAAF25D}" name="Column11154"/>
    <tableColumn id="11188" xr3:uid="{E685FA24-4004-4EB9-B596-84BE0422D04F}" name="Column11155"/>
    <tableColumn id="11189" xr3:uid="{479C70BB-8FAC-49F1-9F7D-4C4A3F16F2C8}" name="Column11156"/>
    <tableColumn id="11190" xr3:uid="{90EDD551-77C5-4063-8E47-481090800193}" name="Column11157"/>
    <tableColumn id="11191" xr3:uid="{5AFBC9FC-69F9-4311-B5F3-30DDF3704123}" name="Column11158"/>
    <tableColumn id="11192" xr3:uid="{E6AFED46-31EE-49FA-AC13-860D63E80C2F}" name="Column11159"/>
    <tableColumn id="11193" xr3:uid="{D41F7BE5-C41C-449A-BF18-A9F6A3897C4B}" name="Column11160"/>
    <tableColumn id="11194" xr3:uid="{8023EA6E-0048-4D3A-BB91-35081B2D8DB2}" name="Column11161"/>
    <tableColumn id="11195" xr3:uid="{CDC41453-4128-4086-B2C3-BE406DF69454}" name="Column11162"/>
    <tableColumn id="11196" xr3:uid="{12D0AFE3-C679-4E95-85AF-FC69E57686D5}" name="Column11163"/>
    <tableColumn id="11197" xr3:uid="{2765C70D-2506-44E1-AAF7-FC95F067ED78}" name="Column11164"/>
    <tableColumn id="11198" xr3:uid="{9C3A39FA-D2F7-4DB2-8588-16584615B9E4}" name="Column11165"/>
    <tableColumn id="11199" xr3:uid="{296856F9-9C07-45BC-B95F-2BF1E314FF15}" name="Column11166"/>
    <tableColumn id="11200" xr3:uid="{8AABDEEA-7D88-48B8-B864-EAB344D70A75}" name="Column11167"/>
    <tableColumn id="11201" xr3:uid="{DAA1733E-1EB2-4A50-A40C-E9B8E1E604F3}" name="Column11168"/>
    <tableColumn id="11202" xr3:uid="{B1CE4BE6-9D72-42E6-874B-AB565D9320FB}" name="Column11169"/>
    <tableColumn id="11203" xr3:uid="{0740BF25-FF25-431C-BAB9-79237F242B1F}" name="Column11170"/>
    <tableColumn id="11204" xr3:uid="{8A37E782-127C-4406-886C-4AD4B69CDABD}" name="Column11171"/>
    <tableColumn id="11205" xr3:uid="{0C30EDFC-4706-4029-B453-95345A5CD828}" name="Column11172"/>
    <tableColumn id="11206" xr3:uid="{8A1CD209-C280-4274-9DBD-A96E20782B4F}" name="Column11173"/>
    <tableColumn id="11207" xr3:uid="{5AF3D89E-DF7D-471C-8003-0B3418041DC3}" name="Column11174"/>
    <tableColumn id="11208" xr3:uid="{9C03B698-DB14-428C-9481-37ED5081198A}" name="Column11175"/>
    <tableColumn id="11209" xr3:uid="{0D0D775D-29CF-47C4-B11A-9917D5778B87}" name="Column11176"/>
    <tableColumn id="11210" xr3:uid="{8C42E3FB-7820-42E5-B3E3-15879424BEE8}" name="Column11177"/>
    <tableColumn id="11211" xr3:uid="{60D73100-A81D-467F-BBBF-2C9C64703393}" name="Column11178"/>
    <tableColumn id="11212" xr3:uid="{35F1BA51-4686-4237-AF35-FD7932D6800A}" name="Column11179"/>
    <tableColumn id="11213" xr3:uid="{8E787527-790E-4DC4-96DE-8AEAC9AA4342}" name="Column11180"/>
    <tableColumn id="11214" xr3:uid="{FB8246D3-491A-4757-B61F-E4F9A1F3F424}" name="Column11181"/>
    <tableColumn id="11215" xr3:uid="{4EF2746F-B0CD-4B78-922A-B3196CB6D719}" name="Column11182"/>
    <tableColumn id="11216" xr3:uid="{05629E4F-C81D-4786-B75C-2CD33A694EFF}" name="Column11183"/>
    <tableColumn id="11217" xr3:uid="{C5A942E7-7838-4561-92B2-1C962C183B38}" name="Column11184"/>
    <tableColumn id="11218" xr3:uid="{CB5BFDD4-E729-4B46-92DD-B0B85ACA68D7}" name="Column11185"/>
    <tableColumn id="11219" xr3:uid="{38BA024E-4A5F-43C8-B5B7-08B8C88BA668}" name="Column11186"/>
    <tableColumn id="11220" xr3:uid="{F3D89EA5-49C6-46B8-AC48-B1618F1EF8B8}" name="Column11187"/>
    <tableColumn id="11221" xr3:uid="{9263F6A6-FED0-4C8D-8B52-C8BF72FCE9FA}" name="Column11188"/>
    <tableColumn id="11222" xr3:uid="{DB750B13-97AA-4F23-A2D6-2A4272414A50}" name="Column11189"/>
    <tableColumn id="11223" xr3:uid="{D0612DFF-5342-4C47-B21A-A53A189C3D88}" name="Column11190"/>
    <tableColumn id="11224" xr3:uid="{110ED027-E909-4EA2-895E-22F2F2185DAC}" name="Column11191"/>
    <tableColumn id="11225" xr3:uid="{811E02E2-A8B5-49FD-9EA7-59924439F305}" name="Column11192"/>
    <tableColumn id="11226" xr3:uid="{37221C6F-6D83-4CE4-981B-936FC069A063}" name="Column11193"/>
    <tableColumn id="11227" xr3:uid="{1B697CCF-9BD2-403E-A0C0-1EE3F95B05FE}" name="Column11194"/>
    <tableColumn id="11228" xr3:uid="{0A51711F-A7B5-4F65-A5FC-F6E218C68E26}" name="Column11195"/>
    <tableColumn id="11229" xr3:uid="{70E9DAFF-BC04-489F-A5CA-EB4AC53EC24B}" name="Column11196"/>
    <tableColumn id="11230" xr3:uid="{3290F302-ACA6-4F56-978F-A849203807A1}" name="Column11197"/>
    <tableColumn id="11231" xr3:uid="{17C978E6-9BB7-41CC-A00B-0C66768A1990}" name="Column11198"/>
    <tableColumn id="11232" xr3:uid="{225EC6E9-1814-427C-A080-22F3822B28EC}" name="Column11199"/>
    <tableColumn id="11233" xr3:uid="{F527A690-2BCA-41B5-BA8A-1678BB0EF846}" name="Column11200"/>
    <tableColumn id="11234" xr3:uid="{EE9C7F8F-FD6C-418B-B8B9-8379B9D9DB09}" name="Column11201"/>
    <tableColumn id="11235" xr3:uid="{AC47B407-8DC4-49C1-8A35-591F94091E2A}" name="Column11202"/>
    <tableColumn id="11236" xr3:uid="{92EBD08F-A0F1-4689-9245-2FC489FA60BA}" name="Column11203"/>
    <tableColumn id="11237" xr3:uid="{ECCA9E6C-DE24-480D-AF13-31E299C6AF56}" name="Column11204"/>
    <tableColumn id="11238" xr3:uid="{9D5E03AF-9456-418C-B2DE-52C80AD0CCD9}" name="Column11205"/>
    <tableColumn id="11239" xr3:uid="{C21200BC-759A-42EC-BF5F-981C61C4E7E4}" name="Column11206"/>
    <tableColumn id="11240" xr3:uid="{F76452F3-879B-4582-971F-A51FF97A93B9}" name="Column11207"/>
    <tableColumn id="11241" xr3:uid="{B37D97B6-46F0-49DA-B52E-89846B2782EE}" name="Column11208"/>
    <tableColumn id="11242" xr3:uid="{B6F7C7AA-2C75-4A9E-A6F0-067F1AFEAB65}" name="Column11209"/>
    <tableColumn id="11243" xr3:uid="{8C0D1C76-0C83-4BE1-8178-693CE0BE6EDF}" name="Column11210"/>
    <tableColumn id="11244" xr3:uid="{199B9DE1-30F9-45E1-BE1E-768B29FF0F62}" name="Column11211"/>
    <tableColumn id="11245" xr3:uid="{D9133A13-BC04-4D81-9F00-08CA9097E8D3}" name="Column11212"/>
    <tableColumn id="11246" xr3:uid="{47432CB0-BCDE-4EF5-B24A-02A57BD7CB3D}" name="Column11213"/>
    <tableColumn id="11247" xr3:uid="{44977395-4DE0-413D-8166-C8E4A3FC440F}" name="Column11214"/>
    <tableColumn id="11248" xr3:uid="{13EDD742-5296-42CF-A1CE-D424362EFE59}" name="Column11215"/>
    <tableColumn id="11249" xr3:uid="{C629D1EA-0613-41D9-A0D9-BBA6A91ED3AD}" name="Column11216"/>
    <tableColumn id="11250" xr3:uid="{3F96A559-4B90-4E34-BDC5-C51C4EFE708E}" name="Column11217"/>
    <tableColumn id="11251" xr3:uid="{D140182F-B8BE-477C-BA3D-E0D31459B5AF}" name="Column11218"/>
    <tableColumn id="11252" xr3:uid="{5195EF76-3651-42DD-BE01-2D78E7FCE302}" name="Column11219"/>
    <tableColumn id="11253" xr3:uid="{C12D0CEA-8E51-414B-AACC-F21EB6AE0F3F}" name="Column11220"/>
    <tableColumn id="11254" xr3:uid="{FC1B93A0-1A69-4F21-BE2C-7D00DA403246}" name="Column11221"/>
    <tableColumn id="11255" xr3:uid="{7C63FDEB-87B1-4543-A815-F62A1148A9BF}" name="Column11222"/>
    <tableColumn id="11256" xr3:uid="{1B528350-66C5-44CA-A689-A9DDF0D6C8E2}" name="Column11223"/>
    <tableColumn id="11257" xr3:uid="{7212647D-C319-45E6-AB28-5CC3B7E94375}" name="Column11224"/>
    <tableColumn id="11258" xr3:uid="{47D3B54C-C13A-40DD-BD93-A4464ED4FFB5}" name="Column11225"/>
    <tableColumn id="11259" xr3:uid="{20A8505B-0AED-4718-BF29-81F7D43EF6E3}" name="Column11226"/>
    <tableColumn id="11260" xr3:uid="{FB98C1A8-7B4E-4C5F-A7DF-4396659100AE}" name="Column11227"/>
    <tableColumn id="11261" xr3:uid="{73125208-B1A3-4824-A7DD-4660363D5A12}" name="Column11228"/>
    <tableColumn id="11262" xr3:uid="{9F69DC41-65AD-4B69-BD68-D3172592AAA7}" name="Column11229"/>
    <tableColumn id="11263" xr3:uid="{1C3A979E-9B79-439C-A594-F85F069B39B6}" name="Column11230"/>
    <tableColumn id="11264" xr3:uid="{46D56153-18E5-448D-A4E3-4E3FBFB04D05}" name="Column11231"/>
    <tableColumn id="11265" xr3:uid="{EDFEA87C-B1D5-498D-8BFB-F992A6A511DC}" name="Column11232"/>
    <tableColumn id="11266" xr3:uid="{DD9A64D0-5ADD-4EC8-9EBC-FD866FF1B167}" name="Column11233"/>
    <tableColumn id="11267" xr3:uid="{2FCCA8FA-0D57-49B8-9B7C-65A4B112B439}" name="Column11234"/>
    <tableColumn id="11268" xr3:uid="{08EC807B-4A08-4FAA-9F53-BE9BA8E26735}" name="Column11235"/>
    <tableColumn id="11269" xr3:uid="{2565F256-82B5-4CC5-A31F-880D4A0A5B21}" name="Column11236"/>
    <tableColumn id="11270" xr3:uid="{5E732EE3-098C-4CCE-8C52-39564BAF9624}" name="Column11237"/>
    <tableColumn id="11271" xr3:uid="{D6E969FC-6C5F-49E5-829F-E2CE0C25EDB6}" name="Column11238"/>
    <tableColumn id="11272" xr3:uid="{C1D215DD-C66B-44F5-B4E0-BDE701804999}" name="Column11239"/>
    <tableColumn id="11273" xr3:uid="{4C52521D-D3B5-407B-BBE7-4C9019A8C98B}" name="Column11240"/>
    <tableColumn id="11274" xr3:uid="{0EED7DB1-8092-4E2F-A1ED-55B34FFBB257}" name="Column11241"/>
    <tableColumn id="11275" xr3:uid="{35F2B398-7922-414F-A3BB-3EB421B7104D}" name="Column11242"/>
    <tableColumn id="11276" xr3:uid="{A4F03B39-673F-4B07-95FD-91A8A7459D38}" name="Column11243"/>
    <tableColumn id="11277" xr3:uid="{3C84C9CD-FB88-4523-AF1A-67601EAC6C0B}" name="Column11244"/>
    <tableColumn id="11278" xr3:uid="{5A878D4D-C485-4BCA-BE6F-FDD05F1555E6}" name="Column11245"/>
    <tableColumn id="11279" xr3:uid="{9B735943-C94E-4177-9AA1-7C9D5EE3DB97}" name="Column11246"/>
    <tableColumn id="11280" xr3:uid="{AD172B9B-AFD9-41D5-8E3B-4FEA7DD0DAF4}" name="Column11247"/>
    <tableColumn id="11281" xr3:uid="{441112DC-C0BF-426A-A077-221135BBD32B}" name="Column11248"/>
    <tableColumn id="11282" xr3:uid="{534EBB3A-74F6-4687-B132-9D309F497DD9}" name="Column11249"/>
    <tableColumn id="11283" xr3:uid="{807C93BB-8480-4748-940B-785FD7A5E080}" name="Column11250"/>
    <tableColumn id="11284" xr3:uid="{018119CA-E2CC-46D2-990F-38D7F81C266B}" name="Column11251"/>
    <tableColumn id="11285" xr3:uid="{30470D4C-77A8-4782-9506-6AE37210DFC7}" name="Column11252"/>
    <tableColumn id="11286" xr3:uid="{5DA6256F-D456-455B-B115-BFCEF4153A31}" name="Column11253"/>
    <tableColumn id="11287" xr3:uid="{6E0FF9FA-417E-4DEA-988A-84A4D40FB527}" name="Column11254"/>
    <tableColumn id="11288" xr3:uid="{AED22909-CE56-41A8-83B6-FEDE05689E94}" name="Column11255"/>
    <tableColumn id="11289" xr3:uid="{B2FBD249-BE10-4E53-91BE-6872490AACB6}" name="Column11256"/>
    <tableColumn id="11290" xr3:uid="{5E9D4F13-292B-43C4-AB7B-7DD86D5C83AB}" name="Column11257"/>
    <tableColumn id="11291" xr3:uid="{D4206308-035B-4877-BB90-3F6772E98CDD}" name="Column11258"/>
    <tableColumn id="11292" xr3:uid="{31BD024D-72F6-474F-B4C0-7E036353335D}" name="Column11259"/>
    <tableColumn id="11293" xr3:uid="{CEE13B99-F253-4ACB-A8F2-B4D4DCFFBDDF}" name="Column11260"/>
    <tableColumn id="11294" xr3:uid="{AB857E0A-8CE6-4A4F-9B64-A7FF88B5CAA1}" name="Column11261"/>
    <tableColumn id="11295" xr3:uid="{874EEDF5-94D2-41E5-8026-B1C976EB4FCE}" name="Column11262"/>
    <tableColumn id="11296" xr3:uid="{2077DB39-D179-4E94-84C7-2616AECED7D3}" name="Column11263"/>
    <tableColumn id="11297" xr3:uid="{6C20F22E-2CF4-4A63-ADB0-D5A9335C7A0F}" name="Column11264"/>
    <tableColumn id="11298" xr3:uid="{9368A53A-8143-43A9-80F9-4866993B266E}" name="Column11265"/>
    <tableColumn id="11299" xr3:uid="{E9167FF9-E890-46EA-85CB-9AAACDC770F5}" name="Column11266"/>
    <tableColumn id="11300" xr3:uid="{32DCAB48-AC47-4F64-A937-90BB5A690FA6}" name="Column11267"/>
    <tableColumn id="11301" xr3:uid="{6016D798-FFCE-4259-B1DE-888F5797E071}" name="Column11268"/>
    <tableColumn id="11302" xr3:uid="{A604B739-7A15-4F39-B710-E73ECDE9715F}" name="Column11269"/>
    <tableColumn id="11303" xr3:uid="{8B6B4A07-F006-4924-AD80-31BF5F84E1F9}" name="Column11270"/>
    <tableColumn id="11304" xr3:uid="{5BE33C0E-A6B1-4130-B7E3-1E46686F388F}" name="Column11271"/>
    <tableColumn id="11305" xr3:uid="{462B235E-F728-4F96-9C67-DCFE11679666}" name="Column11272"/>
    <tableColumn id="11306" xr3:uid="{7FE8D225-0BFF-47DD-AC9A-3A3B88793F74}" name="Column11273"/>
    <tableColumn id="11307" xr3:uid="{14AE089A-E6D8-4494-8352-A337AC8BFE3A}" name="Column11274"/>
    <tableColumn id="11308" xr3:uid="{9215EBB9-EBD7-4076-BC17-C16B68E42ACD}" name="Column11275"/>
    <tableColumn id="11309" xr3:uid="{912FDE52-D7EB-4E22-B16E-FD46E03FE233}" name="Column11276"/>
    <tableColumn id="11310" xr3:uid="{F1C9BBC9-0764-41A8-8CF3-68BF5F3FA24F}" name="Column11277"/>
    <tableColumn id="11311" xr3:uid="{4AEB96CF-3D01-4BEB-9F53-F6792096EA21}" name="Column11278"/>
    <tableColumn id="11312" xr3:uid="{09CA3978-4D42-402D-8306-053BFB3567AB}" name="Column11279"/>
    <tableColumn id="11313" xr3:uid="{19A8CF97-1BBE-44BD-AB48-02C2E3A234CF}" name="Column11280"/>
    <tableColumn id="11314" xr3:uid="{76C1F7AB-CF33-471C-BAD7-9A047B7BB801}" name="Column11281"/>
    <tableColumn id="11315" xr3:uid="{B920E307-30FB-4C78-918F-3F5D3969EF2B}" name="Column11282"/>
    <tableColumn id="11316" xr3:uid="{F4EE6E9D-1933-4A0E-A6EB-D1E415F2E40C}" name="Column11283"/>
    <tableColumn id="11317" xr3:uid="{49B68EC0-6217-4AB6-9522-5E19687BB7F6}" name="Column11284"/>
    <tableColumn id="11318" xr3:uid="{3C348CDB-43F0-4952-94A1-1D40823CAA22}" name="Column11285"/>
    <tableColumn id="11319" xr3:uid="{66A3CF24-6A1A-4529-9DCF-DBCE9C138BD8}" name="Column11286"/>
    <tableColumn id="11320" xr3:uid="{23FC1CF0-260E-47BC-9DF9-2ED3B26F751E}" name="Column11287"/>
    <tableColumn id="11321" xr3:uid="{A2749B6B-F346-411E-882A-7CFA7B034A09}" name="Column11288"/>
    <tableColumn id="11322" xr3:uid="{10D253E1-D8AA-4ABC-8060-E7701E1CF693}" name="Column11289"/>
    <tableColumn id="11323" xr3:uid="{5E1B0C55-F931-4377-A545-4CB6424F0668}" name="Column11290"/>
    <tableColumn id="11324" xr3:uid="{FDF47EC4-454C-4DA2-A7DE-59BD5E6E7AF7}" name="Column11291"/>
    <tableColumn id="11325" xr3:uid="{30728F9B-773D-4A25-88A2-7839BD79511B}" name="Column11292"/>
    <tableColumn id="11326" xr3:uid="{0FFCE9BC-164D-432C-ADB8-FC1542A6F569}" name="Column11293"/>
    <tableColumn id="11327" xr3:uid="{0DBE18E6-59C1-499D-B6AE-A94A02871897}" name="Column11294"/>
    <tableColumn id="11328" xr3:uid="{5C462003-2E53-4A89-822F-597A977E2FEC}" name="Column11295"/>
    <tableColumn id="11329" xr3:uid="{5086A2F6-6308-445E-BB47-2D7D591906CB}" name="Column11296"/>
    <tableColumn id="11330" xr3:uid="{1FA95975-EB1D-439B-9A80-5E01131751DD}" name="Column11297"/>
    <tableColumn id="11331" xr3:uid="{40779B7F-CE96-4E11-9175-B92FB7EB24B7}" name="Column11298"/>
    <tableColumn id="11332" xr3:uid="{03C09008-FA3A-4B29-A8B3-3EAE628A73D1}" name="Column11299"/>
    <tableColumn id="11333" xr3:uid="{18646859-2C8A-43EC-A740-A8541C902A6F}" name="Column11300"/>
    <tableColumn id="11334" xr3:uid="{984286C7-FDD5-4C88-B479-19779E91F1A9}" name="Column11301"/>
    <tableColumn id="11335" xr3:uid="{26B59537-3CA8-421D-AA14-47E62FD10B9E}" name="Column11302"/>
    <tableColumn id="11336" xr3:uid="{2B8E4A73-E9A7-4771-AAAE-B531FEC7333B}" name="Column11303"/>
    <tableColumn id="11337" xr3:uid="{41DDDA59-209B-4C49-B066-87D133DC3AF6}" name="Column11304"/>
    <tableColumn id="11338" xr3:uid="{5DBF011F-055F-4FD0-B62B-91FFAE751381}" name="Column11305"/>
    <tableColumn id="11339" xr3:uid="{CB484364-23AB-4426-A766-0B16EEC0B0C1}" name="Column11306"/>
    <tableColumn id="11340" xr3:uid="{0827D6BC-AFA0-4315-992D-EB35E2111E1C}" name="Column11307"/>
    <tableColumn id="11341" xr3:uid="{C5EB2CEF-9CA7-4256-B94D-D145766CB23E}" name="Column11308"/>
    <tableColumn id="11342" xr3:uid="{D60C07B5-EC97-4A05-B982-44CD3888065B}" name="Column11309"/>
    <tableColumn id="11343" xr3:uid="{F3C281B6-9CB3-48B2-8D8A-ED887AE07177}" name="Column11310"/>
    <tableColumn id="11344" xr3:uid="{AF38969E-51DF-47F3-9797-B3A30AA8F3D8}" name="Column11311"/>
    <tableColumn id="11345" xr3:uid="{8B7B25E9-26CF-4269-AFB6-02B1AFE27CB2}" name="Column11312"/>
    <tableColumn id="11346" xr3:uid="{16B7E9D5-D4E3-452E-A1B7-5A9CEC279323}" name="Column11313"/>
    <tableColumn id="11347" xr3:uid="{4B5DCF57-AD0D-49AC-AE4D-422DFAA705AF}" name="Column11314"/>
    <tableColumn id="11348" xr3:uid="{F0F01EFA-65DC-4892-B6D4-CCF011C151EF}" name="Column11315"/>
    <tableColumn id="11349" xr3:uid="{BF89EDB7-1937-4562-B044-EEB8A3F3C850}" name="Column11316"/>
    <tableColumn id="11350" xr3:uid="{5C0B56E3-0123-4C76-A841-FF5CAA6AB8B7}" name="Column11317"/>
    <tableColumn id="11351" xr3:uid="{26E15FE4-58EA-4390-86D1-4FD0EEAC6286}" name="Column11318"/>
    <tableColumn id="11352" xr3:uid="{7BBFD7DE-A7FA-4EF8-84F6-43DCE6DF4145}" name="Column11319"/>
    <tableColumn id="11353" xr3:uid="{C3E03C45-B5A6-4047-B4E0-FDA3870869BD}" name="Column11320"/>
    <tableColumn id="11354" xr3:uid="{321FE180-9047-473B-BE6F-B12EDEB29BC3}" name="Column11321"/>
    <tableColumn id="11355" xr3:uid="{0AD47B36-6210-481B-AAF4-AC3BB1EB9450}" name="Column11322"/>
    <tableColumn id="11356" xr3:uid="{0C40C896-551C-4EED-A416-82F31D9FA070}" name="Column11323"/>
    <tableColumn id="11357" xr3:uid="{AF0C2A78-78D8-4262-BB69-894E5E99DEE7}" name="Column11324"/>
    <tableColumn id="11358" xr3:uid="{145CE7FC-76A4-4C2B-A443-D40DDDE94050}" name="Column11325"/>
    <tableColumn id="11359" xr3:uid="{23DCE447-7D21-42F3-B979-3D0C8E883DAF}" name="Column11326"/>
    <tableColumn id="11360" xr3:uid="{4380C48D-D32C-44B4-BEC3-4B3A55F05106}" name="Column11327"/>
    <tableColumn id="11361" xr3:uid="{255CB741-B8F5-4BC5-9495-8CD82ED11BDB}" name="Column11328"/>
    <tableColumn id="11362" xr3:uid="{10505586-364D-473D-9976-DB3D46416C0A}" name="Column11329"/>
    <tableColumn id="11363" xr3:uid="{44E93961-6857-467E-BBDF-D8B24B749383}" name="Column11330"/>
    <tableColumn id="11364" xr3:uid="{C3099941-A2E1-43D3-9A4E-340948AFB48B}" name="Column11331"/>
    <tableColumn id="11365" xr3:uid="{29892B24-B4F5-456F-A0B6-D88425E71335}" name="Column11332"/>
    <tableColumn id="11366" xr3:uid="{5A241A6B-0CD1-483E-BE06-40FB7CDF0A3C}" name="Column11333"/>
    <tableColumn id="11367" xr3:uid="{87A576BD-80E2-4724-A1D0-F938E6CBCF45}" name="Column11334"/>
    <tableColumn id="11368" xr3:uid="{86B5BE16-CE8E-4576-A9A8-7F7B76D13079}" name="Column11335"/>
    <tableColumn id="11369" xr3:uid="{29D73F56-7EA5-4FA8-A33D-BCC7B2D05939}" name="Column11336"/>
    <tableColumn id="11370" xr3:uid="{70CB071D-F0F8-4DFB-AEAD-43F5075A381C}" name="Column11337"/>
    <tableColumn id="11371" xr3:uid="{95F36F0B-E871-493C-8EFE-672C210EAB21}" name="Column11338"/>
    <tableColumn id="11372" xr3:uid="{BED3DFC9-3685-4CF6-81A2-E72A644B8C96}" name="Column11339"/>
    <tableColumn id="11373" xr3:uid="{1B8C588B-0E8D-4682-8B17-1871BF5B5BDE}" name="Column11340"/>
    <tableColumn id="11374" xr3:uid="{145D1ED1-74F7-411F-BAFE-B22B5B21112C}" name="Column11341"/>
    <tableColumn id="11375" xr3:uid="{42B5750A-0F00-4EE7-846D-E115F3D26C06}" name="Column11342"/>
    <tableColumn id="11376" xr3:uid="{14BA595C-B0AE-4020-975D-B7C2FA07A0D4}" name="Column11343"/>
    <tableColumn id="11377" xr3:uid="{DBB56571-71A8-45C4-B38F-BCB647627B37}" name="Column11344"/>
    <tableColumn id="11378" xr3:uid="{87670F6F-F7B4-4EA4-AF40-DD87084BD8EB}" name="Column11345"/>
    <tableColumn id="11379" xr3:uid="{412C700F-F6C3-4FFF-AFBA-50C015D6B4B7}" name="Column11346"/>
    <tableColumn id="11380" xr3:uid="{64202D18-B4C9-43A1-8772-3B31F6B83D5C}" name="Column11347"/>
    <tableColumn id="11381" xr3:uid="{F6CA91C1-488F-4F61-9394-B1E7BCE530FB}" name="Column11348"/>
    <tableColumn id="11382" xr3:uid="{11193682-3EA8-4EE0-A173-29509371462F}" name="Column11349"/>
    <tableColumn id="11383" xr3:uid="{CF47CB7B-5838-4FA3-A6B8-C6D376E13A6B}" name="Column11350"/>
    <tableColumn id="11384" xr3:uid="{D19ECF4B-19A5-4CFA-BAD0-1D7AD3844EA7}" name="Column11351"/>
    <tableColumn id="11385" xr3:uid="{8784D4A4-F217-4AEF-BCD2-1480B50BE4F0}" name="Column11352"/>
    <tableColumn id="11386" xr3:uid="{8C1F2899-50F6-48CE-84E8-3D1565020B3E}" name="Column11353"/>
    <tableColumn id="11387" xr3:uid="{4A62241E-3F49-4543-B0A2-93825FA705DF}" name="Column11354"/>
    <tableColumn id="11388" xr3:uid="{CD85CC7D-377C-433F-9345-DB43D7BEE5BC}" name="Column11355"/>
    <tableColumn id="11389" xr3:uid="{6192F9BF-9A4A-4B89-B8D0-9B29869BFD0B}" name="Column11356"/>
    <tableColumn id="11390" xr3:uid="{5B883DDC-BEE9-45D1-AF0C-743092893FC1}" name="Column11357"/>
    <tableColumn id="11391" xr3:uid="{72C5860C-6E66-4F6C-88A1-73690534C294}" name="Column11358"/>
    <tableColumn id="11392" xr3:uid="{00FB1016-A094-4B5B-9D12-C4C3A5C03708}" name="Column11359"/>
    <tableColumn id="11393" xr3:uid="{98E75724-FD07-4DBC-BEC0-090BEBB5AB36}" name="Column11360"/>
    <tableColumn id="11394" xr3:uid="{547E3CEB-CD77-43CE-A3FB-AA8D8FF138F5}" name="Column11361"/>
    <tableColumn id="11395" xr3:uid="{A6495450-6151-4EEB-B03C-9002580F4FA5}" name="Column11362"/>
    <tableColumn id="11396" xr3:uid="{6E432C26-1BAD-4864-AF05-388411E2B326}" name="Column11363"/>
    <tableColumn id="11397" xr3:uid="{A100210C-912A-4F14-A1EF-1F587393B9F6}" name="Column11364"/>
    <tableColumn id="11398" xr3:uid="{AD93DE3E-D48A-42AE-A46F-870211DB4EFB}" name="Column11365"/>
    <tableColumn id="11399" xr3:uid="{343363DE-6346-4949-9CBC-F08FE8336AA1}" name="Column11366"/>
    <tableColumn id="11400" xr3:uid="{12D5ED8B-36C4-4755-81EC-413F4C6BE6A9}" name="Column11367"/>
    <tableColumn id="11401" xr3:uid="{866C3DE5-B6B9-43B5-B177-DAD743C26D77}" name="Column11368"/>
    <tableColumn id="11402" xr3:uid="{65CDD300-92BE-4AB7-A911-F3956710594B}" name="Column11369"/>
    <tableColumn id="11403" xr3:uid="{9EAC0971-054F-4E99-AEC8-B5C6F8507710}" name="Column11370"/>
    <tableColumn id="11404" xr3:uid="{03A8154E-2870-404F-B247-E4FB47616B2B}" name="Column11371"/>
    <tableColumn id="11405" xr3:uid="{B4A307FF-80A5-43A2-ADE8-D9D53B59A139}" name="Column11372"/>
    <tableColumn id="11406" xr3:uid="{5E41FFBB-CAD7-478D-AF99-8B9AEC19576B}" name="Column11373"/>
    <tableColumn id="11407" xr3:uid="{4B66BD16-9F78-48FA-9C24-826B7DAACC45}" name="Column11374"/>
    <tableColumn id="11408" xr3:uid="{532478F2-BE5D-475A-9CE7-88D835EDC2AD}" name="Column11375"/>
    <tableColumn id="11409" xr3:uid="{CABA91C4-5E5D-40AA-8FD6-612845BA731F}" name="Column11376"/>
    <tableColumn id="11410" xr3:uid="{71FC558A-F70D-4619-A824-DB1F0F71F100}" name="Column11377"/>
    <tableColumn id="11411" xr3:uid="{B01E3592-2C13-4769-8EBE-A3C88BB4A992}" name="Column11378"/>
    <tableColumn id="11412" xr3:uid="{B5AE0E53-062A-4CDF-AB4D-BCD699C79CF1}" name="Column11379"/>
    <tableColumn id="11413" xr3:uid="{A05E12F9-9B0B-4923-9449-796BD6267A29}" name="Column11380"/>
    <tableColumn id="11414" xr3:uid="{039DF9F6-4174-4EAB-AEBE-BDF4CE92F789}" name="Column11381"/>
    <tableColumn id="11415" xr3:uid="{4E53E208-FC69-4997-9E76-AD28B8B48B8C}" name="Column11382"/>
    <tableColumn id="11416" xr3:uid="{B36D1090-B328-4829-AC94-2DDA809FD593}" name="Column11383"/>
    <tableColumn id="11417" xr3:uid="{49394F9E-C232-468D-8799-07FC26410000}" name="Column11384"/>
    <tableColumn id="11418" xr3:uid="{1405BEF0-7D52-489C-A253-34CBD39E67CF}" name="Column11385"/>
    <tableColumn id="11419" xr3:uid="{11BE4854-3D47-4405-9E67-ADBDAFC71601}" name="Column11386"/>
    <tableColumn id="11420" xr3:uid="{F5D75537-5F77-47FE-B923-F7D9288548EC}" name="Column11387"/>
    <tableColumn id="11421" xr3:uid="{CEB1B7CE-B57D-4435-B07C-270A9C5CE578}" name="Column11388"/>
    <tableColumn id="11422" xr3:uid="{D0CE0850-67A9-4D6E-BAF5-6A80AC5A8C24}" name="Column11389"/>
    <tableColumn id="11423" xr3:uid="{B27B9585-166A-4B04-8F4F-6156F6DF978A}" name="Column11390"/>
    <tableColumn id="11424" xr3:uid="{0C9EA4F3-C6C7-4967-86D8-0B2D024A7840}" name="Column11391"/>
    <tableColumn id="11425" xr3:uid="{BDEB59B1-07BB-4918-B36E-8F3E4A484BCC}" name="Column11392"/>
    <tableColumn id="11426" xr3:uid="{C1A866A9-5A87-4923-A425-495C2541B0DE}" name="Column11393"/>
    <tableColumn id="11427" xr3:uid="{CE499928-00B1-408E-9409-D161CC70A802}" name="Column11394"/>
    <tableColumn id="11428" xr3:uid="{86C2A0D2-0DE4-4E7F-80FD-BE0E2E1B5251}" name="Column11395"/>
    <tableColumn id="11429" xr3:uid="{EEF44501-9D2F-4AC9-B3DA-A17A48D6CFF6}" name="Column11396"/>
    <tableColumn id="11430" xr3:uid="{DC25A922-2728-493C-9969-69EE97CC1CBF}" name="Column11397"/>
    <tableColumn id="11431" xr3:uid="{5797C4F2-01B2-4533-AEE2-324418FD2669}" name="Column11398"/>
    <tableColumn id="11432" xr3:uid="{EFF27BA2-7F0E-465B-A202-3BCB7703D303}" name="Column11399"/>
    <tableColumn id="11433" xr3:uid="{4C4716EE-344D-44DC-9DE0-53FD6DEC1701}" name="Column11400"/>
    <tableColumn id="11434" xr3:uid="{FB156AB7-0CBA-41B8-A360-4DDA0943C476}" name="Column11401"/>
    <tableColumn id="11435" xr3:uid="{6E5A9659-F4FC-4DC1-B187-49E1977511E4}" name="Column11402"/>
    <tableColumn id="11436" xr3:uid="{90FD5E9B-C1D7-46DF-9DF6-0AB50E5A0FE6}" name="Column11403"/>
    <tableColumn id="11437" xr3:uid="{7BA655CE-3B5A-443F-AE7B-3590F47B0E8D}" name="Column11404"/>
    <tableColumn id="11438" xr3:uid="{D06B0299-379A-4512-95D3-6422EE35DFDA}" name="Column11405"/>
    <tableColumn id="11439" xr3:uid="{4086369F-4440-4EE0-A5AB-8602D6C75164}" name="Column11406"/>
    <tableColumn id="11440" xr3:uid="{553C966D-FA08-4681-9B2A-EBE1F9910FB2}" name="Column11407"/>
    <tableColumn id="11441" xr3:uid="{70A77204-59EB-4BB3-AD76-0DAFF590B961}" name="Column11408"/>
    <tableColumn id="11442" xr3:uid="{32A59238-F18E-406F-A149-C0A1E101C2D7}" name="Column11409"/>
    <tableColumn id="11443" xr3:uid="{2F918431-F13D-4DD7-B756-347FA7CADF10}" name="Column11410"/>
    <tableColumn id="11444" xr3:uid="{C305550B-406A-44D8-B404-D30831FC7591}" name="Column11411"/>
    <tableColumn id="11445" xr3:uid="{EF788E61-17CA-4657-B413-A593A54886A2}" name="Column11412"/>
    <tableColumn id="11446" xr3:uid="{EF2F5CF4-B28C-4870-A37D-9F7A88A9ED27}" name="Column11413"/>
    <tableColumn id="11447" xr3:uid="{4F8F84B5-3E30-4F4E-B6E3-97B70434B2A6}" name="Column11414"/>
    <tableColumn id="11448" xr3:uid="{CBC202F8-EDC1-4F63-ADC3-56E9067BB3BE}" name="Column11415"/>
    <tableColumn id="11449" xr3:uid="{2541E251-7240-483A-9032-CFF096D7A7BD}" name="Column11416"/>
    <tableColumn id="11450" xr3:uid="{A530B929-13C9-4B6F-8570-074BE50B0BA7}" name="Column11417"/>
    <tableColumn id="11451" xr3:uid="{A79920AC-3B4C-48A2-878B-0B5D57035AEC}" name="Column11418"/>
    <tableColumn id="11452" xr3:uid="{DED63F96-24A1-4E0E-9E38-4406506E8AFC}" name="Column11419"/>
    <tableColumn id="11453" xr3:uid="{AEF394E5-1845-4455-9776-9E60EA35E036}" name="Column11420"/>
    <tableColumn id="11454" xr3:uid="{261DA9F0-6EE5-41BA-8459-4A74B0977513}" name="Column11421"/>
    <tableColumn id="11455" xr3:uid="{B4C3E30A-B6FE-46EF-854E-E621C75B6B5D}" name="Column11422"/>
    <tableColumn id="11456" xr3:uid="{E1E4FC69-1829-409A-AAFF-03A7373C0CB6}" name="Column11423"/>
    <tableColumn id="11457" xr3:uid="{F7D7520D-73F0-4406-9523-ACC55497A706}" name="Column11424"/>
    <tableColumn id="11458" xr3:uid="{3BD2AA00-F245-423F-A6DD-F62462C59FB7}" name="Column11425"/>
    <tableColumn id="11459" xr3:uid="{BC60816B-3A60-4912-AB12-326A660510E2}" name="Column11426"/>
    <tableColumn id="11460" xr3:uid="{71EBBCAC-3498-400D-A024-F9429B18FC0A}" name="Column11427"/>
    <tableColumn id="11461" xr3:uid="{014AECF5-9D50-48A5-A947-CC892400D178}" name="Column11428"/>
    <tableColumn id="11462" xr3:uid="{A333E7D6-14C3-4890-B1C4-EBA5E8784466}" name="Column11429"/>
    <tableColumn id="11463" xr3:uid="{B4D6EF1E-1D00-4448-A1E4-FB67154497EA}" name="Column11430"/>
    <tableColumn id="11464" xr3:uid="{C64090C6-68B5-49BD-9513-C58BB703AF27}" name="Column11431"/>
    <tableColumn id="11465" xr3:uid="{E724D9BB-A075-43E7-94A2-95164923CFB0}" name="Column11432"/>
    <tableColumn id="11466" xr3:uid="{88C8526A-5BB7-49C5-BF9C-F52B72FC6523}" name="Column11433"/>
    <tableColumn id="11467" xr3:uid="{66FDBB2A-0A48-4DA2-B2F8-C30811B1509E}" name="Column11434"/>
    <tableColumn id="11468" xr3:uid="{93F58A10-4AF4-4C19-B340-F8B2F72C8759}" name="Column11435"/>
    <tableColumn id="11469" xr3:uid="{36C9912B-1658-4674-B755-046A767AA957}" name="Column11436"/>
    <tableColumn id="11470" xr3:uid="{96C86980-E72A-4E03-9293-1562CBBB7719}" name="Column11437"/>
    <tableColumn id="11471" xr3:uid="{533CE8AB-1453-43B6-907B-4C0E47D1E4D1}" name="Column11438"/>
    <tableColumn id="11472" xr3:uid="{7E0C27AC-DB1E-4EC3-AF35-B8AEDF1C20EA}" name="Column11439"/>
    <tableColumn id="11473" xr3:uid="{FEDCAB68-F05D-4FC0-BF0F-F84AFAB589D6}" name="Column11440"/>
    <tableColumn id="11474" xr3:uid="{8AFCE9A4-6202-4F7B-8CB2-F38BF63B0BCB}" name="Column11441"/>
    <tableColumn id="11475" xr3:uid="{2204AAB7-85F5-4828-8547-BE5E79B03459}" name="Column11442"/>
    <tableColumn id="11476" xr3:uid="{296553B4-6CCD-4500-8D39-C3A7DC4BC4AA}" name="Column11443"/>
    <tableColumn id="11477" xr3:uid="{DD9FFB23-2260-4B78-8A8A-57703E51ABDB}" name="Column11444"/>
    <tableColumn id="11478" xr3:uid="{93CBEDBE-DDF6-4225-ABCA-5BB05933E8E8}" name="Column11445"/>
    <tableColumn id="11479" xr3:uid="{A4F61165-C75A-42A8-82B2-26B0CDD3076F}" name="Column11446"/>
    <tableColumn id="11480" xr3:uid="{2A7AD114-FCAB-471C-AC22-DB3C2F73FE18}" name="Column11447"/>
    <tableColumn id="11481" xr3:uid="{F69016AE-9FE5-41F1-A214-628DF97F1435}" name="Column11448"/>
    <tableColumn id="11482" xr3:uid="{D03E5FF9-FD98-4B2F-B20B-97EFF94BD2B4}" name="Column11449"/>
    <tableColumn id="11483" xr3:uid="{087282ED-CFF2-4E00-9979-0CDFA8CB0072}" name="Column11450"/>
    <tableColumn id="11484" xr3:uid="{3B7F4A1A-A7FE-44AD-B4FE-403AA3FF1A9E}" name="Column11451"/>
    <tableColumn id="11485" xr3:uid="{92ACE628-F82A-4A65-B098-EE6245A3EFB0}" name="Column11452"/>
    <tableColumn id="11486" xr3:uid="{3D79829A-F789-40C6-BF1C-46F25E9B5607}" name="Column11453"/>
    <tableColumn id="11487" xr3:uid="{216323CE-D99E-4F7E-A067-8FCEB277C163}" name="Column11454"/>
    <tableColumn id="11488" xr3:uid="{65B6E87E-AB04-4C7E-91B9-81AC95E24146}" name="Column11455"/>
    <tableColumn id="11489" xr3:uid="{2E126CAB-EE1E-46A1-AF63-E76C241DA558}" name="Column11456"/>
    <tableColumn id="11490" xr3:uid="{01F95474-F3DB-4813-9370-BA5D95EB5664}" name="Column11457"/>
    <tableColumn id="11491" xr3:uid="{DFD8551C-CC58-40DD-9730-90E547451B11}" name="Column11458"/>
    <tableColumn id="11492" xr3:uid="{0C340502-7128-472D-8C28-F87AE57582D1}" name="Column11459"/>
    <tableColumn id="11493" xr3:uid="{84155EE7-71B0-4623-8538-D8A2F20DD515}" name="Column11460"/>
    <tableColumn id="11494" xr3:uid="{7CE9D218-4FD4-44AD-88C7-A2E23C66EC91}" name="Column11461"/>
    <tableColumn id="11495" xr3:uid="{75D2C22C-9DCC-46A2-BA00-77BA72C4D3E0}" name="Column11462"/>
    <tableColumn id="11496" xr3:uid="{3CCA58E0-EF45-41DC-841D-4DD4CDDA9690}" name="Column11463"/>
    <tableColumn id="11497" xr3:uid="{4DAEFF59-C742-4718-B2C5-6139AF3FB945}" name="Column11464"/>
    <tableColumn id="11498" xr3:uid="{322173D6-6100-4C81-B3D0-D83BF1A7E066}" name="Column11465"/>
    <tableColumn id="11499" xr3:uid="{CBCFA46D-4BFC-4F30-A47E-7D4D8A938C13}" name="Column11466"/>
    <tableColumn id="11500" xr3:uid="{7F91BF56-0388-4A8C-BFBB-C8FB100AD9FB}" name="Column11467"/>
    <tableColumn id="11501" xr3:uid="{53129C6F-4E92-4960-BD7E-3DB620D7559B}" name="Column11468"/>
    <tableColumn id="11502" xr3:uid="{AD97E456-A4CA-40C8-8205-C4B66A3E3E20}" name="Column11469"/>
    <tableColumn id="11503" xr3:uid="{8BF5759B-B5DF-4DA3-9C60-5010A3AB84C3}" name="Column11470"/>
    <tableColumn id="11504" xr3:uid="{C4C7AB1E-C7C0-49B5-A2E6-489A3923ADDE}" name="Column11471"/>
    <tableColumn id="11505" xr3:uid="{46B34266-07B1-448E-A0B0-FD1BF1B2B4AE}" name="Column11472"/>
    <tableColumn id="11506" xr3:uid="{E7D2F686-F4ED-4791-8927-5699F049CD2A}" name="Column11473"/>
    <tableColumn id="11507" xr3:uid="{A18CADC9-CCB6-4B5D-A93E-E3C445D3174C}" name="Column11474"/>
    <tableColumn id="11508" xr3:uid="{7A78A297-EC6F-4289-8137-07D280ABB24D}" name="Column11475"/>
    <tableColumn id="11509" xr3:uid="{49DA52BE-8323-4A11-8D1F-3973C2220222}" name="Column11476"/>
    <tableColumn id="11510" xr3:uid="{B0578FDA-7C6A-401C-A476-28FBDFFC3228}" name="Column11477"/>
    <tableColumn id="11511" xr3:uid="{B6DC4CD6-71A2-4CCC-BA9C-26C954F2492B}" name="Column11478"/>
    <tableColumn id="11512" xr3:uid="{48BDA9FF-83E1-4919-83AB-4D97D53C6764}" name="Column11479"/>
    <tableColumn id="11513" xr3:uid="{E004C71A-131A-47E0-80FE-C1CEA7831230}" name="Column11480"/>
    <tableColumn id="11514" xr3:uid="{A50D6711-E638-466A-943A-CD709629E862}" name="Column11481"/>
    <tableColumn id="11515" xr3:uid="{21C0D20F-CFCE-4D13-A2F4-315366DE3F14}" name="Column11482"/>
    <tableColumn id="11516" xr3:uid="{A6FA5B54-80BE-4746-99CF-942E1970DF6E}" name="Column11483"/>
    <tableColumn id="11517" xr3:uid="{1B60B517-2F2F-4968-9B48-FF7D3CC64498}" name="Column11484"/>
    <tableColumn id="11518" xr3:uid="{DB72BC8A-BD60-49DA-9B63-51FA7FCA74CC}" name="Column11485"/>
    <tableColumn id="11519" xr3:uid="{3BDF971E-7C89-4D82-A289-67403CB436D3}" name="Column11486"/>
    <tableColumn id="11520" xr3:uid="{A52CE07F-AE82-4B85-A0C1-528E71F828D6}" name="Column11487"/>
    <tableColumn id="11521" xr3:uid="{98330389-F2B5-4764-882C-FDB8F8FB375D}" name="Column11488"/>
    <tableColumn id="11522" xr3:uid="{756DB70D-C943-4A19-8308-17D112AC3833}" name="Column11489"/>
    <tableColumn id="11523" xr3:uid="{7762E48E-D6A1-4862-B5DB-FF19703AA031}" name="Column11490"/>
    <tableColumn id="11524" xr3:uid="{0EA81830-32A9-40C0-9FAB-4F4BF155C20B}" name="Column11491"/>
    <tableColumn id="11525" xr3:uid="{2917A3B8-8808-4293-A5C2-F02EFA862D74}" name="Column11492"/>
    <tableColumn id="11526" xr3:uid="{CB6EF11D-E5CE-413B-A157-4D99A4139065}" name="Column11493"/>
    <tableColumn id="11527" xr3:uid="{AF9BA8DD-EDA2-41A4-A43A-5C56E8FBE07B}" name="Column11494"/>
    <tableColumn id="11528" xr3:uid="{702E8FF9-A14F-403B-811C-F96C2965C073}" name="Column11495"/>
    <tableColumn id="11529" xr3:uid="{055710A7-40DA-4673-8E6A-7132881667CA}" name="Column11496"/>
    <tableColumn id="11530" xr3:uid="{653328E7-92B9-43CB-9A03-F198EFEF7426}" name="Column11497"/>
    <tableColumn id="11531" xr3:uid="{062BBB01-0B55-40F6-8913-BF22CFE13AEE}" name="Column11498"/>
    <tableColumn id="11532" xr3:uid="{394BE867-16B2-49D9-BF30-1EEF037886F2}" name="Column11499"/>
    <tableColumn id="11533" xr3:uid="{4991C5B5-D328-40BA-B9DB-61DC39E87683}" name="Column11500"/>
    <tableColumn id="11534" xr3:uid="{ED1686A1-C669-4805-A7D8-23F7C3864624}" name="Column11501"/>
    <tableColumn id="11535" xr3:uid="{C7A07DD9-48EB-4B59-AE05-E478B3A1B788}" name="Column11502"/>
    <tableColumn id="11536" xr3:uid="{B7EA00CD-E12F-40AC-98A7-65DFD73BE3E7}" name="Column11503"/>
    <tableColumn id="11537" xr3:uid="{D15CD345-A626-4652-8F7A-973BC2E4D12D}" name="Column11504"/>
    <tableColumn id="11538" xr3:uid="{6B70D6B2-C12E-4A13-8B11-F423C1B67156}" name="Column11505"/>
    <tableColumn id="11539" xr3:uid="{ABD7ECBC-D3EE-4A47-A6E6-DAA6CB556911}" name="Column11506"/>
    <tableColumn id="11540" xr3:uid="{664745A3-B246-4E71-B84C-E46A52DC6127}" name="Column11507"/>
    <tableColumn id="11541" xr3:uid="{9BFA7EB4-A0D7-46EA-B230-AE8D2976FD67}" name="Column11508"/>
    <tableColumn id="11542" xr3:uid="{72E089E1-FAD8-4A3E-BE2D-C6431BA46D41}" name="Column11509"/>
    <tableColumn id="11543" xr3:uid="{A25E9A06-FF3E-43CA-AD1F-35CE3B9207AF}" name="Column11510"/>
    <tableColumn id="11544" xr3:uid="{B4A50C1A-CEC8-44DF-8150-89D0024CEFFF}" name="Column11511"/>
    <tableColumn id="11545" xr3:uid="{5F70EFC7-A4EF-4510-B2BA-E6CEAA4CE999}" name="Column11512"/>
    <tableColumn id="11546" xr3:uid="{874EFB3C-3A37-4E60-B746-2C8E2E9D1916}" name="Column11513"/>
    <tableColumn id="11547" xr3:uid="{A10B2F81-DB0D-4AE0-AB90-0234711C2C0C}" name="Column11514"/>
    <tableColumn id="11548" xr3:uid="{ACD461DF-2463-432E-9B5A-1A6B855CA58C}" name="Column11515"/>
    <tableColumn id="11549" xr3:uid="{9D02FB94-0CA6-446F-9713-C5A1A0941EA0}" name="Column11516"/>
    <tableColumn id="11550" xr3:uid="{405B334B-E794-448A-8D4C-66657AF5179F}" name="Column11517"/>
    <tableColumn id="11551" xr3:uid="{6630BDA0-6A35-4C92-9DF2-EA7C572412AA}" name="Column11518"/>
    <tableColumn id="11552" xr3:uid="{68945B52-9E5B-485E-B1BC-588C76E83400}" name="Column11519"/>
    <tableColumn id="11553" xr3:uid="{A986F719-1288-42CE-AE3C-8FFC80C3443A}" name="Column11520"/>
    <tableColumn id="11554" xr3:uid="{1FC9F17C-D939-4E3C-9C2F-93024FE304D8}" name="Column11521"/>
    <tableColumn id="11555" xr3:uid="{529FDCF9-DC96-4657-8FF4-75B8DD7BBF28}" name="Column11522"/>
    <tableColumn id="11556" xr3:uid="{668D6346-836B-4658-8A75-6966038910B6}" name="Column11523"/>
    <tableColumn id="11557" xr3:uid="{FDFB4913-17A5-472F-A3F8-47461E8A7DBC}" name="Column11524"/>
    <tableColumn id="11558" xr3:uid="{2A0C9C27-F085-4036-8232-0CFA0F5CE638}" name="Column11525"/>
    <tableColumn id="11559" xr3:uid="{7494062F-EFF6-49A7-BAA6-D6CCB71CA5E2}" name="Column11526"/>
    <tableColumn id="11560" xr3:uid="{82F5002D-A190-4F3D-8C09-9DFD2814CB6D}" name="Column11527"/>
    <tableColumn id="11561" xr3:uid="{C55D89D2-C261-4CC2-BBB1-D1ABA1EBBC6B}" name="Column11528"/>
    <tableColumn id="11562" xr3:uid="{10C36930-F2D9-4519-8B04-8B694E41706A}" name="Column11529"/>
    <tableColumn id="11563" xr3:uid="{8B132FA7-4137-463D-A30B-42114A15FFAE}" name="Column11530"/>
    <tableColumn id="11564" xr3:uid="{C2FAA93C-6F61-410E-9052-2EBE863151B2}" name="Column11531"/>
    <tableColumn id="11565" xr3:uid="{E20003F8-A15B-472D-95BF-13F6E9523AD5}" name="Column11532"/>
    <tableColumn id="11566" xr3:uid="{077A6CC5-D2FF-4DA1-9CFC-0713F6628723}" name="Column11533"/>
    <tableColumn id="11567" xr3:uid="{CE9715E9-8294-4218-8E4D-C063A8ACD57A}" name="Column11534"/>
    <tableColumn id="11568" xr3:uid="{D9DD2984-6E46-4DAD-9F04-7EA9ACB4729F}" name="Column11535"/>
    <tableColumn id="11569" xr3:uid="{2131FC61-DD35-4060-88C7-5F0C9D0C407B}" name="Column11536"/>
    <tableColumn id="11570" xr3:uid="{8F791BBD-E502-4AAF-A1F9-0D089CE73F50}" name="Column11537"/>
    <tableColumn id="11571" xr3:uid="{8762C9FB-1432-4777-B42B-FEE2CF5E6FF1}" name="Column11538"/>
    <tableColumn id="11572" xr3:uid="{52BA1337-157E-4154-A7DE-2CBE271E4422}" name="Column11539"/>
    <tableColumn id="11573" xr3:uid="{6F851816-0D97-47BD-BE27-304FF3C27E7F}" name="Column11540"/>
    <tableColumn id="11574" xr3:uid="{B68A3028-31DF-4CA2-A87F-D578B2FB5268}" name="Column11541"/>
    <tableColumn id="11575" xr3:uid="{2BEF27DA-1733-4F7B-95FF-A57FDB6CB34C}" name="Column11542"/>
    <tableColumn id="11576" xr3:uid="{3647CB7D-5AE0-433F-A4FF-46230F35DFA0}" name="Column11543"/>
    <tableColumn id="11577" xr3:uid="{543C89C4-581C-4BA8-BA0D-F061D1209AE2}" name="Column11544"/>
    <tableColumn id="11578" xr3:uid="{F5FF6433-AB78-42DD-8BEA-FBBE63FE8FA4}" name="Column11545"/>
    <tableColumn id="11579" xr3:uid="{3AF7F9F4-24B3-465E-A2BC-B48DAE65469C}" name="Column11546"/>
    <tableColumn id="11580" xr3:uid="{DE40C634-9724-4251-A303-661F90C638DC}" name="Column11547"/>
    <tableColumn id="11581" xr3:uid="{A426C145-D2F4-4A01-B3FD-50423D13ABB6}" name="Column11548"/>
    <tableColumn id="11582" xr3:uid="{A7A896D0-5D31-4F38-9723-93BAFDBCF6A5}" name="Column11549"/>
    <tableColumn id="11583" xr3:uid="{1BE4BFD7-1596-463E-B2A9-6AF0D89C52F5}" name="Column11550"/>
    <tableColumn id="11584" xr3:uid="{6C1B72CC-2082-4381-8B8A-BD39D2C069F0}" name="Column11551"/>
    <tableColumn id="11585" xr3:uid="{64CD9E47-4F72-427F-9013-D7B2FCE01B3C}" name="Column11552"/>
    <tableColumn id="11586" xr3:uid="{9815A7D8-4FD0-4567-8647-385B896D501D}" name="Column11553"/>
    <tableColumn id="11587" xr3:uid="{BD37BFFF-7648-4726-846F-7DAC0828EEAA}" name="Column11554"/>
    <tableColumn id="11588" xr3:uid="{B1F0FA38-8A78-4379-A2CD-D7EA23051CB8}" name="Column11555"/>
    <tableColumn id="11589" xr3:uid="{A1A356B1-35AB-48F8-94CD-5FB4D979ADC6}" name="Column11556"/>
    <tableColumn id="11590" xr3:uid="{CEDB9D9A-89B1-4456-BFB1-02686004985D}" name="Column11557"/>
    <tableColumn id="11591" xr3:uid="{A09C8C06-233F-485B-A928-68960C07B7E8}" name="Column11558"/>
    <tableColumn id="11592" xr3:uid="{47E969B2-2F94-425A-B041-220FE0D99D3E}" name="Column11559"/>
    <tableColumn id="11593" xr3:uid="{D2ABF3BE-7FB2-4AF3-BD45-AF790D051C77}" name="Column11560"/>
    <tableColumn id="11594" xr3:uid="{6606B535-A163-4136-81BB-DD70FDF40BA8}" name="Column11561"/>
    <tableColumn id="11595" xr3:uid="{4830F62F-1275-47D4-B802-3FE214D729B5}" name="Column11562"/>
    <tableColumn id="11596" xr3:uid="{6660D4D7-46FB-4B9F-A75F-1942D2D6D07B}" name="Column11563"/>
    <tableColumn id="11597" xr3:uid="{F0983F56-64CE-4908-AB1F-0163667ADD27}" name="Column11564"/>
    <tableColumn id="11598" xr3:uid="{FEB0223F-BAA4-41DA-BE93-81E4EDA56CE4}" name="Column11565"/>
    <tableColumn id="11599" xr3:uid="{59E30BB5-B30C-40A7-9943-1997E4D4D5F4}" name="Column11566"/>
    <tableColumn id="11600" xr3:uid="{30F4E701-2D69-49B5-B85A-F7041CE24D92}" name="Column11567"/>
    <tableColumn id="11601" xr3:uid="{AA0DB7AE-C31F-4B2A-A6D6-FAC9718259C7}" name="Column11568"/>
    <tableColumn id="11602" xr3:uid="{19BCED0D-A672-448E-A0AD-5DBA79AA636B}" name="Column11569"/>
    <tableColumn id="11603" xr3:uid="{7BE78A71-3E18-41A6-A691-91BDF0CE8EE3}" name="Column11570"/>
    <tableColumn id="11604" xr3:uid="{8FA722C1-7C7E-42DB-8E74-DCB526ECBBEB}" name="Column11571"/>
    <tableColumn id="11605" xr3:uid="{66E1FC36-67F4-411C-89BF-DB3D9640C1EC}" name="Column11572"/>
    <tableColumn id="11606" xr3:uid="{7DD4CBAB-0776-462E-BB33-165B27680ACF}" name="Column11573"/>
    <tableColumn id="11607" xr3:uid="{83DD785A-F113-4EF5-B368-83395EC7BE4A}" name="Column11574"/>
    <tableColumn id="11608" xr3:uid="{95F66A1C-EADF-41B8-B711-0131BF831DB3}" name="Column11575"/>
    <tableColumn id="11609" xr3:uid="{000C2001-7E21-4ED7-9BB6-AA63A89635B8}" name="Column11576"/>
    <tableColumn id="11610" xr3:uid="{0580AA3A-FE2E-4FEC-8570-61D6CB3E88A9}" name="Column11577"/>
    <tableColumn id="11611" xr3:uid="{105B294A-EBC9-4423-817C-99D05CE3853D}" name="Column11578"/>
    <tableColumn id="11612" xr3:uid="{735DBAFC-5CE3-4D63-8103-FEAC4A3F94CF}" name="Column11579"/>
    <tableColumn id="11613" xr3:uid="{7E868866-46E6-40C0-9839-00AEC768228F}" name="Column11580"/>
    <tableColumn id="11614" xr3:uid="{2DFCD873-771D-4443-BBA4-CA6D6EBC953E}" name="Column11581"/>
    <tableColumn id="11615" xr3:uid="{FD392BA2-DFD5-4089-A769-486BD32D0FBF}" name="Column11582"/>
    <tableColumn id="11616" xr3:uid="{9A52BDD5-D60C-4E76-A9ED-A375AED857D8}" name="Column11583"/>
    <tableColumn id="11617" xr3:uid="{C06C48D7-52E5-447B-ABCC-F691AA0F63CC}" name="Column11584"/>
    <tableColumn id="11618" xr3:uid="{EB2E3938-D257-49DB-AEB2-8C6CBC4D057B}" name="Column11585"/>
    <tableColumn id="11619" xr3:uid="{2F36E52B-D8C1-4B15-A1BF-F3F44B85958B}" name="Column11586"/>
    <tableColumn id="11620" xr3:uid="{D0C7C652-5C8F-4478-881F-D2BA7C913C9C}" name="Column11587"/>
    <tableColumn id="11621" xr3:uid="{D51D5B15-8593-416A-906F-4D57C328857C}" name="Column11588"/>
    <tableColumn id="11622" xr3:uid="{456EFBE1-6FBE-4096-B5F6-EA6991D02689}" name="Column11589"/>
    <tableColumn id="11623" xr3:uid="{CFBF2177-031A-4F94-9403-CB2DF6DEF57A}" name="Column11590"/>
    <tableColumn id="11624" xr3:uid="{09F4B0A9-DFC9-4434-BFD3-3F6CD9028618}" name="Column11591"/>
    <tableColumn id="11625" xr3:uid="{DE7FC429-AA4B-406B-ADE7-90F543ED077E}" name="Column11592"/>
    <tableColumn id="11626" xr3:uid="{E9D07768-12EC-49BE-AA57-83EE4A4F02C0}" name="Column11593"/>
    <tableColumn id="11627" xr3:uid="{637AD377-ADDB-4452-9D25-3FE149DB10D8}" name="Column11594"/>
    <tableColumn id="11628" xr3:uid="{ED65F4A0-0B06-4706-9F3F-B012A50756C9}" name="Column11595"/>
    <tableColumn id="11629" xr3:uid="{9ED1F602-E858-4B85-A35C-3750C9B7DEE9}" name="Column11596"/>
    <tableColumn id="11630" xr3:uid="{272B1298-B827-4800-8A2C-F567BF180A17}" name="Column11597"/>
    <tableColumn id="11631" xr3:uid="{2A54615F-E0E5-4F47-B98A-7EB81A8694A0}" name="Column11598"/>
    <tableColumn id="11632" xr3:uid="{C31E61A7-40A9-4DDF-B6B8-E4AE8BA26524}" name="Column11599"/>
    <tableColumn id="11633" xr3:uid="{0ABDE726-469E-4247-947D-A97DBBCF64E3}" name="Column11600"/>
    <tableColumn id="11634" xr3:uid="{D610D415-9A1F-45E1-86A7-0E01C627021F}" name="Column11601"/>
    <tableColumn id="11635" xr3:uid="{0D2F3A2D-B199-4971-9B00-CFAC3ADB0753}" name="Column11602"/>
    <tableColumn id="11636" xr3:uid="{D30C0ACC-1E9D-4CF4-82A5-4AF94722E8FC}" name="Column11603"/>
    <tableColumn id="11637" xr3:uid="{B129FE08-1C4C-4DEE-AD86-E5F7BC9BC5A7}" name="Column11604"/>
    <tableColumn id="11638" xr3:uid="{E5CE5929-0C4B-48DC-BE0C-10531AE3363A}" name="Column11605"/>
    <tableColumn id="11639" xr3:uid="{B0A12A2B-FBCF-412F-9FC7-58BDA125ADCA}" name="Column11606"/>
    <tableColumn id="11640" xr3:uid="{75CC7694-73F4-42BF-80CE-7BE51C7AE0E9}" name="Column11607"/>
    <tableColumn id="11641" xr3:uid="{433D7EF4-51BF-471D-A4D2-8C475EBB63DC}" name="Column11608"/>
    <tableColumn id="11642" xr3:uid="{12469DC7-3D30-4EB4-BD8B-2B1647083C8B}" name="Column11609"/>
    <tableColumn id="11643" xr3:uid="{FBF9FB66-0D3C-48F6-8E8E-90E7E1E5108E}" name="Column11610"/>
    <tableColumn id="11644" xr3:uid="{BA580906-4E07-425E-A3BB-BD6A94A35302}" name="Column11611"/>
    <tableColumn id="11645" xr3:uid="{934F98C9-429B-432E-B388-1719EEAA354D}" name="Column11612"/>
    <tableColumn id="11646" xr3:uid="{04451E3E-8112-4F4F-8808-04BA129D062B}" name="Column11613"/>
    <tableColumn id="11647" xr3:uid="{46BC5278-8760-483B-AD95-8F7A57565844}" name="Column11614"/>
    <tableColumn id="11648" xr3:uid="{6134491E-BFC0-480A-AEFA-49943640EC29}" name="Column11615"/>
    <tableColumn id="11649" xr3:uid="{D9FD7B5A-0D41-43C6-B382-3A2FEF38579D}" name="Column11616"/>
    <tableColumn id="11650" xr3:uid="{5EDBC637-FED6-429A-AC11-253E26BAE498}" name="Column11617"/>
    <tableColumn id="11651" xr3:uid="{8A3EBF92-A811-4AC9-88DA-EB0E7EF53C1B}" name="Column11618"/>
    <tableColumn id="11652" xr3:uid="{BE87FE4A-D7A7-4FB9-821C-2670E83270E2}" name="Column11619"/>
    <tableColumn id="11653" xr3:uid="{8F5D840E-8C5A-434F-8A32-67827B602293}" name="Column11620"/>
    <tableColumn id="11654" xr3:uid="{E5B7D9E3-B117-4777-A384-7794880B9CD2}" name="Column11621"/>
    <tableColumn id="11655" xr3:uid="{16615E72-E046-42D7-B9E2-421F160CF31C}" name="Column11622"/>
    <tableColumn id="11656" xr3:uid="{1DA601A9-8E92-449F-8D6F-C478094438A2}" name="Column11623"/>
    <tableColumn id="11657" xr3:uid="{8E643978-D16E-42B0-83A3-715A69D4F3BD}" name="Column11624"/>
    <tableColumn id="11658" xr3:uid="{BE9E68BB-9A50-4BC1-B3B6-E850C79DA2F1}" name="Column11625"/>
    <tableColumn id="11659" xr3:uid="{E2316206-3EE1-430D-864C-1F77CF58647B}" name="Column11626"/>
    <tableColumn id="11660" xr3:uid="{EB125F71-4FB6-4E6B-91BD-EDA227672407}" name="Column11627"/>
    <tableColumn id="11661" xr3:uid="{E295E960-2B2D-485B-8505-3F3537CA4D04}" name="Column11628"/>
    <tableColumn id="11662" xr3:uid="{60CCC1A2-3E99-41AA-A436-09AEC393C45A}" name="Column11629"/>
    <tableColumn id="11663" xr3:uid="{50463B40-0FB0-4A5C-99E2-5F559A7DA287}" name="Column11630"/>
    <tableColumn id="11664" xr3:uid="{AB6B5BA8-E570-491D-BFF1-0FD3DC2F56F5}" name="Column11631"/>
    <tableColumn id="11665" xr3:uid="{A08A9970-E0BA-4495-9945-0D8E77E0B29B}" name="Column11632"/>
    <tableColumn id="11666" xr3:uid="{360475F2-24A8-487A-AB4F-D07D5C66A7B5}" name="Column11633"/>
    <tableColumn id="11667" xr3:uid="{D4691BD8-3CBF-4E44-8513-9D8C70530D80}" name="Column11634"/>
    <tableColumn id="11668" xr3:uid="{C675F19F-248F-49D1-944C-69C08FD71B62}" name="Column11635"/>
    <tableColumn id="11669" xr3:uid="{CDE9FCA6-B95A-4F30-BD4E-C5118A0CD38B}" name="Column11636"/>
    <tableColumn id="11670" xr3:uid="{9AFA1E16-8E11-4095-BCE4-62A840D2ADF5}" name="Column11637"/>
    <tableColumn id="11671" xr3:uid="{603C6A47-396E-475D-8D7E-18F255BF2621}" name="Column11638"/>
    <tableColumn id="11672" xr3:uid="{EBE9F0DD-3EC7-4862-B3E6-49139B516499}" name="Column11639"/>
    <tableColumn id="11673" xr3:uid="{0A5C85FC-B157-4DA6-8B9D-1FEE5FD09481}" name="Column11640"/>
    <tableColumn id="11674" xr3:uid="{DA1F189A-1A8D-495D-9A55-58CD92C8FEEE}" name="Column11641"/>
    <tableColumn id="11675" xr3:uid="{89B47A1E-AD4E-4EB7-86C7-948D955CFB1F}" name="Column11642"/>
    <tableColumn id="11676" xr3:uid="{F6CFD384-E9D3-4AB4-A1F2-93D91C1C6CB7}" name="Column11643"/>
    <tableColumn id="11677" xr3:uid="{E87C0E40-B18B-4B23-8288-E20233E2B404}" name="Column11644"/>
    <tableColumn id="11678" xr3:uid="{ABBDF312-8CCA-497C-AB1E-89B9C7260121}" name="Column11645"/>
    <tableColumn id="11679" xr3:uid="{163104AA-8D4A-42EA-BB58-214BAA6F4002}" name="Column11646"/>
    <tableColumn id="11680" xr3:uid="{513383AF-0018-47F8-AC1B-39CED1CEE758}" name="Column11647"/>
    <tableColumn id="11681" xr3:uid="{2D7378A9-77CA-4648-898B-A6C69F198E4A}" name="Column11648"/>
    <tableColumn id="11682" xr3:uid="{C27B6C0C-9149-4EF5-B725-E91F69B7F26C}" name="Column11649"/>
    <tableColumn id="11683" xr3:uid="{F685AFCB-B69F-48C8-955C-29B6686BFD32}" name="Column11650"/>
    <tableColumn id="11684" xr3:uid="{25E34BDE-1381-4216-8765-70FD80E8F8C1}" name="Column11651"/>
    <tableColumn id="11685" xr3:uid="{95CA53D0-3EA5-45F3-8962-148359E8330D}" name="Column11652"/>
    <tableColumn id="11686" xr3:uid="{A7F63E74-5C4B-432F-9397-19946C29C58C}" name="Column11653"/>
    <tableColumn id="11687" xr3:uid="{6ED6AC02-784C-4A3A-8521-DDCF178937F5}" name="Column11654"/>
    <tableColumn id="11688" xr3:uid="{06A4E442-A738-407E-BC81-048B1A95856D}" name="Column11655"/>
    <tableColumn id="11689" xr3:uid="{31774C80-ABBD-4BCC-802F-76090858105B}" name="Column11656"/>
    <tableColumn id="11690" xr3:uid="{08B229D7-1B77-4E0E-B694-22AF123FE954}" name="Column11657"/>
    <tableColumn id="11691" xr3:uid="{FC7BDBA0-A169-4494-91E3-5F4CCCD66371}" name="Column11658"/>
    <tableColumn id="11692" xr3:uid="{C4C5A362-B28F-4AF6-A16C-4B98F67FF1AD}" name="Column11659"/>
    <tableColumn id="11693" xr3:uid="{0AC1A5A1-D68A-452D-ABBF-15933AA2A655}" name="Column11660"/>
    <tableColumn id="11694" xr3:uid="{6EDB9562-0B3E-42CB-B16B-00E315CB96E0}" name="Column11661"/>
    <tableColumn id="11695" xr3:uid="{DDE930F6-5184-4BB3-905B-7CE951EE0210}" name="Column11662"/>
    <tableColumn id="11696" xr3:uid="{B115EAA5-A66D-4751-B543-E71F38AA840C}" name="Column11663"/>
    <tableColumn id="11697" xr3:uid="{427D1A72-1DC0-402D-BBE7-097312FB55EA}" name="Column11664"/>
    <tableColumn id="11698" xr3:uid="{15DF56ED-04B1-4031-9920-DF0D39BEEF46}" name="Column11665"/>
    <tableColumn id="11699" xr3:uid="{F49FCDD8-7D23-41D1-A1E2-03221701AA32}" name="Column11666"/>
    <tableColumn id="11700" xr3:uid="{C7A99083-AE20-4E12-A284-AF2EB171118B}" name="Column11667"/>
    <tableColumn id="11701" xr3:uid="{231FA22D-EA4F-40CC-8F28-1090948D911B}" name="Column11668"/>
    <tableColumn id="11702" xr3:uid="{902CAAAB-A1ED-43C4-AC45-7DB27D7C3D9E}" name="Column11669"/>
    <tableColumn id="11703" xr3:uid="{A793BC82-ABBD-4051-9D8D-ECAE49EA2735}" name="Column11670"/>
    <tableColumn id="11704" xr3:uid="{6203D76D-3751-411A-AA01-979C23FDAC8D}" name="Column11671"/>
    <tableColumn id="11705" xr3:uid="{47703A6E-625B-4CA0-9E1B-DA908119B7C0}" name="Column11672"/>
    <tableColumn id="11706" xr3:uid="{69401FA1-4C18-4284-A321-B6060500B481}" name="Column11673"/>
    <tableColumn id="11707" xr3:uid="{E18D4D16-F9F2-48D7-BA7E-41ACC55D8203}" name="Column11674"/>
    <tableColumn id="11708" xr3:uid="{4F2FB6AE-2546-41CC-B95F-E905A9AEC66C}" name="Column11675"/>
    <tableColumn id="11709" xr3:uid="{7BADEE5F-3C9D-43E6-9D53-DDF9EBBA411C}" name="Column11676"/>
    <tableColumn id="11710" xr3:uid="{4FCE155F-E813-4FB4-B9FE-94993333C455}" name="Column11677"/>
    <tableColumn id="11711" xr3:uid="{946AFB8C-13F5-440A-A95C-0382F52374E0}" name="Column11678"/>
    <tableColumn id="11712" xr3:uid="{BE47690D-0887-4DD4-B399-A7DD7EABBFD4}" name="Column11679"/>
    <tableColumn id="11713" xr3:uid="{3BF59C10-FF53-47B6-8406-5C65F0072154}" name="Column11680"/>
    <tableColumn id="11714" xr3:uid="{F3A5B04D-E8E5-457C-AD41-0C47BB756C5C}" name="Column11681"/>
    <tableColumn id="11715" xr3:uid="{E052079A-0899-4B64-A258-343AED843894}" name="Column11682"/>
    <tableColumn id="11716" xr3:uid="{46C04A72-ADA5-4B93-89E3-D46B61F7D20F}" name="Column11683"/>
    <tableColumn id="11717" xr3:uid="{7C416931-D4E5-48F7-A07B-1ED6D0A9F76A}" name="Column11684"/>
    <tableColumn id="11718" xr3:uid="{B304D554-B112-4ACC-AD91-65C1B75FEE34}" name="Column11685"/>
    <tableColumn id="11719" xr3:uid="{553B035C-3DA0-4FD7-9F96-2B972C9AF145}" name="Column11686"/>
    <tableColumn id="11720" xr3:uid="{ABDAEE6C-E0A4-4C58-8052-DB49B0D69F0F}" name="Column11687"/>
    <tableColumn id="11721" xr3:uid="{E380390F-701E-4782-B13F-3D47817E58C2}" name="Column11688"/>
    <tableColumn id="11722" xr3:uid="{F9B98020-8751-4D70-A938-651C195ED61C}" name="Column11689"/>
    <tableColumn id="11723" xr3:uid="{59100D2F-1FED-4393-86A6-0F8A0BA6B7D0}" name="Column11690"/>
    <tableColumn id="11724" xr3:uid="{E6E62671-42EE-4BB3-B075-3FA99A33DF0B}" name="Column11691"/>
    <tableColumn id="11725" xr3:uid="{5B07F264-BD02-40EE-ACBB-9315C8692788}" name="Column11692"/>
    <tableColumn id="11726" xr3:uid="{EEFCFA9A-A223-4BFA-9DFC-15736E7B1554}" name="Column11693"/>
    <tableColumn id="11727" xr3:uid="{E93A8F83-AE60-4EA9-B90E-4A5451E7E4E2}" name="Column11694"/>
    <tableColumn id="11728" xr3:uid="{96B3530B-D0B0-4AF8-86E5-7F7CD6C5A797}" name="Column11695"/>
    <tableColumn id="11729" xr3:uid="{E98D54ED-AD99-4569-9CF6-04450A7AEFC4}" name="Column11696"/>
    <tableColumn id="11730" xr3:uid="{2575D1C4-F66C-45A2-95B5-035BBFB91CB3}" name="Column11697"/>
    <tableColumn id="11731" xr3:uid="{ABA195E7-2BFB-4EA1-AAD5-EA05F20C5FA0}" name="Column11698"/>
    <tableColumn id="11732" xr3:uid="{FAAE9E98-620D-40A4-B04B-D248F14AC576}" name="Column11699"/>
    <tableColumn id="11733" xr3:uid="{13DA7CF4-FED3-4EEC-A5C6-0000D9220C5E}" name="Column11700"/>
    <tableColumn id="11734" xr3:uid="{12F0AC5E-014A-44BF-A15B-579409E49A66}" name="Column11701"/>
    <tableColumn id="11735" xr3:uid="{C67026E5-5474-4B16-90F0-A356C53F7DBF}" name="Column11702"/>
    <tableColumn id="11736" xr3:uid="{0C9C139D-E766-4BC9-92D0-EA3FB9B99153}" name="Column11703"/>
    <tableColumn id="11737" xr3:uid="{F4D9E7E6-2D98-44BD-A4CA-BF9D1AF9D6BA}" name="Column11704"/>
    <tableColumn id="11738" xr3:uid="{0B9EEEED-44EB-4EC0-A306-FF4D9B49ADB1}" name="Column11705"/>
    <tableColumn id="11739" xr3:uid="{89771625-B269-4A0D-9132-EC7483001628}" name="Column11706"/>
    <tableColumn id="11740" xr3:uid="{C61A3295-7242-4F68-B507-3F6EEA049252}" name="Column11707"/>
    <tableColumn id="11741" xr3:uid="{A3EF1E1E-7066-499A-BE5F-5DBF6D2161E1}" name="Column11708"/>
    <tableColumn id="11742" xr3:uid="{8B275A76-13C9-4970-A12E-3797FBD63F8C}" name="Column11709"/>
    <tableColumn id="11743" xr3:uid="{A6804269-8774-43E9-8A09-6C2596DD24A8}" name="Column11710"/>
    <tableColumn id="11744" xr3:uid="{397A655C-A1E1-4249-A5C2-FDDB506AFB9E}" name="Column11711"/>
    <tableColumn id="11745" xr3:uid="{D6F23BB7-ABE8-4BBD-B994-295F90FA70E5}" name="Column11712"/>
    <tableColumn id="11746" xr3:uid="{C6A9B886-5B5D-4F92-B9E6-B181C05C8A1C}" name="Column11713"/>
    <tableColumn id="11747" xr3:uid="{63DE32CF-CB7B-4A8B-9271-C4C7069D3695}" name="Column11714"/>
    <tableColumn id="11748" xr3:uid="{AC9A06EB-D3C7-41AE-9CC6-5609DB2F4D17}" name="Column11715"/>
    <tableColumn id="11749" xr3:uid="{2A170EBC-F615-4F69-8247-3E208846B647}" name="Column11716"/>
    <tableColumn id="11750" xr3:uid="{24D57759-BECF-4812-A07A-9D2F4B69A2A1}" name="Column11717"/>
    <tableColumn id="11751" xr3:uid="{D94E344F-263E-4418-93AB-14B31E16C549}" name="Column11718"/>
    <tableColumn id="11752" xr3:uid="{DDD35B77-F55C-4F00-BC7B-8100E894D7A5}" name="Column11719"/>
    <tableColumn id="11753" xr3:uid="{4E0B073C-0167-442A-AD9B-A804C05FB9D6}" name="Column11720"/>
    <tableColumn id="11754" xr3:uid="{0155B509-EBD4-43E8-96BD-F5CC23A0FA0A}" name="Column11721"/>
    <tableColumn id="11755" xr3:uid="{E2828C47-E520-4A04-9B4B-06DBE81689FA}" name="Column11722"/>
    <tableColumn id="11756" xr3:uid="{BA55ADEE-2C3D-4C5E-BDBF-AC2F06D945A7}" name="Column11723"/>
    <tableColumn id="11757" xr3:uid="{ED12D711-BECA-483D-B66D-516E757CAA91}" name="Column11724"/>
    <tableColumn id="11758" xr3:uid="{555C288A-A8EF-4FD7-83C9-34DB96D549C9}" name="Column11725"/>
    <tableColumn id="11759" xr3:uid="{A400AC5F-73AE-455A-A808-180A241C8B9D}" name="Column11726"/>
    <tableColumn id="11760" xr3:uid="{FCB1F7A7-FC99-4B8B-9D43-B7A5943CC5AD}" name="Column11727"/>
    <tableColumn id="11761" xr3:uid="{9483941E-78AC-4EF7-A256-8F6BAFA0D721}" name="Column11728"/>
    <tableColumn id="11762" xr3:uid="{3C0592B7-5E58-4FB4-A974-95028B6FDE8B}" name="Column11729"/>
    <tableColumn id="11763" xr3:uid="{509271C1-7F34-4BD7-81B9-9E6707F2D065}" name="Column11730"/>
    <tableColumn id="11764" xr3:uid="{60778147-A44D-4E96-992C-A65E503540D0}" name="Column11731"/>
    <tableColumn id="11765" xr3:uid="{E144825C-B506-4F14-8F23-42A4210D3AEB}" name="Column11732"/>
    <tableColumn id="11766" xr3:uid="{FD51F97A-FBCF-44D8-BE6F-303A80E7D8AF}" name="Column11733"/>
    <tableColumn id="11767" xr3:uid="{126F68E7-9BFA-4BC0-84B9-A8FD6A6A7461}" name="Column11734"/>
    <tableColumn id="11768" xr3:uid="{7C12BD8F-D05E-48D1-BF4E-D79D4984F1DE}" name="Column11735"/>
    <tableColumn id="11769" xr3:uid="{2B765025-866E-4C89-84EC-872D201C6FC5}" name="Column11736"/>
    <tableColumn id="11770" xr3:uid="{39E0CFB5-5C71-42E7-A9AF-179935C7CC2B}" name="Column11737"/>
    <tableColumn id="11771" xr3:uid="{E0D9CD05-111C-4B5B-B57D-03B30215F739}" name="Column11738"/>
    <tableColumn id="11772" xr3:uid="{289B2824-6D91-466D-ACF4-7EDC75DD5559}" name="Column11739"/>
    <tableColumn id="11773" xr3:uid="{FFCE1365-5397-4EF6-8730-78319ECBE937}" name="Column11740"/>
    <tableColumn id="11774" xr3:uid="{A1BB91AD-0503-4537-82B7-F6DA5DE130E6}" name="Column11741"/>
    <tableColumn id="11775" xr3:uid="{95256084-C569-437D-ABD4-EF35AB1253E9}" name="Column11742"/>
    <tableColumn id="11776" xr3:uid="{90727C98-FFE1-4C2F-AA42-03F080646604}" name="Column11743"/>
    <tableColumn id="11777" xr3:uid="{7A02FF12-2B94-4DBB-820B-C9C2F32ED00F}" name="Column11744"/>
    <tableColumn id="11778" xr3:uid="{7D1D7644-FD9C-4557-A9E6-8F9E4DB6F781}" name="Column11745"/>
    <tableColumn id="11779" xr3:uid="{EE5110DB-D9B0-4EF4-8A49-BA31991C12F9}" name="Column11746"/>
    <tableColumn id="11780" xr3:uid="{3E71139E-BA2B-44E4-92D4-82762FA58B94}" name="Column11747"/>
    <tableColumn id="11781" xr3:uid="{17F435FA-6282-4C8D-824C-6632ACE45219}" name="Column11748"/>
    <tableColumn id="11782" xr3:uid="{A0373E7C-F1A8-49D9-8487-1202BD0710DE}" name="Column11749"/>
    <tableColumn id="11783" xr3:uid="{5AD71867-A8DD-4D16-972F-B5AD5941C2A8}" name="Column11750"/>
    <tableColumn id="11784" xr3:uid="{DD4052F7-BC2C-4C6A-B56C-7245998F122D}" name="Column11751"/>
    <tableColumn id="11785" xr3:uid="{C231CC9D-CEC8-4C2C-ABD8-A93B875D8CC7}" name="Column11752"/>
    <tableColumn id="11786" xr3:uid="{3A43DFDA-929A-45B7-8C15-52CB395A388D}" name="Column11753"/>
    <tableColumn id="11787" xr3:uid="{832A06D0-B82A-4FB6-844B-5BFF85C99257}" name="Column11754"/>
    <tableColumn id="11788" xr3:uid="{21DD4302-0F0E-45CD-B30B-E50CE7299C14}" name="Column11755"/>
    <tableColumn id="11789" xr3:uid="{4895A576-E933-4292-BC2A-FEB7D11D602B}" name="Column11756"/>
    <tableColumn id="11790" xr3:uid="{7F44FE92-4F4C-47B3-9BE2-5C91D65F90FC}" name="Column11757"/>
    <tableColumn id="11791" xr3:uid="{308AAC2E-7524-4A10-B616-28F187ED9E63}" name="Column11758"/>
    <tableColumn id="11792" xr3:uid="{E0B50178-E743-43CC-8ED6-6D6F21C9873B}" name="Column11759"/>
    <tableColumn id="11793" xr3:uid="{799A35C9-8613-4DFC-82AD-AA561E0593BB}" name="Column11760"/>
    <tableColumn id="11794" xr3:uid="{D4333DFC-2D24-414B-9D36-3755ADCA8F0F}" name="Column11761"/>
    <tableColumn id="11795" xr3:uid="{822D2902-3970-4C3E-99A5-0910BE0C1060}" name="Column11762"/>
    <tableColumn id="11796" xr3:uid="{F6D7421C-56B1-4E6E-898D-B5D614A4DFBF}" name="Column11763"/>
    <tableColumn id="11797" xr3:uid="{17F54443-7252-4C60-AEEF-6D5E1131AE38}" name="Column11764"/>
    <tableColumn id="11798" xr3:uid="{A706C01E-7F81-4404-8AB8-95C0DC048B20}" name="Column11765"/>
    <tableColumn id="11799" xr3:uid="{29A99193-9D3A-4B0B-A9F9-D06B99D81912}" name="Column11766"/>
    <tableColumn id="11800" xr3:uid="{F5C89ADA-99F4-41EE-9E87-EDBB6692748C}" name="Column11767"/>
    <tableColumn id="11801" xr3:uid="{BD28846E-30B5-4793-96B2-B01216F143D6}" name="Column11768"/>
    <tableColumn id="11802" xr3:uid="{5A968B41-1825-4B02-9953-C6007C0F4FEF}" name="Column11769"/>
    <tableColumn id="11803" xr3:uid="{B5DE6758-2E0D-453E-92CD-4E42241F0168}" name="Column11770"/>
    <tableColumn id="11804" xr3:uid="{A62107BC-7580-4F89-AB3A-478B4EB21415}" name="Column11771"/>
    <tableColumn id="11805" xr3:uid="{C5A56B4B-00A1-4EEF-9B32-1C73FEF8B60F}" name="Column11772"/>
    <tableColumn id="11806" xr3:uid="{917CBB86-23B9-47E1-8AEF-9341E0D5AF1C}" name="Column11773"/>
    <tableColumn id="11807" xr3:uid="{691AE542-94ED-4AD4-9BEA-400376FEA0C6}" name="Column11774"/>
    <tableColumn id="11808" xr3:uid="{78BCE1F2-BD2B-45A2-B318-9A60C9BA0DDA}" name="Column11775"/>
    <tableColumn id="11809" xr3:uid="{1FC02C79-4437-4485-9418-784CFD99AC7F}" name="Column11776"/>
    <tableColumn id="11810" xr3:uid="{C522724C-96AF-41B5-80CF-1B7085ED384E}" name="Column11777"/>
    <tableColumn id="11811" xr3:uid="{88B1EF34-E78B-49D8-AC0D-F79D323ED487}" name="Column11778"/>
    <tableColumn id="11812" xr3:uid="{9F109950-A64F-470B-9D25-9BED9C72CE37}" name="Column11779"/>
    <tableColumn id="11813" xr3:uid="{47605594-4130-437C-BF07-B5D8D8398C9E}" name="Column11780"/>
    <tableColumn id="11814" xr3:uid="{CEC93753-CAE6-472A-8B6B-AFF414F764E4}" name="Column11781"/>
    <tableColumn id="11815" xr3:uid="{810EF969-6482-4DA1-9190-6F3D130CC2FF}" name="Column11782"/>
    <tableColumn id="11816" xr3:uid="{A62AD970-9CA6-4D2A-A083-85C620B6F1F3}" name="Column11783"/>
    <tableColumn id="11817" xr3:uid="{6D0A844B-1E5E-41BB-B680-6A2329D3A773}" name="Column11784"/>
    <tableColumn id="11818" xr3:uid="{E72EAE78-6B06-44C3-A5AA-47000283EC30}" name="Column11785"/>
    <tableColumn id="11819" xr3:uid="{5C257292-5CB8-41E5-8D40-8BC97E040878}" name="Column11786"/>
    <tableColumn id="11820" xr3:uid="{CD10A04B-CD6B-48D9-B107-560F190916BB}" name="Column11787"/>
    <tableColumn id="11821" xr3:uid="{6F32E7C4-5022-4797-A2FB-624748D1C60A}" name="Column11788"/>
    <tableColumn id="11822" xr3:uid="{10A4DDD8-954A-46FF-A614-BFCD24A0A4E9}" name="Column11789"/>
    <tableColumn id="11823" xr3:uid="{C471D128-2219-4D97-AF93-33ACF4CF56A3}" name="Column11790"/>
    <tableColumn id="11824" xr3:uid="{30CCDB7E-23B0-4BDA-B189-B9EE3FC630FD}" name="Column11791"/>
    <tableColumn id="11825" xr3:uid="{8B48F97A-FF3E-4DC9-86D0-85C293AC43C1}" name="Column11792"/>
    <tableColumn id="11826" xr3:uid="{B7857D4F-9E8E-4CA2-9A47-22FDCB078B05}" name="Column11793"/>
    <tableColumn id="11827" xr3:uid="{5ABB9F6F-12FE-4709-8BD5-6C0FD14911BE}" name="Column11794"/>
    <tableColumn id="11828" xr3:uid="{296129D0-D2C2-4A8B-AF17-DECE48009B56}" name="Column11795"/>
    <tableColumn id="11829" xr3:uid="{D6351651-B709-4902-B565-A49C69C3A73A}" name="Column11796"/>
    <tableColumn id="11830" xr3:uid="{467F4A63-7591-4248-85BC-8185DDDAE7C0}" name="Column11797"/>
    <tableColumn id="11831" xr3:uid="{BC3B4F43-14BD-4491-992F-D2DA5DFBC92A}" name="Column11798"/>
    <tableColumn id="11832" xr3:uid="{2C40F18F-E72D-4810-A04E-0D9238D5942F}" name="Column11799"/>
    <tableColumn id="11833" xr3:uid="{8EA4B95A-A790-4FEF-961B-536F578DC3FA}" name="Column11800"/>
    <tableColumn id="11834" xr3:uid="{11DB9C06-F08E-47AA-9376-EFE549D7CEEF}" name="Column11801"/>
    <tableColumn id="11835" xr3:uid="{CE325AEC-A55D-4157-AA0F-2306C7A68D65}" name="Column11802"/>
    <tableColumn id="11836" xr3:uid="{2585D53A-DC65-485E-96D6-3F549CD52CDE}" name="Column11803"/>
    <tableColumn id="11837" xr3:uid="{23CF8121-96A1-4250-9B23-C42721936356}" name="Column11804"/>
    <tableColumn id="11838" xr3:uid="{2B92425F-E319-4F33-B58F-CF3C73FDFC5D}" name="Column11805"/>
    <tableColumn id="11839" xr3:uid="{BB76A4B6-9087-44ED-ADBD-26CD1F89B8D6}" name="Column11806"/>
    <tableColumn id="11840" xr3:uid="{1000410A-A73D-4169-825D-5A6D7CDF9FB7}" name="Column11807"/>
    <tableColumn id="11841" xr3:uid="{C835A698-15A3-44C9-A00E-75D2F05D741E}" name="Column11808"/>
    <tableColumn id="11842" xr3:uid="{F71BB765-51A0-4EE6-82DE-65C9919DAF91}" name="Column11809"/>
    <tableColumn id="11843" xr3:uid="{AED28F18-6404-4BBA-87EF-6DD03B525723}" name="Column11810"/>
    <tableColumn id="11844" xr3:uid="{A095A431-03F5-4201-A408-510720B395D7}" name="Column11811"/>
    <tableColumn id="11845" xr3:uid="{2DEFA4F9-949A-4C7E-BC92-98B7935A7FF5}" name="Column11812"/>
    <tableColumn id="11846" xr3:uid="{C121D80A-0DCD-47DB-BA69-652D11807404}" name="Column11813"/>
    <tableColumn id="11847" xr3:uid="{B2CFC1C8-6F74-41D9-BA1F-889E5C3333AD}" name="Column11814"/>
    <tableColumn id="11848" xr3:uid="{75BBFD3B-E284-40C7-A55F-2BE58D97C608}" name="Column11815"/>
    <tableColumn id="11849" xr3:uid="{956E3115-D238-4167-AEE7-AD40447FAC9E}" name="Column11816"/>
    <tableColumn id="11850" xr3:uid="{368004BF-7121-4A9E-8893-99FB2C97C633}" name="Column11817"/>
    <tableColumn id="11851" xr3:uid="{40DD978A-E1D3-442A-B050-B07FAB1D17ED}" name="Column11818"/>
    <tableColumn id="11852" xr3:uid="{1305988A-0594-44A6-BFB7-ACCA8B5F3C82}" name="Column11819"/>
    <tableColumn id="11853" xr3:uid="{88CE80DF-7C1B-4796-8508-CE7D290176D7}" name="Column11820"/>
    <tableColumn id="11854" xr3:uid="{C512EB66-A17B-4770-A087-6E9A1D60CCD0}" name="Column11821"/>
    <tableColumn id="11855" xr3:uid="{800EE780-0C41-4698-AACF-01A72C8710EC}" name="Column11822"/>
    <tableColumn id="11856" xr3:uid="{0343D7E1-1BE7-41A8-92A3-9A5BEC31AFCB}" name="Column11823"/>
    <tableColumn id="11857" xr3:uid="{34DA9CFF-872B-430B-A67B-A006EB2CD654}" name="Column11824"/>
    <tableColumn id="11858" xr3:uid="{793088A0-E093-44F0-B606-D7B214FA6F51}" name="Column11825"/>
    <tableColumn id="11859" xr3:uid="{3330478D-772B-4F99-8257-2384F89064AD}" name="Column11826"/>
    <tableColumn id="11860" xr3:uid="{07F13F26-42A8-4F1B-99E4-F5FE1D46C20B}" name="Column11827"/>
    <tableColumn id="11861" xr3:uid="{8FA7BFDA-80FE-47C1-9E62-6E7CC41DA5B0}" name="Column11828"/>
    <tableColumn id="11862" xr3:uid="{A83D03E6-BA8F-4A4C-B3AE-1A6580A5A0B5}" name="Column11829"/>
    <tableColumn id="11863" xr3:uid="{BECEA832-25A0-4B08-BD68-80E6E8FAADEB}" name="Column11830"/>
    <tableColumn id="11864" xr3:uid="{655F13E5-03E3-49CA-B211-99E07A6008CF}" name="Column11831"/>
    <tableColumn id="11865" xr3:uid="{83DCBC34-6B5A-4896-8EDD-9E599CF181D4}" name="Column11832"/>
    <tableColumn id="11866" xr3:uid="{B9A9DE42-7443-477D-9252-37746D69DDF2}" name="Column11833"/>
    <tableColumn id="11867" xr3:uid="{DA32C05B-4E42-4837-8C1D-B5458CEC3A0F}" name="Column11834"/>
    <tableColumn id="11868" xr3:uid="{905C5567-F9AD-4839-B1FB-4A91AAC99486}" name="Column11835"/>
    <tableColumn id="11869" xr3:uid="{FACB212F-B187-406C-9E6F-576B8517C79F}" name="Column11836"/>
    <tableColumn id="11870" xr3:uid="{CB957793-8866-4F50-9E5C-440DA2FB42C8}" name="Column11837"/>
    <tableColumn id="11871" xr3:uid="{87361B33-7207-45A9-846B-D32C8A58971E}" name="Column11838"/>
    <tableColumn id="11872" xr3:uid="{6B13E7C8-DDAF-4BFF-9982-D4CC9FFBC2F2}" name="Column11839"/>
    <tableColumn id="11873" xr3:uid="{19A6C3C5-4CF3-4D38-8C7E-71B46C23FCFF}" name="Column11840"/>
    <tableColumn id="11874" xr3:uid="{1331E037-82C6-4B2D-A07F-9227132DC9C6}" name="Column11841"/>
    <tableColumn id="11875" xr3:uid="{F3C17158-02C2-459D-856C-D5F6685E14DF}" name="Column11842"/>
    <tableColumn id="11876" xr3:uid="{F131C409-9DA5-4AD4-AF15-9F7CFFAF0054}" name="Column11843"/>
    <tableColumn id="11877" xr3:uid="{87C5CB01-E122-4FD4-B1D1-7C8494216845}" name="Column11844"/>
    <tableColumn id="11878" xr3:uid="{73EF7577-8C5E-4385-AB51-612A2566A5AA}" name="Column11845"/>
    <tableColumn id="11879" xr3:uid="{10BB38E5-4B84-4E3A-B4D3-BF3FC7E87598}" name="Column11846"/>
    <tableColumn id="11880" xr3:uid="{09C080B2-6AEE-4948-B85D-9F9BFAD4F782}" name="Column11847"/>
    <tableColumn id="11881" xr3:uid="{393EFBDA-3FF9-4870-8AAE-ABAE15D334EA}" name="Column11848"/>
    <tableColumn id="11882" xr3:uid="{2DFC0A74-3EDA-4520-8720-FC012E64E2E2}" name="Column11849"/>
    <tableColumn id="11883" xr3:uid="{7242521D-B13D-43B3-AEA4-EC94A44C36B4}" name="Column11850"/>
    <tableColumn id="11884" xr3:uid="{02BAA61E-2023-4631-A6BE-39BFEF9BB4EA}" name="Column11851"/>
    <tableColumn id="11885" xr3:uid="{AE580A05-6D8C-4FD4-8581-DDF1E49D214A}" name="Column11852"/>
    <tableColumn id="11886" xr3:uid="{47A6451F-6799-498B-9D9E-48A6732A49D5}" name="Column11853"/>
    <tableColumn id="11887" xr3:uid="{7D5A00F2-66A6-4825-9B55-FB2AEEE47F4D}" name="Column11854"/>
    <tableColumn id="11888" xr3:uid="{3E7BAB71-7ECE-49AD-BC18-674012F37D58}" name="Column11855"/>
    <tableColumn id="11889" xr3:uid="{29AFD1A6-962D-41FD-BDB4-59B87A44D264}" name="Column11856"/>
    <tableColumn id="11890" xr3:uid="{EE7E0340-D556-4C9F-9A5A-39F990B1ED11}" name="Column11857"/>
    <tableColumn id="11891" xr3:uid="{443072DB-03DE-4393-8C90-042BD76B5218}" name="Column11858"/>
    <tableColumn id="11892" xr3:uid="{7A297735-8B1D-4AA0-844F-7C36E38F63A4}" name="Column11859"/>
    <tableColumn id="11893" xr3:uid="{31630DB8-A37E-4EF5-8E93-EFE2C994B7D2}" name="Column11860"/>
    <tableColumn id="11894" xr3:uid="{3231E2AD-2917-4D97-A8D2-93B7BC2BBF89}" name="Column11861"/>
    <tableColumn id="11895" xr3:uid="{6F34FB5D-0CE6-4FBE-9D55-E45153EBBA08}" name="Column11862"/>
    <tableColumn id="11896" xr3:uid="{1A5358D8-6D13-4434-AC6F-9F7C9E685CC5}" name="Column11863"/>
    <tableColumn id="11897" xr3:uid="{81D5B6C1-6EDB-48E2-956B-7CC840444947}" name="Column11864"/>
    <tableColumn id="11898" xr3:uid="{2FD14DA8-A320-40DB-84A8-996D0E449488}" name="Column11865"/>
    <tableColumn id="11899" xr3:uid="{C3EB788E-FCC1-4C02-9940-876009713563}" name="Column11866"/>
    <tableColumn id="11900" xr3:uid="{62EBA992-5664-46D9-80F3-294F745680B4}" name="Column11867"/>
    <tableColumn id="11901" xr3:uid="{89DEE529-519B-4CD3-A834-B89EE2DEE9F0}" name="Column11868"/>
    <tableColumn id="11902" xr3:uid="{00600350-F21B-465D-84B2-D324C19905A1}" name="Column11869"/>
    <tableColumn id="11903" xr3:uid="{5FC792F4-8856-445E-A933-2EFB92C6AD1A}" name="Column11870"/>
    <tableColumn id="11904" xr3:uid="{52AADABF-2B38-446C-A98B-6A94F4CE6701}" name="Column11871"/>
    <tableColumn id="11905" xr3:uid="{220A3E12-21D7-414A-9365-BE7DE65F2785}" name="Column11872"/>
    <tableColumn id="11906" xr3:uid="{E9AD216D-CF00-41FE-A48A-D2F87A5D9AFA}" name="Column11873"/>
    <tableColumn id="11907" xr3:uid="{EDCEEE6E-AB77-48DD-8DBC-A2D7D286FD8A}" name="Column11874"/>
    <tableColumn id="11908" xr3:uid="{6CDAD0DF-740D-4632-81B6-329BDCB1C045}" name="Column11875"/>
    <tableColumn id="11909" xr3:uid="{0078D9F9-F5EB-49FA-930C-3E4F90B9CEB1}" name="Column11876"/>
    <tableColumn id="11910" xr3:uid="{D01AEE34-10AD-428F-8AB7-68270A640209}" name="Column11877"/>
    <tableColumn id="11911" xr3:uid="{F9EC67E8-8701-4F10-A0DF-4B1B178D5D2D}" name="Column11878"/>
    <tableColumn id="11912" xr3:uid="{88548F0C-63AA-49E9-8EE5-E4BCEA38A327}" name="Column11879"/>
    <tableColumn id="11913" xr3:uid="{24D39546-01F7-41A3-8B8B-FFA66009B731}" name="Column11880"/>
    <tableColumn id="11914" xr3:uid="{423CC183-AB2B-48F1-8A4A-E8AB9F5BA132}" name="Column11881"/>
    <tableColumn id="11915" xr3:uid="{CC1153EA-1421-46F2-AD3D-820B4FC1E9BA}" name="Column11882"/>
    <tableColumn id="11916" xr3:uid="{81BB8A03-3603-4B8D-9292-ECEC7370D6C7}" name="Column11883"/>
    <tableColumn id="11917" xr3:uid="{27A18A5E-5C2D-4E79-934F-CC73EB6A2EC0}" name="Column11884"/>
    <tableColumn id="11918" xr3:uid="{1DD16674-2314-4852-AD29-10640562C055}" name="Column11885"/>
    <tableColumn id="11919" xr3:uid="{36B64072-A1CD-464E-8B37-169CEB07AFA0}" name="Column11886"/>
    <tableColumn id="11920" xr3:uid="{D54F5003-54EB-4E89-B765-2E9A2D5B8A40}" name="Column11887"/>
    <tableColumn id="11921" xr3:uid="{14E25FD1-92E6-49E7-BD38-BA1585CF8F92}" name="Column11888"/>
    <tableColumn id="11922" xr3:uid="{BE5BB466-65DD-4092-B46C-A16E72D13A11}" name="Column11889"/>
    <tableColumn id="11923" xr3:uid="{4BFEA280-A272-40BB-A069-50026474758C}" name="Column11890"/>
    <tableColumn id="11924" xr3:uid="{2EDD156A-720A-4252-AFEA-3D3166951B8F}" name="Column11891"/>
    <tableColumn id="11925" xr3:uid="{23C15A04-073D-414F-8E34-6AE26E51B18E}" name="Column11892"/>
    <tableColumn id="11926" xr3:uid="{D0436433-BC74-48F4-B70C-FFF503BE2404}" name="Column11893"/>
    <tableColumn id="11927" xr3:uid="{166A8F22-EC01-4A44-A56B-34A027A30D02}" name="Column11894"/>
    <tableColumn id="11928" xr3:uid="{9C7E00C8-9007-408E-8F10-ADCABB50B6E2}" name="Column11895"/>
    <tableColumn id="11929" xr3:uid="{4BAF6C4B-5D33-4489-93BD-92079EF826D0}" name="Column11896"/>
    <tableColumn id="11930" xr3:uid="{7031AF8C-EF9A-43A5-992E-0BE42D1A32F5}" name="Column11897"/>
    <tableColumn id="11931" xr3:uid="{3A464E0C-2F51-48FA-B884-BF28E77BD574}" name="Column11898"/>
    <tableColumn id="11932" xr3:uid="{411207C2-83AE-4396-9102-7B28ECF8B783}" name="Column11899"/>
    <tableColumn id="11933" xr3:uid="{00E03828-E290-45B8-B9A6-18FDFC162F6B}" name="Column11900"/>
    <tableColumn id="11934" xr3:uid="{7E8DD996-B662-4BE7-B2ED-44DF8E094F3C}" name="Column11901"/>
    <tableColumn id="11935" xr3:uid="{192FD3A8-0A4C-4898-99D8-A64047E9DBCF}" name="Column11902"/>
    <tableColumn id="11936" xr3:uid="{A53DA1E4-C5A8-4CBE-810F-1C493CE44789}" name="Column11903"/>
    <tableColumn id="11937" xr3:uid="{32733B40-C15C-44AF-AF44-5C99C48B54C3}" name="Column11904"/>
    <tableColumn id="11938" xr3:uid="{10117E7B-CC74-4ADF-8607-ECFBA295D5EF}" name="Column11905"/>
    <tableColumn id="11939" xr3:uid="{41251AED-37B7-4631-B17D-108E19B7B64C}" name="Column11906"/>
    <tableColumn id="11940" xr3:uid="{F2D54A2B-BC27-4B7B-9411-8240CB8308D1}" name="Column11907"/>
    <tableColumn id="11941" xr3:uid="{6541F001-7311-40E6-85FD-1A5BCD68867F}" name="Column11908"/>
    <tableColumn id="11942" xr3:uid="{EBDB1B0B-6FBD-4EC9-B6F7-2FA0F41B8718}" name="Column11909"/>
    <tableColumn id="11943" xr3:uid="{ADDF0236-50C0-4447-BF62-DE0523F0BFA5}" name="Column11910"/>
    <tableColumn id="11944" xr3:uid="{B25A9DCE-4F27-4B3A-A03B-EEE7A8CBEC1E}" name="Column11911"/>
    <tableColumn id="11945" xr3:uid="{C7BA09B6-AF0E-4965-B957-452A0DDD654A}" name="Column11912"/>
    <tableColumn id="11946" xr3:uid="{1951A68C-8F74-4CAB-8545-73E58E40A8F2}" name="Column11913"/>
    <tableColumn id="11947" xr3:uid="{C7E0C6FE-9D5F-4296-8F8F-03196B1FCF49}" name="Column11914"/>
    <tableColumn id="11948" xr3:uid="{C0CC649C-3B6F-49B9-8C70-5387C5EEDF6B}" name="Column11915"/>
    <tableColumn id="11949" xr3:uid="{D988DEDE-C07A-493E-99F7-51BDCF6339A1}" name="Column11916"/>
    <tableColumn id="11950" xr3:uid="{62996FE4-912D-43EE-89CF-E92E8C7769A8}" name="Column11917"/>
    <tableColumn id="11951" xr3:uid="{9453A8CF-F5DE-4F6E-82D9-2FF9E93CEA5B}" name="Column11918"/>
    <tableColumn id="11952" xr3:uid="{B763C21E-418D-48FE-95E1-BDDF12127E15}" name="Column11919"/>
    <tableColumn id="11953" xr3:uid="{2F9E9E5D-5776-4A48-9935-BA1D0285C9ED}" name="Column11920"/>
    <tableColumn id="11954" xr3:uid="{0D611C16-B9BC-461B-999F-FA755B5E087D}" name="Column11921"/>
    <tableColumn id="11955" xr3:uid="{1927DA3C-E144-49A4-A9A8-B1445B04296C}" name="Column11922"/>
    <tableColumn id="11956" xr3:uid="{978AE1A7-E85F-41BD-9263-4252D9538A0F}" name="Column11923"/>
    <tableColumn id="11957" xr3:uid="{1472CCD3-BB10-4C06-8285-074137A90DB4}" name="Column11924"/>
    <tableColumn id="11958" xr3:uid="{69F2C567-843E-45CE-AE0C-848A469ED650}" name="Column11925"/>
    <tableColumn id="11959" xr3:uid="{E1E92CA0-539E-4BEB-94CC-1417064FA4E5}" name="Column11926"/>
    <tableColumn id="11960" xr3:uid="{F28A0B86-5B5E-4D5A-BF5E-547325882E74}" name="Column11927"/>
    <tableColumn id="11961" xr3:uid="{A55248E4-47AD-4E6A-9467-04DC8F3BD298}" name="Column11928"/>
    <tableColumn id="11962" xr3:uid="{2E4D33EA-4270-4B0C-B558-3486E14C16C7}" name="Column11929"/>
    <tableColumn id="11963" xr3:uid="{9578E18C-A146-4084-A329-FE09EAFA6667}" name="Column11930"/>
    <tableColumn id="11964" xr3:uid="{2F4B708D-6220-4161-BCD7-37451F51CB33}" name="Column11931"/>
    <tableColumn id="11965" xr3:uid="{6126BB19-767E-4BDF-AEB5-A61F6AFB8210}" name="Column11932"/>
    <tableColumn id="11966" xr3:uid="{97E3019E-3961-4B14-BDEB-4D575DE9EC4D}" name="Column11933"/>
    <tableColumn id="11967" xr3:uid="{8C256440-5498-4D2C-A552-3744264DDAFF}" name="Column11934"/>
    <tableColumn id="11968" xr3:uid="{4388C870-E98F-4369-9C9C-1FDE2A8956CC}" name="Column11935"/>
    <tableColumn id="11969" xr3:uid="{06F4BD27-DB32-4970-BE37-6A1C2DBE7BA3}" name="Column11936"/>
    <tableColumn id="11970" xr3:uid="{758DE0AA-A941-4673-BF7E-86088FA647A0}" name="Column11937"/>
    <tableColumn id="11971" xr3:uid="{B841CC11-2894-4EB5-878B-4085483E39F7}" name="Column11938"/>
    <tableColumn id="11972" xr3:uid="{C98C8279-21D8-461E-BBC5-AF8619E95066}" name="Column11939"/>
    <tableColumn id="11973" xr3:uid="{D71FF510-1416-4A29-ADE0-55E7979C733D}" name="Column11940"/>
    <tableColumn id="11974" xr3:uid="{B215E4B4-521A-4BB1-8B59-588ACC488B37}" name="Column11941"/>
    <tableColumn id="11975" xr3:uid="{B217CEEC-3A55-4669-AE0B-FA77B4AF05C9}" name="Column11942"/>
    <tableColumn id="11976" xr3:uid="{95AC36EE-797D-4275-B9D6-C3F5BAD03AE4}" name="Column11943"/>
    <tableColumn id="11977" xr3:uid="{6815F237-3B0E-45D6-B65A-C7A89872B4B2}" name="Column11944"/>
    <tableColumn id="11978" xr3:uid="{C835E01E-6E00-4382-84C8-2A77C55FD48E}" name="Column11945"/>
    <tableColumn id="11979" xr3:uid="{71B444E9-06AA-4B17-87C5-8A73F68EE948}" name="Column11946"/>
    <tableColumn id="11980" xr3:uid="{D6F9A7AD-2D9F-45C1-824D-5B1B2D38F978}" name="Column11947"/>
    <tableColumn id="11981" xr3:uid="{E6407472-2BAA-46A9-B658-A9C08F3B3597}" name="Column11948"/>
    <tableColumn id="11982" xr3:uid="{F7AA2F3F-97C1-4C25-9B2C-3D7B363665A4}" name="Column11949"/>
    <tableColumn id="11983" xr3:uid="{12BF4384-9B0C-45AB-8F72-83484E64DA53}" name="Column11950"/>
    <tableColumn id="11984" xr3:uid="{FD911DFE-A02B-4E46-81CD-87EA935D968E}" name="Column11951"/>
    <tableColumn id="11985" xr3:uid="{6863F513-472B-41B6-A415-9819E12E3D58}" name="Column11952"/>
    <tableColumn id="11986" xr3:uid="{9411555B-6841-4EB5-B358-B93F3AA98F87}" name="Column11953"/>
    <tableColumn id="11987" xr3:uid="{AB0D752B-C8FE-4AF8-9C19-6459E23FFC18}" name="Column11954"/>
    <tableColumn id="11988" xr3:uid="{D945BE4A-AEA0-44E0-A947-9EF2331E0971}" name="Column11955"/>
    <tableColumn id="11989" xr3:uid="{2C75A59C-59A4-4133-9EAD-6CE465B98856}" name="Column11956"/>
    <tableColumn id="11990" xr3:uid="{701BE607-6B46-41A3-B89A-E1E83F76347A}" name="Column11957"/>
    <tableColumn id="11991" xr3:uid="{A473E9AE-3A04-451E-A24F-33A2B99B7EE1}" name="Column11958"/>
    <tableColumn id="11992" xr3:uid="{98BDC487-023C-47AC-BB78-70030580E191}" name="Column11959"/>
    <tableColumn id="11993" xr3:uid="{B16C312E-032F-4B64-8EC3-69E21DE1A07C}" name="Column11960"/>
    <tableColumn id="11994" xr3:uid="{5B11DFC8-1C43-4579-B046-F5D029E3A8AC}" name="Column11961"/>
    <tableColumn id="11995" xr3:uid="{C83000CB-77BB-4B7A-BB85-FDC756C550CB}" name="Column11962"/>
    <tableColumn id="11996" xr3:uid="{1E506AC6-1701-40A6-B00E-0FABE1D40E07}" name="Column11963"/>
    <tableColumn id="11997" xr3:uid="{BB580107-BF26-4C41-9E5C-C40026392820}" name="Column11964"/>
    <tableColumn id="11998" xr3:uid="{152B6FE2-32C0-4A24-8343-F648625EDB02}" name="Column11965"/>
    <tableColumn id="11999" xr3:uid="{C4FA2BD2-9D4D-4D1C-979D-07B441A2EB12}" name="Column11966"/>
    <tableColumn id="12000" xr3:uid="{E1AEB80B-2230-4FAB-8D45-EC0A51DDF365}" name="Column11967"/>
    <tableColumn id="12001" xr3:uid="{C32AFE4F-FEFD-43BA-A0FE-EAE7F21DCE49}" name="Column11968"/>
    <tableColumn id="12002" xr3:uid="{C8C12677-4972-4731-B954-F6871E5AB7B1}" name="Column11969"/>
    <tableColumn id="12003" xr3:uid="{55357BCF-F636-43ED-B60E-89A719F5624C}" name="Column11970"/>
    <tableColumn id="12004" xr3:uid="{D6C55E3D-2CAD-43E6-836C-52D8ED8BCC53}" name="Column11971"/>
    <tableColumn id="12005" xr3:uid="{0C5E2EC4-930F-42D9-AF05-94EA796E692B}" name="Column11972"/>
    <tableColumn id="12006" xr3:uid="{949DA82A-3368-4739-95CE-992AE2074AA4}" name="Column11973"/>
    <tableColumn id="12007" xr3:uid="{C542FAA9-CDB9-42AD-9F93-3FCFA8371061}" name="Column11974"/>
    <tableColumn id="12008" xr3:uid="{4D92D194-15E7-4FB8-B024-72C7E2DD0272}" name="Column11975"/>
    <tableColumn id="12009" xr3:uid="{2D0BF911-52B4-4958-92EB-0026212FE36F}" name="Column11976"/>
    <tableColumn id="12010" xr3:uid="{377070C1-7F20-4B35-B130-BEDDB9149305}" name="Column11977"/>
    <tableColumn id="12011" xr3:uid="{626BA072-EF1E-442F-B678-A67478F002CC}" name="Column11978"/>
    <tableColumn id="12012" xr3:uid="{F5E270FC-335C-424D-8BA7-18866A668DD0}" name="Column11979"/>
    <tableColumn id="12013" xr3:uid="{D98C3415-124F-4B82-9A35-9703C4986A6E}" name="Column11980"/>
    <tableColumn id="12014" xr3:uid="{E83600DB-0F99-41FA-950A-53196CB4104D}" name="Column11981"/>
    <tableColumn id="12015" xr3:uid="{7D0B0748-1B97-4461-8796-7891D5CB30B4}" name="Column11982"/>
    <tableColumn id="12016" xr3:uid="{C65E166F-0015-411F-847C-53CFE547D49F}" name="Column11983"/>
    <tableColumn id="12017" xr3:uid="{8F0AF4DC-C7B7-4D88-A57E-E49C9F4A97E8}" name="Column11984"/>
    <tableColumn id="12018" xr3:uid="{0FAFB147-9245-47F8-BB10-178F6A9592F2}" name="Column11985"/>
    <tableColumn id="12019" xr3:uid="{9672458A-413A-4B3D-8A39-FE5E780E07FD}" name="Column11986"/>
    <tableColumn id="12020" xr3:uid="{0FA25D45-F5E7-4371-A0E2-15DB4DC79175}" name="Column11987"/>
    <tableColumn id="12021" xr3:uid="{059FFD89-0315-45D6-A4A9-3896C27E68CC}" name="Column11988"/>
    <tableColumn id="12022" xr3:uid="{338F1977-D61B-4085-809E-21D7147AAA42}" name="Column11989"/>
    <tableColumn id="12023" xr3:uid="{8F525652-446C-4D48-B72A-432748E15186}" name="Column11990"/>
    <tableColumn id="12024" xr3:uid="{01CB7F1E-FED5-44D4-889E-8AA339A5EA2E}" name="Column11991"/>
    <tableColumn id="12025" xr3:uid="{E96CD332-07AE-4102-A36D-B5EE8876BF26}" name="Column11992"/>
    <tableColumn id="12026" xr3:uid="{14F521A9-BD82-4B4B-8114-7EB2685751ED}" name="Column11993"/>
    <tableColumn id="12027" xr3:uid="{94061073-49AF-49B7-8C98-EC26210952C8}" name="Column11994"/>
    <tableColumn id="12028" xr3:uid="{93F5870F-6F18-46F7-B327-CED73291A7F8}" name="Column11995"/>
    <tableColumn id="12029" xr3:uid="{9FEEA83D-EA68-4577-9E0D-3D5AA5F7F954}" name="Column11996"/>
    <tableColumn id="12030" xr3:uid="{62F5B816-366C-46B6-98A0-317D2F024681}" name="Column11997"/>
    <tableColumn id="12031" xr3:uid="{EEA707B8-32CD-430E-AF8A-F7133AF4F0D7}" name="Column11998"/>
    <tableColumn id="12032" xr3:uid="{7DCA8264-AF62-47A0-B84A-0D9BE6808E6A}" name="Column11999"/>
    <tableColumn id="12033" xr3:uid="{D8CDB30C-A9EE-457D-B26F-D5FC09495861}" name="Column12000"/>
    <tableColumn id="12034" xr3:uid="{C9DA8D6B-9CC6-4BEF-ADF3-5CDCA121155C}" name="Column12001"/>
    <tableColumn id="12035" xr3:uid="{5CAF0F5E-3E42-431F-AE5E-CF5C06B533B9}" name="Column12002"/>
    <tableColumn id="12036" xr3:uid="{237BF3D9-1251-4D54-9A06-D70EB5962C4C}" name="Column12003"/>
    <tableColumn id="12037" xr3:uid="{96A4951D-06CF-4129-98EB-1BDF8E85E655}" name="Column12004"/>
    <tableColumn id="12038" xr3:uid="{386E27DB-6965-4DF5-8692-A8C2CF12C1C8}" name="Column12005"/>
    <tableColumn id="12039" xr3:uid="{AF27B23C-3A27-40C1-B698-B6648AA148FA}" name="Column12006"/>
    <tableColumn id="12040" xr3:uid="{90D6A75B-EDE3-41AB-B65A-AAA80950BFC3}" name="Column12007"/>
    <tableColumn id="12041" xr3:uid="{CB5159CF-88C0-4133-AC93-4F206F39352D}" name="Column12008"/>
    <tableColumn id="12042" xr3:uid="{E8D69009-7B7F-461A-BFF8-58DE8200B2D8}" name="Column12009"/>
    <tableColumn id="12043" xr3:uid="{FB7CDAEA-9D24-48BC-9B57-107D47394583}" name="Column12010"/>
    <tableColumn id="12044" xr3:uid="{5CCE6EAB-97CA-44E6-A90D-91982D835CF7}" name="Column12011"/>
    <tableColumn id="12045" xr3:uid="{69E047D2-4588-458C-BCE6-DC8E5C2BE811}" name="Column12012"/>
    <tableColumn id="12046" xr3:uid="{463D6AB5-719A-4201-A524-B9B49E445ACF}" name="Column12013"/>
    <tableColumn id="12047" xr3:uid="{E6A3B3FA-1EF6-4201-8C09-84511DE217FC}" name="Column12014"/>
    <tableColumn id="12048" xr3:uid="{F41CEFED-8982-46B7-8F4E-5AFBC8EE4D68}" name="Column12015"/>
    <tableColumn id="12049" xr3:uid="{09B875BB-F536-4925-AE4A-7857778EB10E}" name="Column12016"/>
    <tableColumn id="12050" xr3:uid="{E0D0E315-3EE9-4BFF-88A3-8F5D46A93991}" name="Column12017"/>
    <tableColumn id="12051" xr3:uid="{E0E5C9EC-908D-4BA3-9326-2962B2383BED}" name="Column12018"/>
    <tableColumn id="12052" xr3:uid="{3D2D58F5-CC94-4551-80D4-DA09A5CD23A9}" name="Column12019"/>
    <tableColumn id="12053" xr3:uid="{357F3D9A-DDFE-4D16-8F78-D33382329972}" name="Column12020"/>
    <tableColumn id="12054" xr3:uid="{E0C8D359-662B-4D3F-8A99-BC8BCCA12E76}" name="Column12021"/>
    <tableColumn id="12055" xr3:uid="{93488753-D82F-48B3-8D02-0A09E5F98A9F}" name="Column12022"/>
    <tableColumn id="12056" xr3:uid="{4D616EE9-8B1A-4426-82E2-3A33B107062E}" name="Column12023"/>
    <tableColumn id="12057" xr3:uid="{0FBE828B-1CA7-4CAA-B167-E91E3F9E81EE}" name="Column12024"/>
    <tableColumn id="12058" xr3:uid="{30541436-FF3A-4709-B712-F856F295F0C2}" name="Column12025"/>
    <tableColumn id="12059" xr3:uid="{B22D2346-2BC7-4B87-82B5-C2C439D851D2}" name="Column12026"/>
    <tableColumn id="12060" xr3:uid="{24F8CD9D-FCFB-42C9-A9CE-B988AA523FFF}" name="Column12027"/>
    <tableColumn id="12061" xr3:uid="{EF2F4BA0-729E-4CD3-9F8E-5A378DA1CDF3}" name="Column12028"/>
    <tableColumn id="12062" xr3:uid="{7182C069-FFB4-46E8-B94D-E859E6D58EA8}" name="Column12029"/>
    <tableColumn id="12063" xr3:uid="{3AB385C8-07A0-4268-81C4-C7CA18943D72}" name="Column12030"/>
    <tableColumn id="12064" xr3:uid="{5F1049C8-4CB4-4339-80EE-B7B68AB62D8A}" name="Column12031"/>
    <tableColumn id="12065" xr3:uid="{88CB384E-79BC-46EF-B50E-472ABD96177B}" name="Column12032"/>
    <tableColumn id="12066" xr3:uid="{D70BAF73-F85B-4186-B07B-09092DE85F28}" name="Column12033"/>
    <tableColumn id="12067" xr3:uid="{D2F9737C-729D-419B-A8FC-04A31727E1EE}" name="Column12034"/>
    <tableColumn id="12068" xr3:uid="{E32E464F-4BE8-4EBB-9608-0449D774A3B7}" name="Column12035"/>
    <tableColumn id="12069" xr3:uid="{76E55A25-AB16-4A6F-AB9C-AD8CB71D74E1}" name="Column12036"/>
    <tableColumn id="12070" xr3:uid="{540820DF-6835-44F3-88E7-6A61B7880F80}" name="Column12037"/>
    <tableColumn id="12071" xr3:uid="{E6F4ECAE-8E35-42EC-951A-F81ABDDD5F54}" name="Column12038"/>
    <tableColumn id="12072" xr3:uid="{2661A156-C095-4525-BD48-F0AFB3950734}" name="Column12039"/>
    <tableColumn id="12073" xr3:uid="{9A379C03-D2FB-44C9-88AD-7157C49C7B45}" name="Column12040"/>
    <tableColumn id="12074" xr3:uid="{B8121539-7D9C-4D79-8BF3-B2584DE7C79D}" name="Column12041"/>
    <tableColumn id="12075" xr3:uid="{7906C983-1069-4939-9D2F-48A5788587BD}" name="Column12042"/>
    <tableColumn id="12076" xr3:uid="{CD718815-0045-41F2-ADCF-8B63499E18BE}" name="Column12043"/>
    <tableColumn id="12077" xr3:uid="{6876D719-AD6E-4BAD-8F15-2F1CEA80AC1A}" name="Column12044"/>
    <tableColumn id="12078" xr3:uid="{15FCA6C5-6293-4029-86C2-069772EC13A3}" name="Column12045"/>
    <tableColumn id="12079" xr3:uid="{6964885A-2049-4D55-A76C-CE50B360B456}" name="Column12046"/>
    <tableColumn id="12080" xr3:uid="{9169DB59-4011-497B-8C67-4B2504A8FA41}" name="Column12047"/>
    <tableColumn id="12081" xr3:uid="{D03C58C2-7A24-4E98-979A-5D069863D217}" name="Column12048"/>
    <tableColumn id="12082" xr3:uid="{C7731165-9867-416F-86C3-E05580FE3AB3}" name="Column12049"/>
    <tableColumn id="12083" xr3:uid="{3185CA68-DFA0-4C64-88B1-6110F7371227}" name="Column12050"/>
    <tableColumn id="12084" xr3:uid="{C45054C6-600A-4BD4-89E4-C90E6ADFF499}" name="Column12051"/>
    <tableColumn id="12085" xr3:uid="{E93C23DB-543A-42C2-9E71-F0FF2DC9C365}" name="Column12052"/>
    <tableColumn id="12086" xr3:uid="{1C9C9B73-7B2E-4B84-8AF8-8BD9DB8DE0CD}" name="Column12053"/>
    <tableColumn id="12087" xr3:uid="{8BA60DE5-75AE-4992-BDA3-9DA7F17A04F5}" name="Column12054"/>
    <tableColumn id="12088" xr3:uid="{2B715EFC-BB08-4437-B613-F24E87708A13}" name="Column12055"/>
    <tableColumn id="12089" xr3:uid="{F3FD880F-F38D-431C-A54E-0ED9EA36D119}" name="Column12056"/>
    <tableColumn id="12090" xr3:uid="{B3512B16-501A-41D5-AC87-0702C2491674}" name="Column12057"/>
    <tableColumn id="12091" xr3:uid="{2139E3F8-C907-495D-921B-34EDCE2E215E}" name="Column12058"/>
    <tableColumn id="12092" xr3:uid="{D0321ADB-3791-4E8F-819C-2CCE52AB7E88}" name="Column12059"/>
    <tableColumn id="12093" xr3:uid="{6B0E735B-CE1B-4804-B78F-2E253A98FB7A}" name="Column12060"/>
    <tableColumn id="12094" xr3:uid="{AEA43101-966F-4C12-ACD5-B59E1DC70228}" name="Column12061"/>
    <tableColumn id="12095" xr3:uid="{AD00D829-3D0C-4F11-8C3A-312B50AF80FA}" name="Column12062"/>
    <tableColumn id="12096" xr3:uid="{61D54070-4348-4400-9E7D-BA2950F407CA}" name="Column12063"/>
    <tableColumn id="12097" xr3:uid="{D1955F75-A0A5-49BF-933E-8A76BB9F8891}" name="Column12064"/>
    <tableColumn id="12098" xr3:uid="{0631E89C-2B39-4E9F-92F0-4BEBE462A0CE}" name="Column12065"/>
    <tableColumn id="12099" xr3:uid="{22CEFC3F-D841-4CCF-8B3F-A3AD6E640330}" name="Column12066"/>
    <tableColumn id="12100" xr3:uid="{CEE9EE82-BA35-4A15-BE0D-9C8B0F9DC15B}" name="Column12067"/>
    <tableColumn id="12101" xr3:uid="{D29ED024-FBAF-4011-9900-01BE05BEA88D}" name="Column12068"/>
    <tableColumn id="12102" xr3:uid="{294111D4-F9EF-4B59-ABAC-6CC624A62ADA}" name="Column12069"/>
    <tableColumn id="12103" xr3:uid="{1952C59B-3168-440E-8995-F76621AFB144}" name="Column12070"/>
    <tableColumn id="12104" xr3:uid="{2BA846B7-EBDA-4422-A98D-E4BABE0AFC16}" name="Column12071"/>
    <tableColumn id="12105" xr3:uid="{9164F2A4-E35A-4C8B-B795-045A996D1B4D}" name="Column12072"/>
    <tableColumn id="12106" xr3:uid="{7F2C5B31-15E2-408F-ABD6-EC6422CF1877}" name="Column12073"/>
    <tableColumn id="12107" xr3:uid="{24959E01-4CA5-4622-857B-8D030C9CA595}" name="Column12074"/>
    <tableColumn id="12108" xr3:uid="{72BAC5FE-4AC0-4D18-B597-4C6C72C014C2}" name="Column12075"/>
    <tableColumn id="12109" xr3:uid="{2F6D9F25-3C95-4032-B306-8EBAE9B92F6C}" name="Column12076"/>
    <tableColumn id="12110" xr3:uid="{920DD0B8-8830-4FEE-B06C-FABA28FA155F}" name="Column12077"/>
    <tableColumn id="12111" xr3:uid="{84562584-3BC1-47BD-8963-71265D9659EC}" name="Column12078"/>
    <tableColumn id="12112" xr3:uid="{BA58E7B5-4838-4AEE-994B-CF07EDD312E8}" name="Column12079"/>
    <tableColumn id="12113" xr3:uid="{8492CE10-1E33-421B-A72A-0779ACD6DE01}" name="Column12080"/>
    <tableColumn id="12114" xr3:uid="{9478127F-BDDB-44D1-A2B9-7077CCABB3E3}" name="Column12081"/>
    <tableColumn id="12115" xr3:uid="{28C36870-0726-47EA-9578-3E69488EA1D8}" name="Column12082"/>
    <tableColumn id="12116" xr3:uid="{66EC7ACE-42A4-49AD-BD57-862C2785CB6D}" name="Column12083"/>
    <tableColumn id="12117" xr3:uid="{CCF4DECF-D1AA-4A54-ACC8-1116EC3F300A}" name="Column12084"/>
    <tableColumn id="12118" xr3:uid="{DA956717-CD73-4A6D-9DA8-5DEE06E57A89}" name="Column12085"/>
    <tableColumn id="12119" xr3:uid="{66F2B9EB-7B69-47E0-892A-1B79878DC025}" name="Column12086"/>
    <tableColumn id="12120" xr3:uid="{68201894-8B14-4C39-9C68-19AE0A588D17}" name="Column12087"/>
    <tableColumn id="12121" xr3:uid="{2F681339-ACED-44FE-864B-544FBA217953}" name="Column12088"/>
    <tableColumn id="12122" xr3:uid="{5EEA059E-B3CD-47FA-82D1-179BDEA992FC}" name="Column12089"/>
    <tableColumn id="12123" xr3:uid="{3DA50777-30CF-49AA-A009-6D609A7F640D}" name="Column12090"/>
    <tableColumn id="12124" xr3:uid="{8EAAE0EE-A6C6-409C-9ED2-C69C7230CC4D}" name="Column12091"/>
    <tableColumn id="12125" xr3:uid="{EC76BA5D-90F4-4462-994C-26BEB5549A43}" name="Column12092"/>
    <tableColumn id="12126" xr3:uid="{A23715FA-0924-47D9-922E-14135D71A523}" name="Column12093"/>
    <tableColumn id="12127" xr3:uid="{9792E887-B72D-464E-9568-02F6F8D17AF7}" name="Column12094"/>
    <tableColumn id="12128" xr3:uid="{E608B94E-D85D-4869-8CD1-254F331C197D}" name="Column12095"/>
    <tableColumn id="12129" xr3:uid="{18EB5069-5FA0-43C3-BD71-37CF773F8391}" name="Column12096"/>
    <tableColumn id="12130" xr3:uid="{B4D7B3D3-A391-476A-B3F4-63B8A3C7C1A3}" name="Column12097"/>
    <tableColumn id="12131" xr3:uid="{A9839927-E3B3-4A54-A6AE-64924A4FEE2B}" name="Column12098"/>
    <tableColumn id="12132" xr3:uid="{B1F1FB57-8665-489E-9015-CC7AA20637AD}" name="Column12099"/>
    <tableColumn id="12133" xr3:uid="{D519BE53-9AF3-4BA2-8B5D-99BD79701B43}" name="Column12100"/>
    <tableColumn id="12134" xr3:uid="{8EBCB21C-4F5C-4231-AA38-51E7A7D0A761}" name="Column12101"/>
    <tableColumn id="12135" xr3:uid="{93CD866C-82FD-48CD-BEAD-2D211BB09051}" name="Column12102"/>
    <tableColumn id="12136" xr3:uid="{E62BE2B1-EE7F-4127-A9B5-C8B0E55BD314}" name="Column12103"/>
    <tableColumn id="12137" xr3:uid="{6FAF405D-B509-4D7B-8DF3-28D4104C5ECE}" name="Column12104"/>
    <tableColumn id="12138" xr3:uid="{471A2D93-8059-4F66-B662-561E1840E328}" name="Column12105"/>
    <tableColumn id="12139" xr3:uid="{036A0903-B83A-43D1-BF94-F23388A02173}" name="Column12106"/>
    <tableColumn id="12140" xr3:uid="{0C775F57-D221-4D54-A627-4927BCBDFCDD}" name="Column12107"/>
    <tableColumn id="12141" xr3:uid="{4D76FED7-CC84-4370-B93D-4AD086CCAAF6}" name="Column12108"/>
    <tableColumn id="12142" xr3:uid="{F4107178-1B43-44E3-B5CF-96B328F65AC2}" name="Column12109"/>
    <tableColumn id="12143" xr3:uid="{858D37EE-E515-452A-864E-EEC3FEBB533E}" name="Column12110"/>
    <tableColumn id="12144" xr3:uid="{4470A64A-54B3-434B-9A25-FE071EAF2418}" name="Column12111"/>
    <tableColumn id="12145" xr3:uid="{3676DB0A-7585-4B1C-B6C6-F12A59BE69B3}" name="Column12112"/>
    <tableColumn id="12146" xr3:uid="{5B0E9AB3-7AD7-4242-9843-1969B278F04B}" name="Column12113"/>
    <tableColumn id="12147" xr3:uid="{4D87B9A7-B8FF-4498-8E5C-951D81A9AFA3}" name="Column12114"/>
    <tableColumn id="12148" xr3:uid="{278440ED-1002-4961-9D9F-7C6160F5F7D7}" name="Column12115"/>
    <tableColumn id="12149" xr3:uid="{9A33FCE5-4216-486E-AF79-8E5E11237D7B}" name="Column12116"/>
    <tableColumn id="12150" xr3:uid="{1A7074C8-C4DA-4EA8-91A7-FCFFC6E657DA}" name="Column12117"/>
    <tableColumn id="12151" xr3:uid="{390A5002-DCC7-485C-9D1A-60BBAA18DB1C}" name="Column12118"/>
    <tableColumn id="12152" xr3:uid="{53A757AE-C30E-44C8-96C0-D4684B4D329F}" name="Column12119"/>
    <tableColumn id="12153" xr3:uid="{11FBB2F3-E685-49FF-9E5C-82109D7075DC}" name="Column12120"/>
    <tableColumn id="12154" xr3:uid="{663D3340-4616-472D-BBAA-17CE684ADCF9}" name="Column12121"/>
    <tableColumn id="12155" xr3:uid="{789CA609-6FB2-4FA1-B425-321626CB2430}" name="Column12122"/>
    <tableColumn id="12156" xr3:uid="{DA1A8A88-921D-4D15-8163-56B0C3E925DE}" name="Column12123"/>
    <tableColumn id="12157" xr3:uid="{74EAE291-DC17-44A0-A50F-E07700EAD354}" name="Column12124"/>
    <tableColumn id="12158" xr3:uid="{036159F4-7643-4087-BB5B-21CBC96AA373}" name="Column12125"/>
    <tableColumn id="12159" xr3:uid="{E0D40EC2-96EF-4798-968B-BA46D3137A23}" name="Column12126"/>
    <tableColumn id="12160" xr3:uid="{B4DF0BBD-3D83-48C8-A12C-E643A5786CEE}" name="Column12127"/>
    <tableColumn id="12161" xr3:uid="{DE926108-6DF3-4CEB-A779-72EC7D96B55D}" name="Column12128"/>
    <tableColumn id="12162" xr3:uid="{6A7374CD-1BE7-4574-B941-07126F31F366}" name="Column12129"/>
    <tableColumn id="12163" xr3:uid="{5E2400D0-F84D-4881-AAD3-830B03CC8DF7}" name="Column12130"/>
    <tableColumn id="12164" xr3:uid="{1160CE8D-BCFE-4D27-A97E-F6A1B3086F39}" name="Column12131"/>
    <tableColumn id="12165" xr3:uid="{DB1D3016-0129-4D77-A701-B2ED091BCA42}" name="Column12132"/>
    <tableColumn id="12166" xr3:uid="{BA32844F-521F-4CA1-83AA-FBA4533A2176}" name="Column12133"/>
    <tableColumn id="12167" xr3:uid="{F68F8CF9-22F7-455C-85E1-E2B23AC83DE9}" name="Column12134"/>
    <tableColumn id="12168" xr3:uid="{D54ADAC6-DFED-4D49-B75F-C15A6AB04CE3}" name="Column12135"/>
    <tableColumn id="12169" xr3:uid="{C5F441D2-4A22-4D39-AB1C-A4FF9660CA48}" name="Column12136"/>
    <tableColumn id="12170" xr3:uid="{702EE62A-8564-42C3-841F-CB2F91E4453B}" name="Column12137"/>
    <tableColumn id="12171" xr3:uid="{F008E65B-30DB-416D-A8C9-A20AA6FDC22F}" name="Column12138"/>
    <tableColumn id="12172" xr3:uid="{ACA60BD4-0EBD-487A-B892-BEB8EB55EE1F}" name="Column12139"/>
    <tableColumn id="12173" xr3:uid="{A077FA3D-F482-4FB5-982A-C0139A27FFF0}" name="Column12140"/>
    <tableColumn id="12174" xr3:uid="{884F3235-E122-4EA7-BE88-3534D00BFADE}" name="Column12141"/>
    <tableColumn id="12175" xr3:uid="{66E5A670-2EE0-4F7D-ABF3-47103818F55C}" name="Column12142"/>
    <tableColumn id="12176" xr3:uid="{E5ED3476-D5D6-4296-B57D-E1AEA471B988}" name="Column12143"/>
    <tableColumn id="12177" xr3:uid="{B0702D7E-0B4A-4249-9596-E9F053FA2A14}" name="Column12144"/>
    <tableColumn id="12178" xr3:uid="{CB3AAAC6-5FDC-45BA-A452-37C304836035}" name="Column12145"/>
    <tableColumn id="12179" xr3:uid="{CA68770A-5D0A-49F9-B3D3-1FAAE037A337}" name="Column12146"/>
    <tableColumn id="12180" xr3:uid="{F4CFB5CA-9FA1-428D-9CE6-5A1BDFAEB3A8}" name="Column12147"/>
    <tableColumn id="12181" xr3:uid="{EB78E6B5-6285-449D-9110-15D1827C9D66}" name="Column12148"/>
    <tableColumn id="12182" xr3:uid="{3AA4E691-5C40-4FA6-895E-914A05A0D2FC}" name="Column12149"/>
    <tableColumn id="12183" xr3:uid="{CA767054-C7FA-4BE0-9D9C-505CC12525A7}" name="Column12150"/>
    <tableColumn id="12184" xr3:uid="{EF182F67-E9F9-4D97-8172-853AE9FC87A2}" name="Column12151"/>
    <tableColumn id="12185" xr3:uid="{A0654EC8-5565-4B8B-949F-8210611B35FE}" name="Column12152"/>
    <tableColumn id="12186" xr3:uid="{D3ABDC36-A586-424A-BDF0-BFF4C615C12A}" name="Column12153"/>
    <tableColumn id="12187" xr3:uid="{F8CC5497-3C33-4109-A664-7DAFA1D4FC07}" name="Column12154"/>
    <tableColumn id="12188" xr3:uid="{AB104E22-FFA9-4E6E-988F-508150E886AE}" name="Column12155"/>
    <tableColumn id="12189" xr3:uid="{5F45F165-9220-461F-AAAC-ED81CF804582}" name="Column12156"/>
    <tableColumn id="12190" xr3:uid="{7966DCA3-6AB5-45AA-B6CC-DB338AF5DF93}" name="Column12157"/>
    <tableColumn id="12191" xr3:uid="{43CCBA0B-DED3-4AD3-BF8D-B1D107C295BE}" name="Column12158"/>
    <tableColumn id="12192" xr3:uid="{54D9C09A-7E51-4C2B-88E8-4161D8165B1D}" name="Column12159"/>
    <tableColumn id="12193" xr3:uid="{E79EE755-AA4D-4B21-BF81-FD3357F48AF8}" name="Column12160"/>
    <tableColumn id="12194" xr3:uid="{732DDBB9-CD0B-4FCB-B4B4-C732C5F19DC3}" name="Column12161"/>
    <tableColumn id="12195" xr3:uid="{DC7A11C9-8400-4540-AB42-CDCB21F060CF}" name="Column12162"/>
    <tableColumn id="12196" xr3:uid="{F2659B53-E6FE-4653-B60B-40A1F46F3068}" name="Column12163"/>
    <tableColumn id="12197" xr3:uid="{E1B925C9-CC0F-4DEC-BFDA-C807566EC255}" name="Column12164"/>
    <tableColumn id="12198" xr3:uid="{D1F0EFFF-B9EC-419A-8A24-62B9D22D36C4}" name="Column12165"/>
    <tableColumn id="12199" xr3:uid="{CBB4509D-582E-4709-9416-3696A106DD33}" name="Column12166"/>
    <tableColumn id="12200" xr3:uid="{4F1C1AF1-59E8-4A2A-AA08-A9B4B20ED673}" name="Column12167"/>
    <tableColumn id="12201" xr3:uid="{F5CE198E-996C-45BC-A2FC-DA742B2889EB}" name="Column12168"/>
    <tableColumn id="12202" xr3:uid="{C5DD73D0-C648-4172-A290-363284544F5D}" name="Column12169"/>
    <tableColumn id="12203" xr3:uid="{8468CD7B-A741-4583-9E0B-E9E320116AF4}" name="Column12170"/>
    <tableColumn id="12204" xr3:uid="{F16EEB03-A36C-481D-8C37-9AC560C29730}" name="Column12171"/>
    <tableColumn id="12205" xr3:uid="{FB3DAD63-DC37-43EB-BA1A-89CD0BC7692D}" name="Column12172"/>
    <tableColumn id="12206" xr3:uid="{3FF718DF-8E24-4534-BC24-91FE9236CC40}" name="Column12173"/>
    <tableColumn id="12207" xr3:uid="{E028CD95-D842-471C-A14C-7E54D8E75902}" name="Column12174"/>
    <tableColumn id="12208" xr3:uid="{1FA6D031-C1FB-4B63-9A79-212EEF64D428}" name="Column12175"/>
    <tableColumn id="12209" xr3:uid="{CEDF6539-33B9-4A86-8466-83DAE22F1B23}" name="Column12176"/>
    <tableColumn id="12210" xr3:uid="{92988A17-7167-4096-9909-5B884D0FB950}" name="Column12177"/>
    <tableColumn id="12211" xr3:uid="{BD66F040-95EE-4AA1-B9B3-8283043470AD}" name="Column12178"/>
    <tableColumn id="12212" xr3:uid="{B75438D3-55E0-49A9-8038-DB8E3F4141BC}" name="Column12179"/>
    <tableColumn id="12213" xr3:uid="{9AEC48FE-C6F1-4BC7-8689-412D15F3A69F}" name="Column12180"/>
    <tableColumn id="12214" xr3:uid="{7C5230A0-C728-4255-B641-8BE9240DBFD2}" name="Column12181"/>
    <tableColumn id="12215" xr3:uid="{3E1F590E-7D1A-4E25-BE63-B526E163CA40}" name="Column12182"/>
    <tableColumn id="12216" xr3:uid="{33F08EF7-4ABD-4108-A3F7-C233478A38CC}" name="Column12183"/>
    <tableColumn id="12217" xr3:uid="{2934E472-81B0-4910-94B2-D28F175EB4BE}" name="Column12184"/>
    <tableColumn id="12218" xr3:uid="{5A33FA2C-342E-477F-8C24-3A0FE8E56797}" name="Column12185"/>
    <tableColumn id="12219" xr3:uid="{0233E0C8-0763-4C74-ABE7-AF0300901EC4}" name="Column12186"/>
    <tableColumn id="12220" xr3:uid="{9D34A705-9C50-4733-800F-E9688D52C565}" name="Column12187"/>
    <tableColumn id="12221" xr3:uid="{905C912E-0EB5-42AE-8B79-3661C8A8AF86}" name="Column12188"/>
    <tableColumn id="12222" xr3:uid="{32375B65-9CBA-4460-9733-E6971D89282A}" name="Column12189"/>
    <tableColumn id="12223" xr3:uid="{6B941B14-CA07-4259-A74B-A58B3CF473C7}" name="Column12190"/>
    <tableColumn id="12224" xr3:uid="{27CC02B7-172C-4A88-984B-E44ECC238986}" name="Column12191"/>
    <tableColumn id="12225" xr3:uid="{7112703E-97D8-4251-B588-904E3413CE0C}" name="Column12192"/>
    <tableColumn id="12226" xr3:uid="{1ED59F80-6243-425A-84DE-0F581D65365D}" name="Column12193"/>
    <tableColumn id="12227" xr3:uid="{90254DA0-318E-4BF1-AE06-1682ED30CE55}" name="Column12194"/>
    <tableColumn id="12228" xr3:uid="{8F342154-0E84-4A8D-ACB1-0E2083B48813}" name="Column12195"/>
    <tableColumn id="12229" xr3:uid="{547DA5FB-341B-4234-A49D-ED5DBA808513}" name="Column12196"/>
    <tableColumn id="12230" xr3:uid="{A13F7A59-90C4-4555-A4C1-7B247CECA6BC}" name="Column12197"/>
    <tableColumn id="12231" xr3:uid="{6A2D302C-8217-4726-B243-112E796B2937}" name="Column12198"/>
    <tableColumn id="12232" xr3:uid="{5A93439A-75B4-46F6-B2BC-CA08744BD475}" name="Column12199"/>
    <tableColumn id="12233" xr3:uid="{5199B8FA-F965-4630-9572-5458FE55C5AC}" name="Column12200"/>
    <tableColumn id="12234" xr3:uid="{31A52160-B8CA-4004-A4D3-7956FB8FC7EA}" name="Column12201"/>
    <tableColumn id="12235" xr3:uid="{4073D03F-8A54-4737-AC7A-2EB78F94C55B}" name="Column12202"/>
    <tableColumn id="12236" xr3:uid="{A2918FEE-B62E-42C4-A931-6CF382E78AEB}" name="Column12203"/>
    <tableColumn id="12237" xr3:uid="{BB0D98F0-9185-4DC4-965F-1A4F445E74B2}" name="Column12204"/>
    <tableColumn id="12238" xr3:uid="{20AB3A29-2F35-42F6-81DD-D12A900B7892}" name="Column12205"/>
    <tableColumn id="12239" xr3:uid="{4FE77C22-D2DC-4A4C-960A-18FF2A24BD97}" name="Column12206"/>
    <tableColumn id="12240" xr3:uid="{AE21FA44-1889-407F-85DB-B9D7280138E1}" name="Column12207"/>
    <tableColumn id="12241" xr3:uid="{2274F903-AF81-4CDD-B16C-C8D88DAA7975}" name="Column12208"/>
    <tableColumn id="12242" xr3:uid="{EE367BF2-84E6-4CA9-A325-3BAD5BE0CE60}" name="Column12209"/>
    <tableColumn id="12243" xr3:uid="{F5ED6AD1-A78A-41AA-BA8F-DD27B02DB481}" name="Column12210"/>
    <tableColumn id="12244" xr3:uid="{C5573F98-7B5D-4A93-A1ED-7EE9F1FA601A}" name="Column12211"/>
    <tableColumn id="12245" xr3:uid="{47C26D7E-8B1F-4F49-9804-08F06C2514D1}" name="Column12212"/>
    <tableColumn id="12246" xr3:uid="{E3A3C35C-DB0F-4FBB-A3D0-7E9AA5BF5F5E}" name="Column12213"/>
    <tableColumn id="12247" xr3:uid="{DCAB4A56-8F3D-436A-B670-67AEF6B168F6}" name="Column12214"/>
    <tableColumn id="12248" xr3:uid="{E75CC66A-78AB-4F4F-A0AC-1D0685BD8A57}" name="Column12215"/>
    <tableColumn id="12249" xr3:uid="{457E1265-348E-4383-9FA4-86E79CE8097F}" name="Column12216"/>
    <tableColumn id="12250" xr3:uid="{8724D6A1-6E68-421C-B8F5-243048CC1513}" name="Column12217"/>
    <tableColumn id="12251" xr3:uid="{79301A6E-F0CC-438D-9B37-1A494EE3ED61}" name="Column12218"/>
    <tableColumn id="12252" xr3:uid="{0BF7EE00-CBE2-4973-B1BA-9907F09C174C}" name="Column12219"/>
    <tableColumn id="12253" xr3:uid="{1F450DF9-7C3B-40F3-AB65-A7AFD6534289}" name="Column12220"/>
    <tableColumn id="12254" xr3:uid="{A515DC5F-497C-400B-956D-FD21004B0EF9}" name="Column12221"/>
    <tableColumn id="12255" xr3:uid="{05B873F0-6F7C-4F05-A136-3E84191A63DA}" name="Column12222"/>
    <tableColumn id="12256" xr3:uid="{4B86D8F2-F47E-4A68-81B6-444074728BD3}" name="Column12223"/>
    <tableColumn id="12257" xr3:uid="{B9415F08-B139-4CA9-AD1E-54354C7C77D7}" name="Column12224"/>
    <tableColumn id="12258" xr3:uid="{226ED28B-7864-4458-809E-8646EBA8B934}" name="Column12225"/>
    <tableColumn id="12259" xr3:uid="{8324974A-38C5-4B66-BEE0-F9A27D35671F}" name="Column12226"/>
    <tableColumn id="12260" xr3:uid="{6949EC71-0AA6-4792-87AE-DDC646EC8F6E}" name="Column12227"/>
    <tableColumn id="12261" xr3:uid="{068CC696-845B-4BD1-A3DC-859388192BC2}" name="Column12228"/>
    <tableColumn id="12262" xr3:uid="{2A154F1F-2E64-49EF-9981-EF9AD795E551}" name="Column12229"/>
    <tableColumn id="12263" xr3:uid="{7B34F595-EC75-48BC-9F29-3F1A72D7B48E}" name="Column12230"/>
    <tableColumn id="12264" xr3:uid="{C3093F2B-83B7-4F75-9F3D-BD24B52F6D80}" name="Column12231"/>
    <tableColumn id="12265" xr3:uid="{FAAF55B9-9549-4AAF-8D61-2A9954735A49}" name="Column12232"/>
    <tableColumn id="12266" xr3:uid="{D07FBEF5-909C-4F4B-A6E1-A92E17B7CE34}" name="Column12233"/>
    <tableColumn id="12267" xr3:uid="{0299CE16-D91F-4097-B2F5-14A47A87F87C}" name="Column12234"/>
    <tableColumn id="12268" xr3:uid="{291C9F82-4AFF-47BC-870D-CD04A113B148}" name="Column12235"/>
    <tableColumn id="12269" xr3:uid="{31C3A564-5DD1-456F-8EB9-75743E7263DC}" name="Column12236"/>
    <tableColumn id="12270" xr3:uid="{477CE33B-FCD4-4A4A-84B4-0946C6CA29AA}" name="Column12237"/>
    <tableColumn id="12271" xr3:uid="{56633E0F-DFB7-408E-8976-EA52571CC129}" name="Column12238"/>
    <tableColumn id="12272" xr3:uid="{8E36C15B-EB53-4B99-A2E0-45EEE5D222A7}" name="Column12239"/>
    <tableColumn id="12273" xr3:uid="{D2F26D5F-C2AF-496C-AF89-1F747C90D922}" name="Column12240"/>
    <tableColumn id="12274" xr3:uid="{FAE00E2C-AA6E-4DA1-8E32-B5049BCB85ED}" name="Column12241"/>
    <tableColumn id="12275" xr3:uid="{4157B33A-7996-4F78-B2F0-EFBC81BFD91B}" name="Column12242"/>
    <tableColumn id="12276" xr3:uid="{3B9F6784-5588-4374-AB48-A041FFEDEA81}" name="Column12243"/>
    <tableColumn id="12277" xr3:uid="{DBE8697C-85CC-40D8-961A-447C9C812B46}" name="Column12244"/>
    <tableColumn id="12278" xr3:uid="{5A330DD9-D976-49D4-88CB-BC7A7D6F739D}" name="Column12245"/>
    <tableColumn id="12279" xr3:uid="{C96671CC-4C09-4D75-A285-05EFA920A16C}" name="Column12246"/>
    <tableColumn id="12280" xr3:uid="{A5DC9905-6500-4C19-A0E3-9C85F84BA9E7}" name="Column12247"/>
    <tableColumn id="12281" xr3:uid="{CC0BA82D-D9E7-4C22-8762-1C6E23478E8B}" name="Column12248"/>
    <tableColumn id="12282" xr3:uid="{86D130FB-34CC-4E72-937B-3F1BC98C9F2F}" name="Column12249"/>
    <tableColumn id="12283" xr3:uid="{BB8E6692-81B7-4A5E-AAE6-67DFAC0DA4D2}" name="Column12250"/>
    <tableColumn id="12284" xr3:uid="{5DBA74AC-0B5D-4616-8D03-79C41B54342D}" name="Column12251"/>
    <tableColumn id="12285" xr3:uid="{B372FF2B-FE62-44ED-B8E5-2A2DFDC771AE}" name="Column12252"/>
    <tableColumn id="12286" xr3:uid="{0DCF0311-14C5-40D1-8A96-546F33BD3DB8}" name="Column12253"/>
    <tableColumn id="12287" xr3:uid="{C3237F3B-393C-4A08-BB78-F79E3927EF0E}" name="Column12254"/>
    <tableColumn id="12288" xr3:uid="{6423D702-B5E7-40E1-83ED-53B03C73C4EE}" name="Column12255"/>
    <tableColumn id="12289" xr3:uid="{709A6414-A152-4AB8-8090-40E2AC7083AC}" name="Column12256"/>
    <tableColumn id="12290" xr3:uid="{F54A279E-4D0C-4AC4-B8A4-15441661779E}" name="Column12257"/>
    <tableColumn id="12291" xr3:uid="{C4FB4DD0-897E-4A1A-9DE0-52BE3D638FF8}" name="Column12258"/>
    <tableColumn id="12292" xr3:uid="{24B7E30E-0930-41CA-B5C2-422588841A1A}" name="Column12259"/>
    <tableColumn id="12293" xr3:uid="{F0026AEF-DB5D-4B42-935E-984834738699}" name="Column12260"/>
    <tableColumn id="12294" xr3:uid="{C6F47FB7-2BA9-45C2-A4C4-3A27F015AE1B}" name="Column12261"/>
    <tableColumn id="12295" xr3:uid="{1E36EBD7-FF11-46A1-94FC-621FF8CD83CE}" name="Column12262"/>
    <tableColumn id="12296" xr3:uid="{AA2FC4B3-949C-464F-8355-7944C36C8530}" name="Column12263"/>
    <tableColumn id="12297" xr3:uid="{10ED1C0E-9DCD-4DDB-AE83-2CBD6C06130A}" name="Column12264"/>
    <tableColumn id="12298" xr3:uid="{144B9306-F0BD-4AC7-BFAE-C2731B0CB32D}" name="Column12265"/>
    <tableColumn id="12299" xr3:uid="{5C8B6A71-C3D7-4B9C-A6C1-44FBCE8C6834}" name="Column12266"/>
    <tableColumn id="12300" xr3:uid="{95CD3B52-BF70-431F-B542-E9B080261E11}" name="Column12267"/>
    <tableColumn id="12301" xr3:uid="{BB5910CE-73B0-4860-A62F-DA0D2B639582}" name="Column12268"/>
    <tableColumn id="12302" xr3:uid="{678C0458-A6DF-4029-9AEE-B61C961F3E14}" name="Column12269"/>
    <tableColumn id="12303" xr3:uid="{BD67BBE1-5613-485F-AF05-A257519126E2}" name="Column12270"/>
    <tableColumn id="12304" xr3:uid="{18559DED-CF28-4BCD-BA0C-76DAD730935D}" name="Column12271"/>
    <tableColumn id="12305" xr3:uid="{6693154B-93EA-4341-80DB-06A6C98609EA}" name="Column12272"/>
    <tableColumn id="12306" xr3:uid="{68CB9FFE-71D2-4AC6-BFF4-E208E677A0C8}" name="Column12273"/>
    <tableColumn id="12307" xr3:uid="{DAC4D987-9F57-446E-8E2D-2D38FF891D40}" name="Column12274"/>
    <tableColumn id="12308" xr3:uid="{BEFC1C76-E218-4E79-9DAC-47A970668992}" name="Column12275"/>
    <tableColumn id="12309" xr3:uid="{D1C5E5C0-28B4-4593-BC5B-149AB4B59264}" name="Column12276"/>
    <tableColumn id="12310" xr3:uid="{DA570E67-C0FB-427B-A847-83B0F8811C35}" name="Column12277"/>
    <tableColumn id="12311" xr3:uid="{71A372E7-784A-47DA-AC88-2CE7FDD007EC}" name="Column12278"/>
    <tableColumn id="12312" xr3:uid="{ACA9E327-0B03-4E3C-991E-DB08EEA476F5}" name="Column12279"/>
    <tableColumn id="12313" xr3:uid="{AD971BB9-459F-429B-B8D6-DEDE538E2E00}" name="Column12280"/>
    <tableColumn id="12314" xr3:uid="{8DACA80D-E525-4531-8D2B-FB48BB631A3D}" name="Column12281"/>
    <tableColumn id="12315" xr3:uid="{1AAD96CA-CD1C-422D-BEB3-E352088C0A1A}" name="Column12282"/>
    <tableColumn id="12316" xr3:uid="{A23BC79B-2D21-4F10-B299-7F7611C83ED3}" name="Column12283"/>
    <tableColumn id="12317" xr3:uid="{ED974FE1-F7DE-47C6-B983-57AE10A34BFB}" name="Column12284"/>
    <tableColumn id="12318" xr3:uid="{32CB1378-A58D-431D-9C19-912617C472DB}" name="Column12285"/>
    <tableColumn id="12319" xr3:uid="{716FADE6-D6AF-4861-8EF0-A44766A5F827}" name="Column12286"/>
    <tableColumn id="12320" xr3:uid="{924767FD-7279-4967-9B7E-B2FDE3699418}" name="Column12287"/>
    <tableColumn id="12321" xr3:uid="{A13F966A-3829-4F68-97D6-16F6BBC92CBD}" name="Column12288"/>
    <tableColumn id="12322" xr3:uid="{95E1B6E3-14F5-47C9-B775-D823DF8FEF79}" name="Column12289"/>
    <tableColumn id="12323" xr3:uid="{1DFC9B63-BD12-447B-8345-6C5463999A4B}" name="Column12290"/>
    <tableColumn id="12324" xr3:uid="{949358B1-D86D-49FC-BDBE-B8F83370DD21}" name="Column12291"/>
    <tableColumn id="12325" xr3:uid="{97339253-C54B-4925-8CF5-E68046FEF857}" name="Column12292"/>
    <tableColumn id="12326" xr3:uid="{D2DD48BA-3945-4678-8B8B-1992E6DB2AE0}" name="Column12293"/>
    <tableColumn id="12327" xr3:uid="{73D2065A-941F-4978-A781-1A216AB3E647}" name="Column12294"/>
    <tableColumn id="12328" xr3:uid="{F571EE1F-860A-4220-BE66-7C1AB3A11473}" name="Column12295"/>
    <tableColumn id="12329" xr3:uid="{EFCA9D01-7C6A-425B-B3E9-5419E5F02CA8}" name="Column12296"/>
    <tableColumn id="12330" xr3:uid="{B22DB968-DE22-48D0-88DB-19D35E88AC0B}" name="Column12297"/>
    <tableColumn id="12331" xr3:uid="{648EAC95-1FAA-43C9-A103-D4C47E2263F8}" name="Column12298"/>
    <tableColumn id="12332" xr3:uid="{97F094F7-A45F-443C-8C8C-FD67C8675B53}" name="Column12299"/>
    <tableColumn id="12333" xr3:uid="{E47C3350-4914-4F73-9B2D-2432CCB83094}" name="Column12300"/>
    <tableColumn id="12334" xr3:uid="{E7610EE2-CF37-43D2-B1B4-4284E522282C}" name="Column12301"/>
    <tableColumn id="12335" xr3:uid="{43017D92-66BD-4F65-9A4D-04CF16486DFD}" name="Column12302"/>
    <tableColumn id="12336" xr3:uid="{10664EDB-E32B-44D7-9F36-2141407181D4}" name="Column12303"/>
    <tableColumn id="12337" xr3:uid="{42BB9E4F-1A71-45CA-A2B0-E737FBD242E9}" name="Column12304"/>
    <tableColumn id="12338" xr3:uid="{8B5148D3-4167-4972-A211-B8BC1C86525E}" name="Column12305"/>
    <tableColumn id="12339" xr3:uid="{28E34A72-FCAC-44D1-B294-0F8AF56E2BC4}" name="Column12306"/>
    <tableColumn id="12340" xr3:uid="{D802C520-EBD8-4525-AFDB-280D1D86B40C}" name="Column12307"/>
    <tableColumn id="12341" xr3:uid="{A0BE5E52-3CE5-42F2-946C-E9D4817FCB63}" name="Column12308"/>
    <tableColumn id="12342" xr3:uid="{E2392099-4CCF-46AC-84A9-867672F774D6}" name="Column12309"/>
    <tableColumn id="12343" xr3:uid="{A26542F9-9414-4A59-A87C-D2C5A10347FB}" name="Column12310"/>
    <tableColumn id="12344" xr3:uid="{46A40361-646C-4399-8DEB-E184D246F5D3}" name="Column12311"/>
    <tableColumn id="12345" xr3:uid="{39DC8529-4606-4C81-9BC8-CF0EF547AB4F}" name="Column12312"/>
    <tableColumn id="12346" xr3:uid="{C6CE676E-7859-4120-B4B6-285BE29CC580}" name="Column12313"/>
    <tableColumn id="12347" xr3:uid="{36AF3DC1-DB0E-4EC9-A082-F41F9074D978}" name="Column12314"/>
    <tableColumn id="12348" xr3:uid="{0482E381-4CDE-4EC6-9612-9189C62E455A}" name="Column12315"/>
    <tableColumn id="12349" xr3:uid="{53A133B4-0544-4440-A396-8B7C78E301AE}" name="Column12316"/>
    <tableColumn id="12350" xr3:uid="{2D780877-776D-4E83-9FC4-FD878983A263}" name="Column12317"/>
    <tableColumn id="12351" xr3:uid="{2A8904BA-F1C1-49DE-BF58-5CD9193369E9}" name="Column12318"/>
    <tableColumn id="12352" xr3:uid="{40A45BFB-081F-4BC4-82A2-BE79AA83CD07}" name="Column12319"/>
    <tableColumn id="12353" xr3:uid="{5DA14210-0A2D-470E-BB25-5F6056D563B9}" name="Column12320"/>
    <tableColumn id="12354" xr3:uid="{5341996A-2F44-4DAF-8FCC-698253C8457A}" name="Column12321"/>
    <tableColumn id="12355" xr3:uid="{FAD98C7A-6CDE-4ABD-BC9D-075537279693}" name="Column12322"/>
    <tableColumn id="12356" xr3:uid="{868E0428-577D-44C9-9C10-77D6112A2D55}" name="Column12323"/>
    <tableColumn id="12357" xr3:uid="{6B8E8DE7-5D2E-4BB0-A03D-3F9C4EA88222}" name="Column12324"/>
    <tableColumn id="12358" xr3:uid="{D1902AA0-6641-44E9-A552-36CC3BEA01FA}" name="Column12325"/>
    <tableColumn id="12359" xr3:uid="{6B4FF8C1-B5D0-4F05-86E5-6682BFD81A03}" name="Column12326"/>
    <tableColumn id="12360" xr3:uid="{BC3EEED8-67A5-441A-9F2B-A39AF6928A24}" name="Column12327"/>
    <tableColumn id="12361" xr3:uid="{B5692F23-5125-49B0-BAD7-DD0BB423835D}" name="Column12328"/>
    <tableColumn id="12362" xr3:uid="{0A5BBFDF-2E50-4040-A4B0-5D8523AA1858}" name="Column12329"/>
    <tableColumn id="12363" xr3:uid="{07A56B38-4AB9-4308-8B53-DC175663504F}" name="Column12330"/>
    <tableColumn id="12364" xr3:uid="{79D6D862-7141-4914-A2FD-72893125218E}" name="Column12331"/>
    <tableColumn id="12365" xr3:uid="{E21FC409-9590-4599-AD08-FA84E9CAFBAB}" name="Column12332"/>
    <tableColumn id="12366" xr3:uid="{DE6E8773-23F1-4D25-A272-97B7971283C8}" name="Column12333"/>
    <tableColumn id="12367" xr3:uid="{61EAC322-81C1-4750-99B1-7E51B8D47764}" name="Column12334"/>
    <tableColumn id="12368" xr3:uid="{30B0D83D-9DE2-4254-ADF9-C4BBC7DE94EC}" name="Column12335"/>
    <tableColumn id="12369" xr3:uid="{7CDD0F1A-B180-4BEB-B6BC-0BBEDA4E10C6}" name="Column12336"/>
    <tableColumn id="12370" xr3:uid="{063764E4-FDB4-4EFD-897B-B3501B291FB0}" name="Column12337"/>
    <tableColumn id="12371" xr3:uid="{3AD207A3-3A5B-4F4C-933F-2BA218DB4C7C}" name="Column12338"/>
    <tableColumn id="12372" xr3:uid="{FB2435C2-A53C-4554-A57F-A6C939A1CDE5}" name="Column12339"/>
    <tableColumn id="12373" xr3:uid="{B6F0B9B2-ED90-4485-B10F-1BA72B1D4064}" name="Column12340"/>
    <tableColumn id="12374" xr3:uid="{D58B71C0-839C-422A-881B-BBA7502BB9F6}" name="Column12341"/>
    <tableColumn id="12375" xr3:uid="{22777CDC-F1BC-428D-BB5E-4F240D32DCC6}" name="Column12342"/>
    <tableColumn id="12376" xr3:uid="{497D3F1C-0EA9-4070-8BC5-5A2F1FC42FC1}" name="Column12343"/>
    <tableColumn id="12377" xr3:uid="{AF642317-BA1D-4893-BB77-04A01FF3BEBA}" name="Column12344"/>
    <tableColumn id="12378" xr3:uid="{BBF96FF1-7237-4326-9AF9-49566B21FB77}" name="Column12345"/>
    <tableColumn id="12379" xr3:uid="{A97E81A5-7566-4A0D-A9A0-FA7D43430454}" name="Column12346"/>
    <tableColumn id="12380" xr3:uid="{54FB6380-2E13-49CF-907D-E7130CE2D31A}" name="Column12347"/>
    <tableColumn id="12381" xr3:uid="{10026E40-84A6-4746-819C-5C3EB0763EC1}" name="Column12348"/>
    <tableColumn id="12382" xr3:uid="{8A52D346-9925-449E-8A2B-B80EC0886A06}" name="Column12349"/>
    <tableColumn id="12383" xr3:uid="{E2599FEC-A98A-486C-B57D-B7516D73B00C}" name="Column12350"/>
    <tableColumn id="12384" xr3:uid="{9557B845-004A-48DD-AEC7-9B926BD2350E}" name="Column12351"/>
    <tableColumn id="12385" xr3:uid="{9E9E70DE-B6BE-45F9-96D4-AA33E43ABB9E}" name="Column12352"/>
    <tableColumn id="12386" xr3:uid="{DCA86E92-35B7-45FB-BECB-77A561CB9993}" name="Column12353"/>
    <tableColumn id="12387" xr3:uid="{FB00A94F-E258-45EB-AC22-81115A7F1864}" name="Column12354"/>
    <tableColumn id="12388" xr3:uid="{78A8542B-DC3A-45A0-A9EA-FB1B95DC1CDA}" name="Column12355"/>
    <tableColumn id="12389" xr3:uid="{BBB7861B-29E0-4993-B3A9-E30F8F51C9A5}" name="Column12356"/>
    <tableColumn id="12390" xr3:uid="{E1C83B87-E957-4FBA-B76F-DB0E06DD77D5}" name="Column12357"/>
    <tableColumn id="12391" xr3:uid="{5EB5BB00-DC84-42D2-A37B-B9A824E0D4FC}" name="Column12358"/>
    <tableColumn id="12392" xr3:uid="{596F2CBF-4986-46F9-91FD-F7B0B9A75020}" name="Column12359"/>
    <tableColumn id="12393" xr3:uid="{232489C3-3737-4991-9803-4A0EC832E6E1}" name="Column12360"/>
    <tableColumn id="12394" xr3:uid="{E557395A-CF65-46A7-BC11-DB27A4C2CCC7}" name="Column12361"/>
    <tableColumn id="12395" xr3:uid="{0A41D587-39C1-4D25-B054-43F852DD813D}" name="Column12362"/>
    <tableColumn id="12396" xr3:uid="{DBA4D4FF-F586-4C2D-9189-60AA8D375EF1}" name="Column12363"/>
    <tableColumn id="12397" xr3:uid="{2FC1BFE1-4092-4DC5-90D2-E948EEA5379D}" name="Column12364"/>
    <tableColumn id="12398" xr3:uid="{A01001A4-7EC7-441E-82F5-CCC2E237E1D0}" name="Column12365"/>
    <tableColumn id="12399" xr3:uid="{88091A60-F860-44F6-B192-0D946D82026D}" name="Column12366"/>
    <tableColumn id="12400" xr3:uid="{DD074703-D079-4F88-89F3-85B31EF46A69}" name="Column12367"/>
    <tableColumn id="12401" xr3:uid="{68EA75C1-AA93-4352-92BA-DB2A6E2EF1C2}" name="Column12368"/>
    <tableColumn id="12402" xr3:uid="{D0AADA95-6AAC-4867-A4DB-97DCFBEB936D}" name="Column12369"/>
    <tableColumn id="12403" xr3:uid="{AAA41E4D-0763-480B-964F-8A14CFBC2384}" name="Column12370"/>
    <tableColumn id="12404" xr3:uid="{AC47D2D7-D7EF-409B-A2F8-B3FD62092981}" name="Column12371"/>
    <tableColumn id="12405" xr3:uid="{F2418150-4E1F-4C3B-8E0C-23574ECCD016}" name="Column12372"/>
    <tableColumn id="12406" xr3:uid="{CEB45B5E-8E71-437C-8EC3-E4225D55FC8F}" name="Column12373"/>
    <tableColumn id="12407" xr3:uid="{0B23CA8C-A7C0-4898-8748-95208F07F234}" name="Column12374"/>
    <tableColumn id="12408" xr3:uid="{0DB631FB-91CF-47E3-9920-FE874D768D36}" name="Column12375"/>
    <tableColumn id="12409" xr3:uid="{1C6AB6D5-27A6-496B-B8D6-05C35FFA3DDB}" name="Column12376"/>
    <tableColumn id="12410" xr3:uid="{A76449E6-D68F-4044-B7E2-D2441C458EF3}" name="Column12377"/>
    <tableColumn id="12411" xr3:uid="{E2B81662-916F-4800-8F16-8D64E078D8D4}" name="Column12378"/>
    <tableColumn id="12412" xr3:uid="{A61D298E-E7FA-4DB6-8ABC-0E04B285831F}" name="Column12379"/>
    <tableColumn id="12413" xr3:uid="{B3F4E237-110D-4F4F-8186-D69157FC540A}" name="Column12380"/>
    <tableColumn id="12414" xr3:uid="{C91D1EFD-CFF3-4D9F-B0C3-3EE68FE68C4B}" name="Column12381"/>
    <tableColumn id="12415" xr3:uid="{A7251B2C-5DC8-4BCC-9AD6-4BA13833732A}" name="Column12382"/>
    <tableColumn id="12416" xr3:uid="{C840E136-07B5-4312-9E68-6DDA9B3A4C46}" name="Column12383"/>
    <tableColumn id="12417" xr3:uid="{6453A144-DED4-4183-A599-74614A87694C}" name="Column12384"/>
    <tableColumn id="12418" xr3:uid="{D1966409-5EC5-4D24-91D3-869DDB0D7282}" name="Column12385"/>
    <tableColumn id="12419" xr3:uid="{13253839-49D7-48AE-BA0A-D9C1F47EF154}" name="Column12386"/>
    <tableColumn id="12420" xr3:uid="{00EAFF61-DDA0-49F2-BE68-03C78F853EE6}" name="Column12387"/>
    <tableColumn id="12421" xr3:uid="{1746298B-9DDA-4F4B-A56D-B3DE0AD109C6}" name="Column12388"/>
    <tableColumn id="12422" xr3:uid="{47A28170-0C24-4FD0-B626-E9DE9E710E35}" name="Column12389"/>
    <tableColumn id="12423" xr3:uid="{FB7E95AE-89C8-4C21-A1A3-B3493F6EB078}" name="Column12390"/>
    <tableColumn id="12424" xr3:uid="{8AF92692-27BC-4ECB-A906-9363199169FB}" name="Column12391"/>
    <tableColumn id="12425" xr3:uid="{5D519A8F-65DA-46C7-A0CA-CFF9E261D638}" name="Column12392"/>
    <tableColumn id="12426" xr3:uid="{705E5681-72B5-436B-88B4-6802BAD30AAF}" name="Column12393"/>
    <tableColumn id="12427" xr3:uid="{B7095F0B-F11B-424F-A7E6-FAA64E450B77}" name="Column12394"/>
    <tableColumn id="12428" xr3:uid="{2F601087-C435-494C-99E3-82E37A5AF16F}" name="Column12395"/>
    <tableColumn id="12429" xr3:uid="{6DD746C6-B3B6-4777-BB93-FBEB40C402C8}" name="Column12396"/>
    <tableColumn id="12430" xr3:uid="{FA5AC696-8E7D-44D9-9625-566AD1476E6C}" name="Column12397"/>
    <tableColumn id="12431" xr3:uid="{B555A2D8-F006-41CE-85EC-FC82C5D4A716}" name="Column12398"/>
    <tableColumn id="12432" xr3:uid="{80797BA1-D093-48DD-A545-F0A29BD5553A}" name="Column12399"/>
    <tableColumn id="12433" xr3:uid="{DADB4F77-794E-4E02-A5EF-6FED8979E65A}" name="Column12400"/>
    <tableColumn id="12434" xr3:uid="{9B58983E-84A7-4AE6-AB2E-CBCA021AA861}" name="Column12401"/>
    <tableColumn id="12435" xr3:uid="{5A39E014-AA03-4A28-BADD-DB50B875ABF8}" name="Column12402"/>
    <tableColumn id="12436" xr3:uid="{FF05C896-4A13-4292-A5F0-42C41CD2F9E2}" name="Column12403"/>
    <tableColumn id="12437" xr3:uid="{796D99E5-6CF0-4602-9A03-1048FBC9BA0A}" name="Column12404"/>
    <tableColumn id="12438" xr3:uid="{C29193C3-9F54-4EF0-BB15-9D57F3B27D26}" name="Column12405"/>
    <tableColumn id="12439" xr3:uid="{35C9F4DF-CB69-4661-A206-12BDD9527ABB}" name="Column12406"/>
    <tableColumn id="12440" xr3:uid="{C68FA8A1-A600-480D-BAE7-9FC249ED9A35}" name="Column12407"/>
    <tableColumn id="12441" xr3:uid="{F0E5B460-E304-4471-9EA1-1210337A7E56}" name="Column12408"/>
    <tableColumn id="12442" xr3:uid="{88D9CD53-5D02-4FEC-92BD-C12D84B01A73}" name="Column12409"/>
    <tableColumn id="12443" xr3:uid="{74AF58C6-DE78-42C6-82DC-7735276AD1AB}" name="Column12410"/>
    <tableColumn id="12444" xr3:uid="{6843DFEB-D3D1-4BEC-9927-FE46F4805739}" name="Column12411"/>
    <tableColumn id="12445" xr3:uid="{688D5400-0CA6-45D3-9B17-8C4DB70BCC7B}" name="Column12412"/>
    <tableColumn id="12446" xr3:uid="{774A865D-48ED-44DB-B73F-74904073152D}" name="Column12413"/>
    <tableColumn id="12447" xr3:uid="{4844ADDC-EB13-4276-9259-D72D0CF5F9AA}" name="Column12414"/>
    <tableColumn id="12448" xr3:uid="{FF139F95-62AB-4454-9336-82B69810F29D}" name="Column12415"/>
    <tableColumn id="12449" xr3:uid="{4E60B9BE-9E49-408D-910D-BD0ED078A9ED}" name="Column12416"/>
    <tableColumn id="12450" xr3:uid="{DD9AB469-126B-4DB2-90D3-8801F4337C89}" name="Column12417"/>
    <tableColumn id="12451" xr3:uid="{FE848D0B-8E2A-4E04-9812-751D6FE1DCE4}" name="Column12418"/>
    <tableColumn id="12452" xr3:uid="{C7FCD910-20C3-490E-92A9-1ABCA5DA24E5}" name="Column12419"/>
    <tableColumn id="12453" xr3:uid="{3EB868CD-55F5-424B-99CE-7AB671923EDA}" name="Column12420"/>
    <tableColumn id="12454" xr3:uid="{734F8260-5E28-49D2-ABDE-A2AE5575F401}" name="Column12421"/>
    <tableColumn id="12455" xr3:uid="{86CD2A13-75AD-4507-B6BC-5D894C489DFE}" name="Column12422"/>
    <tableColumn id="12456" xr3:uid="{DBA48785-14BF-4F8A-94CC-0947CA000022}" name="Column12423"/>
    <tableColumn id="12457" xr3:uid="{DF809968-C370-445A-8403-60284CA12282}" name="Column12424"/>
    <tableColumn id="12458" xr3:uid="{40118A6B-4459-496D-845A-9A1B32D20858}" name="Column12425"/>
    <tableColumn id="12459" xr3:uid="{2A60B9D1-5431-4152-BC0E-177485B19D08}" name="Column12426"/>
    <tableColumn id="12460" xr3:uid="{972C8D53-C6A1-4A82-AE59-2EDE9B98078B}" name="Column12427"/>
    <tableColumn id="12461" xr3:uid="{7F69108B-479B-4C1F-AB92-4643FEC7FBE1}" name="Column12428"/>
    <tableColumn id="12462" xr3:uid="{622F67FD-7DA5-48BA-8304-E4C533D8E443}" name="Column12429"/>
    <tableColumn id="12463" xr3:uid="{AFF1D6C4-2157-4D11-A7F0-4085B3D79B08}" name="Column12430"/>
    <tableColumn id="12464" xr3:uid="{EB4A8607-E8CA-4459-BEE5-768EABFB70EE}" name="Column12431"/>
    <tableColumn id="12465" xr3:uid="{AEEC0507-408E-4A50-8E1E-08D411D09645}" name="Column12432"/>
    <tableColumn id="12466" xr3:uid="{1E5FAA8E-BD29-4618-9BDF-8821DA79E907}" name="Column12433"/>
    <tableColumn id="12467" xr3:uid="{8108AA33-3D26-42A4-8C95-2216A88860EE}" name="Column12434"/>
    <tableColumn id="12468" xr3:uid="{0914B495-CD50-44D0-A68F-ED3703962826}" name="Column12435"/>
    <tableColumn id="12469" xr3:uid="{8E6D81E0-554D-4C00-9307-1F527F125A24}" name="Column12436"/>
    <tableColumn id="12470" xr3:uid="{A8377BE6-B9EA-4308-A978-4523A3487E2F}" name="Column12437"/>
    <tableColumn id="12471" xr3:uid="{B58BB21E-05AD-4696-894B-5930B79D89C3}" name="Column12438"/>
    <tableColumn id="12472" xr3:uid="{FE12F98C-591E-40C3-BFA8-64A00143332F}" name="Column12439"/>
    <tableColumn id="12473" xr3:uid="{688DD001-E2EC-42C8-B38C-793D017370FD}" name="Column12440"/>
    <tableColumn id="12474" xr3:uid="{5618399F-3E97-42B7-9424-BFF12B92DAD9}" name="Column12441"/>
    <tableColumn id="12475" xr3:uid="{DC68FD0C-E461-4563-8438-0C76020F8E57}" name="Column12442"/>
    <tableColumn id="12476" xr3:uid="{A6BB1A80-D621-4F29-9D86-BC3B343BE0F3}" name="Column12443"/>
    <tableColumn id="12477" xr3:uid="{74C0AB81-F378-47D4-A0A7-83EFEE560F01}" name="Column12444"/>
    <tableColumn id="12478" xr3:uid="{D4DE0F14-DCD1-4035-91FC-3DBC102C0BC1}" name="Column12445"/>
    <tableColumn id="12479" xr3:uid="{AF01A3D9-B66C-41EA-8071-785877AD5E73}" name="Column12446"/>
    <tableColumn id="12480" xr3:uid="{3D47A565-2A4C-4046-BD67-920DE819BED7}" name="Column12447"/>
    <tableColumn id="12481" xr3:uid="{A57DFF88-1937-4D85-B594-763CB6C3371A}" name="Column12448"/>
    <tableColumn id="12482" xr3:uid="{0EDC6A5C-EE9B-4712-9378-DDDB75E8234C}" name="Column12449"/>
    <tableColumn id="12483" xr3:uid="{F782CA4F-C4BD-44EA-AE36-0AAC3A814D95}" name="Column12450"/>
    <tableColumn id="12484" xr3:uid="{B562C0EE-03F5-4997-B3C5-6F1007B91FE0}" name="Column12451"/>
    <tableColumn id="12485" xr3:uid="{F110723F-8369-4002-B9B9-3997CEC38540}" name="Column12452"/>
    <tableColumn id="12486" xr3:uid="{C0AD0A38-B85B-4C87-99BC-5D9592A9E0D5}" name="Column12453"/>
    <tableColumn id="12487" xr3:uid="{6DEAEAFB-9D0C-47A5-91B0-FA79997F1849}" name="Column12454"/>
    <tableColumn id="12488" xr3:uid="{AAE4B35D-7D3E-4D5B-BF69-57C73B54F16C}" name="Column12455"/>
    <tableColumn id="12489" xr3:uid="{07F9546D-60C7-4EFB-B37F-37118DBA8E6E}" name="Column12456"/>
    <tableColumn id="12490" xr3:uid="{CD6410A2-C97A-45B4-985E-0B3F5661791D}" name="Column12457"/>
    <tableColumn id="12491" xr3:uid="{D3615204-56C4-4427-A03B-D0374668AFB3}" name="Column12458"/>
    <tableColumn id="12492" xr3:uid="{7A709CA8-43D9-4025-861E-11B1B8F7D36A}" name="Column12459"/>
    <tableColumn id="12493" xr3:uid="{5C8F35E4-8CC5-4AE8-8B48-7370D2620F2B}" name="Column12460"/>
    <tableColumn id="12494" xr3:uid="{EC65ADCA-C08F-4B36-9F98-04B8DBB82309}" name="Column12461"/>
    <tableColumn id="12495" xr3:uid="{5302C27C-23EA-4575-961C-42E94F4839B8}" name="Column12462"/>
    <tableColumn id="12496" xr3:uid="{06E7513A-6607-45B6-9749-CD554F19BB01}" name="Column12463"/>
    <tableColumn id="12497" xr3:uid="{2CBA9234-251D-4055-8AFD-5CF22490A72B}" name="Column12464"/>
    <tableColumn id="12498" xr3:uid="{7DE41494-3EED-4AC1-A092-802C4A6AB2F7}" name="Column12465"/>
    <tableColumn id="12499" xr3:uid="{16A9B377-2B0F-4628-8FFA-C30FA57835CF}" name="Column12466"/>
    <tableColumn id="12500" xr3:uid="{7BC68FDA-81C4-42D0-9805-DBE0D819CF22}" name="Column12467"/>
    <tableColumn id="12501" xr3:uid="{B4A8575E-EE81-4793-860A-85A5F8FE87C1}" name="Column12468"/>
    <tableColumn id="12502" xr3:uid="{5FFE2720-559A-43AA-81BC-C10177E9D868}" name="Column12469"/>
    <tableColumn id="12503" xr3:uid="{19B6C622-8E13-46AD-9BB0-8BF9597EDC1F}" name="Column12470"/>
    <tableColumn id="12504" xr3:uid="{B884A1B7-3234-4904-A013-989F1FBE91D8}" name="Column12471"/>
    <tableColumn id="12505" xr3:uid="{DA2341FC-C7A7-4F43-BF85-BE5EEC9539DF}" name="Column12472"/>
    <tableColumn id="12506" xr3:uid="{3F5A2F80-CFE5-4D03-A044-D118A8153E67}" name="Column12473"/>
    <tableColumn id="12507" xr3:uid="{79E32400-9E75-4F57-B896-956871A5E280}" name="Column12474"/>
    <tableColumn id="12508" xr3:uid="{C36F101F-C7D9-47BC-A1BC-4245671616CB}" name="Column12475"/>
    <tableColumn id="12509" xr3:uid="{5C392BF1-45D5-4FDE-8915-5EE1B8432713}" name="Column12476"/>
    <tableColumn id="12510" xr3:uid="{6DAABC05-55B7-49CB-8F75-D06FFAA6CAC5}" name="Column12477"/>
    <tableColumn id="12511" xr3:uid="{A3E141D9-A6F4-4302-8341-CF3087AC9C38}" name="Column12478"/>
    <tableColumn id="12512" xr3:uid="{D1429096-6B6E-4997-8BD3-69A996108714}" name="Column12479"/>
    <tableColumn id="12513" xr3:uid="{6E15D47D-B34C-48D1-BEB7-7CE36986F7DA}" name="Column12480"/>
    <tableColumn id="12514" xr3:uid="{6FB0F8EE-D366-41AA-8297-C8D0FFDB90B6}" name="Column12481"/>
    <tableColumn id="12515" xr3:uid="{BC8FF187-BF26-43E5-855D-60A81048E5CE}" name="Column12482"/>
    <tableColumn id="12516" xr3:uid="{5C906E52-98A7-4A23-A8DD-D0E259220567}" name="Column12483"/>
    <tableColumn id="12517" xr3:uid="{64CD4DFB-DDCF-4B3C-9282-75BCED8218DC}" name="Column12484"/>
    <tableColumn id="12518" xr3:uid="{15E63558-107A-44D5-9249-0970B686E86E}" name="Column12485"/>
    <tableColumn id="12519" xr3:uid="{A9A0E19D-CDEE-4C87-A5CC-B201AF92E0E9}" name="Column12486"/>
    <tableColumn id="12520" xr3:uid="{D328B38F-3325-4A35-B71A-EE8B64DAFFBB}" name="Column12487"/>
    <tableColumn id="12521" xr3:uid="{ABADB5A9-6AE2-484F-922C-E9E8A839A51B}" name="Column12488"/>
    <tableColumn id="12522" xr3:uid="{99F048CB-7FD9-4F71-8918-579070F755F0}" name="Column12489"/>
    <tableColumn id="12523" xr3:uid="{D9FA2F7D-A2FC-46D8-BCAD-E8AA9257817E}" name="Column12490"/>
    <tableColumn id="12524" xr3:uid="{85F54D6D-7343-4C76-B010-57F85D5EED1E}" name="Column12491"/>
    <tableColumn id="12525" xr3:uid="{E9D42542-EE76-4902-BD31-D4A91794FAB6}" name="Column12492"/>
    <tableColumn id="12526" xr3:uid="{ADF95513-D647-4EA3-BE0F-62914081879C}" name="Column12493"/>
    <tableColumn id="12527" xr3:uid="{30C70D62-234E-4E2C-8608-B7D5DB812108}" name="Column12494"/>
    <tableColumn id="12528" xr3:uid="{8BA588A9-27A0-4354-8625-EE79D016F6A6}" name="Column12495"/>
    <tableColumn id="12529" xr3:uid="{B16FD12F-11D6-4684-84C5-0199DC5A64F3}" name="Column12496"/>
    <tableColumn id="12530" xr3:uid="{F93A10A1-0ADD-4FF9-97C9-D03C647A3B58}" name="Column12497"/>
    <tableColumn id="12531" xr3:uid="{14214644-C965-40A5-98E0-D134F4653835}" name="Column12498"/>
    <tableColumn id="12532" xr3:uid="{28B1CC67-A8F1-40F6-A9F8-07D10FB2E805}" name="Column12499"/>
    <tableColumn id="12533" xr3:uid="{3591EC3F-206F-43EE-B0BF-535E2AADCCF1}" name="Column12500"/>
    <tableColumn id="12534" xr3:uid="{B8D79399-2681-4A17-A78F-AF2C52E4BFD4}" name="Column12501"/>
    <tableColumn id="12535" xr3:uid="{FA68CEBE-F28E-4FC1-863C-4AC6B81D1DCE}" name="Column12502"/>
    <tableColumn id="12536" xr3:uid="{F9B9336C-9087-4E61-8A0C-F431B1C8A789}" name="Column12503"/>
    <tableColumn id="12537" xr3:uid="{ECEC4299-5D79-4BBC-9100-45DA495E0DFF}" name="Column12504"/>
    <tableColumn id="12538" xr3:uid="{58A05AB9-CE22-438B-9F64-05EC991449EC}" name="Column12505"/>
    <tableColumn id="12539" xr3:uid="{ACE7457B-DDD9-4CEE-887D-6B338C71EBC3}" name="Column12506"/>
    <tableColumn id="12540" xr3:uid="{673D5805-00D3-4C07-A36B-4A56F241C454}" name="Column12507"/>
    <tableColumn id="12541" xr3:uid="{EE6566DB-E43A-4A25-B7D6-93EEE2C7B858}" name="Column12508"/>
    <tableColumn id="12542" xr3:uid="{E9510E55-410C-4D77-B47A-5C3CB1735CE0}" name="Column12509"/>
    <tableColumn id="12543" xr3:uid="{2C122504-2F8B-4BA2-AE1C-4A6163289444}" name="Column12510"/>
    <tableColumn id="12544" xr3:uid="{EA33A472-8502-4172-BE21-4350809B798D}" name="Column12511"/>
    <tableColumn id="12545" xr3:uid="{86DEE833-0C4B-430F-8289-E85C6B3CCD05}" name="Column12512"/>
    <tableColumn id="12546" xr3:uid="{50C183B3-FC30-4871-B6B8-BAC89B5B07ED}" name="Column12513"/>
    <tableColumn id="12547" xr3:uid="{84C8BA4B-2932-4586-BD13-544C12F928A7}" name="Column12514"/>
    <tableColumn id="12548" xr3:uid="{66153FFF-692A-4222-B1C2-66E44031875D}" name="Column12515"/>
    <tableColumn id="12549" xr3:uid="{C0D1D86D-1F91-40F3-A3DC-7050911AB414}" name="Column12516"/>
    <tableColumn id="12550" xr3:uid="{678F9A86-705C-4975-AFEE-EDE027B2E25A}" name="Column12517"/>
    <tableColumn id="12551" xr3:uid="{A4195AAB-AC75-4B83-B7AF-7C7C54B304BB}" name="Column12518"/>
    <tableColumn id="12552" xr3:uid="{31B8A6FA-7BA2-4194-91DE-BC87EF814C33}" name="Column12519"/>
    <tableColumn id="12553" xr3:uid="{D5903E59-888C-4759-AA27-3E2DD5E4B5C6}" name="Column12520"/>
    <tableColumn id="12554" xr3:uid="{204E651F-BC3F-4C63-8128-6A5486C8D602}" name="Column12521"/>
    <tableColumn id="12555" xr3:uid="{42E8BD01-2A84-48D1-9694-B8F5AF079A29}" name="Column12522"/>
    <tableColumn id="12556" xr3:uid="{CDBC5D78-2E5C-4521-91DC-9E73233633C8}" name="Column12523"/>
    <tableColumn id="12557" xr3:uid="{1A89F357-2743-4E58-A08B-8BA500B1EE21}" name="Column12524"/>
    <tableColumn id="12558" xr3:uid="{12319C9F-DA8D-44F6-A033-8E4ECC731235}" name="Column12525"/>
    <tableColumn id="12559" xr3:uid="{51BCC89A-BD1B-4123-8474-AD20BC4137D5}" name="Column12526"/>
    <tableColumn id="12560" xr3:uid="{51332FEF-03D2-47E8-981D-B41AE317A424}" name="Column12527"/>
    <tableColumn id="12561" xr3:uid="{36E4468E-38C2-413F-826D-922E2F143FA8}" name="Column12528"/>
    <tableColumn id="12562" xr3:uid="{245217A2-E3B4-4271-83F0-1641BAA6907C}" name="Column12529"/>
    <tableColumn id="12563" xr3:uid="{67DBEEEC-EB58-4010-A676-59A83D92CC23}" name="Column12530"/>
    <tableColumn id="12564" xr3:uid="{3D7996FE-7325-429F-B7DC-38A05B459D77}" name="Column12531"/>
    <tableColumn id="12565" xr3:uid="{E8C7D474-6A1F-4A80-8486-3D17E1A4C396}" name="Column12532"/>
    <tableColumn id="12566" xr3:uid="{9F193273-D744-4477-8DC2-D0BCE1A9D3D3}" name="Column12533"/>
    <tableColumn id="12567" xr3:uid="{74057CAE-9279-4A23-92EA-82AB3C2E1262}" name="Column12534"/>
    <tableColumn id="12568" xr3:uid="{46AD0368-A011-488C-9402-0049793267E8}" name="Column12535"/>
    <tableColumn id="12569" xr3:uid="{28CC8EA8-91E4-4E0A-8223-39CEDF696A6A}" name="Column12536"/>
    <tableColumn id="12570" xr3:uid="{99704D8D-4E67-4F39-83B1-C1856485816D}" name="Column12537"/>
    <tableColumn id="12571" xr3:uid="{3358C666-7296-48D4-B38B-84BD9F286C82}" name="Column12538"/>
    <tableColumn id="12572" xr3:uid="{86944246-BC72-489E-8049-855B45B87FB4}" name="Column12539"/>
    <tableColumn id="12573" xr3:uid="{94D11251-BBC4-47B5-A897-02CA5C86DAF1}" name="Column12540"/>
    <tableColumn id="12574" xr3:uid="{3FB68719-B5B6-43DE-BDD4-E4CD042BC341}" name="Column12541"/>
    <tableColumn id="12575" xr3:uid="{63A43D11-8C7B-47A0-AC8C-435DC1AF3553}" name="Column12542"/>
    <tableColumn id="12576" xr3:uid="{A5FBDF42-99D9-4DFC-B47C-888FA86C6E27}" name="Column12543"/>
    <tableColumn id="12577" xr3:uid="{7F47659B-145E-40A6-B867-D48264FAB3D0}" name="Column12544"/>
    <tableColumn id="12578" xr3:uid="{719CF35E-D2C6-474F-8381-B3E5A422E2F3}" name="Column12545"/>
    <tableColumn id="12579" xr3:uid="{8043FFC6-24F8-4A95-A0ED-2649DE0A1DC4}" name="Column12546"/>
    <tableColumn id="12580" xr3:uid="{E1476A9E-28FC-45A5-90E7-EDC4540E720C}" name="Column12547"/>
    <tableColumn id="12581" xr3:uid="{206FAE20-8314-4116-B008-AB232601A3A7}" name="Column12548"/>
    <tableColumn id="12582" xr3:uid="{D860FE04-07E3-42A5-AEA9-E947FC584683}" name="Column12549"/>
    <tableColumn id="12583" xr3:uid="{3F04FFCF-D82A-4476-8224-B2CB1657D72B}" name="Column12550"/>
    <tableColumn id="12584" xr3:uid="{1B6DBD10-A6DE-4A04-BDCB-6571515A1010}" name="Column12551"/>
    <tableColumn id="12585" xr3:uid="{CE992D98-5C09-4093-93E1-EDFEF581879A}" name="Column12552"/>
    <tableColumn id="12586" xr3:uid="{1319A667-27C0-4073-BB7D-8250A8DA7FAD}" name="Column12553"/>
    <tableColumn id="12587" xr3:uid="{5C8AD468-2F50-4027-896B-E7770FA52360}" name="Column12554"/>
    <tableColumn id="12588" xr3:uid="{5DAE0726-F473-494F-AB7E-E8230EA458BD}" name="Column12555"/>
    <tableColumn id="12589" xr3:uid="{E03BB1F3-52ED-447E-9D0A-45C1C09E135E}" name="Column12556"/>
    <tableColumn id="12590" xr3:uid="{F57C8CE3-FCE8-41D4-8764-A979E259AD8A}" name="Column12557"/>
    <tableColumn id="12591" xr3:uid="{48F0A724-B0DF-436E-96F8-EEBD9855BD9E}" name="Column12558"/>
    <tableColumn id="12592" xr3:uid="{62BFBB90-147D-4F04-BA41-25912665C339}" name="Column12559"/>
    <tableColumn id="12593" xr3:uid="{D345029A-5A87-4BD7-A306-292EE219DFDD}" name="Column12560"/>
    <tableColumn id="12594" xr3:uid="{41CD53BB-50CB-4F42-9D41-F4CC61F84B2A}" name="Column12561"/>
    <tableColumn id="12595" xr3:uid="{D9117886-016D-46FF-9605-B4D26706914C}" name="Column12562"/>
    <tableColumn id="12596" xr3:uid="{9D318C38-F3F4-4327-BDCE-CC06A30A9953}" name="Column12563"/>
    <tableColumn id="12597" xr3:uid="{2EECC422-9076-4B85-8B0A-9A7A0990850B}" name="Column12564"/>
    <tableColumn id="12598" xr3:uid="{46D1E621-0772-434A-8F88-D8B9ED64A68C}" name="Column12565"/>
    <tableColumn id="12599" xr3:uid="{EBD331DF-D73F-4833-91BD-6D07C8F5B3F4}" name="Column12566"/>
    <tableColumn id="12600" xr3:uid="{F5571BC3-A051-4A2F-8C9D-198A7DFC6CD3}" name="Column12567"/>
    <tableColumn id="12601" xr3:uid="{969E548D-0F7F-4A00-889F-50846FA6DE66}" name="Column12568"/>
    <tableColumn id="12602" xr3:uid="{8300CADC-65E4-4AD8-87AE-B085DA88293A}" name="Column12569"/>
    <tableColumn id="12603" xr3:uid="{361532ED-B879-41B7-BE16-A0A57FF05275}" name="Column12570"/>
    <tableColumn id="12604" xr3:uid="{7DC14D08-782E-40BC-9A05-43E546AB47F5}" name="Column12571"/>
    <tableColumn id="12605" xr3:uid="{6FBF89C6-6F18-4051-B2B5-7BA0D3153A26}" name="Column12572"/>
    <tableColumn id="12606" xr3:uid="{37E69E9F-26DD-474B-9C4B-73EF7CB13841}" name="Column12573"/>
    <tableColumn id="12607" xr3:uid="{2F79E59B-9C20-408C-BBAF-D2BA2F86270C}" name="Column12574"/>
    <tableColumn id="12608" xr3:uid="{152512D0-87F8-4AFE-8064-6F75CA2E793F}" name="Column12575"/>
    <tableColumn id="12609" xr3:uid="{D67560AD-4BE1-4279-AE92-4543CB866D57}" name="Column12576"/>
    <tableColumn id="12610" xr3:uid="{C14BC8A2-1CF1-4621-BB74-8726E1B5BA4F}" name="Column12577"/>
    <tableColumn id="12611" xr3:uid="{5A0232F4-9A47-4DBF-B45A-9B8E6C15B537}" name="Column12578"/>
    <tableColumn id="12612" xr3:uid="{50D67F19-92A9-4595-972B-4D552C30BD63}" name="Column12579"/>
    <tableColumn id="12613" xr3:uid="{67FC289D-BCD3-4FDE-A27C-A4E9E66F5879}" name="Column12580"/>
    <tableColumn id="12614" xr3:uid="{64EF4E7C-AAAF-425B-8166-1173A4244E20}" name="Column12581"/>
    <tableColumn id="12615" xr3:uid="{F0FFD46E-69EC-4C4E-9B73-B3C3E23EC17A}" name="Column12582"/>
    <tableColumn id="12616" xr3:uid="{9025955F-297E-4EBD-8609-AE907F8725B0}" name="Column12583"/>
    <tableColumn id="12617" xr3:uid="{B54E42CD-0572-4CF9-A457-22E150A6EBF5}" name="Column12584"/>
    <tableColumn id="12618" xr3:uid="{4613630A-1EB4-4A53-9430-3DBE6B79489B}" name="Column12585"/>
    <tableColumn id="12619" xr3:uid="{47D40829-FF53-402A-A47B-BD88837E3219}" name="Column12586"/>
    <tableColumn id="12620" xr3:uid="{36BF9B8B-4AE9-4E92-B375-20425471300F}" name="Column12587"/>
    <tableColumn id="12621" xr3:uid="{DB86EDD1-6CD6-499B-A313-7710ADDD360B}" name="Column12588"/>
    <tableColumn id="12622" xr3:uid="{1E4C527A-9FCA-4384-8469-9E497C2209B2}" name="Column12589"/>
    <tableColumn id="12623" xr3:uid="{B35F0776-5F3C-490A-821A-DEF0469DD1F3}" name="Column12590"/>
    <tableColumn id="12624" xr3:uid="{C2833630-BB86-43F6-8562-A63263886C2A}" name="Column12591"/>
    <tableColumn id="12625" xr3:uid="{501068A3-0E58-4E8A-974E-A4857360C1E8}" name="Column12592"/>
    <tableColumn id="12626" xr3:uid="{A085E3C6-4A53-4D89-AB7A-4D43471D544E}" name="Column12593"/>
    <tableColumn id="12627" xr3:uid="{406C560F-E632-49D5-BBCD-EE454FFCE9AF}" name="Column12594"/>
    <tableColumn id="12628" xr3:uid="{28D058F2-0FC4-4652-98D7-6904D6328F3E}" name="Column12595"/>
    <tableColumn id="12629" xr3:uid="{7FA7EC16-CAD5-49F9-A83A-AF8816E36FFA}" name="Column12596"/>
    <tableColumn id="12630" xr3:uid="{4F79E3A4-5F4E-4444-961D-52170B49CAF7}" name="Column12597"/>
    <tableColumn id="12631" xr3:uid="{DE1728D8-4954-4B03-9295-33F7BDDA9F4E}" name="Column12598"/>
    <tableColumn id="12632" xr3:uid="{86DB4E32-CCAC-48B5-9FF9-570C3AAE4AF3}" name="Column12599"/>
    <tableColumn id="12633" xr3:uid="{9E493FB3-51CA-4BEA-A841-EF63867C6842}" name="Column12600"/>
    <tableColumn id="12634" xr3:uid="{078C5805-4B5F-40C6-B5D2-F4A3707F49B9}" name="Column12601"/>
    <tableColumn id="12635" xr3:uid="{28B0967F-827C-4ECE-A295-7F345FEB0A72}" name="Column12602"/>
    <tableColumn id="12636" xr3:uid="{36044E66-64F4-4D33-AC84-FEEE6DD021AB}" name="Column12603"/>
    <tableColumn id="12637" xr3:uid="{0961B183-C7E2-4C14-90E9-1758ECC9F257}" name="Column12604"/>
    <tableColumn id="12638" xr3:uid="{4E06326B-5DCF-4B7D-82AF-F7DF61B4AD15}" name="Column12605"/>
    <tableColumn id="12639" xr3:uid="{50B84849-F3F4-43F0-86A3-F37AFA0ED6E6}" name="Column12606"/>
    <tableColumn id="12640" xr3:uid="{F176904D-AEB0-447E-81B2-930798376526}" name="Column12607"/>
    <tableColumn id="12641" xr3:uid="{F8102B5F-FD9A-4761-8FEB-5AC198F6E8A1}" name="Column12608"/>
    <tableColumn id="12642" xr3:uid="{C70CD5FE-5108-45B1-A1F9-92DC4AF32154}" name="Column12609"/>
    <tableColumn id="12643" xr3:uid="{FA4A7FA3-5F52-465A-97B4-47986BF33E0A}" name="Column12610"/>
    <tableColumn id="12644" xr3:uid="{92423599-C769-4402-804F-769BB4735D06}" name="Column12611"/>
    <tableColumn id="12645" xr3:uid="{1AA35AA7-58C6-40A3-93DF-DD2FCB947925}" name="Column12612"/>
    <tableColumn id="12646" xr3:uid="{7CCA5091-6508-44CB-A2AA-14F1205282A8}" name="Column12613"/>
    <tableColumn id="12647" xr3:uid="{1DC0B8EB-F751-4FFC-85A2-F46AC0936D26}" name="Column12614"/>
    <tableColumn id="12648" xr3:uid="{F1F8E43C-AFFF-4B9E-B4FF-7C1BD749A994}" name="Column12615"/>
    <tableColumn id="12649" xr3:uid="{7EA71182-C074-4FFB-A15B-45A62276A88B}" name="Column12616"/>
    <tableColumn id="12650" xr3:uid="{0F10E5D3-4F71-4970-A2CE-FEA2202CB66F}" name="Column12617"/>
    <tableColumn id="12651" xr3:uid="{969C1A1D-82B2-4C1F-99D6-A67E31A75281}" name="Column12618"/>
    <tableColumn id="12652" xr3:uid="{17739ED0-B3BC-4E7A-AF44-C93165AA2B9C}" name="Column12619"/>
    <tableColumn id="12653" xr3:uid="{4BFBA682-F636-4990-A978-384763F4622C}" name="Column12620"/>
    <tableColumn id="12654" xr3:uid="{1B5E7CE0-F44D-44BA-A081-C96E2E5ADA0A}" name="Column12621"/>
    <tableColumn id="12655" xr3:uid="{388FE9A5-1EE0-476A-8175-0486C30DDDF2}" name="Column12622"/>
    <tableColumn id="12656" xr3:uid="{7FA739E6-899A-49C6-B915-F786C57CC602}" name="Column12623"/>
    <tableColumn id="12657" xr3:uid="{FF1966A8-5F78-4970-A978-35D6177D1B62}" name="Column12624"/>
    <tableColumn id="12658" xr3:uid="{528128EF-52A2-4582-90EC-2251580FA7AF}" name="Column12625"/>
    <tableColumn id="12659" xr3:uid="{EAF40019-DC8D-4438-AD87-833A17ABCDAF}" name="Column12626"/>
    <tableColumn id="12660" xr3:uid="{83BB720F-1BF6-4FE3-BFBE-ACA14C43D1FC}" name="Column12627"/>
    <tableColumn id="12661" xr3:uid="{0F525660-747F-4C45-BB35-14AAD3DB4655}" name="Column12628"/>
    <tableColumn id="12662" xr3:uid="{B57C9DF3-29E5-4C83-BE1A-AB1635BE0A32}" name="Column12629"/>
    <tableColumn id="12663" xr3:uid="{74346770-50B5-4AB3-8606-250CC74C2362}" name="Column12630"/>
    <tableColumn id="12664" xr3:uid="{BBDC9F62-7FFF-44C2-857C-867B5F22BBD4}" name="Column12631"/>
    <tableColumn id="12665" xr3:uid="{7E54AFB9-523A-4454-99FF-7B9A888569AD}" name="Column12632"/>
    <tableColumn id="12666" xr3:uid="{05D48D42-3D57-4DB8-A2CD-758CBF735A26}" name="Column12633"/>
    <tableColumn id="12667" xr3:uid="{EF7F7E2B-9068-4609-BD67-5BA143D3D73E}" name="Column12634"/>
    <tableColumn id="12668" xr3:uid="{77D81548-C8BE-4E3E-99D7-AD5718B278F2}" name="Column12635"/>
    <tableColumn id="12669" xr3:uid="{C2E7A69B-5467-4E08-9F76-ECF3E353F418}" name="Column12636"/>
    <tableColumn id="12670" xr3:uid="{ADE8BC31-92F8-4F1B-B376-948D151F4A9B}" name="Column12637"/>
    <tableColumn id="12671" xr3:uid="{14284A4F-1D95-4699-8F77-B78F9514FBB9}" name="Column12638"/>
    <tableColumn id="12672" xr3:uid="{1E2321B7-E841-47DD-9F0C-C8F74A521E00}" name="Column12639"/>
    <tableColumn id="12673" xr3:uid="{1333C79E-5510-4011-85F3-19D73D117C33}" name="Column12640"/>
    <tableColumn id="12674" xr3:uid="{361C74CD-6ACF-478C-9384-25ED669A699B}" name="Column12641"/>
    <tableColumn id="12675" xr3:uid="{09D1F800-3810-4E2E-8669-938A27E53F4F}" name="Column12642"/>
    <tableColumn id="12676" xr3:uid="{26E9A168-8109-47AB-BF6B-206AD394EB98}" name="Column12643"/>
    <tableColumn id="12677" xr3:uid="{5762F56F-5E88-4000-ABFB-E0C29C2E42FE}" name="Column12644"/>
    <tableColumn id="12678" xr3:uid="{81FC9609-254A-43FA-B769-4294EE4FBAFB}" name="Column12645"/>
    <tableColumn id="12679" xr3:uid="{72E04C34-7CC3-46A1-8A08-BDD8AF9AD384}" name="Column12646"/>
    <tableColumn id="12680" xr3:uid="{18219744-4312-4B22-8682-E41F5892E3D8}" name="Column12647"/>
    <tableColumn id="12681" xr3:uid="{E0E869AD-FA85-4B4A-9775-71A08DA91F79}" name="Column12648"/>
    <tableColumn id="12682" xr3:uid="{153EF9A8-0DF1-4CBA-ACE1-45AAAE89F45F}" name="Column12649"/>
    <tableColumn id="12683" xr3:uid="{09D7771E-BE00-4D6E-BCE0-F88ABB8FAF05}" name="Column12650"/>
    <tableColumn id="12684" xr3:uid="{ECDE0A28-3948-46FF-BE7D-93A0EA1F60C1}" name="Column12651"/>
    <tableColumn id="12685" xr3:uid="{033051C2-F1EA-43D5-8646-6DC9A64A4DB9}" name="Column12652"/>
    <tableColumn id="12686" xr3:uid="{5E50E361-E657-41D4-A44D-388A4331B4A8}" name="Column12653"/>
    <tableColumn id="12687" xr3:uid="{B3E46F3B-A076-458F-AE4C-DC44090E2E65}" name="Column12654"/>
    <tableColumn id="12688" xr3:uid="{2466BA65-B71A-42C4-B0D1-47C971CD7A26}" name="Column12655"/>
    <tableColumn id="12689" xr3:uid="{A878BDEC-9440-41F6-8554-7FD17AC302D6}" name="Column12656"/>
    <tableColumn id="12690" xr3:uid="{8297298C-86A4-4709-B92E-A5D743575EDA}" name="Column12657"/>
    <tableColumn id="12691" xr3:uid="{35C7914C-1574-4E86-AD64-896391D9B04C}" name="Column12658"/>
    <tableColumn id="12692" xr3:uid="{7948DB57-1330-4F80-ABBA-A8187CB8D1BE}" name="Column12659"/>
    <tableColumn id="12693" xr3:uid="{EAE5CA6E-220A-47E0-AE22-70267BBE37B4}" name="Column12660"/>
    <tableColumn id="12694" xr3:uid="{D505F078-794D-4E84-BEED-6A15B6C10935}" name="Column12661"/>
    <tableColumn id="12695" xr3:uid="{290FADC6-B916-46E0-B3B5-C8C0B857E62D}" name="Column12662"/>
    <tableColumn id="12696" xr3:uid="{49959E35-61AC-4FC4-83B8-02B70092272F}" name="Column12663"/>
    <tableColumn id="12697" xr3:uid="{666FF177-F6D8-41FA-88E9-D9CE41A18B10}" name="Column12664"/>
    <tableColumn id="12698" xr3:uid="{A8258DE2-3482-41E8-977D-2A1844EA3799}" name="Column12665"/>
    <tableColumn id="12699" xr3:uid="{C5225AF0-8821-4D12-BA37-60AC6F164AC1}" name="Column12666"/>
    <tableColumn id="12700" xr3:uid="{65DA6D49-CF45-4818-B033-2DEAAF3A37B6}" name="Column12667"/>
    <tableColumn id="12701" xr3:uid="{778FCCE6-7849-4FEA-B038-EEF8A9F511EF}" name="Column12668"/>
    <tableColumn id="12702" xr3:uid="{5B648E3D-A82B-4EC1-B917-BC671534BE36}" name="Column12669"/>
    <tableColumn id="12703" xr3:uid="{450EDAFE-80A6-4B67-BF9E-F833D8D38231}" name="Column12670"/>
    <tableColumn id="12704" xr3:uid="{87EFAE73-E605-4AC4-B276-2D88C18FE8AE}" name="Column12671"/>
    <tableColumn id="12705" xr3:uid="{68DC0EB5-0C33-4BA4-B35F-313D0DF58E12}" name="Column12672"/>
    <tableColumn id="12706" xr3:uid="{EFD8964D-53DA-436F-955A-3D7707D82519}" name="Column12673"/>
    <tableColumn id="12707" xr3:uid="{09F893CA-6254-485C-ACC0-97484FB86949}" name="Column12674"/>
    <tableColumn id="12708" xr3:uid="{1B8C43FC-50F3-426E-81C6-EBBAA973EEE7}" name="Column12675"/>
    <tableColumn id="12709" xr3:uid="{8D22D7F6-0F12-4E55-9F56-4ACC8B313ABB}" name="Column12676"/>
    <tableColumn id="12710" xr3:uid="{8D818DBE-990B-4822-A476-8981180DED86}" name="Column12677"/>
    <tableColumn id="12711" xr3:uid="{484F818B-9386-4D28-A08A-6D4B47842CD0}" name="Column12678"/>
    <tableColumn id="12712" xr3:uid="{57751D5A-2E21-4907-9175-C64C6010B92A}" name="Column12679"/>
    <tableColumn id="12713" xr3:uid="{E62B270E-1944-4A0F-9C72-71FAD0AA2055}" name="Column12680"/>
    <tableColumn id="12714" xr3:uid="{4C1689E9-D887-4B25-9899-E286A8ACE25C}" name="Column12681"/>
    <tableColumn id="12715" xr3:uid="{31B8BE3A-F296-43AB-8F46-3A14D67A0203}" name="Column12682"/>
    <tableColumn id="12716" xr3:uid="{12DD8A4A-772E-4F00-8E71-EA5C76B5B326}" name="Column12683"/>
    <tableColumn id="12717" xr3:uid="{BF251392-F63A-481F-9D05-00BE36248258}" name="Column12684"/>
    <tableColumn id="12718" xr3:uid="{B0C501F7-70A5-42E3-BCA0-7D446286E143}" name="Column12685"/>
    <tableColumn id="12719" xr3:uid="{35E93A16-5C8F-47A0-91EE-659EF134C9ED}" name="Column12686"/>
    <tableColumn id="12720" xr3:uid="{8AFD5422-B3E7-4BE5-8703-6A67EC226986}" name="Column12687"/>
    <tableColumn id="12721" xr3:uid="{48297FC4-C7CA-487F-8A24-1A4CA9E9C3E6}" name="Column12688"/>
    <tableColumn id="12722" xr3:uid="{C6BE7B4C-18CB-41B6-8D96-2B202C4F1F31}" name="Column12689"/>
    <tableColumn id="12723" xr3:uid="{6FCCF0A9-587F-4760-BF55-3DBAA0D90A75}" name="Column12690"/>
    <tableColumn id="12724" xr3:uid="{A2EF0EF4-9566-4A89-9AF9-4462481D3AD8}" name="Column12691"/>
    <tableColumn id="12725" xr3:uid="{A6582DD2-4AB1-4053-9E45-AF22886AA083}" name="Column12692"/>
    <tableColumn id="12726" xr3:uid="{9640C8EA-BB04-4186-802D-10928589A912}" name="Column12693"/>
    <tableColumn id="12727" xr3:uid="{61FA4356-9E49-44F0-B2EF-4A4EA3A32F93}" name="Column12694"/>
    <tableColumn id="12728" xr3:uid="{5AB9094F-1F9F-4361-B876-6E034E43C151}" name="Column12695"/>
    <tableColumn id="12729" xr3:uid="{A099FF79-DB74-4A87-9F6D-9982DBBEF7F3}" name="Column12696"/>
    <tableColumn id="12730" xr3:uid="{6F4A07E5-650B-4E1A-8D4C-78548FFDD4BE}" name="Column12697"/>
    <tableColumn id="12731" xr3:uid="{E4E8B917-DCAA-4EFF-A662-61E720AFD68E}" name="Column12698"/>
    <tableColumn id="12732" xr3:uid="{548ECA87-5873-47F2-8974-3CE1411A3E0B}" name="Column12699"/>
    <tableColumn id="12733" xr3:uid="{A62F5B0D-E13A-4BAA-9E24-960B6D7E867A}" name="Column12700"/>
    <tableColumn id="12734" xr3:uid="{7D21E62B-0B08-410A-BEF8-8D4A4A9E3759}" name="Column12701"/>
    <tableColumn id="12735" xr3:uid="{D2E3025E-75D4-49BD-AC7E-6B0B83F70693}" name="Column12702"/>
    <tableColumn id="12736" xr3:uid="{D7097686-9F7D-4D6C-BDE2-662BB56C6753}" name="Column12703"/>
    <tableColumn id="12737" xr3:uid="{AE0BDFBC-5BE8-4934-880D-A67C0ABF1844}" name="Column12704"/>
    <tableColumn id="12738" xr3:uid="{C4F5C8A6-720A-4D43-AF6C-3E49041EFE9C}" name="Column12705"/>
    <tableColumn id="12739" xr3:uid="{3CBC4FBB-13CC-4479-A0D9-E64C0C90E2A1}" name="Column12706"/>
    <tableColumn id="12740" xr3:uid="{5C63EAD0-1E76-43F0-8D42-A56FDB0A11FC}" name="Column12707"/>
    <tableColumn id="12741" xr3:uid="{73CAE15F-43EF-404E-9192-7D57E6BF9475}" name="Column12708"/>
    <tableColumn id="12742" xr3:uid="{32A9E3AA-65B1-4339-9F7E-5C8D927130FF}" name="Column12709"/>
    <tableColumn id="12743" xr3:uid="{3F9262F8-44D2-40DF-992F-FC368820CC03}" name="Column12710"/>
    <tableColumn id="12744" xr3:uid="{224C2421-21C9-48A6-B089-702EAFED4E98}" name="Column12711"/>
    <tableColumn id="12745" xr3:uid="{88C90669-0F54-41ED-A6CC-270ED8D4F280}" name="Column12712"/>
    <tableColumn id="12746" xr3:uid="{A899AE54-3987-4273-BB26-16EEB0142588}" name="Column12713"/>
    <tableColumn id="12747" xr3:uid="{F618FBCD-3584-4F7A-968B-F22A66C824B7}" name="Column12714"/>
    <tableColumn id="12748" xr3:uid="{D5D6A811-3920-4A7E-BCF9-C3F536A894A8}" name="Column12715"/>
    <tableColumn id="12749" xr3:uid="{7C5966CF-FBBC-429B-B278-790B7508721D}" name="Column12716"/>
    <tableColumn id="12750" xr3:uid="{EA412B45-297B-4589-9768-1694D35C8C2F}" name="Column12717"/>
    <tableColumn id="12751" xr3:uid="{A3F5592F-D9A0-49FA-8C49-3C6DCA94F52C}" name="Column12718"/>
    <tableColumn id="12752" xr3:uid="{3B62A35A-36A6-47E2-A9B0-E471600CE0DB}" name="Column12719"/>
    <tableColumn id="12753" xr3:uid="{D17C801C-508B-4BE4-9E0D-7AEF96C56C04}" name="Column12720"/>
    <tableColumn id="12754" xr3:uid="{C93007F3-58C1-448E-A2FA-E1F9373C9B44}" name="Column12721"/>
    <tableColumn id="12755" xr3:uid="{DBA69BFB-9758-40AE-B6B0-967D6CAB30C4}" name="Column12722"/>
    <tableColumn id="12756" xr3:uid="{0AC35F5A-1F6C-40A9-B63C-D3C0468B6EC9}" name="Column12723"/>
    <tableColumn id="12757" xr3:uid="{56A4B91A-DF19-4515-B8D0-78EBC0137A96}" name="Column12724"/>
    <tableColumn id="12758" xr3:uid="{9894D185-5661-4768-9EBA-9B2D617360A0}" name="Column12725"/>
    <tableColumn id="12759" xr3:uid="{5C3774B8-576C-4C9A-943A-B540744DFDBC}" name="Column12726"/>
    <tableColumn id="12760" xr3:uid="{211D8FBC-64F2-4479-BE7A-E9FE7982824A}" name="Column12727"/>
    <tableColumn id="12761" xr3:uid="{91E12400-5DF0-4643-B59B-B4D494534BAC}" name="Column12728"/>
    <tableColumn id="12762" xr3:uid="{7BB0EFF7-F04A-43BE-9689-DA018DB1972A}" name="Column12729"/>
    <tableColumn id="12763" xr3:uid="{90FDE936-1F91-40A1-AB93-516B7D52849F}" name="Column12730"/>
    <tableColumn id="12764" xr3:uid="{03992C43-1683-4C3D-84A2-2BB60859DA5E}" name="Column12731"/>
    <tableColumn id="12765" xr3:uid="{48E71790-3969-45AA-884B-7989055D2D17}" name="Column12732"/>
    <tableColumn id="12766" xr3:uid="{FD0E6EC3-8D0E-4F48-9F67-48A6D52F810B}" name="Column12733"/>
    <tableColumn id="12767" xr3:uid="{C7B12B2C-3388-4FB5-AE1D-5A6ACCEF7781}" name="Column12734"/>
    <tableColumn id="12768" xr3:uid="{FB0184B1-E1E8-4D87-A07F-854F4C842D5E}" name="Column12735"/>
    <tableColumn id="12769" xr3:uid="{7186B97F-5A5C-4574-A6A7-7C365E68122B}" name="Column12736"/>
    <tableColumn id="12770" xr3:uid="{4249A07E-DCA7-4164-8A64-C16C9F23CA60}" name="Column12737"/>
    <tableColumn id="12771" xr3:uid="{E2F4614E-0B6A-402A-837F-B246C12E94F8}" name="Column12738"/>
    <tableColumn id="12772" xr3:uid="{33FE7C23-1632-4DCA-8586-4B0475DBAA3F}" name="Column12739"/>
    <tableColumn id="12773" xr3:uid="{C3570A8A-6230-40C5-9119-F11AB51172EE}" name="Column12740"/>
    <tableColumn id="12774" xr3:uid="{000DC6BA-CD52-4725-BAA5-58D77115976A}" name="Column12741"/>
    <tableColumn id="12775" xr3:uid="{623A4CD2-AF77-445E-AC4C-DF8B30B7F677}" name="Column12742"/>
    <tableColumn id="12776" xr3:uid="{4AB90845-1C10-476B-A3AF-E454B9CE4C03}" name="Column12743"/>
    <tableColumn id="12777" xr3:uid="{049F3A67-29F6-4C03-807C-18A674D8764D}" name="Column12744"/>
    <tableColumn id="12778" xr3:uid="{1F7F9387-4E5D-44CA-9AAA-5FAFC5EF5536}" name="Column12745"/>
    <tableColumn id="12779" xr3:uid="{44F3FB79-AEFD-48FB-83E0-0CE3705FA21B}" name="Column12746"/>
    <tableColumn id="12780" xr3:uid="{7F4753ED-6402-4670-9D2B-F1D1B2039007}" name="Column12747"/>
    <tableColumn id="12781" xr3:uid="{FFD41672-9F21-418E-A6DE-F3227B3677D0}" name="Column12748"/>
    <tableColumn id="12782" xr3:uid="{8198E412-D6DD-4278-AF03-342ED61B94A8}" name="Column12749"/>
    <tableColumn id="12783" xr3:uid="{61AC4B88-7E04-4211-8990-AB9769C88ADA}" name="Column12750"/>
    <tableColumn id="12784" xr3:uid="{1D7ED065-695F-49CE-A97B-4190BCC068E9}" name="Column12751"/>
    <tableColumn id="12785" xr3:uid="{B0B67553-FA0A-437D-B615-FB2F785B5827}" name="Column12752"/>
    <tableColumn id="12786" xr3:uid="{373D2484-AC57-4B62-8725-ED70FF5255EB}" name="Column12753"/>
    <tableColumn id="12787" xr3:uid="{2D826EDA-8658-4B8C-B0F3-FC3554A6068E}" name="Column12754"/>
    <tableColumn id="12788" xr3:uid="{1DC817DB-0645-4F69-B10C-2E88C28464BB}" name="Column12755"/>
    <tableColumn id="12789" xr3:uid="{5E437788-3292-4C6E-8B8D-B1DAB326ACF8}" name="Column12756"/>
    <tableColumn id="12790" xr3:uid="{E1534E6C-4A45-43AF-90FB-57204524495B}" name="Column12757"/>
    <tableColumn id="12791" xr3:uid="{48402F8E-DD6C-40D2-8C02-60B0A31EA23C}" name="Column12758"/>
    <tableColumn id="12792" xr3:uid="{D5599CA5-BF8F-403A-9FDC-940F3BEFA8D9}" name="Column12759"/>
    <tableColumn id="12793" xr3:uid="{DA19D51B-FC57-4D23-96DD-FE6424F4CA16}" name="Column12760"/>
    <tableColumn id="12794" xr3:uid="{B70AE99C-B7F1-4D0F-AE9A-493E30596D47}" name="Column12761"/>
    <tableColumn id="12795" xr3:uid="{CC3D7DE3-43E0-4CB6-9644-1E211BFEA5DF}" name="Column12762"/>
    <tableColumn id="12796" xr3:uid="{AF51BBEF-E1DF-4F18-B3FD-B0C631D42595}" name="Column12763"/>
    <tableColumn id="12797" xr3:uid="{BFA6FDED-5019-49C7-B8C1-C3DC4F29B735}" name="Column12764"/>
    <tableColumn id="12798" xr3:uid="{853A37F6-1CB6-4BD6-A3BD-E74896A76AB7}" name="Column12765"/>
    <tableColumn id="12799" xr3:uid="{02C06BF4-B851-4A80-AE2E-3D19E3458610}" name="Column12766"/>
    <tableColumn id="12800" xr3:uid="{17420110-7001-4161-905C-B25B3F58BC10}" name="Column12767"/>
    <tableColumn id="12801" xr3:uid="{C5C2D568-1F5E-4496-A167-5F1659B0F861}" name="Column12768"/>
    <tableColumn id="12802" xr3:uid="{2E8C64B1-3945-4A8A-AD91-6BAAEECEB403}" name="Column12769"/>
    <tableColumn id="12803" xr3:uid="{FCF0D475-D1E6-4ED4-B0CB-A1CE89FF886C}" name="Column12770"/>
    <tableColumn id="12804" xr3:uid="{6A1B4E55-5626-43B3-8368-C8C68FA1C1B4}" name="Column12771"/>
    <tableColumn id="12805" xr3:uid="{FE2F650B-4C70-41F0-B51D-26E1E38B3EDF}" name="Column12772"/>
    <tableColumn id="12806" xr3:uid="{69069F3B-4970-41E3-B02C-9DF1F68E17E5}" name="Column12773"/>
    <tableColumn id="12807" xr3:uid="{76043246-FD80-49F8-9A23-F18EA00791A2}" name="Column12774"/>
    <tableColumn id="12808" xr3:uid="{29565804-6094-41ED-A794-D94F3AB65CC8}" name="Column12775"/>
    <tableColumn id="12809" xr3:uid="{F139EAB7-8C10-41D9-95F4-F42A61224EAA}" name="Column12776"/>
    <tableColumn id="12810" xr3:uid="{AC37174E-788D-4966-BAD7-AF1BA5FF6EE4}" name="Column12777"/>
    <tableColumn id="12811" xr3:uid="{6F75F975-742E-4AB8-9CD7-F57564DD1E89}" name="Column12778"/>
    <tableColumn id="12812" xr3:uid="{92C20D46-545F-40FD-A0E0-80F96D133E7B}" name="Column12779"/>
    <tableColumn id="12813" xr3:uid="{62FC4B22-FF28-4E9B-BE02-C222A495543C}" name="Column12780"/>
    <tableColumn id="12814" xr3:uid="{DB3ACD94-D795-4FD6-90BC-CF9C69F034BD}" name="Column12781"/>
    <tableColumn id="12815" xr3:uid="{CF893D94-10B7-4C2B-A6DD-C2461FF98B4B}" name="Column12782"/>
    <tableColumn id="12816" xr3:uid="{0C79F91E-73CB-4454-ADC7-27D7CCA437E7}" name="Column12783"/>
    <tableColumn id="12817" xr3:uid="{0CE142CD-5F8D-4EB2-93D8-BDEBFA537FA2}" name="Column12784"/>
    <tableColumn id="12818" xr3:uid="{E4815A8D-A681-4027-A343-5EDCFF0FB653}" name="Column12785"/>
    <tableColumn id="12819" xr3:uid="{5E83C084-6E38-4E49-B031-0889482D0D1F}" name="Column12786"/>
    <tableColumn id="12820" xr3:uid="{4B04F673-DDF2-41BC-9C33-7E8E77AD1938}" name="Column12787"/>
    <tableColumn id="12821" xr3:uid="{1D3502CB-E0A9-4AF2-B76C-3DCD64A4EC6F}" name="Column12788"/>
    <tableColumn id="12822" xr3:uid="{7F93BD95-CA9A-417D-BD2B-ED25FAA6325E}" name="Column12789"/>
    <tableColumn id="12823" xr3:uid="{2566440E-C1C5-485D-8878-2799838149D0}" name="Column12790"/>
    <tableColumn id="12824" xr3:uid="{5D6DB6A6-051F-4C69-83B7-ED16C980E377}" name="Column12791"/>
    <tableColumn id="12825" xr3:uid="{E42D7188-4AA4-4D9F-9BA6-4FF81C5754A4}" name="Column12792"/>
    <tableColumn id="12826" xr3:uid="{7AB172CB-C257-4DF3-8AD4-1BD1C1F0CF54}" name="Column12793"/>
    <tableColumn id="12827" xr3:uid="{00103259-5BFF-4649-8603-53C6FDD98236}" name="Column12794"/>
    <tableColumn id="12828" xr3:uid="{7050BA8A-D52B-4656-B281-9F75A0317DD4}" name="Column12795"/>
    <tableColumn id="12829" xr3:uid="{2A78A213-12D2-456B-A41D-2BC02F256557}" name="Column12796"/>
    <tableColumn id="12830" xr3:uid="{6D1189EB-8ADD-43A6-ACA7-42FDD3EEB1D1}" name="Column12797"/>
    <tableColumn id="12831" xr3:uid="{30B407C4-7C9B-4D3A-935C-55C9CDE3F701}" name="Column12798"/>
    <tableColumn id="12832" xr3:uid="{395C5040-DC71-4D83-9F2F-6BF8CFBFF770}" name="Column12799"/>
    <tableColumn id="12833" xr3:uid="{1A300E5F-6676-4703-978A-25AC6DE085BA}" name="Column12800"/>
    <tableColumn id="12834" xr3:uid="{B19F43C2-ABE7-4BB2-9445-2E8C1843DEB5}" name="Column12801"/>
    <tableColumn id="12835" xr3:uid="{5F3BC1C5-E4A5-48C3-9C44-43E57B18A683}" name="Column12802"/>
    <tableColumn id="12836" xr3:uid="{A50A02B1-641C-4333-A800-1498E69281CC}" name="Column12803"/>
    <tableColumn id="12837" xr3:uid="{91341FC5-EFDC-431C-932E-2B0CDC6D7F76}" name="Column12804"/>
    <tableColumn id="12838" xr3:uid="{148EE3E8-0456-426A-A5A4-5351A9C87427}" name="Column12805"/>
    <tableColumn id="12839" xr3:uid="{D6CED25D-7927-4082-9FDD-D22EED063829}" name="Column12806"/>
    <tableColumn id="12840" xr3:uid="{B6AB4407-3DF1-4132-A2E5-B7DC0EF3497B}" name="Column12807"/>
    <tableColumn id="12841" xr3:uid="{3CCE4193-4D78-4DA6-90E4-F963BEDA7B44}" name="Column12808"/>
    <tableColumn id="12842" xr3:uid="{E769711E-1E9D-4B52-8320-644C3C597AF4}" name="Column12809"/>
    <tableColumn id="12843" xr3:uid="{DFEA76DA-178A-4669-9290-06372F3C4554}" name="Column12810"/>
    <tableColumn id="12844" xr3:uid="{CD329A49-CB45-4A18-A262-D71A5944B040}" name="Column12811"/>
    <tableColumn id="12845" xr3:uid="{F8EBA4F6-C6CF-4586-AB40-302282161A09}" name="Column12812"/>
    <tableColumn id="12846" xr3:uid="{D9A43FEB-C12A-4451-ABFD-5CFE17A26AA9}" name="Column12813"/>
    <tableColumn id="12847" xr3:uid="{E87BF6C3-6AE1-4910-98CA-E94F88A7E50E}" name="Column12814"/>
    <tableColumn id="12848" xr3:uid="{3A126C1A-6CD0-405E-B385-92373E3ADE47}" name="Column12815"/>
    <tableColumn id="12849" xr3:uid="{FAB43880-CC7E-4302-A0AF-68EB2821069F}" name="Column12816"/>
    <tableColumn id="12850" xr3:uid="{1DA88838-791B-45A5-8E18-870BF7DF9A43}" name="Column12817"/>
    <tableColumn id="12851" xr3:uid="{E11FC27F-D85B-4B39-991A-F9A6F91FA4CB}" name="Column12818"/>
    <tableColumn id="12852" xr3:uid="{090B2CB4-96AD-4427-9747-9D67BD01D1C6}" name="Column12819"/>
    <tableColumn id="12853" xr3:uid="{AB82EF88-DEA7-49CC-8252-727C15A28E4C}" name="Column12820"/>
    <tableColumn id="12854" xr3:uid="{205DE572-EA97-4AF1-9A6E-204BD07B9B31}" name="Column12821"/>
    <tableColumn id="12855" xr3:uid="{B3FED0D4-F8D7-49C6-9DA7-B46E063F08AB}" name="Column12822"/>
    <tableColumn id="12856" xr3:uid="{7F43CCD1-4D28-4FFA-8D22-26EDC2B0E79D}" name="Column12823"/>
    <tableColumn id="12857" xr3:uid="{86EFC919-AF04-487A-9A02-B06803161E56}" name="Column12824"/>
    <tableColumn id="12858" xr3:uid="{025705BD-4805-4015-830E-6A1F037A6552}" name="Column12825"/>
    <tableColumn id="12859" xr3:uid="{AABA2D67-6AE8-4AC7-820B-7643CE0C78AD}" name="Column12826"/>
    <tableColumn id="12860" xr3:uid="{8B4E4B7A-94F8-4B7E-8D92-53802D1978D3}" name="Column12827"/>
    <tableColumn id="12861" xr3:uid="{9322508A-A894-45B1-BDDB-162E42B0E727}" name="Column12828"/>
    <tableColumn id="12862" xr3:uid="{51C63B66-B0E0-4DF0-9C4C-65DC12CA2B9D}" name="Column12829"/>
    <tableColumn id="12863" xr3:uid="{3B22986E-597A-41A0-8947-E2117DE48BCA}" name="Column12830"/>
    <tableColumn id="12864" xr3:uid="{448B4FA6-C012-4616-BF4D-BE1CE2BF0340}" name="Column12831"/>
    <tableColumn id="12865" xr3:uid="{CE2B2B73-DA95-4CA9-9FB9-2CFF5E1DC4D7}" name="Column12832"/>
    <tableColumn id="12866" xr3:uid="{E944AE0E-6F2A-45F6-A9B7-A5CE230F5C37}" name="Column12833"/>
    <tableColumn id="12867" xr3:uid="{B0AF6620-4431-425C-B4AE-A06A0F198D40}" name="Column12834"/>
    <tableColumn id="12868" xr3:uid="{84C198C1-0575-48E3-8410-E438C9DC7D89}" name="Column12835"/>
    <tableColumn id="12869" xr3:uid="{2BDCFD76-6919-4B94-8F9F-D56F083753E8}" name="Column12836"/>
    <tableColumn id="12870" xr3:uid="{5984D1DE-51DF-4485-A450-A9DE214FA3A7}" name="Column12837"/>
    <tableColumn id="12871" xr3:uid="{5B91E9EC-0830-45A9-81B4-221DD6A6F3C6}" name="Column12838"/>
    <tableColumn id="12872" xr3:uid="{1E9D0C26-63C3-482F-ACDB-BD1CFBFE804A}" name="Column12839"/>
    <tableColumn id="12873" xr3:uid="{E6A33D08-7DD4-41B6-AC93-1A966BDC3888}" name="Column12840"/>
    <tableColumn id="12874" xr3:uid="{1C98D9A3-E93A-4B48-85F4-26CC5AF29AE4}" name="Column12841"/>
    <tableColumn id="12875" xr3:uid="{504DA4EA-823F-4438-8CDB-A8910B1639EF}" name="Column12842"/>
    <tableColumn id="12876" xr3:uid="{C26C852D-1D2E-4759-A808-CF65CCEE0424}" name="Column12843"/>
    <tableColumn id="12877" xr3:uid="{39B380A5-A1CD-4810-AF04-CFDD21AB2C18}" name="Column12844"/>
    <tableColumn id="12878" xr3:uid="{EC03B868-C4DD-4DFD-AFAB-C8622486E21E}" name="Column12845"/>
    <tableColumn id="12879" xr3:uid="{EECB9E37-6211-4DE9-970E-A4DBB121EA9A}" name="Column12846"/>
    <tableColumn id="12880" xr3:uid="{52666AF6-0237-4862-BFA3-46DBC6C885C0}" name="Column12847"/>
    <tableColumn id="12881" xr3:uid="{21984FC0-C97C-483C-AA1E-192D451A1A1C}" name="Column12848"/>
    <tableColumn id="12882" xr3:uid="{AA544046-F6AF-4757-99D8-CED6B1DE3F03}" name="Column12849"/>
    <tableColumn id="12883" xr3:uid="{C6FE9323-3D0E-4D9A-AB1A-3B2194B34349}" name="Column12850"/>
    <tableColumn id="12884" xr3:uid="{A032CE00-41C5-4AD8-9E4B-870778026FE3}" name="Column12851"/>
    <tableColumn id="12885" xr3:uid="{B284CC51-C6FE-49DA-8B58-A1CCF6DC7601}" name="Column12852"/>
    <tableColumn id="12886" xr3:uid="{9E82DC38-21E0-4A79-9808-DA0DEFAD3EF9}" name="Column12853"/>
    <tableColumn id="12887" xr3:uid="{44D292B4-6711-4A31-931A-0F65183C2536}" name="Column12854"/>
    <tableColumn id="12888" xr3:uid="{5B488BD6-BCDF-4BD3-A2EB-96A9585303E0}" name="Column12855"/>
    <tableColumn id="12889" xr3:uid="{BBFAF988-6D13-486F-BD7F-13F6FC0D0CD9}" name="Column12856"/>
    <tableColumn id="12890" xr3:uid="{832B0039-8478-46F7-97E8-6D005D64A5A1}" name="Column12857"/>
    <tableColumn id="12891" xr3:uid="{E2623C0D-DAB6-49FF-93E8-2A2B060EDB41}" name="Column12858"/>
    <tableColumn id="12892" xr3:uid="{56139EFB-44F8-425C-8EE9-E8EFBC17D558}" name="Column12859"/>
    <tableColumn id="12893" xr3:uid="{D899F7C0-FB1B-4D06-B487-3557B3D1F67F}" name="Column12860"/>
    <tableColumn id="12894" xr3:uid="{F2BCD29E-D837-4089-B237-ABD5676790F7}" name="Column12861"/>
    <tableColumn id="12895" xr3:uid="{24D02429-7252-4DBE-BD9C-187581448877}" name="Column12862"/>
    <tableColumn id="12896" xr3:uid="{D69D21D8-23D8-443C-9DF3-554E992B50AA}" name="Column12863"/>
    <tableColumn id="12897" xr3:uid="{8F784C85-8361-406C-9C91-91A7D139443C}" name="Column12864"/>
    <tableColumn id="12898" xr3:uid="{FE769E6A-4D35-4218-947C-74EBE7C7C95D}" name="Column12865"/>
    <tableColumn id="12899" xr3:uid="{06C320FF-F936-4FBD-B2B0-C2BAE7F51347}" name="Column12866"/>
    <tableColumn id="12900" xr3:uid="{D7399613-A4B9-4B3D-B6D9-ABE8853B3315}" name="Column12867"/>
    <tableColumn id="12901" xr3:uid="{C4EDF108-098B-43CB-B8FD-2C638512B052}" name="Column12868"/>
    <tableColumn id="12902" xr3:uid="{F5B311AA-7054-4F40-A633-CA3AD15D63E1}" name="Column12869"/>
    <tableColumn id="12903" xr3:uid="{A6A72FBB-FC91-4BCF-82BA-7D932505973D}" name="Column12870"/>
    <tableColumn id="12904" xr3:uid="{13FABD0B-634E-45BD-BD86-F22DACC6B719}" name="Column12871"/>
    <tableColumn id="12905" xr3:uid="{996BE203-03CB-40B2-8ECC-5650ECFDFA51}" name="Column12872"/>
    <tableColumn id="12906" xr3:uid="{BFBFC4D2-914B-4574-8EC5-675A157A5B30}" name="Column12873"/>
    <tableColumn id="12907" xr3:uid="{2376C431-7DEB-4728-9AE1-CFE36E83B0A2}" name="Column12874"/>
    <tableColumn id="12908" xr3:uid="{C73E7963-33BA-4487-95CC-7FAA47D18A30}" name="Column12875"/>
    <tableColumn id="12909" xr3:uid="{839F1AE1-9676-4B25-B3C9-CE925044CF1B}" name="Column12876"/>
    <tableColumn id="12910" xr3:uid="{4968E1C0-89E9-4FF3-BADC-C1750AE2A506}" name="Column12877"/>
    <tableColumn id="12911" xr3:uid="{1476E24D-D4BB-4EA2-9823-B8ED8673934B}" name="Column12878"/>
    <tableColumn id="12912" xr3:uid="{0FCD7A69-2BB9-4D20-B096-FEEB33CCCEED}" name="Column12879"/>
    <tableColumn id="12913" xr3:uid="{B789E451-720E-4DBC-BD16-B95FEE5EB5CD}" name="Column12880"/>
    <tableColumn id="12914" xr3:uid="{43ADE765-4F63-4271-9A46-FF7D63E9D0E9}" name="Column12881"/>
    <tableColumn id="12915" xr3:uid="{52768C88-8835-4A11-8530-6EDBA60F5630}" name="Column12882"/>
    <tableColumn id="12916" xr3:uid="{E2E09D95-7AFD-4D0B-A956-98334222EF5C}" name="Column12883"/>
    <tableColumn id="12917" xr3:uid="{166229DC-F241-49DB-BE85-EAE09B5978ED}" name="Column12884"/>
    <tableColumn id="12918" xr3:uid="{E881EC62-E37F-49E5-A6BA-6D9F8727D223}" name="Column12885"/>
    <tableColumn id="12919" xr3:uid="{C3B24132-6592-4D4D-B470-E42E4D9FC178}" name="Column12886"/>
    <tableColumn id="12920" xr3:uid="{7D1E6CB9-F756-4014-B6F0-38A8A8A5BA92}" name="Column12887"/>
    <tableColumn id="12921" xr3:uid="{7C537BE3-684E-4DE2-B93B-825B7120F679}" name="Column12888"/>
    <tableColumn id="12922" xr3:uid="{A30EB0EA-6F2E-4CA0-8D39-7BA5A0F71BE0}" name="Column12889"/>
    <tableColumn id="12923" xr3:uid="{972933F1-7E76-4460-BB2D-D36FF7C92566}" name="Column12890"/>
    <tableColumn id="12924" xr3:uid="{C39599F7-483C-4925-ADA4-7A778159B29D}" name="Column12891"/>
    <tableColumn id="12925" xr3:uid="{86EC7144-D393-44D2-9434-4E910C06A408}" name="Column12892"/>
    <tableColumn id="12926" xr3:uid="{B62B73E5-1D0E-41EB-8847-AA089AFEE7F1}" name="Column12893"/>
    <tableColumn id="12927" xr3:uid="{21C29867-75C6-4673-B2CD-5E950FFCB827}" name="Column12894"/>
    <tableColumn id="12928" xr3:uid="{AD33153E-DF89-4BFD-9000-8FC56E6ACDA2}" name="Column12895"/>
    <tableColumn id="12929" xr3:uid="{04898D25-326D-45D3-B4E7-2837EC0EE913}" name="Column12896"/>
    <tableColumn id="12930" xr3:uid="{9A841E9B-4E80-461A-8DAE-B9C14646BE09}" name="Column12897"/>
    <tableColumn id="12931" xr3:uid="{2E8E1C56-AC67-42DF-93B1-749A78D18235}" name="Column12898"/>
    <tableColumn id="12932" xr3:uid="{751DFDC6-875E-49C6-82E2-4E8D1DB3197A}" name="Column12899"/>
    <tableColumn id="12933" xr3:uid="{E35454FD-C51D-4491-ADAC-4EF6EBBC522B}" name="Column12900"/>
    <tableColumn id="12934" xr3:uid="{E0E6F560-D016-4067-A748-81DC440A03FA}" name="Column12901"/>
    <tableColumn id="12935" xr3:uid="{6D7C149E-F01D-45E8-B80E-2F31370413BF}" name="Column12902"/>
    <tableColumn id="12936" xr3:uid="{DE0CCB2F-EBDD-4035-8995-D404ABB2F246}" name="Column12903"/>
    <tableColumn id="12937" xr3:uid="{4890AF25-1DEE-4AA2-8B9F-1E2E1BDD7696}" name="Column12904"/>
    <tableColumn id="12938" xr3:uid="{A916831A-A030-418D-B1CC-D5519886AD4B}" name="Column12905"/>
    <tableColumn id="12939" xr3:uid="{01E6D3A4-E98B-4F08-9923-7997FB943920}" name="Column12906"/>
    <tableColumn id="12940" xr3:uid="{808E8C3F-C497-48DF-A191-40672825FAC0}" name="Column12907"/>
    <tableColumn id="12941" xr3:uid="{4F64C549-511A-43B9-90C0-D38145EB2376}" name="Column12908"/>
    <tableColumn id="12942" xr3:uid="{3A05C84A-2617-4070-B723-0A76076CB059}" name="Column12909"/>
    <tableColumn id="12943" xr3:uid="{43C09113-C8A5-4B7D-AB0C-23D4F3AB81C7}" name="Column12910"/>
    <tableColumn id="12944" xr3:uid="{E731CD5F-5BDE-480B-B50B-463F16E0D003}" name="Column12911"/>
    <tableColumn id="12945" xr3:uid="{991C4CE6-A1B9-4CB4-8EDB-1002A2013ED5}" name="Column12912"/>
    <tableColumn id="12946" xr3:uid="{2D174F59-6EFB-403F-ACC5-FCF7F8234A14}" name="Column12913"/>
    <tableColumn id="12947" xr3:uid="{0E1D9ECB-67A7-46A5-A2E1-59A1B1DBD7E3}" name="Column12914"/>
    <tableColumn id="12948" xr3:uid="{32878A64-3190-4525-83A7-EB25100FCB32}" name="Column12915"/>
    <tableColumn id="12949" xr3:uid="{D4D88BA6-3442-4C71-AB34-2338FE73BC16}" name="Column12916"/>
    <tableColumn id="12950" xr3:uid="{57B71343-2502-4E57-98EC-158AC4408BB6}" name="Column12917"/>
    <tableColumn id="12951" xr3:uid="{195C5CE3-F2E5-4C4E-B87A-E34C710106C7}" name="Column12918"/>
    <tableColumn id="12952" xr3:uid="{28076546-BC20-4A5C-989A-57A40BE4FF06}" name="Column12919"/>
    <tableColumn id="12953" xr3:uid="{3201F9BE-9A5C-4009-A2FD-AEF6E53DF9BB}" name="Column12920"/>
    <tableColumn id="12954" xr3:uid="{BBE527D8-7298-4A9B-92C8-9FB9AAF398FB}" name="Column12921"/>
    <tableColumn id="12955" xr3:uid="{FD835861-FC8C-4369-8ED4-D9FBBA81D348}" name="Column12922"/>
    <tableColumn id="12956" xr3:uid="{2F7E5A36-2FD7-4B0C-A49B-3EB301AFC1F9}" name="Column12923"/>
    <tableColumn id="12957" xr3:uid="{C23629C7-9230-4C3F-B6CE-29D60BFF665B}" name="Column12924"/>
    <tableColumn id="12958" xr3:uid="{587FA4C2-364A-48D1-8AA5-BA9868122111}" name="Column12925"/>
    <tableColumn id="12959" xr3:uid="{53676FFA-15EE-4C7B-8E87-986C5E9F9F9A}" name="Column12926"/>
    <tableColumn id="12960" xr3:uid="{2F872615-57C7-451F-ABF4-C9FE7EFAA4C0}" name="Column12927"/>
    <tableColumn id="12961" xr3:uid="{88AE681D-3BB4-428A-84EC-D14A7F64D8E5}" name="Column12928"/>
    <tableColumn id="12962" xr3:uid="{871EFC31-57FD-4B6B-85AA-AF513395849C}" name="Column12929"/>
    <tableColumn id="12963" xr3:uid="{62D73AAC-CD9C-4773-9687-0A959112B23B}" name="Column12930"/>
    <tableColumn id="12964" xr3:uid="{712A786D-E7AE-4F4F-8554-6A7B147F4BA0}" name="Column12931"/>
    <tableColumn id="12965" xr3:uid="{8656E96A-4F1E-4C03-9540-0E62B072D71E}" name="Column12932"/>
    <tableColumn id="12966" xr3:uid="{8C9487A3-C9E2-45EB-8751-DB039DC1FCE8}" name="Column12933"/>
    <tableColumn id="12967" xr3:uid="{9CA5B342-3013-4D68-A825-B738139EF9FF}" name="Column12934"/>
    <tableColumn id="12968" xr3:uid="{30930640-E0E5-4B16-A630-CFC8527A8597}" name="Column12935"/>
    <tableColumn id="12969" xr3:uid="{0F3CB913-1F93-4871-8AF9-E33DF4B55C83}" name="Column12936"/>
    <tableColumn id="12970" xr3:uid="{5D71A309-AA98-41C2-A10D-249858341890}" name="Column12937"/>
    <tableColumn id="12971" xr3:uid="{9262ABB1-7757-4086-A744-C19D565B6A13}" name="Column12938"/>
    <tableColumn id="12972" xr3:uid="{14F0D56A-B355-4777-BF61-DE0F16404757}" name="Column12939"/>
    <tableColumn id="12973" xr3:uid="{4E89DF07-3083-479D-8DE9-E838A23DFCC6}" name="Column12940"/>
    <tableColumn id="12974" xr3:uid="{E6697B16-43B5-4CE4-8ACF-475445463B76}" name="Column12941"/>
    <tableColumn id="12975" xr3:uid="{133D889A-2559-470D-B5CE-0D499CA0EFCF}" name="Column12942"/>
    <tableColumn id="12976" xr3:uid="{163ED136-C682-4E02-BF44-9C8A8D817CC7}" name="Column12943"/>
    <tableColumn id="12977" xr3:uid="{41028BF9-12DF-4D44-BD9B-F352E3FB95BE}" name="Column12944"/>
    <tableColumn id="12978" xr3:uid="{DB04360D-3EF3-4690-BDAB-0E1ED41D100F}" name="Column12945"/>
    <tableColumn id="12979" xr3:uid="{91A61E96-55DD-43B8-B1E7-C4B68FBF2EFA}" name="Column12946"/>
    <tableColumn id="12980" xr3:uid="{AA1E6D66-2EC0-49EE-9F45-F826B53E2579}" name="Column12947"/>
    <tableColumn id="12981" xr3:uid="{4B0467E0-9EA6-416C-B0B0-7624433A4071}" name="Column12948"/>
    <tableColumn id="12982" xr3:uid="{98AA366D-828E-4CF4-9810-8BA996E51B90}" name="Column12949"/>
    <tableColumn id="12983" xr3:uid="{05CAF4FE-C020-4A0B-932F-1264FC9BF450}" name="Column12950"/>
    <tableColumn id="12984" xr3:uid="{B0742D46-1AC3-4FF1-97F0-A5494F6F49A4}" name="Column12951"/>
    <tableColumn id="12985" xr3:uid="{F184C661-47F0-4904-BD16-6E1425C40BD4}" name="Column12952"/>
    <tableColumn id="12986" xr3:uid="{5A54E829-2DCC-40ED-8C21-3722E2C11588}" name="Column12953"/>
    <tableColumn id="12987" xr3:uid="{25811CD7-0E5E-4AB0-A7D5-57CE02ABE697}" name="Column12954"/>
    <tableColumn id="12988" xr3:uid="{18B9145B-1471-4B63-BA39-BF1664BF9773}" name="Column12955"/>
    <tableColumn id="12989" xr3:uid="{3A29BCFA-CC09-4451-BE80-9BD052D946D8}" name="Column12956"/>
    <tableColumn id="12990" xr3:uid="{F8E6CCA6-0052-494B-947B-8DBBC47E6270}" name="Column12957"/>
    <tableColumn id="12991" xr3:uid="{768BA7D5-BB1C-47F8-95D4-3C0D8F7174D6}" name="Column12958"/>
    <tableColumn id="12992" xr3:uid="{5DDC589D-293D-404B-9966-48317EC8099D}" name="Column12959"/>
    <tableColumn id="12993" xr3:uid="{88E9190B-1A1A-4DD9-8F8E-9252AE6F415D}" name="Column12960"/>
    <tableColumn id="12994" xr3:uid="{F6DAB766-0F35-4C09-88F0-6BDF9D36900C}" name="Column12961"/>
    <tableColumn id="12995" xr3:uid="{87A36B44-D059-4785-A205-B02184F8823F}" name="Column12962"/>
    <tableColumn id="12996" xr3:uid="{D62D51D2-F105-43A9-97C1-1F602842C33D}" name="Column12963"/>
    <tableColumn id="12997" xr3:uid="{A15C5F64-779E-4EF8-93AA-0F899F181B30}" name="Column12964"/>
    <tableColumn id="12998" xr3:uid="{84FE2FB5-FC3D-47EA-8DB1-89E009DD21A2}" name="Column12965"/>
    <tableColumn id="12999" xr3:uid="{12009A28-74A6-44D2-8D76-CB83B78DFFE9}" name="Column12966"/>
    <tableColumn id="13000" xr3:uid="{C9FD287F-C288-4909-8E61-EFB5E32A0521}" name="Column12967"/>
    <tableColumn id="13001" xr3:uid="{21F345C0-FC56-46BB-AF53-A6F138BA2E90}" name="Column12968"/>
    <tableColumn id="13002" xr3:uid="{F4206557-52EE-4B08-9F99-A829352725D7}" name="Column12969"/>
    <tableColumn id="13003" xr3:uid="{8A1D6B65-A9E5-4C7E-B053-62BD7AC1F232}" name="Column12970"/>
    <tableColumn id="13004" xr3:uid="{94FDE3D6-3CDB-4E6E-A592-BE569E34A498}" name="Column12971"/>
    <tableColumn id="13005" xr3:uid="{EBD7DC30-6879-430A-8B6D-C3FCBDB4DB09}" name="Column12972"/>
    <tableColumn id="13006" xr3:uid="{21A875EF-8BDB-461E-8458-28A44CE40B84}" name="Column12973"/>
    <tableColumn id="13007" xr3:uid="{728196B1-BCC9-4085-A4A3-F79B9539AD81}" name="Column12974"/>
    <tableColumn id="13008" xr3:uid="{2A835449-4FBB-4741-B1F1-CDCF20D2616F}" name="Column12975"/>
    <tableColumn id="13009" xr3:uid="{A90B4CBB-9FBB-4B5E-976A-750E460CBC1F}" name="Column12976"/>
    <tableColumn id="13010" xr3:uid="{49010410-F403-49A4-9827-7BB11D95DFE2}" name="Column12977"/>
    <tableColumn id="13011" xr3:uid="{587AA8F3-52A2-4E65-BD28-F62AD2EB2ACD}" name="Column12978"/>
    <tableColumn id="13012" xr3:uid="{4C4E29BA-35F5-4B65-AAD1-9971551CA62C}" name="Column12979"/>
    <tableColumn id="13013" xr3:uid="{BDC1D1ED-69EE-47E9-8D80-7F7B3E14F383}" name="Column12980"/>
    <tableColumn id="13014" xr3:uid="{5263C32E-DE9A-4CD0-8AEB-CE2B9FA43ED4}" name="Column12981"/>
    <tableColumn id="13015" xr3:uid="{D367DFDC-5B9D-470E-AF70-FCD15AEF394C}" name="Column12982"/>
    <tableColumn id="13016" xr3:uid="{3A6D52E2-33AA-451B-979E-7D11676A4BD9}" name="Column12983"/>
    <tableColumn id="13017" xr3:uid="{69041C42-5943-40DC-BE7A-EBD753AC0C09}" name="Column12984"/>
    <tableColumn id="13018" xr3:uid="{DB1ACA4B-0A48-4585-8418-CDF9C760D2E4}" name="Column12985"/>
    <tableColumn id="13019" xr3:uid="{8D4D2E22-24AB-4AF6-AB87-C56AB999E31D}" name="Column12986"/>
    <tableColumn id="13020" xr3:uid="{CEEDE02C-1A82-4384-9CEE-E82629FC775A}" name="Column12987"/>
    <tableColumn id="13021" xr3:uid="{8B10B234-E929-4793-9EC4-9AE72B96B8E2}" name="Column12988"/>
    <tableColumn id="13022" xr3:uid="{8A3A1C21-C0CA-457C-BC4A-FC177E99BA65}" name="Column12989"/>
    <tableColumn id="13023" xr3:uid="{BC657F98-059F-4A8B-82C4-FC6EE1A3F048}" name="Column12990"/>
    <tableColumn id="13024" xr3:uid="{5016286B-BD61-4CF8-A725-0FEC48C30539}" name="Column12991"/>
    <tableColumn id="13025" xr3:uid="{B682D942-CEBF-4E8B-8761-F082335C5D20}" name="Column12992"/>
    <tableColumn id="13026" xr3:uid="{3D62F8D3-D465-4C9D-895B-C529325D5C0A}" name="Column12993"/>
    <tableColumn id="13027" xr3:uid="{6C8CADD3-6BDD-4EC7-984A-638C0CEB913E}" name="Column12994"/>
    <tableColumn id="13028" xr3:uid="{AB602726-06C9-4DD1-AB53-1244E1D31C93}" name="Column12995"/>
    <tableColumn id="13029" xr3:uid="{DB956439-0FF6-4329-AD11-AD8D42A106B4}" name="Column12996"/>
    <tableColumn id="13030" xr3:uid="{07998315-6EBB-4803-9CB9-6AA5F4D56C41}" name="Column12997"/>
    <tableColumn id="13031" xr3:uid="{921922A0-BDA0-4657-8D85-5E62D6BA74B2}" name="Column12998"/>
    <tableColumn id="13032" xr3:uid="{95A014FF-0D61-480D-B628-FB5B5E66330F}" name="Column12999"/>
    <tableColumn id="13033" xr3:uid="{40C7BC30-8D55-4324-9480-A898F4BD561E}" name="Column13000"/>
    <tableColumn id="13034" xr3:uid="{DBE17AC5-E728-49C0-897D-0C80AD215D8F}" name="Column13001"/>
    <tableColumn id="13035" xr3:uid="{9B676926-A8F8-4C31-B2FF-DC0F75F814AC}" name="Column13002"/>
    <tableColumn id="13036" xr3:uid="{931C3133-CA9C-494A-8272-819A18E48050}" name="Column13003"/>
    <tableColumn id="13037" xr3:uid="{D375DD69-F525-41F6-B98C-AC45CC291DBD}" name="Column13004"/>
    <tableColumn id="13038" xr3:uid="{593A3C29-3EBD-430C-B547-3A6F48966FDD}" name="Column13005"/>
    <tableColumn id="13039" xr3:uid="{8EF0B179-B4D4-46C6-AE89-EC6EE74FBEA4}" name="Column13006"/>
    <tableColumn id="13040" xr3:uid="{7AA14213-75E4-4D86-834B-DE5F0AD2DAB6}" name="Column13007"/>
    <tableColumn id="13041" xr3:uid="{9E2E5552-D616-4234-B0FB-CC2F7E484584}" name="Column13008"/>
    <tableColumn id="13042" xr3:uid="{0E0423C0-0BDD-44E4-A9A4-70C596F535A8}" name="Column13009"/>
    <tableColumn id="13043" xr3:uid="{F986F663-591A-4876-A08D-F1F9650D6FD3}" name="Column13010"/>
    <tableColumn id="13044" xr3:uid="{2640BE2E-6AA7-4188-A36A-B670014F31EF}" name="Column13011"/>
    <tableColumn id="13045" xr3:uid="{280E5A83-34F5-4CC6-A01E-58AE6DF567A3}" name="Column13012"/>
    <tableColumn id="13046" xr3:uid="{8423BC36-66A0-4596-BB5D-363C28DBA5EB}" name="Column13013"/>
    <tableColumn id="13047" xr3:uid="{C31F83E2-FEA1-4F7D-9780-728435488735}" name="Column13014"/>
    <tableColumn id="13048" xr3:uid="{4FC6113C-D693-461F-8668-FEC12FFBF117}" name="Column13015"/>
    <tableColumn id="13049" xr3:uid="{A932E89E-ACF9-4DD9-9396-96EC24394D4B}" name="Column13016"/>
    <tableColumn id="13050" xr3:uid="{83B9EB5E-56D2-46CC-B706-3651893AD01D}" name="Column13017"/>
    <tableColumn id="13051" xr3:uid="{93592E43-5C85-40C1-9BB2-1819EBDF9721}" name="Column13018"/>
    <tableColumn id="13052" xr3:uid="{CC9E8230-F03D-4159-8F21-C66E348A048F}" name="Column13019"/>
    <tableColumn id="13053" xr3:uid="{C8719D3F-E2B4-4CA4-8F13-9E58477E9E79}" name="Column13020"/>
    <tableColumn id="13054" xr3:uid="{06562FE7-A979-479C-89DF-DAFD07445BB5}" name="Column13021"/>
    <tableColumn id="13055" xr3:uid="{FDAD3BAD-2382-40A1-9690-76FC98516DC8}" name="Column13022"/>
    <tableColumn id="13056" xr3:uid="{1AA2C449-5A08-4E19-A38F-4B7B05041950}" name="Column13023"/>
    <tableColumn id="13057" xr3:uid="{F6E5AF6F-5A85-4C86-8723-789C61623231}" name="Column13024"/>
    <tableColumn id="13058" xr3:uid="{036A8E17-8116-4B73-8493-0473787FC09B}" name="Column13025"/>
    <tableColumn id="13059" xr3:uid="{1C88BC79-6BA3-483F-87FB-2F426328666B}" name="Column13026"/>
    <tableColumn id="13060" xr3:uid="{8D4F39F2-8224-4062-9CE7-2E1B5CE2B5B5}" name="Column13027"/>
    <tableColumn id="13061" xr3:uid="{14569434-B793-4421-83C3-E59B9944CC55}" name="Column13028"/>
    <tableColumn id="13062" xr3:uid="{131E4CDB-2952-46EA-8C97-B076218126E2}" name="Column13029"/>
    <tableColumn id="13063" xr3:uid="{78B2C003-076B-432A-970D-2B0E0B5640FD}" name="Column13030"/>
    <tableColumn id="13064" xr3:uid="{22E3A56F-1C16-45BC-8666-DF8767B9C66F}" name="Column13031"/>
    <tableColumn id="13065" xr3:uid="{A0954048-9061-4930-B8F3-CC173A26D4D7}" name="Column13032"/>
    <tableColumn id="13066" xr3:uid="{9B3B64EB-3E0A-4A1E-86CB-754BEA7D7C19}" name="Column13033"/>
    <tableColumn id="13067" xr3:uid="{5A7B1B71-A44E-4435-A0FB-A3AA3D1809A8}" name="Column13034"/>
    <tableColumn id="13068" xr3:uid="{C4BD5B60-3A6A-440B-8E74-A62CBF6980D7}" name="Column13035"/>
    <tableColumn id="13069" xr3:uid="{7D2BDF7C-03FC-4C01-A1B4-F7527837FBA1}" name="Column13036"/>
    <tableColumn id="13070" xr3:uid="{A8341390-EC99-47FD-9B8B-F3ADC50EAB5C}" name="Column13037"/>
    <tableColumn id="13071" xr3:uid="{9DB9FD85-D2BA-4666-9968-82A93D62F7F0}" name="Column13038"/>
    <tableColumn id="13072" xr3:uid="{FDB7B060-7C0A-4114-AE3F-997A6F717214}" name="Column13039"/>
    <tableColumn id="13073" xr3:uid="{EB2250BD-A5F4-435D-8209-ECD748F01D7D}" name="Column13040"/>
    <tableColumn id="13074" xr3:uid="{435254C3-3579-496F-952F-09244F9437A0}" name="Column13041"/>
    <tableColumn id="13075" xr3:uid="{7627F455-BA05-45BE-9FCF-22059B739B31}" name="Column13042"/>
    <tableColumn id="13076" xr3:uid="{FD73A75C-E4E3-4AC8-8A5D-7FAB701E3726}" name="Column13043"/>
    <tableColumn id="13077" xr3:uid="{BFB95CB1-D90B-4F36-83B2-67BC1801FF12}" name="Column13044"/>
    <tableColumn id="13078" xr3:uid="{E61F3843-2CE5-4EAA-B032-E14AECBFE9F0}" name="Column13045"/>
    <tableColumn id="13079" xr3:uid="{E8C1F613-5495-477B-A7FC-EFA388A2D0DF}" name="Column13046"/>
    <tableColumn id="13080" xr3:uid="{0EA1B860-4F7B-4832-9803-48D5D24B8339}" name="Column13047"/>
    <tableColumn id="13081" xr3:uid="{539BB557-C823-4FF5-ABEA-70D94BEA936C}" name="Column13048"/>
    <tableColumn id="13082" xr3:uid="{02BCA254-0F49-425A-B6B3-8F4E68505012}" name="Column13049"/>
    <tableColumn id="13083" xr3:uid="{6528CCE7-7A8E-4C1B-8651-2A85214B6FAC}" name="Column13050"/>
    <tableColumn id="13084" xr3:uid="{87AC71F5-542C-4051-911D-E5552B47F61C}" name="Column13051"/>
    <tableColumn id="13085" xr3:uid="{57DB1D1B-94B0-457C-8F76-C96613B506F1}" name="Column13052"/>
    <tableColumn id="13086" xr3:uid="{069BCD80-A4E7-43DD-9976-B3A5AD50E128}" name="Column13053"/>
    <tableColumn id="13087" xr3:uid="{08C93248-39A3-4C96-9D7D-06E8588FD4FD}" name="Column13054"/>
    <tableColumn id="13088" xr3:uid="{A8799191-75D5-45EA-9C82-50C104379856}" name="Column13055"/>
    <tableColumn id="13089" xr3:uid="{A91F6374-37B0-4F9C-9F92-600A4074075F}" name="Column13056"/>
    <tableColumn id="13090" xr3:uid="{65DA2BD1-4A12-49F8-A1A6-C4A928657383}" name="Column13057"/>
    <tableColumn id="13091" xr3:uid="{1A2DA8A0-5E30-4A12-8848-C5908A8D5728}" name="Column13058"/>
    <tableColumn id="13092" xr3:uid="{239B7C4C-C08F-4331-A376-41865015C9E2}" name="Column13059"/>
    <tableColumn id="13093" xr3:uid="{7863754F-54B1-4180-93C0-CF2F593C9DDD}" name="Column13060"/>
    <tableColumn id="13094" xr3:uid="{5A25B995-F464-43EF-B331-32ECF50DF5C8}" name="Column13061"/>
    <tableColumn id="13095" xr3:uid="{ECC3BEF9-5638-4272-A4E6-7A96855B82B9}" name="Column13062"/>
    <tableColumn id="13096" xr3:uid="{0CFF7F25-AFFB-49B7-B514-43A8FECD297C}" name="Column13063"/>
    <tableColumn id="13097" xr3:uid="{FB272C7C-85F4-4778-B046-277632788998}" name="Column13064"/>
    <tableColumn id="13098" xr3:uid="{09760D67-898A-41DC-967A-7029AB24C0FB}" name="Column13065"/>
    <tableColumn id="13099" xr3:uid="{FCD2CF91-02CA-42BA-AFF6-EBD13C0F9F93}" name="Column13066"/>
    <tableColumn id="13100" xr3:uid="{432BCB46-BA6A-4132-9E74-F9865D9F7297}" name="Column13067"/>
    <tableColumn id="13101" xr3:uid="{DD70E0C8-31BB-4694-9D88-8913A72C55B7}" name="Column13068"/>
    <tableColumn id="13102" xr3:uid="{4592B856-7260-4CAD-BDFE-D477F197C233}" name="Column13069"/>
    <tableColumn id="13103" xr3:uid="{7C3C77B8-1E74-4B4B-BC08-D646FFBD27F7}" name="Column13070"/>
    <tableColumn id="13104" xr3:uid="{AE0684A5-0800-4385-BCF2-73BD5EF11308}" name="Column13071"/>
    <tableColumn id="13105" xr3:uid="{A77FF34C-424C-4065-BE67-D247D4CBA678}" name="Column13072"/>
    <tableColumn id="13106" xr3:uid="{49E08B2E-7E7D-4755-BB7F-125634DAC9E0}" name="Column13073"/>
    <tableColumn id="13107" xr3:uid="{C98CB9ED-269C-40D3-8739-695582E54816}" name="Column13074"/>
    <tableColumn id="13108" xr3:uid="{9940A0EF-88BB-491E-B760-A657F135D9A5}" name="Column13075"/>
    <tableColumn id="13109" xr3:uid="{7542E24D-35C6-4F73-90EA-967A757B74EA}" name="Column13076"/>
    <tableColumn id="13110" xr3:uid="{37DED531-A9A0-4480-AF4A-F8B215CC899F}" name="Column13077"/>
    <tableColumn id="13111" xr3:uid="{6B2B5D00-F487-4931-80BB-DE654BADAAC1}" name="Column13078"/>
    <tableColumn id="13112" xr3:uid="{88EAEABD-CB20-4D69-BB23-6E9CD9527217}" name="Column13079"/>
    <tableColumn id="13113" xr3:uid="{278CFEBC-1BB9-4C3E-8650-2BE3D54D96F1}" name="Column13080"/>
    <tableColumn id="13114" xr3:uid="{F5FCCB35-E50C-4B72-AC69-975B86E9BF2F}" name="Column13081"/>
    <tableColumn id="13115" xr3:uid="{A7ED99DD-B06B-46BF-8500-179CC159A8DC}" name="Column13082"/>
    <tableColumn id="13116" xr3:uid="{79B772F8-57A1-424A-993C-2EC585C75516}" name="Column13083"/>
    <tableColumn id="13117" xr3:uid="{C6DE4D87-0ED4-4B96-8E50-AA73615C8889}" name="Column13084"/>
    <tableColumn id="13118" xr3:uid="{EDD53C00-B0CC-47C0-AE6A-44D78040A9F5}" name="Column13085"/>
    <tableColumn id="13119" xr3:uid="{0B891A8E-A1B7-48D6-88B8-E93BA3B5AC94}" name="Column13086"/>
    <tableColumn id="13120" xr3:uid="{A00D9547-783C-4A75-9CED-F8A20AFC713D}" name="Column13087"/>
    <tableColumn id="13121" xr3:uid="{14A0166E-0F7D-45C8-A1E7-3B39FE478361}" name="Column13088"/>
    <tableColumn id="13122" xr3:uid="{00982DE5-B296-4AC2-BAD6-3C84DECA5373}" name="Column13089"/>
    <tableColumn id="13123" xr3:uid="{43DCD93D-BC0E-4D44-AF55-C95E7A47419B}" name="Column13090"/>
    <tableColumn id="13124" xr3:uid="{8B2BBB11-B4F9-4908-8156-6048699FF49B}" name="Column13091"/>
    <tableColumn id="13125" xr3:uid="{AF9701DA-8D70-4B5E-A77E-CC918EF4053C}" name="Column13092"/>
    <tableColumn id="13126" xr3:uid="{B191D784-E2A1-45E5-B5E8-672521F90D81}" name="Column13093"/>
    <tableColumn id="13127" xr3:uid="{9EFBC01B-4252-419A-AF97-F0BC902AFEE4}" name="Column13094"/>
    <tableColumn id="13128" xr3:uid="{F1548BD2-7464-4C35-AEC7-5C70760D7D79}" name="Column13095"/>
    <tableColumn id="13129" xr3:uid="{3DDB235F-BEAD-4ACB-8A16-6AE8105C2F7E}" name="Column13096"/>
    <tableColumn id="13130" xr3:uid="{81558FB8-2CC5-4E73-AD06-9E497E600055}" name="Column13097"/>
    <tableColumn id="13131" xr3:uid="{8D90C20C-27E1-4E7A-A954-AD448FF41112}" name="Column13098"/>
    <tableColumn id="13132" xr3:uid="{A99514F1-AEC7-4147-BFAD-74E8B2941C6E}" name="Column13099"/>
    <tableColumn id="13133" xr3:uid="{237C080F-2686-4BF1-B791-CDA9CBA91362}" name="Column13100"/>
    <tableColumn id="13134" xr3:uid="{4F4EADC7-BB9D-4D5D-8E4B-FB568C4F5D10}" name="Column13101"/>
    <tableColumn id="13135" xr3:uid="{CDF02D25-5913-4C4D-AC2F-218CD2D2809B}" name="Column13102"/>
    <tableColumn id="13136" xr3:uid="{218975E9-528F-420C-9FAE-2452A9E53811}" name="Column13103"/>
    <tableColumn id="13137" xr3:uid="{8ED8D0BE-F51D-4D86-A22E-9318DCD28D3A}" name="Column13104"/>
    <tableColumn id="13138" xr3:uid="{0BFC7CB3-6255-4F63-8BE0-BB8BDF765632}" name="Column13105"/>
    <tableColumn id="13139" xr3:uid="{5F0C7A41-620F-4CF6-A824-C95973CB05CB}" name="Column13106"/>
    <tableColumn id="13140" xr3:uid="{8826B18E-6EA2-43A5-8CA5-CCFEF597BE97}" name="Column13107"/>
    <tableColumn id="13141" xr3:uid="{D367435A-BEDD-4AA5-8264-4CE8891ACCD4}" name="Column13108"/>
    <tableColumn id="13142" xr3:uid="{AA47BEC6-85A6-46BD-A8D4-2E97CEC4249C}" name="Column13109"/>
    <tableColumn id="13143" xr3:uid="{51EC63F2-8054-4FD9-B5EF-31CC6FBC5EDB}" name="Column13110"/>
    <tableColumn id="13144" xr3:uid="{F0BB6319-7326-4758-9F89-55E7E505936C}" name="Column13111"/>
    <tableColumn id="13145" xr3:uid="{7225B90E-47FF-490D-AF0F-4FF3E0FFCCE8}" name="Column13112"/>
    <tableColumn id="13146" xr3:uid="{7FA07CD9-78AC-4761-A78B-04BD3C4BCC19}" name="Column13113"/>
    <tableColumn id="13147" xr3:uid="{151D0FAD-0C04-4023-8296-EF4382CCC710}" name="Column13114"/>
    <tableColumn id="13148" xr3:uid="{B1F4466F-6EE5-4B59-97A1-F94343F5AE98}" name="Column13115"/>
    <tableColumn id="13149" xr3:uid="{3ABE3FBF-FB78-4AEC-B3C4-D60DF69B46AE}" name="Column13116"/>
    <tableColumn id="13150" xr3:uid="{A9928672-3316-4161-9003-96D56A44FB24}" name="Column13117"/>
    <tableColumn id="13151" xr3:uid="{ED612CD6-AFC2-4082-BCD5-13ECE00830AF}" name="Column13118"/>
    <tableColumn id="13152" xr3:uid="{1F8F3DF4-00A7-40BB-A57E-B0313D30A843}" name="Column13119"/>
    <tableColumn id="13153" xr3:uid="{C596CEB3-99AA-4A1E-8B4A-E1A15A23D95E}" name="Column13120"/>
    <tableColumn id="13154" xr3:uid="{0B948062-D793-4EF8-9B97-D62D444F5501}" name="Column13121"/>
    <tableColumn id="13155" xr3:uid="{B25BDF71-4A8B-4E2D-8C2F-3CBC46A59227}" name="Column13122"/>
    <tableColumn id="13156" xr3:uid="{4A138704-F11F-435A-A721-B6E1717AAD73}" name="Column13123"/>
    <tableColumn id="13157" xr3:uid="{2220C1AC-67FA-4814-A195-88012F73197D}" name="Column13124"/>
    <tableColumn id="13158" xr3:uid="{A6B70271-DFDD-4315-AD3C-8263AB490C8C}" name="Column13125"/>
    <tableColumn id="13159" xr3:uid="{1320B467-08F2-486D-8903-2D0AA5745CAC}" name="Column13126"/>
    <tableColumn id="13160" xr3:uid="{D50E254A-AC6D-4331-9972-3DE4671F45AC}" name="Column13127"/>
    <tableColumn id="13161" xr3:uid="{78ED1892-983E-4FAE-B71F-F84FADA340EF}" name="Column13128"/>
    <tableColumn id="13162" xr3:uid="{DD297575-2C8A-4F25-9316-FE7EBC40A55E}" name="Column13129"/>
    <tableColumn id="13163" xr3:uid="{826D2264-683A-496D-A979-7EFB737B3D99}" name="Column13130"/>
    <tableColumn id="13164" xr3:uid="{EFEC8B2B-7D6A-403B-A2CE-2264FC8121F9}" name="Column13131"/>
    <tableColumn id="13165" xr3:uid="{6ACD7681-892D-4B69-8894-A6E269F53F7E}" name="Column13132"/>
    <tableColumn id="13166" xr3:uid="{7B9E6108-AC91-4CC8-9C69-BA885BB16014}" name="Column13133"/>
    <tableColumn id="13167" xr3:uid="{0DF698FB-CEAA-4DD4-81E1-C8D0A024B7B4}" name="Column13134"/>
    <tableColumn id="13168" xr3:uid="{11976FE9-0D05-48B9-9560-D5F7E0A7316A}" name="Column13135"/>
    <tableColumn id="13169" xr3:uid="{E4E4D31B-ECD0-436A-848C-EF9C2FB4E2A4}" name="Column13136"/>
    <tableColumn id="13170" xr3:uid="{68809BEC-8E5E-4F26-A6E5-690659972CD9}" name="Column13137"/>
    <tableColumn id="13171" xr3:uid="{0F7B3508-2D9D-46E3-A6FC-3C57DC1CDAFC}" name="Column13138"/>
    <tableColumn id="13172" xr3:uid="{55D33F2C-14F6-4CC1-8E2A-AC9740260F13}" name="Column13139"/>
    <tableColumn id="13173" xr3:uid="{86DF9ADF-AF1D-4CA0-9759-3DD1272A457D}" name="Column13140"/>
    <tableColumn id="13174" xr3:uid="{C7836584-6B3E-459A-929F-617BAEB31D8D}" name="Column13141"/>
    <tableColumn id="13175" xr3:uid="{CCF3B91F-F9F5-4BDF-93EA-97CF49BDCD88}" name="Column13142"/>
    <tableColumn id="13176" xr3:uid="{609D86DB-79F0-411F-97BC-EC9C5DF020C9}" name="Column13143"/>
    <tableColumn id="13177" xr3:uid="{3A26F5D1-8120-42E6-91CF-74AA82119A34}" name="Column13144"/>
    <tableColumn id="13178" xr3:uid="{2DA334DE-A6C7-42C3-863D-4C23B660A436}" name="Column13145"/>
    <tableColumn id="13179" xr3:uid="{E088792C-48C9-4E20-8B5A-2277A49CAEEB}" name="Column13146"/>
    <tableColumn id="13180" xr3:uid="{307E987B-E699-4EE3-BAF0-366962E2FFC1}" name="Column13147"/>
    <tableColumn id="13181" xr3:uid="{70283E85-999F-47DD-AD4B-C08BF61E7A67}" name="Column13148"/>
    <tableColumn id="13182" xr3:uid="{F9B4FB42-8A64-42E7-BF29-ECADC3AB481B}" name="Column13149"/>
    <tableColumn id="13183" xr3:uid="{090824CD-AD31-41AC-AD90-8BC6C1169FF2}" name="Column13150"/>
    <tableColumn id="13184" xr3:uid="{CD5DBA1E-3DC5-4DDE-A1BF-92CBD4CC1D26}" name="Column13151"/>
    <tableColumn id="13185" xr3:uid="{150D6D37-8831-4259-AF65-2A17FF0CD771}" name="Column13152"/>
    <tableColumn id="13186" xr3:uid="{92515FC3-6053-4AE5-9950-DFCD9B81A6A9}" name="Column13153"/>
    <tableColumn id="13187" xr3:uid="{7C5F5489-3245-4853-8818-6A2BC71E98E4}" name="Column13154"/>
    <tableColumn id="13188" xr3:uid="{00C7A6C0-0A39-4A19-BF66-83DC1EBFB421}" name="Column13155"/>
    <tableColumn id="13189" xr3:uid="{DF6C13AA-2A68-4CE9-B71F-6DD74B9D339E}" name="Column13156"/>
    <tableColumn id="13190" xr3:uid="{735CEE44-6313-49D5-B3D1-68A39D16DEC4}" name="Column13157"/>
    <tableColumn id="13191" xr3:uid="{3B35A817-52D3-49F9-AC8D-770173E99353}" name="Column13158"/>
    <tableColumn id="13192" xr3:uid="{FACC31FE-A6D1-4516-BD65-ABFA8B8083C3}" name="Column13159"/>
    <tableColumn id="13193" xr3:uid="{07076B31-6125-4102-B9F4-9F22CB74DBE3}" name="Column13160"/>
    <tableColumn id="13194" xr3:uid="{621F43E2-7B19-486C-B13F-30576342D464}" name="Column13161"/>
    <tableColumn id="13195" xr3:uid="{CBC6C27D-212F-401A-8264-0B402730F076}" name="Column13162"/>
    <tableColumn id="13196" xr3:uid="{8344A343-458E-4E64-9F9B-6847C076CB0A}" name="Column13163"/>
    <tableColumn id="13197" xr3:uid="{0CD28C7E-7EB0-4A32-8C57-D81105153960}" name="Column13164"/>
    <tableColumn id="13198" xr3:uid="{D3A51B6D-D8AF-4604-B11D-277A0B95F08F}" name="Column13165"/>
    <tableColumn id="13199" xr3:uid="{0E8614C8-D70D-41D9-8FEA-7E82D4928269}" name="Column13166"/>
    <tableColumn id="13200" xr3:uid="{8FBF8B93-0A60-475A-A627-99EE145F9F78}" name="Column13167"/>
    <tableColumn id="13201" xr3:uid="{1EFD619B-B4A2-4ADA-AA47-D4C229DADB4A}" name="Column13168"/>
    <tableColumn id="13202" xr3:uid="{632CCB21-D070-426D-AA9E-BBD5A06E5283}" name="Column13169"/>
    <tableColumn id="13203" xr3:uid="{8F90D7EF-00E6-456F-B7B6-0DBDDDE291CC}" name="Column13170"/>
    <tableColumn id="13204" xr3:uid="{D3E2C8BE-2F94-4DD8-9C33-EEF2170BB7EB}" name="Column13171"/>
    <tableColumn id="13205" xr3:uid="{632581BD-239C-4D69-B9AA-4B1F63072E44}" name="Column13172"/>
    <tableColumn id="13206" xr3:uid="{1C08B62F-93FD-4AD4-8FD4-3F155DA57E61}" name="Column13173"/>
    <tableColumn id="13207" xr3:uid="{411FF5E8-B024-4A30-A683-4E971EA18724}" name="Column13174"/>
    <tableColumn id="13208" xr3:uid="{E00F08AB-4419-4F60-AF2D-13E521C2FA9B}" name="Column13175"/>
    <tableColumn id="13209" xr3:uid="{40B00BA6-DEAC-4D41-8175-CFC806E94E98}" name="Column13176"/>
    <tableColumn id="13210" xr3:uid="{4A7062D5-306A-4D7A-A0F5-0A5368921BB9}" name="Column13177"/>
    <tableColumn id="13211" xr3:uid="{B618F033-3172-47CC-B61C-B9169A32A2BF}" name="Column13178"/>
    <tableColumn id="13212" xr3:uid="{161C2CF9-513D-4B21-AC10-7AB7DC80BA36}" name="Column13179"/>
    <tableColumn id="13213" xr3:uid="{F252D3E5-A383-4E6D-905A-4D25730E6B1F}" name="Column13180"/>
    <tableColumn id="13214" xr3:uid="{D30E345F-AAA3-40F6-84C0-6AE5937F50CA}" name="Column13181"/>
    <tableColumn id="13215" xr3:uid="{C3A2AB54-7F9E-4A49-918F-B823D62FE1D8}" name="Column13182"/>
    <tableColumn id="13216" xr3:uid="{369E8CE1-78C4-4143-882E-0EC05F7C5C01}" name="Column13183"/>
    <tableColumn id="13217" xr3:uid="{0C5954B1-6A22-45F0-A066-B9C9B55D3808}" name="Column13184"/>
    <tableColumn id="13218" xr3:uid="{81AF24C4-4913-43DA-8A53-C18DB607FC78}" name="Column13185"/>
    <tableColumn id="13219" xr3:uid="{2167ED1D-3E4E-4C23-BBAF-23E3A47B1676}" name="Column13186"/>
    <tableColumn id="13220" xr3:uid="{85901AD9-352C-417A-BA7A-05477B59FE65}" name="Column13187"/>
    <tableColumn id="13221" xr3:uid="{D54A167B-BD0C-4D59-85B5-E26887D13085}" name="Column13188"/>
    <tableColumn id="13222" xr3:uid="{973BCF72-2366-4E2A-A3EE-C18CB05F3903}" name="Column13189"/>
    <tableColumn id="13223" xr3:uid="{80BAE4D8-4A67-471E-972A-1E0A33BC3FDD}" name="Column13190"/>
    <tableColumn id="13224" xr3:uid="{594BEB44-F2EF-4050-A6CA-14692D6C3C79}" name="Column13191"/>
    <tableColumn id="13225" xr3:uid="{D9684041-D3CB-453B-834E-70F9D3C3D13D}" name="Column13192"/>
    <tableColumn id="13226" xr3:uid="{127454B2-A10B-4F2F-ABDE-7E61E8027257}" name="Column13193"/>
    <tableColumn id="13227" xr3:uid="{D9E80028-B387-4A03-80FE-C9D1FFA11F54}" name="Column13194"/>
    <tableColumn id="13228" xr3:uid="{1C39EB10-70CC-4D5F-9DBD-C916F4AADF94}" name="Column13195"/>
    <tableColumn id="13229" xr3:uid="{3BC31FA1-35C4-4697-94DF-C743190234CC}" name="Column13196"/>
    <tableColumn id="13230" xr3:uid="{AE4D2C5D-20A5-4766-94B7-51E3DC79DEF2}" name="Column13197"/>
    <tableColumn id="13231" xr3:uid="{72E4D782-9577-432C-87C2-91E7780066E4}" name="Column13198"/>
    <tableColumn id="13232" xr3:uid="{0BFF2E68-E960-4B99-B718-6D96744263BD}" name="Column13199"/>
    <tableColumn id="13233" xr3:uid="{3E63766F-E040-4574-90B1-00AF197E6118}" name="Column13200"/>
    <tableColumn id="13234" xr3:uid="{58247E28-D494-484B-ACB9-9EFD9196DF92}" name="Column13201"/>
    <tableColumn id="13235" xr3:uid="{2C261ED9-E98E-49C6-99F1-EC0B5400CBB0}" name="Column13202"/>
    <tableColumn id="13236" xr3:uid="{C1FB31EE-E56F-4E13-88EE-4FD41F596D86}" name="Column13203"/>
    <tableColumn id="13237" xr3:uid="{C2812E1A-7F3E-4C28-8DB3-33E3AB985760}" name="Column13204"/>
    <tableColumn id="13238" xr3:uid="{BA604F88-0D3B-46AB-8F75-DA605C3408F1}" name="Column13205"/>
    <tableColumn id="13239" xr3:uid="{65A314B7-5B81-442E-8862-1E10F7FEE125}" name="Column13206"/>
    <tableColumn id="13240" xr3:uid="{B5013ABF-17CD-4C27-B980-67795EA0DA6B}" name="Column13207"/>
    <tableColumn id="13241" xr3:uid="{0CB3EC7F-1708-4FAB-9123-49F60AB6CE3D}" name="Column13208"/>
    <tableColumn id="13242" xr3:uid="{0AC72957-1545-4B67-B559-C6A41292FA97}" name="Column13209"/>
    <tableColumn id="13243" xr3:uid="{2F4419E1-EBC4-47F4-A04F-23B7683F43E7}" name="Column13210"/>
    <tableColumn id="13244" xr3:uid="{ECDE07AF-E4F4-4F48-A227-C4C6DDC6CABC}" name="Column13211"/>
    <tableColumn id="13245" xr3:uid="{E495E3AE-EBAD-40A1-84EB-55A1B9128795}" name="Column13212"/>
    <tableColumn id="13246" xr3:uid="{204CD5D6-1758-4863-A45F-8B9F2D1F711C}" name="Column13213"/>
    <tableColumn id="13247" xr3:uid="{1859CDAD-E5E2-4004-99AE-712DBE862DA2}" name="Column13214"/>
    <tableColumn id="13248" xr3:uid="{1A95072C-9785-4E54-823F-A0D41594148B}" name="Column13215"/>
    <tableColumn id="13249" xr3:uid="{263A188B-DBBF-47BB-802D-1701900B5E27}" name="Column13216"/>
    <tableColumn id="13250" xr3:uid="{B894EDC8-F714-4A15-A234-89221D68B878}" name="Column13217"/>
    <tableColumn id="13251" xr3:uid="{10B788AB-C454-42CC-B766-5142C4F4EA65}" name="Column13218"/>
    <tableColumn id="13252" xr3:uid="{04F10929-36F6-4465-8A82-4CAC9F9EC633}" name="Column13219"/>
    <tableColumn id="13253" xr3:uid="{DB30F984-A6E4-4818-ACC9-9E5B103974C1}" name="Column13220"/>
    <tableColumn id="13254" xr3:uid="{A541F5DC-FB64-488A-BEDF-F05ACEFB8489}" name="Column13221"/>
    <tableColumn id="13255" xr3:uid="{2D6DAFBD-C675-4BE1-8A44-C5EA13EDC099}" name="Column13222"/>
    <tableColumn id="13256" xr3:uid="{8FB851F4-4458-48A8-A72A-AF23F256ED03}" name="Column13223"/>
    <tableColumn id="13257" xr3:uid="{22A7CC0D-B4E0-4B30-8975-825F70153712}" name="Column13224"/>
    <tableColumn id="13258" xr3:uid="{54F048E1-5DF7-4CCD-9253-220FF702CE5D}" name="Column13225"/>
    <tableColumn id="13259" xr3:uid="{2CB5DCAB-DBB9-4521-8A45-B769600A8B02}" name="Column13226"/>
    <tableColumn id="13260" xr3:uid="{77DB6753-7B78-4541-A04E-4B7C80FD979F}" name="Column13227"/>
    <tableColumn id="13261" xr3:uid="{6800C435-F345-4C1F-97F5-6DFBFACB6090}" name="Column13228"/>
    <tableColumn id="13262" xr3:uid="{8D9E91A9-6EA5-41BF-9AEC-BD02C18CF309}" name="Column13229"/>
    <tableColumn id="13263" xr3:uid="{3BB6975F-1120-43F2-9FCD-639AE4CA8D2D}" name="Column13230"/>
    <tableColumn id="13264" xr3:uid="{4A47FBCE-D82E-45B7-B492-0EB33B677FDD}" name="Column13231"/>
    <tableColumn id="13265" xr3:uid="{00AB135B-20EE-42DB-B1C9-DE7DD3E479DA}" name="Column13232"/>
    <tableColumn id="13266" xr3:uid="{40CD0813-6BF3-421D-B648-4C52C35827FC}" name="Column13233"/>
    <tableColumn id="13267" xr3:uid="{FA643D0D-14E7-46B4-90F9-B3B2DE8E84FE}" name="Column13234"/>
    <tableColumn id="13268" xr3:uid="{3902E991-42B4-4867-9D7F-251D2DF5A2A4}" name="Column13235"/>
    <tableColumn id="13269" xr3:uid="{A9863C2C-320D-490A-94A5-6607CBC25CED}" name="Column13236"/>
    <tableColumn id="13270" xr3:uid="{D986E1A6-D7E4-475B-82FC-6496D6522FF6}" name="Column13237"/>
    <tableColumn id="13271" xr3:uid="{64C11EFF-973F-4DA5-8618-6EA4F8A6F1BB}" name="Column13238"/>
    <tableColumn id="13272" xr3:uid="{8FDABCA5-E8C3-4729-8C0A-D918B41AEAFB}" name="Column13239"/>
    <tableColumn id="13273" xr3:uid="{71F6B7FA-24C9-4ABD-9327-687AA192ECF3}" name="Column13240"/>
    <tableColumn id="13274" xr3:uid="{C6FA588A-886F-45A0-B0E3-6EF7EA2C9889}" name="Column13241"/>
    <tableColumn id="13275" xr3:uid="{914997D9-EE7E-4BCE-AB04-15D63A5FC827}" name="Column13242"/>
    <tableColumn id="13276" xr3:uid="{476444E9-99F7-4EF5-B135-AC22F1FFAF24}" name="Column13243"/>
    <tableColumn id="13277" xr3:uid="{00606085-7F23-4616-B2DB-39E6A42A175A}" name="Column13244"/>
    <tableColumn id="13278" xr3:uid="{E7312F34-43CB-490A-BE68-D24DEFD71697}" name="Column13245"/>
    <tableColumn id="13279" xr3:uid="{E29C5BAC-DDA9-48CA-AEC4-CBB30A2FA429}" name="Column13246"/>
    <tableColumn id="13280" xr3:uid="{D3697594-677B-43A2-905D-4616A5CEA631}" name="Column13247"/>
    <tableColumn id="13281" xr3:uid="{567E24B9-C52B-4899-B14C-3A2907DF15E5}" name="Column13248"/>
    <tableColumn id="13282" xr3:uid="{1C196F37-519A-433C-B2B0-74B0783FA5DF}" name="Column13249"/>
    <tableColumn id="13283" xr3:uid="{DF8D2AAF-17F6-4B7A-AFBA-D7C35F6F925D}" name="Column13250"/>
    <tableColumn id="13284" xr3:uid="{7B4874EB-8223-42B9-9728-C300C3BA4746}" name="Column13251"/>
    <tableColumn id="13285" xr3:uid="{17C46D35-BFB5-4837-A1F3-756BF4DF44F7}" name="Column13252"/>
    <tableColumn id="13286" xr3:uid="{5C72696B-BF79-45EC-9E44-6AA5847AC36A}" name="Column13253"/>
    <tableColumn id="13287" xr3:uid="{E240BC5A-54C5-4A7D-BC09-F7206FAA5AE5}" name="Column13254"/>
    <tableColumn id="13288" xr3:uid="{F48F32A0-EABC-4D25-9DD2-70246250C7F6}" name="Column13255"/>
    <tableColumn id="13289" xr3:uid="{5A7AEB88-F7F3-4411-BFD2-CEBB13025730}" name="Column13256"/>
    <tableColumn id="13290" xr3:uid="{A9D90F57-ACBA-4456-BE7C-8AC8D5354EC7}" name="Column13257"/>
    <tableColumn id="13291" xr3:uid="{A763EA78-7E9C-4574-954C-EC05411E4AB0}" name="Column13258"/>
    <tableColumn id="13292" xr3:uid="{C95AA9ED-6864-403F-9FD9-54B88A2B6F6C}" name="Column13259"/>
    <tableColumn id="13293" xr3:uid="{EEB47222-75B8-4A2B-A25A-C1485AE3D98B}" name="Column13260"/>
    <tableColumn id="13294" xr3:uid="{0EF57073-EEDE-4407-984B-F83473687868}" name="Column13261"/>
    <tableColumn id="13295" xr3:uid="{135A3272-F5D0-4AE5-9DEB-3552E8C69411}" name="Column13262"/>
    <tableColumn id="13296" xr3:uid="{F31B9E8B-D469-4FCA-8B63-9BEE9638ABDA}" name="Column13263"/>
    <tableColumn id="13297" xr3:uid="{6E97D344-8A26-42A8-8660-11ABF75F2192}" name="Column13264"/>
    <tableColumn id="13298" xr3:uid="{2771C6D7-3709-4153-84AA-E6F4A5264319}" name="Column13265"/>
    <tableColumn id="13299" xr3:uid="{FCA6F3AA-4F1D-4C28-956F-178819CE9999}" name="Column13266"/>
    <tableColumn id="13300" xr3:uid="{CD072EE2-083C-4A4B-9307-17CA9E91A452}" name="Column13267"/>
    <tableColumn id="13301" xr3:uid="{AD957A89-21C0-49FB-B394-3413CFD9BF8B}" name="Column13268"/>
    <tableColumn id="13302" xr3:uid="{771B3EE7-5748-49F0-918E-F98866BF7663}" name="Column13269"/>
    <tableColumn id="13303" xr3:uid="{4A1829F3-2EDE-44D9-8B64-1E8CD885C761}" name="Column13270"/>
    <tableColumn id="13304" xr3:uid="{2DB2145C-D2D8-4135-8A9D-D6436AC72AC9}" name="Column13271"/>
    <tableColumn id="13305" xr3:uid="{9B4AAF7D-375A-42B1-8476-3E864EBBB2FA}" name="Column13272"/>
    <tableColumn id="13306" xr3:uid="{2F78C47A-3817-421E-AB89-319069829658}" name="Column13273"/>
    <tableColumn id="13307" xr3:uid="{5956A0BB-B07D-4FB7-A186-0B0144CABE63}" name="Column13274"/>
    <tableColumn id="13308" xr3:uid="{B1590648-E333-4057-A91D-5130512C8DB2}" name="Column13275"/>
    <tableColumn id="13309" xr3:uid="{853134B2-F802-4B5A-8496-820E0BD68910}" name="Column13276"/>
    <tableColumn id="13310" xr3:uid="{91D034B7-5DA3-4B60-9466-AC758E9EDA3F}" name="Column13277"/>
    <tableColumn id="13311" xr3:uid="{08AF9485-4AC1-4BE8-B20E-C7CAAB3EB1F9}" name="Column13278"/>
    <tableColumn id="13312" xr3:uid="{995C709F-09DF-421B-8DE8-42C5B186A0CF}" name="Column13279"/>
    <tableColumn id="13313" xr3:uid="{45C19526-FDFE-4F46-8170-9BDD0D3A6609}" name="Column13280"/>
    <tableColumn id="13314" xr3:uid="{629AF444-F729-4068-A159-1393638EDD87}" name="Column13281"/>
    <tableColumn id="13315" xr3:uid="{2CD30801-48AB-4DCE-90BC-E3EEF7AEA544}" name="Column13282"/>
    <tableColumn id="13316" xr3:uid="{8E0CC0F3-134C-450F-9A70-C9D848F15FC6}" name="Column13283"/>
    <tableColumn id="13317" xr3:uid="{EFB1C145-31CA-43D8-B8B2-69C329AF5A85}" name="Column13284"/>
    <tableColumn id="13318" xr3:uid="{46790304-B25D-41CF-9751-402B68BFB87C}" name="Column13285"/>
    <tableColumn id="13319" xr3:uid="{52EBE5D7-FE26-4045-815E-A39226E7688A}" name="Column13286"/>
    <tableColumn id="13320" xr3:uid="{C8A1684C-63B2-476F-9E8F-24E6D35F3B60}" name="Column13287"/>
    <tableColumn id="13321" xr3:uid="{EE986DC2-3F2E-4DC1-B4A7-EAD8F20FED54}" name="Column13288"/>
    <tableColumn id="13322" xr3:uid="{5D8464CA-ED0D-4924-B011-E02997A5F61F}" name="Column13289"/>
    <tableColumn id="13323" xr3:uid="{FA91E9D9-BBDF-4243-8BDA-76B504FBA303}" name="Column13290"/>
    <tableColumn id="13324" xr3:uid="{9D6B2B7D-C302-4C0F-AE82-E8E28088BD57}" name="Column13291"/>
    <tableColumn id="13325" xr3:uid="{12407B69-8E22-4265-ABCF-82B66C707731}" name="Column13292"/>
    <tableColumn id="13326" xr3:uid="{25EEDD6D-8D0A-4E48-B609-4790018B8359}" name="Column13293"/>
    <tableColumn id="13327" xr3:uid="{5080B6BC-7F2C-46ED-AB2F-415E15BB0E74}" name="Column13294"/>
    <tableColumn id="13328" xr3:uid="{406BF89D-DBA9-492A-9506-5C101EA8E0CA}" name="Column13295"/>
    <tableColumn id="13329" xr3:uid="{D4799318-853A-40D3-995D-1E16D62A6B54}" name="Column13296"/>
    <tableColumn id="13330" xr3:uid="{79152A5F-26E9-4E12-BA24-08F6CBDE7002}" name="Column13297"/>
    <tableColumn id="13331" xr3:uid="{9DE89738-9047-4358-A78E-DCF23EE0B7C2}" name="Column13298"/>
    <tableColumn id="13332" xr3:uid="{F32D6FE5-6F98-424B-9AD1-938533910C1C}" name="Column13299"/>
    <tableColumn id="13333" xr3:uid="{3EC22DEB-9E03-4731-B91C-E1B98A73072B}" name="Column13300"/>
    <tableColumn id="13334" xr3:uid="{B93B83C0-C45B-4770-864D-095A78CAC08D}" name="Column13301"/>
    <tableColumn id="13335" xr3:uid="{18D89CE8-B923-4B73-A35A-D74D732725A6}" name="Column13302"/>
    <tableColumn id="13336" xr3:uid="{2C564135-A4F3-4BAB-AFBC-C483359ED6F0}" name="Column13303"/>
    <tableColumn id="13337" xr3:uid="{BABEE93F-1548-46E1-AC2B-D4E387D9D0B6}" name="Column13304"/>
    <tableColumn id="13338" xr3:uid="{7E16BFDE-8AEF-48D9-A441-729D7AADEBDF}" name="Column13305"/>
    <tableColumn id="13339" xr3:uid="{2E500834-D00E-482D-93CE-FAE3F43B397C}" name="Column13306"/>
    <tableColumn id="13340" xr3:uid="{78451C62-7A3A-46C1-AAED-DBD1F086E67C}" name="Column13307"/>
    <tableColumn id="13341" xr3:uid="{4FFA054A-9948-4605-A032-E69043B6E9A6}" name="Column13308"/>
    <tableColumn id="13342" xr3:uid="{9C64B4DC-2E7F-4426-9EB0-915D4261E278}" name="Column13309"/>
    <tableColumn id="13343" xr3:uid="{A9EB40D0-495E-449A-94D7-155BAB0222C8}" name="Column13310"/>
    <tableColumn id="13344" xr3:uid="{2733161A-12F9-4141-81ED-D74DC5B1CA92}" name="Column13311"/>
    <tableColumn id="13345" xr3:uid="{4BCEA774-E244-4C5F-9BB4-42C0616D2402}" name="Column13312"/>
    <tableColumn id="13346" xr3:uid="{AB28E667-555C-4196-975B-4098A3D41DCA}" name="Column13313"/>
    <tableColumn id="13347" xr3:uid="{2AE7E928-72B0-4E0F-96CC-64A89E10A905}" name="Column13314"/>
    <tableColumn id="13348" xr3:uid="{4E0EF199-0730-4F37-B523-737B24DF5006}" name="Column13315"/>
    <tableColumn id="13349" xr3:uid="{7FF95D84-4DBF-4D61-919C-AAD31146422F}" name="Column13316"/>
    <tableColumn id="13350" xr3:uid="{86373055-DCE9-4857-8346-B3D96F85B63B}" name="Column13317"/>
    <tableColumn id="13351" xr3:uid="{A4D91171-9238-4445-B646-E1627F23BE79}" name="Column13318"/>
    <tableColumn id="13352" xr3:uid="{BD5EC01C-D7BD-4D62-8DF5-10BDB100E616}" name="Column13319"/>
    <tableColumn id="13353" xr3:uid="{8E7FACEA-1FF6-4F4F-9AAA-0FE4D326E1DF}" name="Column13320"/>
    <tableColumn id="13354" xr3:uid="{61527DA0-0B9F-47E8-B36E-187D20A4150F}" name="Column13321"/>
    <tableColumn id="13355" xr3:uid="{06306018-84A9-4719-82F1-36110A98E9C2}" name="Column13322"/>
    <tableColumn id="13356" xr3:uid="{F80B2986-0EFE-4570-9323-4448FB7FFAD6}" name="Column13323"/>
    <tableColumn id="13357" xr3:uid="{63C7AFE4-D805-4A78-A220-E3B8DAFD425F}" name="Column13324"/>
    <tableColumn id="13358" xr3:uid="{1D7A5899-D97E-448A-976B-02E5FC2F37A4}" name="Column13325"/>
    <tableColumn id="13359" xr3:uid="{F5286702-E3BA-4A35-9258-E710A16401AE}" name="Column13326"/>
    <tableColumn id="13360" xr3:uid="{DA0B733F-6743-4921-9DF6-4204B11F56D3}" name="Column13327"/>
    <tableColumn id="13361" xr3:uid="{26C465A2-F290-43A4-AB35-A8574D08C45D}" name="Column13328"/>
    <tableColumn id="13362" xr3:uid="{D6791306-3CEF-4183-956C-98D242B89730}" name="Column13329"/>
    <tableColumn id="13363" xr3:uid="{72A22ADD-8D45-4EFC-A4CB-A9B065403D4F}" name="Column13330"/>
    <tableColumn id="13364" xr3:uid="{25BFFED9-3F1E-4396-8B57-51611D032473}" name="Column13331"/>
    <tableColumn id="13365" xr3:uid="{F57D5C3C-151E-4796-8453-E5CEAA573DB4}" name="Column13332"/>
    <tableColumn id="13366" xr3:uid="{A8A8F6A5-F110-4CDC-A1C2-3951581C1A93}" name="Column13333"/>
    <tableColumn id="13367" xr3:uid="{31D0CF8A-82A0-488C-9FD7-74006D44D93F}" name="Column13334"/>
    <tableColumn id="13368" xr3:uid="{53FA5B8A-2309-440F-872E-D51B1A8F7FD9}" name="Column13335"/>
    <tableColumn id="13369" xr3:uid="{D4A2731C-3E64-458A-8D56-3D15843D3176}" name="Column13336"/>
    <tableColumn id="13370" xr3:uid="{0486F2D5-173E-46DA-8D88-9D429580761E}" name="Column13337"/>
    <tableColumn id="13371" xr3:uid="{447217F9-5B78-4FC9-B34C-DD9FC8099BC3}" name="Column13338"/>
    <tableColumn id="13372" xr3:uid="{C41DF2C7-4B60-4B3D-9071-E2603761035C}" name="Column13339"/>
    <tableColumn id="13373" xr3:uid="{6690651A-084A-4FED-9B5C-6D9D7D2825E7}" name="Column13340"/>
    <tableColumn id="13374" xr3:uid="{99617987-2E2A-483A-B955-893C8C63EC05}" name="Column13341"/>
    <tableColumn id="13375" xr3:uid="{99DD94A0-918D-4012-943B-EB0B52B52C22}" name="Column13342"/>
    <tableColumn id="13376" xr3:uid="{4E77675F-3357-42CF-8FB1-77104A5AA830}" name="Column13343"/>
    <tableColumn id="13377" xr3:uid="{77999B87-87BF-46F1-AAA6-1D7631784461}" name="Column13344"/>
    <tableColumn id="13378" xr3:uid="{DE1EFDD2-C10F-446A-92C3-5A1190C49204}" name="Column13345"/>
    <tableColumn id="13379" xr3:uid="{1E849E28-6C7B-4360-BEB3-D3A782D869BD}" name="Column13346"/>
    <tableColumn id="13380" xr3:uid="{65E54147-A39D-405C-913D-B6F2D54D2DC5}" name="Column13347"/>
    <tableColumn id="13381" xr3:uid="{A336F24F-E7FA-4052-BBD9-FD0583FCA1AC}" name="Column13348"/>
    <tableColumn id="13382" xr3:uid="{48242BCB-480C-4DA4-8A7E-7F6C18DCDEE5}" name="Column13349"/>
    <tableColumn id="13383" xr3:uid="{ADC1624E-B831-4644-9AF4-329654EE1F6E}" name="Column13350"/>
    <tableColumn id="13384" xr3:uid="{53482335-F2A5-4709-AA16-79C22E7EE0D3}" name="Column13351"/>
    <tableColumn id="13385" xr3:uid="{A3274460-CEE4-4FF8-A307-4C22680949E1}" name="Column13352"/>
    <tableColumn id="13386" xr3:uid="{FAE15671-B13D-4FAC-A68E-41A7F7AFA519}" name="Column13353"/>
    <tableColumn id="13387" xr3:uid="{C90AD936-D73C-4EAB-937D-B0400E18A7E9}" name="Column13354"/>
    <tableColumn id="13388" xr3:uid="{87EBE675-71AB-418C-B64F-C4440E48F21C}" name="Column13355"/>
    <tableColumn id="13389" xr3:uid="{3251D237-B9F1-4640-B2AB-14F5598542F1}" name="Column13356"/>
    <tableColumn id="13390" xr3:uid="{4E5E73B5-7A15-438D-945E-0B42F8BE5431}" name="Column13357"/>
    <tableColumn id="13391" xr3:uid="{5786F00C-B3C4-4754-9B4E-735224E534A2}" name="Column13358"/>
    <tableColumn id="13392" xr3:uid="{6602BA84-426E-4854-BEA9-B9026F2E20D3}" name="Column13359"/>
    <tableColumn id="13393" xr3:uid="{4CEE9A6F-B62E-4726-992B-1AA8A758326B}" name="Column13360"/>
    <tableColumn id="13394" xr3:uid="{CD910477-8288-461D-8F5D-14F33097FA42}" name="Column13361"/>
    <tableColumn id="13395" xr3:uid="{236D4BD2-A276-4831-A9ED-E9AF086FEDDB}" name="Column13362"/>
    <tableColumn id="13396" xr3:uid="{72576D09-07E2-4A16-8047-42FF5158AD73}" name="Column13363"/>
    <tableColumn id="13397" xr3:uid="{9D5D35E9-76B8-42D9-9CCE-24CCBCD41E2B}" name="Column13364"/>
    <tableColumn id="13398" xr3:uid="{6BDF21FF-0710-4137-BF9E-57E5A2E36ECF}" name="Column13365"/>
    <tableColumn id="13399" xr3:uid="{C9803EF0-275E-4C35-8681-17CCD770D97F}" name="Column13366"/>
    <tableColumn id="13400" xr3:uid="{29A722BB-C8D1-4FD9-BE3F-F9CDD5AA73BE}" name="Column13367"/>
    <tableColumn id="13401" xr3:uid="{72B2FF1B-F7DF-4C6B-935C-701639BEBAB6}" name="Column13368"/>
    <tableColumn id="13402" xr3:uid="{C609FA75-207A-4B46-93EB-F383AC5749FA}" name="Column13369"/>
    <tableColumn id="13403" xr3:uid="{AF7EC904-F664-47C8-844D-E93B7D75E5EC}" name="Column13370"/>
    <tableColumn id="13404" xr3:uid="{1B3C7798-49F0-45B2-9C20-A73B3EC3EEAC}" name="Column13371"/>
    <tableColumn id="13405" xr3:uid="{A6C51F7E-7D03-4AD2-907F-C7DBC375BFDB}" name="Column13372"/>
    <tableColumn id="13406" xr3:uid="{59EEF2A5-6228-48C1-82C3-8E10A912AA97}" name="Column13373"/>
    <tableColumn id="13407" xr3:uid="{F6779EC4-E8C5-44E9-AF53-B7465066581C}" name="Column13374"/>
    <tableColumn id="13408" xr3:uid="{485FED7B-7B0C-4232-A6E9-8D330818979C}" name="Column13375"/>
    <tableColumn id="13409" xr3:uid="{69494F1F-820F-442A-928D-2E0122E1AE33}" name="Column13376"/>
    <tableColumn id="13410" xr3:uid="{AE331E12-6AAE-4D7A-85C6-971A8E54EC60}" name="Column13377"/>
    <tableColumn id="13411" xr3:uid="{23EF334B-64FA-4E9C-BE39-B9B35EAB03A6}" name="Column13378"/>
    <tableColumn id="13412" xr3:uid="{8F765170-5E06-473D-BB02-D6AFD96DB6E8}" name="Column13379"/>
    <tableColumn id="13413" xr3:uid="{97EE0346-DF6C-4071-B36B-B4E90093EE6C}" name="Column13380"/>
    <tableColumn id="13414" xr3:uid="{78DFDAA4-85A2-4080-942B-F18037EC466B}" name="Column13381"/>
    <tableColumn id="13415" xr3:uid="{5EAF1ED8-52E1-4429-A63A-9A36103E1586}" name="Column13382"/>
    <tableColumn id="13416" xr3:uid="{D390615C-B444-4365-96E8-0F7C830A5881}" name="Column13383"/>
    <tableColumn id="13417" xr3:uid="{5AFD6AD2-96F9-434D-8740-DC5EF430C99D}" name="Column13384"/>
    <tableColumn id="13418" xr3:uid="{2B072232-01CC-4F96-9AB4-EE093D6809F4}" name="Column13385"/>
    <tableColumn id="13419" xr3:uid="{101CB83A-8287-4352-8BF6-622FF54A1A51}" name="Column13386"/>
    <tableColumn id="13420" xr3:uid="{0F2179BB-68F6-4F2D-B5DB-0EE10A33658C}" name="Column13387"/>
    <tableColumn id="13421" xr3:uid="{547E4D02-2E99-47E6-A469-62FB4C01EE46}" name="Column13388"/>
    <tableColumn id="13422" xr3:uid="{6C32D6B2-7653-4F2A-B91B-2C73451BDF73}" name="Column13389"/>
    <tableColumn id="13423" xr3:uid="{69F9548D-31F2-4442-AC92-CAF6756276D1}" name="Column13390"/>
    <tableColumn id="13424" xr3:uid="{DCC12A36-AE98-431C-9F10-29B27A048F6F}" name="Column13391"/>
    <tableColumn id="13425" xr3:uid="{6892E780-0308-43D6-A1CE-831DAAC86852}" name="Column13392"/>
    <tableColumn id="13426" xr3:uid="{2B9F5B0A-4C45-432A-A78A-CEDCF8C56279}" name="Column13393"/>
    <tableColumn id="13427" xr3:uid="{9A1F0208-C14C-461D-9D6A-AF6EDCC2AAD7}" name="Column13394"/>
    <tableColumn id="13428" xr3:uid="{BB281AE5-3CB6-4B06-87AD-1CA1F45B93ED}" name="Column13395"/>
    <tableColumn id="13429" xr3:uid="{66F8737C-ECD4-4815-8D5A-98481187D04D}" name="Column13396"/>
    <tableColumn id="13430" xr3:uid="{0C86E371-8937-41C5-A031-F0BFE1FDC493}" name="Column13397"/>
    <tableColumn id="13431" xr3:uid="{29447228-5FB3-4EB8-9AD1-846BF4945695}" name="Column13398"/>
    <tableColumn id="13432" xr3:uid="{7946C927-25E4-454D-986B-ADB8DEF208A8}" name="Column13399"/>
    <tableColumn id="13433" xr3:uid="{BDB3F216-4151-4A0F-9C89-042D0205E315}" name="Column13400"/>
    <tableColumn id="13434" xr3:uid="{95EF0678-9969-407C-A568-EEA66EC71F6B}" name="Column13401"/>
    <tableColumn id="13435" xr3:uid="{8D04E847-9E7D-48D8-AAD9-FEF0DA41D19B}" name="Column13402"/>
    <tableColumn id="13436" xr3:uid="{18C123DE-B437-48A2-AB09-4A0E416C47F5}" name="Column13403"/>
    <tableColumn id="13437" xr3:uid="{4D5CE7D5-DA67-4F37-8D2A-8EF24826FB2C}" name="Column13404"/>
    <tableColumn id="13438" xr3:uid="{84F2A689-9780-4873-BEBB-E8C9239F9B2D}" name="Column13405"/>
    <tableColumn id="13439" xr3:uid="{802C2AD2-174A-49A3-B9C4-568CED69617A}" name="Column13406"/>
    <tableColumn id="13440" xr3:uid="{C9F9FF57-29DC-4F85-9571-A4C4C8998647}" name="Column13407"/>
    <tableColumn id="13441" xr3:uid="{98EB672D-F6B1-49B8-9C60-A26F2C058635}" name="Column13408"/>
    <tableColumn id="13442" xr3:uid="{C819940E-1D99-4100-A482-E14AC8FE3335}" name="Column13409"/>
    <tableColumn id="13443" xr3:uid="{D85D57DF-6304-48DE-B656-2C6DDA0615A2}" name="Column13410"/>
    <tableColumn id="13444" xr3:uid="{3FF4C4BA-3242-44C1-86E3-345E84D384B6}" name="Column13411"/>
    <tableColumn id="13445" xr3:uid="{FEDA531E-E9B9-49FE-92F1-B4811C86487A}" name="Column13412"/>
    <tableColumn id="13446" xr3:uid="{69DF8CF8-72ED-4697-B515-5267D48D0984}" name="Column13413"/>
    <tableColumn id="13447" xr3:uid="{C509AA02-CCD9-4333-B16D-911D055E15C6}" name="Column13414"/>
    <tableColumn id="13448" xr3:uid="{04433A0F-0836-41F4-933E-5D648B710ACD}" name="Column13415"/>
    <tableColumn id="13449" xr3:uid="{3E33B372-0601-421E-92DD-AE09F123A1C3}" name="Column13416"/>
    <tableColumn id="13450" xr3:uid="{7673571B-D33B-43CD-BFC4-CD82C5FC579D}" name="Column13417"/>
    <tableColumn id="13451" xr3:uid="{D64DFD14-1ABA-4D3B-A281-6DCB0C89D88F}" name="Column13418"/>
    <tableColumn id="13452" xr3:uid="{A0E32848-4D0B-418F-8F8A-9E72A965DCAB}" name="Column13419"/>
    <tableColumn id="13453" xr3:uid="{251EE05B-4C52-4DA1-8CD3-73AA4DECDE2C}" name="Column13420"/>
    <tableColumn id="13454" xr3:uid="{C3250321-2479-46F9-9521-A463948A6873}" name="Column13421"/>
    <tableColumn id="13455" xr3:uid="{574311D1-249D-4AE4-89AC-8469819421C2}" name="Column13422"/>
    <tableColumn id="13456" xr3:uid="{53B4EA20-9C5C-4C29-AB96-83A7D0FF7DC4}" name="Column13423"/>
    <tableColumn id="13457" xr3:uid="{62D69046-5279-45B3-A423-679AF5BA4A5D}" name="Column13424"/>
    <tableColumn id="13458" xr3:uid="{8CA0AAA8-3B4D-47FC-9167-72439E039508}" name="Column13425"/>
    <tableColumn id="13459" xr3:uid="{A7595CF2-7FBE-4637-8B5F-77FC3043178F}" name="Column13426"/>
    <tableColumn id="13460" xr3:uid="{CF4AE07D-E7C8-4299-BAAF-54DE9A34C913}" name="Column13427"/>
    <tableColumn id="13461" xr3:uid="{68EB4DD9-32A6-4FC0-9082-F09621072511}" name="Column13428"/>
    <tableColumn id="13462" xr3:uid="{1EF35612-DE22-411D-B655-2E052CE5F78A}" name="Column13429"/>
    <tableColumn id="13463" xr3:uid="{4F985170-D8BF-4F60-8A5A-36AE95D26490}" name="Column13430"/>
    <tableColumn id="13464" xr3:uid="{41AB4EC9-D046-460E-BBFD-4953CBB190C5}" name="Column13431"/>
    <tableColumn id="13465" xr3:uid="{E502CE22-D9BD-4ED2-B2A9-83C3CE1C10A3}" name="Column13432"/>
    <tableColumn id="13466" xr3:uid="{5B2F5154-B8DB-440F-B113-7670A538903E}" name="Column13433"/>
    <tableColumn id="13467" xr3:uid="{6951D3EC-98FC-4B47-9F60-B80682B29EAD}" name="Column13434"/>
    <tableColumn id="13468" xr3:uid="{C4A8C7DA-C0A7-405D-B16A-3C17F09F5C57}" name="Column13435"/>
    <tableColumn id="13469" xr3:uid="{5208D3A1-0B35-4913-A5D2-88907BD110E8}" name="Column13436"/>
    <tableColumn id="13470" xr3:uid="{3821C9AE-2622-4FBD-9012-D9901467EFBF}" name="Column13437"/>
    <tableColumn id="13471" xr3:uid="{3871B295-5C91-407A-97E3-C7F9E866AC1F}" name="Column13438"/>
    <tableColumn id="13472" xr3:uid="{EF08F609-38EF-48FC-AFC1-9FA46F3C9F76}" name="Column13439"/>
    <tableColumn id="13473" xr3:uid="{1D017183-4870-4DEA-80C2-9B303DE8C6C1}" name="Column13440"/>
    <tableColumn id="13474" xr3:uid="{0AF99CB0-8FB9-46A6-8711-17117A527C63}" name="Column13441"/>
    <tableColumn id="13475" xr3:uid="{05798A12-9ECF-4556-9E05-9B7FBA2BFAAD}" name="Column13442"/>
    <tableColumn id="13476" xr3:uid="{1447D74F-0EBD-4038-AA16-C5B808BFEB37}" name="Column13443"/>
    <tableColumn id="13477" xr3:uid="{CB54E6C6-254F-4534-B092-B8ADB638AE80}" name="Column13444"/>
    <tableColumn id="13478" xr3:uid="{1EF74A4B-2663-4AE2-9BC7-C174E3947B24}" name="Column13445"/>
    <tableColumn id="13479" xr3:uid="{74BF4F68-2AD2-423F-94BE-6504A7BDC3F9}" name="Column13446"/>
    <tableColumn id="13480" xr3:uid="{9B4B62B9-EBC5-4783-A1AA-A1716C9921AB}" name="Column13447"/>
    <tableColumn id="13481" xr3:uid="{8778D557-520E-428F-AA6E-D7BDBACA5CEF}" name="Column13448"/>
    <tableColumn id="13482" xr3:uid="{6D189B1D-6275-4524-B677-BC679E435A4D}" name="Column13449"/>
    <tableColumn id="13483" xr3:uid="{F2502B25-BBF5-44F6-8280-5C9A3ED15897}" name="Column13450"/>
    <tableColumn id="13484" xr3:uid="{26E7EC6A-DB08-412A-9270-555C031C42CD}" name="Column13451"/>
    <tableColumn id="13485" xr3:uid="{F7B5F72C-0E63-464D-90E7-2370855D3045}" name="Column13452"/>
    <tableColumn id="13486" xr3:uid="{37329054-7CBF-44FA-908D-85D2F52768C2}" name="Column13453"/>
    <tableColumn id="13487" xr3:uid="{C3742F6D-B0D3-4E9A-9136-9C9654F3F53E}" name="Column13454"/>
    <tableColumn id="13488" xr3:uid="{804CA036-7760-414C-8C3B-688382AADD25}" name="Column13455"/>
    <tableColumn id="13489" xr3:uid="{97DE0B50-46B8-49CF-92A6-E5E15809402C}" name="Column13456"/>
    <tableColumn id="13490" xr3:uid="{8C763B40-11E9-4CD2-8738-844B14CAA119}" name="Column13457"/>
    <tableColumn id="13491" xr3:uid="{3A0F6E64-624C-4482-82F9-E0A5CA78E10D}" name="Column13458"/>
    <tableColumn id="13492" xr3:uid="{827B0F4D-D168-486D-A61E-98F4791CB68E}" name="Column13459"/>
    <tableColumn id="13493" xr3:uid="{B15ADE57-2C58-452F-8F01-AE20D4E447F0}" name="Column13460"/>
    <tableColumn id="13494" xr3:uid="{12D2B34B-B519-41FF-8C49-5444993B0FF4}" name="Column13461"/>
    <tableColumn id="13495" xr3:uid="{CF4EF976-FD71-4104-BEF0-DD71B5255477}" name="Column13462"/>
    <tableColumn id="13496" xr3:uid="{BE80DAAF-3AAE-4E3C-9187-955634E51417}" name="Column13463"/>
    <tableColumn id="13497" xr3:uid="{F4ADE82E-03DE-4DF6-9992-0E42FDDA2238}" name="Column13464"/>
    <tableColumn id="13498" xr3:uid="{F8A4B1D4-8332-4772-9415-DC4AC0BCD1B4}" name="Column13465"/>
    <tableColumn id="13499" xr3:uid="{464EBE97-A558-4B13-9200-8FA3CCCC9063}" name="Column13466"/>
    <tableColumn id="13500" xr3:uid="{3E21DCFA-013F-4287-BB01-DD7CEC74CD7C}" name="Column13467"/>
    <tableColumn id="13501" xr3:uid="{5F91E72C-F2B0-485A-B6EF-3406616BFAD5}" name="Column13468"/>
    <tableColumn id="13502" xr3:uid="{3DDDA47E-E60E-4599-8AF8-9293FBE0622B}" name="Column13469"/>
    <tableColumn id="13503" xr3:uid="{6840E959-CAD1-4DF3-B670-7B88CDFD9843}" name="Column13470"/>
    <tableColumn id="13504" xr3:uid="{6A5312DB-3CA4-445F-AA8A-CBE195162EF9}" name="Column13471"/>
    <tableColumn id="13505" xr3:uid="{3A87C971-493E-40B1-9CC6-293F8B6F5AE9}" name="Column13472"/>
    <tableColumn id="13506" xr3:uid="{BF1DE736-07AD-4EF7-B23C-5CF52AC4A580}" name="Column13473"/>
    <tableColumn id="13507" xr3:uid="{19B2653F-92E1-4E4D-B726-EE37909F7509}" name="Column13474"/>
    <tableColumn id="13508" xr3:uid="{702C1C7F-1338-4E40-B3AA-BF4D1110DDF1}" name="Column13475"/>
    <tableColumn id="13509" xr3:uid="{EE8ADEE4-6960-4357-9EAC-04F59F7D586B}" name="Column13476"/>
    <tableColumn id="13510" xr3:uid="{7E5D6E05-C1D5-48AB-8B55-5496C3FFAE6E}" name="Column13477"/>
    <tableColumn id="13511" xr3:uid="{7A0B120E-4D6D-4AD2-BAAE-921139A22DFD}" name="Column13478"/>
    <tableColumn id="13512" xr3:uid="{17D48CE6-3DE5-4E36-BC18-736B1CBB841F}" name="Column13479"/>
    <tableColumn id="13513" xr3:uid="{6F8594E9-F6BC-423D-8A9E-E0F7A87CB4A6}" name="Column13480"/>
    <tableColumn id="13514" xr3:uid="{69F748B6-EC6D-4FE6-8132-CBDB2D6FE2D6}" name="Column13481"/>
    <tableColumn id="13515" xr3:uid="{BA817F04-2557-4A34-8978-09B2AB234672}" name="Column13482"/>
    <tableColumn id="13516" xr3:uid="{38A6E10C-25D1-4F0C-BA29-231CBC13039D}" name="Column13483"/>
    <tableColumn id="13517" xr3:uid="{70AD3679-80C0-46FB-960B-873505FE3645}" name="Column13484"/>
    <tableColumn id="13518" xr3:uid="{74BC6EA1-788F-4925-8600-1370F3F771F3}" name="Column13485"/>
    <tableColumn id="13519" xr3:uid="{8A373C48-CE7E-49B8-BFC3-CCF5CF65B8A6}" name="Column13486"/>
    <tableColumn id="13520" xr3:uid="{306A944B-67AB-49AC-A70A-34CBD2DC2F4E}" name="Column13487"/>
    <tableColumn id="13521" xr3:uid="{B1CFBCB6-BD7C-43C3-9EB3-25C201C34506}" name="Column13488"/>
    <tableColumn id="13522" xr3:uid="{E66ED420-9522-4AF7-A416-EAF15388630A}" name="Column13489"/>
    <tableColumn id="13523" xr3:uid="{8A6B6E7F-2C22-49F3-A0F9-D19A1C17C78C}" name="Column13490"/>
    <tableColumn id="13524" xr3:uid="{336AC5E7-90D9-48A6-BAF4-9704E4984BE8}" name="Column13491"/>
    <tableColumn id="13525" xr3:uid="{0D7D4CDD-123F-4F2F-A8BE-9EAF9E6A8513}" name="Column13492"/>
    <tableColumn id="13526" xr3:uid="{60188724-0420-480E-9347-E25B6E15AC63}" name="Column13493"/>
    <tableColumn id="13527" xr3:uid="{0F2C967A-3C2D-4905-9DAA-6CDE56780F96}" name="Column13494"/>
    <tableColumn id="13528" xr3:uid="{402792D8-F8C3-490D-9DF6-A6366C5A29C8}" name="Column13495"/>
    <tableColumn id="13529" xr3:uid="{3236633B-BEFF-4AB7-A499-B1224AF3A283}" name="Column13496"/>
    <tableColumn id="13530" xr3:uid="{449E61EC-3CE8-4F28-98FD-5B1D6B5C1053}" name="Column13497"/>
    <tableColumn id="13531" xr3:uid="{08F6CF78-760B-4922-9CC5-8FB28A51F203}" name="Column13498"/>
    <tableColumn id="13532" xr3:uid="{09278E2F-7EB2-4324-8D39-D47FCFCF4FA8}" name="Column13499"/>
    <tableColumn id="13533" xr3:uid="{799375DB-6C2D-4A14-A355-B4561E3F17C8}" name="Column13500"/>
    <tableColumn id="13534" xr3:uid="{E55A66B9-49E9-43FF-B213-F8C8724F376B}" name="Column13501"/>
    <tableColumn id="13535" xr3:uid="{9753A267-83C9-4CBB-B356-3845F2BA585F}" name="Column13502"/>
    <tableColumn id="13536" xr3:uid="{1302E4C5-05EA-48FD-B7F8-7551F05B6DAE}" name="Column13503"/>
    <tableColumn id="13537" xr3:uid="{80BB9652-E10B-4516-B674-899DD8AF3500}" name="Column13504"/>
    <tableColumn id="13538" xr3:uid="{16CA6BF8-0760-4F98-8B0C-0556077DA2EC}" name="Column13505"/>
    <tableColumn id="13539" xr3:uid="{60AAD1F5-D4CD-49AD-898E-423E516E6901}" name="Column13506"/>
    <tableColumn id="13540" xr3:uid="{6E453363-D4E8-41E4-B64A-0CE0F93FACC7}" name="Column13507"/>
    <tableColumn id="13541" xr3:uid="{9C9A2DBB-233A-4B55-9227-28589D4303BD}" name="Column13508"/>
    <tableColumn id="13542" xr3:uid="{6B867352-043F-48D5-9D07-07C09FBD76FA}" name="Column13509"/>
    <tableColumn id="13543" xr3:uid="{A0AB9664-286C-421D-97CF-A8B73AD81B57}" name="Column13510"/>
    <tableColumn id="13544" xr3:uid="{DBD8F8C1-6E0D-48EB-8772-629F16755D89}" name="Column13511"/>
    <tableColumn id="13545" xr3:uid="{A9826898-33D7-4822-A2C7-392C3C49F4AC}" name="Column13512"/>
    <tableColumn id="13546" xr3:uid="{B7A57979-D29D-4918-A5CC-1B28FA8E7B9A}" name="Column13513"/>
    <tableColumn id="13547" xr3:uid="{432E0DF6-F95C-4530-9B34-4C7CE1456401}" name="Column13514"/>
    <tableColumn id="13548" xr3:uid="{142D2CAA-85D4-4C44-83B2-00C6F04AE103}" name="Column13515"/>
    <tableColumn id="13549" xr3:uid="{E2C23ED3-A539-48DE-A25D-2D2737A83668}" name="Column13516"/>
    <tableColumn id="13550" xr3:uid="{0BD0E953-EF37-4E20-B814-1A3ADFD39AD0}" name="Column13517"/>
    <tableColumn id="13551" xr3:uid="{5BF35948-106A-481C-BB6C-74E086D54412}" name="Column13518"/>
    <tableColumn id="13552" xr3:uid="{F3DBB775-B0FA-4FA6-982D-0CF3D52CD7F4}" name="Column13519"/>
    <tableColumn id="13553" xr3:uid="{9342339D-09A5-430C-B8FC-7830FC41CF0E}" name="Column13520"/>
    <tableColumn id="13554" xr3:uid="{2E73D5CF-E12D-4C04-AC6F-669BC73421B8}" name="Column13521"/>
    <tableColumn id="13555" xr3:uid="{F1D7FF20-FB7B-4A67-A06C-D7F9244A081F}" name="Column13522"/>
    <tableColumn id="13556" xr3:uid="{9C94702A-BAF5-49E0-8CC4-09752EAEE980}" name="Column13523"/>
    <tableColumn id="13557" xr3:uid="{667F5BAF-9724-4D81-A109-9B96408C4E67}" name="Column13524"/>
    <tableColumn id="13558" xr3:uid="{2583C6F0-E0C0-4AA8-8F33-25B1AFA995CA}" name="Column13525"/>
    <tableColumn id="13559" xr3:uid="{2382C7CC-18D5-4791-94BB-8E7FFC6E86B3}" name="Column13526"/>
    <tableColumn id="13560" xr3:uid="{AD34CFA4-CBDA-4658-BC07-7CEE1D777E63}" name="Column13527"/>
    <tableColumn id="13561" xr3:uid="{7367325D-B187-4746-B879-0ECBDC09A407}" name="Column13528"/>
    <tableColumn id="13562" xr3:uid="{4B5AF5D3-0398-4895-B988-217D7C7D9A6E}" name="Column13529"/>
    <tableColumn id="13563" xr3:uid="{567BDF42-1D8A-4AC5-A0DF-54986A2E31D8}" name="Column13530"/>
    <tableColumn id="13564" xr3:uid="{DFBA8368-6677-4AE6-BA7D-B33FFE04AC81}" name="Column13531"/>
    <tableColumn id="13565" xr3:uid="{35336DA3-B374-404E-B119-9979D34F506B}" name="Column13532"/>
    <tableColumn id="13566" xr3:uid="{8B636ADD-D7B4-4BA9-B3B9-3FB7C2AAA50D}" name="Column13533"/>
    <tableColumn id="13567" xr3:uid="{10B068A3-DD4D-4712-AD61-07B61896A83B}" name="Column13534"/>
    <tableColumn id="13568" xr3:uid="{A367B38D-D3E0-4BFB-945D-33033D49DC41}" name="Column13535"/>
    <tableColumn id="13569" xr3:uid="{E7F25C51-CBF9-4C54-8EDA-2CAB1167EECB}" name="Column13536"/>
    <tableColumn id="13570" xr3:uid="{DC19C551-521E-4F7D-B8B4-F6E314C12A5B}" name="Column13537"/>
    <tableColumn id="13571" xr3:uid="{343B619E-1CD8-44B3-9A45-5F864A27208B}" name="Column13538"/>
    <tableColumn id="13572" xr3:uid="{B0216F7D-B3F3-48DB-99B9-611D824BD917}" name="Column13539"/>
    <tableColumn id="13573" xr3:uid="{5DB5D137-A16F-4BFF-B808-C080CEE0519A}" name="Column13540"/>
    <tableColumn id="13574" xr3:uid="{A3004D23-03A8-4E63-A9D7-C7125CA6D774}" name="Column13541"/>
    <tableColumn id="13575" xr3:uid="{CD303553-83A5-4FD8-A608-5DF8F5F2E379}" name="Column13542"/>
    <tableColumn id="13576" xr3:uid="{522BD53C-3235-4059-891F-F9CBEE42024C}" name="Column13543"/>
    <tableColumn id="13577" xr3:uid="{17B2E615-97E0-4EBC-984F-E75A0F7E5752}" name="Column13544"/>
    <tableColumn id="13578" xr3:uid="{AE7C59DB-6586-4CFA-9682-C7470CEE567F}" name="Column13545"/>
    <tableColumn id="13579" xr3:uid="{D4E7C78A-87D5-428E-8BA8-74FEEE73A595}" name="Column13546"/>
    <tableColumn id="13580" xr3:uid="{E9A6ED5D-D56A-4350-88B8-CF51C9A36096}" name="Column13547"/>
    <tableColumn id="13581" xr3:uid="{E313367F-03EC-49C7-8C89-53CE67EB2582}" name="Column13548"/>
    <tableColumn id="13582" xr3:uid="{A52B49B2-1F00-4673-96A5-5B353816A4C7}" name="Column13549"/>
    <tableColumn id="13583" xr3:uid="{688F8BB0-C3A7-49BE-8C37-71B6C0926BD5}" name="Column13550"/>
    <tableColumn id="13584" xr3:uid="{0E1F7C1E-AF87-483C-8E4E-7DA055545366}" name="Column13551"/>
    <tableColumn id="13585" xr3:uid="{216C8557-FC59-4E1D-88D9-A64B5A9A40AC}" name="Column13552"/>
    <tableColumn id="13586" xr3:uid="{EE60BC39-FE4F-44C1-BEC7-A513258D0002}" name="Column13553"/>
    <tableColumn id="13587" xr3:uid="{D6B01C05-8BD6-40C0-972B-03640F8414CF}" name="Column13554"/>
    <tableColumn id="13588" xr3:uid="{88398BAA-E5B1-4826-9BC6-B80741FA88F4}" name="Column13555"/>
    <tableColumn id="13589" xr3:uid="{35560F92-5F47-494A-A41E-3310FA25AB0C}" name="Column13556"/>
    <tableColumn id="13590" xr3:uid="{DC80BE3A-9CD6-43BA-A73E-1D0F1ED296F2}" name="Column13557"/>
    <tableColumn id="13591" xr3:uid="{03D99C3D-F0C4-4E2C-B1FF-8F57D8DB881A}" name="Column13558"/>
    <tableColumn id="13592" xr3:uid="{75352CE2-80DB-4906-A1BC-8D03C49884AD}" name="Column13559"/>
    <tableColumn id="13593" xr3:uid="{F3BCC940-00C3-40EF-8CA5-7367BA795308}" name="Column13560"/>
    <tableColumn id="13594" xr3:uid="{37F0EE93-3FE1-4042-91EB-2B07DA945E8F}" name="Column13561"/>
    <tableColumn id="13595" xr3:uid="{799FD2C8-D80E-467A-BA00-94DFF15CB7BB}" name="Column13562"/>
    <tableColumn id="13596" xr3:uid="{5B740B49-4AF2-4FB0-8C61-46D3A1BB9D19}" name="Column13563"/>
    <tableColumn id="13597" xr3:uid="{D9E691C0-E19A-4A8E-8BA6-1B8871D315D6}" name="Column13564"/>
    <tableColumn id="13598" xr3:uid="{EC195FAF-74DE-44BE-B73B-EE1A5D3E5116}" name="Column13565"/>
    <tableColumn id="13599" xr3:uid="{E1FE7019-8D06-4504-81E6-40E0D9B01551}" name="Column13566"/>
    <tableColumn id="13600" xr3:uid="{E3ED172C-4090-4DF1-8879-44E16D9F9573}" name="Column13567"/>
    <tableColumn id="13601" xr3:uid="{4D009CB9-5BB1-4794-8156-727C357E9827}" name="Column13568"/>
    <tableColumn id="13602" xr3:uid="{143A6814-1B1E-46E1-9188-9D1FB7A002A1}" name="Column13569"/>
    <tableColumn id="13603" xr3:uid="{3EB6B266-1C7A-4BFF-9DD1-D18D71E7D639}" name="Column13570"/>
    <tableColumn id="13604" xr3:uid="{F3DD8C77-650F-4380-B2B0-DC95B362433B}" name="Column13571"/>
    <tableColumn id="13605" xr3:uid="{2052B92A-F4B9-477E-803F-CFB74A073F45}" name="Column13572"/>
    <tableColumn id="13606" xr3:uid="{EE9D3602-E8D6-4F13-9175-ABA4B034B091}" name="Column13573"/>
    <tableColumn id="13607" xr3:uid="{2E1A5FA9-95DE-41D1-BDE2-4B1C2CF4DBFB}" name="Column13574"/>
    <tableColumn id="13608" xr3:uid="{490D1A61-7D7F-4D83-BE83-2983D696B284}" name="Column13575"/>
    <tableColumn id="13609" xr3:uid="{F7F11439-C1B4-47E5-B1A5-C33C007E1A66}" name="Column13576"/>
    <tableColumn id="13610" xr3:uid="{76C6EF65-04B2-43E5-9313-C6D012587538}" name="Column13577"/>
    <tableColumn id="13611" xr3:uid="{BD04CD36-AE97-416E-B67C-2BF1CDCDBA6F}" name="Column13578"/>
    <tableColumn id="13612" xr3:uid="{C4B94AF7-2A58-4801-9768-6D823584C1D2}" name="Column13579"/>
    <tableColumn id="13613" xr3:uid="{4C99B6B3-B2E7-48DC-81B4-50DDA10BEBEE}" name="Column13580"/>
    <tableColumn id="13614" xr3:uid="{145AFDF0-32F8-4D9F-98EE-31068E51ACB9}" name="Column13581"/>
    <tableColumn id="13615" xr3:uid="{4159F060-BA4D-48BF-898F-C6FAECCDC236}" name="Column13582"/>
    <tableColumn id="13616" xr3:uid="{8125B306-F016-4768-861F-1A003BBA3978}" name="Column13583"/>
    <tableColumn id="13617" xr3:uid="{3D598580-16C2-4710-992D-E48083FB2F15}" name="Column13584"/>
    <tableColumn id="13618" xr3:uid="{0D459F53-6DB6-439E-A3A2-00670FEE4381}" name="Column13585"/>
    <tableColumn id="13619" xr3:uid="{0A7AEC4F-994C-4F47-8CFA-52F6BA74FC92}" name="Column13586"/>
    <tableColumn id="13620" xr3:uid="{B392C9A0-A3E2-4804-9D26-F09CED2BE171}" name="Column13587"/>
    <tableColumn id="13621" xr3:uid="{8C782A04-0DF8-468F-AA72-9EC1BCB6CC49}" name="Column13588"/>
    <tableColumn id="13622" xr3:uid="{AA5BB447-8227-4063-B9E4-05354548443D}" name="Column13589"/>
    <tableColumn id="13623" xr3:uid="{1190623D-78C1-44EF-9989-C1B1EE2AA924}" name="Column13590"/>
    <tableColumn id="13624" xr3:uid="{20540945-4090-413A-8516-5137F3998CCA}" name="Column13591"/>
    <tableColumn id="13625" xr3:uid="{E7687B2E-C45D-444F-A2F5-4F0F74CA8FDF}" name="Column13592"/>
    <tableColumn id="13626" xr3:uid="{FAF8AF37-DEA5-49FD-9BB3-BA0EFC59A120}" name="Column13593"/>
    <tableColumn id="13627" xr3:uid="{65B688DA-A249-4F3F-A3EC-816249C15CDD}" name="Column13594"/>
    <tableColumn id="13628" xr3:uid="{A909AC47-B844-45C3-8BB1-2EE3AA794FC2}" name="Column13595"/>
    <tableColumn id="13629" xr3:uid="{5800B361-94F1-4F5A-A191-D439C8E4C55C}" name="Column13596"/>
    <tableColumn id="13630" xr3:uid="{319B288B-A3C3-4ECC-9DC9-FCA3873FDD31}" name="Column13597"/>
    <tableColumn id="13631" xr3:uid="{A47D50E1-D72A-47E0-A8C7-62C9F149CB12}" name="Column13598"/>
    <tableColumn id="13632" xr3:uid="{72B54B80-E51A-4E08-ACE5-6B58CFCCDBD6}" name="Column13599"/>
    <tableColumn id="13633" xr3:uid="{2040E350-3C8E-4287-9991-84B8A3A5670B}" name="Column13600"/>
    <tableColumn id="13634" xr3:uid="{560439B3-D18C-4E63-A58A-83900A71AD56}" name="Column13601"/>
    <tableColumn id="13635" xr3:uid="{6A51C6ED-549E-471F-BEC1-46EFE563A66C}" name="Column13602"/>
    <tableColumn id="13636" xr3:uid="{C306CC75-41A2-46D4-89DA-8A8BA289C21E}" name="Column13603"/>
    <tableColumn id="13637" xr3:uid="{B1F79371-AD9B-4492-9523-BE9A64BFD07E}" name="Column13604"/>
    <tableColumn id="13638" xr3:uid="{D68063EC-6960-4F25-9BB3-61D3FBFF2078}" name="Column13605"/>
    <tableColumn id="13639" xr3:uid="{CE4D0CF0-1BD8-4E0E-AA75-D0E15DC026C2}" name="Column13606"/>
    <tableColumn id="13640" xr3:uid="{EFA9D2FF-25FF-49B3-8DCB-A58604997552}" name="Column13607"/>
    <tableColumn id="13641" xr3:uid="{3563521C-7FAB-4D77-92D4-2C016676CD38}" name="Column13608"/>
    <tableColumn id="13642" xr3:uid="{7BA40876-C971-482B-89DA-E4DB4AFFD406}" name="Column13609"/>
    <tableColumn id="13643" xr3:uid="{76D9B509-1B48-4124-B011-D28D7E191520}" name="Column13610"/>
    <tableColumn id="13644" xr3:uid="{BACE4220-D98C-4591-977E-C4EE71CC26F1}" name="Column13611"/>
    <tableColumn id="13645" xr3:uid="{CA133804-6A2A-4C6A-9B9F-54B586530202}" name="Column13612"/>
    <tableColumn id="13646" xr3:uid="{D3B8226F-7325-4A68-9A51-4C4BC4CDFE30}" name="Column13613"/>
    <tableColumn id="13647" xr3:uid="{DDD031E6-3549-447E-A3ED-47B76771D13B}" name="Column13614"/>
    <tableColumn id="13648" xr3:uid="{90ECD417-ECD2-4383-92AC-0E7A2479E9C5}" name="Column13615"/>
    <tableColumn id="13649" xr3:uid="{E26010AA-0182-4168-9F3B-C8B0D00C41C8}" name="Column13616"/>
    <tableColumn id="13650" xr3:uid="{A89FE731-A84A-4C9F-B1C4-96F80F8C6B04}" name="Column13617"/>
    <tableColumn id="13651" xr3:uid="{5BC3370E-8851-498B-90F6-47D54FC1CD24}" name="Column13618"/>
    <tableColumn id="13652" xr3:uid="{905D4969-6635-435E-A578-FB17466F0D4A}" name="Column13619"/>
    <tableColumn id="13653" xr3:uid="{196E9B3C-D34D-417B-B9E5-E2F1B9F6ABF3}" name="Column13620"/>
    <tableColumn id="13654" xr3:uid="{D2FA9E2F-AAFF-44B6-B423-82E9EF136D30}" name="Column13621"/>
    <tableColumn id="13655" xr3:uid="{B6C2706D-AD23-468D-8369-05A5165FF334}" name="Column13622"/>
    <tableColumn id="13656" xr3:uid="{4EC18DB1-905B-415A-BCB4-66906B00FB8D}" name="Column13623"/>
    <tableColumn id="13657" xr3:uid="{1795208A-AE8B-4643-A4E2-D9F0BFEFA1AF}" name="Column13624"/>
    <tableColumn id="13658" xr3:uid="{791F2B56-6633-4571-A488-CC559E94FF8B}" name="Column13625"/>
    <tableColumn id="13659" xr3:uid="{5B70B22B-3258-4042-AC85-D08B090DD025}" name="Column13626"/>
    <tableColumn id="13660" xr3:uid="{6581433B-4D2C-4D2A-93B0-60D8539CBACD}" name="Column13627"/>
    <tableColumn id="13661" xr3:uid="{200B3D9E-5C9E-4136-BD69-E581652DCC60}" name="Column13628"/>
    <tableColumn id="13662" xr3:uid="{9B785E01-0B68-48E9-B8EA-E03C4E58FE60}" name="Column13629"/>
    <tableColumn id="13663" xr3:uid="{1C7DDE8B-E8E6-4521-91F3-CAF08625487D}" name="Column13630"/>
    <tableColumn id="13664" xr3:uid="{1C4B0080-8E2C-4CA6-B3AC-E4EBC6CBA338}" name="Column13631"/>
    <tableColumn id="13665" xr3:uid="{9F3C61AC-8103-4BAF-BBC6-C44223EF6273}" name="Column13632"/>
    <tableColumn id="13666" xr3:uid="{C9837AF7-44A0-4FFE-BDB9-7C118B7BD3F9}" name="Column13633"/>
    <tableColumn id="13667" xr3:uid="{590A08FB-4897-4EC8-AA9B-03D43167C78E}" name="Column13634"/>
    <tableColumn id="13668" xr3:uid="{A10F2C9A-2143-49FF-B1D2-AAB26B11981A}" name="Column13635"/>
    <tableColumn id="13669" xr3:uid="{EDE71C44-B9C6-48D7-8365-319E4BDBB072}" name="Column13636"/>
    <tableColumn id="13670" xr3:uid="{1C5A3E7F-6EE2-4DFC-B26E-888C0D37842C}" name="Column13637"/>
    <tableColumn id="13671" xr3:uid="{FE2A6F1E-B218-425D-A6C1-1221715FEF2A}" name="Column13638"/>
    <tableColumn id="13672" xr3:uid="{DB21F4B5-676E-4829-9E58-CDFF784A4938}" name="Column13639"/>
    <tableColumn id="13673" xr3:uid="{081EADAB-638C-412E-9A19-1C168F9AED74}" name="Column13640"/>
    <tableColumn id="13674" xr3:uid="{FDD1C606-5C8D-493C-9262-0854C9614B4E}" name="Column13641"/>
    <tableColumn id="13675" xr3:uid="{24242506-009E-4283-82C2-1020BC38D168}" name="Column13642"/>
    <tableColumn id="13676" xr3:uid="{312C8CB3-78F5-4605-8BE2-CC883FB1BF22}" name="Column13643"/>
    <tableColumn id="13677" xr3:uid="{E3CAB98A-535E-456A-A30E-158D770D1177}" name="Column13644"/>
    <tableColumn id="13678" xr3:uid="{89F74BE5-370C-4986-B3F3-5331EE2157E0}" name="Column13645"/>
    <tableColumn id="13679" xr3:uid="{0618EA42-96D9-40BA-944E-FFE99ED46447}" name="Column13646"/>
    <tableColumn id="13680" xr3:uid="{4A1BB10B-6FE0-4CE5-A7E1-4B1C7E83D2E9}" name="Column13647"/>
    <tableColumn id="13681" xr3:uid="{30B2F70A-D9FC-46DA-AC16-7A9E48CFA762}" name="Column13648"/>
    <tableColumn id="13682" xr3:uid="{A135D716-E5F7-40BC-9F02-0A42F658E3A7}" name="Column13649"/>
    <tableColumn id="13683" xr3:uid="{EC6B32A7-0E2D-4178-93F7-F41F175E7C4B}" name="Column13650"/>
    <tableColumn id="13684" xr3:uid="{45861514-D780-4432-A148-560719AFDD02}" name="Column13651"/>
    <tableColumn id="13685" xr3:uid="{8A377DEC-925E-4594-A1A4-7E6F2B7B6503}" name="Column13652"/>
    <tableColumn id="13686" xr3:uid="{72D30DC7-6C37-445A-90A8-C34F6C4BECAD}" name="Column13653"/>
    <tableColumn id="13687" xr3:uid="{EBFBD55D-2193-4518-A319-0A09ADF6327D}" name="Column13654"/>
    <tableColumn id="13688" xr3:uid="{20C96039-78B9-4E86-836F-FE2449F8F2D6}" name="Column13655"/>
    <tableColumn id="13689" xr3:uid="{2FBAFD60-AE4C-424A-B43C-C9CA964527B9}" name="Column13656"/>
    <tableColumn id="13690" xr3:uid="{7A2960B4-233A-4C6A-8000-1BEF98FE5421}" name="Column13657"/>
    <tableColumn id="13691" xr3:uid="{0DA1CC2B-2537-4B93-951B-DFA7445DE833}" name="Column13658"/>
    <tableColumn id="13692" xr3:uid="{8E9BA405-3F8B-450D-B115-ED7AA4B9B796}" name="Column13659"/>
    <tableColumn id="13693" xr3:uid="{6BF1D682-4E2D-4BDC-89BB-0AB0F5CDD5AE}" name="Column13660"/>
    <tableColumn id="13694" xr3:uid="{94C5FEC9-C3D9-47B2-98E8-81D9FA09030D}" name="Column13661"/>
    <tableColumn id="13695" xr3:uid="{BBA7A6D8-BF23-405F-83C2-6869D1E6BF2C}" name="Column13662"/>
    <tableColumn id="13696" xr3:uid="{9343AF47-EE5C-4380-939B-87C249A29725}" name="Column13663"/>
    <tableColumn id="13697" xr3:uid="{E3A2C16F-4533-435A-A2D4-4D115E8E56CB}" name="Column13664"/>
    <tableColumn id="13698" xr3:uid="{CC27B3AB-5B8A-49EE-B70A-8DE64959DED1}" name="Column13665"/>
    <tableColumn id="13699" xr3:uid="{A5C56D3C-18C6-4D8E-8600-FD6F5FF11969}" name="Column13666"/>
    <tableColumn id="13700" xr3:uid="{7D5802D7-4FA8-4C2A-87CF-3B883B9FE65F}" name="Column13667"/>
    <tableColumn id="13701" xr3:uid="{0E195FA9-BF88-4038-812A-A9DB08BAF247}" name="Column13668"/>
    <tableColumn id="13702" xr3:uid="{1BF19356-EEE4-427C-A84D-0F8FEAB9DB02}" name="Column13669"/>
    <tableColumn id="13703" xr3:uid="{89FDA292-6A4D-4FDF-A799-3D210CCD0415}" name="Column13670"/>
    <tableColumn id="13704" xr3:uid="{C73B94F2-47FA-4C49-8FC8-EF58401F8280}" name="Column13671"/>
    <tableColumn id="13705" xr3:uid="{71947D39-7C36-4B4B-8E18-2F7A8CB50D93}" name="Column13672"/>
    <tableColumn id="13706" xr3:uid="{5DD15BB6-C5D4-4B9E-AC82-190A91FDE77A}" name="Column13673"/>
    <tableColumn id="13707" xr3:uid="{AB3D1A19-E57F-4A6F-B745-0254E8E2F242}" name="Column13674"/>
    <tableColumn id="13708" xr3:uid="{F367AEAB-0B73-4D70-8BBD-CF244DA4E3A3}" name="Column13675"/>
    <tableColumn id="13709" xr3:uid="{4499E0E1-2B16-427A-AE41-BD312E3E7FCA}" name="Column13676"/>
    <tableColumn id="13710" xr3:uid="{9EB49D1C-7874-4BD0-9A72-E8AB0303591D}" name="Column13677"/>
    <tableColumn id="13711" xr3:uid="{414B573B-9BC4-4234-A34E-4D5E8DEA3F75}" name="Column13678"/>
    <tableColumn id="13712" xr3:uid="{D568D0CE-3941-49A7-A060-0CD6524501C8}" name="Column13679"/>
    <tableColumn id="13713" xr3:uid="{26DCBAB0-A92C-4789-BE27-7295E07D3A2F}" name="Column13680"/>
    <tableColumn id="13714" xr3:uid="{9358574D-E514-4633-A6F3-9FC45B462796}" name="Column13681"/>
    <tableColumn id="13715" xr3:uid="{083F3A69-4F51-4969-AAF0-428FE6908533}" name="Column13682"/>
    <tableColumn id="13716" xr3:uid="{E07237CE-9177-4C42-BAC0-6A438A81C544}" name="Column13683"/>
    <tableColumn id="13717" xr3:uid="{127DFB85-1E70-4893-9173-68E9F563F0D8}" name="Column13684"/>
    <tableColumn id="13718" xr3:uid="{3367484F-6BE3-4321-ADC3-EFC1E07008EF}" name="Column13685"/>
    <tableColumn id="13719" xr3:uid="{EB645DCB-289C-4A06-8A23-3EDB0182EA9D}" name="Column13686"/>
    <tableColumn id="13720" xr3:uid="{D6060C12-6647-4CE2-92B6-798EEFD16200}" name="Column13687"/>
    <tableColumn id="13721" xr3:uid="{BE1EB1BC-E2EE-47C5-9B01-D42251974F4B}" name="Column13688"/>
    <tableColumn id="13722" xr3:uid="{74E2D886-C61D-4572-831D-12694A0A9AFE}" name="Column13689"/>
    <tableColumn id="13723" xr3:uid="{8BD69395-EB0D-4175-AE63-2D67C6E69270}" name="Column13690"/>
    <tableColumn id="13724" xr3:uid="{09F20B61-874A-40CF-83B5-52533A82C7DF}" name="Column13691"/>
    <tableColumn id="13725" xr3:uid="{2D6D6BC4-86EA-4619-A22F-5091B14A115E}" name="Column13692"/>
    <tableColumn id="13726" xr3:uid="{BA9CF974-6354-40F3-95D2-BC7661E2B3B6}" name="Column13693"/>
    <tableColumn id="13727" xr3:uid="{75877401-B2EC-4BEA-87D9-2D130647E99D}" name="Column13694"/>
    <tableColumn id="13728" xr3:uid="{E427A3BE-1F1C-4BB9-A6AA-08F921D3967B}" name="Column13695"/>
    <tableColumn id="13729" xr3:uid="{108F7069-D4B5-438A-98CC-E4064272FDBD}" name="Column13696"/>
    <tableColumn id="13730" xr3:uid="{F583CE03-FCCA-48B1-8F58-251E34EDD0CA}" name="Column13697"/>
    <tableColumn id="13731" xr3:uid="{678E35F9-354A-48FA-B95B-1573C721DEE3}" name="Column13698"/>
    <tableColumn id="13732" xr3:uid="{A65AE35D-03E7-4BA5-9983-2BCCCC4FAC1B}" name="Column13699"/>
    <tableColumn id="13733" xr3:uid="{2FC94BBF-769B-4388-B7BC-A210E4083A5E}" name="Column13700"/>
    <tableColumn id="13734" xr3:uid="{A852859E-6611-40F8-9DCB-33FA5ECEA8C7}" name="Column13701"/>
    <tableColumn id="13735" xr3:uid="{509E6B00-55D6-489D-B21B-C906E9C82BFB}" name="Column13702"/>
    <tableColumn id="13736" xr3:uid="{76CEA406-CDDC-46EB-AF47-05F3FA9896E2}" name="Column13703"/>
    <tableColumn id="13737" xr3:uid="{EF66F508-996C-48CC-A9F4-194DFB7D411C}" name="Column13704"/>
    <tableColumn id="13738" xr3:uid="{9BA1A01A-A0BE-49B4-9BE8-2D4D4B6B4D73}" name="Column13705"/>
    <tableColumn id="13739" xr3:uid="{590D98F4-79BA-41CD-8BB5-AD33FD2E85E3}" name="Column13706"/>
    <tableColumn id="13740" xr3:uid="{E4D60B4C-675C-47EB-9990-CDDB3F330EBB}" name="Column13707"/>
    <tableColumn id="13741" xr3:uid="{75568AED-B755-4A09-ABFF-3892B11FBD5C}" name="Column13708"/>
    <tableColumn id="13742" xr3:uid="{5FF8AD6C-D826-4C17-B9DB-FEEA598F6C02}" name="Column13709"/>
    <tableColumn id="13743" xr3:uid="{8629ABD0-F8FE-4318-9466-F0449CB7D16C}" name="Column13710"/>
    <tableColumn id="13744" xr3:uid="{A0F6A997-CC44-434F-976B-6B5389399DF8}" name="Column13711"/>
    <tableColumn id="13745" xr3:uid="{E8408CB4-053C-4D6D-91A5-62DB69172466}" name="Column13712"/>
    <tableColumn id="13746" xr3:uid="{37A5749F-3257-43C3-9112-E1782EA901D6}" name="Column13713"/>
    <tableColumn id="13747" xr3:uid="{72EFBABF-2DDF-4598-A0FC-0B215DAF3E26}" name="Column13714"/>
    <tableColumn id="13748" xr3:uid="{604A68E4-07A4-45B4-95EA-1092499C67ED}" name="Column13715"/>
    <tableColumn id="13749" xr3:uid="{D43A8272-2BA8-4B48-A6C0-3F5F6F3083D5}" name="Column13716"/>
    <tableColumn id="13750" xr3:uid="{70874F5E-1F69-4B88-95F3-16450B4165AC}" name="Column13717"/>
    <tableColumn id="13751" xr3:uid="{76F1BC02-0B6F-4380-9C93-706ED6C0DBB6}" name="Column13718"/>
    <tableColumn id="13752" xr3:uid="{38D8E0B9-313C-431D-AEDB-3DBE9F192B63}" name="Column13719"/>
    <tableColumn id="13753" xr3:uid="{1FA84521-C3AD-4EAE-806F-32C428817472}" name="Column13720"/>
    <tableColumn id="13754" xr3:uid="{BD7B5090-ED30-468E-B542-657A762F58AA}" name="Column13721"/>
    <tableColumn id="13755" xr3:uid="{F301CC9C-0DC5-49C1-9AEB-83C78A74A122}" name="Column13722"/>
    <tableColumn id="13756" xr3:uid="{16AE362A-E091-4882-9936-30A76CA549C0}" name="Column13723"/>
    <tableColumn id="13757" xr3:uid="{C4201564-6CD9-4E93-8C51-2724D9CABF12}" name="Column13724"/>
    <tableColumn id="13758" xr3:uid="{8BBC60E8-967C-4AF1-9029-10492B8996F6}" name="Column13725"/>
    <tableColumn id="13759" xr3:uid="{1399C346-A036-4607-9922-0E0992845F5F}" name="Column13726"/>
    <tableColumn id="13760" xr3:uid="{0144F383-8967-4C47-9068-3CDE75248E44}" name="Column13727"/>
    <tableColumn id="13761" xr3:uid="{671F7386-B386-41CB-8707-D05C26DF6CF9}" name="Column13728"/>
    <tableColumn id="13762" xr3:uid="{DFB48D83-1202-4A5A-9575-2B6FAC74767F}" name="Column13729"/>
    <tableColumn id="13763" xr3:uid="{617DFD1C-D0ED-48DA-915D-488D105BAD50}" name="Column13730"/>
    <tableColumn id="13764" xr3:uid="{1F45B5CF-9EC6-4CEC-BDE1-7987688BA333}" name="Column13731"/>
    <tableColumn id="13765" xr3:uid="{EFC6F77A-BF32-48CD-A0C9-C435DB3BF86C}" name="Column13732"/>
    <tableColumn id="13766" xr3:uid="{BD3C13C2-3CB2-46EE-BB18-F7E587646145}" name="Column13733"/>
    <tableColumn id="13767" xr3:uid="{DB0B2CE0-F3D2-40C3-A84A-DF99F03C1270}" name="Column13734"/>
    <tableColumn id="13768" xr3:uid="{E54C89C4-685A-498D-BE91-5F5ED14730A3}" name="Column13735"/>
    <tableColumn id="13769" xr3:uid="{1B4F2C59-F225-4BF9-902B-868F6B258C94}" name="Column13736"/>
    <tableColumn id="13770" xr3:uid="{297EEE93-5112-458C-B6E4-9424DAE5CFD9}" name="Column13737"/>
    <tableColumn id="13771" xr3:uid="{6A55E07C-2CE9-4611-BB80-85022A23FE19}" name="Column13738"/>
    <tableColumn id="13772" xr3:uid="{0282F517-9874-4F75-8321-E970FA058611}" name="Column13739"/>
    <tableColumn id="13773" xr3:uid="{7D02876D-6EE0-40E9-9397-2F20758EA877}" name="Column13740"/>
    <tableColumn id="13774" xr3:uid="{A3F907B7-2D5F-4DBB-83EA-6E364AF7822E}" name="Column13741"/>
    <tableColumn id="13775" xr3:uid="{E2CDE8E1-5C9B-4C3A-AA41-33297FFD60FB}" name="Column13742"/>
    <tableColumn id="13776" xr3:uid="{70EA5607-C030-4E51-81AD-62A8A15FE38A}" name="Column13743"/>
    <tableColumn id="13777" xr3:uid="{975E3C23-771C-4436-8765-4F95E54CB0FD}" name="Column13744"/>
    <tableColumn id="13778" xr3:uid="{D79226BF-E3B7-467C-83FB-6D6373A2D9FC}" name="Column13745"/>
    <tableColumn id="13779" xr3:uid="{DD452C93-AB82-43ED-BF57-B78222F8FB78}" name="Column13746"/>
    <tableColumn id="13780" xr3:uid="{65063AF1-51C8-4673-A669-5CDE964633A3}" name="Column13747"/>
    <tableColumn id="13781" xr3:uid="{C4AA8DAC-220C-4F6D-A5C0-0C04B2A2538E}" name="Column13748"/>
    <tableColumn id="13782" xr3:uid="{FCCC1CCD-3B66-4F2F-9279-32B4254972D5}" name="Column13749"/>
    <tableColumn id="13783" xr3:uid="{1CC6C3C2-6844-4084-BF79-0076914DAE3E}" name="Column13750"/>
    <tableColumn id="13784" xr3:uid="{70ED2E49-AD95-4110-AAB1-47843FD2689C}" name="Column13751"/>
    <tableColumn id="13785" xr3:uid="{F3DCAF49-EC88-41A0-A8EA-8EDDC4929D68}" name="Column13752"/>
    <tableColumn id="13786" xr3:uid="{C118DDAE-587C-48D7-A3D1-ADC0489487F2}" name="Column13753"/>
    <tableColumn id="13787" xr3:uid="{C9965E0F-1FC6-49B3-9ED0-3FA05A88255C}" name="Column13754"/>
    <tableColumn id="13788" xr3:uid="{FD5838A9-3726-4C23-92A9-ABB0744ED748}" name="Column13755"/>
    <tableColumn id="13789" xr3:uid="{E7E02F6A-1B39-490E-8E8F-0370B3011E1B}" name="Column13756"/>
    <tableColumn id="13790" xr3:uid="{57F34501-0218-4B69-9E0E-6CECCC2D4B16}" name="Column13757"/>
    <tableColumn id="13791" xr3:uid="{A4612663-B4A1-4A0B-BDE9-5C6C878C8AFB}" name="Column13758"/>
    <tableColumn id="13792" xr3:uid="{68E70B7D-7DE9-437B-9D25-A7CFD4BB31D4}" name="Column13759"/>
    <tableColumn id="13793" xr3:uid="{EFF1FFD4-B40E-494D-8345-1EE2D706F0AE}" name="Column13760"/>
    <tableColumn id="13794" xr3:uid="{71F1C6A4-37DA-4F2A-9AED-F6A0DDD97C9F}" name="Column13761"/>
    <tableColumn id="13795" xr3:uid="{6BFFE9A8-17A0-458E-ADA7-D7B7AF8B1070}" name="Column13762"/>
    <tableColumn id="13796" xr3:uid="{1552618D-BD53-48AA-B16B-279759A37998}" name="Column13763"/>
    <tableColumn id="13797" xr3:uid="{C857D5F6-B1D5-421A-B0D9-D1B4595BE52B}" name="Column13764"/>
    <tableColumn id="13798" xr3:uid="{82A6F161-1A1E-408A-B628-55DE2DD67B77}" name="Column13765"/>
    <tableColumn id="13799" xr3:uid="{283562BF-870E-4A8B-BD13-31376689898C}" name="Column13766"/>
    <tableColumn id="13800" xr3:uid="{DF319A8F-894F-4F08-B018-B942E13A342D}" name="Column13767"/>
    <tableColumn id="13801" xr3:uid="{3E13792A-AC56-482A-8541-4660316A1094}" name="Column13768"/>
    <tableColumn id="13802" xr3:uid="{05757512-360F-4172-9223-43DB11709F0B}" name="Column13769"/>
    <tableColumn id="13803" xr3:uid="{B2419DDB-CED4-47D7-A9F0-727EBADF914C}" name="Column13770"/>
    <tableColumn id="13804" xr3:uid="{4B2BB2EB-0802-4BEC-A51B-F423461C5DF6}" name="Column13771"/>
    <tableColumn id="13805" xr3:uid="{B35E8235-FAC9-4024-B933-79A9B064E403}" name="Column13772"/>
    <tableColumn id="13806" xr3:uid="{96354B77-4A50-467E-ADF0-1BE4ECCC8104}" name="Column13773"/>
    <tableColumn id="13807" xr3:uid="{83AEA123-265A-4143-843B-9DCFEA406D83}" name="Column13774"/>
    <tableColumn id="13808" xr3:uid="{0D2D284D-3264-4CE5-A503-C0BBAF28B42E}" name="Column13775"/>
    <tableColumn id="13809" xr3:uid="{7C806B6E-A33B-479E-8447-C086DF2935A1}" name="Column13776"/>
    <tableColumn id="13810" xr3:uid="{D0CEFE67-E7FA-4774-B927-D0E03D4F4A4C}" name="Column13777"/>
    <tableColumn id="13811" xr3:uid="{FB6989E5-9C29-470A-A014-822DF8DD7556}" name="Column13778"/>
    <tableColumn id="13812" xr3:uid="{03A5276C-1E30-41F2-8CFA-929B986E3C5D}" name="Column13779"/>
    <tableColumn id="13813" xr3:uid="{42C3DEC3-F7AA-405D-83A7-2F0DF0F9DA02}" name="Column13780"/>
    <tableColumn id="13814" xr3:uid="{EAFCF688-E05A-4E79-AF4D-7B3FF3A378D9}" name="Column13781"/>
    <tableColumn id="13815" xr3:uid="{C1F2D132-20A9-4A73-87B3-BCB18A37199C}" name="Column13782"/>
    <tableColumn id="13816" xr3:uid="{DD4D09A9-261F-4C11-9D18-77ABE8963574}" name="Column13783"/>
    <tableColumn id="13817" xr3:uid="{4BA03811-09DA-4BFD-BCC9-8A4DECF5BE35}" name="Column13784"/>
    <tableColumn id="13818" xr3:uid="{D91509A9-9C90-4AE4-8D53-280F4CCB74B2}" name="Column13785"/>
    <tableColumn id="13819" xr3:uid="{76677927-99B7-4236-A599-C771DD81D545}" name="Column13786"/>
    <tableColumn id="13820" xr3:uid="{1BA068AC-E1D4-46EB-B08C-38643DEA5FA9}" name="Column13787"/>
    <tableColumn id="13821" xr3:uid="{88F48E02-396B-4590-9E18-9A830C0E67E8}" name="Column13788"/>
    <tableColumn id="13822" xr3:uid="{848DB59B-EB3A-49A7-AFBB-E9FA247BBCBD}" name="Column13789"/>
    <tableColumn id="13823" xr3:uid="{1723AB30-5A5E-4A63-BDE3-E1063BEC754D}" name="Column13790"/>
    <tableColumn id="13824" xr3:uid="{C07F0D90-1ABD-45F9-8579-8C46584E5D2F}" name="Column13791"/>
    <tableColumn id="13825" xr3:uid="{CB412F5A-7164-4BA8-A0BE-D234A959E03C}" name="Column13792"/>
    <tableColumn id="13826" xr3:uid="{0F219388-546A-449B-AEA0-9AB41E45F9DB}" name="Column13793"/>
    <tableColumn id="13827" xr3:uid="{9B6217D4-4792-46C5-88D5-03E61E7007D7}" name="Column13794"/>
    <tableColumn id="13828" xr3:uid="{62911E32-0B22-4AB0-B31A-E82EC7A46FB4}" name="Column13795"/>
    <tableColumn id="13829" xr3:uid="{50357BC3-EB6D-411A-A373-98940CCE4E8B}" name="Column13796"/>
    <tableColumn id="13830" xr3:uid="{C6FF78A4-A89F-47A0-8D86-7546C2C7060E}" name="Column13797"/>
    <tableColumn id="13831" xr3:uid="{403058F1-25C2-44AF-89DD-74BEF71ECB04}" name="Column13798"/>
    <tableColumn id="13832" xr3:uid="{D1699CC0-81C6-43D9-9097-701E7EC7B1D9}" name="Column13799"/>
    <tableColumn id="13833" xr3:uid="{CC8672AC-E210-45E8-AB28-C716FA441485}" name="Column13800"/>
    <tableColumn id="13834" xr3:uid="{750C1240-06CB-4949-A6B0-6E167F422561}" name="Column13801"/>
    <tableColumn id="13835" xr3:uid="{962D86E8-33A2-419C-B9AA-2EF301255A6A}" name="Column13802"/>
    <tableColumn id="13836" xr3:uid="{A069C381-6532-4E8A-B139-0C19F42BFF99}" name="Column13803"/>
    <tableColumn id="13837" xr3:uid="{D984B55E-4114-4E96-AB3E-A756443923AD}" name="Column13804"/>
    <tableColumn id="13838" xr3:uid="{96E67A1C-E2E8-466C-896C-5DFB4D1094B5}" name="Column13805"/>
    <tableColumn id="13839" xr3:uid="{C2D2B7E2-22E5-4350-8313-A32A4A1DE01A}" name="Column13806"/>
    <tableColumn id="13840" xr3:uid="{18B6ACF7-5957-497D-99CE-AAD125F652D4}" name="Column13807"/>
    <tableColumn id="13841" xr3:uid="{0914EE7D-7AC2-46DA-BAF8-66926743B441}" name="Column13808"/>
    <tableColumn id="13842" xr3:uid="{4247CCF5-1D20-4E05-AAFD-D96C2F603507}" name="Column13809"/>
    <tableColumn id="13843" xr3:uid="{C8A1602D-8642-4833-A07B-145F2B1C6FCC}" name="Column13810"/>
    <tableColumn id="13844" xr3:uid="{AA2C9D31-8A0C-4129-9A39-C27FBCC72126}" name="Column13811"/>
    <tableColumn id="13845" xr3:uid="{92F6332E-A785-4367-ABC6-D56FE8220D2D}" name="Column13812"/>
    <tableColumn id="13846" xr3:uid="{5F5FB390-42A3-4967-91BA-1190E7E7786D}" name="Column13813"/>
    <tableColumn id="13847" xr3:uid="{37A464A5-1392-4048-A73F-44C4BAFBCD69}" name="Column13814"/>
    <tableColumn id="13848" xr3:uid="{02DF16E8-05F4-45CA-9E35-B46740161576}" name="Column13815"/>
    <tableColumn id="13849" xr3:uid="{F5EA8864-6D3E-40E3-A65F-BBF78F0681EE}" name="Column13816"/>
    <tableColumn id="13850" xr3:uid="{03136461-4FD2-409B-89E9-66D7C60EBA99}" name="Column13817"/>
    <tableColumn id="13851" xr3:uid="{DE2C5D39-617A-4250-BAE3-515D7CBF8356}" name="Column13818"/>
    <tableColumn id="13852" xr3:uid="{C0BA2280-7E1F-4B01-81E2-ED532FA054FA}" name="Column13819"/>
    <tableColumn id="13853" xr3:uid="{5D437393-0BF9-4163-95A0-D43876BE9A80}" name="Column13820"/>
    <tableColumn id="13854" xr3:uid="{3A33B8B7-8D38-4D44-8E11-524F22F6FAA6}" name="Column13821"/>
    <tableColumn id="13855" xr3:uid="{0D3DF2C6-CD0C-46C9-BA33-B161D2BC8A9C}" name="Column13822"/>
    <tableColumn id="13856" xr3:uid="{4A66E126-32AC-4E0E-BCC9-4849C93094BE}" name="Column13823"/>
    <tableColumn id="13857" xr3:uid="{74B64307-D90D-4A5F-854A-4E1D0983BB34}" name="Column13824"/>
    <tableColumn id="13858" xr3:uid="{9131958D-B8DE-4B6A-B4ED-7D8CB0009876}" name="Column13825"/>
    <tableColumn id="13859" xr3:uid="{1379EB84-2F0D-424A-A3E1-AF92EC2F1D8B}" name="Column13826"/>
    <tableColumn id="13860" xr3:uid="{830F65C6-8CDE-45CA-A808-9CCC780192CD}" name="Column13827"/>
    <tableColumn id="13861" xr3:uid="{A9F06818-4FB2-4899-89DB-F3229160DB34}" name="Column13828"/>
    <tableColumn id="13862" xr3:uid="{9B44CAC7-6D3B-4E31-BF7A-7FB57D349160}" name="Column13829"/>
    <tableColumn id="13863" xr3:uid="{9245AF2E-171A-4D8A-8FF8-F1DB36DA672F}" name="Column13830"/>
    <tableColumn id="13864" xr3:uid="{295B5511-AF76-427B-BD7D-1F757CED81C6}" name="Column13831"/>
    <tableColumn id="13865" xr3:uid="{FA3E35ED-71C7-4673-82CF-A9171D266F29}" name="Column13832"/>
    <tableColumn id="13866" xr3:uid="{58D59336-09AA-431F-B4BA-4B5FAC95B63A}" name="Column13833"/>
    <tableColumn id="13867" xr3:uid="{BAA83713-AADF-4DE6-BC03-BF298E7618D6}" name="Column13834"/>
    <tableColumn id="13868" xr3:uid="{5B890765-86C4-49CA-A7CB-E91FCCE39480}" name="Column13835"/>
    <tableColumn id="13869" xr3:uid="{4A94F5B6-F504-48D7-A529-96D3C5A07C83}" name="Column13836"/>
    <tableColumn id="13870" xr3:uid="{E60CA9A8-131F-42BF-99FE-CF5A7BDDAFD4}" name="Column13837"/>
    <tableColumn id="13871" xr3:uid="{B02EFB0D-D1FF-4485-9181-7FA1A1DCF773}" name="Column13838"/>
    <tableColumn id="13872" xr3:uid="{76B36E39-D54D-4842-A569-5A38500E923B}" name="Column13839"/>
    <tableColumn id="13873" xr3:uid="{1AA5CEF0-B27A-4733-8A5E-0E630B57A8EC}" name="Column13840"/>
    <tableColumn id="13874" xr3:uid="{051A7827-DA63-4C5B-9461-069BD0971F13}" name="Column13841"/>
    <tableColumn id="13875" xr3:uid="{63E44F96-6432-4CFE-BAD8-12C0FF545919}" name="Column13842"/>
    <tableColumn id="13876" xr3:uid="{AA87B882-4AD9-4A73-89AD-9BBC01C70F1C}" name="Column13843"/>
    <tableColumn id="13877" xr3:uid="{9717949E-2FE5-4FE8-8DE7-EEC530346E5E}" name="Column13844"/>
    <tableColumn id="13878" xr3:uid="{4ED1C432-2D1E-4BA2-A443-F89D33829CA7}" name="Column13845"/>
    <tableColumn id="13879" xr3:uid="{B4702A19-267F-49EC-9F96-45457DA105D4}" name="Column13846"/>
    <tableColumn id="13880" xr3:uid="{0C2DB645-4A59-4E2E-BD96-1A79B1784FE5}" name="Column13847"/>
    <tableColumn id="13881" xr3:uid="{9AF02132-6113-4C22-80B9-D9B271990CAE}" name="Column13848"/>
    <tableColumn id="13882" xr3:uid="{06166E8B-8A4C-45AD-B066-8B8EE31F5137}" name="Column13849"/>
    <tableColumn id="13883" xr3:uid="{9E1189F2-7591-4AA9-BCBF-C9AECA6363FF}" name="Column13850"/>
    <tableColumn id="13884" xr3:uid="{F2500EBB-F16D-4548-845E-F32C47EAC3C4}" name="Column13851"/>
    <tableColumn id="13885" xr3:uid="{21903609-2D67-4742-AC79-40F2BB5E82BB}" name="Column13852"/>
    <tableColumn id="13886" xr3:uid="{306109F1-2BCD-4DC9-8C46-B1686C4611C2}" name="Column13853"/>
    <tableColumn id="13887" xr3:uid="{DFDF16B8-2C0D-43D6-9FBC-2EC84277D978}" name="Column13854"/>
    <tableColumn id="13888" xr3:uid="{6C249161-8AB0-459A-B4B8-295317EF2970}" name="Column13855"/>
    <tableColumn id="13889" xr3:uid="{E0B349C7-530E-42C2-A8AA-5F9DD15214E2}" name="Column13856"/>
    <tableColumn id="13890" xr3:uid="{71043E84-1D7D-47FA-BB89-5D862E9F0458}" name="Column13857"/>
    <tableColumn id="13891" xr3:uid="{2F9D15AF-70FE-4B8A-A951-F543C99F3B6E}" name="Column13858"/>
    <tableColumn id="13892" xr3:uid="{0408A1D6-F3CA-4449-87A6-2ED1FFF15AEC}" name="Column13859"/>
    <tableColumn id="13893" xr3:uid="{78396805-6CEC-4E5F-9CC7-ECE2D4A0286E}" name="Column13860"/>
    <tableColumn id="13894" xr3:uid="{9EFE34BF-2A25-4CB5-BB45-0F5F55450DDC}" name="Column13861"/>
    <tableColumn id="13895" xr3:uid="{9C69294B-CC77-46F1-9CA2-B7DA4772F953}" name="Column13862"/>
    <tableColumn id="13896" xr3:uid="{4C95FCDD-0158-4033-A0ED-3DEFA9281825}" name="Column13863"/>
    <tableColumn id="13897" xr3:uid="{47985F1E-2B49-4475-993B-EF62FF948394}" name="Column13864"/>
    <tableColumn id="13898" xr3:uid="{303A9909-59E1-4E83-82CE-D99BB77B7ACC}" name="Column13865"/>
    <tableColumn id="13899" xr3:uid="{F344C2DC-7F6A-48C4-B34B-B9213BB067B9}" name="Column13866"/>
    <tableColumn id="13900" xr3:uid="{4CA385FC-9592-4FBA-ACA1-947FFEF8FFEC}" name="Column13867"/>
    <tableColumn id="13901" xr3:uid="{24645C16-0A4B-4D8F-BDA5-54C5DB648A73}" name="Column13868"/>
    <tableColumn id="13902" xr3:uid="{9AA54FB6-EC5E-42A0-907A-E0FF9760AA86}" name="Column13869"/>
    <tableColumn id="13903" xr3:uid="{9776F27C-4A3B-4B88-B22F-351862280E05}" name="Column13870"/>
    <tableColumn id="13904" xr3:uid="{BA0DCADC-D821-4AE2-B267-30BB07093B0D}" name="Column13871"/>
    <tableColumn id="13905" xr3:uid="{B1CA9856-7638-44AA-9EF8-F4CD384F3D81}" name="Column13872"/>
    <tableColumn id="13906" xr3:uid="{779C67F0-B9DB-401F-8115-0EDA619E72DD}" name="Column13873"/>
    <tableColumn id="13907" xr3:uid="{4669EA16-93F6-4ABF-B115-DAD6DB916E35}" name="Column13874"/>
    <tableColumn id="13908" xr3:uid="{75C022B5-8D5B-4017-9A69-5540DE613EAE}" name="Column13875"/>
    <tableColumn id="13909" xr3:uid="{C0ECD4AE-8E53-497D-9687-7A343086C907}" name="Column13876"/>
    <tableColumn id="13910" xr3:uid="{441B8E80-19A2-42D8-A7B1-7B64E016D536}" name="Column13877"/>
    <tableColumn id="13911" xr3:uid="{A578146C-88EB-43FF-AC57-2F2D6A5712CF}" name="Column13878"/>
    <tableColumn id="13912" xr3:uid="{F1AC4BE1-D7FF-43AA-BD83-FCC139169D0D}" name="Column13879"/>
    <tableColumn id="13913" xr3:uid="{4B659F7C-00DB-40FF-96FA-7C9A7C2ED553}" name="Column13880"/>
    <tableColumn id="13914" xr3:uid="{53345955-17EA-426C-A939-4A81D2C2AFB5}" name="Column13881"/>
    <tableColumn id="13915" xr3:uid="{B38EE8E7-7FC1-41F0-8665-EBC66AABA647}" name="Column13882"/>
    <tableColumn id="13916" xr3:uid="{8B060F34-AEAB-41BA-B2D7-20F820B63BA2}" name="Column13883"/>
    <tableColumn id="13917" xr3:uid="{DE547CE3-DF9B-44F6-A3F5-9FBC75E474F2}" name="Column13884"/>
    <tableColumn id="13918" xr3:uid="{9BE88E66-8BC4-4F0F-ACF6-EBD144C3368C}" name="Column13885"/>
    <tableColumn id="13919" xr3:uid="{AAF54DBC-1C08-4765-B909-0A605207EB08}" name="Column13886"/>
    <tableColumn id="13920" xr3:uid="{A7853CC7-F57F-40B6-919C-054B1DE1691E}" name="Column13887"/>
    <tableColumn id="13921" xr3:uid="{6D898C6E-2862-48AC-B90E-40769EC2CE90}" name="Column13888"/>
    <tableColumn id="13922" xr3:uid="{9D02EA28-785D-4309-A902-C97BB31281CE}" name="Column13889"/>
    <tableColumn id="13923" xr3:uid="{9034C9D5-AB1F-472C-A040-020444D16BFF}" name="Column13890"/>
    <tableColumn id="13924" xr3:uid="{3B1B0958-EA0D-450C-8B15-D7B611152CDC}" name="Column13891"/>
    <tableColumn id="13925" xr3:uid="{8F39B61C-AEA7-422D-BA53-283BD5BB396B}" name="Column13892"/>
    <tableColumn id="13926" xr3:uid="{6E2E7169-21B4-41CA-989C-7E26EE2DC854}" name="Column13893"/>
    <tableColumn id="13927" xr3:uid="{80623BD0-2D5A-4307-9395-940218A99DB1}" name="Column13894"/>
    <tableColumn id="13928" xr3:uid="{1C883212-421D-4C73-863B-8C1EEB8804EF}" name="Column13895"/>
    <tableColumn id="13929" xr3:uid="{EC91F632-E11C-4D53-9B25-1A126C8A3D0E}" name="Column13896"/>
    <tableColumn id="13930" xr3:uid="{379F1AD2-4503-4A15-8154-18FC9263B239}" name="Column13897"/>
    <tableColumn id="13931" xr3:uid="{C058FDC4-9BD1-46F0-93C8-C2032B736019}" name="Column13898"/>
    <tableColumn id="13932" xr3:uid="{64A5085D-8E1C-453C-AD8D-E7DE9B522FDF}" name="Column13899"/>
    <tableColumn id="13933" xr3:uid="{B6898642-8CC3-4201-A52E-716335E2EDA7}" name="Column13900"/>
    <tableColumn id="13934" xr3:uid="{5AC028DA-1EED-438D-83AE-CBEEABEF79A7}" name="Column13901"/>
    <tableColumn id="13935" xr3:uid="{A894458D-EA0D-403C-B087-3086DE69BA2C}" name="Column13902"/>
    <tableColumn id="13936" xr3:uid="{61697C44-914F-4598-9492-38F857BAA9A6}" name="Column13903"/>
    <tableColumn id="13937" xr3:uid="{EA5ACBE5-5D2E-4CAD-B97C-EC67CEC8E003}" name="Column13904"/>
    <tableColumn id="13938" xr3:uid="{B4B3B1D0-AD0D-40B6-BE97-0A674B3ABCFA}" name="Column13905"/>
    <tableColumn id="13939" xr3:uid="{3E6FBBFD-6F28-482F-91EA-39DB78DCD58B}" name="Column13906"/>
    <tableColumn id="13940" xr3:uid="{7CADB53B-096A-4CE7-982C-E40B1505A3E8}" name="Column13907"/>
    <tableColumn id="13941" xr3:uid="{DC2EB07C-969A-47D0-8BC1-123C4C49836F}" name="Column13908"/>
    <tableColumn id="13942" xr3:uid="{79030EC0-EABA-4A49-BA73-14C5C690228C}" name="Column13909"/>
    <tableColumn id="13943" xr3:uid="{A0F5E098-6215-41DF-83D6-AC52F11371A8}" name="Column13910"/>
    <tableColumn id="13944" xr3:uid="{2028E7C3-920F-43F5-80C1-080265E435A0}" name="Column13911"/>
    <tableColumn id="13945" xr3:uid="{6A1E1A04-4897-4949-88DD-C7EC89A1E586}" name="Column13912"/>
    <tableColumn id="13946" xr3:uid="{05DA62D6-8B0C-4B47-BC2A-1C5A5F2284C0}" name="Column13913"/>
    <tableColumn id="13947" xr3:uid="{A2476CFA-6305-4996-A87D-8C3B4E826BA2}" name="Column13914"/>
    <tableColumn id="13948" xr3:uid="{E7EE2354-1923-49C5-BDCC-13C2742E190F}" name="Column13915"/>
    <tableColumn id="13949" xr3:uid="{87C19AFE-B3D2-4CA5-A647-3FE0428A1C39}" name="Column13916"/>
    <tableColumn id="13950" xr3:uid="{53B21346-E4AB-4C50-96CF-FAE57AEE74B2}" name="Column13917"/>
    <tableColumn id="13951" xr3:uid="{13CA3D8C-C11E-4B7F-AC64-92D843CF6F70}" name="Column13918"/>
    <tableColumn id="13952" xr3:uid="{0CD7F631-9C22-4CA1-8104-6FBC3A90CABD}" name="Column13919"/>
    <tableColumn id="13953" xr3:uid="{1583E266-94E3-4328-BFA3-9DDCFE461216}" name="Column13920"/>
    <tableColumn id="13954" xr3:uid="{CC1598F2-00C0-4841-9534-20EB0FDA77EE}" name="Column13921"/>
    <tableColumn id="13955" xr3:uid="{2DBF7908-5AC4-4A07-9AB7-804D9A32B520}" name="Column13922"/>
    <tableColumn id="13956" xr3:uid="{CDBD4664-835A-4A02-BB82-069AF68B15E9}" name="Column13923"/>
    <tableColumn id="13957" xr3:uid="{607762FA-15F5-4C08-9BA4-C3C662B8429C}" name="Column13924"/>
    <tableColumn id="13958" xr3:uid="{8B3DF1A5-DCE7-4387-961E-7F9F67C4E22E}" name="Column13925"/>
    <tableColumn id="13959" xr3:uid="{4C9F8D92-BA9C-4A03-84F9-EEE648BE0D5F}" name="Column13926"/>
    <tableColumn id="13960" xr3:uid="{D138E17C-6917-40E9-B4ED-1FF8AA019CEA}" name="Column13927"/>
    <tableColumn id="13961" xr3:uid="{00D94856-9D61-4CD3-8AA7-6776C657D209}" name="Column13928"/>
    <tableColumn id="13962" xr3:uid="{C701E7E7-E796-46F7-8504-B457333682A4}" name="Column13929"/>
    <tableColumn id="13963" xr3:uid="{DDE8C885-B9EC-4C6A-A9D7-013E8B4E06BC}" name="Column13930"/>
    <tableColumn id="13964" xr3:uid="{1B4C5519-CEC1-4931-8127-E1912B59C3AA}" name="Column13931"/>
    <tableColumn id="13965" xr3:uid="{9565E859-70E4-4720-B108-8B93635C574D}" name="Column13932"/>
    <tableColumn id="13966" xr3:uid="{C9E9BE80-427A-4B79-ABB2-0E6D3C8D1A58}" name="Column13933"/>
    <tableColumn id="13967" xr3:uid="{8B1648FC-2E31-4AC9-B86C-6C8B62FD01B6}" name="Column13934"/>
    <tableColumn id="13968" xr3:uid="{F51FE7ED-4B17-4FBF-A0DA-D983A077F248}" name="Column13935"/>
    <tableColumn id="13969" xr3:uid="{2987A93C-BE8C-4016-8BEB-D712F637E8F6}" name="Column13936"/>
    <tableColumn id="13970" xr3:uid="{FCAFD60F-E91C-4832-9043-4F60556DED50}" name="Column13937"/>
    <tableColumn id="13971" xr3:uid="{053DBEF0-E09A-418C-9D6E-63C8EF96DA32}" name="Column13938"/>
    <tableColumn id="13972" xr3:uid="{94DD602F-744C-40C7-AC75-15728AAB90D6}" name="Column13939"/>
    <tableColumn id="13973" xr3:uid="{3B09BBDF-7D06-4A86-A9CE-D2D7CA286903}" name="Column13940"/>
    <tableColumn id="13974" xr3:uid="{F05AB13D-4E0E-4BF3-A533-7664967F4ECA}" name="Column13941"/>
    <tableColumn id="13975" xr3:uid="{86DA1521-8A3B-44E1-8179-012EA75E7FB8}" name="Column13942"/>
    <tableColumn id="13976" xr3:uid="{10845642-F2C4-4551-B6F8-CCD20110752A}" name="Column13943"/>
    <tableColumn id="13977" xr3:uid="{0BA848BF-9754-4B44-A9D9-AD22EEF7B1F8}" name="Column13944"/>
    <tableColumn id="13978" xr3:uid="{C13CAF2E-5BCA-4224-85B7-FA3D5236D53F}" name="Column13945"/>
    <tableColumn id="13979" xr3:uid="{0FF76B8C-B947-4CAB-9323-FB6405924A66}" name="Column13946"/>
    <tableColumn id="13980" xr3:uid="{74838EFE-4B98-414E-8F38-182A060FAFAF}" name="Column13947"/>
    <tableColumn id="13981" xr3:uid="{478EA655-A1F4-4881-B3E1-A188BCBF6A41}" name="Column13948"/>
    <tableColumn id="13982" xr3:uid="{EFCEAE20-BB76-44C9-B689-06BBF16D5CD7}" name="Column13949"/>
    <tableColumn id="13983" xr3:uid="{3D8D3839-5108-4C9D-9D24-1E67CE8BC4E5}" name="Column13950"/>
    <tableColumn id="13984" xr3:uid="{F49CA171-4E6F-432D-A9EA-139D13FA54A5}" name="Column13951"/>
    <tableColumn id="13985" xr3:uid="{1E7C57CB-0D73-4C37-B629-057A7BFD0193}" name="Column13952"/>
    <tableColumn id="13986" xr3:uid="{DD76EEA8-2FF9-43FE-9D77-F0AB137C849C}" name="Column13953"/>
    <tableColumn id="13987" xr3:uid="{F6992DC2-FEBE-4C17-B066-4A5A00D7BFD9}" name="Column13954"/>
    <tableColumn id="13988" xr3:uid="{3251CA99-4ADF-46DC-838A-E09ABCF36B5E}" name="Column13955"/>
    <tableColumn id="13989" xr3:uid="{5FD28F4F-66DB-4179-8BC8-DF11F29DB48B}" name="Column13956"/>
    <tableColumn id="13990" xr3:uid="{C6E0C307-0573-4385-AB3E-1EFC3E84DCD9}" name="Column13957"/>
    <tableColumn id="13991" xr3:uid="{4603E422-7D87-4FC9-9284-0642321ECDAD}" name="Column13958"/>
    <tableColumn id="13992" xr3:uid="{DD9C3749-E6C0-4007-B76F-65A92220DA1F}" name="Column13959"/>
    <tableColumn id="13993" xr3:uid="{44861A78-0CAD-4034-8D75-CB21C68429B9}" name="Column13960"/>
    <tableColumn id="13994" xr3:uid="{EF5B4784-9B88-423A-83A4-1516202E8CBE}" name="Column13961"/>
    <tableColumn id="13995" xr3:uid="{2A44A304-C94D-4431-A144-B29341DB3011}" name="Column13962"/>
    <tableColumn id="13996" xr3:uid="{9D7C3EDD-ACF2-434D-8876-824017623F91}" name="Column13963"/>
    <tableColumn id="13997" xr3:uid="{082284CE-8E3C-405A-8126-34778B28240E}" name="Column13964"/>
    <tableColumn id="13998" xr3:uid="{DE94CAF5-55DA-4F12-9F75-00D941F00354}" name="Column13965"/>
    <tableColumn id="13999" xr3:uid="{8C36662E-EAA8-4497-9D88-01925EB14071}" name="Column13966"/>
    <tableColumn id="14000" xr3:uid="{CF8135DB-9F48-4816-B1F4-B6FBBC2E4EE4}" name="Column13967"/>
    <tableColumn id="14001" xr3:uid="{B3140541-EC47-4086-A2FA-3636EF938454}" name="Column13968"/>
    <tableColumn id="14002" xr3:uid="{3B1E79C9-7F49-4E87-8DE7-5F76C3FB524C}" name="Column13969"/>
    <tableColumn id="14003" xr3:uid="{759B663A-260E-4B4B-914F-86B695F399C6}" name="Column13970"/>
    <tableColumn id="14004" xr3:uid="{35EACDAA-B49E-44E5-A424-DC8B09B7BCFC}" name="Column13971"/>
    <tableColumn id="14005" xr3:uid="{BE4CF19E-6C6E-4201-9CF9-CF9089A73B11}" name="Column13972"/>
    <tableColumn id="14006" xr3:uid="{32A51844-B755-4485-A451-B11CAB37FC43}" name="Column13973"/>
    <tableColumn id="14007" xr3:uid="{55974A45-2E6F-48B0-A296-CF5D0181BAD8}" name="Column13974"/>
    <tableColumn id="14008" xr3:uid="{352FD1FA-E109-475F-87DF-3B8F67886593}" name="Column13975"/>
    <tableColumn id="14009" xr3:uid="{8E4B7AD2-0CAD-4FCA-9CE9-D2B0D18AA375}" name="Column13976"/>
    <tableColumn id="14010" xr3:uid="{1DC58E58-E6A4-4F8B-B574-55906B30921D}" name="Column13977"/>
    <tableColumn id="14011" xr3:uid="{ED1C18ED-8E29-4B6E-B42D-8134C7CCF67F}" name="Column13978"/>
    <tableColumn id="14012" xr3:uid="{23734900-BE09-475E-B4A9-DE5A8A9E1209}" name="Column13979"/>
    <tableColumn id="14013" xr3:uid="{25641190-548C-457D-AAE0-1789B28BEB7C}" name="Column13980"/>
    <tableColumn id="14014" xr3:uid="{90DE5461-EA1D-45BB-A9DD-DEBD24B1248C}" name="Column13981"/>
    <tableColumn id="14015" xr3:uid="{C46908D9-589B-4C98-90B9-BA70109BE3FA}" name="Column13982"/>
    <tableColumn id="14016" xr3:uid="{1B564F8A-120F-4903-A7D1-0DD9ECB93C4F}" name="Column13983"/>
    <tableColumn id="14017" xr3:uid="{5DDAB4C3-FF7D-4889-A8C7-28214258E4DF}" name="Column13984"/>
    <tableColumn id="14018" xr3:uid="{437EB438-C4C5-4E88-BB8B-6C46BB94E6AA}" name="Column13985"/>
    <tableColumn id="14019" xr3:uid="{817ECDA8-5A50-4004-A86D-ED5C0395EDCF}" name="Column13986"/>
    <tableColumn id="14020" xr3:uid="{F1138AB5-1406-452A-AEA2-007455BD04EC}" name="Column13987"/>
    <tableColumn id="14021" xr3:uid="{174811D3-689A-491C-98BD-EAC6AA363479}" name="Column13988"/>
    <tableColumn id="14022" xr3:uid="{0482D170-CE78-484E-88F3-B3436ABBA90C}" name="Column13989"/>
    <tableColumn id="14023" xr3:uid="{0350AA75-ED03-4E16-AEFA-7DF811615D20}" name="Column13990"/>
    <tableColumn id="14024" xr3:uid="{66DD47CA-5B14-4F8E-94E3-A64F8D8F78F3}" name="Column13991"/>
    <tableColumn id="14025" xr3:uid="{5395C92F-AD8F-4FBF-9512-8F9C06EEA4B9}" name="Column13992"/>
    <tableColumn id="14026" xr3:uid="{89064B3E-01EF-43AE-89C0-4EA16DFA6389}" name="Column13993"/>
    <tableColumn id="14027" xr3:uid="{C8A2614A-2087-45DF-8687-1194FB221190}" name="Column13994"/>
    <tableColumn id="14028" xr3:uid="{5565657B-B1D0-4BD2-B92D-FC07DB87CD0E}" name="Column13995"/>
    <tableColumn id="14029" xr3:uid="{AB8F6A28-B221-4038-8875-B7BB8CFD909D}" name="Column13996"/>
    <tableColumn id="14030" xr3:uid="{BBA32228-A5DE-4CAB-93D0-1894D8570834}" name="Column13997"/>
    <tableColumn id="14031" xr3:uid="{75EEAB28-54EE-4EDC-A64B-08B25B008790}" name="Column13998"/>
    <tableColumn id="14032" xr3:uid="{965AC73A-A37B-44F3-8FB4-350256DB27C2}" name="Column13999"/>
    <tableColumn id="14033" xr3:uid="{FA9C36CE-5E63-4501-86D2-0D07FCB87D2E}" name="Column14000"/>
    <tableColumn id="14034" xr3:uid="{9D83FDF5-5CD4-4F2A-8B7B-78A350D5E9F8}" name="Column14001"/>
    <tableColumn id="14035" xr3:uid="{716D0563-DA8D-4621-9361-BEBA33A11BAF}" name="Column14002"/>
    <tableColumn id="14036" xr3:uid="{E2CDA603-71F7-4DEA-B39F-2D5745C7C6F6}" name="Column14003"/>
    <tableColumn id="14037" xr3:uid="{AAD307B4-4C3C-4A24-AC18-A8200D79AB66}" name="Column14004"/>
    <tableColumn id="14038" xr3:uid="{F2C24B45-AAD3-40D7-81CA-D813FEDCA2B5}" name="Column14005"/>
    <tableColumn id="14039" xr3:uid="{BB183C9E-0AB4-4D52-AF47-B7F4AB3844C1}" name="Column14006"/>
    <tableColumn id="14040" xr3:uid="{E4FFD522-BE64-474A-BB4D-713315761829}" name="Column14007"/>
    <tableColumn id="14041" xr3:uid="{D069047C-A2CA-4DD3-9589-8E7423034DFC}" name="Column14008"/>
    <tableColumn id="14042" xr3:uid="{A5B681C3-164A-497B-AF44-C68B50A00211}" name="Column14009"/>
    <tableColumn id="14043" xr3:uid="{62325751-A474-4145-A31C-A41DA1236EB1}" name="Column14010"/>
    <tableColumn id="14044" xr3:uid="{54B7D633-790E-4A79-9DFB-48C1D43993DF}" name="Column14011"/>
    <tableColumn id="14045" xr3:uid="{152D587E-5735-4FC4-AC48-23E6B2308D83}" name="Column14012"/>
    <tableColumn id="14046" xr3:uid="{38E4BC0A-4BC9-415D-AF09-26C888FBDDC6}" name="Column14013"/>
    <tableColumn id="14047" xr3:uid="{B040266B-F3DB-476F-BED4-ECBE530C6132}" name="Column14014"/>
    <tableColumn id="14048" xr3:uid="{1272A6AE-82E9-475D-ADFD-EAB0A2E90CA6}" name="Column14015"/>
    <tableColumn id="14049" xr3:uid="{EAAD5E14-FC82-4F80-85E2-B981E44084BC}" name="Column14016"/>
    <tableColumn id="14050" xr3:uid="{996E4328-8200-47E8-AB8C-56C8333B9F96}" name="Column14017"/>
    <tableColumn id="14051" xr3:uid="{D5F57BD0-7B2D-4B9E-A0E7-230DF1FF7C98}" name="Column14018"/>
    <tableColumn id="14052" xr3:uid="{22092771-19E7-42A6-A37A-0379B9199ACB}" name="Column14019"/>
    <tableColumn id="14053" xr3:uid="{B628866B-AABA-4727-9FD5-EBF1A6243DCD}" name="Column14020"/>
    <tableColumn id="14054" xr3:uid="{749EED44-09F0-4248-A41E-24E52DF1BB92}" name="Column14021"/>
    <tableColumn id="14055" xr3:uid="{B0A0222C-3242-4F21-86B4-BAA613BC72D0}" name="Column14022"/>
    <tableColumn id="14056" xr3:uid="{81A2A428-9B0C-485D-938C-900B8488821F}" name="Column14023"/>
    <tableColumn id="14057" xr3:uid="{19CBFC6A-DC4C-4C02-BAC9-ADFA15EDA90A}" name="Column14024"/>
    <tableColumn id="14058" xr3:uid="{A5E721AC-72C3-4EBF-9CBE-9753A263D09E}" name="Column14025"/>
    <tableColumn id="14059" xr3:uid="{6A3B98DC-8545-49A9-93D4-2946F9F39CC8}" name="Column14026"/>
    <tableColumn id="14060" xr3:uid="{8FB79337-DBF3-485D-8B57-3CD9B059B6BF}" name="Column14027"/>
    <tableColumn id="14061" xr3:uid="{D3AD219E-6C45-40A2-B9EF-AEACEF376014}" name="Column14028"/>
    <tableColumn id="14062" xr3:uid="{1EA9FA22-52E9-4A96-BA3B-2C822B7B8951}" name="Column14029"/>
    <tableColumn id="14063" xr3:uid="{36B590EA-9B19-47F1-92F5-1AB694B7017B}" name="Column14030"/>
    <tableColumn id="14064" xr3:uid="{8B99B9B1-0CB6-4DF0-BB77-3928712DC97D}" name="Column14031"/>
    <tableColumn id="14065" xr3:uid="{D429A126-1E02-458A-9529-891C05754EFD}" name="Column14032"/>
    <tableColumn id="14066" xr3:uid="{13A14FF6-80DC-42FB-8F94-892C9600FCD5}" name="Column14033"/>
    <tableColumn id="14067" xr3:uid="{1486C63D-E129-4A47-A5C8-B6CF0CDFE84C}" name="Column14034"/>
    <tableColumn id="14068" xr3:uid="{A2EC605A-5C65-4D51-827F-3F11059754A6}" name="Column14035"/>
    <tableColumn id="14069" xr3:uid="{3EA9177F-D7C3-4F96-8990-F5C52B547AC2}" name="Column14036"/>
    <tableColumn id="14070" xr3:uid="{59306BA8-5335-42B0-B2EA-F68FA4D0CAFB}" name="Column14037"/>
    <tableColumn id="14071" xr3:uid="{2A10E70F-033B-41DE-9DA7-8C8EED47DB0E}" name="Column14038"/>
    <tableColumn id="14072" xr3:uid="{4ECE9429-03E7-49BB-8C14-E124995E467A}" name="Column14039"/>
    <tableColumn id="14073" xr3:uid="{0321BDC8-54A1-4AD1-896D-24929AA780CE}" name="Column14040"/>
    <tableColumn id="14074" xr3:uid="{015C93B3-B2A3-4D59-9382-570D63F9C629}" name="Column14041"/>
    <tableColumn id="14075" xr3:uid="{61446653-8D6B-4147-871C-E32F17297EA9}" name="Column14042"/>
    <tableColumn id="14076" xr3:uid="{97FFF6EE-A522-4AD0-B781-15DD5B2CED15}" name="Column14043"/>
    <tableColumn id="14077" xr3:uid="{26C45E5F-17D5-47E7-B7A3-82D3289FBA9B}" name="Column14044"/>
    <tableColumn id="14078" xr3:uid="{F04FF19D-1513-4075-A47A-911542E17B70}" name="Column14045"/>
    <tableColumn id="14079" xr3:uid="{F34C06BC-8294-428B-9F22-2047E7FC1481}" name="Column14046"/>
    <tableColumn id="14080" xr3:uid="{2F54BFE3-383B-422A-B91B-5AE71226EECC}" name="Column14047"/>
    <tableColumn id="14081" xr3:uid="{8F61CBEE-292B-4587-B4DA-9FCB864CD482}" name="Column14048"/>
    <tableColumn id="14082" xr3:uid="{A7CC27FC-A2A4-46CA-B4ED-B8874CDC4242}" name="Column14049"/>
    <tableColumn id="14083" xr3:uid="{006C9841-99E1-4E9F-87BB-07F785BA302B}" name="Column14050"/>
    <tableColumn id="14084" xr3:uid="{935CAAC7-A4B0-40A8-B4D9-771E7B999D89}" name="Column14051"/>
    <tableColumn id="14085" xr3:uid="{5731C29E-DD81-4F00-A2E9-63FEBF668DD5}" name="Column14052"/>
    <tableColumn id="14086" xr3:uid="{83CED267-98BC-44E9-912E-AE3ABD847CD2}" name="Column14053"/>
    <tableColumn id="14087" xr3:uid="{14E96424-CC0E-4880-81F5-1B7D273E2FA7}" name="Column14054"/>
    <tableColumn id="14088" xr3:uid="{5D8214B0-2DF3-42A8-973B-D19146E4ED06}" name="Column14055"/>
    <tableColumn id="14089" xr3:uid="{7A9E361A-CE0E-497D-999A-C0A37568ED70}" name="Column14056"/>
    <tableColumn id="14090" xr3:uid="{6704522D-F36B-450A-97F3-40100EFDF5FC}" name="Column14057"/>
    <tableColumn id="14091" xr3:uid="{05BC3864-59EE-4783-A040-9F50378DEE1B}" name="Column14058"/>
    <tableColumn id="14092" xr3:uid="{01167B75-A76A-4E97-9E9C-D00FBAAE4DF7}" name="Column14059"/>
    <tableColumn id="14093" xr3:uid="{BD27162F-84C7-489D-A4B3-2B99D5DF6528}" name="Column14060"/>
    <tableColumn id="14094" xr3:uid="{45F6B89F-8E38-4043-9B4E-7FBF3F94ACCD}" name="Column14061"/>
    <tableColumn id="14095" xr3:uid="{0CF39D64-4735-4011-A05C-E3C3FEB78E61}" name="Column14062"/>
    <tableColumn id="14096" xr3:uid="{D96160B9-9AD4-4F20-9E51-95C0808A313C}" name="Column14063"/>
    <tableColumn id="14097" xr3:uid="{5856B1F2-90A8-444F-8CC7-7A509E5E7A34}" name="Column14064"/>
    <tableColumn id="14098" xr3:uid="{A5BCE264-400B-419A-B3FE-582F45A78474}" name="Column14065"/>
    <tableColumn id="14099" xr3:uid="{64A236D6-E203-4F4B-A4F4-C9F0E3917EF3}" name="Column14066"/>
    <tableColumn id="14100" xr3:uid="{76C296ED-95D2-42EC-B4DC-793076DB9D31}" name="Column14067"/>
    <tableColumn id="14101" xr3:uid="{7387AD39-AB60-46DB-AA3F-3CD015A5DEAB}" name="Column14068"/>
    <tableColumn id="14102" xr3:uid="{0F2223AC-25ED-4629-8ED7-9826527467E6}" name="Column14069"/>
    <tableColumn id="14103" xr3:uid="{9E8EB7A2-0813-40BA-B284-810FC897C7FD}" name="Column14070"/>
    <tableColumn id="14104" xr3:uid="{DAE4AB0D-A906-43B2-9849-A5ECE9C42705}" name="Column14071"/>
    <tableColumn id="14105" xr3:uid="{11995D99-A7D1-4135-A976-A673EF662449}" name="Column14072"/>
    <tableColumn id="14106" xr3:uid="{8DC380FC-D4EC-42FF-820F-07D133D5AECA}" name="Column14073"/>
    <tableColumn id="14107" xr3:uid="{8E5B181A-D9E9-4927-9438-01EB55976621}" name="Column14074"/>
    <tableColumn id="14108" xr3:uid="{78E39983-E749-48C1-B94C-6328284D95F0}" name="Column14075"/>
    <tableColumn id="14109" xr3:uid="{3C282259-4F24-4443-93C1-DF494106984A}" name="Column14076"/>
    <tableColumn id="14110" xr3:uid="{167BE138-A03B-4CBB-A5C4-B2940550C834}" name="Column14077"/>
    <tableColumn id="14111" xr3:uid="{3B8BDEE2-F4F1-4F05-9A3A-48B600CE0B79}" name="Column14078"/>
    <tableColumn id="14112" xr3:uid="{D3A502BE-954F-4CE7-B292-5CD0AC5CCEE0}" name="Column14079"/>
    <tableColumn id="14113" xr3:uid="{2837D91B-6AD5-4213-B0A1-6C88E016DE49}" name="Column14080"/>
    <tableColumn id="14114" xr3:uid="{96E2174A-56CC-44F6-A103-092D2B227F20}" name="Column14081"/>
    <tableColumn id="14115" xr3:uid="{C78F4CEB-04C1-4011-8B55-395E3B0B37F7}" name="Column14082"/>
    <tableColumn id="14116" xr3:uid="{D8B3A1B8-CA53-4AC7-8BD7-87A3F6E4BC8E}" name="Column14083"/>
    <tableColumn id="14117" xr3:uid="{835B2574-3A7D-44BC-AAD5-3CB42E08B638}" name="Column14084"/>
    <tableColumn id="14118" xr3:uid="{CE2F4EBE-07B7-4054-B44C-BC17C5385850}" name="Column14085"/>
    <tableColumn id="14119" xr3:uid="{4C9A8B6F-93F4-4EA8-A978-FE516175773A}" name="Column14086"/>
    <tableColumn id="14120" xr3:uid="{CA3F7DF0-59CF-4CCD-B40F-E3D47CDE02E9}" name="Column14087"/>
    <tableColumn id="14121" xr3:uid="{0924EEE5-6847-4B29-831B-82EBE0C2F6F6}" name="Column14088"/>
    <tableColumn id="14122" xr3:uid="{A9C1201A-F098-4705-A0EA-A5F8E57A89E0}" name="Column14089"/>
    <tableColumn id="14123" xr3:uid="{AC49770C-E5AC-47DA-8473-39B5B90C245B}" name="Column14090"/>
    <tableColumn id="14124" xr3:uid="{32A8C95C-9D71-4AE0-A1A0-7FADE6F4F3B7}" name="Column14091"/>
    <tableColumn id="14125" xr3:uid="{405121E8-4014-4AEC-B01E-9DD4CC227961}" name="Column14092"/>
    <tableColumn id="14126" xr3:uid="{7B9D7917-EE05-4B79-A54F-6F3A1EDFFFDF}" name="Column14093"/>
    <tableColumn id="14127" xr3:uid="{40EEF82D-40AE-40CD-829D-460DC8006EB7}" name="Column14094"/>
    <tableColumn id="14128" xr3:uid="{25BA1ED8-5C45-4C93-AD50-96210F5D6047}" name="Column14095"/>
    <tableColumn id="14129" xr3:uid="{D3A8C479-9EC2-4CFC-A312-4EA055A1C770}" name="Column14096"/>
    <tableColumn id="14130" xr3:uid="{9E0F6A5C-DE8E-48E4-9B6D-299FBB54C5B8}" name="Column14097"/>
    <tableColumn id="14131" xr3:uid="{D0874AA5-DF6D-4E65-8A80-DF6135FD1D0C}" name="Column14098"/>
    <tableColumn id="14132" xr3:uid="{455D1A9C-4EA2-4DDD-97BD-D90D9F5233D7}" name="Column14099"/>
    <tableColumn id="14133" xr3:uid="{D22627E1-2DEA-4C96-BAEC-03A8DFDCEC2E}" name="Column14100"/>
    <tableColumn id="14134" xr3:uid="{78DABBFE-22FE-46B1-9638-593D90C204CF}" name="Column14101"/>
    <tableColumn id="14135" xr3:uid="{4AE68A1E-5A75-4794-9331-99BF74C7578E}" name="Column14102"/>
    <tableColumn id="14136" xr3:uid="{E69A7618-A949-4695-86B3-DB65AD290EF9}" name="Column14103"/>
    <tableColumn id="14137" xr3:uid="{76AE73B6-2114-44FD-BCF2-2C6F00E50E73}" name="Column14104"/>
    <tableColumn id="14138" xr3:uid="{5FE815EC-8561-4106-BDE1-40F9A8030F04}" name="Column14105"/>
    <tableColumn id="14139" xr3:uid="{E10C2897-92A7-4DCC-809B-47D834564CA9}" name="Column14106"/>
    <tableColumn id="14140" xr3:uid="{17CDCB20-3E79-407C-A5A6-DB4B04444BD1}" name="Column14107"/>
    <tableColumn id="14141" xr3:uid="{F5A25A39-B3C6-4072-8FB2-E0469ECB53BC}" name="Column14108"/>
    <tableColumn id="14142" xr3:uid="{E96EC8F4-4DC7-47C6-829F-D1528FD928AB}" name="Column14109"/>
    <tableColumn id="14143" xr3:uid="{05E24C72-82F5-4299-9658-AD90CF1FBDD4}" name="Column14110"/>
    <tableColumn id="14144" xr3:uid="{881095A5-5928-4DBE-A74C-F7B30F76E806}" name="Column14111"/>
    <tableColumn id="14145" xr3:uid="{0C0B8D91-889F-4E99-BFCE-3424C36C8F5E}" name="Column14112"/>
    <tableColumn id="14146" xr3:uid="{02B0E505-DA46-45C1-A5C2-D3BB0A82E120}" name="Column14113"/>
    <tableColumn id="14147" xr3:uid="{C9304586-CF6D-41F0-8A0A-749912375BA1}" name="Column14114"/>
    <tableColumn id="14148" xr3:uid="{3005E84E-D43A-4225-9AD2-A54C9CFCDD98}" name="Column14115"/>
    <tableColumn id="14149" xr3:uid="{CC1D6E6E-0CDA-4084-A59F-DA0B5909EB02}" name="Column14116"/>
    <tableColumn id="14150" xr3:uid="{22A8EE58-212D-4C43-9FCE-45394202DE76}" name="Column14117"/>
    <tableColumn id="14151" xr3:uid="{F6CFC2C6-CAF1-4558-9070-374B2EA30E8F}" name="Column14118"/>
    <tableColumn id="14152" xr3:uid="{C04A4CBB-6035-47AD-BEF9-EC514B4B220F}" name="Column14119"/>
    <tableColumn id="14153" xr3:uid="{A3D4FA80-D4C7-4C8D-A235-00EB2963E56E}" name="Column14120"/>
    <tableColumn id="14154" xr3:uid="{BB8ED5C3-CB5A-4F6E-986B-5443F17CBD66}" name="Column14121"/>
    <tableColumn id="14155" xr3:uid="{A03B90B4-66CF-484E-AE52-B154196CF44A}" name="Column14122"/>
    <tableColumn id="14156" xr3:uid="{A7D4BE79-21DA-4FFD-BAF3-277C5F7E0BD9}" name="Column14123"/>
    <tableColumn id="14157" xr3:uid="{BBB799AB-A2AF-4FBC-AB1D-BC311B36AAEF}" name="Column14124"/>
    <tableColumn id="14158" xr3:uid="{39392917-DD7A-4E30-8EE6-EB4B6E387FA3}" name="Column14125"/>
    <tableColumn id="14159" xr3:uid="{5F3AC2A6-0DEF-4DAD-AE39-F36EE758C84C}" name="Column14126"/>
    <tableColumn id="14160" xr3:uid="{7DDCBA5D-4C8B-4ABB-94B8-185431BC7F59}" name="Column14127"/>
    <tableColumn id="14161" xr3:uid="{CBF24186-D079-4002-A724-F139185C3EF7}" name="Column14128"/>
    <tableColumn id="14162" xr3:uid="{B0E57E84-EF0A-461B-9322-E23AB29547FF}" name="Column14129"/>
    <tableColumn id="14163" xr3:uid="{83097671-771E-47CC-B3C4-C61760403A2D}" name="Column14130"/>
    <tableColumn id="14164" xr3:uid="{F7E2B2AA-D3C0-41F4-89D7-7A897C759030}" name="Column14131"/>
    <tableColumn id="14165" xr3:uid="{8F51B2EA-7BE6-40F2-820E-8B32F3A0AC86}" name="Column14132"/>
    <tableColumn id="14166" xr3:uid="{965456E7-4AF2-44F8-A1AB-3475A6AC9C4A}" name="Column14133"/>
    <tableColumn id="14167" xr3:uid="{28A99910-39A4-4A46-BB7B-43296489B9B1}" name="Column14134"/>
    <tableColumn id="14168" xr3:uid="{500D141D-8FEC-477F-BD23-8BC015B2E17B}" name="Column14135"/>
    <tableColumn id="14169" xr3:uid="{FA6F320B-D686-47B3-B426-FD505D191804}" name="Column14136"/>
    <tableColumn id="14170" xr3:uid="{DA452B35-D373-4E39-8E63-DB6005158361}" name="Column14137"/>
    <tableColumn id="14171" xr3:uid="{52FF0B8F-73AB-470E-8C98-C29971182C3C}" name="Column14138"/>
    <tableColumn id="14172" xr3:uid="{7C20C0C5-FA51-4C09-9ED9-F3A1F497ACB3}" name="Column14139"/>
    <tableColumn id="14173" xr3:uid="{EFD71808-11CF-411E-80FA-EA655A9E5E94}" name="Column14140"/>
    <tableColumn id="14174" xr3:uid="{E825D5C4-1F4A-4E37-8EAE-52C73421F12C}" name="Column14141"/>
    <tableColumn id="14175" xr3:uid="{82B9F578-C010-4318-B476-83F83F185BF9}" name="Column14142"/>
    <tableColumn id="14176" xr3:uid="{8C153AF1-6720-40E3-9D90-F7EC0138C9A0}" name="Column14143"/>
    <tableColumn id="14177" xr3:uid="{74EECA5F-C061-4D06-81AB-D903D11022A9}" name="Column14144"/>
    <tableColumn id="14178" xr3:uid="{87E1B1DB-EE2B-426D-A647-28C7A6DD5503}" name="Column14145"/>
    <tableColumn id="14179" xr3:uid="{C5D72208-AA93-441D-8C0E-7EFC5AF69FC4}" name="Column14146"/>
    <tableColumn id="14180" xr3:uid="{51F30BEE-3500-4DBA-A0D2-0FF2BC6930AC}" name="Column14147"/>
    <tableColumn id="14181" xr3:uid="{2E4CCA6E-E683-44C5-ABD7-77C91C6A37E7}" name="Column14148"/>
    <tableColumn id="14182" xr3:uid="{F61B4384-D71B-49E0-B4E0-12CB19494C38}" name="Column14149"/>
    <tableColumn id="14183" xr3:uid="{210F2C8B-4596-4B92-B7FE-14074522694E}" name="Column14150"/>
    <tableColumn id="14184" xr3:uid="{37BB9608-7124-4384-8EA2-4E0194A9595E}" name="Column14151"/>
    <tableColumn id="14185" xr3:uid="{A8376AD9-6EF2-48A2-B24B-351D9D7B6079}" name="Column14152"/>
    <tableColumn id="14186" xr3:uid="{7D828883-3167-41A3-A6BA-12D3B613D1E7}" name="Column14153"/>
    <tableColumn id="14187" xr3:uid="{32818AE9-BD77-4AAD-8569-EA075BCBCC0B}" name="Column14154"/>
    <tableColumn id="14188" xr3:uid="{EBF9EFCC-EC1C-4E3C-90B7-5F8FAC55C6D5}" name="Column14155"/>
    <tableColumn id="14189" xr3:uid="{1FEB44ED-6E24-4C5C-8843-E8A60F39017C}" name="Column14156"/>
    <tableColumn id="14190" xr3:uid="{6E656583-7A25-4840-A320-7F2D3FA9A826}" name="Column14157"/>
    <tableColumn id="14191" xr3:uid="{D3A2AADF-04FC-421E-9022-59C024D84F2D}" name="Column14158"/>
    <tableColumn id="14192" xr3:uid="{4AA9F90F-E4DF-4C99-9518-90391BDA68F5}" name="Column14159"/>
    <tableColumn id="14193" xr3:uid="{4C83B44E-23DA-47A3-BC5B-0F7FF9B1E11F}" name="Column14160"/>
    <tableColumn id="14194" xr3:uid="{0CF6F07B-EDBE-48B4-8E48-9D3D3A17167E}" name="Column14161"/>
    <tableColumn id="14195" xr3:uid="{C88D0A6B-503D-4E26-895F-7EDC1C005888}" name="Column14162"/>
    <tableColumn id="14196" xr3:uid="{6511C0D7-21F6-4539-AF2D-62EAE3882F10}" name="Column14163"/>
    <tableColumn id="14197" xr3:uid="{78C31870-F303-4A74-9E5F-CC20DB2D9246}" name="Column14164"/>
    <tableColumn id="14198" xr3:uid="{E84A99FD-C33F-41D0-B803-87DF65B1EE2D}" name="Column14165"/>
    <tableColumn id="14199" xr3:uid="{D91228C8-086F-4A0C-9C06-1ABE760FE04B}" name="Column14166"/>
    <tableColumn id="14200" xr3:uid="{8F33F7DA-7D07-4318-8E94-DA8BE424593F}" name="Column14167"/>
    <tableColumn id="14201" xr3:uid="{54222110-699A-4E9C-881A-5B2C1E0737E9}" name="Column14168"/>
    <tableColumn id="14202" xr3:uid="{025C7E0E-6030-45B7-BB9E-05CF959C3FC8}" name="Column14169"/>
    <tableColumn id="14203" xr3:uid="{25B5D886-3C46-42CF-976D-A60CE27497B9}" name="Column14170"/>
    <tableColumn id="14204" xr3:uid="{06E5DB16-6087-41A4-B8EB-995053755D2B}" name="Column14171"/>
    <tableColumn id="14205" xr3:uid="{4E48D776-A3CE-4354-8F51-DC4AF8D27F27}" name="Column14172"/>
    <tableColumn id="14206" xr3:uid="{FB13695F-BD33-481C-BA55-C5C57A495106}" name="Column14173"/>
    <tableColumn id="14207" xr3:uid="{8A9A71A6-B8F8-469C-AC0C-3E80B218CD19}" name="Column14174"/>
    <tableColumn id="14208" xr3:uid="{BFDFCA20-7962-45DB-8501-2B778E63E47A}" name="Column14175"/>
    <tableColumn id="14209" xr3:uid="{60735080-5578-4E9D-9B33-FDDD4E5BE64E}" name="Column14176"/>
    <tableColumn id="14210" xr3:uid="{087467BC-CE28-4C5E-95B8-6E8A73AA2380}" name="Column14177"/>
    <tableColumn id="14211" xr3:uid="{A7A5D30E-23AC-4E45-869C-F951E31C94D8}" name="Column14178"/>
    <tableColumn id="14212" xr3:uid="{09A59241-1BA4-40DE-A0A1-691796D92070}" name="Column14179"/>
    <tableColumn id="14213" xr3:uid="{CD150869-72A0-4A2C-8471-4928F7AEBB67}" name="Column14180"/>
    <tableColumn id="14214" xr3:uid="{F982AD7D-92CB-4010-AD68-7BF50F64AFC8}" name="Column14181"/>
    <tableColumn id="14215" xr3:uid="{9DD0C514-8E8D-45A8-99CF-620BB381AE07}" name="Column14182"/>
    <tableColumn id="14216" xr3:uid="{13C41324-267F-448B-88BD-AF9411A41DF3}" name="Column14183"/>
    <tableColumn id="14217" xr3:uid="{3DECE13C-8A7A-4E7D-BCB0-B800AEAB49F1}" name="Column14184"/>
    <tableColumn id="14218" xr3:uid="{3F0AB114-17B2-4B0B-8ACA-E62A4272F9E5}" name="Column14185"/>
    <tableColumn id="14219" xr3:uid="{A65913C7-41F0-4359-9FAD-1F28FA0F160E}" name="Column14186"/>
    <tableColumn id="14220" xr3:uid="{161F3FE7-3ABC-4DE8-826D-F7D08DC03F39}" name="Column14187"/>
    <tableColumn id="14221" xr3:uid="{F326CD9D-9E06-421F-B198-1890FA28C843}" name="Column14188"/>
    <tableColumn id="14222" xr3:uid="{1E44C81F-CA34-47AC-A56F-388C774BEFFF}" name="Column14189"/>
    <tableColumn id="14223" xr3:uid="{2BE6F67A-003B-4D4B-990F-38938DEFA430}" name="Column14190"/>
    <tableColumn id="14224" xr3:uid="{B0F59EE5-933A-439F-9288-D126FF0077FE}" name="Column14191"/>
    <tableColumn id="14225" xr3:uid="{D0F2EB57-1CF4-4458-9299-5CA49DFA5F9E}" name="Column14192"/>
    <tableColumn id="14226" xr3:uid="{4793B53F-DCBE-41AF-AA92-357B6385AAFE}" name="Column14193"/>
    <tableColumn id="14227" xr3:uid="{FA00128C-272C-4BDC-836F-3C77FFD700A4}" name="Column14194"/>
    <tableColumn id="14228" xr3:uid="{B9389545-FB5C-42FF-8992-4EB07856FBE3}" name="Column14195"/>
    <tableColumn id="14229" xr3:uid="{81021725-676E-4701-9AF0-66A0DE626C83}" name="Column14196"/>
    <tableColumn id="14230" xr3:uid="{CDFB359A-D249-4234-8624-8D6475C7E4F1}" name="Column14197"/>
    <tableColumn id="14231" xr3:uid="{12843A9D-D96F-4A80-A2B8-2002E141D0ED}" name="Column14198"/>
    <tableColumn id="14232" xr3:uid="{CA9B5C05-5F47-4552-9C7F-2FB72A52D579}" name="Column14199"/>
    <tableColumn id="14233" xr3:uid="{1CEC5168-EACC-443E-8F64-2DEE29D970F0}" name="Column14200"/>
    <tableColumn id="14234" xr3:uid="{35AEAC49-2F0D-4EC3-9960-1196D17BEB1C}" name="Column14201"/>
    <tableColumn id="14235" xr3:uid="{6DF859CA-5413-4E57-96CA-B94BA48525E9}" name="Column14202"/>
    <tableColumn id="14236" xr3:uid="{E18C0608-E632-4F7E-8273-6A73426BD25D}" name="Column14203"/>
    <tableColumn id="14237" xr3:uid="{D24EAC3F-27B4-4FF2-B53E-E81A86818DEC}" name="Column14204"/>
    <tableColumn id="14238" xr3:uid="{8FD8851F-63DF-4B04-9A9E-96810FBE2F11}" name="Column14205"/>
    <tableColumn id="14239" xr3:uid="{5D5987B7-01E1-4EF6-92CA-9C15AB14B688}" name="Column14206"/>
    <tableColumn id="14240" xr3:uid="{6B403066-CC68-46E3-A5C4-296C19882FB9}" name="Column14207"/>
    <tableColumn id="14241" xr3:uid="{C40E198A-1F14-41A0-A2F1-8E5269D14C54}" name="Column14208"/>
    <tableColumn id="14242" xr3:uid="{D2607F80-5CC7-4AB6-9C08-51CC65C0F080}" name="Column14209"/>
    <tableColumn id="14243" xr3:uid="{86E7EC06-A4E3-4C1D-8F4C-6616B6A83457}" name="Column14210"/>
    <tableColumn id="14244" xr3:uid="{9602CB76-7EDC-469E-B4E3-278ED094336A}" name="Column14211"/>
    <tableColumn id="14245" xr3:uid="{F15F660C-637B-49A2-8EA0-8918F3A5E0D6}" name="Column14212"/>
    <tableColumn id="14246" xr3:uid="{64C29200-41D2-43C1-8AFF-543282E8CF60}" name="Column14213"/>
    <tableColumn id="14247" xr3:uid="{C2FDCB99-4C95-4421-BDF3-45A98E8DB25F}" name="Column14214"/>
    <tableColumn id="14248" xr3:uid="{817F0B22-FB3D-41B1-B5DF-A636C84D1A9B}" name="Column14215"/>
    <tableColumn id="14249" xr3:uid="{CF03A117-379C-471A-957E-28E272DF21BF}" name="Column14216"/>
    <tableColumn id="14250" xr3:uid="{ACB76A4D-A4C4-450F-A17B-FC9099FD58A9}" name="Column14217"/>
    <tableColumn id="14251" xr3:uid="{196BE559-0343-43EB-B4CA-FA812E4E3A5F}" name="Column14218"/>
    <tableColumn id="14252" xr3:uid="{938AB32A-D7DD-4006-9519-F392FEF35F45}" name="Column14219"/>
    <tableColumn id="14253" xr3:uid="{76D140D7-CF53-41F0-A7CF-9D7E5D5CFBA3}" name="Column14220"/>
    <tableColumn id="14254" xr3:uid="{6CAC657A-3198-4DF0-8BA3-9D6D3854A6A5}" name="Column14221"/>
    <tableColumn id="14255" xr3:uid="{845C4C93-CF1C-4C73-A1A9-274C5AF044B2}" name="Column14222"/>
    <tableColumn id="14256" xr3:uid="{22AC47D4-3208-4562-9BC6-B39A17450050}" name="Column14223"/>
    <tableColumn id="14257" xr3:uid="{B8BB080B-C25D-4A6A-9590-696AEF03D744}" name="Column14224"/>
    <tableColumn id="14258" xr3:uid="{DC2FB23E-5696-4531-9F8B-4F24372A7DD2}" name="Column14225"/>
    <tableColumn id="14259" xr3:uid="{13523B88-BA78-4D89-8C31-D2EF7B9D2AD8}" name="Column14226"/>
    <tableColumn id="14260" xr3:uid="{D3FC07CC-B161-408B-BAC6-CAB5856094FA}" name="Column14227"/>
    <tableColumn id="14261" xr3:uid="{9BA172D1-DDA3-4BC1-A1AA-0E01CCCEF795}" name="Column14228"/>
    <tableColumn id="14262" xr3:uid="{21677D03-0FD3-4527-B874-C43AE0C5C5CA}" name="Column14229"/>
    <tableColumn id="14263" xr3:uid="{CFE1EF48-2BF4-4AC1-BE5C-86B7002BCCD4}" name="Column14230"/>
    <tableColumn id="14264" xr3:uid="{EAB183B4-4DA9-4EB6-983A-41F45BDF3F92}" name="Column14231"/>
    <tableColumn id="14265" xr3:uid="{BB452B3F-7B11-4D46-BD02-5EE03914C45B}" name="Column14232"/>
    <tableColumn id="14266" xr3:uid="{E41C36F4-51FE-4D34-BD79-978CCF0DFCC8}" name="Column14233"/>
    <tableColumn id="14267" xr3:uid="{CB0F20E4-2501-4E3D-A3BF-69592C4E5A15}" name="Column14234"/>
    <tableColumn id="14268" xr3:uid="{D8F97ACC-48E7-42F7-9D4B-F40E4C56B272}" name="Column14235"/>
    <tableColumn id="14269" xr3:uid="{919D7DE5-1FC5-440D-B02A-4EE3AE42887A}" name="Column14236"/>
    <tableColumn id="14270" xr3:uid="{C3B12895-DDE6-44B5-8881-ED4880BFFFC9}" name="Column14237"/>
    <tableColumn id="14271" xr3:uid="{86BA4E5B-5118-45FF-9F4D-A879C9B34B66}" name="Column14238"/>
    <tableColumn id="14272" xr3:uid="{F3D7F916-7954-4DAD-974D-80B259C21BA0}" name="Column14239"/>
    <tableColumn id="14273" xr3:uid="{A249B70D-724B-491E-AB67-ED4DE1F35FAF}" name="Column14240"/>
    <tableColumn id="14274" xr3:uid="{337F063C-7063-4B32-BD30-AF6BC6CEEB37}" name="Column14241"/>
    <tableColumn id="14275" xr3:uid="{553C3C3D-C89C-4306-9FA9-83995418167E}" name="Column14242"/>
    <tableColumn id="14276" xr3:uid="{B8F707BF-D49C-4C13-A2F2-0D400903FE04}" name="Column14243"/>
    <tableColumn id="14277" xr3:uid="{D3180E04-E3C4-4C91-BB14-ED8E84EE57A9}" name="Column14244"/>
    <tableColumn id="14278" xr3:uid="{4F44346C-C493-47BE-974E-F8C660C11631}" name="Column14245"/>
    <tableColumn id="14279" xr3:uid="{4B73A640-6600-4A8B-9400-5BCE3F43222E}" name="Column14246"/>
    <tableColumn id="14280" xr3:uid="{04476A45-BE66-4555-807D-EFA464F5735D}" name="Column14247"/>
    <tableColumn id="14281" xr3:uid="{254292BF-9C1B-4525-9A83-6B6B6830ACCA}" name="Column14248"/>
    <tableColumn id="14282" xr3:uid="{31400F84-7C5D-4D83-8567-4B35210A00A5}" name="Column14249"/>
    <tableColumn id="14283" xr3:uid="{071F6AEB-2E3A-4F20-8012-3E27A6BCF33F}" name="Column14250"/>
    <tableColumn id="14284" xr3:uid="{E7CFCF8E-BFD5-4DD9-A19E-1FA439825058}" name="Column14251"/>
    <tableColumn id="14285" xr3:uid="{06B207AA-968F-415A-9157-FEC1D36CE4B0}" name="Column14252"/>
    <tableColumn id="14286" xr3:uid="{CE1FD696-0A16-4399-9CBD-D08414D37A16}" name="Column14253"/>
    <tableColumn id="14287" xr3:uid="{E6EF8E8E-651B-4D44-B926-8BCA517A8E51}" name="Column14254"/>
    <tableColumn id="14288" xr3:uid="{C0D5EC7D-CADE-4E0F-8AB8-94CA7059781C}" name="Column14255"/>
    <tableColumn id="14289" xr3:uid="{E8C13B34-4B85-44E9-B9DF-96BE5B00C95C}" name="Column14256"/>
    <tableColumn id="14290" xr3:uid="{6A416956-3064-48B7-AF0C-B4DBB8D4213E}" name="Column14257"/>
    <tableColumn id="14291" xr3:uid="{90BECEF1-BA1A-4944-9761-96CF8F40B923}" name="Column14258"/>
    <tableColumn id="14292" xr3:uid="{0AD3A137-1CCD-4010-8747-EAD95F29DCF7}" name="Column14259"/>
    <tableColumn id="14293" xr3:uid="{F721F1D6-4B20-4BAB-BB55-920DB8384B85}" name="Column14260"/>
    <tableColumn id="14294" xr3:uid="{3D54F5F9-48DD-44E8-A33F-978FC3931DDD}" name="Column14261"/>
    <tableColumn id="14295" xr3:uid="{08A67748-5E4F-4E01-8E81-06BE6BE66584}" name="Column14262"/>
    <tableColumn id="14296" xr3:uid="{36ACE94F-AA67-4A94-93FC-1178C191CF89}" name="Column14263"/>
    <tableColumn id="14297" xr3:uid="{380A4992-843E-4E1D-B5BB-C13C5396232B}" name="Column14264"/>
    <tableColumn id="14298" xr3:uid="{842B873A-94D2-4A7A-97CC-68E0DC5DC76C}" name="Column14265"/>
    <tableColumn id="14299" xr3:uid="{BA326F6A-2300-453C-A1E2-BF32604FF0F4}" name="Column14266"/>
    <tableColumn id="14300" xr3:uid="{AA4B42A7-905F-4884-BC1E-23115C5FCCE6}" name="Column14267"/>
    <tableColumn id="14301" xr3:uid="{CA60C266-86F3-443A-B120-EA852E95E8C7}" name="Column14268"/>
    <tableColumn id="14302" xr3:uid="{1AB40DD7-CB08-4A9C-9E71-25C5E57E9B54}" name="Column14269"/>
    <tableColumn id="14303" xr3:uid="{ACDCE4B8-482B-4DAF-8179-5852397669B3}" name="Column14270"/>
    <tableColumn id="14304" xr3:uid="{C54EE024-705D-4513-8709-1EB08A5475CE}" name="Column14271"/>
    <tableColumn id="14305" xr3:uid="{EE97FA23-B4A6-4F54-9C0F-0B82FFE106D2}" name="Column14272"/>
    <tableColumn id="14306" xr3:uid="{C579C8CF-1BED-450D-8B17-6965275468AD}" name="Column14273"/>
    <tableColumn id="14307" xr3:uid="{B7F29890-3859-4392-8C93-44DCE1FE3ECF}" name="Column14274"/>
    <tableColumn id="14308" xr3:uid="{C08C3344-A253-46D1-B08F-C7459AC274E5}" name="Column14275"/>
    <tableColumn id="14309" xr3:uid="{FE772A6F-912D-4E33-86CC-626AB14A747D}" name="Column14276"/>
    <tableColumn id="14310" xr3:uid="{9FA518E5-6796-4B6F-B00A-A6C5507575EA}" name="Column14277"/>
    <tableColumn id="14311" xr3:uid="{9C7365DC-859E-4BFC-B9F6-B3ED9B5740F7}" name="Column14278"/>
    <tableColumn id="14312" xr3:uid="{5FE58CFA-D2AE-471F-9321-D35F1FBFA82B}" name="Column14279"/>
    <tableColumn id="14313" xr3:uid="{CACB6423-1475-4DF6-A443-255360748A67}" name="Column14280"/>
    <tableColumn id="14314" xr3:uid="{BD3C7A36-B8B9-473E-BFD2-4A4A38CB730E}" name="Column14281"/>
    <tableColumn id="14315" xr3:uid="{FF4F0A8B-C7FE-4936-93B5-EBAC78B5F76B}" name="Column14282"/>
    <tableColumn id="14316" xr3:uid="{2ED23FED-7041-441A-8CE3-7F99156151BB}" name="Column14283"/>
    <tableColumn id="14317" xr3:uid="{7AEFDAA3-BF5D-4BDD-AFF7-E2E3C3EC22D0}" name="Column14284"/>
    <tableColumn id="14318" xr3:uid="{6D9707AB-B812-45E4-AF2C-F9290B08D2E5}" name="Column14285"/>
    <tableColumn id="14319" xr3:uid="{A7EB2D0D-C822-444E-B5E9-9553F59B65F8}" name="Column14286"/>
    <tableColumn id="14320" xr3:uid="{940C0DD3-0BF1-43A0-80FD-2AA818E95343}" name="Column14287"/>
    <tableColumn id="14321" xr3:uid="{0439FF31-BECF-43DF-889A-E475C05B1FE3}" name="Column14288"/>
    <tableColumn id="14322" xr3:uid="{D9240AEA-73C9-46DE-835A-5D8E0E680478}" name="Column14289"/>
    <tableColumn id="14323" xr3:uid="{8C2B2542-B186-4E44-A65A-BBEF437FA8A3}" name="Column14290"/>
    <tableColumn id="14324" xr3:uid="{E0B96DEA-C815-4F15-B59E-D6EF253D7B28}" name="Column14291"/>
    <tableColumn id="14325" xr3:uid="{F927B20D-BE87-45B9-8BF5-4577A842B7C9}" name="Column14292"/>
    <tableColumn id="14326" xr3:uid="{5105708F-A8C7-49A6-A2FB-D900432BC784}" name="Column14293"/>
    <tableColumn id="14327" xr3:uid="{5CF35BAA-6C93-48DB-8BE3-28DC215F22AB}" name="Column14294"/>
    <tableColumn id="14328" xr3:uid="{0D1FD5FB-5CC9-4062-A4DA-1196A0AB4A04}" name="Column14295"/>
    <tableColumn id="14329" xr3:uid="{9A4A97A5-83B2-4315-A0E4-B1BC3DF535F6}" name="Column14296"/>
    <tableColumn id="14330" xr3:uid="{F4F68B70-5131-4C57-8F63-7DE8698CB403}" name="Column14297"/>
    <tableColumn id="14331" xr3:uid="{8DCD09D7-0528-422C-ABF2-0690B1FCCE86}" name="Column14298"/>
    <tableColumn id="14332" xr3:uid="{AA3ADA4F-527B-49F9-90A2-2B61DA00A66B}" name="Column14299"/>
    <tableColumn id="14333" xr3:uid="{74653434-3EEB-428E-9BF3-2175280F8F00}" name="Column14300"/>
    <tableColumn id="14334" xr3:uid="{CC832DAB-2636-415F-8771-5C2A53BDD5B0}" name="Column14301"/>
    <tableColumn id="14335" xr3:uid="{7CA5960C-7ECD-45AA-A836-D02D535243D5}" name="Column14302"/>
    <tableColumn id="14336" xr3:uid="{F64E6B0C-9062-4982-A274-62751701BCE1}" name="Column14303"/>
    <tableColumn id="14337" xr3:uid="{0F235218-615B-4315-B281-4FD75E8DBF29}" name="Column14304"/>
    <tableColumn id="14338" xr3:uid="{8C2283D0-E78D-43FF-8688-0048B436A3D4}" name="Column14305"/>
    <tableColumn id="14339" xr3:uid="{83FBB07E-BFFA-43C5-B8A1-17B251669641}" name="Column14306"/>
    <tableColumn id="14340" xr3:uid="{7517EDC0-DA23-4D99-9CF0-0BDC00213386}" name="Column14307"/>
    <tableColumn id="14341" xr3:uid="{E7DF3D7F-E9FF-4516-99C1-3B252AB124D6}" name="Column14308"/>
    <tableColumn id="14342" xr3:uid="{6634C4C2-D4A7-4695-A9D4-4FDA4DAE3EAB}" name="Column14309"/>
    <tableColumn id="14343" xr3:uid="{DC6242D1-CFA4-42A5-BF34-662ECAE91904}" name="Column14310"/>
    <tableColumn id="14344" xr3:uid="{5023DE4B-C7EA-4F1D-9187-FB97A08EE118}" name="Column14311"/>
    <tableColumn id="14345" xr3:uid="{F8C67484-4A20-49A7-8B7E-1BC094052928}" name="Column14312"/>
    <tableColumn id="14346" xr3:uid="{A099DDD2-FDB7-4239-8009-3C3CE5BB370B}" name="Column14313"/>
    <tableColumn id="14347" xr3:uid="{10139EE9-624D-4316-A480-F7E4CA9CD689}" name="Column14314"/>
    <tableColumn id="14348" xr3:uid="{B6198968-58CF-4619-8634-53722AA5BABB}" name="Column14315"/>
    <tableColumn id="14349" xr3:uid="{2DAE1994-ED45-40E0-82E1-91262481FABC}" name="Column14316"/>
    <tableColumn id="14350" xr3:uid="{5CE5C471-AA49-46B1-9F9B-0EFFCC4237F5}" name="Column14317"/>
    <tableColumn id="14351" xr3:uid="{E747A9CB-35BD-46EF-BA6A-6FE20EA8A7C5}" name="Column14318"/>
    <tableColumn id="14352" xr3:uid="{8FEC3CEC-3C79-4B88-8E3B-D9458B67FEEC}" name="Column14319"/>
    <tableColumn id="14353" xr3:uid="{35FA95E9-BD2F-4DE3-A9FB-E3FDD2F9DA6B}" name="Column14320"/>
    <tableColumn id="14354" xr3:uid="{C69B661C-D636-46A9-A9E0-628E9BEF924F}" name="Column14321"/>
    <tableColumn id="14355" xr3:uid="{EEE17348-D2B9-4B16-97D0-9F69A6DB0242}" name="Column14322"/>
    <tableColumn id="14356" xr3:uid="{D016AC1A-CBCA-4DF1-B30D-FC0B2D56099D}" name="Column14323"/>
    <tableColumn id="14357" xr3:uid="{79651C76-9039-4CB5-8101-4D2C71FCF395}" name="Column14324"/>
    <tableColumn id="14358" xr3:uid="{C9638100-0D6E-4685-8BD2-A11126EF8554}" name="Column14325"/>
    <tableColumn id="14359" xr3:uid="{B0C60910-3115-4926-AB91-4CAD2764DD3E}" name="Column14326"/>
    <tableColumn id="14360" xr3:uid="{4A889EC9-7BCD-4D95-BBF6-F07F8E9FF9D2}" name="Column14327"/>
    <tableColumn id="14361" xr3:uid="{1EF47920-7960-4E6B-9505-B792A19F4B61}" name="Column14328"/>
    <tableColumn id="14362" xr3:uid="{BE87018B-CC2A-479E-BF0B-5BF61617BB30}" name="Column14329"/>
    <tableColumn id="14363" xr3:uid="{0B3201F9-5F12-440A-B350-E4619779C356}" name="Column14330"/>
    <tableColumn id="14364" xr3:uid="{8EC0D9F3-026B-4FE8-94CC-73F07E0D71E4}" name="Column14331"/>
    <tableColumn id="14365" xr3:uid="{58DBEA09-4173-491F-AD25-682969F95E81}" name="Column14332"/>
    <tableColumn id="14366" xr3:uid="{EB0D6998-F366-4620-BDCA-F40FD52B4F62}" name="Column14333"/>
    <tableColumn id="14367" xr3:uid="{36740389-48AD-40E7-BF63-7A026744557F}" name="Column14334"/>
    <tableColumn id="14368" xr3:uid="{6D861105-6BAD-4669-8012-243191D799CE}" name="Column14335"/>
    <tableColumn id="14369" xr3:uid="{943730F5-BF4F-4721-B22F-BCCC81C1A5D7}" name="Column14336"/>
    <tableColumn id="14370" xr3:uid="{1EE1E394-53D3-41CF-AAC8-E16168E373A7}" name="Column14337"/>
    <tableColumn id="14371" xr3:uid="{62C09FF0-636C-4D1C-85D1-00E36F4ADB4A}" name="Column14338"/>
    <tableColumn id="14372" xr3:uid="{0C44D34A-404F-4D59-9C46-37D41184917F}" name="Column14339"/>
    <tableColumn id="14373" xr3:uid="{08A4A844-C80D-4623-80FE-B4052A477E9D}" name="Column14340"/>
    <tableColumn id="14374" xr3:uid="{427525A8-48E8-4F47-9F5A-928F635DF3AA}" name="Column14341"/>
    <tableColumn id="14375" xr3:uid="{2128939A-B89B-4BD0-8550-08AD7693328F}" name="Column14342"/>
    <tableColumn id="14376" xr3:uid="{C5417AF8-59CE-4760-9854-E543ED69402A}" name="Column14343"/>
    <tableColumn id="14377" xr3:uid="{52AE5F5E-3609-4F06-A0DF-0ED382255887}" name="Column14344"/>
    <tableColumn id="14378" xr3:uid="{6D14E9E9-F4FF-42AE-8C2A-A676DE27CA0C}" name="Column14345"/>
    <tableColumn id="14379" xr3:uid="{C61493B3-DDB9-4F13-9097-29AA0E2363AD}" name="Column14346"/>
    <tableColumn id="14380" xr3:uid="{9988539B-1546-4CC0-BBDA-C646A97A2683}" name="Column14347"/>
    <tableColumn id="14381" xr3:uid="{362A0E29-CC3F-4B33-8ACC-C81005D8B41A}" name="Column14348"/>
    <tableColumn id="14382" xr3:uid="{34303285-D462-4F0D-8013-844E0CE8716A}" name="Column14349"/>
    <tableColumn id="14383" xr3:uid="{0C166955-BCF3-4A58-BB27-6F34B476B20E}" name="Column14350"/>
    <tableColumn id="14384" xr3:uid="{46041B52-20DC-4B81-BEF1-49C1673184DF}" name="Column14351"/>
    <tableColumn id="14385" xr3:uid="{BF60036B-4D8E-4927-88E0-9E83BFBE14BD}" name="Column14352"/>
    <tableColumn id="14386" xr3:uid="{A246E2F0-C462-4C7A-8F2D-10B164850382}" name="Column14353"/>
    <tableColumn id="14387" xr3:uid="{41388BA2-4854-428E-A157-61836A7C28A1}" name="Column14354"/>
    <tableColumn id="14388" xr3:uid="{E8B0A027-5372-48F4-BE31-D9B2C218371C}" name="Column14355"/>
    <tableColumn id="14389" xr3:uid="{EF758E29-05C3-4735-A865-315550A9E73B}" name="Column14356"/>
    <tableColumn id="14390" xr3:uid="{FA02D7FF-7C9A-451E-851A-2FB8510C8FBD}" name="Column14357"/>
    <tableColumn id="14391" xr3:uid="{FEDAC501-61EE-48D7-A7F4-354116116913}" name="Column14358"/>
    <tableColumn id="14392" xr3:uid="{5863D0A9-57FF-47F6-8EBA-FC0B61DE240D}" name="Column14359"/>
    <tableColumn id="14393" xr3:uid="{F7D2994C-E003-41C9-8CD8-0ACFE1E09011}" name="Column14360"/>
    <tableColumn id="14394" xr3:uid="{E0565D5F-9DB2-4270-9ED0-D722294008CC}" name="Column14361"/>
    <tableColumn id="14395" xr3:uid="{F5AA2596-2CD8-49AF-A7F5-198628F7A17E}" name="Column14362"/>
    <tableColumn id="14396" xr3:uid="{92C0F7AB-5F03-41CF-8E87-DBA9D24DF493}" name="Column14363"/>
    <tableColumn id="14397" xr3:uid="{394B5373-9B23-4861-B219-F4F28E7BF94A}" name="Column14364"/>
    <tableColumn id="14398" xr3:uid="{F54643E1-2927-49DA-99E4-AC75147E9FAA}" name="Column14365"/>
    <tableColumn id="14399" xr3:uid="{5B8BA82F-77C2-43B9-A945-B3A3D253AB7D}" name="Column14366"/>
    <tableColumn id="14400" xr3:uid="{EC0076C0-C377-4FF4-A5B7-3F5DF2164EAF}" name="Column14367"/>
    <tableColumn id="14401" xr3:uid="{22A3B1C4-7372-40FF-AF43-E7151EE8862E}" name="Column14368"/>
    <tableColumn id="14402" xr3:uid="{CFBF1091-1217-4444-BD3E-1268BA0CFF9A}" name="Column14369"/>
    <tableColumn id="14403" xr3:uid="{40275A04-E0DA-4E35-AF19-8A0BD4CCBA2E}" name="Column14370"/>
    <tableColumn id="14404" xr3:uid="{38CDAE88-2A11-46F1-9077-669EB8C03486}" name="Column14371"/>
    <tableColumn id="14405" xr3:uid="{202613C9-382A-47D9-B889-2B0237BFFEA6}" name="Column14372"/>
    <tableColumn id="14406" xr3:uid="{950A49F3-CA6A-4C82-8F14-E610B497F58B}" name="Column14373"/>
    <tableColumn id="14407" xr3:uid="{73AAB8A7-F57C-4DB6-9B5C-DB8754A38D42}" name="Column14374"/>
    <tableColumn id="14408" xr3:uid="{A6C91D49-CC36-4D3A-A476-6821F2BDB7C9}" name="Column14375"/>
    <tableColumn id="14409" xr3:uid="{D0FB7541-BEBD-4AC4-9F47-F6363D4362B0}" name="Column14376"/>
    <tableColumn id="14410" xr3:uid="{CBDF8AB0-C089-4285-84D1-64CF4756A787}" name="Column14377"/>
    <tableColumn id="14411" xr3:uid="{E2787853-A69B-4B61-AC21-209F91C165DD}" name="Column14378"/>
    <tableColumn id="14412" xr3:uid="{6E547576-8CF1-4FBC-8543-9280FCF17555}" name="Column14379"/>
    <tableColumn id="14413" xr3:uid="{B80358E3-D48D-4D8D-A9CC-3CFE74878E89}" name="Column14380"/>
    <tableColumn id="14414" xr3:uid="{90A7322F-0CFF-4308-B02D-39DDD163A22A}" name="Column14381"/>
    <tableColumn id="14415" xr3:uid="{2B8DB689-607E-4E4E-B455-27BCCD038981}" name="Column14382"/>
    <tableColumn id="14416" xr3:uid="{219AE47D-9875-4434-8346-D709C96C5A3F}" name="Column14383"/>
    <tableColumn id="14417" xr3:uid="{0860FA2E-6508-4FE8-AA50-BD6519726C68}" name="Column14384"/>
    <tableColumn id="14418" xr3:uid="{BB05AA7F-D064-45BD-ADF9-129822AE21B6}" name="Column14385"/>
    <tableColumn id="14419" xr3:uid="{19D3E4AA-9ECD-4D96-9016-963691A241F1}" name="Column14386"/>
    <tableColumn id="14420" xr3:uid="{157B47B3-90CD-4A9D-815A-B97B88E8A943}" name="Column14387"/>
    <tableColumn id="14421" xr3:uid="{80DB5D31-1F43-437E-8F1D-96EB6E8D5243}" name="Column14388"/>
    <tableColumn id="14422" xr3:uid="{8AD9B02E-0F6F-42E3-B9E6-E8EBAB42C89B}" name="Column14389"/>
    <tableColumn id="14423" xr3:uid="{F9E3F166-4DF8-4B0E-9E52-DD225DFE53EB}" name="Column14390"/>
    <tableColumn id="14424" xr3:uid="{E194247C-F634-4908-898C-7940D8CAA923}" name="Column14391"/>
    <tableColumn id="14425" xr3:uid="{D643E608-D7A5-4541-AE8D-9820FC36A9D8}" name="Column14392"/>
    <tableColumn id="14426" xr3:uid="{FE86DB7E-B5FC-42A6-BAB1-66634983C9A8}" name="Column14393"/>
    <tableColumn id="14427" xr3:uid="{BD9916A3-D32F-4A48-9D48-789E5D58CBC8}" name="Column14394"/>
    <tableColumn id="14428" xr3:uid="{8E3C71DD-15CB-41E3-9F8F-C5BB04953AAB}" name="Column14395"/>
    <tableColumn id="14429" xr3:uid="{6E00FA89-B031-4264-A3C5-2D4E845289E9}" name="Column14396"/>
    <tableColumn id="14430" xr3:uid="{7484D66D-F3F4-4450-9533-2F084AD122ED}" name="Column14397"/>
    <tableColumn id="14431" xr3:uid="{EE2C4E8C-9546-4B36-AFC7-2F2277AB5593}" name="Column14398"/>
    <tableColumn id="14432" xr3:uid="{8BB25A59-3D51-45F2-96B2-FDFF72772052}" name="Column14399"/>
    <tableColumn id="14433" xr3:uid="{0288E684-FF48-4A33-850B-A72B0913D956}" name="Column14400"/>
    <tableColumn id="14434" xr3:uid="{58280E90-C1B8-4F63-B7D6-7C894948BA6A}" name="Column14401"/>
    <tableColumn id="14435" xr3:uid="{D6B9D25E-984E-438A-805E-837BCC12D42E}" name="Column14402"/>
    <tableColumn id="14436" xr3:uid="{E6D0CD84-6174-4D82-98F0-52DB2E728C52}" name="Column14403"/>
    <tableColumn id="14437" xr3:uid="{1007032E-5A35-4164-9D31-02F8587627F1}" name="Column14404"/>
    <tableColumn id="14438" xr3:uid="{CEBA138F-C033-4C7D-9099-2E4069A83F3C}" name="Column14405"/>
    <tableColumn id="14439" xr3:uid="{ADDEE3C6-B5FD-44A5-AB4F-1FC781176278}" name="Column14406"/>
    <tableColumn id="14440" xr3:uid="{16325111-F424-468A-8270-6E87AA172DA8}" name="Column14407"/>
    <tableColumn id="14441" xr3:uid="{5052B182-7184-4DB4-80CE-B46703E162D3}" name="Column14408"/>
    <tableColumn id="14442" xr3:uid="{5D408D2F-B8AF-4D34-9836-5BB57F33AB08}" name="Column14409"/>
    <tableColumn id="14443" xr3:uid="{1F8DEE59-0E8B-4605-B132-D641E2615F6F}" name="Column14410"/>
    <tableColumn id="14444" xr3:uid="{4A089197-061B-40CB-9B73-307ABEDFB109}" name="Column14411"/>
    <tableColumn id="14445" xr3:uid="{FDAAA25E-CE10-4E19-927D-2C567280A928}" name="Column14412"/>
    <tableColumn id="14446" xr3:uid="{6099CDCF-CF83-4101-A079-F11EA7B63D06}" name="Column14413"/>
    <tableColumn id="14447" xr3:uid="{8F35E75B-989B-422B-BEB1-DD0967099137}" name="Column14414"/>
    <tableColumn id="14448" xr3:uid="{58B55DD1-016E-47C7-BB4A-27ABE1338B6E}" name="Column14415"/>
    <tableColumn id="14449" xr3:uid="{95397418-E34C-426C-B57E-C98F4A860543}" name="Column14416"/>
    <tableColumn id="14450" xr3:uid="{1E014CEE-D6E4-452E-A719-ED6FA2954430}" name="Column14417"/>
    <tableColumn id="14451" xr3:uid="{D440277F-B4EE-4ABF-A4D6-C5F18D06F214}" name="Column14418"/>
    <tableColumn id="14452" xr3:uid="{1F6D35D2-D4C5-4B11-9C27-E2BF699CE402}" name="Column14419"/>
    <tableColumn id="14453" xr3:uid="{6123B2E5-9F8E-4DE1-9880-D4534F71BF55}" name="Column14420"/>
    <tableColumn id="14454" xr3:uid="{639E7E24-9C39-421F-BCA5-D5DC491A8A9E}" name="Column14421"/>
    <tableColumn id="14455" xr3:uid="{BA7E3B82-CA45-4BC5-94C7-8F5BC878154A}" name="Column14422"/>
    <tableColumn id="14456" xr3:uid="{382D0B13-6D8D-4BA0-BE9B-32360124982C}" name="Column14423"/>
    <tableColumn id="14457" xr3:uid="{7EBA870C-FB8A-4C25-A1AC-68E9E2A18037}" name="Column14424"/>
    <tableColumn id="14458" xr3:uid="{4C00738A-C47D-4E78-B579-A55883E529B6}" name="Column14425"/>
    <tableColumn id="14459" xr3:uid="{0932A251-8203-4B43-AF03-A873F94073E9}" name="Column14426"/>
    <tableColumn id="14460" xr3:uid="{B52930D4-E646-43C1-B778-C3EB73380E1A}" name="Column14427"/>
    <tableColumn id="14461" xr3:uid="{86B81096-B1FA-4086-8153-EC42B643B0B2}" name="Column14428"/>
    <tableColumn id="14462" xr3:uid="{1E7462E5-195C-4EED-A03F-B819A4F792E9}" name="Column14429"/>
    <tableColumn id="14463" xr3:uid="{39AFCCD2-F77E-4C84-8E01-D4505D186931}" name="Column14430"/>
    <tableColumn id="14464" xr3:uid="{2B98C0A7-741E-4015-97D9-B7524454C1E2}" name="Column14431"/>
    <tableColumn id="14465" xr3:uid="{DE98CE78-1EB1-4E6E-8A23-BD8F05008CBD}" name="Column14432"/>
    <tableColumn id="14466" xr3:uid="{51A53122-9246-48F1-83CD-AFAA15B5686E}" name="Column14433"/>
    <tableColumn id="14467" xr3:uid="{3B11CFE3-4785-45CB-B340-35F7A5F3BAA2}" name="Column14434"/>
    <tableColumn id="14468" xr3:uid="{BF3CEC79-248F-4581-8ABF-5A8BCE1C3C75}" name="Column14435"/>
    <tableColumn id="14469" xr3:uid="{697CC650-29D6-4BD7-810F-7E131AB0AFFF}" name="Column14436"/>
    <tableColumn id="14470" xr3:uid="{69FD1451-0B4E-4466-BE7F-9F6BB96AB4B9}" name="Column14437"/>
    <tableColumn id="14471" xr3:uid="{48F5D384-5AB8-4787-8B38-2855DB756D5B}" name="Column14438"/>
    <tableColumn id="14472" xr3:uid="{F40D0FB5-3ADF-4822-90D2-6F3CFE488916}" name="Column14439"/>
    <tableColumn id="14473" xr3:uid="{DAD94C3B-AAD3-405B-B266-FFD92E9994CC}" name="Column14440"/>
    <tableColumn id="14474" xr3:uid="{0F6356D0-DB42-456A-8686-6CFF09649EEE}" name="Column14441"/>
    <tableColumn id="14475" xr3:uid="{3DD041F0-BCE1-4180-81A6-CECCC4A55E18}" name="Column14442"/>
    <tableColumn id="14476" xr3:uid="{67C37A8C-C042-4147-9C32-973AD72D1767}" name="Column14443"/>
    <tableColumn id="14477" xr3:uid="{F5F9E591-7D79-43EB-B141-4D28B38F0523}" name="Column14444"/>
    <tableColumn id="14478" xr3:uid="{DFC14EE7-6C14-4DB1-8451-1DE5C8307053}" name="Column14445"/>
    <tableColumn id="14479" xr3:uid="{69D432E6-1EEB-4FF4-9B23-4E5281AE59AF}" name="Column14446"/>
    <tableColumn id="14480" xr3:uid="{3B89EADF-6190-4515-9F8E-B551CBA92152}" name="Column14447"/>
    <tableColumn id="14481" xr3:uid="{C474F3A2-6303-421C-812F-8A7305C08B6E}" name="Column14448"/>
    <tableColumn id="14482" xr3:uid="{7BEC5039-BA5C-48ED-B9F4-40956B9876C9}" name="Column14449"/>
    <tableColumn id="14483" xr3:uid="{3ED9DB54-5337-49DB-B909-3BD9683B1F10}" name="Column14450"/>
    <tableColumn id="14484" xr3:uid="{2AC4578D-EE28-47FE-B3BB-A71125473AF4}" name="Column14451"/>
    <tableColumn id="14485" xr3:uid="{4FEA741E-A41C-4FB3-B2B8-DC7ED83FE99B}" name="Column14452"/>
    <tableColumn id="14486" xr3:uid="{26D6E204-6078-47DA-AA5D-929CF61231FF}" name="Column14453"/>
    <tableColumn id="14487" xr3:uid="{EF9CFEBF-943F-47B2-BBC7-7C59638B1183}" name="Column14454"/>
    <tableColumn id="14488" xr3:uid="{45E0E831-BAF4-49C7-8F3B-1063E74A0097}" name="Column14455"/>
    <tableColumn id="14489" xr3:uid="{D1FA8336-EFDA-4FB2-825B-44E3C15F10F6}" name="Column14456"/>
    <tableColumn id="14490" xr3:uid="{B31F5A9F-9481-4451-81C9-C9F26414574B}" name="Column14457"/>
    <tableColumn id="14491" xr3:uid="{7FC2BA59-32B1-42FF-B6A0-FB8591F88BF9}" name="Column14458"/>
    <tableColumn id="14492" xr3:uid="{880FF5ED-2313-46B6-9116-7B70CFA787E8}" name="Column14459"/>
    <tableColumn id="14493" xr3:uid="{2C4BDA0E-BC98-4C8E-9060-7FAE0F26FF56}" name="Column14460"/>
    <tableColumn id="14494" xr3:uid="{D8F73128-0BC7-4265-852B-194558E764C6}" name="Column14461"/>
    <tableColumn id="14495" xr3:uid="{15624213-5E42-4830-B7F3-60FF934D0714}" name="Column14462"/>
    <tableColumn id="14496" xr3:uid="{C20221E8-6111-44B9-8745-973802BE5D09}" name="Column14463"/>
    <tableColumn id="14497" xr3:uid="{37C712CC-F4A5-40D3-A42F-BC62C30A5EA4}" name="Column14464"/>
    <tableColumn id="14498" xr3:uid="{00FC2BCD-A8CD-4E47-9E9D-F1654701F5EF}" name="Column14465"/>
    <tableColumn id="14499" xr3:uid="{70118AFB-81A9-4D40-9708-A291AAE12221}" name="Column14466"/>
    <tableColumn id="14500" xr3:uid="{40AE2275-C4EB-49B7-87E0-B91C149250C6}" name="Column14467"/>
    <tableColumn id="14501" xr3:uid="{BFDAED94-8C6E-40B8-9FAB-097F2B1A0808}" name="Column14468"/>
    <tableColumn id="14502" xr3:uid="{8D726F4B-AA3F-4AC6-934B-D9482616194A}" name="Column14469"/>
    <tableColumn id="14503" xr3:uid="{CFDC5FF5-5454-4C6F-A6B8-223BDF44BAA8}" name="Column14470"/>
    <tableColumn id="14504" xr3:uid="{AEDB7202-5B4A-42B5-9912-9B46F40D4F84}" name="Column14471"/>
    <tableColumn id="14505" xr3:uid="{8BC5E86E-D817-44CB-A9DC-0B07374AA8D5}" name="Column14472"/>
    <tableColumn id="14506" xr3:uid="{5BFAA68B-1FCB-4F07-8B17-C3D8097FB384}" name="Column14473"/>
    <tableColumn id="14507" xr3:uid="{0E1427D2-5830-4DEA-A0B1-579D77DA88FB}" name="Column14474"/>
    <tableColumn id="14508" xr3:uid="{99F03D61-37A6-4E62-AA97-820D3820199F}" name="Column14475"/>
    <tableColumn id="14509" xr3:uid="{B2E7AB3E-BF46-4F4A-B509-2A7FBB4F2CD0}" name="Column14476"/>
    <tableColumn id="14510" xr3:uid="{F688E435-6B54-48A0-A90B-3D10F80B243B}" name="Column14477"/>
    <tableColumn id="14511" xr3:uid="{AC5ABBCD-9487-46D5-94F6-50B28F2FE2C4}" name="Column14478"/>
    <tableColumn id="14512" xr3:uid="{6E904327-748F-493F-B6CB-BA466E002DB9}" name="Column14479"/>
    <tableColumn id="14513" xr3:uid="{891938D3-9A47-4D8C-A068-B21183C53EFE}" name="Column14480"/>
    <tableColumn id="14514" xr3:uid="{79D82167-5C79-4728-8012-77C98BFEE3D4}" name="Column14481"/>
    <tableColumn id="14515" xr3:uid="{A9FC670A-2E57-447D-9E59-5C09B9539F1D}" name="Column14482"/>
    <tableColumn id="14516" xr3:uid="{E7EC2937-2A8D-4173-8070-D719572191C3}" name="Column14483"/>
    <tableColumn id="14517" xr3:uid="{73437786-EDA8-480D-B3C4-CF0D80CCF87F}" name="Column14484"/>
    <tableColumn id="14518" xr3:uid="{EC767CD6-7EDE-437A-AA06-FEFB84BFE1A5}" name="Column14485"/>
    <tableColumn id="14519" xr3:uid="{A8FA4C29-491A-4E48-AEE1-9C06939A0165}" name="Column14486"/>
    <tableColumn id="14520" xr3:uid="{B5A21696-4CA6-40C0-B842-ED889FFC372B}" name="Column14487"/>
    <tableColumn id="14521" xr3:uid="{E86B7073-651D-42D3-9D84-BED494AEB2C7}" name="Column14488"/>
    <tableColumn id="14522" xr3:uid="{B5E14295-F816-4B41-B55C-A5F50980B909}" name="Column14489"/>
    <tableColumn id="14523" xr3:uid="{31AD5891-90DD-43B9-83A1-54965F47CDF3}" name="Column14490"/>
    <tableColumn id="14524" xr3:uid="{2799871C-50EB-4DA6-8E81-1C4B69C00316}" name="Column14491"/>
    <tableColumn id="14525" xr3:uid="{0B9A55C9-B763-4519-83E6-75A7C0077DAD}" name="Column14492"/>
    <tableColumn id="14526" xr3:uid="{3653203D-795B-4379-9846-922E507BF082}" name="Column14493"/>
    <tableColumn id="14527" xr3:uid="{0560CCDF-3CE6-4EDA-B63E-2A84908A1AC3}" name="Column14494"/>
    <tableColumn id="14528" xr3:uid="{7D953552-977A-4B9D-8855-900E581931AC}" name="Column14495"/>
    <tableColumn id="14529" xr3:uid="{27A913F9-8E54-4880-B025-B6122F29AF06}" name="Column14496"/>
    <tableColumn id="14530" xr3:uid="{B0893758-0494-4C32-8C09-9D2169216113}" name="Column14497"/>
    <tableColumn id="14531" xr3:uid="{DD09AB5D-4477-4334-9101-72B0E0A535A0}" name="Column14498"/>
    <tableColumn id="14532" xr3:uid="{35954636-E2C5-4BB7-B979-5FF647A2B2CE}" name="Column14499"/>
    <tableColumn id="14533" xr3:uid="{D6B1253C-F516-49C7-93B4-EC0E403176DC}" name="Column14500"/>
    <tableColumn id="14534" xr3:uid="{FF144B20-14E6-486F-8BCB-D62542C69676}" name="Column14501"/>
    <tableColumn id="14535" xr3:uid="{AB6B338D-8E1A-4C75-B134-208EABC48DC0}" name="Column14502"/>
    <tableColumn id="14536" xr3:uid="{A2072A88-BA8E-4475-A6A9-A830DF9FE234}" name="Column14503"/>
    <tableColumn id="14537" xr3:uid="{E2E4ED1A-1D28-48E3-A15E-9602F80BFC45}" name="Column14504"/>
    <tableColumn id="14538" xr3:uid="{C7A376E7-A448-4185-8F4F-4B70155B049B}" name="Column14505"/>
    <tableColumn id="14539" xr3:uid="{D7D64FC5-2E81-4D50-81A8-9DB5DBB281DB}" name="Column14506"/>
    <tableColumn id="14540" xr3:uid="{A82DFED1-8F14-4C9D-9B98-FEF93425869E}" name="Column14507"/>
    <tableColumn id="14541" xr3:uid="{02670346-28EE-4A70-82D2-5C9ED9080345}" name="Column14508"/>
    <tableColumn id="14542" xr3:uid="{ACD33514-5727-42B4-9A99-F675C3D257D8}" name="Column14509"/>
    <tableColumn id="14543" xr3:uid="{053C644E-C247-4A54-A942-1E450C6E4A31}" name="Column14510"/>
    <tableColumn id="14544" xr3:uid="{3E44FC18-59B0-49A6-B96B-8A4074863829}" name="Column14511"/>
    <tableColumn id="14545" xr3:uid="{04DCA71D-94C5-405C-9FA4-6A3020949DC7}" name="Column14512"/>
    <tableColumn id="14546" xr3:uid="{FE050F7C-2D2D-4F0A-B093-D38B14961E4A}" name="Column14513"/>
    <tableColumn id="14547" xr3:uid="{990DCA30-84C3-4BA6-A21C-FE1DB71F6076}" name="Column14514"/>
    <tableColumn id="14548" xr3:uid="{0AD2F953-E43A-4A9E-984A-D2146C4CFBEB}" name="Column14515"/>
    <tableColumn id="14549" xr3:uid="{E999334D-0A9A-423F-86A3-58BEA1901203}" name="Column14516"/>
    <tableColumn id="14550" xr3:uid="{930D7963-C9F1-47EC-AD79-C088BC4CA1EE}" name="Column14517"/>
    <tableColumn id="14551" xr3:uid="{E4D59792-B4FD-461A-8D26-2BC4C7555E6E}" name="Column14518"/>
    <tableColumn id="14552" xr3:uid="{5B2D0023-4331-46E1-A987-256AD7D7C657}" name="Column14519"/>
    <tableColumn id="14553" xr3:uid="{878E122E-5099-4D88-A6B5-5B845D47AF73}" name="Column14520"/>
    <tableColumn id="14554" xr3:uid="{0862FC01-28FC-4FCE-B046-34B05C4AF789}" name="Column14521"/>
    <tableColumn id="14555" xr3:uid="{C37EF169-6470-49AC-B631-D6195A6A3D53}" name="Column14522"/>
    <tableColumn id="14556" xr3:uid="{F253F5DA-CE30-447A-B047-6FD4423C4FC2}" name="Column14523"/>
    <tableColumn id="14557" xr3:uid="{9F545E2C-DDB4-4C17-A773-E3B28972823B}" name="Column14524"/>
    <tableColumn id="14558" xr3:uid="{A9E8BAAA-689E-4A1C-A879-7D35E24B9A55}" name="Column14525"/>
    <tableColumn id="14559" xr3:uid="{4AFB9A47-B3AE-401B-90A5-42EBC33F3425}" name="Column14526"/>
    <tableColumn id="14560" xr3:uid="{551BE9A2-0FD8-4D3C-8D04-1992F200F033}" name="Column14527"/>
    <tableColumn id="14561" xr3:uid="{F4870385-8C80-4A47-9077-7EE1D87BC08C}" name="Column14528"/>
    <tableColumn id="14562" xr3:uid="{69F08E4E-AC24-489F-96F1-4764487EEBBE}" name="Column14529"/>
    <tableColumn id="14563" xr3:uid="{D33E9269-BA23-4F3F-A1F5-C7D6575BCA78}" name="Column14530"/>
    <tableColumn id="14564" xr3:uid="{682647A7-AAAC-4D16-A409-6E0F4124217F}" name="Column14531"/>
    <tableColumn id="14565" xr3:uid="{81665ED7-7734-4992-8991-C87C8EE93FD7}" name="Column14532"/>
    <tableColumn id="14566" xr3:uid="{39798DD8-8B5C-4E30-820C-2E48168F5EF6}" name="Column14533"/>
    <tableColumn id="14567" xr3:uid="{9AC0DB0C-89A3-4C6E-84CE-7C7BDCCA1DE2}" name="Column14534"/>
    <tableColumn id="14568" xr3:uid="{5B856334-B16F-45D3-AB32-2DADE432CEB0}" name="Column14535"/>
    <tableColumn id="14569" xr3:uid="{D18EDAE1-7EBB-4A99-83D8-093DB0E3398A}" name="Column14536"/>
    <tableColumn id="14570" xr3:uid="{29159614-B373-48AE-9B31-3DD939759AFA}" name="Column14537"/>
    <tableColumn id="14571" xr3:uid="{C41C356C-B8F5-4B45-B9BC-2EF4DF17B978}" name="Column14538"/>
    <tableColumn id="14572" xr3:uid="{D251F2E2-AF6D-4B0E-8976-959FB3B22942}" name="Column14539"/>
    <tableColumn id="14573" xr3:uid="{B8C69A4B-7F02-48E3-B2B3-DE96A28C0931}" name="Column14540"/>
    <tableColumn id="14574" xr3:uid="{4A289765-96EE-4B24-A927-119E58652F19}" name="Column14541"/>
    <tableColumn id="14575" xr3:uid="{5CACFDCA-2CCF-4DD1-B4F7-37E3B8073A98}" name="Column14542"/>
    <tableColumn id="14576" xr3:uid="{2E50EF0D-445F-4877-9A74-B4681DE2A460}" name="Column14543"/>
    <tableColumn id="14577" xr3:uid="{E727A51F-847B-404E-9545-9A82A7DA11A6}" name="Column14544"/>
    <tableColumn id="14578" xr3:uid="{5BD9F0D4-7280-4F6F-9925-5BA438191B06}" name="Column14545"/>
    <tableColumn id="14579" xr3:uid="{A072DE8F-AEF7-446C-82DB-F9A250EF37BF}" name="Column14546"/>
    <tableColumn id="14580" xr3:uid="{9E733AB5-FCD5-4523-BF20-DAD9EBBE0CDA}" name="Column14547"/>
    <tableColumn id="14581" xr3:uid="{9A9F3C55-7C87-40D4-BB07-029A18553727}" name="Column14548"/>
    <tableColumn id="14582" xr3:uid="{2EB881F4-CFFF-46E2-AFDE-9B6B5F93D22C}" name="Column14549"/>
    <tableColumn id="14583" xr3:uid="{7BBDDF3D-D893-4F92-B3B0-F9977F5CAEBC}" name="Column14550"/>
    <tableColumn id="14584" xr3:uid="{838A880B-EDA4-4CE5-BDEF-7CC6DEAB8CAB}" name="Column14551"/>
    <tableColumn id="14585" xr3:uid="{6F45406C-9C2E-4457-B62F-D1272974F6BA}" name="Column14552"/>
    <tableColumn id="14586" xr3:uid="{3A3808B2-9721-4D06-AD7E-D4C6836C17BA}" name="Column14553"/>
    <tableColumn id="14587" xr3:uid="{FC7EBDDA-F693-4789-9869-FDF7EEEDEAF9}" name="Column14554"/>
    <tableColumn id="14588" xr3:uid="{A3DB1EBB-F8BB-41B5-8B8B-9D07A61B30AA}" name="Column14555"/>
    <tableColumn id="14589" xr3:uid="{D09CA60D-BE71-4603-896D-CB99245FAEDA}" name="Column14556"/>
    <tableColumn id="14590" xr3:uid="{C0B74143-D52D-4647-9E26-010514005223}" name="Column14557"/>
    <tableColumn id="14591" xr3:uid="{1AE4047D-A488-40E0-A512-531A02EAA493}" name="Column14558"/>
    <tableColumn id="14592" xr3:uid="{1DBF5A14-D8FB-447F-998B-1304C041AE7F}" name="Column14559"/>
    <tableColumn id="14593" xr3:uid="{E1B5C13E-3D4D-4158-8424-B982B956E145}" name="Column14560"/>
    <tableColumn id="14594" xr3:uid="{6C9D76C4-C698-47A3-952B-02E893CF77A8}" name="Column14561"/>
    <tableColumn id="14595" xr3:uid="{6BFAEEEE-DD76-4E44-BDAE-A48981E6EDB1}" name="Column14562"/>
    <tableColumn id="14596" xr3:uid="{7D2FF32D-1971-4A9A-87E0-D60E34229FD1}" name="Column14563"/>
    <tableColumn id="14597" xr3:uid="{A8BF309C-A3F6-4366-9F09-B27786686983}" name="Column14564"/>
    <tableColumn id="14598" xr3:uid="{E22C2BCB-9B14-45D8-A294-9CDFA5589AA3}" name="Column14565"/>
    <tableColumn id="14599" xr3:uid="{A5BC5038-ED7E-459C-8543-CEEA869E5CFB}" name="Column14566"/>
    <tableColumn id="14600" xr3:uid="{4D580CB2-BA2A-42DA-B3FF-B296AB5425D3}" name="Column14567"/>
    <tableColumn id="14601" xr3:uid="{892DE97D-DCA3-45E5-9F43-BDB86E17D58D}" name="Column14568"/>
    <tableColumn id="14602" xr3:uid="{AA036410-6E4C-47E8-A44A-F265D07FB809}" name="Column14569"/>
    <tableColumn id="14603" xr3:uid="{27F79CCD-FCCB-4297-B830-C680A3FA2CB0}" name="Column14570"/>
    <tableColumn id="14604" xr3:uid="{38395FC4-BD20-45FB-9FF9-B8C4060F03C7}" name="Column14571"/>
    <tableColumn id="14605" xr3:uid="{EDAC9958-68A4-4E11-9442-D15AE1786155}" name="Column14572"/>
    <tableColumn id="14606" xr3:uid="{13515FC8-1EDD-455A-AC1C-11AEB28C23EA}" name="Column14573"/>
    <tableColumn id="14607" xr3:uid="{56D238D3-D005-4842-9E4F-8AFF675822A1}" name="Column14574"/>
    <tableColumn id="14608" xr3:uid="{51F0FF16-7A6F-4716-A920-CF65670A25BE}" name="Column14575"/>
    <tableColumn id="14609" xr3:uid="{E81F8D3A-33D2-4775-A60E-2DD44525642C}" name="Column14576"/>
    <tableColumn id="14610" xr3:uid="{B6D06B49-6CD3-4316-9039-088CE7676F43}" name="Column14577"/>
    <tableColumn id="14611" xr3:uid="{F57AFB13-B98D-4B34-AA49-20CBD7C48EC1}" name="Column14578"/>
    <tableColumn id="14612" xr3:uid="{F424BA15-C43B-4BE6-938F-B0A1741F07AB}" name="Column14579"/>
    <tableColumn id="14613" xr3:uid="{D4943236-2190-4E54-A69D-C651FACB2592}" name="Column14580"/>
    <tableColumn id="14614" xr3:uid="{3E4B0F39-C572-4360-A4AD-96AFF7C0213F}" name="Column14581"/>
    <tableColumn id="14615" xr3:uid="{F24C6BCE-0811-4547-910D-D8613F5C3F55}" name="Column14582"/>
    <tableColumn id="14616" xr3:uid="{69A4C177-80F1-40C1-8BBD-1120D3354D46}" name="Column14583"/>
    <tableColumn id="14617" xr3:uid="{DF85A006-320F-4033-8BA1-9930264AF42F}" name="Column14584"/>
    <tableColumn id="14618" xr3:uid="{4D5145A5-5C19-4335-A528-DB713EC4FB0A}" name="Column14585"/>
    <tableColumn id="14619" xr3:uid="{8F015C2C-B5A3-40DF-9B9A-A3D5C7C102C8}" name="Column14586"/>
    <tableColumn id="14620" xr3:uid="{DC83085C-C1CC-4F39-901C-75000DECE477}" name="Column14587"/>
    <tableColumn id="14621" xr3:uid="{F7A46610-345C-4DFC-BB92-340170DD035D}" name="Column14588"/>
    <tableColumn id="14622" xr3:uid="{9095FD73-168A-4803-920B-B54E572B5E54}" name="Column14589"/>
    <tableColumn id="14623" xr3:uid="{69017848-A4A6-4B9D-8E71-2B06C4E363E2}" name="Column14590"/>
    <tableColumn id="14624" xr3:uid="{C4F94773-310F-43C6-A729-45A1D438B583}" name="Column14591"/>
    <tableColumn id="14625" xr3:uid="{38CDD109-9C96-4AA7-8414-8FF410B5934F}" name="Column14592"/>
    <tableColumn id="14626" xr3:uid="{BBE69837-0850-41F9-B549-0914D2062016}" name="Column14593"/>
    <tableColumn id="14627" xr3:uid="{BF73F02B-BB68-4E91-9EAC-D0E9711CEA08}" name="Column14594"/>
    <tableColumn id="14628" xr3:uid="{1EBE6AA5-54C3-4F6F-859A-206B89B98429}" name="Column14595"/>
    <tableColumn id="14629" xr3:uid="{67826EAE-0B5D-49E9-A982-1B19DACE3026}" name="Column14596"/>
    <tableColumn id="14630" xr3:uid="{E7CF05F5-D5F2-46CF-AACB-AA75972E98DA}" name="Column14597"/>
    <tableColumn id="14631" xr3:uid="{8B57FB50-432D-441B-BE0C-06F231EE9B87}" name="Column14598"/>
    <tableColumn id="14632" xr3:uid="{96E25EC9-532E-4327-AEC9-AED89845458C}" name="Column14599"/>
    <tableColumn id="14633" xr3:uid="{5F71BF77-73B5-4F3A-B0DF-33FB3EDE01CA}" name="Column14600"/>
    <tableColumn id="14634" xr3:uid="{CEB2C9F8-C87C-45D5-A4E1-C664C070B7C1}" name="Column14601"/>
    <tableColumn id="14635" xr3:uid="{B76D64B5-9551-47F4-9BE8-E699D107DBBA}" name="Column14602"/>
    <tableColumn id="14636" xr3:uid="{61857D9F-EBA5-46FB-830A-80520A6F0F6B}" name="Column14603"/>
    <tableColumn id="14637" xr3:uid="{E523548F-9F6F-438E-B7B1-E6A59DAD4F71}" name="Column14604"/>
    <tableColumn id="14638" xr3:uid="{C8B23233-0D86-42F0-ABD1-6C3284461351}" name="Column14605"/>
    <tableColumn id="14639" xr3:uid="{37577D45-C8FF-44F8-89B8-DAFFCE6E0534}" name="Column14606"/>
    <tableColumn id="14640" xr3:uid="{3CBEE4C0-0FC7-442E-9166-75A4C9F6D637}" name="Column14607"/>
    <tableColumn id="14641" xr3:uid="{EB983023-C454-40E8-A378-803FE2F3ACA3}" name="Column14608"/>
    <tableColumn id="14642" xr3:uid="{BB6E45B6-0B3E-4C76-9176-9585C69FBD59}" name="Column14609"/>
    <tableColumn id="14643" xr3:uid="{49E31E7E-BE3E-4404-87DB-4537E1B27859}" name="Column14610"/>
    <tableColumn id="14644" xr3:uid="{4629CC5C-FFEB-45EB-BE65-5157B9F63FA2}" name="Column14611"/>
    <tableColumn id="14645" xr3:uid="{AE3A4A32-BAC5-470B-95B8-4B2BFEFA3F89}" name="Column14612"/>
    <tableColumn id="14646" xr3:uid="{A73F9204-4CDF-4BE3-A759-7CADDEE5F624}" name="Column14613"/>
    <tableColumn id="14647" xr3:uid="{88A6ED08-21C2-4AAF-A9E7-4998259AA79E}" name="Column14614"/>
    <tableColumn id="14648" xr3:uid="{C8495E81-B397-4C6F-9830-932CC2F8E62A}" name="Column14615"/>
    <tableColumn id="14649" xr3:uid="{59636ACF-C89E-42A8-B858-C3DB24655B34}" name="Column14616"/>
    <tableColumn id="14650" xr3:uid="{D427726B-805E-4160-89B8-7D0BB7FAC64D}" name="Column14617"/>
    <tableColumn id="14651" xr3:uid="{BDA642A1-1D6D-4F36-8496-0A4FCBDB86D1}" name="Column14618"/>
    <tableColumn id="14652" xr3:uid="{855CB365-B10E-41DF-B5D5-A05762B4B223}" name="Column14619"/>
    <tableColumn id="14653" xr3:uid="{639BDE4E-594D-4F0B-8B1A-F1DCB4FD5263}" name="Column14620"/>
    <tableColumn id="14654" xr3:uid="{86F9E0D6-14EA-497E-B06B-29F8B4390928}" name="Column14621"/>
    <tableColumn id="14655" xr3:uid="{582860DF-C20A-4FA6-86D1-E6F6DD56E783}" name="Column14622"/>
    <tableColumn id="14656" xr3:uid="{281F15E9-29B9-406D-A9AC-802C5E2BDED0}" name="Column14623"/>
    <tableColumn id="14657" xr3:uid="{26367A6F-411E-4268-BD58-55A24B044D12}" name="Column14624"/>
    <tableColumn id="14658" xr3:uid="{20A76B58-A21D-483F-AF72-3269E04AC6D0}" name="Column14625"/>
    <tableColumn id="14659" xr3:uid="{E87835CF-AA0F-4F02-B1E1-C14C2041B69C}" name="Column14626"/>
    <tableColumn id="14660" xr3:uid="{2F70C929-3D99-4D6D-B396-222CFD21A857}" name="Column14627"/>
    <tableColumn id="14661" xr3:uid="{1A85F04C-FFA9-4768-AA48-6B4F5290383F}" name="Column14628"/>
    <tableColumn id="14662" xr3:uid="{EABF3FA8-647E-47DB-AC26-6D6314CC88F9}" name="Column14629"/>
    <tableColumn id="14663" xr3:uid="{39E58C7F-9006-497F-B28E-7EA8FE25BA1D}" name="Column14630"/>
    <tableColumn id="14664" xr3:uid="{ABCD0FB0-34CC-4503-B8A8-E0572C07AAB2}" name="Column14631"/>
    <tableColumn id="14665" xr3:uid="{9BB860BE-3021-4095-9C5E-F5AC14E5820F}" name="Column14632"/>
    <tableColumn id="14666" xr3:uid="{11B76892-98A7-483A-B131-6738FC59FE7A}" name="Column14633"/>
    <tableColumn id="14667" xr3:uid="{B70265BD-65EE-4878-8B1E-E08C4AAD1E27}" name="Column14634"/>
    <tableColumn id="14668" xr3:uid="{215B76E3-2643-40E1-8724-12CF93504C0B}" name="Column14635"/>
    <tableColumn id="14669" xr3:uid="{2DA69EED-1363-47F1-9D87-20459AF0569E}" name="Column14636"/>
    <tableColumn id="14670" xr3:uid="{F6E33FC8-B2F2-4879-BF72-26E3AF75ED49}" name="Column14637"/>
    <tableColumn id="14671" xr3:uid="{63F4436B-1C9E-45CB-90A3-0A4B09D2BA8F}" name="Column14638"/>
    <tableColumn id="14672" xr3:uid="{1574DC09-E0B2-4C7A-A744-18CE48500FDA}" name="Column14639"/>
    <tableColumn id="14673" xr3:uid="{27628829-FD1A-42F0-9247-D97C56682F74}" name="Column14640"/>
    <tableColumn id="14674" xr3:uid="{7F6A66ED-6B46-41AB-9342-2B584BC6291C}" name="Column14641"/>
    <tableColumn id="14675" xr3:uid="{AE9E2BB5-B054-4BAD-B1AB-02CBDF58E6D6}" name="Column14642"/>
    <tableColumn id="14676" xr3:uid="{A0FB3E92-7467-40C0-AB07-949E6374CB34}" name="Column14643"/>
    <tableColumn id="14677" xr3:uid="{C84C3CF0-B2BE-4C10-AD93-4A87F8ED9252}" name="Column14644"/>
    <tableColumn id="14678" xr3:uid="{9C0B1EDA-3DCE-415F-B00C-081F07C98DED}" name="Column14645"/>
    <tableColumn id="14679" xr3:uid="{4296FCA5-8087-4F4E-B46E-E8F18057EE72}" name="Column14646"/>
    <tableColumn id="14680" xr3:uid="{601B8043-48BE-4FFA-99E8-51BE83E5822A}" name="Column14647"/>
    <tableColumn id="14681" xr3:uid="{3A9F3E52-E37C-4C1B-98AA-B015A2605B1B}" name="Column14648"/>
    <tableColumn id="14682" xr3:uid="{AE7A4B37-6CE1-4C28-90CE-D57CCA454A28}" name="Column14649"/>
    <tableColumn id="14683" xr3:uid="{31681FD1-80EB-4A04-98FE-D06DB5CC5763}" name="Column14650"/>
    <tableColumn id="14684" xr3:uid="{2BF8C700-CF03-4BD2-AAB8-121A233EF173}" name="Column14651"/>
    <tableColumn id="14685" xr3:uid="{AC990FD8-574B-4337-9E54-6C89A4911EF3}" name="Column14652"/>
    <tableColumn id="14686" xr3:uid="{E2356C6D-C29D-4EF9-8B96-B8E8A2D4E6E0}" name="Column14653"/>
    <tableColumn id="14687" xr3:uid="{7FB77845-DED4-4CE6-B8D2-40238B5F6EE3}" name="Column14654"/>
    <tableColumn id="14688" xr3:uid="{0F59D6EA-0E59-4214-9FDF-4FDA7959E7D0}" name="Column14655"/>
    <tableColumn id="14689" xr3:uid="{12204BB7-8766-465A-B461-C9307A8950C3}" name="Column14656"/>
    <tableColumn id="14690" xr3:uid="{912A13C8-7213-420D-9E0E-6DFACA24BDC6}" name="Column14657"/>
    <tableColumn id="14691" xr3:uid="{FFD05C7F-2159-45E5-A603-4DF925BCDB45}" name="Column14658"/>
    <tableColumn id="14692" xr3:uid="{B711C126-CD89-4005-B73E-46C8B1E40E52}" name="Column14659"/>
    <tableColumn id="14693" xr3:uid="{C2EE0998-8094-45B2-ACAF-836BDEB20781}" name="Column14660"/>
    <tableColumn id="14694" xr3:uid="{D6A72458-3133-4C8C-A0B8-07C4A48AC837}" name="Column14661"/>
    <tableColumn id="14695" xr3:uid="{B27F4380-5EF5-43D4-970F-2164CF83C19E}" name="Column14662"/>
    <tableColumn id="14696" xr3:uid="{6E050F4A-F905-4546-BC44-2BFF8F8CD2CE}" name="Column14663"/>
    <tableColumn id="14697" xr3:uid="{60880420-7ADC-440A-A848-26DAFCE9014F}" name="Column14664"/>
    <tableColumn id="14698" xr3:uid="{CE71E674-852D-45BC-BB16-14696953BED8}" name="Column14665"/>
    <tableColumn id="14699" xr3:uid="{8B7AB8B0-1C4E-45CF-913C-4A375BDEDEDC}" name="Column14666"/>
    <tableColumn id="14700" xr3:uid="{CA3FBB25-16C0-4A21-A19B-55236225EC1A}" name="Column14667"/>
    <tableColumn id="14701" xr3:uid="{A8C5E9BA-9354-4688-BDD2-746FF3535A72}" name="Column14668"/>
    <tableColumn id="14702" xr3:uid="{4B191BD2-DA89-47DF-84C0-74A709CF2D52}" name="Column14669"/>
    <tableColumn id="14703" xr3:uid="{9D71AC89-8379-4245-B497-37ABB7035358}" name="Column14670"/>
    <tableColumn id="14704" xr3:uid="{4A8E3C4F-E44C-41D7-877E-76ED4DE904E9}" name="Column14671"/>
    <tableColumn id="14705" xr3:uid="{D0CF8A13-233E-4813-84FF-942E4C1B6F90}" name="Column14672"/>
    <tableColumn id="14706" xr3:uid="{DCADBDB5-F044-4174-9BDA-37FECC70058B}" name="Column14673"/>
    <tableColumn id="14707" xr3:uid="{6C5B781E-A8AD-40C1-988E-67A415E7A4E3}" name="Column14674"/>
    <tableColumn id="14708" xr3:uid="{26D68316-AB68-4009-8898-B15B52CBF1F4}" name="Column14675"/>
    <tableColumn id="14709" xr3:uid="{133E3F26-45AA-4C4B-973E-2A1BE6EA4A77}" name="Column14676"/>
    <tableColumn id="14710" xr3:uid="{A42324B2-269C-496A-B6D9-44217ACCA24B}" name="Column14677"/>
    <tableColumn id="14711" xr3:uid="{4E37CA2A-3819-412B-BB3F-F31AD3B067FD}" name="Column14678"/>
    <tableColumn id="14712" xr3:uid="{86553150-18C7-4E43-8940-0F3DEA13AA3F}" name="Column14679"/>
    <tableColumn id="14713" xr3:uid="{CA5055DB-968A-40C2-96D3-2DC33CD37AC0}" name="Column14680"/>
    <tableColumn id="14714" xr3:uid="{5BFABC6A-790A-49C0-AD44-AD7FA149822D}" name="Column14681"/>
    <tableColumn id="14715" xr3:uid="{51543AC6-37E5-4681-A250-11855B0EC1AE}" name="Column14682"/>
    <tableColumn id="14716" xr3:uid="{13833EB8-8DEF-471E-86B4-E8CCFF668125}" name="Column14683"/>
    <tableColumn id="14717" xr3:uid="{BB2A212A-0A15-4B7C-ADDD-02279F335D2B}" name="Column14684"/>
    <tableColumn id="14718" xr3:uid="{64C3D6A2-E8DD-4510-AF38-9E80E6D92AED}" name="Column14685"/>
    <tableColumn id="14719" xr3:uid="{A6AEF2A2-7381-4415-86E3-06E45177E771}" name="Column14686"/>
    <tableColumn id="14720" xr3:uid="{A1F3B50B-C9E5-46F7-BCFD-F9356BF775E7}" name="Column14687"/>
    <tableColumn id="14721" xr3:uid="{E108A074-EC2B-4E07-8186-122DA1BE35B7}" name="Column14688"/>
    <tableColumn id="14722" xr3:uid="{ACBDDB77-9C30-4CCF-B93C-0FCCF36618CC}" name="Column14689"/>
    <tableColumn id="14723" xr3:uid="{E6696EE9-9753-4C25-BB35-5ECD37F844C7}" name="Column14690"/>
    <tableColumn id="14724" xr3:uid="{0CB8EF05-8382-472D-9A59-46E9CC080A68}" name="Column14691"/>
    <tableColumn id="14725" xr3:uid="{709949DA-2BB7-414E-BDCF-EBEC23672A74}" name="Column14692"/>
    <tableColumn id="14726" xr3:uid="{54DE324F-50AA-4ACB-A268-6168C177F01A}" name="Column14693"/>
    <tableColumn id="14727" xr3:uid="{7891D13B-7114-48F1-80EA-A03CADB5FEAD}" name="Column14694"/>
    <tableColumn id="14728" xr3:uid="{730CA0A3-74FE-42EE-AF81-CDAF9F67D3BF}" name="Column14695"/>
    <tableColumn id="14729" xr3:uid="{FCA824C9-EE80-41ED-9052-A8BC6B982199}" name="Column14696"/>
    <tableColumn id="14730" xr3:uid="{8673D14F-D7C4-465F-A762-F3ABEE6628DD}" name="Column14697"/>
    <tableColumn id="14731" xr3:uid="{54259C7D-6C54-4300-9708-55B98C73D947}" name="Column14698"/>
    <tableColumn id="14732" xr3:uid="{5232070B-C8C4-4334-8739-1C5574DA248C}" name="Column14699"/>
    <tableColumn id="14733" xr3:uid="{B170CE07-EE3A-4244-AF1A-059E1B14F18D}" name="Column14700"/>
    <tableColumn id="14734" xr3:uid="{4C7B6796-FF5E-4047-BDA6-3DB9399F3876}" name="Column14701"/>
    <tableColumn id="14735" xr3:uid="{DD4EF9FD-37CE-40AD-8030-CBAFE22356AA}" name="Column14702"/>
    <tableColumn id="14736" xr3:uid="{2CA25E1E-F382-44E9-B525-231DAFB024C9}" name="Column14703"/>
    <tableColumn id="14737" xr3:uid="{4734F2F5-D3F3-463A-905A-A8F92AF3B1FA}" name="Column14704"/>
    <tableColumn id="14738" xr3:uid="{6DBD4985-F07C-45CC-B5A8-0B640178F417}" name="Column14705"/>
    <tableColumn id="14739" xr3:uid="{D03CC98D-E3BB-4FB7-8C6F-6E3D5EDAFDE5}" name="Column14706"/>
    <tableColumn id="14740" xr3:uid="{B93F7FB9-D976-42C6-AF6B-924F39C7C6DF}" name="Column14707"/>
    <tableColumn id="14741" xr3:uid="{35BD7637-AB47-4DE0-B682-1CCDDCA69696}" name="Column14708"/>
    <tableColumn id="14742" xr3:uid="{C45EC4D5-04EC-40E3-9C78-7D0220181E23}" name="Column14709"/>
    <tableColumn id="14743" xr3:uid="{D6ED5CB4-31B4-4D32-BA29-9CC0745FEEA6}" name="Column14710"/>
    <tableColumn id="14744" xr3:uid="{EAF3884E-2526-4927-A287-DECF7363D128}" name="Column14711"/>
    <tableColumn id="14745" xr3:uid="{03777364-FF8E-417B-A893-72F04B07C7F6}" name="Column14712"/>
    <tableColumn id="14746" xr3:uid="{F9D8BCD3-DFA0-4E9F-8B54-B26508188E1E}" name="Column14713"/>
    <tableColumn id="14747" xr3:uid="{85469003-D5DC-4112-8105-C44C9C948296}" name="Column14714"/>
    <tableColumn id="14748" xr3:uid="{75890A71-BCA0-4397-9EBB-632B0ACE360F}" name="Column14715"/>
    <tableColumn id="14749" xr3:uid="{321E8EA5-CCBF-47E3-8596-6AAC3B630FEE}" name="Column14716"/>
    <tableColumn id="14750" xr3:uid="{09559D00-6B7B-4E59-8580-0CBAECB68D90}" name="Column14717"/>
    <tableColumn id="14751" xr3:uid="{64A973A2-3A56-4EBC-8FED-97E5ED8BFC6E}" name="Column14718"/>
    <tableColumn id="14752" xr3:uid="{5BFA19C0-BFC9-4DA2-97A5-3D14F38B178C}" name="Column14719"/>
    <tableColumn id="14753" xr3:uid="{FB24BE16-8DB7-43B1-BC7A-FCC75A8CC2F7}" name="Column14720"/>
    <tableColumn id="14754" xr3:uid="{79B4C6BC-2302-480A-BE8E-DA724510E129}" name="Column14721"/>
    <tableColumn id="14755" xr3:uid="{A2EEA66A-ACBE-45BE-AB4D-774B2A2D5A03}" name="Column14722"/>
    <tableColumn id="14756" xr3:uid="{9AA2A71A-E4CD-4570-B18F-02C45D53B5B6}" name="Column14723"/>
    <tableColumn id="14757" xr3:uid="{6E90E74C-3525-4318-A0A9-6A40723B4924}" name="Column14724"/>
    <tableColumn id="14758" xr3:uid="{9D326C68-0615-4324-B452-A4AA5A4AFD53}" name="Column14725"/>
    <tableColumn id="14759" xr3:uid="{07F60007-CC35-4DDD-86D2-89BE2DF02221}" name="Column14726"/>
    <tableColumn id="14760" xr3:uid="{EA259E5C-1EC5-4674-8A52-87FAFB6838DD}" name="Column14727"/>
    <tableColumn id="14761" xr3:uid="{2DAA66BC-41BE-40A5-BFAB-5E0BB6015015}" name="Column14728"/>
    <tableColumn id="14762" xr3:uid="{E695629C-6555-43D1-A12B-590777A8B122}" name="Column14729"/>
    <tableColumn id="14763" xr3:uid="{35FD0427-CAF0-464E-8E04-9D93BFAE45C9}" name="Column14730"/>
    <tableColumn id="14764" xr3:uid="{BCD38FF7-2E42-4035-B999-C8F1124A2D61}" name="Column14731"/>
    <tableColumn id="14765" xr3:uid="{CBC8FFA6-3D40-4BA3-A905-2A5867929AF5}" name="Column14732"/>
    <tableColumn id="14766" xr3:uid="{1634F4FC-2FE8-412B-B233-9871F54A356B}" name="Column14733"/>
    <tableColumn id="14767" xr3:uid="{A8324795-F275-4FFA-9F30-9369098838DA}" name="Column14734"/>
    <tableColumn id="14768" xr3:uid="{8B48CE18-23A8-4B35-AC6C-7ACD5D216462}" name="Column14735"/>
    <tableColumn id="14769" xr3:uid="{8BA95A13-0CBC-4A64-8FD5-6B42FEA46633}" name="Column14736"/>
    <tableColumn id="14770" xr3:uid="{EFBE67D5-C39B-4938-9F8E-57FFFE164B14}" name="Column14737"/>
    <tableColumn id="14771" xr3:uid="{78C0725A-5EF1-487B-A1BB-97C2C6BE6B91}" name="Column14738"/>
    <tableColumn id="14772" xr3:uid="{2E7A20A5-4902-4C22-8867-3291E8CC1FB9}" name="Column14739"/>
    <tableColumn id="14773" xr3:uid="{586B455E-4A82-4D64-B5C2-DD36407A4823}" name="Column14740"/>
    <tableColumn id="14774" xr3:uid="{0F40C0CE-A067-4BA5-8E31-D5697A04EE4A}" name="Column14741"/>
    <tableColumn id="14775" xr3:uid="{42E857BE-A166-46EB-B26F-ADC340D784C8}" name="Column14742"/>
    <tableColumn id="14776" xr3:uid="{607184F1-40A7-4E2E-ADBD-25882EF667F2}" name="Column14743"/>
    <tableColumn id="14777" xr3:uid="{B5AA50B2-11AE-4884-9FE7-FCC8F0E468BD}" name="Column14744"/>
    <tableColumn id="14778" xr3:uid="{3BB743F6-7D3A-4A34-B7F8-8A2319113941}" name="Column14745"/>
    <tableColumn id="14779" xr3:uid="{20FEC7CF-6170-4A5F-987A-9D76B4514E6B}" name="Column14746"/>
    <tableColumn id="14780" xr3:uid="{24FC39EC-B06C-4E75-8B26-3CBE870F7BC0}" name="Column14747"/>
    <tableColumn id="14781" xr3:uid="{09FB9D19-B6D8-4AFA-8B34-661955FF13E8}" name="Column14748"/>
    <tableColumn id="14782" xr3:uid="{5C51A808-FFB4-4800-BCA3-621EE2914C20}" name="Column14749"/>
    <tableColumn id="14783" xr3:uid="{69584045-D0A3-46FD-8FE1-7664677B6C90}" name="Column14750"/>
    <tableColumn id="14784" xr3:uid="{4091F923-6F2C-4128-96D1-04843FF6CA06}" name="Column14751"/>
    <tableColumn id="14785" xr3:uid="{AD4BEB53-858B-48B5-9A49-843508C6F1F0}" name="Column14752"/>
    <tableColumn id="14786" xr3:uid="{CACDDF14-DF67-4743-BE55-7E42958E0066}" name="Column14753"/>
    <tableColumn id="14787" xr3:uid="{372D6BB2-B9C0-4E28-B338-4E4668AA1B2E}" name="Column14754"/>
    <tableColumn id="14788" xr3:uid="{83EB9896-F034-4256-A6D4-F3D08B06330A}" name="Column14755"/>
    <tableColumn id="14789" xr3:uid="{90D7BAEE-760F-4785-A6B5-FB2DD41DA941}" name="Column14756"/>
    <tableColumn id="14790" xr3:uid="{6BE19C20-7055-433F-BB6F-FBF9E83D4456}" name="Column14757"/>
    <tableColumn id="14791" xr3:uid="{26955C96-B12E-4783-856F-D090B249D0C5}" name="Column14758"/>
    <tableColumn id="14792" xr3:uid="{39E9F973-4C86-4122-89EC-803747573661}" name="Column14759"/>
    <tableColumn id="14793" xr3:uid="{D1B94291-29E5-45E9-82FA-C3E5D7429B4E}" name="Column14760"/>
    <tableColumn id="14794" xr3:uid="{54CB7628-C8E5-4A92-9822-E9031873BC6C}" name="Column14761"/>
    <tableColumn id="14795" xr3:uid="{5731607D-76AE-4E72-BFF7-F854931B4963}" name="Column14762"/>
    <tableColumn id="14796" xr3:uid="{D5554E29-9E46-43BB-A746-4FD0827D5224}" name="Column14763"/>
    <tableColumn id="14797" xr3:uid="{39845F00-86E3-4A70-83D0-39A7B32CFF5E}" name="Column14764"/>
    <tableColumn id="14798" xr3:uid="{1B284C85-98B0-4CF5-870B-ABD5C15A70D3}" name="Column14765"/>
    <tableColumn id="14799" xr3:uid="{CAE2A5F4-E511-4ECD-A42C-A33418B575F9}" name="Column14766"/>
    <tableColumn id="14800" xr3:uid="{C599432B-020A-409B-882E-42ABB171C9BB}" name="Column14767"/>
    <tableColumn id="14801" xr3:uid="{CE6A5299-BFA3-4A79-9CD7-5D42D56A0ECD}" name="Column14768"/>
    <tableColumn id="14802" xr3:uid="{26F67789-14FD-46B8-A94D-7C096451645E}" name="Column14769"/>
    <tableColumn id="14803" xr3:uid="{A8CE3EC0-08B5-48E5-BC9F-7F2A0A11BB63}" name="Column14770"/>
    <tableColumn id="14804" xr3:uid="{BB8431F6-309D-4B55-BE06-8F7053AB1CAC}" name="Column14771"/>
    <tableColumn id="14805" xr3:uid="{7DA924ED-3106-4A43-8EAD-C60D600C69D1}" name="Column14772"/>
    <tableColumn id="14806" xr3:uid="{2C6C7A22-BABD-4013-9DCF-CC03EC5F97EE}" name="Column14773"/>
    <tableColumn id="14807" xr3:uid="{FC30F929-4574-4147-97FA-DB3A461839C6}" name="Column14774"/>
    <tableColumn id="14808" xr3:uid="{66C42631-5B70-477B-AC68-2CB279BF2807}" name="Column14775"/>
    <tableColumn id="14809" xr3:uid="{A768D600-ED64-4273-AAC7-289339E474AB}" name="Column14776"/>
    <tableColumn id="14810" xr3:uid="{8C280111-6778-4F4A-8685-A3B2B7741FDA}" name="Column14777"/>
    <tableColumn id="14811" xr3:uid="{F743DD86-B514-4BF8-96FD-0FAA912F264F}" name="Column14778"/>
    <tableColumn id="14812" xr3:uid="{E87A244B-D304-4177-AF98-B1BD632F6A78}" name="Column14779"/>
    <tableColumn id="14813" xr3:uid="{D1497285-9F3F-4600-8ACD-522790433679}" name="Column14780"/>
    <tableColumn id="14814" xr3:uid="{F5C80FD6-654E-45EF-854D-5FBE9DFE0CB2}" name="Column14781"/>
    <tableColumn id="14815" xr3:uid="{74592737-14B8-4066-A673-567F2E0311A9}" name="Column14782"/>
    <tableColumn id="14816" xr3:uid="{70317A04-1683-48B1-9495-147A90F1CDDF}" name="Column14783"/>
    <tableColumn id="14817" xr3:uid="{CA8A8935-B571-4D3D-9925-2A530DD78775}" name="Column14784"/>
    <tableColumn id="14818" xr3:uid="{FE84CC4B-EA92-4732-B97A-22E957BE45A1}" name="Column14785"/>
    <tableColumn id="14819" xr3:uid="{028FF670-23CF-4086-AFB0-970AF3B1CDBE}" name="Column14786"/>
    <tableColumn id="14820" xr3:uid="{05CE4AE8-55D2-4FE9-9FB6-69763EFE1389}" name="Column14787"/>
    <tableColumn id="14821" xr3:uid="{4E83EB73-E5C3-45A2-A50A-A49217CAB8C5}" name="Column14788"/>
    <tableColumn id="14822" xr3:uid="{B61E3913-F834-4278-B7F4-CD5AF51924D9}" name="Column14789"/>
    <tableColumn id="14823" xr3:uid="{2B447437-07E2-4A09-98F0-DBA69D58F85E}" name="Column14790"/>
    <tableColumn id="14824" xr3:uid="{DD6F978F-0C9F-494F-8844-FD9A7FF786AA}" name="Column14791"/>
    <tableColumn id="14825" xr3:uid="{052F27BD-5055-4C44-9E44-847375FEE99C}" name="Column14792"/>
    <tableColumn id="14826" xr3:uid="{45A78AAC-0DEC-401B-9201-DEE17FAA53A1}" name="Column14793"/>
    <tableColumn id="14827" xr3:uid="{B25DE445-51CE-4521-80D4-9FB0052C3ED1}" name="Column14794"/>
    <tableColumn id="14828" xr3:uid="{56E1A931-7685-47E2-8D93-2A2840EFC467}" name="Column14795"/>
    <tableColumn id="14829" xr3:uid="{7DAC9827-DD91-477F-B712-A4A30B87D626}" name="Column14796"/>
    <tableColumn id="14830" xr3:uid="{B5F91659-01E0-4EDC-A43D-3712E6F31B1A}" name="Column14797"/>
    <tableColumn id="14831" xr3:uid="{B9389939-78E0-4B70-BEB2-7B4EE6C6C29F}" name="Column14798"/>
    <tableColumn id="14832" xr3:uid="{08F06AB2-0172-41C1-A972-2C4ADA0C6E13}" name="Column14799"/>
    <tableColumn id="14833" xr3:uid="{F60C64C8-F563-43DB-8E05-5F71D800B914}" name="Column14800"/>
    <tableColumn id="14834" xr3:uid="{36D8A0DD-2392-4781-8075-D808D7110C44}" name="Column14801"/>
    <tableColumn id="14835" xr3:uid="{A4B1DB3C-1005-4879-9BA6-BA52BA2D9DBB}" name="Column14802"/>
    <tableColumn id="14836" xr3:uid="{F5E43FE5-D46E-4B79-BDF1-017A00D308CD}" name="Column14803"/>
    <tableColumn id="14837" xr3:uid="{7C502384-22F6-4146-A281-EDFF6B4E3078}" name="Column14804"/>
    <tableColumn id="14838" xr3:uid="{A3A69435-D304-448D-AC21-16A2C6A363AE}" name="Column14805"/>
    <tableColumn id="14839" xr3:uid="{F3E5DA54-B896-4995-8C33-8E7CBEAE636B}" name="Column14806"/>
    <tableColumn id="14840" xr3:uid="{B9434A83-02E2-4B02-AFD3-E38E72B35A15}" name="Column14807"/>
    <tableColumn id="14841" xr3:uid="{87FC73F8-ACA4-4A56-87F6-BB5D56215D06}" name="Column14808"/>
    <tableColumn id="14842" xr3:uid="{B27B9C9D-580E-4942-8A70-5531A3AC63AE}" name="Column14809"/>
    <tableColumn id="14843" xr3:uid="{EDFDB0B6-CA06-4B1A-A9E9-9A076674032A}" name="Column14810"/>
    <tableColumn id="14844" xr3:uid="{AD282D73-B704-482A-8B93-B55CEF5E9D24}" name="Column14811"/>
    <tableColumn id="14845" xr3:uid="{23957A16-A473-4680-BDC9-F960B12F05F9}" name="Column14812"/>
    <tableColumn id="14846" xr3:uid="{E3002FAE-457C-4D6D-9927-F13139CDF5E9}" name="Column14813"/>
    <tableColumn id="14847" xr3:uid="{A124CA3A-AE67-4E62-9AD6-1E9EEE3BE762}" name="Column14814"/>
    <tableColumn id="14848" xr3:uid="{A0E83A24-847F-4BAF-B5D6-9F48CBA2F3E1}" name="Column14815"/>
    <tableColumn id="14849" xr3:uid="{B66C255D-8670-41DC-8A25-2408FB510B95}" name="Column14816"/>
    <tableColumn id="14850" xr3:uid="{7092AAD7-0133-4FC1-995F-12A3358899CC}" name="Column14817"/>
    <tableColumn id="14851" xr3:uid="{04C828A1-BDDC-4725-8E3C-0715D1CC7214}" name="Column14818"/>
    <tableColumn id="14852" xr3:uid="{FE0583ED-3279-41D4-8684-30FECDE7BF9B}" name="Column14819"/>
    <tableColumn id="14853" xr3:uid="{431C6A9C-2048-4966-A61C-D33D1C65021A}" name="Column14820"/>
    <tableColumn id="14854" xr3:uid="{EA319F51-B803-4DF6-B4F1-0AA084AF3440}" name="Column14821"/>
    <tableColumn id="14855" xr3:uid="{741235BF-1815-4CAA-89EF-2C2D633C6D07}" name="Column14822"/>
    <tableColumn id="14856" xr3:uid="{E5678E21-863D-4C4A-8D27-0C56B4D1D4CF}" name="Column14823"/>
    <tableColumn id="14857" xr3:uid="{BD1D2842-26C7-41B1-A448-E1A4966D4AF7}" name="Column14824"/>
    <tableColumn id="14858" xr3:uid="{447E9F7A-EA32-4B10-A280-8F201617B93F}" name="Column14825"/>
    <tableColumn id="14859" xr3:uid="{920EB33F-1B3C-4E7D-A755-D72C13B453EF}" name="Column14826"/>
    <tableColumn id="14860" xr3:uid="{CABE4FE7-4421-4EFF-8D00-BB019906D306}" name="Column14827"/>
    <tableColumn id="14861" xr3:uid="{15AC7E78-3056-4589-A458-E64EA2B9F5DC}" name="Column14828"/>
    <tableColumn id="14862" xr3:uid="{C6D15061-702D-4ED9-ACF3-DE37FD9F2CC8}" name="Column14829"/>
    <tableColumn id="14863" xr3:uid="{2266AE92-C10E-41BA-B999-468D61CAB8A6}" name="Column14830"/>
    <tableColumn id="14864" xr3:uid="{23E55760-FDA6-4FBC-9F91-C9218BF7DCF6}" name="Column14831"/>
    <tableColumn id="14865" xr3:uid="{F54E469F-9974-4950-BDD7-C043E6BA46D5}" name="Column14832"/>
    <tableColumn id="14866" xr3:uid="{44E8162B-140D-44F4-97FD-0E1288D95733}" name="Column14833"/>
    <tableColumn id="14867" xr3:uid="{0F53563A-736B-4E7E-9017-599C3220A272}" name="Column14834"/>
    <tableColumn id="14868" xr3:uid="{04DE5132-DA16-49F2-8E75-0981ACAAF9EB}" name="Column14835"/>
    <tableColumn id="14869" xr3:uid="{B34425F7-D493-4760-B92F-083C0E46E4DF}" name="Column14836"/>
    <tableColumn id="14870" xr3:uid="{EDA081C6-9C69-4D9B-97A0-D86BD39BC9A3}" name="Column14837"/>
    <tableColumn id="14871" xr3:uid="{C67A4FC8-77E4-42AB-9249-128418ACFB5E}" name="Column14838"/>
    <tableColumn id="14872" xr3:uid="{37BF130A-E227-442E-AF97-9095801A8235}" name="Column14839"/>
    <tableColumn id="14873" xr3:uid="{C0BF3944-74B5-40D5-837C-392B3F43F4FB}" name="Column14840"/>
    <tableColumn id="14874" xr3:uid="{5A82D633-2103-445A-BA4B-269A817C719E}" name="Column14841"/>
    <tableColumn id="14875" xr3:uid="{879678C4-C49C-4F83-B290-D5ABD7E31C5B}" name="Column14842"/>
    <tableColumn id="14876" xr3:uid="{9BF86284-4958-4761-92A6-88B47A1DFE9F}" name="Column14843"/>
    <tableColumn id="14877" xr3:uid="{FBD6D402-29BD-4BF5-82B0-FF77C14111FA}" name="Column14844"/>
    <tableColumn id="14878" xr3:uid="{8E504955-6B3E-44A5-90A7-CFEA2B2091CF}" name="Column14845"/>
    <tableColumn id="14879" xr3:uid="{3704B923-CCFD-4F6D-979B-C0C5519B393E}" name="Column14846"/>
    <tableColumn id="14880" xr3:uid="{8855A7A3-0676-4527-AA5D-2BD72E03A83D}" name="Column14847"/>
    <tableColumn id="14881" xr3:uid="{315564C7-B11F-443A-B836-1C4761823EE5}" name="Column14848"/>
    <tableColumn id="14882" xr3:uid="{8345E493-F939-414F-92BC-856F6CFD41C2}" name="Column14849"/>
    <tableColumn id="14883" xr3:uid="{60EE3027-6FC0-47BE-BD66-17A557423EB9}" name="Column14850"/>
    <tableColumn id="14884" xr3:uid="{72B84957-816E-45F5-8309-C1DCB54CA95E}" name="Column14851"/>
    <tableColumn id="14885" xr3:uid="{C13D6624-7185-4079-8502-78424F08C4C3}" name="Column14852"/>
    <tableColumn id="14886" xr3:uid="{1203F4D2-E2F2-4C02-8F31-6AE8D402CE9B}" name="Column14853"/>
    <tableColumn id="14887" xr3:uid="{4E4D0414-03CD-4FF9-A930-1F72AEF5B90E}" name="Column14854"/>
    <tableColumn id="14888" xr3:uid="{3AB20A84-0B1A-4937-A0EC-E3099D5DF43A}" name="Column14855"/>
    <tableColumn id="14889" xr3:uid="{EC0FFFE9-5F53-44EE-8BCE-C3E7A2576A9C}" name="Column14856"/>
    <tableColumn id="14890" xr3:uid="{860747F6-5275-47F5-A286-61BEF36430A6}" name="Column14857"/>
    <tableColumn id="14891" xr3:uid="{598F2993-0E06-4ED5-8BF5-B0149DBD71B8}" name="Column14858"/>
    <tableColumn id="14892" xr3:uid="{AC80555E-BEF5-4531-9D78-45863E3B3A7D}" name="Column14859"/>
    <tableColumn id="14893" xr3:uid="{47FC220E-0984-486F-B214-55ECFB0D36F0}" name="Column14860"/>
    <tableColumn id="14894" xr3:uid="{1812DBD7-4A92-4B6B-A340-423ED034D6D7}" name="Column14861"/>
    <tableColumn id="14895" xr3:uid="{FABA0611-2826-47B5-8686-5086EA7277BE}" name="Column14862"/>
    <tableColumn id="14896" xr3:uid="{088C0CB8-7B7E-431C-A42C-BF553F308560}" name="Column14863"/>
    <tableColumn id="14897" xr3:uid="{C7F26005-9C5F-4500-8F82-6EE6847CEFAF}" name="Column14864"/>
    <tableColumn id="14898" xr3:uid="{FC0DB29C-6CA7-42D1-AF25-5549EBC2D32C}" name="Column14865"/>
    <tableColumn id="14899" xr3:uid="{DB496A53-C1CE-46BC-9B1B-3797455F658D}" name="Column14866"/>
    <tableColumn id="14900" xr3:uid="{E8A946A4-A51C-451C-A600-CB0165C43A22}" name="Column14867"/>
    <tableColumn id="14901" xr3:uid="{B462C3EB-7059-48EB-A32E-7C55F6A45FAC}" name="Column14868"/>
    <tableColumn id="14902" xr3:uid="{4B044E41-1BC8-4AFC-8DA5-CF6474EAE50E}" name="Column14869"/>
    <tableColumn id="14903" xr3:uid="{A33B5650-FDF9-4A22-9D03-0232E5D1C0ED}" name="Column14870"/>
    <tableColumn id="14904" xr3:uid="{542326A3-D321-46B5-A43A-65D0DA3B8B28}" name="Column14871"/>
    <tableColumn id="14905" xr3:uid="{3415EE67-4BF8-442A-9253-3950FC958F77}" name="Column14872"/>
    <tableColumn id="14906" xr3:uid="{E7574BA3-071E-4CD8-AC0B-5520AA45D3FA}" name="Column14873"/>
    <tableColumn id="14907" xr3:uid="{CE0041DD-F2B9-433C-AD55-1DC40418B34B}" name="Column14874"/>
    <tableColumn id="14908" xr3:uid="{55469844-963C-4248-ACAE-844AD8AF0BB9}" name="Column14875"/>
    <tableColumn id="14909" xr3:uid="{22D699BF-733C-4930-953C-45FE20D4B969}" name="Column14876"/>
    <tableColumn id="14910" xr3:uid="{2375D51E-1BB8-479B-9A97-91CBCA5BB98A}" name="Column14877"/>
    <tableColumn id="14911" xr3:uid="{E576EDCC-EDD8-4F52-8B04-31B8568BB3B9}" name="Column14878"/>
    <tableColumn id="14912" xr3:uid="{0BAD9A64-8621-43E0-B42C-A7FFB1663511}" name="Column14879"/>
    <tableColumn id="14913" xr3:uid="{1EF522C6-5DCD-49D0-A6A6-96BFE89A2009}" name="Column14880"/>
    <tableColumn id="14914" xr3:uid="{AA5FFC82-0F40-42CC-8625-F3F81D2684B5}" name="Column14881"/>
    <tableColumn id="14915" xr3:uid="{39D68C65-48ED-4613-B063-10BD20CF1F9E}" name="Column14882"/>
    <tableColumn id="14916" xr3:uid="{4DF797B6-A415-4723-90FE-47285150509F}" name="Column14883"/>
    <tableColumn id="14917" xr3:uid="{733B8CD2-EAAC-4607-9486-50798751E2BD}" name="Column14884"/>
    <tableColumn id="14918" xr3:uid="{DFF31DA0-2DA5-4478-8D35-35EEED07E2B0}" name="Column14885"/>
    <tableColumn id="14919" xr3:uid="{CFB558C9-DEE3-47A5-9DE8-0A7AE8B21C18}" name="Column14886"/>
    <tableColumn id="14920" xr3:uid="{8236E729-0C78-484D-986D-009F2A218254}" name="Column14887"/>
    <tableColumn id="14921" xr3:uid="{39F641ED-0FB0-4CAF-A3B0-216BAEC8915F}" name="Column14888"/>
    <tableColumn id="14922" xr3:uid="{E8067EC1-6AF7-4775-925C-E6667D119920}" name="Column14889"/>
    <tableColumn id="14923" xr3:uid="{B450583D-E606-4E9B-9B4E-DB64F3DA8EBF}" name="Column14890"/>
    <tableColumn id="14924" xr3:uid="{A5F519B9-109C-4606-84EE-687E29D1644D}" name="Column14891"/>
    <tableColumn id="14925" xr3:uid="{DB07A3D3-0DBA-4C7A-8A24-A6E89529B730}" name="Column14892"/>
    <tableColumn id="14926" xr3:uid="{66BD3ACC-7F2D-4A79-862E-2C4510A38CDE}" name="Column14893"/>
    <tableColumn id="14927" xr3:uid="{48CE1D65-7F45-4323-8C12-3BFC00595B5B}" name="Column14894"/>
    <tableColumn id="14928" xr3:uid="{64DB4E4C-A7F1-48CA-95B0-59B7EFF673A4}" name="Column14895"/>
    <tableColumn id="14929" xr3:uid="{48EFE3E0-098C-4AC9-B487-0349B854058F}" name="Column14896"/>
    <tableColumn id="14930" xr3:uid="{FF1BDE12-20AB-435D-9576-8A827CF4885E}" name="Column14897"/>
    <tableColumn id="14931" xr3:uid="{AB211133-0C0D-43E3-AEFE-D1962BF93151}" name="Column14898"/>
    <tableColumn id="14932" xr3:uid="{2701E93C-AD50-401B-AFA7-CFB885D17A6E}" name="Column14899"/>
    <tableColumn id="14933" xr3:uid="{CE74ED27-19F5-41FE-9AA0-A9B4AFBCE162}" name="Column14900"/>
    <tableColumn id="14934" xr3:uid="{AF939DDB-38FF-4000-B8EF-67F87FE1ED7E}" name="Column14901"/>
    <tableColumn id="14935" xr3:uid="{E9AA22D6-BA44-41EF-8E2B-E1C2F9BD67EA}" name="Column14902"/>
    <tableColumn id="14936" xr3:uid="{D4D801F5-3EA6-4AE9-A63F-E0FB10F14D43}" name="Column14903"/>
    <tableColumn id="14937" xr3:uid="{9E187896-BBBB-49A9-B6C1-715E2ECBBF8B}" name="Column14904"/>
    <tableColumn id="14938" xr3:uid="{C9752D0D-AABA-42C0-A8DB-EA95BC15D6A2}" name="Column14905"/>
    <tableColumn id="14939" xr3:uid="{93A87664-D370-48FC-B0DE-5EAC59D27DF9}" name="Column14906"/>
    <tableColumn id="14940" xr3:uid="{53DF7E3E-B5E5-4093-8CCE-986A04D8E5BE}" name="Column14907"/>
    <tableColumn id="14941" xr3:uid="{C6F4EE51-1049-40B4-A807-77D14FE0B082}" name="Column14908"/>
    <tableColumn id="14942" xr3:uid="{CB4DF1BA-507E-4D28-8682-D12E6DEE74A8}" name="Column14909"/>
    <tableColumn id="14943" xr3:uid="{AE3A35E1-0B7E-42D8-8A27-009672C18C99}" name="Column14910"/>
    <tableColumn id="14944" xr3:uid="{E7196E1F-02DD-4BAF-A7A9-7CFB1389F9C4}" name="Column14911"/>
    <tableColumn id="14945" xr3:uid="{21C3ED48-B28E-4A88-ABA9-15769DDEE109}" name="Column14912"/>
    <tableColumn id="14946" xr3:uid="{2DBFB511-0186-45E1-BD86-B38CC54C2A10}" name="Column14913"/>
    <tableColumn id="14947" xr3:uid="{D7DC6769-67E8-4FD8-B8F8-38C07EE147E8}" name="Column14914"/>
    <tableColumn id="14948" xr3:uid="{7B1576BB-F62E-4A2D-AEB4-B66D1BF9BD8C}" name="Column14915"/>
    <tableColumn id="14949" xr3:uid="{462934D4-61FA-4C8A-A620-8048E6B0963C}" name="Column14916"/>
    <tableColumn id="14950" xr3:uid="{2B97F90F-BACC-4F1A-87D1-C574B9FE37B2}" name="Column14917"/>
    <tableColumn id="14951" xr3:uid="{B53BE60C-7F08-43E5-A091-046DDEC791F1}" name="Column14918"/>
    <tableColumn id="14952" xr3:uid="{F787B890-46B8-4702-92AF-C752C9391B66}" name="Column14919"/>
    <tableColumn id="14953" xr3:uid="{8088AE31-7B5C-48B4-8645-B338F7ED27C2}" name="Column14920"/>
    <tableColumn id="14954" xr3:uid="{B7CAED62-D419-424E-8E9A-B5C9E08059E3}" name="Column14921"/>
    <tableColumn id="14955" xr3:uid="{242F26D8-BEB4-4183-92E3-F7C9763298C5}" name="Column14922"/>
    <tableColumn id="14956" xr3:uid="{6A9C22E7-66EA-48CE-A2C7-DE5494F1A2A0}" name="Column14923"/>
    <tableColumn id="14957" xr3:uid="{BC319593-12FE-450D-A719-9CCC623A99B3}" name="Column14924"/>
    <tableColumn id="14958" xr3:uid="{96BA7EA9-1E23-404D-91CA-C5CAF92CBDC4}" name="Column14925"/>
    <tableColumn id="14959" xr3:uid="{72E7EAF9-2303-4A9F-B95F-F3939E44080E}" name="Column14926"/>
    <tableColumn id="14960" xr3:uid="{3D460815-FDD8-4C58-BF3E-2E3B112C42FC}" name="Column14927"/>
    <tableColumn id="14961" xr3:uid="{57B6F7D6-98F5-4DD8-8403-3EE675F5748C}" name="Column14928"/>
    <tableColumn id="14962" xr3:uid="{9DCCC1E8-F58E-4E9C-B995-171B3FC2C27E}" name="Column14929"/>
    <tableColumn id="14963" xr3:uid="{6F197E4C-8282-4D95-A831-B501D7105996}" name="Column14930"/>
    <tableColumn id="14964" xr3:uid="{3C8E1515-2366-4E30-A776-24152F4081D5}" name="Column14931"/>
    <tableColumn id="14965" xr3:uid="{823FD77F-F00B-4E69-A9EA-2AFA43E792C8}" name="Column14932"/>
    <tableColumn id="14966" xr3:uid="{7D2FF6CA-40DA-462F-8276-A3D9629144D1}" name="Column14933"/>
    <tableColumn id="14967" xr3:uid="{26D85EAC-69D8-4BE2-B2A8-85358CD5AC41}" name="Column14934"/>
    <tableColumn id="14968" xr3:uid="{DBA3A1C0-EA95-4F0C-8893-B26BEBE848DF}" name="Column14935"/>
    <tableColumn id="14969" xr3:uid="{D7E2B78A-84D2-4E61-B25B-9790E17020BE}" name="Column14936"/>
    <tableColumn id="14970" xr3:uid="{66FC14A8-BB16-4A4B-97D4-E832D79EBBC8}" name="Column14937"/>
    <tableColumn id="14971" xr3:uid="{AC0E40A7-2ED8-457C-B728-7B737942D456}" name="Column14938"/>
    <tableColumn id="14972" xr3:uid="{158CCC41-5480-4747-BDAF-8DD8427265A6}" name="Column14939"/>
    <tableColumn id="14973" xr3:uid="{6147E8A9-3740-4B02-B031-AAB7F158E966}" name="Column14940"/>
    <tableColumn id="14974" xr3:uid="{1C1614C6-3D40-40F3-BB71-F572620C0F36}" name="Column14941"/>
    <tableColumn id="14975" xr3:uid="{68D8A1EE-97BD-495A-B6AF-E8895919FB50}" name="Column14942"/>
    <tableColumn id="14976" xr3:uid="{16CA4E31-FDE8-4BF9-B509-A0785968373F}" name="Column14943"/>
    <tableColumn id="14977" xr3:uid="{56E29658-EAFE-4FF2-A9D2-D61809815FB1}" name="Column14944"/>
    <tableColumn id="14978" xr3:uid="{7B271037-4484-4DE6-BA83-BA39456E1DF9}" name="Column14945"/>
    <tableColumn id="14979" xr3:uid="{524F7A24-F203-41DA-8041-6510787B9036}" name="Column14946"/>
    <tableColumn id="14980" xr3:uid="{2A84FB13-3241-4614-AC75-BB724982C7E4}" name="Column14947"/>
    <tableColumn id="14981" xr3:uid="{7852E604-8694-4BCD-9941-5694460E6525}" name="Column14948"/>
    <tableColumn id="14982" xr3:uid="{3F088A50-1810-45EF-99BA-68235E230B47}" name="Column14949"/>
    <tableColumn id="14983" xr3:uid="{41063426-3735-494A-90BC-B7DA9A8D6473}" name="Column14950"/>
    <tableColumn id="14984" xr3:uid="{96B97F96-7DEA-4A9A-9D84-2513138CA168}" name="Column14951"/>
    <tableColumn id="14985" xr3:uid="{64958A56-F0EE-49CB-BE99-7F85513C7481}" name="Column14952"/>
    <tableColumn id="14986" xr3:uid="{A55C92B7-80C4-4A68-BBDF-F1A6D8EB7F97}" name="Column14953"/>
    <tableColumn id="14987" xr3:uid="{C98270B0-9607-4DD5-AEC7-0D250F366FF0}" name="Column14954"/>
    <tableColumn id="14988" xr3:uid="{B1A4E29F-FE80-4ECD-ACDC-9CBFE1F989ED}" name="Column14955"/>
    <tableColumn id="14989" xr3:uid="{D8E109F1-C645-41EB-BC8D-094FC6D68645}" name="Column14956"/>
    <tableColumn id="14990" xr3:uid="{0832F6D6-B3E5-4FCB-BEBD-FA2120CEA42C}" name="Column14957"/>
    <tableColumn id="14991" xr3:uid="{D68B3CA2-1926-4555-9EBE-F7EB3A25EF2D}" name="Column14958"/>
    <tableColumn id="14992" xr3:uid="{47A77949-BCDD-48F2-B2EF-01759107DDC3}" name="Column14959"/>
    <tableColumn id="14993" xr3:uid="{AA4448DE-EB32-4CEA-92AD-E0712631EDD7}" name="Column14960"/>
    <tableColumn id="14994" xr3:uid="{50DA55ED-E37B-4500-B533-F6C496D2CB97}" name="Column14961"/>
    <tableColumn id="14995" xr3:uid="{B71405F5-7E0A-4AD0-9447-90B361B1222A}" name="Column14962"/>
    <tableColumn id="14996" xr3:uid="{ED36DDF0-B4D3-4B1B-95BD-597316EBAE65}" name="Column14963"/>
    <tableColumn id="14997" xr3:uid="{8D32DC9A-7E1B-4AC9-9DD6-5444558838DD}" name="Column14964"/>
    <tableColumn id="14998" xr3:uid="{2A152399-79FC-4AD0-A7C7-BE88CE0CF566}" name="Column14965"/>
    <tableColumn id="14999" xr3:uid="{5548BDC2-3E91-4EE0-9874-B4398BD941EF}" name="Column14966"/>
    <tableColumn id="15000" xr3:uid="{62BE6EAA-4A80-4F7C-8263-9CCCCFE30FF3}" name="Column14967"/>
    <tableColumn id="15001" xr3:uid="{212A798E-D55B-4D0D-8114-6FEE2FEF806C}" name="Column14968"/>
    <tableColumn id="15002" xr3:uid="{40112CA8-86D7-4F0F-9C32-586A7A1F4564}" name="Column14969"/>
    <tableColumn id="15003" xr3:uid="{F5C2F119-1EA5-45D8-BF94-275464BA06B6}" name="Column14970"/>
    <tableColumn id="15004" xr3:uid="{2E6545D8-A41D-4C63-866F-D49B0314F8A0}" name="Column14971"/>
    <tableColumn id="15005" xr3:uid="{EEC20465-EF18-4AD9-BC4E-BFD4FD320CE0}" name="Column14972"/>
    <tableColumn id="15006" xr3:uid="{E420A7C8-A017-4FF3-A1DB-FFD71B783CD4}" name="Column14973"/>
    <tableColumn id="15007" xr3:uid="{9B1EF696-24D4-4441-8A59-0B5B0CD51F81}" name="Column14974"/>
    <tableColumn id="15008" xr3:uid="{23794435-EBF1-4033-99AF-F9316D170220}" name="Column14975"/>
    <tableColumn id="15009" xr3:uid="{5450804C-BB08-4B9F-ACF7-BF2A1872FDFC}" name="Column14976"/>
    <tableColumn id="15010" xr3:uid="{18D62846-DCD0-4F51-8D04-44BBDAB3F0AE}" name="Column14977"/>
    <tableColumn id="15011" xr3:uid="{09110C66-0A99-41D3-856E-849372F996BF}" name="Column14978"/>
    <tableColumn id="15012" xr3:uid="{C49A0BFF-8483-436D-8297-342C7D57E4FC}" name="Column14979"/>
    <tableColumn id="15013" xr3:uid="{E4F225B0-D150-46C3-A9AA-2C834FDD8E3A}" name="Column14980"/>
    <tableColumn id="15014" xr3:uid="{0C9F1DE0-9A69-40F3-88EA-E99BFD5A3A44}" name="Column14981"/>
    <tableColumn id="15015" xr3:uid="{5B0AD724-B59F-4C6C-BC05-128147A8AA0D}" name="Column14982"/>
    <tableColumn id="15016" xr3:uid="{E14CA39B-9A80-4252-BACA-A5262848FF0D}" name="Column14983"/>
    <tableColumn id="15017" xr3:uid="{B3CD7884-A41A-4508-97C8-7D6EBEF6EA06}" name="Column14984"/>
    <tableColumn id="15018" xr3:uid="{6DB8089F-3556-4033-AF38-E472964BC850}" name="Column14985"/>
    <tableColumn id="15019" xr3:uid="{275883B5-622B-4B04-8DD4-BCAC247EB68D}" name="Column14986"/>
    <tableColumn id="15020" xr3:uid="{2B5DF2B1-3AC3-42DA-AB24-797D907C230E}" name="Column14987"/>
    <tableColumn id="15021" xr3:uid="{80BA9023-D9F4-4396-9203-5F3B55A6F78F}" name="Column14988"/>
    <tableColumn id="15022" xr3:uid="{77112118-4467-4996-8ECE-95DFADE2582D}" name="Column14989"/>
    <tableColumn id="15023" xr3:uid="{FB0A5CB5-9547-46B4-B05F-D6D66C2AA873}" name="Column14990"/>
    <tableColumn id="15024" xr3:uid="{6A8D7520-5558-403B-87E2-05F2570A1577}" name="Column14991"/>
    <tableColumn id="15025" xr3:uid="{CFF46F27-A142-4C86-AB12-BA1A52379C1F}" name="Column14992"/>
    <tableColumn id="15026" xr3:uid="{8AD96947-E292-4816-8740-8BC76A5E4E97}" name="Column14993"/>
    <tableColumn id="15027" xr3:uid="{88BB2F79-4554-42B0-9440-646E484012F9}" name="Column14994"/>
    <tableColumn id="15028" xr3:uid="{853B9E20-7B57-40F0-86C6-0E2EC064D37D}" name="Column14995"/>
    <tableColumn id="15029" xr3:uid="{BA76938F-80D9-40C5-8134-3FE057F10E3E}" name="Column14996"/>
    <tableColumn id="15030" xr3:uid="{4BD2685E-9F34-49A9-B352-539F6B789B42}" name="Column14997"/>
    <tableColumn id="15031" xr3:uid="{0818115A-21FE-4F9C-8C63-9BAA591F8857}" name="Column14998"/>
    <tableColumn id="15032" xr3:uid="{5B3CC105-B3EA-406E-9A30-C5CD79F92FFC}" name="Column14999"/>
    <tableColumn id="15033" xr3:uid="{43E95071-81E0-4E91-9011-AA7B88721476}" name="Column15000"/>
    <tableColumn id="15034" xr3:uid="{106D5468-AAFA-4B9C-9316-0223B0038386}" name="Column15001"/>
    <tableColumn id="15035" xr3:uid="{AD6E4B9D-428D-4E3B-9198-3BC0A89BA7C9}" name="Column15002"/>
    <tableColumn id="15036" xr3:uid="{0205B57F-5349-49D6-AFBB-163359FA4D36}" name="Column15003"/>
    <tableColumn id="15037" xr3:uid="{EE55639C-2493-4955-BE5D-3FDD4A517AB5}" name="Column15004"/>
    <tableColumn id="15038" xr3:uid="{835AA351-2A07-4879-A0B5-E87F99228F91}" name="Column15005"/>
    <tableColumn id="15039" xr3:uid="{B40D0734-1E5B-4207-AF8B-0E04EC926EDC}" name="Column15006"/>
    <tableColumn id="15040" xr3:uid="{3ABEF9CD-1518-47A6-9466-08245B28769E}" name="Column15007"/>
    <tableColumn id="15041" xr3:uid="{EB4F372F-9050-427D-B00E-4489DFC5489A}" name="Column15008"/>
    <tableColumn id="15042" xr3:uid="{924DF405-93A6-4A8D-8003-4161BD710608}" name="Column15009"/>
    <tableColumn id="15043" xr3:uid="{6E355E2C-41AB-4D87-9A69-0A238806D2DA}" name="Column15010"/>
    <tableColumn id="15044" xr3:uid="{298F4022-8DCA-4186-A606-4C2A8B7298C7}" name="Column15011"/>
    <tableColumn id="15045" xr3:uid="{B4E71406-F84F-4219-A4E6-4D3E06B092BF}" name="Column15012"/>
    <tableColumn id="15046" xr3:uid="{5C9B2E4F-7CC1-400D-BF03-96F9CFC99303}" name="Column15013"/>
    <tableColumn id="15047" xr3:uid="{000C0ADA-CD62-4584-9A94-47B88372BBA5}" name="Column15014"/>
    <tableColumn id="15048" xr3:uid="{51E7B67B-784E-4EB9-8BA3-2D2FD9D658EC}" name="Column15015"/>
    <tableColumn id="15049" xr3:uid="{FB1C3A1D-13EC-4F70-A75F-26886FEEB986}" name="Column15016"/>
    <tableColumn id="15050" xr3:uid="{B2B326EA-7959-4A77-B3FA-9E824789F99F}" name="Column15017"/>
    <tableColumn id="15051" xr3:uid="{19929B48-8A91-4D29-A63F-BF0D977FC01C}" name="Column15018"/>
    <tableColumn id="15052" xr3:uid="{93A3E296-BFBC-4F0A-9C86-F0B96D6F8B1D}" name="Column15019"/>
    <tableColumn id="15053" xr3:uid="{923C43BB-1BCE-4EBF-A5C9-162384C9733A}" name="Column15020"/>
    <tableColumn id="15054" xr3:uid="{CA0C91FA-1760-45E9-9C73-641DDB690164}" name="Column15021"/>
    <tableColumn id="15055" xr3:uid="{DBC7D74D-6983-4E26-979C-3B842543ACF1}" name="Column15022"/>
    <tableColumn id="15056" xr3:uid="{FF64A510-8C9D-4196-B9EF-D4498351AB1B}" name="Column15023"/>
    <tableColumn id="15057" xr3:uid="{B1C1250C-FB47-4241-9916-4E3282885B98}" name="Column15024"/>
    <tableColumn id="15058" xr3:uid="{77EEA2CE-5838-4DCA-A746-9667E58148EC}" name="Column15025"/>
    <tableColumn id="15059" xr3:uid="{12B7571C-E593-4F27-9F93-2B13772A01AE}" name="Column15026"/>
    <tableColumn id="15060" xr3:uid="{9BA8F13F-EBBB-4E23-88F3-83F14926530B}" name="Column15027"/>
    <tableColumn id="15061" xr3:uid="{0A73BC88-ED1A-4C1F-9E41-B5FA693C52FE}" name="Column15028"/>
    <tableColumn id="15062" xr3:uid="{4C2CF52F-11D1-4354-946B-77D85725B5DA}" name="Column15029"/>
    <tableColumn id="15063" xr3:uid="{9C4F1450-18FF-49DC-994D-59634E0CD100}" name="Column15030"/>
    <tableColumn id="15064" xr3:uid="{A3695030-653D-4092-AE04-BC0FD7EF943E}" name="Column15031"/>
    <tableColumn id="15065" xr3:uid="{B98A2159-CECE-4B3F-B762-C183F99FA434}" name="Column15032"/>
    <tableColumn id="15066" xr3:uid="{E219242E-E79C-42BE-A62A-C0A6E9E9EE95}" name="Column15033"/>
    <tableColumn id="15067" xr3:uid="{BFC69E30-736E-411E-B938-EEC96A397672}" name="Column15034"/>
    <tableColumn id="15068" xr3:uid="{C09D4CC9-25DF-419B-BBAB-DD60E668729F}" name="Column15035"/>
    <tableColumn id="15069" xr3:uid="{3B0014C6-08EB-4083-BE57-4AC6B086E359}" name="Column15036"/>
    <tableColumn id="15070" xr3:uid="{C68144FB-F3A1-45A1-9D9E-6E5B377A76DB}" name="Column15037"/>
    <tableColumn id="15071" xr3:uid="{C4059109-4273-4AA9-8E96-0D7C418EB321}" name="Column15038"/>
    <tableColumn id="15072" xr3:uid="{6728C68B-49EC-4CAF-9B02-8D5BB77773FA}" name="Column15039"/>
    <tableColumn id="15073" xr3:uid="{6C2CD178-0C8F-40C6-93DB-FFD925399979}" name="Column15040"/>
    <tableColumn id="15074" xr3:uid="{68427E11-DF89-4B9E-B4D9-23A6D66D562C}" name="Column15041"/>
    <tableColumn id="15075" xr3:uid="{B9A072CA-BDC9-4512-8365-E3B92B1CEEBC}" name="Column15042"/>
    <tableColumn id="15076" xr3:uid="{DF2CE3FC-01CC-4AB5-9CB8-EFFBC24B042B}" name="Column15043"/>
    <tableColumn id="15077" xr3:uid="{80415ABE-C9FE-447B-AC1E-ACFDF30CFAFE}" name="Column15044"/>
    <tableColumn id="15078" xr3:uid="{38751431-5788-4A36-83DB-8225194824A1}" name="Column15045"/>
    <tableColumn id="15079" xr3:uid="{CBD07C01-A2B2-47E6-AF6F-02A4FB7045BE}" name="Column15046"/>
    <tableColumn id="15080" xr3:uid="{B91A43FA-F049-49B3-9AC3-06285ACECEA4}" name="Column15047"/>
    <tableColumn id="15081" xr3:uid="{27F239EB-65C1-4E22-8E1B-63A58A506F34}" name="Column15048"/>
    <tableColumn id="15082" xr3:uid="{E68C456D-646C-4813-8396-67D26F3949DF}" name="Column15049"/>
    <tableColumn id="15083" xr3:uid="{307BBF1A-B4E9-4914-A0F9-3214535423FF}" name="Column15050"/>
    <tableColumn id="15084" xr3:uid="{7DD4BFCD-57AE-4E79-B805-ACAAF98912ED}" name="Column15051"/>
    <tableColumn id="15085" xr3:uid="{CCF1EAFC-70C0-43CF-BC04-F2585368F198}" name="Column15052"/>
    <tableColumn id="15086" xr3:uid="{00D5D205-83C8-4261-808B-56947F6DB40B}" name="Column15053"/>
    <tableColumn id="15087" xr3:uid="{5C0FC4DA-5D1C-426D-B04B-EB1E688EF181}" name="Column15054"/>
    <tableColumn id="15088" xr3:uid="{F1E97307-3D5D-41CE-BA8F-3E59558F3FE2}" name="Column15055"/>
    <tableColumn id="15089" xr3:uid="{CBDC97C6-D7E7-464A-BD5C-C468FADB49E1}" name="Column15056"/>
    <tableColumn id="15090" xr3:uid="{87D1BCC6-A922-4936-A8D3-768F1E749C74}" name="Column15057"/>
    <tableColumn id="15091" xr3:uid="{2D4DC4E2-5181-47D6-9A7B-88B4F32B8307}" name="Column15058"/>
    <tableColumn id="15092" xr3:uid="{965C4B12-48B6-4378-AC9D-762CEBF415E1}" name="Column15059"/>
    <tableColumn id="15093" xr3:uid="{6039D410-D4CB-4A28-AEC9-9772E875B387}" name="Column15060"/>
    <tableColumn id="15094" xr3:uid="{3034B120-45AB-4683-84A3-F50DEC13C301}" name="Column15061"/>
    <tableColumn id="15095" xr3:uid="{EC6E434A-09B5-464B-BBA1-8065E1DF2AB6}" name="Column15062"/>
    <tableColumn id="15096" xr3:uid="{56EDBAAB-F836-4D46-9073-55824E02A231}" name="Column15063"/>
    <tableColumn id="15097" xr3:uid="{EBDC8499-5E2D-4128-ADD1-8BB6C9CB6FAF}" name="Column15064"/>
    <tableColumn id="15098" xr3:uid="{1361FAA7-0C7B-4A10-A89D-B3D456E11C7F}" name="Column15065"/>
    <tableColumn id="15099" xr3:uid="{FD26D031-37F5-4D65-BBAD-E2F05054D901}" name="Column15066"/>
    <tableColumn id="15100" xr3:uid="{82DB5CD8-327B-43B5-A281-6C5FD8D670E9}" name="Column15067"/>
    <tableColumn id="15101" xr3:uid="{DD904FAD-D22F-46AA-B04A-D54C6961EAAF}" name="Column15068"/>
    <tableColumn id="15102" xr3:uid="{798BCEC7-1E8B-4CDC-83CA-9FFDF87FB2F3}" name="Column15069"/>
    <tableColumn id="15103" xr3:uid="{D1AF4510-D4E6-4273-B84C-91BD0238F94A}" name="Column15070"/>
    <tableColumn id="15104" xr3:uid="{32939974-DFAC-4CA3-A991-91937CE8F705}" name="Column15071"/>
    <tableColumn id="15105" xr3:uid="{5AFD1E24-5FF7-45D5-A9C2-5D4690BA11B6}" name="Column15072"/>
    <tableColumn id="15106" xr3:uid="{E824D692-886C-4DA2-ADFB-FAC1852C4672}" name="Column15073"/>
    <tableColumn id="15107" xr3:uid="{D4A22FCF-2241-455B-B73D-B46CF9620420}" name="Column15074"/>
    <tableColumn id="15108" xr3:uid="{D462809C-8353-4B27-8BCA-730863F40416}" name="Column15075"/>
    <tableColumn id="15109" xr3:uid="{ABCA6EC2-B490-4B24-8467-ACD731823D43}" name="Column15076"/>
    <tableColumn id="15110" xr3:uid="{9130F136-2ED1-4820-9E33-7B914858E809}" name="Column15077"/>
    <tableColumn id="15111" xr3:uid="{E6AEDC1C-CB39-4CD3-B4BF-7AC4976A7863}" name="Column15078"/>
    <tableColumn id="15112" xr3:uid="{DC4CD482-E7F5-43B9-9217-2623731C28BE}" name="Column15079"/>
    <tableColumn id="15113" xr3:uid="{A80FCC81-352B-4CB3-BFEE-1C09537890D0}" name="Column15080"/>
    <tableColumn id="15114" xr3:uid="{416C02C4-B155-4C79-B998-DDB23CC32E74}" name="Column15081"/>
    <tableColumn id="15115" xr3:uid="{D1062964-471C-46DF-A6D5-8A0436100EDC}" name="Column15082"/>
    <tableColumn id="15116" xr3:uid="{5E96E679-DECD-4DFD-BD5F-E5E3365F105E}" name="Column15083"/>
    <tableColumn id="15117" xr3:uid="{82C87CA1-8E6C-4177-937C-1BD7FFFB90A8}" name="Column15084"/>
    <tableColumn id="15118" xr3:uid="{629FF23B-EC4A-4F99-9EC1-6D9AC799E7B9}" name="Column15085"/>
    <tableColumn id="15119" xr3:uid="{5A4054A0-2586-4615-B8FD-BF9F2F7C4659}" name="Column15086"/>
    <tableColumn id="15120" xr3:uid="{1E699A2A-2D32-4235-B7C7-A9D731010DA3}" name="Column15087"/>
    <tableColumn id="15121" xr3:uid="{FF37D1A2-2AB0-4140-9962-400450CE6896}" name="Column15088"/>
    <tableColumn id="15122" xr3:uid="{7725C758-168F-499F-AB24-49C3B95888AE}" name="Column15089"/>
    <tableColumn id="15123" xr3:uid="{EE5A66BF-1247-48D6-9A08-3D7E6AB36E7E}" name="Column15090"/>
    <tableColumn id="15124" xr3:uid="{43BF1F06-3152-459B-A36B-4BD03EC67401}" name="Column15091"/>
    <tableColumn id="15125" xr3:uid="{CF908F2D-75B3-4DE7-91A0-8897B8E36FF2}" name="Column15092"/>
    <tableColumn id="15126" xr3:uid="{20556A15-BDD2-40B8-945B-53677986E040}" name="Column15093"/>
    <tableColumn id="15127" xr3:uid="{26CC925D-A5C4-4DD4-B1FA-5C786B1D69DB}" name="Column15094"/>
    <tableColumn id="15128" xr3:uid="{F57B8A7E-80FD-4462-98FD-231E52E6CAE0}" name="Column15095"/>
    <tableColumn id="15129" xr3:uid="{DC3744CC-EDCA-4A36-B051-2373E645635E}" name="Column15096"/>
    <tableColumn id="15130" xr3:uid="{0D4EBE03-1C63-4EB5-A425-F6BD766C0B7C}" name="Column15097"/>
    <tableColumn id="15131" xr3:uid="{AE91CF78-8E37-4AAC-A78F-F6E42BA2F9CE}" name="Column15098"/>
    <tableColumn id="15132" xr3:uid="{739A9041-32F6-4852-9643-39E9E9408BCF}" name="Column15099"/>
    <tableColumn id="15133" xr3:uid="{2D17F85E-1FE7-4355-8C1D-F8DD204710EF}" name="Column15100"/>
    <tableColumn id="15134" xr3:uid="{AABE3BD7-8B62-4136-80FF-844A5BB1149A}" name="Column15101"/>
    <tableColumn id="15135" xr3:uid="{A5A0829E-8CD7-45D1-BF61-ECE84450F2A6}" name="Column15102"/>
    <tableColumn id="15136" xr3:uid="{28904AD5-AFC8-445D-95B0-64E3566F747C}" name="Column15103"/>
    <tableColumn id="15137" xr3:uid="{AB0FDE6B-1FDF-4983-AA98-6E733F69127D}" name="Column15104"/>
    <tableColumn id="15138" xr3:uid="{22E0905F-9487-4505-8912-05A2B475DB57}" name="Column15105"/>
    <tableColumn id="15139" xr3:uid="{D8C13293-CC71-43F7-9FBF-25EE7CBDC32B}" name="Column15106"/>
    <tableColumn id="15140" xr3:uid="{E1F9F371-60BD-433B-A89B-B91E0D19B05F}" name="Column15107"/>
    <tableColumn id="15141" xr3:uid="{719ABC58-A9C8-4C9C-8C3F-DBDE8D787280}" name="Column15108"/>
    <tableColumn id="15142" xr3:uid="{6BCED605-A20F-430C-B34C-4390D5E2E645}" name="Column15109"/>
    <tableColumn id="15143" xr3:uid="{7FE39107-9CEA-499B-BD6F-7045E207EF44}" name="Column15110"/>
    <tableColumn id="15144" xr3:uid="{E71AA81D-E853-4A46-89A1-9F9A7AD119D7}" name="Column15111"/>
    <tableColumn id="15145" xr3:uid="{9863C2F3-7FA0-4502-B0DD-562FB49BB4F0}" name="Column15112"/>
    <tableColumn id="15146" xr3:uid="{C00A5453-9D44-4E18-B17C-414BAE19C6AE}" name="Column15113"/>
    <tableColumn id="15147" xr3:uid="{BEEABD8C-190A-470A-8832-C376FA7F1247}" name="Column15114"/>
    <tableColumn id="15148" xr3:uid="{E7DDB4D7-4DA5-4B95-B718-3895D9E0E37F}" name="Column15115"/>
    <tableColumn id="15149" xr3:uid="{2FBB86EB-1D43-4F2F-A34C-E2E19D284F90}" name="Column15116"/>
    <tableColumn id="15150" xr3:uid="{1EDD7260-1391-4BC6-A783-26159F0CE834}" name="Column15117"/>
    <tableColumn id="15151" xr3:uid="{46516CA1-BAF4-49B2-82E2-1A90D5136097}" name="Column15118"/>
    <tableColumn id="15152" xr3:uid="{7DF8A186-42F3-4797-91D8-B5E2A3E807C6}" name="Column15119"/>
    <tableColumn id="15153" xr3:uid="{E5E29577-7B38-456B-A06A-A46EC63DDF36}" name="Column15120"/>
    <tableColumn id="15154" xr3:uid="{E29C6D47-9E1D-4CC6-8369-DF1337ACDDA5}" name="Column15121"/>
    <tableColumn id="15155" xr3:uid="{7B6B07CC-A338-4474-8A8A-F7E23DD12067}" name="Column15122"/>
    <tableColumn id="15156" xr3:uid="{0F17503D-CF38-4F6C-8EE6-921FDD2F77BA}" name="Column15123"/>
    <tableColumn id="15157" xr3:uid="{16ACB770-C62D-40B0-AD77-EE2010C21792}" name="Column15124"/>
    <tableColumn id="15158" xr3:uid="{396468A1-BBB2-4EB7-9B6C-53B231E491E4}" name="Column15125"/>
    <tableColumn id="15159" xr3:uid="{34A42055-E165-4CFC-BE01-A8D73DF99E67}" name="Column15126"/>
    <tableColumn id="15160" xr3:uid="{0BC41318-C79D-4579-9D96-CE0587FB6837}" name="Column15127"/>
    <tableColumn id="15161" xr3:uid="{9D2A5076-B7D5-4F03-90AF-24C56FE0039C}" name="Column15128"/>
    <tableColumn id="15162" xr3:uid="{F72653D7-5439-4CA9-9955-78BB2A438AAF}" name="Column15129"/>
    <tableColumn id="15163" xr3:uid="{203BB3D1-04B2-4FC5-913C-C506CFDC46ED}" name="Column15130"/>
    <tableColumn id="15164" xr3:uid="{6515D300-03AC-4F2D-82AE-D70EBD09FF60}" name="Column15131"/>
    <tableColumn id="15165" xr3:uid="{7B72E6CC-5404-41D6-B073-0B3BA56BF778}" name="Column15132"/>
    <tableColumn id="15166" xr3:uid="{EE9779C0-F693-4502-89E0-5E84F8F205AA}" name="Column15133"/>
    <tableColumn id="15167" xr3:uid="{047FEB28-1E1E-46EB-A262-3AD6F9C8E1EA}" name="Column15134"/>
    <tableColumn id="15168" xr3:uid="{FBE60921-514B-4343-8691-36653F55E396}" name="Column15135"/>
    <tableColumn id="15169" xr3:uid="{76ADBB9F-9C1F-49BA-8FD5-BCC26C06C704}" name="Column15136"/>
    <tableColumn id="15170" xr3:uid="{20CE35E2-0B42-46B8-9271-6341BAA94FE4}" name="Column15137"/>
    <tableColumn id="15171" xr3:uid="{DD3F10E2-3CF2-4DD9-83BC-2549B097BD22}" name="Column15138"/>
    <tableColumn id="15172" xr3:uid="{D05E11D3-03EB-4BB6-962F-87DF1DE16847}" name="Column15139"/>
    <tableColumn id="15173" xr3:uid="{67E154AC-8E36-43D1-8A6A-B0BA13E829E3}" name="Column15140"/>
    <tableColumn id="15174" xr3:uid="{C5234A8A-063B-42A6-847B-93E1A22B13E2}" name="Column15141"/>
    <tableColumn id="15175" xr3:uid="{8A013056-259B-4E91-B7BE-F30EDF89A0DA}" name="Column15142"/>
    <tableColumn id="15176" xr3:uid="{C5DDE5FF-D2F7-4E2E-B8A7-54A5E4AFDD99}" name="Column15143"/>
    <tableColumn id="15177" xr3:uid="{D53DF010-1B7E-422F-803C-5FDF769A8E46}" name="Column15144"/>
    <tableColumn id="15178" xr3:uid="{88E3A38B-E80C-475E-94CE-D59B651985FE}" name="Column15145"/>
    <tableColumn id="15179" xr3:uid="{302D980C-9CBC-446A-AD90-FB3086A8202E}" name="Column15146"/>
    <tableColumn id="15180" xr3:uid="{1ECE03E4-2DA2-4A2E-827D-F1BAB04DA43E}" name="Column15147"/>
    <tableColumn id="15181" xr3:uid="{4F79C5F3-9C5B-428B-9018-10932B77CE0C}" name="Column15148"/>
    <tableColumn id="15182" xr3:uid="{013253E1-735D-4D96-8D12-B4988C597FF5}" name="Column15149"/>
    <tableColumn id="15183" xr3:uid="{3834C16F-9644-4719-BF43-605B368BA926}" name="Column15150"/>
    <tableColumn id="15184" xr3:uid="{D0225666-CFAC-474A-A634-64A56D0FCF5A}" name="Column15151"/>
    <tableColumn id="15185" xr3:uid="{333ADA67-3485-4F0B-A6B9-53A33E198B57}" name="Column15152"/>
    <tableColumn id="15186" xr3:uid="{A6530322-24C7-4CEB-B2D3-C9804BD6871B}" name="Column15153"/>
    <tableColumn id="15187" xr3:uid="{57EE622F-A37D-4221-9C31-90907D1345D3}" name="Column15154"/>
    <tableColumn id="15188" xr3:uid="{C4256D5F-2D29-4C66-8DF4-3160671EC976}" name="Column15155"/>
    <tableColumn id="15189" xr3:uid="{09EAE8BC-7BB1-4813-9E53-FA40574EB3F4}" name="Column15156"/>
    <tableColumn id="15190" xr3:uid="{D4B0C961-8113-4A9D-B288-610ECE1C4A5A}" name="Column15157"/>
    <tableColumn id="15191" xr3:uid="{3201F4BB-CEE2-4BF9-AC85-66B290D12B6B}" name="Column15158"/>
    <tableColumn id="15192" xr3:uid="{B10F7E0C-65DC-4D20-B8EF-55E0E53EAAA2}" name="Column15159"/>
    <tableColumn id="15193" xr3:uid="{66AD2480-F12E-4D8B-AAB2-67BE2D454F95}" name="Column15160"/>
    <tableColumn id="15194" xr3:uid="{2BA835EE-6BD3-4299-A14D-69CFEDB3F2B9}" name="Column15161"/>
    <tableColumn id="15195" xr3:uid="{0B08281E-DA31-4D09-93C9-0A5E5B3229D9}" name="Column15162"/>
    <tableColumn id="15196" xr3:uid="{E4E68B84-2FBC-402B-A721-D130B4FB7976}" name="Column15163"/>
    <tableColumn id="15197" xr3:uid="{D526666D-BAFC-4E24-9C2E-AD0C33156276}" name="Column15164"/>
    <tableColumn id="15198" xr3:uid="{2C82C6C0-FCF2-40BA-BFD3-D3895955EA63}" name="Column15165"/>
    <tableColumn id="15199" xr3:uid="{1278BC33-EE07-4FB8-B96E-B5EDDD9199AB}" name="Column15166"/>
    <tableColumn id="15200" xr3:uid="{F66F945B-9183-410E-AF40-C7921368013F}" name="Column15167"/>
    <tableColumn id="15201" xr3:uid="{21594AB2-B2EC-47ED-9B75-CDE42FD0D3E8}" name="Column15168"/>
    <tableColumn id="15202" xr3:uid="{A269BB7E-BB18-4110-AE6B-DA1673D83CBC}" name="Column15169"/>
    <tableColumn id="15203" xr3:uid="{63CB00F9-8423-40B7-B080-B03ACA119524}" name="Column15170"/>
    <tableColumn id="15204" xr3:uid="{20FF3F5E-3393-43E8-9E21-0784BDA5E1E6}" name="Column15171"/>
    <tableColumn id="15205" xr3:uid="{AFD3CD00-7DA9-47A1-BEB3-0FFE33AA4D76}" name="Column15172"/>
    <tableColumn id="15206" xr3:uid="{B177232F-703D-4A9D-8E79-B325095D768D}" name="Column15173"/>
    <tableColumn id="15207" xr3:uid="{CBC97162-F51B-4C43-BAF9-A7A3DF66118F}" name="Column15174"/>
    <tableColumn id="15208" xr3:uid="{87263E14-0D8E-4A2B-B70D-66E0675CC47F}" name="Column15175"/>
    <tableColumn id="15209" xr3:uid="{C3259006-54FB-4A3F-A076-DE4B5A7D0EEA}" name="Column15176"/>
    <tableColumn id="15210" xr3:uid="{92F9424B-C170-4807-9A0B-F3F067400A49}" name="Column15177"/>
    <tableColumn id="15211" xr3:uid="{977F919F-0DA2-4EC4-BCC7-1AE3C9CAEEA9}" name="Column15178"/>
    <tableColumn id="15212" xr3:uid="{78DA78B4-E5E0-4285-A0A5-8989E8CB68C8}" name="Column15179"/>
    <tableColumn id="15213" xr3:uid="{9271362C-17C1-42B9-A7F8-D6E4093DABC3}" name="Column15180"/>
    <tableColumn id="15214" xr3:uid="{71F0232B-E1A3-49DA-A062-CA0D87247817}" name="Column15181"/>
    <tableColumn id="15215" xr3:uid="{5A917EF6-D089-4D3F-8728-457D508F96E0}" name="Column15182"/>
    <tableColumn id="15216" xr3:uid="{D19BAAFA-F067-42BC-8779-B1564FA199BE}" name="Column15183"/>
    <tableColumn id="15217" xr3:uid="{3FA5F4CD-1091-4DFF-A343-272835B2523B}" name="Column15184"/>
    <tableColumn id="15218" xr3:uid="{4FA27237-EC4E-4E63-AD0C-1CDC60020BF6}" name="Column15185"/>
    <tableColumn id="15219" xr3:uid="{F907C2FB-9A99-447D-AECB-872CBED0BB10}" name="Column15186"/>
    <tableColumn id="15220" xr3:uid="{C6CC539E-257E-49DE-890A-68E8026004E8}" name="Column15187"/>
    <tableColumn id="15221" xr3:uid="{787CBF28-BCA4-4822-9B65-BF0FCCB6A6FA}" name="Column15188"/>
    <tableColumn id="15222" xr3:uid="{F2E53737-A3E7-4740-9CDF-0EBFA76F7BFF}" name="Column15189"/>
    <tableColumn id="15223" xr3:uid="{803F825C-67FA-4831-8F11-B8396CFF3CB7}" name="Column15190"/>
    <tableColumn id="15224" xr3:uid="{93756CA5-D8C5-45D8-AE45-03F10864A218}" name="Column15191"/>
    <tableColumn id="15225" xr3:uid="{951EF3BB-6704-4A6F-9EFD-369BDC7308CA}" name="Column15192"/>
    <tableColumn id="15226" xr3:uid="{F3D168BB-D74E-4637-8695-A00791BC0F90}" name="Column15193"/>
    <tableColumn id="15227" xr3:uid="{7E7A4EA9-2AAE-4B76-8339-6F89E4E26B88}" name="Column15194"/>
    <tableColumn id="15228" xr3:uid="{A79F57BE-5357-442A-8A6E-9028C9F27DB8}" name="Column15195"/>
    <tableColumn id="15229" xr3:uid="{0885E678-0270-4A3A-95DD-B4A390694B05}" name="Column15196"/>
    <tableColumn id="15230" xr3:uid="{9A7BAEB6-06E1-4AEA-AB3C-B6B4D8F762D2}" name="Column15197"/>
    <tableColumn id="15231" xr3:uid="{43C67012-8715-4D76-AA72-A98B517DB5EC}" name="Column15198"/>
    <tableColumn id="15232" xr3:uid="{B679C359-1051-43A0-B69F-A3D718D99F55}" name="Column15199"/>
    <tableColumn id="15233" xr3:uid="{1604B63E-EB12-4FF8-97D7-503D5CDA4017}" name="Column15200"/>
    <tableColumn id="15234" xr3:uid="{F28266CD-74E0-46BF-8385-342D8C5E1401}" name="Column15201"/>
    <tableColumn id="15235" xr3:uid="{272559CE-D2D0-4905-9D1B-F7C2AEED3005}" name="Column15202"/>
    <tableColumn id="15236" xr3:uid="{5718B0C0-0F9C-492B-AA56-DBD2444FF50B}" name="Column15203"/>
    <tableColumn id="15237" xr3:uid="{5BF6B045-9975-49A7-BD6A-20A906F9B876}" name="Column15204"/>
    <tableColumn id="15238" xr3:uid="{2E653C41-7DBC-4276-8334-DE86ABAB8633}" name="Column15205"/>
    <tableColumn id="15239" xr3:uid="{C07C4C70-AEA5-4BC4-8165-9285EA830788}" name="Column15206"/>
    <tableColumn id="15240" xr3:uid="{84B9CD97-E669-4DB7-B7E5-34321E105C81}" name="Column15207"/>
    <tableColumn id="15241" xr3:uid="{56B2C932-F917-44A2-8C11-C066C4BA0D9B}" name="Column15208"/>
    <tableColumn id="15242" xr3:uid="{288CF864-7E7D-4148-8AEE-C256E5F961C3}" name="Column15209"/>
    <tableColumn id="15243" xr3:uid="{3B818D43-97B8-43E5-A657-C34E9D4E2EEE}" name="Column15210"/>
    <tableColumn id="15244" xr3:uid="{E7E01B41-8963-4861-AF4E-4AFD751E5A65}" name="Column15211"/>
    <tableColumn id="15245" xr3:uid="{317DB764-8FD6-492C-AEE7-90242B0028BB}" name="Column15212"/>
    <tableColumn id="15246" xr3:uid="{AB136B97-AAA2-4559-BF7E-BF24C7D5F652}" name="Column15213"/>
    <tableColumn id="15247" xr3:uid="{C02C4597-E15C-4712-823A-5F783587FAC0}" name="Column15214"/>
    <tableColumn id="15248" xr3:uid="{3CD25BFE-B81A-4E7A-A30C-94CC4202DF77}" name="Column15215"/>
    <tableColumn id="15249" xr3:uid="{054DD394-D17D-4526-95DC-C664DEE88705}" name="Column15216"/>
    <tableColumn id="15250" xr3:uid="{D4BFC1A3-9EE3-4EE4-A8CE-C3F0D117D261}" name="Column15217"/>
    <tableColumn id="15251" xr3:uid="{75E7C3B4-6753-4221-BCC6-013E5A3FFE0E}" name="Column15218"/>
    <tableColumn id="15252" xr3:uid="{08175C56-9FD2-4C93-BFC3-ECDB33D22E5C}" name="Column15219"/>
    <tableColumn id="15253" xr3:uid="{947F83C6-688E-4A49-9983-2872B9F7EF9C}" name="Column15220"/>
    <tableColumn id="15254" xr3:uid="{3A62E25B-8522-4104-A6C1-88C26C4D7A04}" name="Column15221"/>
    <tableColumn id="15255" xr3:uid="{364680D3-A9F8-4908-8B88-B5A1BC3AA343}" name="Column15222"/>
    <tableColumn id="15256" xr3:uid="{A138BAE2-1582-4F5D-8571-609CE101FC12}" name="Column15223"/>
    <tableColumn id="15257" xr3:uid="{776DB4A3-E880-452E-AF1C-B9DE45661BEB}" name="Column15224"/>
    <tableColumn id="15258" xr3:uid="{AD5F4F4B-BE79-46B3-A089-1F170CD0E155}" name="Column15225"/>
    <tableColumn id="15259" xr3:uid="{E88BDF2B-608E-4AF8-8C2D-F80AADB1BFB7}" name="Column15226"/>
    <tableColumn id="15260" xr3:uid="{986A5321-7283-47B1-918E-2C376D06644F}" name="Column15227"/>
    <tableColumn id="15261" xr3:uid="{19988278-3408-4CBC-9D48-990719B77FC3}" name="Column15228"/>
    <tableColumn id="15262" xr3:uid="{C22C1AEF-1B1A-4FE5-899B-F7AF9BC0267E}" name="Column15229"/>
    <tableColumn id="15263" xr3:uid="{EDBB9A5E-42FF-4409-83EF-29030C1092B5}" name="Column15230"/>
    <tableColumn id="15264" xr3:uid="{72BC1121-B586-4088-BB64-756B10234B89}" name="Column15231"/>
    <tableColumn id="15265" xr3:uid="{5162143C-002C-4CB5-97E1-C7B2195B3751}" name="Column15232"/>
    <tableColumn id="15266" xr3:uid="{D06CBC5B-31F9-418C-BB37-1FF220B1D0C7}" name="Column15233"/>
    <tableColumn id="15267" xr3:uid="{C3AEA50A-E00B-448B-9B0C-6A9BD3F813A7}" name="Column15234"/>
    <tableColumn id="15268" xr3:uid="{3A9BEBE8-629B-4FF9-8B61-BDA04832FBEC}" name="Column15235"/>
    <tableColumn id="15269" xr3:uid="{A8CC2E0A-079D-4C46-AF1F-D79C1D75FDF1}" name="Column15236"/>
    <tableColumn id="15270" xr3:uid="{A7F85A78-7693-4D06-B31E-F571E8E66D2B}" name="Column15237"/>
    <tableColumn id="15271" xr3:uid="{2E2E3D36-E56A-40FA-AA7C-759E750A4DBD}" name="Column15238"/>
    <tableColumn id="15272" xr3:uid="{BA5B1779-8796-4684-8140-70C2326FAC06}" name="Column15239"/>
    <tableColumn id="15273" xr3:uid="{0AB20F63-5D81-4D62-8071-8AE120C90A42}" name="Column15240"/>
    <tableColumn id="15274" xr3:uid="{62291243-1184-41F4-B19B-9B425A2E8909}" name="Column15241"/>
    <tableColumn id="15275" xr3:uid="{733C8DDD-FC4A-49E6-AB2C-8F7E76A369FD}" name="Column15242"/>
    <tableColumn id="15276" xr3:uid="{AA2F997E-34E2-4255-BF81-0C6C8FCCD7BB}" name="Column15243"/>
    <tableColumn id="15277" xr3:uid="{82216604-5CC8-440F-9BF8-3ED6B8CD0306}" name="Column15244"/>
    <tableColumn id="15278" xr3:uid="{0977683B-A7F2-44E1-8C9D-29F0C4848062}" name="Column15245"/>
    <tableColumn id="15279" xr3:uid="{D4430B67-1DA9-414D-B56C-63F3062F9DC9}" name="Column15246"/>
    <tableColumn id="15280" xr3:uid="{0BA43EF8-F402-4018-9DA4-7446A6AB65D4}" name="Column15247"/>
    <tableColumn id="15281" xr3:uid="{CFB15132-C537-4291-9DCE-6A380A40EF8F}" name="Column15248"/>
    <tableColumn id="15282" xr3:uid="{54C6D82A-93A0-40FE-9451-B98953CC1BB6}" name="Column15249"/>
    <tableColumn id="15283" xr3:uid="{3D223A4F-1F5C-4B3E-8D2C-4A6422E0C696}" name="Column15250"/>
    <tableColumn id="15284" xr3:uid="{779ACB5B-9F9D-4905-A2E9-ACEBBDC9CAFE}" name="Column15251"/>
    <tableColumn id="15285" xr3:uid="{638B08AA-A3C4-4910-9EE0-DDBBDF7EA7E2}" name="Column15252"/>
    <tableColumn id="15286" xr3:uid="{E35565FB-B7CD-42F1-8091-CDE737E2BB21}" name="Column15253"/>
    <tableColumn id="15287" xr3:uid="{18C56481-2218-4572-99E1-20ED8286DF44}" name="Column15254"/>
    <tableColumn id="15288" xr3:uid="{C5A0E843-A374-49B3-A15E-8080758FCEAD}" name="Column15255"/>
    <tableColumn id="15289" xr3:uid="{FE40052F-643B-48E6-B9D3-6EC458C43D19}" name="Column15256"/>
    <tableColumn id="15290" xr3:uid="{074105B9-5187-4C8F-BACD-DC13DC52BBB1}" name="Column15257"/>
    <tableColumn id="15291" xr3:uid="{911C9B85-A674-45B0-86BA-E3E20706CFDE}" name="Column15258"/>
    <tableColumn id="15292" xr3:uid="{9BA04FCF-03BD-4B5C-AB87-B3FD5967B0EE}" name="Column15259"/>
    <tableColumn id="15293" xr3:uid="{AC698989-82B9-4999-BBBC-2B26C550B272}" name="Column15260"/>
    <tableColumn id="15294" xr3:uid="{25E2B378-B8D5-4A4C-8628-0879FDA3A891}" name="Column15261"/>
    <tableColumn id="15295" xr3:uid="{05D87CA0-3A97-4FDB-9587-5F3C4A2AFADE}" name="Column15262"/>
    <tableColumn id="15296" xr3:uid="{44C18309-9C08-41E0-B962-7F2C8F8CA5A0}" name="Column15263"/>
    <tableColumn id="15297" xr3:uid="{447BCF7B-8684-454F-AAEA-FB4EF02467B6}" name="Column15264"/>
    <tableColumn id="15298" xr3:uid="{7883324F-0766-4AF8-A3FD-83F1A2448F2D}" name="Column15265"/>
    <tableColumn id="15299" xr3:uid="{1ABCCE31-3F28-47EA-B4EF-1D060F4F19E8}" name="Column15266"/>
    <tableColumn id="15300" xr3:uid="{FB1DCC7C-4A3B-4301-8C7F-4926B92CAC4E}" name="Column15267"/>
    <tableColumn id="15301" xr3:uid="{C0FCA4AC-796B-4482-A815-C9C6F3008F64}" name="Column15268"/>
    <tableColumn id="15302" xr3:uid="{92517563-6506-4C3E-90D3-09D5A0FCCE61}" name="Column15269"/>
    <tableColumn id="15303" xr3:uid="{F25433BD-8525-49CC-8D01-0CFCBAC650BF}" name="Column15270"/>
    <tableColumn id="15304" xr3:uid="{5A8507D5-831F-4023-B3D4-7092BFC43B05}" name="Column15271"/>
    <tableColumn id="15305" xr3:uid="{FE4A40C7-7A7D-41FD-91A0-1B5F67F5C16C}" name="Column15272"/>
    <tableColumn id="15306" xr3:uid="{049253C5-E175-463E-81B4-F51594D2A185}" name="Column15273"/>
    <tableColumn id="15307" xr3:uid="{5DE83BC3-81CD-4C78-B3A5-4637EC12D452}" name="Column15274"/>
    <tableColumn id="15308" xr3:uid="{999518EF-D619-44F8-8A5B-952D8779980E}" name="Column15275"/>
    <tableColumn id="15309" xr3:uid="{3919845E-D994-4766-B75D-44D8AE171891}" name="Column15276"/>
    <tableColumn id="15310" xr3:uid="{8439B99C-FC95-4408-8466-A64B72088AC2}" name="Column15277"/>
    <tableColumn id="15311" xr3:uid="{07D4FB39-0BB8-48E5-AC19-0467C240AC72}" name="Column15278"/>
    <tableColumn id="15312" xr3:uid="{AD587843-D0DE-404F-B048-D1665C236C1D}" name="Column15279"/>
    <tableColumn id="15313" xr3:uid="{68ADE820-5F6F-416C-9CA5-977F6ED19B8E}" name="Column15280"/>
    <tableColumn id="15314" xr3:uid="{927D38D3-1CF8-422F-92F8-A92358A5D74C}" name="Column15281"/>
    <tableColumn id="15315" xr3:uid="{DD6B42D5-1A1B-43C6-A3FF-BB0C3768E539}" name="Column15282"/>
    <tableColumn id="15316" xr3:uid="{74F109AA-F78D-4A72-B4D8-EE079BE5F42D}" name="Column15283"/>
    <tableColumn id="15317" xr3:uid="{C3AF575B-E190-4A67-AA4D-23D87C308EE1}" name="Column15284"/>
    <tableColumn id="15318" xr3:uid="{CADA1735-25ED-4D96-B76C-0FA8A99420F1}" name="Column15285"/>
    <tableColumn id="15319" xr3:uid="{37E5C709-4C6A-48FE-ADC9-B27BFB717020}" name="Column15286"/>
    <tableColumn id="15320" xr3:uid="{453BCED4-8465-4068-B529-350C262C0039}" name="Column15287"/>
    <tableColumn id="15321" xr3:uid="{178B0031-8212-4E58-98B6-40D13F2EA1F3}" name="Column15288"/>
    <tableColumn id="15322" xr3:uid="{CDFBCBA0-9338-4658-A094-E69421DFC21B}" name="Column15289"/>
    <tableColumn id="15323" xr3:uid="{323FD35C-A860-4A7C-950B-847DA8C93A4A}" name="Column15290"/>
    <tableColumn id="15324" xr3:uid="{0D986356-E2C0-4953-A7B0-C77F5CE87B36}" name="Column15291"/>
    <tableColumn id="15325" xr3:uid="{AB85241D-E609-4F07-9EF4-ACCA1D70DE8B}" name="Column15292"/>
    <tableColumn id="15326" xr3:uid="{1FDE2622-D5D0-4903-9E29-52094C83DCD2}" name="Column15293"/>
    <tableColumn id="15327" xr3:uid="{1422F448-4E1E-4539-8D0B-4458CA44CE02}" name="Column15294"/>
    <tableColumn id="15328" xr3:uid="{9C0870F9-103A-4BED-9EEE-64A3B1771639}" name="Column15295"/>
    <tableColumn id="15329" xr3:uid="{435F18E4-CCD0-4283-9A97-1AABF61B0D94}" name="Column15296"/>
    <tableColumn id="15330" xr3:uid="{F76139B4-26D4-4F46-844A-D4C005B4F54E}" name="Column15297"/>
    <tableColumn id="15331" xr3:uid="{98CFB3B4-FCC5-4CB6-A643-3C1D872BCC14}" name="Column15298"/>
    <tableColumn id="15332" xr3:uid="{6F9CC309-EE41-4F3D-80FE-EDA68DBECCCF}" name="Column15299"/>
    <tableColumn id="15333" xr3:uid="{FD974CAF-1001-4E4A-9085-4516B4C6C69F}" name="Column15300"/>
    <tableColumn id="15334" xr3:uid="{9226ECAA-AB28-4CA9-A7AD-E1624C42E92B}" name="Column15301"/>
    <tableColumn id="15335" xr3:uid="{48E4ED15-70CE-4EF9-89F2-ED06819BF06C}" name="Column15302"/>
    <tableColumn id="15336" xr3:uid="{F7722777-73E2-4D9D-8E47-959B2B6605BC}" name="Column15303"/>
    <tableColumn id="15337" xr3:uid="{6496E492-0FA5-442C-8E56-4F0C55F96F95}" name="Column15304"/>
    <tableColumn id="15338" xr3:uid="{459FB00F-EF73-4CB6-8D3F-E1A4B0677FC0}" name="Column15305"/>
    <tableColumn id="15339" xr3:uid="{D4525A93-4CFA-484B-A8F0-ABEE49AC40D7}" name="Column15306"/>
    <tableColumn id="15340" xr3:uid="{DE52ECF9-C21F-4697-B4E2-AD313586480B}" name="Column15307"/>
    <tableColumn id="15341" xr3:uid="{F0FD065F-137F-462A-BAB5-ECCFFC73EEDD}" name="Column15308"/>
    <tableColumn id="15342" xr3:uid="{7CAB7FF8-1DA9-4E86-8130-CA3772D86793}" name="Column15309"/>
    <tableColumn id="15343" xr3:uid="{203CFE92-4A09-49DD-9449-745E008644A0}" name="Column15310"/>
    <tableColumn id="15344" xr3:uid="{11DBCC1E-1768-4B95-AC7C-CFB175CFB615}" name="Column15311"/>
    <tableColumn id="15345" xr3:uid="{18A49570-DBFD-4267-B3D8-D2CB7D53670E}" name="Column15312"/>
    <tableColumn id="15346" xr3:uid="{60D741A5-3877-4B1D-80FA-23AE2F1C3E3F}" name="Column15313"/>
    <tableColumn id="15347" xr3:uid="{C2D3EE1A-05ED-4DC7-B401-23031FDD3A75}" name="Column15314"/>
    <tableColumn id="15348" xr3:uid="{E94F07FF-030B-4868-B979-C5F1E3ECDADA}" name="Column15315"/>
    <tableColumn id="15349" xr3:uid="{3787C141-5D0D-4799-80BF-7647797B4DC7}" name="Column15316"/>
    <tableColumn id="15350" xr3:uid="{FB85B78E-8E2F-41CC-8BEB-017B851DA411}" name="Column15317"/>
    <tableColumn id="15351" xr3:uid="{A6FBE74F-BC9C-44B1-8927-5CCDC0D1737E}" name="Column15318"/>
    <tableColumn id="15352" xr3:uid="{42DF8FBC-D8F5-49F0-81D9-6DE8CD1A962C}" name="Column15319"/>
    <tableColumn id="15353" xr3:uid="{186A11CF-741E-4BB3-8F4D-6E1B40D5DA6A}" name="Column15320"/>
    <tableColumn id="15354" xr3:uid="{EACF95FB-6C1D-4D60-8B0E-FE493CDA9A2D}" name="Column15321"/>
    <tableColumn id="15355" xr3:uid="{3A58A067-12F9-40E5-B986-A9584D8D30C9}" name="Column15322"/>
    <tableColumn id="15356" xr3:uid="{5B516992-1C99-4635-AED0-BDEC34EB9117}" name="Column15323"/>
    <tableColumn id="15357" xr3:uid="{B7AAD2FA-EAC1-4860-8CBA-BD11C8D57BA1}" name="Column15324"/>
    <tableColumn id="15358" xr3:uid="{E1B20667-EED2-47FC-80FE-558AC4284937}" name="Column15325"/>
    <tableColumn id="15359" xr3:uid="{734C4298-39E4-4B7A-AD0C-1106C8A59272}" name="Column15326"/>
    <tableColumn id="15360" xr3:uid="{969E64D1-088C-4389-86CC-62922E21E445}" name="Column15327"/>
    <tableColumn id="15361" xr3:uid="{6F05F0FB-B4FD-4E1E-97D4-A07C8024DA13}" name="Column15328"/>
    <tableColumn id="15362" xr3:uid="{1A1EF5D8-F4CE-4767-B5A0-40B145B133AB}" name="Column15329"/>
    <tableColumn id="15363" xr3:uid="{D1CD5B4C-8BAD-466E-A3E5-EFA847E1C04C}" name="Column15330"/>
    <tableColumn id="15364" xr3:uid="{0C531F8C-C724-4DD0-922A-4C2B1C1D735D}" name="Column15331"/>
    <tableColumn id="15365" xr3:uid="{49258C7B-881B-4A23-A079-C09EAD2CE6A5}" name="Column15332"/>
    <tableColumn id="15366" xr3:uid="{A981BB13-A7B3-4ED7-B45E-43CD0014873B}" name="Column15333"/>
    <tableColumn id="15367" xr3:uid="{C44E5A86-7533-442D-9AEE-45BCBB3F3B2C}" name="Column15334"/>
    <tableColumn id="15368" xr3:uid="{919D2EFF-0A03-4B07-9DC9-A6E331E0505D}" name="Column15335"/>
    <tableColumn id="15369" xr3:uid="{43733FBE-9E74-4E95-982D-AB40A0E2A051}" name="Column15336"/>
    <tableColumn id="15370" xr3:uid="{C4F0BA18-52DD-4509-AD90-F9508AB2BFF2}" name="Column15337"/>
    <tableColumn id="15371" xr3:uid="{B938908D-E228-4C6D-ADC1-8C7D708F0257}" name="Column15338"/>
    <tableColumn id="15372" xr3:uid="{99EB22D0-BF88-4BA8-9D51-855226255346}" name="Column15339"/>
    <tableColumn id="15373" xr3:uid="{B637E77A-F7BB-45A4-9B11-9BE2D65BE35A}" name="Column15340"/>
    <tableColumn id="15374" xr3:uid="{D8ACE42E-3DEA-4F28-AD1B-A36E4CC35E5E}" name="Column15341"/>
    <tableColumn id="15375" xr3:uid="{48912DCA-4F41-4ECC-9B8A-7DF997BCBDEC}" name="Column15342"/>
    <tableColumn id="15376" xr3:uid="{D4E7F9C7-ACC3-411F-AEEE-F891D6868740}" name="Column15343"/>
    <tableColumn id="15377" xr3:uid="{B339C01C-E180-46D4-A72F-A646CA314AA7}" name="Column15344"/>
    <tableColumn id="15378" xr3:uid="{313090BA-D37B-44DC-A686-30122197F25F}" name="Column15345"/>
    <tableColumn id="15379" xr3:uid="{1A654989-E9D4-4529-8470-283F0F16F5E6}" name="Column15346"/>
    <tableColumn id="15380" xr3:uid="{D5BFADAA-6F55-4996-98E1-276F94C2200E}" name="Column15347"/>
    <tableColumn id="15381" xr3:uid="{E1D5220B-D291-44E8-B335-23618F75D33E}" name="Column15348"/>
    <tableColumn id="15382" xr3:uid="{64F38CC7-0078-4AB1-A6C5-2A1123A3D62E}" name="Column15349"/>
    <tableColumn id="15383" xr3:uid="{D7D682CB-767E-4C7A-B2D3-3ADBB35CA834}" name="Column15350"/>
    <tableColumn id="15384" xr3:uid="{BC42B85F-F5AE-4E45-A53B-ADF46BB824B6}" name="Column15351"/>
    <tableColumn id="15385" xr3:uid="{8B032EFB-69FF-48E5-8FFA-F27B19CD5BD7}" name="Column15352"/>
    <tableColumn id="15386" xr3:uid="{DEA1F7B6-A84F-4699-B02B-3C12A2E97E14}" name="Column15353"/>
    <tableColumn id="15387" xr3:uid="{82EA2C8C-0923-40BD-9A01-E463BA154CB0}" name="Column15354"/>
    <tableColumn id="15388" xr3:uid="{24D441CE-1A09-428C-9F25-CAE70A5CE1A0}" name="Column15355"/>
    <tableColumn id="15389" xr3:uid="{62CDDBBC-0105-4474-8194-B7B5F6223A07}" name="Column15356"/>
    <tableColumn id="15390" xr3:uid="{04465945-170E-4F09-8651-B2FCE23E2150}" name="Column15357"/>
    <tableColumn id="15391" xr3:uid="{C0AFCB5C-ECBD-4401-A5A2-0E79D875C00D}" name="Column15358"/>
    <tableColumn id="15392" xr3:uid="{80EC6A4E-7408-4D70-BA3D-B60F48A91A52}" name="Column15359"/>
    <tableColumn id="15393" xr3:uid="{EF736117-DCC4-4C86-8A13-2721C0C1B0F9}" name="Column15360"/>
    <tableColumn id="15394" xr3:uid="{38082F2A-A017-411F-A863-6DC0CF5E25B8}" name="Column15361"/>
    <tableColumn id="15395" xr3:uid="{807BF523-8A42-4CF1-9411-49F13120D62A}" name="Column15362"/>
    <tableColumn id="15396" xr3:uid="{573FB7E8-B2CB-48FF-B4FB-EE78308391E5}" name="Column15363"/>
    <tableColumn id="15397" xr3:uid="{2B263FB2-4E81-488C-B903-C0552726E611}" name="Column15364"/>
    <tableColumn id="15398" xr3:uid="{B8C40B4F-5D38-457B-A20D-88BF61A152CE}" name="Column15365"/>
    <tableColumn id="15399" xr3:uid="{C942A223-F1BB-4F36-AA41-64A756A78DCB}" name="Column15366"/>
    <tableColumn id="15400" xr3:uid="{5A713E7C-4B90-444F-9216-85031630A603}" name="Column15367"/>
    <tableColumn id="15401" xr3:uid="{E6F6EACC-7EC5-431E-9E18-550F7DAD27C3}" name="Column15368"/>
    <tableColumn id="15402" xr3:uid="{F08CA008-A4D1-4987-BB8D-21A7ACEF7DDD}" name="Column15369"/>
    <tableColumn id="15403" xr3:uid="{00F77154-83F7-478F-A1AA-93C248CF85A4}" name="Column15370"/>
    <tableColumn id="15404" xr3:uid="{CCA6EA75-8B04-45C5-B7A9-136DA396C450}" name="Column15371"/>
    <tableColumn id="15405" xr3:uid="{A163E08C-676D-4C5D-BBCC-4CD200D325E4}" name="Column15372"/>
    <tableColumn id="15406" xr3:uid="{68B3BD2B-B6D6-4981-BEED-AABF7B3FE966}" name="Column15373"/>
    <tableColumn id="15407" xr3:uid="{F80B1C23-483B-47B4-8E65-8FE8F1F8097F}" name="Column15374"/>
    <tableColumn id="15408" xr3:uid="{803102F4-9EC2-4AD2-9447-B8F501657AEC}" name="Column15375"/>
    <tableColumn id="15409" xr3:uid="{AC7685D5-CD9C-4B41-A86E-384917F2AADB}" name="Column15376"/>
    <tableColumn id="15410" xr3:uid="{BB1F4093-F82C-44F9-9333-7EB2A440E7D5}" name="Column15377"/>
    <tableColumn id="15411" xr3:uid="{AF54A55B-ADE2-4DE5-B55F-399C85B79154}" name="Column15378"/>
    <tableColumn id="15412" xr3:uid="{DF68332A-977D-4631-8D44-3ADC00C953F7}" name="Column15379"/>
    <tableColumn id="15413" xr3:uid="{FB0883B3-23E1-42F1-A1F3-A0FF82006094}" name="Column15380"/>
    <tableColumn id="15414" xr3:uid="{25C03BE3-A9B9-486A-A660-983CE655A0A9}" name="Column15381"/>
    <tableColumn id="15415" xr3:uid="{4F56DE06-CDF0-4C00-BFFA-2CD1C769F7DD}" name="Column15382"/>
    <tableColumn id="15416" xr3:uid="{A34EB6BD-AF94-4160-AF6F-2E461CA66AB2}" name="Column15383"/>
    <tableColumn id="15417" xr3:uid="{F0FC13E7-EC44-4750-BD34-71E2A7B2BCA9}" name="Column15384"/>
    <tableColumn id="15418" xr3:uid="{C781E9E7-6651-4C06-9DEA-E169FBBE0DBC}" name="Column15385"/>
    <tableColumn id="15419" xr3:uid="{721EF1FE-05F1-4EA0-823F-D55CB925410D}" name="Column15386"/>
    <tableColumn id="15420" xr3:uid="{55BCD2FF-E116-429F-B764-4A9CDD7A0609}" name="Column15387"/>
    <tableColumn id="15421" xr3:uid="{7A56CC3B-6E7D-4C19-A2D3-50055E024C69}" name="Column15388"/>
    <tableColumn id="15422" xr3:uid="{C557AC49-3D33-4FB0-B2F9-F96190032A22}" name="Column15389"/>
    <tableColumn id="15423" xr3:uid="{F0AA04C1-E790-4214-8018-7EDD0106FD0B}" name="Column15390"/>
    <tableColumn id="15424" xr3:uid="{E842B853-FFA7-45E1-B791-59DCD9A77A67}" name="Column15391"/>
    <tableColumn id="15425" xr3:uid="{BB1CBAB2-ABDF-4779-8E86-2720BDB8DCC3}" name="Column15392"/>
    <tableColumn id="15426" xr3:uid="{C8C242C1-E49B-426F-A65B-7668D1F35FEE}" name="Column15393"/>
    <tableColumn id="15427" xr3:uid="{3B16417D-49E7-4E06-A828-90B33C63C051}" name="Column15394"/>
    <tableColumn id="15428" xr3:uid="{CF8D5958-AAA1-48BE-9922-7127DF9BD6E5}" name="Column15395"/>
    <tableColumn id="15429" xr3:uid="{B2947303-496C-468B-9115-8FE0D1AF53AE}" name="Column15396"/>
    <tableColumn id="15430" xr3:uid="{B4D09846-C4D2-492C-AD0C-422578E95A4A}" name="Column15397"/>
    <tableColumn id="15431" xr3:uid="{F0974ED8-3438-40BB-BE5A-C4D5E5C2D061}" name="Column15398"/>
    <tableColumn id="15432" xr3:uid="{5091371A-566D-47A7-9488-4297A5FC4ABA}" name="Column15399"/>
    <tableColumn id="15433" xr3:uid="{A6D6A65B-6712-4F6E-A8F2-C48BD8338285}" name="Column15400"/>
    <tableColumn id="15434" xr3:uid="{69BD4F7C-EB23-4FAE-B490-3599604CD6E4}" name="Column15401"/>
    <tableColumn id="15435" xr3:uid="{D0502B7B-8C38-4CE8-9C4D-81B511AD1115}" name="Column15402"/>
    <tableColumn id="15436" xr3:uid="{47ED852C-768F-4CA8-AEFC-27CC3A5503A1}" name="Column15403"/>
    <tableColumn id="15437" xr3:uid="{9DE41096-7687-4399-B623-45802B5E7348}" name="Column15404"/>
    <tableColumn id="15438" xr3:uid="{98CA2862-9368-4AA2-BCBC-56AD54669095}" name="Column15405"/>
    <tableColumn id="15439" xr3:uid="{4A1FBF04-F6F4-4CEA-A4AF-C2939657595C}" name="Column15406"/>
    <tableColumn id="15440" xr3:uid="{E3280E78-021D-4C93-97FE-24FC2C119E0D}" name="Column15407"/>
    <tableColumn id="15441" xr3:uid="{E427656E-CCAE-4AFD-8489-079129E557AE}" name="Column15408"/>
    <tableColumn id="15442" xr3:uid="{E4C20ACF-92EF-46EA-98F7-949A14FB9F13}" name="Column15409"/>
    <tableColumn id="15443" xr3:uid="{2D12DBE3-519F-44C9-85B4-12FDA544FA72}" name="Column15410"/>
    <tableColumn id="15444" xr3:uid="{9BEC3545-BDA5-44C2-B98D-9792E332DD33}" name="Column15411"/>
    <tableColumn id="15445" xr3:uid="{076084A8-F625-4141-9960-8C0561E3AB79}" name="Column15412"/>
    <tableColumn id="15446" xr3:uid="{398D28E7-102E-49B8-B104-150E33759952}" name="Column15413"/>
    <tableColumn id="15447" xr3:uid="{968B8F8E-EE93-477F-BE63-75A077C77E14}" name="Column15414"/>
    <tableColumn id="15448" xr3:uid="{4B51EA8D-47FC-4E5A-8A8C-68A4C6B90ABD}" name="Column15415"/>
    <tableColumn id="15449" xr3:uid="{0E48B748-CA89-4F32-B9A2-057C146B09B2}" name="Column15416"/>
    <tableColumn id="15450" xr3:uid="{368BD30B-2E2C-486D-B6A2-2A99724BB2D8}" name="Column15417"/>
    <tableColumn id="15451" xr3:uid="{B43B7348-1FD6-47C5-95B0-886FB45D0E49}" name="Column15418"/>
    <tableColumn id="15452" xr3:uid="{9B010594-C1F8-4565-B59F-25F75E92C565}" name="Column15419"/>
    <tableColumn id="15453" xr3:uid="{5765A3E8-4CE3-4B14-B58E-06CCBEB416C1}" name="Column15420"/>
    <tableColumn id="15454" xr3:uid="{4557B541-DA56-4E11-BBF5-18550A3A15E7}" name="Column15421"/>
    <tableColumn id="15455" xr3:uid="{C17B8243-69A1-410A-A70E-C543FF9EA20A}" name="Column15422"/>
    <tableColumn id="15456" xr3:uid="{02C93BEE-4528-4BA7-8B4A-4CC73C4C8578}" name="Column15423"/>
    <tableColumn id="15457" xr3:uid="{59470091-43FC-4464-8524-F7DAF5DBADD5}" name="Column15424"/>
    <tableColumn id="15458" xr3:uid="{8C166613-DBE1-48FF-82E8-9C529AC8AD16}" name="Column15425"/>
    <tableColumn id="15459" xr3:uid="{848CE815-667E-4A73-9234-39D10EA20C55}" name="Column15426"/>
    <tableColumn id="15460" xr3:uid="{25F36624-83BE-46E4-9642-54EBC5512899}" name="Column15427"/>
    <tableColumn id="15461" xr3:uid="{4247F02E-1C0D-4276-A056-A8C2B6824DB2}" name="Column15428"/>
    <tableColumn id="15462" xr3:uid="{633786E3-F01D-4616-BD2E-D00AC5C57B8C}" name="Column15429"/>
    <tableColumn id="15463" xr3:uid="{624F9AE8-07E1-45C2-84F3-52B46DB28014}" name="Column15430"/>
    <tableColumn id="15464" xr3:uid="{52264F61-BB98-4CF2-8520-F1E05ABC2439}" name="Column15431"/>
    <tableColumn id="15465" xr3:uid="{B0F184E2-A6C3-494A-97A4-AB1A02A8831F}" name="Column15432"/>
    <tableColumn id="15466" xr3:uid="{7FE9EF5B-1226-46B6-A3BC-D2CD889AB653}" name="Column15433"/>
    <tableColumn id="15467" xr3:uid="{A63D841C-3C8F-44CF-AE46-0FFA76304644}" name="Column15434"/>
    <tableColumn id="15468" xr3:uid="{E2D9EFF2-7DBE-46CB-9AFC-52AA4910B92C}" name="Column15435"/>
    <tableColumn id="15469" xr3:uid="{80C6D15F-0D95-479F-AA5D-B3908F234B92}" name="Column15436"/>
    <tableColumn id="15470" xr3:uid="{7887C162-6D94-472F-A35D-B084131A92CC}" name="Column15437"/>
    <tableColumn id="15471" xr3:uid="{817E410B-F08D-4B31-81B2-2781BD2BC55E}" name="Column15438"/>
    <tableColumn id="15472" xr3:uid="{E459BD48-518C-431C-A547-9D70193C4049}" name="Column15439"/>
    <tableColumn id="15473" xr3:uid="{B5374881-3A42-48C1-ADF5-127F05C2DF9E}" name="Column15440"/>
    <tableColumn id="15474" xr3:uid="{667C22D4-374E-4B6A-B2BF-FEFC09A63A9C}" name="Column15441"/>
    <tableColumn id="15475" xr3:uid="{E11E0B5A-B647-4A23-BD75-81F6AA4187CB}" name="Column15442"/>
    <tableColumn id="15476" xr3:uid="{95D244E2-BAF6-4E5F-A5C0-007560CA17AD}" name="Column15443"/>
    <tableColumn id="15477" xr3:uid="{927D7883-18BB-43FC-A82E-0C07CC8FB793}" name="Column15444"/>
    <tableColumn id="15478" xr3:uid="{3B6E02D1-2002-49CB-B5AD-CE53383F455B}" name="Column15445"/>
    <tableColumn id="15479" xr3:uid="{E2C6E88A-0B60-4379-B886-27FAD10DD2FC}" name="Column15446"/>
    <tableColumn id="15480" xr3:uid="{7E7550C2-4725-4D3C-A2BF-9331EB7FB440}" name="Column15447"/>
    <tableColumn id="15481" xr3:uid="{2AD99445-CC44-401B-8E8E-93A199141BA0}" name="Column15448"/>
    <tableColumn id="15482" xr3:uid="{10BCDB75-AF82-4C75-A484-484835E4D0BC}" name="Column15449"/>
    <tableColumn id="15483" xr3:uid="{07F809C2-AA4C-447C-AB5C-A7FDB35E12AA}" name="Column15450"/>
    <tableColumn id="15484" xr3:uid="{30DE5565-D061-43A7-8B67-4FAFA3C16513}" name="Column15451"/>
    <tableColumn id="15485" xr3:uid="{51528057-DB9C-4EAA-9CF0-4C44E6BA2080}" name="Column15452"/>
    <tableColumn id="15486" xr3:uid="{B2EBA7B6-B3FF-486B-820A-7B847CABD1E8}" name="Column15453"/>
    <tableColumn id="15487" xr3:uid="{09A69D7E-0A57-408A-A124-4CC508AF52BF}" name="Column15454"/>
    <tableColumn id="15488" xr3:uid="{E4709B3D-E9EB-47FF-82A2-01B3791C549E}" name="Column15455"/>
    <tableColumn id="15489" xr3:uid="{798B1CDB-DE3D-4DA4-B3ED-57F5B3B12C8E}" name="Column15456"/>
    <tableColumn id="15490" xr3:uid="{3E21F027-895C-4346-83FB-760EFBFB734D}" name="Column15457"/>
    <tableColumn id="15491" xr3:uid="{69B377AF-38A0-4AF3-888D-4F99F2AC73AE}" name="Column15458"/>
    <tableColumn id="15492" xr3:uid="{C42BA8B1-1550-4471-83A5-EF99A5E73919}" name="Column15459"/>
    <tableColumn id="15493" xr3:uid="{1211C512-539D-4444-8A1F-3276AE1F10D1}" name="Column15460"/>
    <tableColumn id="15494" xr3:uid="{D9E04C00-4005-4614-9957-2E79420A222D}" name="Column15461"/>
    <tableColumn id="15495" xr3:uid="{C624E8C5-248A-47B5-82B0-1789612D081B}" name="Column15462"/>
    <tableColumn id="15496" xr3:uid="{8C01BE38-3D3A-40A2-B0A1-75CFFE941EA1}" name="Column15463"/>
    <tableColumn id="15497" xr3:uid="{074AD4BC-926B-498F-8126-B17B33C294DC}" name="Column15464"/>
    <tableColumn id="15498" xr3:uid="{918EF8C8-AA1B-4030-9ABF-E40734507E43}" name="Column15465"/>
    <tableColumn id="15499" xr3:uid="{EF533B31-7E73-42E8-8D2D-F67625C49486}" name="Column15466"/>
    <tableColumn id="15500" xr3:uid="{27302183-4ECD-4BE2-B53F-57B8F23CCFE8}" name="Column15467"/>
    <tableColumn id="15501" xr3:uid="{34E59D27-D29F-41B9-BC78-0F9A67ED2D44}" name="Column15468"/>
    <tableColumn id="15502" xr3:uid="{4F04CE95-5A5C-4365-881C-6AD933756F5C}" name="Column15469"/>
    <tableColumn id="15503" xr3:uid="{F2253F8B-06DB-4DCF-9F99-756376291CDC}" name="Column15470"/>
    <tableColumn id="15504" xr3:uid="{95F45D9E-D925-4F4B-BF6A-3BDDA50E5753}" name="Column15471"/>
    <tableColumn id="15505" xr3:uid="{EAFD290A-F79F-4794-A8CC-8F7988F59565}" name="Column15472"/>
    <tableColumn id="15506" xr3:uid="{A0459675-3C72-4239-8F81-D463058F119A}" name="Column15473"/>
    <tableColumn id="15507" xr3:uid="{2A800413-A589-4E4A-B6F7-742091868E25}" name="Column15474"/>
    <tableColumn id="15508" xr3:uid="{408CDB97-4E44-4244-92B1-575153943BED}" name="Column15475"/>
    <tableColumn id="15509" xr3:uid="{032F8BBD-6998-4616-B7C7-0AE99B32CA2B}" name="Column15476"/>
    <tableColumn id="15510" xr3:uid="{B6049EFB-29C9-4E35-ABF0-4C25DB34D8CF}" name="Column15477"/>
    <tableColumn id="15511" xr3:uid="{B61B2956-F0D8-4BCB-9363-35163AB0857B}" name="Column15478"/>
    <tableColumn id="15512" xr3:uid="{1BCED9DA-2315-41E0-840A-EAC865BB527A}" name="Column15479"/>
    <tableColumn id="15513" xr3:uid="{F002220A-4CDE-45C3-BCB9-81220DDC95DE}" name="Column15480"/>
    <tableColumn id="15514" xr3:uid="{8AB19795-5F4A-4C6D-A72D-2B2AC2D4EE7F}" name="Column15481"/>
    <tableColumn id="15515" xr3:uid="{A3D98518-CF44-46E4-B8D6-6C9C300A861F}" name="Column15482"/>
    <tableColumn id="15516" xr3:uid="{F90DAA7F-E4FE-4FF2-B5F3-F215E0BEDA85}" name="Column15483"/>
    <tableColumn id="15517" xr3:uid="{B06CEB4B-0D78-437A-BE8E-4E7E3AE0D2DF}" name="Column15484"/>
    <tableColumn id="15518" xr3:uid="{42D513C4-0486-4EEB-AC4B-6596B2DB3E0C}" name="Column15485"/>
    <tableColumn id="15519" xr3:uid="{39F7C325-9406-4C4C-9356-5A9DB0FA356C}" name="Column15486"/>
    <tableColumn id="15520" xr3:uid="{8D5CF505-C740-4D24-9FF6-7D25B399D82E}" name="Column15487"/>
    <tableColumn id="15521" xr3:uid="{1C9E3FFB-3472-47A5-B324-C23C9F2D91BB}" name="Column15488"/>
    <tableColumn id="15522" xr3:uid="{093029AC-E838-4349-83DD-523165E49AB0}" name="Column15489"/>
    <tableColumn id="15523" xr3:uid="{74B5E0F9-6BEC-4677-8627-BB757FD43B9E}" name="Column15490"/>
    <tableColumn id="15524" xr3:uid="{73734322-9D54-42F4-B26C-3620E960AD06}" name="Column15491"/>
    <tableColumn id="15525" xr3:uid="{8710E95C-4DFF-463E-A7C8-CB8DE90E2356}" name="Column15492"/>
    <tableColumn id="15526" xr3:uid="{1BE0CF37-A863-41CB-ACAC-2D691AB52CAC}" name="Column15493"/>
    <tableColumn id="15527" xr3:uid="{78E0477C-DDB7-48F4-91E2-2D9B08AE870C}" name="Column15494"/>
    <tableColumn id="15528" xr3:uid="{6774A758-88A5-4CBF-B3F5-60005086E007}" name="Column15495"/>
    <tableColumn id="15529" xr3:uid="{83AD9F7B-E5EF-4BD9-BF8F-2CAE3A96215F}" name="Column15496"/>
    <tableColumn id="15530" xr3:uid="{3F32FB44-8700-484A-862F-8C09F66378CC}" name="Column15497"/>
    <tableColumn id="15531" xr3:uid="{AFD93E3B-4EAD-4639-9611-0AAD5CE00D53}" name="Column15498"/>
    <tableColumn id="15532" xr3:uid="{E3D0AE7C-02D6-4408-9763-B86011EE31DE}" name="Column15499"/>
    <tableColumn id="15533" xr3:uid="{C6C8E97E-5A19-4754-ACDA-3947E16A3536}" name="Column15500"/>
    <tableColumn id="15534" xr3:uid="{CEE2675A-12CB-46E8-AB61-AC67BE17B8E6}" name="Column15501"/>
    <tableColumn id="15535" xr3:uid="{25626409-EA81-49B9-8384-47C489B5E538}" name="Column15502"/>
    <tableColumn id="15536" xr3:uid="{B335BE0C-2E89-40F9-824C-2224D080CAA4}" name="Column15503"/>
    <tableColumn id="15537" xr3:uid="{A5ECC4F9-F62B-49EF-AF2D-87AFB764801A}" name="Column15504"/>
    <tableColumn id="15538" xr3:uid="{AD36E497-3CEF-4FEB-9864-097D491F6B84}" name="Column15505"/>
    <tableColumn id="15539" xr3:uid="{795E80CD-3FAA-4CBE-8D02-10FD49E234FD}" name="Column15506"/>
    <tableColumn id="15540" xr3:uid="{A629BBD9-94BA-4BAB-B7FB-52F6B075928E}" name="Column15507"/>
    <tableColumn id="15541" xr3:uid="{99191AD9-2FA4-46E3-B2F0-BE4E6F3CF183}" name="Column15508"/>
    <tableColumn id="15542" xr3:uid="{F35E83D1-0BAD-4154-9943-D0D3B8B8AC1E}" name="Column15509"/>
    <tableColumn id="15543" xr3:uid="{6390250B-06B8-4F27-B25F-E8B8304C9DC6}" name="Column15510"/>
    <tableColumn id="15544" xr3:uid="{2F1B3C41-BA90-4F21-9C28-433CB34DC79D}" name="Column15511"/>
    <tableColumn id="15545" xr3:uid="{F1DEEDD9-BC42-449F-B6F3-EA272931A9DD}" name="Column15512"/>
    <tableColumn id="15546" xr3:uid="{16B81704-8AAC-46CE-B85A-660CFA1B703F}" name="Column15513"/>
    <tableColumn id="15547" xr3:uid="{D3ECCDEE-8136-44CA-8A3E-B9D5EF782216}" name="Column15514"/>
    <tableColumn id="15548" xr3:uid="{80B8D98E-C335-4BD2-B44F-F533D8FD2F28}" name="Column15515"/>
    <tableColumn id="15549" xr3:uid="{2ED9AD1B-A009-4626-9392-8D82A7B2F8CB}" name="Column15516"/>
    <tableColumn id="15550" xr3:uid="{E9401341-14B2-4774-BC50-55270F9285D6}" name="Column15517"/>
    <tableColumn id="15551" xr3:uid="{D4F8D031-0D5A-4723-806E-5173B6DD5E80}" name="Column15518"/>
    <tableColumn id="15552" xr3:uid="{9149DAC3-E395-4AD9-9D8B-A939FD9276B5}" name="Column15519"/>
    <tableColumn id="15553" xr3:uid="{74F13A39-7EE3-4A9B-9820-CF8EA22505D3}" name="Column15520"/>
    <tableColumn id="15554" xr3:uid="{1F6D6EB0-8A4F-4BFE-9CB6-12D464556966}" name="Column15521"/>
    <tableColumn id="15555" xr3:uid="{65F0AC04-A7E3-4041-B478-5AA83DDC5A7A}" name="Column15522"/>
    <tableColumn id="15556" xr3:uid="{15CC7E45-566E-45CF-91CC-198418CA91DC}" name="Column15523"/>
    <tableColumn id="15557" xr3:uid="{FC6F85EF-BAE3-4A20-9EDC-CEE1CA9B708A}" name="Column15524"/>
    <tableColumn id="15558" xr3:uid="{2D47A1F0-61F7-4E83-8EDE-C1361D3C7151}" name="Column15525"/>
    <tableColumn id="15559" xr3:uid="{AE113A17-E2DE-4D04-8EE9-9EAE2A7B5B15}" name="Column15526"/>
    <tableColumn id="15560" xr3:uid="{D9AEC346-39DB-4DF5-94F1-22498C7361A0}" name="Column15527"/>
    <tableColumn id="15561" xr3:uid="{1D562C3E-494C-4168-A7F9-3EE864B4F3C3}" name="Column15528"/>
    <tableColumn id="15562" xr3:uid="{87EDB9E5-B6F8-4839-BBCA-76A74D7439D6}" name="Column15529"/>
    <tableColumn id="15563" xr3:uid="{1B15EE11-D0BC-4753-8C90-1F95CA27A279}" name="Column15530"/>
    <tableColumn id="15564" xr3:uid="{B28D1FDB-21D5-4015-A207-2E8D392317FC}" name="Column15531"/>
    <tableColumn id="15565" xr3:uid="{55DB16A2-F77B-4822-A591-58432CFEED1B}" name="Column15532"/>
    <tableColumn id="15566" xr3:uid="{B9221246-F5DE-4797-B2BB-6DBB2572B4FC}" name="Column15533"/>
    <tableColumn id="15567" xr3:uid="{1F7BB210-DD46-4343-92CC-65F353867925}" name="Column15534"/>
    <tableColumn id="15568" xr3:uid="{AE2D9735-5B87-4902-BC02-36B10ABA3969}" name="Column15535"/>
    <tableColumn id="15569" xr3:uid="{D465C16B-9C93-4848-82D1-1707488EE678}" name="Column15536"/>
    <tableColumn id="15570" xr3:uid="{28D67304-DAD2-4410-80C5-6198D53BCF23}" name="Column15537"/>
    <tableColumn id="15571" xr3:uid="{8C467FC5-273E-499D-8524-61E03E047A8C}" name="Column15538"/>
    <tableColumn id="15572" xr3:uid="{CD5AE2F8-4403-4CF3-B31C-DA1798AE4FCE}" name="Column15539"/>
    <tableColumn id="15573" xr3:uid="{1ECEE258-75D3-4738-859D-6DF82AF271DA}" name="Column15540"/>
    <tableColumn id="15574" xr3:uid="{1E7AC542-1931-4362-8416-CB5631492DB5}" name="Column15541"/>
    <tableColumn id="15575" xr3:uid="{105ABEAD-79EA-409B-9096-884EF5879DBA}" name="Column15542"/>
    <tableColumn id="15576" xr3:uid="{127FD9FF-3729-44CE-804E-B848E089FE52}" name="Column15543"/>
    <tableColumn id="15577" xr3:uid="{FD890707-0081-4AC6-8946-40B85C1F67D9}" name="Column15544"/>
    <tableColumn id="15578" xr3:uid="{4ABB67AC-776E-44F0-9330-5F2BD68F6F91}" name="Column15545"/>
    <tableColumn id="15579" xr3:uid="{06932B2B-2047-4620-A78A-EEE9732AB4D0}" name="Column15546"/>
    <tableColumn id="15580" xr3:uid="{20B48E50-0DB6-48BD-8B22-5D2F88056761}" name="Column15547"/>
    <tableColumn id="15581" xr3:uid="{4C0499A4-2274-4244-A638-0E28E2D420A8}" name="Column15548"/>
    <tableColumn id="15582" xr3:uid="{8CD9C8BA-BAE1-4E4F-98F3-1700D3FBDEFB}" name="Column15549"/>
    <tableColumn id="15583" xr3:uid="{7E90949C-05A6-4B34-8C33-14E2260E7194}" name="Column15550"/>
    <tableColumn id="15584" xr3:uid="{9392CD14-4954-48E2-9DE4-F0EAF7D8CE63}" name="Column15551"/>
    <tableColumn id="15585" xr3:uid="{B351CFD5-63D8-44D2-A55F-2308F0F50F5F}" name="Column15552"/>
    <tableColumn id="15586" xr3:uid="{9413C61D-0055-4B7B-8092-A57474A26D09}" name="Column15553"/>
    <tableColumn id="15587" xr3:uid="{2E48A77C-977E-481D-8F97-0FA9FAFF8303}" name="Column15554"/>
    <tableColumn id="15588" xr3:uid="{CB3F1416-82B8-42E0-87AE-884BFA83267D}" name="Column15555"/>
    <tableColumn id="15589" xr3:uid="{E307C81C-1C71-4E8C-9507-E8C3CB0C28FD}" name="Column15556"/>
    <tableColumn id="15590" xr3:uid="{BFBE3FBA-65BC-4A2C-9A70-F092A9D11292}" name="Column15557"/>
    <tableColumn id="15591" xr3:uid="{1E26463A-06D5-46E3-BFB6-518C8053FEFE}" name="Column15558"/>
    <tableColumn id="15592" xr3:uid="{9E3AEE92-D7C5-4464-B508-252E076A4D9A}" name="Column15559"/>
    <tableColumn id="15593" xr3:uid="{8FBF1D5C-2A79-4DB2-9C3D-941B7D47BB79}" name="Column15560"/>
    <tableColumn id="15594" xr3:uid="{A2CC4A24-E7FD-47C0-AB13-9C73FE143CC3}" name="Column15561"/>
    <tableColumn id="15595" xr3:uid="{72B30845-BCFE-40D5-ACCE-075CF3E14D18}" name="Column15562"/>
    <tableColumn id="15596" xr3:uid="{94CD7273-0D6E-413F-A725-7BB59CDAE30F}" name="Column15563"/>
    <tableColumn id="15597" xr3:uid="{386D387F-1278-4C34-9A7D-CE8D5BAC4189}" name="Column15564"/>
    <tableColumn id="15598" xr3:uid="{FA41F4EF-E2FE-463F-A015-66F372B95357}" name="Column15565"/>
    <tableColumn id="15599" xr3:uid="{ED1ED2CF-CFC4-4015-9C77-8AE029983D7B}" name="Column15566"/>
    <tableColumn id="15600" xr3:uid="{F3D1D56F-C012-4727-818B-EBF8DD509BEC}" name="Column15567"/>
    <tableColumn id="15601" xr3:uid="{E23E2F42-DCE4-419D-BA84-DF7F2C90306F}" name="Column15568"/>
    <tableColumn id="15602" xr3:uid="{34A1D966-BAE0-41C6-8B07-00CD6B8442A8}" name="Column15569"/>
    <tableColumn id="15603" xr3:uid="{8BC5445A-6937-4BC8-88C3-C1E075C4710F}" name="Column15570"/>
    <tableColumn id="15604" xr3:uid="{FD5B9134-F40A-43E6-92D1-110DF3D42F52}" name="Column15571"/>
    <tableColumn id="15605" xr3:uid="{CE3CC91F-7FDE-490D-9A52-28BFCD420064}" name="Column15572"/>
    <tableColumn id="15606" xr3:uid="{5728F84E-B506-44DD-8AAF-D171165DAC21}" name="Column15573"/>
    <tableColumn id="15607" xr3:uid="{99F5F0AA-4FD5-4E7A-A509-5A6F61D8B2A2}" name="Column15574"/>
    <tableColumn id="15608" xr3:uid="{5D20B617-EB89-4FBA-93F1-287F765B676D}" name="Column15575"/>
    <tableColumn id="15609" xr3:uid="{8B69B3DC-E447-4B2B-B8CE-DB92A3365DC4}" name="Column15576"/>
    <tableColumn id="15610" xr3:uid="{962F424B-6CA7-4C8B-B91E-A99E8672FE59}" name="Column15577"/>
    <tableColumn id="15611" xr3:uid="{42679DED-5D22-474D-9BBE-071A6FF9A51E}" name="Column15578"/>
    <tableColumn id="15612" xr3:uid="{015450AC-D47C-4E56-86A1-BEBD31A66289}" name="Column15579"/>
    <tableColumn id="15613" xr3:uid="{B9718704-2968-42AB-88CD-06F3DE9A376F}" name="Column15580"/>
    <tableColumn id="15614" xr3:uid="{C9ED202B-D681-4E6B-8EEC-97432B70BA5B}" name="Column15581"/>
    <tableColumn id="15615" xr3:uid="{F5B7AE1C-567E-4373-B5F3-6C83340BCCFD}" name="Column15582"/>
    <tableColumn id="15616" xr3:uid="{7D128731-E736-41FF-B559-853E415CD282}" name="Column15583"/>
    <tableColumn id="15617" xr3:uid="{2E028F75-4620-4DA0-9031-A347374E6815}" name="Column15584"/>
    <tableColumn id="15618" xr3:uid="{7CE8C7B0-60A6-40BF-ABF1-43A25789F466}" name="Column15585"/>
    <tableColumn id="15619" xr3:uid="{3C8326B2-D790-44C2-BDB7-05A8F51784D4}" name="Column15586"/>
    <tableColumn id="15620" xr3:uid="{7BD7A673-E6BC-480B-AE28-87B6CD09A818}" name="Column15587"/>
    <tableColumn id="15621" xr3:uid="{0916625B-5D30-42F6-9426-0217112BB0C1}" name="Column15588"/>
    <tableColumn id="15622" xr3:uid="{747FB8A0-5E79-442D-B597-B7E34D149292}" name="Column15589"/>
    <tableColumn id="15623" xr3:uid="{7137508A-4982-4C6A-9684-EB5ABD4B50C3}" name="Column15590"/>
    <tableColumn id="15624" xr3:uid="{8548C670-A016-49FE-B045-1FB1BEE3C759}" name="Column15591"/>
    <tableColumn id="15625" xr3:uid="{DE7308D9-1B07-4043-86F5-55AAA0AEA197}" name="Column15592"/>
    <tableColumn id="15626" xr3:uid="{4379CB19-F1F3-4A22-AFE3-E700220D14DD}" name="Column15593"/>
    <tableColumn id="15627" xr3:uid="{58DD960C-F9C1-4993-B928-0D91DF52FAF8}" name="Column15594"/>
    <tableColumn id="15628" xr3:uid="{C80A0E54-42DC-4E8F-84E5-46844C277348}" name="Column15595"/>
    <tableColumn id="15629" xr3:uid="{5D5EB9B9-34C3-4704-BCE5-BB76C3103A37}" name="Column15596"/>
    <tableColumn id="15630" xr3:uid="{2465681F-0743-4389-B7B4-34C288FBF94D}" name="Column15597"/>
    <tableColumn id="15631" xr3:uid="{28AD863C-C194-40CB-A76E-3AA0A24F5799}" name="Column15598"/>
    <tableColumn id="15632" xr3:uid="{2F772E74-4D65-43B1-B228-9CF621E4CB1F}" name="Column15599"/>
    <tableColumn id="15633" xr3:uid="{7FF1F08D-112C-4DD9-AE91-32039C4F3EB6}" name="Column15600"/>
    <tableColumn id="15634" xr3:uid="{86147405-5E80-476C-963E-6016A31ADF4A}" name="Column15601"/>
    <tableColumn id="15635" xr3:uid="{D3298D8C-ABEB-451E-A7CF-D4C87A3BB958}" name="Column15602"/>
    <tableColumn id="15636" xr3:uid="{9E4A0401-4615-4F41-AC07-9EFE2FDBC764}" name="Column15603"/>
    <tableColumn id="15637" xr3:uid="{5B5AFD21-B5F6-41F9-A4BC-102870052F2C}" name="Column15604"/>
    <tableColumn id="15638" xr3:uid="{CA47FCEF-AB54-400B-A5EB-3432A4DFABB8}" name="Column15605"/>
    <tableColumn id="15639" xr3:uid="{784809DB-6227-4320-B6F0-DE3A83ED982D}" name="Column15606"/>
    <tableColumn id="15640" xr3:uid="{A1EB4BE3-A61A-44BF-B6AC-BA7DAD35C268}" name="Column15607"/>
    <tableColumn id="15641" xr3:uid="{EF20DC57-6EF9-4214-BC4F-04B7184D3DF2}" name="Column15608"/>
    <tableColumn id="15642" xr3:uid="{83474498-CBBE-44A5-8A3A-178CBEB37419}" name="Column15609"/>
    <tableColumn id="15643" xr3:uid="{5B4F965B-3C5F-4680-BE8D-532051CECC0D}" name="Column15610"/>
    <tableColumn id="15644" xr3:uid="{A695A7FC-9B8A-4ED7-8070-00EEA33BE2BE}" name="Column15611"/>
    <tableColumn id="15645" xr3:uid="{3E6958A6-4A22-488A-8D73-DF2A22C1ADB9}" name="Column15612"/>
    <tableColumn id="15646" xr3:uid="{4FB8A16C-ED1A-453B-A649-C3E7FC8F917F}" name="Column15613"/>
    <tableColumn id="15647" xr3:uid="{F7B3937A-FFC2-480E-BE11-7F0F8F2D1951}" name="Column15614"/>
    <tableColumn id="15648" xr3:uid="{2EFCF0F6-290D-4A1D-A0EF-E22501A420C7}" name="Column15615"/>
    <tableColumn id="15649" xr3:uid="{B0E937D3-6D2A-4C19-BA81-CC4104556ABA}" name="Column15616"/>
    <tableColumn id="15650" xr3:uid="{2448ABFA-4EE1-413E-A181-8F15F4FD265E}" name="Column15617"/>
    <tableColumn id="15651" xr3:uid="{EE09240D-1422-47DB-A20B-FE048E2EE5D7}" name="Column15618"/>
    <tableColumn id="15652" xr3:uid="{A762ADD8-F631-4BB1-B915-4577630B5161}" name="Column15619"/>
    <tableColumn id="15653" xr3:uid="{41AF78B6-34D5-4B5D-AC1C-88FC32E1CD22}" name="Column15620"/>
    <tableColumn id="15654" xr3:uid="{D3DE15F9-A05A-4B23-B586-9A2655008E99}" name="Column15621"/>
    <tableColumn id="15655" xr3:uid="{6A9B18CE-4973-4785-B074-8B2A4C2A0C9A}" name="Column15622"/>
    <tableColumn id="15656" xr3:uid="{59ECFF55-67E2-48CE-8E49-791FDDDFFFDE}" name="Column15623"/>
    <tableColumn id="15657" xr3:uid="{E74D0A87-6626-45E5-8BDA-427D8E65E866}" name="Column15624"/>
    <tableColumn id="15658" xr3:uid="{285357A2-532E-4EA8-A976-344EE9FA5F73}" name="Column15625"/>
    <tableColumn id="15659" xr3:uid="{2ABEB562-E80E-44B2-8492-C7A6E8F17D3E}" name="Column15626"/>
    <tableColumn id="15660" xr3:uid="{7A2453A6-4313-42C0-AC9A-9221E6F36C66}" name="Column15627"/>
    <tableColumn id="15661" xr3:uid="{B173C052-719C-4BDB-AC45-5D935D02B29E}" name="Column15628"/>
    <tableColumn id="15662" xr3:uid="{8AA3E8FE-05EB-4D9D-B8A9-77ED59F36B25}" name="Column15629"/>
    <tableColumn id="15663" xr3:uid="{D435B045-805A-46B4-9159-2FB4272CE8C9}" name="Column15630"/>
    <tableColumn id="15664" xr3:uid="{577BA6DB-E9A4-4A6C-A735-C4AB005A55FF}" name="Column15631"/>
    <tableColumn id="15665" xr3:uid="{F38ED8DA-3263-482A-BDEE-5B566FC9051B}" name="Column15632"/>
    <tableColumn id="15666" xr3:uid="{3C1E8D0E-03C0-4831-8764-019F1615FFD6}" name="Column15633"/>
    <tableColumn id="15667" xr3:uid="{BD64D9A3-3E9F-4354-B398-E9F579B204FD}" name="Column15634"/>
    <tableColumn id="15668" xr3:uid="{5BA28359-0360-4F0B-8799-104C7458D9F7}" name="Column15635"/>
    <tableColumn id="15669" xr3:uid="{E2BC2A2F-E866-4415-BEA4-A0814E4E83D9}" name="Column15636"/>
    <tableColumn id="15670" xr3:uid="{FA0BAA03-CE30-45BD-976E-8212767B18C9}" name="Column15637"/>
    <tableColumn id="15671" xr3:uid="{C34C43BC-0D2B-4AD0-8F37-98BCB9D9F46F}" name="Column15638"/>
    <tableColumn id="15672" xr3:uid="{07BA121F-8DD7-4220-AAD2-45E9FCBFBF23}" name="Column15639"/>
    <tableColumn id="15673" xr3:uid="{B857DDE4-12BB-450C-A0D1-1E8F6DC1E6C5}" name="Column15640"/>
    <tableColumn id="15674" xr3:uid="{C1EF1D78-1A3E-4AA3-8C37-76AFA8938273}" name="Column15641"/>
    <tableColumn id="15675" xr3:uid="{85D1C413-829B-4CFB-8662-17194A14FDD0}" name="Column15642"/>
    <tableColumn id="15676" xr3:uid="{32334437-325B-44B0-846E-B268CA7459D2}" name="Column15643"/>
    <tableColumn id="15677" xr3:uid="{6D8C91BD-BB61-4565-AD32-CD9972CD7F71}" name="Column15644"/>
    <tableColumn id="15678" xr3:uid="{CED29350-A3DB-4164-BEE3-F3C65BECAFFD}" name="Column15645"/>
    <tableColumn id="15679" xr3:uid="{A774FA7F-D0B1-4F8B-A7A0-17DB92F48300}" name="Column15646"/>
    <tableColumn id="15680" xr3:uid="{EBAED735-DBE0-4F06-90DE-981C22510730}" name="Column15647"/>
    <tableColumn id="15681" xr3:uid="{A0395BC7-A7DB-4434-BA4F-433D9DA45F8E}" name="Column15648"/>
    <tableColumn id="15682" xr3:uid="{9C30E5C1-0657-45C3-A87E-A214781DE490}" name="Column15649"/>
    <tableColumn id="15683" xr3:uid="{895F99CE-493A-43F2-A163-4FF9DD5D9FEA}" name="Column15650"/>
    <tableColumn id="15684" xr3:uid="{3DDBBCFE-8811-486E-9D9F-BC744C99036C}" name="Column15651"/>
    <tableColumn id="15685" xr3:uid="{B45F4F40-EAD6-421B-BB72-64C6B74A01E3}" name="Column15652"/>
    <tableColumn id="15686" xr3:uid="{5A6C957E-0327-482A-AA9C-DBEB0FE19493}" name="Column15653"/>
    <tableColumn id="15687" xr3:uid="{29D0EC08-7816-43EF-8A72-8F56009A647F}" name="Column15654"/>
    <tableColumn id="15688" xr3:uid="{99A65106-A77A-4A49-84E9-43B02F1C1587}" name="Column15655"/>
    <tableColumn id="15689" xr3:uid="{9790EE36-BAC4-4BA0-B713-EC5EC6114DFD}" name="Column15656"/>
    <tableColumn id="15690" xr3:uid="{66994DC4-5FAB-4A8B-8EF5-EDDDB490A5DB}" name="Column15657"/>
    <tableColumn id="15691" xr3:uid="{F733582D-8FD0-490E-9EA8-40E43A9A68F5}" name="Column15658"/>
    <tableColumn id="15692" xr3:uid="{1F6BC9AC-3A3E-42E6-A8F5-702F1D29B8E2}" name="Column15659"/>
    <tableColumn id="15693" xr3:uid="{BFB9D13D-542B-40F9-86C8-81D23C6B79E8}" name="Column15660"/>
    <tableColumn id="15694" xr3:uid="{AB82416A-D9B5-49CE-BFC6-597B0868927D}" name="Column15661"/>
    <tableColumn id="15695" xr3:uid="{E42F6345-DF29-48C5-B9EE-D55BDBB4F386}" name="Column15662"/>
    <tableColumn id="15696" xr3:uid="{E5D357CB-E729-46A7-9B63-39F69A1A94DD}" name="Column15663"/>
    <tableColumn id="15697" xr3:uid="{A12A9431-62D7-4841-9689-39DC3E4A6557}" name="Column15664"/>
    <tableColumn id="15698" xr3:uid="{DC7FDFD7-C65D-4841-8912-C0064AE6D591}" name="Column15665"/>
    <tableColumn id="15699" xr3:uid="{77F0304E-C90F-4855-9298-C366E4473D9D}" name="Column15666"/>
    <tableColumn id="15700" xr3:uid="{AB3C62B0-B283-4264-807F-1F9C95A55A0F}" name="Column15667"/>
    <tableColumn id="15701" xr3:uid="{72C7B449-0467-4FAF-848E-498C5374EE6E}" name="Column15668"/>
    <tableColumn id="15702" xr3:uid="{997A5A39-C955-4388-9BA6-C5D2953838CA}" name="Column15669"/>
    <tableColumn id="15703" xr3:uid="{E7949349-4957-4E65-A79E-E70F4406279A}" name="Column15670"/>
    <tableColumn id="15704" xr3:uid="{44AE17F7-5420-4740-A6C2-3A459971E893}" name="Column15671"/>
    <tableColumn id="15705" xr3:uid="{C7D1EF5D-83F7-43E9-B0F2-B96C45CDF67E}" name="Column15672"/>
    <tableColumn id="15706" xr3:uid="{D2423DCD-293A-49CC-AEC2-AEFD4A9CD77B}" name="Column15673"/>
    <tableColumn id="15707" xr3:uid="{A56925BF-8E3B-4D64-BE15-CEB2CA498689}" name="Column15674"/>
    <tableColumn id="15708" xr3:uid="{024380B2-92FD-4597-A179-A941C447F684}" name="Column15675"/>
    <tableColumn id="15709" xr3:uid="{C3D3F4D5-80F2-45BD-8F9A-28D4E14D1DEA}" name="Column15676"/>
    <tableColumn id="15710" xr3:uid="{88FAADB7-98A1-46D3-916A-05242DDD10D4}" name="Column15677"/>
    <tableColumn id="15711" xr3:uid="{02811BA2-3625-408E-B60A-540B617210F2}" name="Column15678"/>
    <tableColumn id="15712" xr3:uid="{972FAB1D-0E24-4B2D-B24F-74FC2BD5D91B}" name="Column15679"/>
    <tableColumn id="15713" xr3:uid="{1F57E5EC-4886-4353-8136-D468122C44E7}" name="Column15680"/>
    <tableColumn id="15714" xr3:uid="{2AB06AAF-68AB-4C17-BC53-6C2021BD528E}" name="Column15681"/>
    <tableColumn id="15715" xr3:uid="{092256FA-67B5-4034-880F-C6B76D238D0B}" name="Column15682"/>
    <tableColumn id="15716" xr3:uid="{A78F775E-31F8-42DD-A924-F967CA25CAD0}" name="Column15683"/>
    <tableColumn id="15717" xr3:uid="{138B0CC7-B0FD-41AA-9B53-09DD14BFE43B}" name="Column15684"/>
    <tableColumn id="15718" xr3:uid="{2FC476EF-8BA6-4C3E-9963-B7AD7A648939}" name="Column15685"/>
    <tableColumn id="15719" xr3:uid="{9B64C02C-EF3A-4D80-8B26-62C21EE7E33E}" name="Column15686"/>
    <tableColumn id="15720" xr3:uid="{A3394C59-2DFD-4157-90F5-5206BFE3D1BE}" name="Column15687"/>
    <tableColumn id="15721" xr3:uid="{9FB08F35-01B7-4AA3-868E-A16E8F1B2373}" name="Column15688"/>
    <tableColumn id="15722" xr3:uid="{7B93137B-9337-4B21-BD4E-37602EF89E9A}" name="Column15689"/>
    <tableColumn id="15723" xr3:uid="{DC00BB0F-B083-4E82-B7A1-C93F330E08E6}" name="Column15690"/>
    <tableColumn id="15724" xr3:uid="{9C5240E5-B093-4D4C-B5C0-A6425976C901}" name="Column15691"/>
    <tableColumn id="15725" xr3:uid="{9D0CE327-AD25-4C39-81F4-C9B7304BE5D6}" name="Column15692"/>
    <tableColumn id="15726" xr3:uid="{1183F78D-4AE0-4FA0-A51E-C4637D7BA2B3}" name="Column15693"/>
    <tableColumn id="15727" xr3:uid="{E0A05557-C061-4561-A3B7-36604ABECD7D}" name="Column15694"/>
    <tableColumn id="15728" xr3:uid="{91D8338F-CB7E-4050-8310-4F08614930AF}" name="Column15695"/>
    <tableColumn id="15729" xr3:uid="{87BCD958-7062-47D6-A747-6517BA13AB7B}" name="Column15696"/>
    <tableColumn id="15730" xr3:uid="{046A792B-5436-49C7-862E-D5AEB754D607}" name="Column15697"/>
    <tableColumn id="15731" xr3:uid="{71C366BE-8F24-4FD6-BE46-D2EF5640983A}" name="Column15698"/>
    <tableColumn id="15732" xr3:uid="{3E008FC7-16DC-4AAE-A19F-D73CBEBFFA0C}" name="Column15699"/>
    <tableColumn id="15733" xr3:uid="{42849DF2-8F2B-4C7A-8774-86C518C122E0}" name="Column15700"/>
    <tableColumn id="15734" xr3:uid="{FC32D090-F117-428F-BD51-927833696A2F}" name="Column15701"/>
    <tableColumn id="15735" xr3:uid="{BA2A4482-4D70-4C5B-A29E-40ADB9EDE5C6}" name="Column15702"/>
    <tableColumn id="15736" xr3:uid="{22970FE2-716B-424A-97AA-DE565F99742E}" name="Column15703"/>
    <tableColumn id="15737" xr3:uid="{44C7A06D-DD9F-4F02-982E-3E21978952B8}" name="Column15704"/>
    <tableColumn id="15738" xr3:uid="{1F3E4E32-B88A-4578-8ACB-B52C28E12CDC}" name="Column15705"/>
    <tableColumn id="15739" xr3:uid="{12CA0E58-0CCA-4459-B61D-DD59D20C0AF4}" name="Column15706"/>
    <tableColumn id="15740" xr3:uid="{99400F66-2AFB-4B29-BD8B-C765CC5B8F83}" name="Column15707"/>
    <tableColumn id="15741" xr3:uid="{296DC485-4926-47DF-8022-682DBD2C3D70}" name="Column15708"/>
    <tableColumn id="15742" xr3:uid="{532A51F3-8750-4957-9768-4B91B94D0DD4}" name="Column15709"/>
    <tableColumn id="15743" xr3:uid="{6F14D4BF-517B-4D0B-BE1E-E5299D3F9AAB}" name="Column15710"/>
    <tableColumn id="15744" xr3:uid="{CB1CDDF9-635D-493D-9BD4-6BE9B78F1A68}" name="Column15711"/>
    <tableColumn id="15745" xr3:uid="{6F36BA0A-BDE4-4302-BDA5-58912B57B155}" name="Column15712"/>
    <tableColumn id="15746" xr3:uid="{2C1B5A3F-D02C-489E-866C-C636D163004F}" name="Column15713"/>
    <tableColumn id="15747" xr3:uid="{DF1C4C35-95BB-471C-B458-7D5D2937BBAD}" name="Column15714"/>
    <tableColumn id="15748" xr3:uid="{417AB2B0-1F64-4AEF-9391-5E9F683F899C}" name="Column15715"/>
    <tableColumn id="15749" xr3:uid="{0C2ED58E-A0D6-4ED0-9617-A9B61122D262}" name="Column15716"/>
    <tableColumn id="15750" xr3:uid="{F3AFC24A-48CB-4D70-AF28-C4BAC7C3028D}" name="Column15717"/>
    <tableColumn id="15751" xr3:uid="{17591CC1-634C-4EE3-B310-FF9CDEC43505}" name="Column15718"/>
    <tableColumn id="15752" xr3:uid="{7F4DD370-46C8-4544-8BF3-380911142209}" name="Column15719"/>
    <tableColumn id="15753" xr3:uid="{761DE2A1-D96B-4D4D-95B3-17C5FA05113A}" name="Column15720"/>
    <tableColumn id="15754" xr3:uid="{62D68530-67CC-45C2-BAA7-DE3032DA3AEB}" name="Column15721"/>
    <tableColumn id="15755" xr3:uid="{126E478F-EFA6-4293-A2E5-5C2D1CBCD8B5}" name="Column15722"/>
    <tableColumn id="15756" xr3:uid="{8BF2F0BA-E8A1-4BC6-899A-EE5B039DAA3E}" name="Column15723"/>
    <tableColumn id="15757" xr3:uid="{2817213B-6F06-415F-9E59-CDB74AEACC01}" name="Column15724"/>
    <tableColumn id="15758" xr3:uid="{74D35E9F-F34A-4D66-A831-259DD1FC7B2E}" name="Column15725"/>
    <tableColumn id="15759" xr3:uid="{888E7DB6-DB5C-4A94-ABD7-AF9DCC528753}" name="Column15726"/>
    <tableColumn id="15760" xr3:uid="{D56B933E-A0B1-47EC-8184-BFBF94B27EEC}" name="Column15727"/>
    <tableColumn id="15761" xr3:uid="{8368FCC3-CE04-47B1-8B3B-3C897CEB7A74}" name="Column15728"/>
    <tableColumn id="15762" xr3:uid="{3193AE72-154C-4AA7-B652-9E15DB51DC7C}" name="Column15729"/>
    <tableColumn id="15763" xr3:uid="{7C66303C-A7AC-48A7-A49A-FC28094CF4BB}" name="Column15730"/>
    <tableColumn id="15764" xr3:uid="{79C41827-B932-4E55-B313-DEFBE30D83DD}" name="Column15731"/>
    <tableColumn id="15765" xr3:uid="{16D2FFCD-B76E-486D-8DEA-BB0EBE150F04}" name="Column15732"/>
    <tableColumn id="15766" xr3:uid="{C95383A2-6341-4AD7-AD25-54FB661691BD}" name="Column15733"/>
    <tableColumn id="15767" xr3:uid="{1A0DEBFE-FBC7-4779-8DAE-09D40E52E15D}" name="Column15734"/>
    <tableColumn id="15768" xr3:uid="{38C9A588-5BDA-470A-B6F5-3D67CDC9199B}" name="Column15735"/>
    <tableColumn id="15769" xr3:uid="{72038FEB-3FF6-4078-ACCA-F152D24956A7}" name="Column15736"/>
    <tableColumn id="15770" xr3:uid="{4A2BEEC1-5A16-4B46-B2C1-8BB9FA214BD4}" name="Column15737"/>
    <tableColumn id="15771" xr3:uid="{DAD3D93A-0872-472D-9B7E-A7D018B15458}" name="Column15738"/>
    <tableColumn id="15772" xr3:uid="{530E578B-E1DE-4913-B1E8-04A196E685F1}" name="Column15739"/>
    <tableColumn id="15773" xr3:uid="{2D98B825-9125-4163-9327-E49FCA02AA25}" name="Column15740"/>
    <tableColumn id="15774" xr3:uid="{5E7472C5-A09E-4076-AE63-1444B6907DA8}" name="Column15741"/>
    <tableColumn id="15775" xr3:uid="{6A32E368-E0D7-4FE6-A761-6AE253BF73EE}" name="Column15742"/>
    <tableColumn id="15776" xr3:uid="{0C9E291E-BC27-42E4-8E93-A22E1377ED14}" name="Column15743"/>
    <tableColumn id="15777" xr3:uid="{A943B6CA-C759-4FC1-837C-1975F27EF198}" name="Column15744"/>
    <tableColumn id="15778" xr3:uid="{FA96A9A0-ED44-4144-BDC3-B4FC0BE46FE7}" name="Column15745"/>
    <tableColumn id="15779" xr3:uid="{7DB1AAB5-4D55-4C91-86B0-5095FA2E96AE}" name="Column15746"/>
    <tableColumn id="15780" xr3:uid="{28940A00-BBB8-4D21-B57A-AB834668C37C}" name="Column15747"/>
    <tableColumn id="15781" xr3:uid="{9826FD64-2DBD-425F-A436-D2F32C6FDC60}" name="Column15748"/>
    <tableColumn id="15782" xr3:uid="{20FF82B3-2ADB-4CC4-A1CD-559FCD03034C}" name="Column15749"/>
    <tableColumn id="15783" xr3:uid="{1EC3C158-147F-4DE9-B821-8BF35D2FF633}" name="Column15750"/>
    <tableColumn id="15784" xr3:uid="{F1FD2D2A-F61B-4F22-BBA1-F0195BA2040E}" name="Column15751"/>
    <tableColumn id="15785" xr3:uid="{57ECF6B6-1922-4A06-BD4E-416AE6DD9C59}" name="Column15752"/>
    <tableColumn id="15786" xr3:uid="{75C99F6D-2E1A-43E7-BBD9-858CE5781450}" name="Column15753"/>
    <tableColumn id="15787" xr3:uid="{E0128461-4785-42CF-AED3-0256FAF8EE98}" name="Column15754"/>
    <tableColumn id="15788" xr3:uid="{9D687448-9671-4917-A603-9F9CB1743E71}" name="Column15755"/>
    <tableColumn id="15789" xr3:uid="{80B06939-2951-45C5-86EC-5146F6AFAAC7}" name="Column15756"/>
    <tableColumn id="15790" xr3:uid="{A5999C4D-95F1-4330-BF9B-D35FF7098902}" name="Column15757"/>
    <tableColumn id="15791" xr3:uid="{2336BA48-3F71-41C6-8A9B-100EAAFF15EB}" name="Column15758"/>
    <tableColumn id="15792" xr3:uid="{06A95315-AED7-4684-80EF-2FBCCA435511}" name="Column15759"/>
    <tableColumn id="15793" xr3:uid="{C82A858A-4C1B-4C98-AE4F-23420B178A76}" name="Column15760"/>
    <tableColumn id="15794" xr3:uid="{BF81CE36-42D8-4C21-8688-4CB2A4B2FCFC}" name="Column15761"/>
    <tableColumn id="15795" xr3:uid="{98DE257A-C1CF-4FFB-BC72-6EFC720C18DA}" name="Column15762"/>
    <tableColumn id="15796" xr3:uid="{1419649C-3EEC-4153-985E-8B4F93F3317C}" name="Column15763"/>
    <tableColumn id="15797" xr3:uid="{82B76E04-C860-4260-879C-0309BCAAAF54}" name="Column15764"/>
    <tableColumn id="15798" xr3:uid="{258BC146-3A75-48C4-ADA3-5DBF6B2EB747}" name="Column15765"/>
    <tableColumn id="15799" xr3:uid="{DF2BA92B-6727-42D5-B997-79B88F208271}" name="Column15766"/>
    <tableColumn id="15800" xr3:uid="{938AFDFF-3042-419B-9BC1-54CAA94F9C25}" name="Column15767"/>
    <tableColumn id="15801" xr3:uid="{A0F113E6-3C04-4F9B-9BBD-98BB24E8FF48}" name="Column15768"/>
    <tableColumn id="15802" xr3:uid="{70EF8A56-F56D-44DD-BEE3-15D8A1C940B5}" name="Column15769"/>
    <tableColumn id="15803" xr3:uid="{0C96F1F5-27A2-46A4-910C-67AF36BF34F1}" name="Column15770"/>
    <tableColumn id="15804" xr3:uid="{D97BC6BC-99DA-43F7-A9C1-F7A98BB3047A}" name="Column15771"/>
    <tableColumn id="15805" xr3:uid="{678200AB-13A2-4914-A74A-DC617EE774BA}" name="Column15772"/>
    <tableColumn id="15806" xr3:uid="{66AF1E9D-8778-4A82-8547-5B12BF17E35C}" name="Column15773"/>
    <tableColumn id="15807" xr3:uid="{6A4EA950-819A-47FC-A6D4-6611C68F09BF}" name="Column15774"/>
    <tableColumn id="15808" xr3:uid="{67B220AD-5E1C-4D59-9B71-8968993CAF29}" name="Column15775"/>
    <tableColumn id="15809" xr3:uid="{716FD151-7B7E-4425-8334-7D8AD5DADC01}" name="Column15776"/>
    <tableColumn id="15810" xr3:uid="{12B98A4A-C306-4919-B76F-DD6689A16E77}" name="Column15777"/>
    <tableColumn id="15811" xr3:uid="{B34919AD-ACCF-45AC-BE29-F2E89395D4AD}" name="Column15778"/>
    <tableColumn id="15812" xr3:uid="{182981ED-5489-4113-8ADD-259ABBF3BCB4}" name="Column15779"/>
    <tableColumn id="15813" xr3:uid="{9E8BFB12-C7E1-46C5-A263-D2ADB936CE65}" name="Column15780"/>
    <tableColumn id="15814" xr3:uid="{2D7A2513-2D36-427F-BC28-94BD7052CB92}" name="Column15781"/>
    <tableColumn id="15815" xr3:uid="{4232E3C3-3173-48BA-BE3C-E9880EC8EEFA}" name="Column15782"/>
    <tableColumn id="15816" xr3:uid="{BCB3A10E-84AA-4F6C-8281-699509472265}" name="Column15783"/>
    <tableColumn id="15817" xr3:uid="{D46E2878-5E64-479F-9DC4-18EDBDB6DADD}" name="Column15784"/>
    <tableColumn id="15818" xr3:uid="{DB74B931-C05C-4C79-851F-6FDF3590BF36}" name="Column15785"/>
    <tableColumn id="15819" xr3:uid="{9AAD44AF-3B54-43CB-8DDB-73CFCC2812FF}" name="Column15786"/>
    <tableColumn id="15820" xr3:uid="{7C504DD0-4570-48A1-9E06-884D74BA12C8}" name="Column15787"/>
    <tableColumn id="15821" xr3:uid="{A459A1A5-8CB2-40A6-A7E8-01E8D5D83590}" name="Column15788"/>
    <tableColumn id="15822" xr3:uid="{65F8E14A-6684-4DB1-9FC0-5D1F0BEDD2E5}" name="Column15789"/>
    <tableColumn id="15823" xr3:uid="{FE8EF6A5-E03C-4ADF-A981-B33069807808}" name="Column15790"/>
    <tableColumn id="15824" xr3:uid="{B4B9C1DD-AB7D-4F00-A174-28C0DC53F6BF}" name="Column15791"/>
    <tableColumn id="15825" xr3:uid="{6ACAF185-F7B1-4957-8284-059F7A49A696}" name="Column15792"/>
    <tableColumn id="15826" xr3:uid="{7106D549-68E2-4CC2-9D67-F92E8D7843AE}" name="Column15793"/>
    <tableColumn id="15827" xr3:uid="{A930624C-29D1-49CA-BC4E-410B4D7A2718}" name="Column15794"/>
    <tableColumn id="15828" xr3:uid="{6271E1BF-D966-4CC1-BD05-FF73A8DE8DF2}" name="Column15795"/>
    <tableColumn id="15829" xr3:uid="{A359DBEC-B34D-4A2A-B60A-B0DD3F0DA944}" name="Column15796"/>
    <tableColumn id="15830" xr3:uid="{78006DDC-5E94-44D3-8C5C-4DFF53FABFFB}" name="Column15797"/>
    <tableColumn id="15831" xr3:uid="{2A002EFA-ABF8-4BF7-80C6-6BBCC823DA61}" name="Column15798"/>
    <tableColumn id="15832" xr3:uid="{08519185-524C-4CAD-8534-E042DDDFDA2D}" name="Column15799"/>
    <tableColumn id="15833" xr3:uid="{BD4EE23C-4E20-4A85-9244-A08B758B1A1C}" name="Column15800"/>
    <tableColumn id="15834" xr3:uid="{C73A9ABC-6B15-486C-B4BF-0710DDA06475}" name="Column15801"/>
    <tableColumn id="15835" xr3:uid="{9FF0A423-4017-4D5F-A3F6-65F5CE0FD237}" name="Column15802"/>
    <tableColumn id="15836" xr3:uid="{854689A4-38A6-439D-BDF6-5ECF97E41332}" name="Column15803"/>
    <tableColumn id="15837" xr3:uid="{E7912BA0-61F0-4AA3-875D-97EFEBB4835F}" name="Column15804"/>
    <tableColumn id="15838" xr3:uid="{0322F705-1653-464C-B3A0-01349F79EF29}" name="Column15805"/>
    <tableColumn id="15839" xr3:uid="{EBCC3B62-E4E4-432F-ADAB-6CE50A752C59}" name="Column15806"/>
    <tableColumn id="15840" xr3:uid="{ACF27778-87D9-440D-96E9-5182A8516170}" name="Column15807"/>
    <tableColumn id="15841" xr3:uid="{3F8C1690-40E2-4F22-A348-E0EA8507A747}" name="Column15808"/>
    <tableColumn id="15842" xr3:uid="{818F8A29-65C3-40C8-934B-E747343FBBD1}" name="Column15809"/>
    <tableColumn id="15843" xr3:uid="{8427D86F-20F7-44DE-8A53-F43DA5C01DF7}" name="Column15810"/>
    <tableColumn id="15844" xr3:uid="{9BD6799F-2B23-41AB-89FB-B1A553BAA26D}" name="Column15811"/>
    <tableColumn id="15845" xr3:uid="{23D4AA5F-9ACB-4207-BAB0-4052F2AF9297}" name="Column15812"/>
    <tableColumn id="15846" xr3:uid="{EEBC2730-1279-414B-9C5B-5E1A3FB02D0F}" name="Column15813"/>
    <tableColumn id="15847" xr3:uid="{C81C82E0-F268-41A7-AD2C-7F063D39557B}" name="Column15814"/>
    <tableColumn id="15848" xr3:uid="{FECD0901-F1C7-4D79-88B4-AC3C72873C29}" name="Column15815"/>
    <tableColumn id="15849" xr3:uid="{23E87EF4-81B6-4E42-B883-9D66D9098571}" name="Column15816"/>
    <tableColumn id="15850" xr3:uid="{BA175A55-3047-4BD0-AAFF-56048EB59326}" name="Column15817"/>
    <tableColumn id="15851" xr3:uid="{595CF999-0E54-4B1B-93EC-D67B2798A4D6}" name="Column15818"/>
    <tableColumn id="15852" xr3:uid="{365E5987-17E8-48BC-9FA3-14E74866271E}" name="Column15819"/>
    <tableColumn id="15853" xr3:uid="{AF3C3FAA-39EB-4C3F-B0A1-A2459BB7F6DE}" name="Column15820"/>
    <tableColumn id="15854" xr3:uid="{79095E7F-FB36-44F6-A848-946FE7928B3B}" name="Column15821"/>
    <tableColumn id="15855" xr3:uid="{75FB2164-DD5C-47FF-A5B8-350932B3867B}" name="Column15822"/>
    <tableColumn id="15856" xr3:uid="{D5AA84D0-FD31-48CE-936D-0F6E0D81FD8F}" name="Column15823"/>
    <tableColumn id="15857" xr3:uid="{EFE4EB06-0A09-4DE6-84FF-55F9B11F404C}" name="Column15824"/>
    <tableColumn id="15858" xr3:uid="{57BDD28E-23DD-48E9-BF79-A2CEE48E606A}" name="Column15825"/>
    <tableColumn id="15859" xr3:uid="{8383B49B-7347-4AAF-A798-BB7A251C49AF}" name="Column15826"/>
    <tableColumn id="15860" xr3:uid="{12DE51A4-AE33-4367-9200-5112131A8C99}" name="Column15827"/>
    <tableColumn id="15861" xr3:uid="{ECAE3852-BC92-461D-8CEB-FDB5CA6C49CB}" name="Column15828"/>
    <tableColumn id="15862" xr3:uid="{075BBF3F-6FCD-4BAB-8CAE-7BBC510C2E68}" name="Column15829"/>
    <tableColumn id="15863" xr3:uid="{FB3F1650-6C44-4CD5-89CA-EF95C0F76868}" name="Column15830"/>
    <tableColumn id="15864" xr3:uid="{42B90981-C68F-4B7E-9FF5-D3AF24D26638}" name="Column15831"/>
    <tableColumn id="15865" xr3:uid="{AD95B375-361F-4E21-A065-DFC313F47D4D}" name="Column15832"/>
    <tableColumn id="15866" xr3:uid="{FE4BD1F9-4EC7-46C1-8E0F-FB4FF51BD521}" name="Column15833"/>
    <tableColumn id="15867" xr3:uid="{77867A1B-FE0F-4CB7-B6EF-4F4FE992A0A2}" name="Column15834"/>
    <tableColumn id="15868" xr3:uid="{98016C47-2DBC-4019-9455-2F3B9A448171}" name="Column15835"/>
    <tableColumn id="15869" xr3:uid="{2B20CE2E-8863-4B6B-9823-F7369CA136C5}" name="Column15836"/>
    <tableColumn id="15870" xr3:uid="{546387BF-2C37-4ED2-87E5-6BDE2E971A78}" name="Column15837"/>
    <tableColumn id="15871" xr3:uid="{933FF420-8540-468C-9CEB-1F61D609CF24}" name="Column15838"/>
    <tableColumn id="15872" xr3:uid="{08D0B3C8-E9A3-40A4-91F2-E0DC99DE00FE}" name="Column15839"/>
    <tableColumn id="15873" xr3:uid="{431DA1E1-6CF8-4BC4-84AA-A0CC9BE5704D}" name="Column15840"/>
    <tableColumn id="15874" xr3:uid="{D226D227-55DE-4755-9908-8F9C09E0B16B}" name="Column15841"/>
    <tableColumn id="15875" xr3:uid="{E2123C60-1E3E-44ED-8119-580ADBC7C0A6}" name="Column15842"/>
    <tableColumn id="15876" xr3:uid="{E3F9CB8C-538A-46C1-B25D-1C9A443335AA}" name="Column15843"/>
    <tableColumn id="15877" xr3:uid="{AD79C54F-F788-4371-BCD8-658925D623F8}" name="Column15844"/>
    <tableColumn id="15878" xr3:uid="{43BFAF6A-5ED3-488E-8607-3660E9E64347}" name="Column15845"/>
    <tableColumn id="15879" xr3:uid="{0E86DDA3-8A09-4487-82B1-7312C83C70FD}" name="Column15846"/>
    <tableColumn id="15880" xr3:uid="{554A028E-BFB8-4E1C-A743-E6257439E5F6}" name="Column15847"/>
    <tableColumn id="15881" xr3:uid="{AEBDEE81-F197-452C-93E2-941138B64483}" name="Column15848"/>
    <tableColumn id="15882" xr3:uid="{40F8103B-D02C-4553-9BB1-C8A3CD62D2AA}" name="Column15849"/>
    <tableColumn id="15883" xr3:uid="{F9640B96-D497-44F0-862B-1AC58F711A85}" name="Column15850"/>
    <tableColumn id="15884" xr3:uid="{7096287D-3198-4D45-9773-3DF992B624F3}" name="Column15851"/>
    <tableColumn id="15885" xr3:uid="{8C5CF4E7-58D0-43CE-A120-5A9E6CFB10AA}" name="Column15852"/>
    <tableColumn id="15886" xr3:uid="{2DAB3E6C-C3A7-4913-81AD-E27336FF1BCD}" name="Column15853"/>
    <tableColumn id="15887" xr3:uid="{079B919A-BCD4-47BF-8725-9B7A6CF26C20}" name="Column15854"/>
    <tableColumn id="15888" xr3:uid="{65205431-5F57-4A2E-AB18-379EF88AAD37}" name="Column15855"/>
    <tableColumn id="15889" xr3:uid="{692F30F4-ADB8-4365-BD0B-60011FF99D43}" name="Column15856"/>
    <tableColumn id="15890" xr3:uid="{611417C1-E74F-4B86-B237-463015FCE9AA}" name="Column15857"/>
    <tableColumn id="15891" xr3:uid="{4679356D-4F4D-4876-A7A1-5A12E43E8749}" name="Column15858"/>
    <tableColumn id="15892" xr3:uid="{5FEAC314-B407-4924-85E9-C40FAC0BC86A}" name="Column15859"/>
    <tableColumn id="15893" xr3:uid="{A05B7171-9406-47C9-A2F0-268C99ADDCE8}" name="Column15860"/>
    <tableColumn id="15894" xr3:uid="{D7ADF97B-4873-4FE3-8242-E31B3673D102}" name="Column15861"/>
    <tableColumn id="15895" xr3:uid="{A5FB5512-39B1-4FE8-8DEF-D5494FF45231}" name="Column15862"/>
    <tableColumn id="15896" xr3:uid="{97B21068-E7CD-47FC-B1D1-011DD49811BD}" name="Column15863"/>
    <tableColumn id="15897" xr3:uid="{8243E7AB-0144-450A-A824-EBA54F5F158C}" name="Column15864"/>
    <tableColumn id="15898" xr3:uid="{F1F3AC8E-A392-42BA-92ED-B1E21405FCA1}" name="Column15865"/>
    <tableColumn id="15899" xr3:uid="{1AE1C21B-4B71-4799-89A3-0FB61D616D1F}" name="Column15866"/>
    <tableColumn id="15900" xr3:uid="{8274DD1E-30BB-496A-B08E-EBF764CB3D35}" name="Column15867"/>
    <tableColumn id="15901" xr3:uid="{13687A87-B7A1-4B02-9EFB-BECB8C86DCF6}" name="Column15868"/>
    <tableColumn id="15902" xr3:uid="{672F7E75-783A-42DC-8920-B755E033ECBA}" name="Column15869"/>
    <tableColumn id="15903" xr3:uid="{837BE0D2-759A-41D9-AC45-18DB85B59477}" name="Column15870"/>
    <tableColumn id="15904" xr3:uid="{ABBB5B0D-CF84-46C9-BE25-67C10A0E22F5}" name="Column15871"/>
    <tableColumn id="15905" xr3:uid="{9FB7E8DD-6A85-4D0D-81C8-21EF49089C65}" name="Column15872"/>
    <tableColumn id="15906" xr3:uid="{ED70E6D9-72D6-4D71-B2AC-42374E9DDC96}" name="Column15873"/>
    <tableColumn id="15907" xr3:uid="{BF36F94A-784A-4023-BDD2-5032A958557E}" name="Column15874"/>
    <tableColumn id="15908" xr3:uid="{24CC1A83-4FB5-4F42-B3FB-35FEB723854F}" name="Column15875"/>
    <tableColumn id="15909" xr3:uid="{CF500033-69E5-4EA3-8BA2-BC7D77A86AB4}" name="Column15876"/>
    <tableColumn id="15910" xr3:uid="{0FCA71AE-2CCF-4845-8596-D94B28595895}" name="Column15877"/>
    <tableColumn id="15911" xr3:uid="{06E7A473-FDF0-4B06-9FE5-AC6801237EA8}" name="Column15878"/>
    <tableColumn id="15912" xr3:uid="{E496525F-53D6-473E-9C53-5B158C67D8D6}" name="Column15879"/>
    <tableColumn id="15913" xr3:uid="{FD9B56EC-AC9B-40FE-A42E-DCF4343DD137}" name="Column15880"/>
    <tableColumn id="15914" xr3:uid="{9AA5DCBB-47B5-4556-92C6-3E69B9315529}" name="Column15881"/>
    <tableColumn id="15915" xr3:uid="{9323DBBC-14BC-40EE-AF0A-9CC65A146522}" name="Column15882"/>
    <tableColumn id="15916" xr3:uid="{54A01D9E-2CD6-4202-B25F-6D49992BC4E3}" name="Column15883"/>
    <tableColumn id="15917" xr3:uid="{7449EB35-F6B3-4F80-A763-786B8C28E8D0}" name="Column15884"/>
    <tableColumn id="15918" xr3:uid="{7244BBEA-68B0-48E2-9702-3CC8ACAD7BB6}" name="Column15885"/>
    <tableColumn id="15919" xr3:uid="{0D75921A-C8E8-4C9B-8387-AC2949AC2F02}" name="Column15886"/>
    <tableColumn id="15920" xr3:uid="{486F2147-4F8F-465A-8DF6-DADB63EF7390}" name="Column15887"/>
    <tableColumn id="15921" xr3:uid="{9CDC06E4-9701-4538-A485-526761C3C48B}" name="Column15888"/>
    <tableColumn id="15922" xr3:uid="{92DE8715-8BF0-4D5E-B98F-6EDDDCE88161}" name="Column15889"/>
    <tableColumn id="15923" xr3:uid="{A41BB16A-5CC4-4825-ADC1-7A83D13E0514}" name="Column15890"/>
    <tableColumn id="15924" xr3:uid="{707A01D2-AA4F-4E07-B102-7758B8AA6BBE}" name="Column15891"/>
    <tableColumn id="15925" xr3:uid="{C8061001-2495-4B6A-95BA-1A9ADC8C9F2B}" name="Column15892"/>
    <tableColumn id="15926" xr3:uid="{27EFF71A-FB60-4803-985F-07AA985B6E7B}" name="Column15893"/>
    <tableColumn id="15927" xr3:uid="{42D11B0E-CDAE-4A95-B6B9-72833BD65F62}" name="Column15894"/>
    <tableColumn id="15928" xr3:uid="{DFD9E713-BA45-4D2C-BD27-9CAA2C73A52C}" name="Column15895"/>
    <tableColumn id="15929" xr3:uid="{E8373F8A-E930-447D-9B79-052036F7A10E}" name="Column15896"/>
    <tableColumn id="15930" xr3:uid="{89AC89EF-8E97-41F9-99AB-82C50921491B}" name="Column15897"/>
    <tableColumn id="15931" xr3:uid="{6E9B4B5D-A6C5-4AA6-B9E5-6D1311CD8876}" name="Column15898"/>
    <tableColumn id="15932" xr3:uid="{A8FA201C-FB96-4E69-AFDE-4B25AF7D4383}" name="Column15899"/>
    <tableColumn id="15933" xr3:uid="{0337F237-1529-4FB6-BC27-A56373C46852}" name="Column15900"/>
    <tableColumn id="15934" xr3:uid="{F6E61105-44EB-49EA-A46F-5E718FCC9409}" name="Column15901"/>
    <tableColumn id="15935" xr3:uid="{9D172BF8-CA24-470D-86A2-215828EE6E06}" name="Column15902"/>
    <tableColumn id="15936" xr3:uid="{FACF4550-4AC2-4A5E-B322-85C148DB257B}" name="Column15903"/>
    <tableColumn id="15937" xr3:uid="{9EFCE016-EB10-4284-8545-0C2E5266DCDD}" name="Column15904"/>
    <tableColumn id="15938" xr3:uid="{CDE55D1A-25F0-4909-9FB7-9C93B6FF16CE}" name="Column15905"/>
    <tableColumn id="15939" xr3:uid="{1C7BF8A8-3DCD-4C42-8C0F-A0581DC14639}" name="Column15906"/>
    <tableColumn id="15940" xr3:uid="{907C8BA8-2C16-4993-B62A-994FCDB86785}" name="Column15907"/>
    <tableColumn id="15941" xr3:uid="{90573B0B-3B93-4FD6-9FAF-2045736482FC}" name="Column15908"/>
    <tableColumn id="15942" xr3:uid="{E65ED455-5D48-4542-AE58-24D77B42A16E}" name="Column15909"/>
    <tableColumn id="15943" xr3:uid="{10F69B25-72A9-4207-A40E-0FDB8C6F3CD4}" name="Column15910"/>
    <tableColumn id="15944" xr3:uid="{CA26BF14-A313-48A5-AE28-23ABB32C7C49}" name="Column15911"/>
    <tableColumn id="15945" xr3:uid="{FB63514A-01EE-417C-AD56-53F1C455069C}" name="Column15912"/>
    <tableColumn id="15946" xr3:uid="{0C69D20E-6980-4B87-8805-69BD8F373825}" name="Column15913"/>
    <tableColumn id="15947" xr3:uid="{CFADEDD6-F783-4523-9859-ABD13072590A}" name="Column15914"/>
    <tableColumn id="15948" xr3:uid="{0C650C97-759F-4863-9CC1-49DBB8E75BA5}" name="Column15915"/>
    <tableColumn id="15949" xr3:uid="{B65B37EC-414A-4B33-8A8B-05DFFECB533E}" name="Column15916"/>
    <tableColumn id="15950" xr3:uid="{B148DA40-3D00-41BA-B606-102A647B3A90}" name="Column15917"/>
    <tableColumn id="15951" xr3:uid="{2852247B-FCAA-4A6E-A513-53BF708BC961}" name="Column15918"/>
    <tableColumn id="15952" xr3:uid="{70FB2206-C6FD-485D-869A-784B06630082}" name="Column15919"/>
    <tableColumn id="15953" xr3:uid="{4D634B32-D4D9-4B4E-99BB-28D8C618F6DA}" name="Column15920"/>
    <tableColumn id="15954" xr3:uid="{7AFDE2A5-1393-4707-A1FF-F9B2ED1642EF}" name="Column15921"/>
    <tableColumn id="15955" xr3:uid="{74FA45ED-6D1A-4CA5-B5FE-019750351ED2}" name="Column15922"/>
    <tableColumn id="15956" xr3:uid="{CA11BCE0-79DB-4B53-BE98-73972962FD68}" name="Column15923"/>
    <tableColumn id="15957" xr3:uid="{8636A52F-F067-428F-B918-1F18857E5DC5}" name="Column15924"/>
    <tableColumn id="15958" xr3:uid="{ADE83579-D034-4739-B723-A486A159A45D}" name="Column15925"/>
    <tableColumn id="15959" xr3:uid="{F322D10E-D0E5-4ADF-9894-F11EA787419B}" name="Column15926"/>
    <tableColumn id="15960" xr3:uid="{063EF8FD-2785-4A74-B395-AD610ED7FD9A}" name="Column15927"/>
    <tableColumn id="15961" xr3:uid="{8B58CEB7-9B96-4585-98B2-1ADDD0E62464}" name="Column15928"/>
    <tableColumn id="15962" xr3:uid="{994D2844-34E6-4C23-9D30-AB9791E633B8}" name="Column15929"/>
    <tableColumn id="15963" xr3:uid="{0B018EF1-222B-41F9-90CD-2794BD4C51CF}" name="Column15930"/>
    <tableColumn id="15964" xr3:uid="{E20925DA-3FB3-4EC7-9578-D16DCDA85A54}" name="Column15931"/>
    <tableColumn id="15965" xr3:uid="{B45B05D0-55BF-4871-B04F-6EB83304448B}" name="Column15932"/>
    <tableColumn id="15966" xr3:uid="{B5F34892-4FC3-4902-91B8-0BC661A642BB}" name="Column15933"/>
    <tableColumn id="15967" xr3:uid="{5DBD23B2-C0C8-4920-89C4-538C833FD410}" name="Column15934"/>
    <tableColumn id="15968" xr3:uid="{16BC9527-1043-442D-A9D0-D36FD68A3C86}" name="Column15935"/>
    <tableColumn id="15969" xr3:uid="{291CDB1E-F21F-43A5-AE5F-8A01907DAEF9}" name="Column15936"/>
    <tableColumn id="15970" xr3:uid="{CF0FB9AC-72FD-45A0-AC73-2175DFA09B57}" name="Column15937"/>
    <tableColumn id="15971" xr3:uid="{7EABB5FB-CAAF-4648-AE3E-81FEB6ABC42C}" name="Column15938"/>
    <tableColumn id="15972" xr3:uid="{D3C23B82-F486-492C-B072-08C34464F463}" name="Column15939"/>
    <tableColumn id="15973" xr3:uid="{11245313-96C0-48CC-A01B-116C7C812901}" name="Column15940"/>
    <tableColumn id="15974" xr3:uid="{F08791C4-4AF9-4C89-99AD-A933E18B7ED2}" name="Column15941"/>
    <tableColumn id="15975" xr3:uid="{86F7104D-4531-448B-98E0-090B5B9E2FC1}" name="Column15942"/>
    <tableColumn id="15976" xr3:uid="{460B1987-C7EF-4C4A-8CCB-315A53C60377}" name="Column15943"/>
    <tableColumn id="15977" xr3:uid="{5C69F59B-C459-41FC-B028-CFC8D425677F}" name="Column15944"/>
    <tableColumn id="15978" xr3:uid="{159B4809-BF91-4EFB-94E8-C45C214412EE}" name="Column15945"/>
    <tableColumn id="15979" xr3:uid="{C4B57EDF-1B22-468D-80EE-8942EA4A7BAF}" name="Column15946"/>
    <tableColumn id="15980" xr3:uid="{14A1A6B9-56F3-4F56-AF17-1875F2D5EEBD}" name="Column15947"/>
    <tableColumn id="15981" xr3:uid="{C14AD7C1-2D0E-43C3-AD35-0DDBB7A5C02C}" name="Column15948"/>
    <tableColumn id="15982" xr3:uid="{220AE872-0B5B-413E-A2D4-ADEA1B42ABAB}" name="Column15949"/>
    <tableColumn id="15983" xr3:uid="{329B4913-F219-4F93-A664-20782257809C}" name="Column15950"/>
    <tableColumn id="15984" xr3:uid="{1170D910-B387-458B-8F76-8D17BD138E91}" name="Column15951"/>
    <tableColumn id="15985" xr3:uid="{C8DB3BA3-23FC-447D-9194-AD50A4A303F6}" name="Column15952"/>
    <tableColumn id="15986" xr3:uid="{5D73A1A0-0FEF-4F82-9144-CF2A713190ED}" name="Column15953"/>
    <tableColumn id="15987" xr3:uid="{58A520AF-1A4C-4529-94CE-1890165B3EF1}" name="Column15954"/>
    <tableColumn id="15988" xr3:uid="{8B93A4C2-D4BE-4957-B25F-E153CD980621}" name="Column15955"/>
    <tableColumn id="15989" xr3:uid="{9F7B909D-5F8D-454D-AA74-722967E531A6}" name="Column15956"/>
    <tableColumn id="15990" xr3:uid="{1E95F77E-289F-40BE-8172-7F5F19EA33E7}" name="Column15957"/>
    <tableColumn id="15991" xr3:uid="{F18090EB-B54D-49D1-B6C6-C2FA989AED1D}" name="Column15958"/>
    <tableColumn id="15992" xr3:uid="{99D930E3-BFBC-44CE-BAD3-040D98C49C02}" name="Column15959"/>
    <tableColumn id="15993" xr3:uid="{D06C8097-E353-49A3-97C5-FC2D9C0D0EEF}" name="Column15960"/>
    <tableColumn id="15994" xr3:uid="{772229C3-021F-4756-BE38-AB25AFB12C87}" name="Column15961"/>
    <tableColumn id="15995" xr3:uid="{83D94672-2031-4331-8C75-52D4E327438B}" name="Column15962"/>
    <tableColumn id="15996" xr3:uid="{A33001D8-5D0D-4990-949F-E828FBA60A4D}" name="Column15963"/>
    <tableColumn id="15997" xr3:uid="{3E28527C-FB6E-4989-B1E2-786B839987FF}" name="Column15964"/>
    <tableColumn id="15998" xr3:uid="{6243F9E5-0690-455B-95C0-EA82D7661601}" name="Column15965"/>
    <tableColumn id="15999" xr3:uid="{4319AF34-D913-4F4C-9112-F9F875878E09}" name="Column15966"/>
    <tableColumn id="16000" xr3:uid="{095FF8B4-1329-4FA9-9992-75A65F18B04B}" name="Column15967"/>
    <tableColumn id="16001" xr3:uid="{ADC9CE1F-32DF-40BD-81AF-A252F3A84C57}" name="Column15968"/>
    <tableColumn id="16002" xr3:uid="{19E0D11C-0AAE-4EA1-94E7-46948D084095}" name="Column15969"/>
    <tableColumn id="16003" xr3:uid="{1534393A-B252-43F6-B355-2AE1969B6C88}" name="Column15970"/>
    <tableColumn id="16004" xr3:uid="{BF412312-DEB3-488C-9329-00123F5B0E40}" name="Column15971"/>
    <tableColumn id="16005" xr3:uid="{8AD6ACA9-CB5D-4223-9E80-EC3524E3958B}" name="Column15972"/>
    <tableColumn id="16006" xr3:uid="{265B9732-D36D-426A-B3FD-2ECDFCDEFDA0}" name="Column15973"/>
    <tableColumn id="16007" xr3:uid="{E2EBA279-CAD3-4A69-BBDA-8B1BF5748895}" name="Column15974"/>
    <tableColumn id="16008" xr3:uid="{34C419B1-C68E-4EEA-8011-C593F596E910}" name="Column15975"/>
    <tableColumn id="16009" xr3:uid="{000657DE-6938-4D53-8D8F-113E67D7C748}" name="Column15976"/>
    <tableColumn id="16010" xr3:uid="{9EC4A40E-A914-45FC-A9CE-A0B48522D29D}" name="Column15977"/>
    <tableColumn id="16011" xr3:uid="{9FC47D85-10DB-4514-9206-1748A255A138}" name="Column15978"/>
    <tableColumn id="16012" xr3:uid="{25B2210C-D855-4321-BC21-1B097CBFFFD3}" name="Column15979"/>
    <tableColumn id="16013" xr3:uid="{6A495555-A115-407C-9328-D494E9F60DAB}" name="Column15980"/>
    <tableColumn id="16014" xr3:uid="{D5AF9ABC-C81E-4CF2-9657-F4DBF056A0DC}" name="Column15981"/>
    <tableColumn id="16015" xr3:uid="{5E50CAF7-861E-4060-B103-072F680BACC7}" name="Column15982"/>
    <tableColumn id="16016" xr3:uid="{64209737-3825-406C-AE85-A88702A8AC3B}" name="Column15983"/>
    <tableColumn id="16017" xr3:uid="{D3D73E2E-1C66-4AA4-85B7-27EE2899CA6A}" name="Column15984"/>
    <tableColumn id="16018" xr3:uid="{C05AC7B7-BDBA-4DC9-822C-70BE294203CE}" name="Column15985"/>
    <tableColumn id="16019" xr3:uid="{BD730B5F-35BD-4BC1-8CC8-0FF3990F963B}" name="Column15986"/>
    <tableColumn id="16020" xr3:uid="{6209F260-018D-425D-B181-AB4E0B48081A}" name="Column15987"/>
    <tableColumn id="16021" xr3:uid="{8EFA0490-3176-45AB-861E-A9645A6636D2}" name="Column15988"/>
    <tableColumn id="16022" xr3:uid="{6F29512F-4C22-4D12-BD65-15CB71E84C3A}" name="Column15989"/>
    <tableColumn id="16023" xr3:uid="{DA06B646-F6B2-4B3A-B59D-023653FC4FC7}" name="Column15990"/>
    <tableColumn id="16024" xr3:uid="{3331C723-0B18-4460-8BAA-C502B0BA0DA7}" name="Column15991"/>
    <tableColumn id="16025" xr3:uid="{6D96A1B1-E2FE-4D4E-B85A-1708D862BBC6}" name="Column15992"/>
    <tableColumn id="16026" xr3:uid="{B6AD2F52-E156-45F2-BD9A-47523F815450}" name="Column15993"/>
    <tableColumn id="16027" xr3:uid="{3033D062-947A-435A-9C1A-CA6B3E30AA7B}" name="Column15994"/>
    <tableColumn id="16028" xr3:uid="{3F2CB938-119A-4F29-A059-4D2AE00039A6}" name="Column15995"/>
    <tableColumn id="16029" xr3:uid="{E04273F5-ECFD-411F-AC0A-9F5E5F8A4B4F}" name="Column15996"/>
    <tableColumn id="16030" xr3:uid="{FF8DEDEF-4647-4D67-B38E-755F1EC81BF6}" name="Column15997"/>
    <tableColumn id="16031" xr3:uid="{841F80B4-C99D-4309-850F-155C4E2B78CA}" name="Column15998"/>
    <tableColumn id="16032" xr3:uid="{EEB88A4A-9B3E-4DDF-BEB5-708DEB33DA4C}" name="Column15999"/>
    <tableColumn id="16033" xr3:uid="{F9B4BEF0-6C7B-4C83-953D-AEEBAEBB9F65}" name="Column16000"/>
    <tableColumn id="16034" xr3:uid="{D3E1032B-8839-4DF6-9C55-C3B56791C1F0}" name="Column16001"/>
    <tableColumn id="16035" xr3:uid="{77F46D0A-AC4D-4411-B6A3-4DB72F915F82}" name="Column16002"/>
    <tableColumn id="16036" xr3:uid="{DB64DC97-F4E2-4BE0-BBE7-2191FB0B5C35}" name="Column16003"/>
    <tableColumn id="16037" xr3:uid="{87C5957C-812F-4B82-B1DE-D5DBCB38C9AE}" name="Column16004"/>
    <tableColumn id="16038" xr3:uid="{8A5192CF-DDFD-436C-8EB0-0C109CB4413A}" name="Column16005"/>
    <tableColumn id="16039" xr3:uid="{25F0939F-2DC0-4889-98B9-8CB40AA7260B}" name="Column16006"/>
    <tableColumn id="16040" xr3:uid="{FE143F37-683B-4B21-A02B-53014859D821}" name="Column16007"/>
    <tableColumn id="16041" xr3:uid="{5E203654-10F8-45B9-A2C8-FF05D1DFEE5D}" name="Column16008"/>
    <tableColumn id="16042" xr3:uid="{51DC7949-C28D-409E-BC00-1272BC66FB77}" name="Column16009"/>
    <tableColumn id="16043" xr3:uid="{AB6A14F2-2EF2-40FA-897D-211771440187}" name="Column16010"/>
    <tableColumn id="16044" xr3:uid="{123694AF-0FB7-4C6E-8212-EEA22F595EED}" name="Column16011"/>
    <tableColumn id="16045" xr3:uid="{7DD7D62B-865F-455E-80DE-1C78FAA7E72A}" name="Column16012"/>
    <tableColumn id="16046" xr3:uid="{BB42BD26-BD41-4CA7-B796-CD8DEB9711BB}" name="Column16013"/>
    <tableColumn id="16047" xr3:uid="{6CC101C7-5465-4D56-B4F8-2A46DE392E2B}" name="Column16014"/>
    <tableColumn id="16048" xr3:uid="{5732539D-BFC9-4616-895D-029BCA20A215}" name="Column16015"/>
    <tableColumn id="16049" xr3:uid="{319EF805-F630-4F61-8DCF-B30D91E1DCB3}" name="Column16016"/>
    <tableColumn id="16050" xr3:uid="{11CD2084-47BC-4FFE-830D-A545CE9B5E7E}" name="Column16017"/>
    <tableColumn id="16051" xr3:uid="{7E23D04D-581D-433E-8E00-9F91AE00C251}" name="Column16018"/>
    <tableColumn id="16052" xr3:uid="{A1A6FE22-0B7D-4195-A99D-D0F4C57FF014}" name="Column16019"/>
    <tableColumn id="16053" xr3:uid="{E98ACA3B-9F27-4F74-A38D-370380E43992}" name="Column16020"/>
    <tableColumn id="16054" xr3:uid="{3E5B641C-7370-4ADF-BA57-2C141DD6E510}" name="Column16021"/>
    <tableColumn id="16055" xr3:uid="{CFD2BC91-08BB-42FE-96CE-DC7E7B64B4BF}" name="Column16022"/>
    <tableColumn id="16056" xr3:uid="{9E76D97E-889F-4B6F-BB60-5A3E13D777C0}" name="Column16023"/>
    <tableColumn id="16057" xr3:uid="{017C503F-8272-48E2-994D-EC4FEE7A8F52}" name="Column16024"/>
    <tableColumn id="16058" xr3:uid="{E4716DAB-F8C2-43AB-8ECF-97B2796A3F8B}" name="Column16025"/>
    <tableColumn id="16059" xr3:uid="{667B7D77-BDA8-4E7E-85A1-F209A1BBB57A}" name="Column16026"/>
    <tableColumn id="16060" xr3:uid="{E02F34A8-A4CC-48E5-82EC-55E716FA00EB}" name="Column16027"/>
    <tableColumn id="16061" xr3:uid="{58C90EB0-4E8C-4110-B46A-199D24E9FE09}" name="Column16028"/>
    <tableColumn id="16062" xr3:uid="{36957817-7431-485E-BB4D-76461636C85A}" name="Column16029"/>
    <tableColumn id="16063" xr3:uid="{DCCCFAEE-6679-4D9E-8212-4677AB78B4A9}" name="Column16030"/>
    <tableColumn id="16064" xr3:uid="{1D8EA0C3-DF91-4149-9FC4-6C61F79BEBC1}" name="Column16031"/>
    <tableColumn id="16065" xr3:uid="{9273F5BE-BA0F-4893-B53F-EF7A29755F10}" name="Column16032"/>
    <tableColumn id="16066" xr3:uid="{3751E6C3-D15B-45CA-AF51-7575F06C55BE}" name="Column16033"/>
    <tableColumn id="16067" xr3:uid="{7EC7D138-FC98-4D4B-9DEE-73F2A82EB92A}" name="Column16034"/>
    <tableColumn id="16068" xr3:uid="{DF2CA9D1-0337-438A-A2B0-A4C3142C115C}" name="Column16035"/>
    <tableColumn id="16069" xr3:uid="{E8DA1285-E772-4341-B3DF-B08655F086F5}" name="Column16036"/>
    <tableColumn id="16070" xr3:uid="{05A2D68B-A468-4711-8ECA-A41743BE83F2}" name="Column16037"/>
    <tableColumn id="16071" xr3:uid="{2599D047-39A2-4456-A9C9-34C7CE12E393}" name="Column16038"/>
    <tableColumn id="16072" xr3:uid="{77B781FE-99D4-4C6B-9C41-04368336A2D3}" name="Column16039"/>
    <tableColumn id="16073" xr3:uid="{CE46A687-F4DD-42D8-91C2-CB1B5FEDD989}" name="Column16040"/>
    <tableColumn id="16074" xr3:uid="{5D279B61-E864-4D05-91DA-7A68BAF21C7C}" name="Column16041"/>
    <tableColumn id="16075" xr3:uid="{C867B3F6-A3CC-44FF-8887-70821EA54934}" name="Column16042"/>
    <tableColumn id="16076" xr3:uid="{0A938CF4-01F8-4AF9-B207-4FCB19828049}" name="Column16043"/>
    <tableColumn id="16077" xr3:uid="{D47C6103-1C52-45C3-8BEE-64312A58D7EA}" name="Column16044"/>
    <tableColumn id="16078" xr3:uid="{27E00729-BAC9-496E-B6B3-0EA4C82C5FFE}" name="Column16045"/>
    <tableColumn id="16079" xr3:uid="{2E1F82AF-C65B-4D36-B255-6A3157C36899}" name="Column16046"/>
    <tableColumn id="16080" xr3:uid="{BECA5416-58A8-4EE5-843B-D6CD37682EA5}" name="Column16047"/>
    <tableColumn id="16081" xr3:uid="{7AE59192-9B81-4976-9CD9-2DF91F1ADEB6}" name="Column16048"/>
    <tableColumn id="16082" xr3:uid="{84C2D51D-BBB3-4F8D-8B99-C5B87219EC84}" name="Column16049"/>
    <tableColumn id="16083" xr3:uid="{3573124D-1491-4CCB-B30A-B6B6BBAC8094}" name="Column16050"/>
    <tableColumn id="16084" xr3:uid="{45EBA0D1-EA4B-4997-9611-DD53235503F4}" name="Column16051"/>
    <tableColumn id="16085" xr3:uid="{43F99B72-B7CC-4945-B4EC-918CF1194E63}" name="Column16052"/>
    <tableColumn id="16086" xr3:uid="{53FF76AD-AA2A-48FA-A9E8-9F187DB46335}" name="Column16053"/>
    <tableColumn id="16087" xr3:uid="{8206294A-5419-465F-B439-FA092FAE7304}" name="Column16054"/>
    <tableColumn id="16088" xr3:uid="{0236096A-7B2C-4F7B-8F5E-21DEA7ED07F0}" name="Column16055"/>
    <tableColumn id="16089" xr3:uid="{ECC108F4-997F-4211-BE7B-DBEA2F493960}" name="Column16056"/>
    <tableColumn id="16090" xr3:uid="{898EEDC9-E990-406D-9519-55FF480E321E}" name="Column16057"/>
    <tableColumn id="16091" xr3:uid="{1C11D05D-0F7D-4335-A6FB-D9A759ADF23F}" name="Column16058"/>
    <tableColumn id="16092" xr3:uid="{EE302DFB-7325-4B4F-9B86-33A872599A24}" name="Column16059"/>
    <tableColumn id="16093" xr3:uid="{3B84A30C-550B-45C4-8ED5-8E36DCD9FA54}" name="Column16060"/>
    <tableColumn id="16094" xr3:uid="{D34C4E07-548D-4778-89EE-880257CD4067}" name="Column16061"/>
    <tableColumn id="16095" xr3:uid="{48323405-42BF-4B07-8CDA-B9A68A799C34}" name="Column16062"/>
    <tableColumn id="16096" xr3:uid="{0B9FEE28-8571-461B-B482-CBF0B2FF00FD}" name="Column16063"/>
    <tableColumn id="16097" xr3:uid="{FAF43ECE-EC74-475F-AE27-FCC6657EF428}" name="Column16064"/>
    <tableColumn id="16098" xr3:uid="{66FEFFB6-4066-4CCD-95FC-836FC3EBBF70}" name="Column16065"/>
    <tableColumn id="16099" xr3:uid="{0044CB30-45F5-4BA8-9EEF-E369AC784699}" name="Column16066"/>
    <tableColumn id="16100" xr3:uid="{147EAC39-F168-4645-A15B-4634A8EDD844}" name="Column16067"/>
    <tableColumn id="16101" xr3:uid="{EF0690AF-AE76-4FDE-92DA-0A1A58FB8B0C}" name="Column16068"/>
    <tableColumn id="16102" xr3:uid="{4B56D14E-E5CB-4018-A2E1-18E75C29C520}" name="Column16069"/>
    <tableColumn id="16103" xr3:uid="{20748D8D-181F-424E-9F8B-E6C2423D6D64}" name="Column16070"/>
    <tableColumn id="16104" xr3:uid="{B31713AC-B4E1-4FB9-BFA0-1C011D596F6D}" name="Column16071"/>
    <tableColumn id="16105" xr3:uid="{B9B9C168-6DA4-49AE-B6A7-DD4F9CBD677C}" name="Column16072"/>
    <tableColumn id="16106" xr3:uid="{214B2C05-7041-41C3-B3A6-AE6A5F2DDC0F}" name="Column16073"/>
    <tableColumn id="16107" xr3:uid="{B1B1F67F-97D0-47D5-AC3E-28F2AC5B8C43}" name="Column16074"/>
    <tableColumn id="16108" xr3:uid="{0BD7FFB2-2554-44A2-835A-74147112D64B}" name="Column16075"/>
    <tableColumn id="16109" xr3:uid="{CA3C56A2-4E16-463F-A726-0B9DACE82118}" name="Column16076"/>
    <tableColumn id="16110" xr3:uid="{4282F957-401C-426E-B031-44BFDBBE9ECA}" name="Column16077"/>
    <tableColumn id="16111" xr3:uid="{91E4AFBD-9DAB-4ED2-AF64-8310006D2D20}" name="Column16078"/>
    <tableColumn id="16112" xr3:uid="{B082AFCE-D35A-44BC-8235-4350FF26DBCA}" name="Column16079"/>
    <tableColumn id="16113" xr3:uid="{84CDFB33-EC81-40AC-B10C-9EFF38AF2371}" name="Column16080"/>
    <tableColumn id="16114" xr3:uid="{B533C13C-31B7-4C43-BB99-327C0757CA5B}" name="Column16081"/>
    <tableColumn id="16115" xr3:uid="{65528CB5-81F5-40AF-8CBD-CCF3A64ADBED}" name="Column16082"/>
    <tableColumn id="16116" xr3:uid="{0599B4A0-C75C-4A1A-865C-F82B4BD19081}" name="Column16083"/>
    <tableColumn id="16117" xr3:uid="{FDA937CF-728C-4D2D-9BD0-791B47266A65}" name="Column16084"/>
    <tableColumn id="16118" xr3:uid="{B089CB6C-35FD-4C85-8125-E0BAE36F0CDB}" name="Column16085"/>
    <tableColumn id="16119" xr3:uid="{0A6BDE7E-47AE-43FF-9994-6E9EA04CB846}" name="Column16086"/>
    <tableColumn id="16120" xr3:uid="{DB0699C2-EE52-4070-B9F0-5B83C9E5CF19}" name="Column16087"/>
    <tableColumn id="16121" xr3:uid="{D71EE4FA-8B0C-4213-858C-38B89BF448B5}" name="Column16088"/>
    <tableColumn id="16122" xr3:uid="{744EF2EA-E71C-445C-B5C0-21EFBDAF8BCA}" name="Column16089"/>
    <tableColumn id="16123" xr3:uid="{19797C14-5A5F-4D6F-BB05-CC4ED56485E8}" name="Column16090"/>
    <tableColumn id="16124" xr3:uid="{ED791E28-EC8D-46DC-BDE4-5A934B8FAA42}" name="Column16091"/>
    <tableColumn id="16125" xr3:uid="{1C1C920E-1563-40E2-A29D-E84E99E2A6E1}" name="Column16092"/>
    <tableColumn id="16126" xr3:uid="{EE3CB302-297D-48C1-B72F-FD18ED025E28}" name="Column16093"/>
    <tableColumn id="16127" xr3:uid="{22EFB5B4-8F8D-432F-84E3-CB3A3734F1D9}" name="Column16094"/>
    <tableColumn id="16128" xr3:uid="{253712EB-C1CD-427B-BE14-421561EE21E2}" name="Column16095"/>
    <tableColumn id="16129" xr3:uid="{F2FBF170-6E3C-4CDA-B7D8-E586004EE986}" name="Column16096"/>
    <tableColumn id="16130" xr3:uid="{1E283736-15B6-45EA-AE1C-011A46F03E96}" name="Column16097"/>
    <tableColumn id="16131" xr3:uid="{96CC8B30-8218-41DB-8D76-673C9D04CCB6}" name="Column16098"/>
    <tableColumn id="16132" xr3:uid="{0C9AF165-66E0-4A01-A0AD-CF7C5A3E0131}" name="Column16099"/>
    <tableColumn id="16133" xr3:uid="{B73A82C8-F10E-4544-A36E-46E1A5BAE52E}" name="Column16100"/>
    <tableColumn id="16134" xr3:uid="{82E2F1C3-69C7-42C4-9454-1438936367AB}" name="Column16101"/>
    <tableColumn id="16135" xr3:uid="{46EF0271-2878-4733-825B-887B7B7705AE}" name="Column16102"/>
    <tableColumn id="16136" xr3:uid="{5E8F19C5-6B14-4C38-8835-B71B6B27BF04}" name="Column16103"/>
    <tableColumn id="16137" xr3:uid="{4764C7A6-A42B-4496-A340-517A31034466}" name="Column16104"/>
    <tableColumn id="16138" xr3:uid="{BCAC50D4-071B-4B3E-959B-00656439D92D}" name="Column16105"/>
    <tableColumn id="16139" xr3:uid="{1FE5EBCD-6E8B-4884-94D3-0AB78F995139}" name="Column16106"/>
    <tableColumn id="16140" xr3:uid="{5ED57EA5-87B6-41CE-AECD-520DEAAC7D04}" name="Column16107"/>
    <tableColumn id="16141" xr3:uid="{40927AA1-378E-4C75-A06D-C702F20A50C1}" name="Column16108"/>
    <tableColumn id="16142" xr3:uid="{CE891D48-A81C-4AE7-9D9A-9EF523142422}" name="Column16109"/>
    <tableColumn id="16143" xr3:uid="{8B9B1C33-63F4-44F3-AA4C-675BDF540393}" name="Column16110"/>
    <tableColumn id="16144" xr3:uid="{48C5C088-F964-4C76-A450-0A458914AA3B}" name="Column16111"/>
    <tableColumn id="16145" xr3:uid="{75BC89AA-88E5-4A6F-9554-C228F28604C7}" name="Column16112"/>
    <tableColumn id="16146" xr3:uid="{69888438-339C-4E0A-99C0-45F074489B6B}" name="Column16113"/>
    <tableColumn id="16147" xr3:uid="{F7D2F5DD-374B-4657-B509-374B56AED5FD}" name="Column16114"/>
    <tableColumn id="16148" xr3:uid="{9ADF3A01-80C3-471A-81AA-6AEB99C907EF}" name="Column16115"/>
    <tableColumn id="16149" xr3:uid="{0CCA98FF-7AB6-462B-9D76-490B2A288F77}" name="Column16116"/>
    <tableColumn id="16150" xr3:uid="{11E4BEA5-C738-431F-96FA-377FF56BC6FD}" name="Column16117"/>
    <tableColumn id="16151" xr3:uid="{6EF8314F-F23A-4243-A810-029AB23C8315}" name="Column16118"/>
    <tableColumn id="16152" xr3:uid="{D202DA27-5BA7-4821-9756-BCBC3DA5DB46}" name="Column16119"/>
    <tableColumn id="16153" xr3:uid="{CF677F3B-C912-45B1-905D-BD02848C1BEE}" name="Column16120"/>
    <tableColumn id="16154" xr3:uid="{F7405550-4EE9-477D-87A0-DAC4F7E1F23F}" name="Column16121"/>
    <tableColumn id="16155" xr3:uid="{A7E60283-A966-4186-8014-37A261056EFE}" name="Column16122"/>
    <tableColumn id="16156" xr3:uid="{B2017685-F3A0-4C57-AFDE-6C2802A2CAE3}" name="Column16123"/>
    <tableColumn id="16157" xr3:uid="{46000F67-39B3-42B8-991B-4F45FCDC57F6}" name="Column16124"/>
    <tableColumn id="16158" xr3:uid="{9389DBE2-0DC6-4062-8113-0CDAD51BA77B}" name="Column16125"/>
    <tableColumn id="16159" xr3:uid="{87AF6E28-9FD8-4DF2-A8D7-4A3ABB154EFD}" name="Column16126"/>
    <tableColumn id="16160" xr3:uid="{61E72904-75EE-4AE7-A9D4-86E69B98ED56}" name="Column16127"/>
    <tableColumn id="16161" xr3:uid="{17F903A4-B2E2-4307-B0C6-8289FFCB9B57}" name="Column16128"/>
    <tableColumn id="16162" xr3:uid="{DFE66BF2-42B9-460D-995B-3001628F0463}" name="Column16129"/>
    <tableColumn id="16163" xr3:uid="{F5E931FD-BB7E-415B-A464-85E890F4E6BE}" name="Column16130"/>
    <tableColumn id="16164" xr3:uid="{3A75E03E-1FF8-40B5-A2FA-7EE0BDEBE5D6}" name="Column16131"/>
    <tableColumn id="16165" xr3:uid="{79A05372-5744-4E07-A66B-332F7F92D643}" name="Column16132"/>
    <tableColumn id="16166" xr3:uid="{59FBE692-69C6-40E4-B537-3E1279DC0160}" name="Column16133"/>
    <tableColumn id="16167" xr3:uid="{AFF35D6F-E36F-45A1-A7B2-B026F56D88AA}" name="Column16134"/>
    <tableColumn id="16168" xr3:uid="{C80378C4-2D33-42FE-BCE5-C87C11FD91CE}" name="Column16135"/>
    <tableColumn id="16169" xr3:uid="{D3CBEE59-46F0-4FCD-9256-BA18C2735E7F}" name="Column16136"/>
    <tableColumn id="16170" xr3:uid="{85FA403B-81C9-4B67-9DA6-77FED5A34F85}" name="Column16137"/>
    <tableColumn id="16171" xr3:uid="{D8A5A3E1-46F6-4F9F-BE91-2D3BC0E3E5F4}" name="Column16138"/>
    <tableColumn id="16172" xr3:uid="{75E3C1DC-2BAC-4CAB-B098-3EF176A40C56}" name="Column16139"/>
    <tableColumn id="16173" xr3:uid="{666172D9-890A-4547-AF4A-A9D5D6B719A8}" name="Column16140"/>
    <tableColumn id="16174" xr3:uid="{3A6D71AF-D929-43F2-9C5C-742CCE82A800}" name="Column16141"/>
    <tableColumn id="16175" xr3:uid="{CB486B51-0AC0-43A3-919F-3ADAA1B0905A}" name="Column16142"/>
    <tableColumn id="16176" xr3:uid="{B74B1040-0525-4C20-896A-EFA309D0C911}" name="Column16143"/>
    <tableColumn id="16177" xr3:uid="{1B2C691E-18F4-4D08-9CEE-5FF0B0122282}" name="Column16144"/>
    <tableColumn id="16178" xr3:uid="{CE5C6996-9373-4D1E-B124-A32C22155F22}" name="Column16145"/>
    <tableColumn id="16179" xr3:uid="{DFF6AAA7-602B-40AF-9F1D-E5BD5FD97C54}" name="Column16146"/>
    <tableColumn id="16180" xr3:uid="{34CC77BB-C70E-4060-A563-713BBF594D6D}" name="Column16147"/>
    <tableColumn id="16181" xr3:uid="{2F11D5BB-9D1A-4254-A0BF-EC899FC75850}" name="Column16148"/>
    <tableColumn id="16182" xr3:uid="{4C347389-7F43-40A1-93D0-C8A6967D7929}" name="Column16149"/>
    <tableColumn id="16183" xr3:uid="{883E82DE-F50A-420A-80F2-1BD8F861B9FF}" name="Column16150"/>
    <tableColumn id="16184" xr3:uid="{004B175D-3590-448E-AEB9-179B999B63E2}" name="Column16151"/>
    <tableColumn id="16185" xr3:uid="{9D8FDA86-9F22-40CF-B315-34D456D0A497}" name="Column16152"/>
    <tableColumn id="16186" xr3:uid="{5A86EB55-91F3-40E8-BF30-5C8862899318}" name="Column16153"/>
    <tableColumn id="16187" xr3:uid="{E9526320-ADBF-4DD6-AAF2-1B3314D04C11}" name="Column16154"/>
    <tableColumn id="16188" xr3:uid="{B0E380FC-7FA8-4E17-AE6E-80208326FF3B}" name="Column16155"/>
    <tableColumn id="16189" xr3:uid="{59BCFDE4-9355-4A39-B81F-886765913C21}" name="Column16156"/>
    <tableColumn id="16190" xr3:uid="{1F137D8D-866D-4B8A-8E29-C958BF2B05BE}" name="Column16157"/>
    <tableColumn id="16191" xr3:uid="{BF49C173-2F33-4E09-8EBC-8BB0DE4881E9}" name="Column16158"/>
    <tableColumn id="16192" xr3:uid="{A0D51745-0805-4617-B6BF-541F86EB072F}" name="Column16159"/>
    <tableColumn id="16193" xr3:uid="{0AD4567D-5BCB-41EB-B7D6-33BC6D8D20E5}" name="Column16160"/>
    <tableColumn id="16194" xr3:uid="{44604DA6-0F86-44F5-AAB3-5ADE550440C1}" name="Column16161"/>
    <tableColumn id="16195" xr3:uid="{D14CF6A2-234F-43FF-8953-C842333ABD20}" name="Column16162"/>
    <tableColumn id="16196" xr3:uid="{C557CE00-5DD2-45EA-8AB9-9E36666D358C}" name="Column16163"/>
    <tableColumn id="16197" xr3:uid="{DB231DBA-80C9-401B-A169-252C7565BED2}" name="Column16164"/>
    <tableColumn id="16198" xr3:uid="{F3C4754A-C6C4-474C-A7B9-B32189B77C10}" name="Column16165"/>
    <tableColumn id="16199" xr3:uid="{7464ECC0-9B2F-464B-95D4-41EC5354F248}" name="Column16166"/>
    <tableColumn id="16200" xr3:uid="{B969DA8D-0D05-496F-9768-B1A0FE23CF61}" name="Column16167"/>
    <tableColumn id="16201" xr3:uid="{4F40285F-BFC5-4338-8887-3D0EDBE069D8}" name="Column16168"/>
    <tableColumn id="16202" xr3:uid="{591D3E93-8A53-42EA-8BAC-44CDF1CC2EB2}" name="Column16169"/>
    <tableColumn id="16203" xr3:uid="{51126A03-08C8-4D75-ACCB-CE97FD2A619D}" name="Column16170"/>
    <tableColumn id="16204" xr3:uid="{514C32C5-A735-4824-90E5-5D053E3EF12F}" name="Column16171"/>
    <tableColumn id="16205" xr3:uid="{AC958661-1C9D-4D9B-9B01-25E0B627A08E}" name="Column16172"/>
    <tableColumn id="16206" xr3:uid="{5417463C-7108-4848-9581-142E58D259AC}" name="Column16173"/>
    <tableColumn id="16207" xr3:uid="{C3F9EFC1-548E-4289-B0BE-3CC31C6626BB}" name="Column16174"/>
    <tableColumn id="16208" xr3:uid="{1CDD2127-FF80-4093-9C21-928D59BB5EE3}" name="Column16175"/>
    <tableColumn id="16209" xr3:uid="{8ACEF52F-11EA-4A8E-8729-906B8A6F6C49}" name="Column16176"/>
    <tableColumn id="16210" xr3:uid="{9D41303A-40F2-4685-BF72-56BFE4382F36}" name="Column16177"/>
    <tableColumn id="16211" xr3:uid="{68ED5FAB-5E1F-48AA-BB7F-6682BB0EA202}" name="Column16178"/>
    <tableColumn id="16212" xr3:uid="{E30480DA-7AAC-437A-A7DB-643DD0A56995}" name="Column16179"/>
    <tableColumn id="16213" xr3:uid="{EC82DC29-4504-47A8-851A-482F7E486AC2}" name="Column16180"/>
    <tableColumn id="16214" xr3:uid="{A81206F8-44F1-4ECE-9BE9-8233FA187BD2}" name="Column16181"/>
    <tableColumn id="16215" xr3:uid="{F7B751A3-AAC2-476A-A5D9-5A5D47E5B628}" name="Column16182"/>
    <tableColumn id="16216" xr3:uid="{078D83D5-8893-410D-A8E9-15FE6844F301}" name="Column16183"/>
    <tableColumn id="16217" xr3:uid="{7D8A1FB1-0FDF-4827-BAD0-B3EED0C25BC6}" name="Column16184"/>
    <tableColumn id="16218" xr3:uid="{950A6F59-D4CF-4389-B6A8-ED119DC71F63}" name="Column16185"/>
    <tableColumn id="16219" xr3:uid="{B7DD3E3C-ED81-4A99-AE05-57E58BE54FF2}" name="Column16186"/>
    <tableColumn id="16220" xr3:uid="{00AF9A94-60F4-4273-98B2-05F5D1C7E4BD}" name="Column16187"/>
    <tableColumn id="16221" xr3:uid="{2BBA518D-A2F8-4295-B3FF-9FB70C401E81}" name="Column16188"/>
    <tableColumn id="16222" xr3:uid="{6F11C051-27A4-4226-94D5-011566B2F306}" name="Column16189"/>
    <tableColumn id="16223" xr3:uid="{8BA118B9-2227-4B7C-9C78-F5CDC8703148}" name="Column16190"/>
    <tableColumn id="16224" xr3:uid="{5BD104E2-8CFF-4412-A602-BE9C983A26CC}" name="Column16191"/>
    <tableColumn id="16225" xr3:uid="{DF282BE8-60C1-4739-8D4B-8F91FECAB06D}" name="Column16192"/>
    <tableColumn id="16226" xr3:uid="{8F2557FB-4EF0-4238-9704-75C8641CB4EC}" name="Column16193"/>
    <tableColumn id="16227" xr3:uid="{B87E0C02-4C81-4C76-87F1-E0DB1FC3D355}" name="Column16194"/>
    <tableColumn id="16228" xr3:uid="{D068B67F-B162-4E68-9376-A1C8EC8B4136}" name="Column16195"/>
    <tableColumn id="16229" xr3:uid="{267B6725-A9FE-481A-8331-6F325FFD1F77}" name="Column16196"/>
    <tableColumn id="16230" xr3:uid="{E6ABE71A-B814-4061-ABBB-05641358FDB7}" name="Column16197"/>
    <tableColumn id="16231" xr3:uid="{56570A18-0ED6-4706-9558-464901E6C90F}" name="Column16198"/>
    <tableColumn id="16232" xr3:uid="{2380819A-6BCD-4909-A6CA-E7401E1EFE51}" name="Column16199"/>
    <tableColumn id="16233" xr3:uid="{EE145DF8-E73D-4784-B6C8-896BBC053B99}" name="Column16200"/>
    <tableColumn id="16234" xr3:uid="{5D460690-06BB-4C0E-B647-B4185B8479A2}" name="Column16201"/>
    <tableColumn id="16235" xr3:uid="{E0B03BCA-25C9-4D62-834F-E6BA5ADFE04F}" name="Column16202"/>
    <tableColumn id="16236" xr3:uid="{E7C3132C-C01C-421C-91B4-3053B45B2C10}" name="Column16203"/>
    <tableColumn id="16237" xr3:uid="{F701833D-75A8-43B8-BAB7-FDCA21EE1B68}" name="Column16204"/>
    <tableColumn id="16238" xr3:uid="{7F595E6B-8943-409C-94B5-CD73C0C9AD82}" name="Column16205"/>
    <tableColumn id="16239" xr3:uid="{FEC706EF-AE95-4F52-B810-AF943A6B6C3B}" name="Column16206"/>
    <tableColumn id="16240" xr3:uid="{217886BB-8FE7-4747-93D0-B308C9AA0A6B}" name="Column16207"/>
    <tableColumn id="16241" xr3:uid="{851F6BE0-131A-458F-8780-360CD4D0485D}" name="Column16208"/>
    <tableColumn id="16242" xr3:uid="{BB8FAF12-7B2A-4C53-9B35-B373D78CF6F8}" name="Column16209"/>
    <tableColumn id="16243" xr3:uid="{EB7A2656-80A2-454B-9C50-DD13CDB20535}" name="Column16210"/>
    <tableColumn id="16244" xr3:uid="{0779E88C-8CB3-4090-81F1-88F053F3D777}" name="Column16211"/>
    <tableColumn id="16245" xr3:uid="{0CD96C6A-77C3-4419-9699-A21547ED60FF}" name="Column16212"/>
    <tableColumn id="16246" xr3:uid="{639F806F-9021-47FE-B815-E4B997806E21}" name="Column16213"/>
    <tableColumn id="16247" xr3:uid="{3949DD51-AB97-44CD-8FEA-DDB373E5F2B3}" name="Column16214"/>
    <tableColumn id="16248" xr3:uid="{5A90CDF3-F205-4D7B-BFCD-3CC835E3EDE7}" name="Column16215"/>
    <tableColumn id="16249" xr3:uid="{806AED73-5350-43D5-888E-BA1B64ACDA71}" name="Column16216"/>
    <tableColumn id="16250" xr3:uid="{D15DDB85-B05B-4BD1-9C70-AE0FC5CF901A}" name="Column16217"/>
    <tableColumn id="16251" xr3:uid="{0623DA14-7356-46F8-B8FE-15AA3E52746A}" name="Column16218"/>
    <tableColumn id="16252" xr3:uid="{3079AAD0-6781-47DB-9711-8D7D88F2A5A9}" name="Column16219"/>
    <tableColumn id="16253" xr3:uid="{DEBB6FDD-8F15-4B7F-ABA6-31AD4097B1C3}" name="Column16220"/>
    <tableColumn id="16254" xr3:uid="{0B994AB8-0168-41D8-A802-E1887FCDD2DB}" name="Column16221"/>
    <tableColumn id="16255" xr3:uid="{7E27EABA-7116-4FB2-8542-CE8893BF73B0}" name="Column16222"/>
    <tableColumn id="16256" xr3:uid="{5D169BC3-00C4-475C-AC08-1851B0AB4411}" name="Column16223"/>
    <tableColumn id="16257" xr3:uid="{2CDE25EC-ACBE-4B6B-9455-9BD8D950235E}" name="Column16224"/>
    <tableColumn id="16258" xr3:uid="{FF3991B7-C5D0-4B6B-9ADE-52D48B0F3B73}" name="Column16225"/>
    <tableColumn id="16259" xr3:uid="{29F5D58E-3192-4415-A4C9-E0855CCEA93B}" name="Column16226"/>
    <tableColumn id="16260" xr3:uid="{306AE288-AA89-4766-8F5C-B9C839B75A86}" name="Column16227"/>
    <tableColumn id="16261" xr3:uid="{CBA62063-54A8-4346-B510-0F6C2884D65A}" name="Column16228"/>
    <tableColumn id="16262" xr3:uid="{B4031EE9-864C-4819-B046-5E581FF4DAFE}" name="Column16229"/>
    <tableColumn id="16263" xr3:uid="{3A441720-D65E-47F4-99E3-8CD74F936925}" name="Column16230"/>
    <tableColumn id="16264" xr3:uid="{26F98F19-C764-4115-B2A8-D1B2943589F3}" name="Column16231"/>
    <tableColumn id="16265" xr3:uid="{E2157225-3CF5-4D82-B992-38F29494C647}" name="Column16232"/>
    <tableColumn id="16266" xr3:uid="{85A6AD0D-0B69-4BBB-BA2A-F1B2DFF8A186}" name="Column16233"/>
    <tableColumn id="16267" xr3:uid="{B1162FFD-9C5C-469D-BD99-636C7A1FC7EA}" name="Column16234"/>
    <tableColumn id="16268" xr3:uid="{D5BF0E91-6336-4CD7-8006-0B87911CB3B0}" name="Column16235"/>
    <tableColumn id="16269" xr3:uid="{0020C18C-0340-47B1-A0FC-FA6D366307F8}" name="Column16236"/>
    <tableColumn id="16270" xr3:uid="{2B2EA848-A37A-44E1-B233-16D71E9AC746}" name="Column16237"/>
    <tableColumn id="16271" xr3:uid="{D23D2C5F-EA9D-4CD5-A9DC-FA5D943829C9}" name="Column16238"/>
    <tableColumn id="16272" xr3:uid="{C9ADC7AF-6012-45F7-9EF0-2AABAFF7CDCC}" name="Column16239"/>
    <tableColumn id="16273" xr3:uid="{47D813FA-C136-4D12-9D19-0F7710AF2E76}" name="Column16240"/>
    <tableColumn id="16274" xr3:uid="{5816D6BD-2FF0-4206-9683-6D9C0B99F413}" name="Column16241"/>
    <tableColumn id="16275" xr3:uid="{C10355A6-0E85-4D24-AD7F-C6BD4062AD06}" name="Column16242"/>
    <tableColumn id="16276" xr3:uid="{E2BC356E-5B66-48E9-BE18-39A8992049B5}" name="Column16243"/>
    <tableColumn id="16277" xr3:uid="{109EF0D7-851C-4557-8885-DBA349E38E06}" name="Column16244"/>
    <tableColumn id="16278" xr3:uid="{D7434C66-64C7-4E9A-A316-375E59F51FC7}" name="Column16245"/>
    <tableColumn id="16279" xr3:uid="{0E4F63C1-939C-4D68-A328-9C793B5B3B50}" name="Column16246"/>
    <tableColumn id="16280" xr3:uid="{DF1A9DAB-FF3A-4675-97C1-3AEC64EED511}" name="Column16247"/>
    <tableColumn id="16281" xr3:uid="{893F2DCB-95EA-47A4-8F5B-6E15B69AA18B}" name="Column16248"/>
    <tableColumn id="16282" xr3:uid="{6DBF3A04-A5DA-43BF-A01C-E82F81A6AA9F}" name="Column16249"/>
    <tableColumn id="16283" xr3:uid="{45823551-3502-4256-81DE-7FA86EC3C337}" name="Column16250"/>
    <tableColumn id="16284" xr3:uid="{4B6ACF14-C02A-4AA9-A789-EBCCE90304A1}" name="Column16251"/>
    <tableColumn id="16285" xr3:uid="{4318A5CF-69BA-4AE4-A122-505B6887D6DE}" name="Column16252"/>
    <tableColumn id="16286" xr3:uid="{3C0B63BE-3290-4F33-9F1E-7138B3004A04}" name="Column16253"/>
    <tableColumn id="16287" xr3:uid="{B6848A50-AA29-4C88-B68B-817356D4D37C}" name="Column16254"/>
    <tableColumn id="16288" xr3:uid="{BABC8459-7175-46BB-8FA1-E04A4F9D01AA}" name="Column16255"/>
    <tableColumn id="16289" xr3:uid="{E5195D71-A243-40EE-B0B9-4454054AA6C0}" name="Column16256"/>
    <tableColumn id="16290" xr3:uid="{C8E41E26-7263-4FE6-BA9F-164FE1F2FCFD}" name="Column16257"/>
    <tableColumn id="16291" xr3:uid="{B154B087-F41D-4D0A-89CE-132A85D76BE0}" name="Column16258"/>
    <tableColumn id="16292" xr3:uid="{C2850F82-61E6-4EFA-9BD8-4EB0BD842EE2}" name="Column16259"/>
    <tableColumn id="16293" xr3:uid="{5A88968E-9922-4597-B9FF-0C3F11155C81}" name="Column16260"/>
    <tableColumn id="16294" xr3:uid="{7E1EA87F-00FB-49F7-BF5D-B76C253A719E}" name="Column16261"/>
    <tableColumn id="16295" xr3:uid="{82D2DAA8-6AF6-4AB0-A9EA-86BB3FD0CF98}" name="Column16262"/>
    <tableColumn id="16296" xr3:uid="{7B6A3C1A-BFFA-4283-9286-4A5EB141BE91}" name="Column16263"/>
    <tableColumn id="16297" xr3:uid="{389BD450-4C3A-4ED2-B5AF-0FAB0B3E1D3E}" name="Column16264"/>
    <tableColumn id="16298" xr3:uid="{ADEB415A-C69D-4E7A-8FDA-7A145024B6AE}" name="Column16265"/>
    <tableColumn id="16299" xr3:uid="{F6E25FB6-E674-4047-92B9-8B3C4399C737}" name="Column16266"/>
    <tableColumn id="16300" xr3:uid="{866349F5-B73D-45ED-9415-10F82B8D0FDD}" name="Column16267"/>
    <tableColumn id="16301" xr3:uid="{B6C3660E-1A8A-4CCC-ACA6-4CE6737811A8}" name="Column16268"/>
    <tableColumn id="16302" xr3:uid="{C35D9A61-43E6-4575-8DE3-3172E7A5E1CB}" name="Column16269"/>
    <tableColumn id="16303" xr3:uid="{B776FB58-6DB3-4AD6-B397-215CED14D1D9}" name="Column16270"/>
    <tableColumn id="16304" xr3:uid="{95AA39D1-F3DA-4CBE-A262-28DD30270AFC}" name="Column16271"/>
    <tableColumn id="16305" xr3:uid="{3FD86A42-9BD1-467E-A6C4-197AB7EF2393}" name="Column16272"/>
    <tableColumn id="16306" xr3:uid="{D6DB06B6-D8CB-40B3-BE95-674F834A9A85}" name="Column16273"/>
    <tableColumn id="16307" xr3:uid="{AD768A03-D7C3-40A9-A621-0832EB4ABABC}" name="Column16274"/>
    <tableColumn id="16308" xr3:uid="{488560C1-C3C4-49B8-81DD-92A27B62B73F}" name="Column16275"/>
    <tableColumn id="16309" xr3:uid="{AB963B7C-F47E-4645-ADEE-62944C474288}" name="Column16276"/>
    <tableColumn id="16310" xr3:uid="{952FD69F-A488-49A0-A571-CD7E81293B3D}" name="Column16277"/>
    <tableColumn id="16311" xr3:uid="{2222D81F-572E-49EA-9433-79B22AD2C064}" name="Column16278"/>
    <tableColumn id="16312" xr3:uid="{912433F8-3250-4329-8B5B-9D480A9E3D02}" name="Column16279"/>
    <tableColumn id="16313" xr3:uid="{CD824A52-1C91-46B6-A0D6-CC6880C22D62}" name="Column16280"/>
    <tableColumn id="16314" xr3:uid="{A591AB01-7562-4A8C-8EDD-BAA040CD335B}" name="Column16281"/>
    <tableColumn id="16315" xr3:uid="{30BFC2EE-64F8-4301-9544-F2C37E2D8CDB}" name="Column16282"/>
    <tableColumn id="16316" xr3:uid="{C1299556-AA5A-4559-83EC-00A55A78950C}" name="Column16283"/>
    <tableColumn id="16317" xr3:uid="{7DDC123B-FEFA-4816-9C64-8F902C187F70}" name="Column16284"/>
    <tableColumn id="16318" xr3:uid="{2B7D5914-2B95-4BA8-811B-68257FC8784E}" name="Column16285"/>
    <tableColumn id="16319" xr3:uid="{F8C11266-DD82-4AAB-9A9F-7A6EF1112E0C}" name="Column16286"/>
    <tableColumn id="16320" xr3:uid="{5D393617-3B4D-4969-98E7-A9B0527EF5A3}" name="Column16287"/>
    <tableColumn id="16321" xr3:uid="{7AD1579A-C4C9-4E48-81C8-1681ED7C8CE2}" name="Column16288"/>
    <tableColumn id="16322" xr3:uid="{CFCBC4D3-8CA2-4EB5-82E3-E5C01D7FB067}" name="Column16289"/>
    <tableColumn id="16323" xr3:uid="{769353D4-B0E4-4835-BEF7-CCA9EE358DB1}" name="Column16290"/>
    <tableColumn id="16324" xr3:uid="{72735A4C-EB35-47B6-84A7-AFC1685C396A}" name="Column16291"/>
    <tableColumn id="16325" xr3:uid="{091496B2-4EC1-472C-A589-DCB12522021D}" name="Column16292"/>
    <tableColumn id="16326" xr3:uid="{04E678B6-4624-4051-8CD9-96541E726090}" name="Column16293"/>
    <tableColumn id="16327" xr3:uid="{F7A7701D-0698-45C7-937E-2A6F73BC247C}" name="Column16294"/>
    <tableColumn id="16328" xr3:uid="{48DE73C4-749A-4F24-8BCA-952CCD592099}" name="Column16295"/>
    <tableColumn id="16329" xr3:uid="{FBD66FD3-EF37-4E02-AE3E-27CE905A0C34}" name="Column16296"/>
    <tableColumn id="16330" xr3:uid="{54963277-7D1B-4D33-A76A-3AC82DD6F5DF}" name="Column16297"/>
    <tableColumn id="16331" xr3:uid="{8A5A8838-97BA-47D8-A567-DAEE5749B93D}" name="Column16298"/>
    <tableColumn id="16332" xr3:uid="{6C9B9539-895B-4442-BEC6-90A9C5DA36B1}" name="Column16299"/>
    <tableColumn id="16333" xr3:uid="{117CB49E-3171-466A-927F-4F2E1CB9BC0C}" name="Column16300"/>
    <tableColumn id="16334" xr3:uid="{7D824EC1-6E28-4FC2-86EB-3C6864A60CC7}" name="Column16301"/>
    <tableColumn id="16335" xr3:uid="{B6FB1A93-2846-49C8-BD1B-1DFCDA58E16E}" name="Column16302"/>
    <tableColumn id="16336" xr3:uid="{FFFB01B3-0860-4A59-BDF8-5432FD779F7F}" name="Column16303"/>
    <tableColumn id="16337" xr3:uid="{26A20E11-5835-456F-BA61-09055965A5EA}" name="Column16304"/>
    <tableColumn id="16338" xr3:uid="{8B5336D3-104F-45C8-9E39-290ABDDF1E72}" name="Column16305"/>
    <tableColumn id="16339" xr3:uid="{39A63747-C8BF-47E2-A89C-B2B974FBB148}" name="Column16306"/>
    <tableColumn id="16340" xr3:uid="{6ACD08E7-DF49-4C0F-9022-88F5B83755D2}" name="Column16307"/>
    <tableColumn id="16341" xr3:uid="{275014A8-923D-4E9C-9012-0B687198A8AD}" name="Column16308"/>
    <tableColumn id="16342" xr3:uid="{0FA83612-F323-43DD-9943-03D76BFEA256}" name="Column16309"/>
    <tableColumn id="16343" xr3:uid="{CBCEEC3D-9AE5-4526-95B8-8B763D64788D}" name="Column16310"/>
    <tableColumn id="16344" xr3:uid="{95F90D78-7F3F-44E6-AA38-005EC8192C8A}" name="Column16311"/>
    <tableColumn id="16345" xr3:uid="{C5062C2A-3C7D-4757-80A9-BB86F0925656}" name="Column16312"/>
    <tableColumn id="16346" xr3:uid="{7FA1FB87-0B39-487A-990F-234D7286E366}" name="Column16313"/>
    <tableColumn id="16347" xr3:uid="{3EC5CEFF-136A-45D6-8AB7-D846BE92A578}" name="Column16314"/>
    <tableColumn id="16348" xr3:uid="{C2570247-2A83-4818-B36F-B00441708AE7}" name="Column16315"/>
    <tableColumn id="16349" xr3:uid="{1D2FF322-6B1B-42E7-8654-A5D7BC66C847}" name="Column16316"/>
    <tableColumn id="16350" xr3:uid="{7E138A61-3798-4B3E-A0A4-8DD9534B2486}" name="Column16317"/>
    <tableColumn id="16351" xr3:uid="{77EBCF65-F155-40E3-90AD-193380A29281}" name="Column16318"/>
    <tableColumn id="16352" xr3:uid="{FB4D833D-D16B-440D-AE17-9ACCE292C12C}" name="Column16319"/>
    <tableColumn id="16353" xr3:uid="{F38562C3-961C-426C-BAE5-A6D3CC5497EE}" name="Column16320"/>
    <tableColumn id="16354" xr3:uid="{5BD3C2DA-4077-4997-9E2F-6F37C32BD21C}" name="Column16321"/>
    <tableColumn id="16355" xr3:uid="{3CD04A16-CCCA-4476-BE78-59534DDDA06D}" name="Column16322"/>
    <tableColumn id="16356" xr3:uid="{843C94FF-2857-4183-BB3B-791BF415EA56}" name="Column16323"/>
    <tableColumn id="16357" xr3:uid="{41A90172-1ED2-4D34-8720-2ACB4594AC11}" name="Column16324"/>
    <tableColumn id="16358" xr3:uid="{C9B496A5-407C-4CFA-B65E-01B6878AAD97}" name="Column16325"/>
    <tableColumn id="16359" xr3:uid="{59EE9CB8-3EB9-4BC2-8080-E4A892746FC2}" name="Column16326"/>
    <tableColumn id="16360" xr3:uid="{3336294C-9340-4199-AB2E-1A72ACDE0D19}" name="Column16327"/>
    <tableColumn id="16361" xr3:uid="{69897AB0-89F6-4F18-95EE-4999138752F7}" name="Column16328"/>
    <tableColumn id="16362" xr3:uid="{94695C5C-0A5F-485D-92FB-190C5672638F}" name="Column16329"/>
    <tableColumn id="16363" xr3:uid="{8A1A80E0-BCE8-4146-B15F-9D32C5261462}" name="Column16330"/>
    <tableColumn id="16364" xr3:uid="{5BC70A67-F2B3-4D0A-A5DA-BAA4B3EF38AC}" name="Column16331"/>
    <tableColumn id="16365" xr3:uid="{888B78D6-3E16-42EE-8275-029D64926BEC}" name="Column16332"/>
    <tableColumn id="16366" xr3:uid="{00E42E9E-E91C-42A8-9ADA-0334D0D68390}" name="Column16333"/>
    <tableColumn id="16367" xr3:uid="{49672BB5-6EEA-4211-B42E-F1F2C2465134}" name="Column16334"/>
    <tableColumn id="16368" xr3:uid="{2ABA21E7-706B-433E-86CC-3D918653A54E}" name="Column16335"/>
    <tableColumn id="16369" xr3:uid="{DBA588A7-C34B-4F51-96F6-EF52DEA35805}" name="Column16336"/>
    <tableColumn id="16370" xr3:uid="{D19C87C2-CB6E-43A7-8852-7F08B6D1CDBF}" name="Column16337"/>
    <tableColumn id="16371" xr3:uid="{973A2C62-C01B-4CDA-8AB6-1A8FCF04F496}" name="Column16338"/>
    <tableColumn id="16372" xr3:uid="{BC6CB739-78A0-422D-B2AB-F9F28F8CB418}" name="Column16339"/>
    <tableColumn id="16373" xr3:uid="{EC84877D-DB00-41E3-A17A-B6E69C7ED746}" name="Column16340"/>
    <tableColumn id="16374" xr3:uid="{6F2A6D4F-6797-4CCC-9478-7C38AF0D661E}" name="Column16341"/>
    <tableColumn id="16375" xr3:uid="{3AF11B8F-1DB7-446C-9A7D-9FFA75D0D0EE}" name="Column16342"/>
    <tableColumn id="16376" xr3:uid="{06DEDD63-4640-4367-A6AD-78153D0ADDD4}" name="Column16343"/>
    <tableColumn id="16377" xr3:uid="{C8AE357C-B7F8-4656-985F-58AC1F8A0750}" name="Column16344"/>
    <tableColumn id="16378" xr3:uid="{63A21855-663E-4B3D-8273-9CD1667E1B35}" name="Column16345"/>
    <tableColumn id="16379" xr3:uid="{FBCE161C-AFCF-4F65-BB51-6FD80C8E6B2B}" name="Column16346"/>
    <tableColumn id="16380" xr3:uid="{C3521D9C-4A79-4F38-9151-BABB11E91F9F}" name="Column16347"/>
    <tableColumn id="16381" xr3:uid="{F0B31B42-5978-4B5C-85F7-9C3734AAB7FA}" name="Column16348"/>
    <tableColumn id="16382" xr3:uid="{FD799DF2-7C88-4D77-A473-DF9848B9E376}" name="Column16349"/>
    <tableColumn id="16383" xr3:uid="{5ECB1174-8D11-4F8C-93DD-1E9D5C8E06C4}" name="Column16350"/>
    <tableColumn id="16384" xr3:uid="{321F4123-8EB7-4216-8320-FC9E08AB34EA}" name="Column16351"/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8000000}" name="Table118" displayName="Table118" ref="A3216:Y3795" totalsRowCount="1">
  <autoFilter ref="A3216:Y3794" xr:uid="{00000000-0009-0000-0100-000075000000}">
    <filterColumn colId="2">
      <filters>
        <filter val="010-ELECTRIC UTILITIES"/>
      </filters>
    </filterColumn>
  </autoFilter>
  <tableColumns count="25">
    <tableColumn id="1" xr3:uid="{00000000-0010-0000-7800-000001000000}" name="AREA"/>
    <tableColumn id="2" xr3:uid="{00000000-0010-0000-7800-000002000000}" name="EIC"/>
    <tableColumn id="3" xr3:uid="{00000000-0010-0000-7800-000003000000}" name="EICSUM"/>
    <tableColumn id="4" xr3:uid="{00000000-0010-0000-7800-000004000000}" name="EICSOU"/>
    <tableColumn id="5" xr3:uid="{00000000-0010-0000-7800-000005000000}" name="EICMAT"/>
    <tableColumn id="6" xr3:uid="{00000000-0010-0000-7800-000006000000}" name="EICSUB"/>
    <tableColumn id="7" xr3:uid="{00000000-0010-0000-7800-000007000000}" name="POLLUTANT"/>
    <tableColumn id="8" xr3:uid="{00000000-0010-0000-7800-000008000000}" name="SEASON"/>
    <tableColumn id="9" xr3:uid="{00000000-0010-0000-7800-000009000000}" name="CONTROL_TYPE"/>
    <tableColumn id="10" xr3:uid="{00000000-0010-0000-7800-00000A000000}" name="2015" totalsRowFunction="sum"/>
    <tableColumn id="11" xr3:uid="{00000000-0010-0000-7800-00000B000000}" name="2016" totalsRowFunction="sum"/>
    <tableColumn id="12" xr3:uid="{00000000-0010-0000-7800-00000C000000}" name="2017" totalsRowFunction="sum"/>
    <tableColumn id="13" xr3:uid="{00000000-0010-0000-7800-00000D000000}" name="2018" totalsRowFunction="sum"/>
    <tableColumn id="14" xr3:uid="{00000000-0010-0000-7800-00000E000000}" name="2019" totalsRowFunction="sum"/>
    <tableColumn id="15" xr3:uid="{00000000-0010-0000-7800-00000F000000}" name="2020" totalsRowFunction="sum"/>
    <tableColumn id="16" xr3:uid="{00000000-0010-0000-7800-000010000000}" name="2021" totalsRowFunction="sum"/>
    <tableColumn id="17" xr3:uid="{00000000-0010-0000-7800-000011000000}" name="2022" totalsRowFunction="sum"/>
    <tableColumn id="18" xr3:uid="{00000000-0010-0000-7800-000012000000}" name="2023" totalsRowFunction="sum"/>
    <tableColumn id="19" xr3:uid="{00000000-0010-0000-7800-000013000000}" name="2024" totalsRowFunction="sum"/>
    <tableColumn id="20" xr3:uid="{00000000-0010-0000-7800-000014000000}" name="2025" totalsRowFunction="sum"/>
    <tableColumn id="21" xr3:uid="{00000000-0010-0000-7800-000015000000}" name="2026" totalsRowFunction="sum"/>
    <tableColumn id="22" xr3:uid="{00000000-0010-0000-7800-000016000000}" name="2027" totalsRowFunction="sum"/>
    <tableColumn id="23" xr3:uid="{00000000-0010-0000-7800-000017000000}" name="2028" totalsRowFunction="sum"/>
    <tableColumn id="24" xr3:uid="{00000000-0010-0000-7800-000018000000}" name="2029" totalsRowFunction="sum"/>
    <tableColumn id="25" xr3:uid="{00000000-0010-0000-7800-000019000000}" name="2030" totalsRowFunction="sum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CCF544-9B47-4906-A5D2-F38F67AB55A9}" name="Table7" displayName="Table7" ref="A100:AG155" totalsRowCount="1">
  <autoFilter ref="A100:AG154" xr:uid="{ADCCF544-9B47-4906-A5D2-F38F67AB55A9}"/>
  <tableColumns count="33">
    <tableColumn id="1" xr3:uid="{49528736-2630-4CD7-BBD6-B8966EBFF157}" name="AREA"/>
    <tableColumn id="2" xr3:uid="{CFEBD377-E2CB-4A2C-91B0-8788C9D08043}" name="EIC"/>
    <tableColumn id="3" xr3:uid="{4525E7D8-EAFD-43C2-A6A3-3C8FCD8DD4D8}" name="EICSUM"/>
    <tableColumn id="4" xr3:uid="{76B64918-BCD6-422F-8D0C-096E8CB149A3}" name="EICSOU"/>
    <tableColumn id="5" xr3:uid="{3724C1DE-6648-471E-8E68-C1EBFB82075B}" name="EICMAT"/>
    <tableColumn id="6" xr3:uid="{618C8D39-30F3-45C8-B5AB-90E56FF100F2}" name="EICSUB"/>
    <tableColumn id="7" xr3:uid="{6C371859-2675-4468-8290-5C2B578DCB18}" name="POLLUTANT"/>
    <tableColumn id="8" xr3:uid="{73B6FD4E-040D-4862-8759-94308220EFC5}" name="SEASON"/>
    <tableColumn id="9" xr3:uid="{BC75BF72-2085-49CF-86F6-6F20403EEA1A}" name="CONTROL_TYPE"/>
    <tableColumn id="10" xr3:uid="{08A846CA-9914-4A40-AF5C-D88C90DF3C32}" name="2023" totalsRowFunction="sum"/>
    <tableColumn id="11" xr3:uid="{8729D05A-A4C2-45BB-921C-4728FB0A9D93}" name="2024" totalsRowFunction="custom">
      <totalsRowFormula>SUBTOTAL(109,Table7[2024])</totalsRowFormula>
    </tableColumn>
    <tableColumn id="12" xr3:uid="{020EF550-B58F-4D80-BE99-D56D1FD6CA96}" name="2025" totalsRowFunction="custom">
      <totalsRowFormula>SUBTOTAL(109,Table7[2025])</totalsRowFormula>
    </tableColumn>
    <tableColumn id="13" xr3:uid="{45161D65-DED2-4E67-8A34-7399796C1135}" name="2026" totalsRowFunction="custom">
      <totalsRowFormula>SUBTOTAL(109,Table7[2026])</totalsRowFormula>
    </tableColumn>
    <tableColumn id="14" xr3:uid="{FC53DC85-FC4A-4A7A-8979-3375D099DB99}" name="2027" totalsRowFunction="custom">
      <totalsRowFormula>SUBTOTAL(109,Table7[2027])</totalsRowFormula>
    </tableColumn>
    <tableColumn id="15" xr3:uid="{88250180-ABA9-426E-87A4-7944C5B19AF1}" name="2028" totalsRowFunction="custom">
      <totalsRowFormula>SUBTOTAL(109,Table7[2028])</totalsRowFormula>
    </tableColumn>
    <tableColumn id="16" xr3:uid="{EE34E97A-A64F-4F7C-86C6-F5E9A84BE443}" name="2029" totalsRowFunction="custom">
      <totalsRowFormula>SUBTOTAL(109,Table7[2029])</totalsRowFormula>
    </tableColumn>
    <tableColumn id="17" xr3:uid="{53821480-78F2-4586-B2DA-8567C2837820}" name="2030" totalsRowFunction="custom">
      <totalsRowFormula>SUBTOTAL(109,Table7[2030])</totalsRowFormula>
    </tableColumn>
    <tableColumn id="18" xr3:uid="{252B70F0-6492-4E77-B24B-E484FD41D495}" name="2031" totalsRowFunction="custom">
      <totalsRowFormula>SUBTOTAL(109,Table7[2031])</totalsRowFormula>
    </tableColumn>
    <tableColumn id="19" xr3:uid="{461C6E4D-F672-4F3C-B155-1FB7A34766E9}" name="2032" totalsRowFunction="custom">
      <totalsRowFormula>SUBTOTAL(109,Table7[2032])</totalsRowFormula>
    </tableColumn>
    <tableColumn id="20" xr3:uid="{E8DD99E2-31C2-4BB2-8D1B-99C35A67C104}" name="2033" totalsRowFunction="custom">
      <totalsRowFormula>SUBTOTAL(109,Table7[2033])</totalsRowFormula>
    </tableColumn>
    <tableColumn id="21" xr3:uid="{231E442A-A8A0-436C-8BFF-23C878721113}" name="2034" totalsRowFunction="custom">
      <totalsRowFormula>SUBTOTAL(109,Table7[2034])</totalsRowFormula>
    </tableColumn>
    <tableColumn id="22" xr3:uid="{466F5CA1-4217-470B-A893-75B4A218D99A}" name="2035" totalsRowFunction="custom">
      <totalsRowFormula>SUBTOTAL(109,Table7[2035])</totalsRowFormula>
    </tableColumn>
    <tableColumn id="23" xr3:uid="{A7A1740E-DFD7-4C8E-9F07-D0E5215B1EBE}" name="2036" totalsRowFunction="custom">
      <totalsRowFormula>SUBTOTAL(109,Table7[2036])</totalsRowFormula>
    </tableColumn>
    <tableColumn id="24" xr3:uid="{7B22171D-50FE-4354-A91B-4AFFF7976178}" name="2037" totalsRowFunction="custom">
      <totalsRowFormula>SUBTOTAL(109,Table7[2037])</totalsRowFormula>
    </tableColumn>
    <tableColumn id="25" xr3:uid="{A6A693E4-C6F4-4AF0-B861-79BEED1AFF7F}" name="2038" totalsRowFunction="custom">
      <totalsRowFormula>SUBTOTAL(109,Table7[2038])</totalsRowFormula>
    </tableColumn>
    <tableColumn id="26" xr3:uid="{B46F9E19-8180-4BF9-BCCB-5D214681F462}" name="2039" totalsRowFunction="custom">
      <totalsRowFormula>SUBTOTAL(109,Table7[2039])</totalsRowFormula>
    </tableColumn>
    <tableColumn id="27" xr3:uid="{AFE9119B-A1F4-4201-AF96-72E05456D006}" name="2040" totalsRowFunction="custom">
      <totalsRowFormula>SUBTOTAL(109,Table7[2040])</totalsRowFormula>
    </tableColumn>
    <tableColumn id="28" xr3:uid="{2B1D492D-DA39-4F15-8311-AC422CDAEED3}" name="2041" totalsRowFunction="custom">
      <totalsRowFormula>SUBTOTAL(109,Table7[2041])</totalsRowFormula>
    </tableColumn>
    <tableColumn id="29" xr3:uid="{7CD682C3-ED74-434A-887E-A2BEBF9E4F3C}" name="2042" totalsRowFunction="custom">
      <totalsRowFormula>SUBTOTAL(109,Table7[2042])</totalsRowFormula>
    </tableColumn>
    <tableColumn id="30" xr3:uid="{A63FBB72-752F-4CDF-A547-A19ADF786DF7}" name="2043" totalsRowFunction="custom">
      <totalsRowFormula>SUBTOTAL(109,Table7[2043])</totalsRowFormula>
    </tableColumn>
    <tableColumn id="31" xr3:uid="{A0CED752-AEFB-4A74-ACE3-0F89D4937A97}" name="2044" totalsRowFunction="custom">
      <totalsRowFormula>SUBTOTAL(109,Table7[2044])</totalsRowFormula>
    </tableColumn>
    <tableColumn id="32" xr3:uid="{722045B8-12DB-44C2-A717-E0908DE64FD9}" name="2045" totalsRowFunction="custom">
      <totalsRowFormula>SUBTOTAL(109,Table7[2045])</totalsRowFormula>
    </tableColumn>
    <tableColumn id="33" xr3:uid="{8309B79C-6E1F-429E-B08D-09E76F9DF2EA}" name="2046" totalsRowFunction="custom">
      <totalsRowFormula>SUBTOTAL(109,Table7[2046])</totalsRow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A8AEE7A-8ABD-4156-BF48-14FB2FE70D44}" name="Table8" displayName="Table8" ref="A165:AG192" totalsRowCount="1">
  <autoFilter ref="A165:AG191" xr:uid="{9A8AEE7A-8ABD-4156-BF48-14FB2FE70D44}"/>
  <tableColumns count="33">
    <tableColumn id="1" xr3:uid="{E30DE415-1E2D-4719-B9C5-BE017C99CEF9}" name="AREA"/>
    <tableColumn id="2" xr3:uid="{9E0D4E81-0501-4235-AC0F-2F1B010E5FC3}" name="EIC"/>
    <tableColumn id="3" xr3:uid="{2817E7D0-1194-4941-AB3C-8EBA10AA2D3E}" name="EICSUM"/>
    <tableColumn id="4" xr3:uid="{976B5C6A-1E53-4054-9763-490593525EA8}" name="EICSOU"/>
    <tableColumn id="5" xr3:uid="{9A7AF33F-9EFC-4CF9-9114-066023831B65}" name="EICMAT"/>
    <tableColumn id="6" xr3:uid="{E00004C3-EE89-41BB-8C61-8D9D3425ABDE}" name="EICSUB"/>
    <tableColumn id="7" xr3:uid="{FE3CADF6-A8E7-4453-871C-03E2F1852FF5}" name="POLLUTANT"/>
    <tableColumn id="8" xr3:uid="{614841CE-AD25-46F4-8C70-11140E532269}" name="SEASON"/>
    <tableColumn id="9" xr3:uid="{5FCCCD49-79BD-4479-8E75-D8B08BD0C74D}" name="CONTROL_TYPE"/>
    <tableColumn id="10" xr3:uid="{FA3B9D02-8488-46B9-8229-EE56A6934B8C}" name="2023" totalsRowFunction="custom">
      <totalsRowFormula array="1">SUBTOTAL(109,SCC_NOx_Refinery,Table8[[#Headers],[2023]])</totalsRowFormula>
    </tableColumn>
    <tableColumn id="11" xr3:uid="{6BF7D9DF-1EFC-4FDF-B00D-5693FD3C1933}" name="2024" totalsRowFunction="custom">
      <totalsRowFormula array="1">SUBTOTAL(109,SCC_NOx_Refinery,Table8[[#Headers],[2024]])</totalsRowFormula>
    </tableColumn>
    <tableColumn id="12" xr3:uid="{27E79A20-843F-4117-A655-EDD9F5E367BF}" name="2025" totalsRowFunction="custom">
      <totalsRowFormula array="1">SUBTOTAL(109,SCC_NOx_Refinery,Table8[[#Headers],[2025]])</totalsRowFormula>
    </tableColumn>
    <tableColumn id="13" xr3:uid="{FF59F84F-93DA-4820-A2A6-B7C2AE792005}" name="2026" totalsRowFunction="custom">
      <totalsRowFormula array="1">SUBTOTAL(109,SCC_NOx_Refinery,Table8[[#Headers],[2026]])</totalsRowFormula>
    </tableColumn>
    <tableColumn id="14" xr3:uid="{8B37EE10-48A8-46C5-9249-9FCC11D8A2A0}" name="2027" totalsRowFunction="custom">
      <totalsRowFormula array="1">SUBTOTAL(109,SCC_NOx_Refinery,Table8[[#Headers],[2027]])</totalsRowFormula>
    </tableColumn>
    <tableColumn id="15" xr3:uid="{260D8F0F-61F1-41DB-8DB6-A42B3CE12927}" name="2028" totalsRowFunction="custom">
      <totalsRowFormula array="1">SUBTOTAL(109,SCC_NOx_Refinery,Table8[[#Headers],[2028]])</totalsRowFormula>
    </tableColumn>
    <tableColumn id="16" xr3:uid="{96FAF9DF-5E03-4C5E-995D-5240D97863B9}" name="2029" totalsRowFunction="custom">
      <totalsRowFormula array="1">SUBTOTAL(109,SCC_NOx_Refinery,Table8[[#Headers],[2029]])</totalsRowFormula>
    </tableColumn>
    <tableColumn id="17" xr3:uid="{6950C08B-FDFE-49A4-824F-D276CE621034}" name="2030" totalsRowFunction="custom">
      <totalsRowFormula array="1">SUBTOTAL(109,SCC_NOx_Refinery,Table8[[#Headers],[2030]])</totalsRowFormula>
    </tableColumn>
    <tableColumn id="18" xr3:uid="{B1EF375B-2A9C-4A00-887C-084C41365AB3}" name="2031" totalsRowFunction="custom">
      <totalsRowFormula array="1">SUBTOTAL(109,SCC_NOx_Refinery,Table8[[#Headers],[2031]])</totalsRowFormula>
    </tableColumn>
    <tableColumn id="19" xr3:uid="{36350A23-B858-4118-A235-2D32072BC40D}" name="2032" totalsRowFunction="custom">
      <totalsRowFormula array="1">SUBTOTAL(109,SCC_NOx_Refinery,Table8[[#Headers],[2032]])</totalsRowFormula>
    </tableColumn>
    <tableColumn id="20" xr3:uid="{03B5FB5A-F6BD-4D4F-B844-19400933432E}" name="2033" totalsRowFunction="custom">
      <totalsRowFormula array="1">SUBTOTAL(109,SCC_NOx_Refinery,Table8[[#Headers],[2033]])</totalsRowFormula>
    </tableColumn>
    <tableColumn id="21" xr3:uid="{480D8C9A-7ACB-4990-8704-632D70F85DCA}" name="2034" totalsRowFunction="custom">
      <totalsRowFormula array="1">SUBTOTAL(109,SCC_NOx_Refinery,Table8[[#Headers],[2034]])</totalsRowFormula>
    </tableColumn>
    <tableColumn id="22" xr3:uid="{25E0B12D-64B1-4D80-B92F-A3CF463095FB}" name="2035" totalsRowFunction="custom">
      <totalsRowFormula array="1">SUBTOTAL(109,SCC_NOx_Refinery,Table8[[#Headers],[2035]])</totalsRowFormula>
    </tableColumn>
    <tableColumn id="23" xr3:uid="{96610E2E-30D9-4E37-9CA3-F472D2A3ECD8}" name="2036" totalsRowFunction="custom">
      <totalsRowFormula array="1">SUBTOTAL(109,SCC_NOx_Refinery,Table8[[#Headers],[2036]])</totalsRowFormula>
    </tableColumn>
    <tableColumn id="24" xr3:uid="{2610BEB4-025C-487A-AC87-414EB887EE27}" name="2037" totalsRowFunction="custom">
      <totalsRowFormula array="1">SUBTOTAL(109,SCC_NOx_Refinery,Table8[[#Headers],[2037]])</totalsRowFormula>
    </tableColumn>
    <tableColumn id="25" xr3:uid="{F115861C-3802-489D-BB56-0D7CD6BD43B8}" name="2038" totalsRowFunction="custom">
      <totalsRowFormula array="1">SUBTOTAL(109,SCC_NOx_Refinery,Table8[[#Headers],[2038]])</totalsRowFormula>
    </tableColumn>
    <tableColumn id="26" xr3:uid="{FEFD3B4E-3F86-421B-864E-44AFE0F3351B}" name="2039" totalsRowFunction="custom">
      <totalsRowFormula array="1">SUBTOTAL(109,SCC_NOx_Refinery,Table8[[#Headers],[2039]])</totalsRowFormula>
    </tableColumn>
    <tableColumn id="27" xr3:uid="{212F4957-5F60-4526-9671-7DFF87FFAF20}" name="2040" totalsRowFunction="custom">
      <totalsRowFormula array="1">SUBTOTAL(109,SCC_NOx_Refinery,Table8[[#Headers],[2040]])</totalsRowFormula>
    </tableColumn>
    <tableColumn id="28" xr3:uid="{2B5ED714-485E-4A65-A964-68675BBBDCEE}" name="2041" totalsRowFunction="custom">
      <totalsRowFormula array="1">SUBTOTAL(109,SCC_NOx_Refinery,Table8[[#Headers],[2041]])</totalsRowFormula>
    </tableColumn>
    <tableColumn id="29" xr3:uid="{B2DEF82F-55F3-475B-AD40-EE3E02AAACBC}" name="2042" totalsRowFunction="custom">
      <totalsRowFormula array="1">SUBTOTAL(109,SCC_NOx_Refinery,Table8[[#Headers],[2042]])</totalsRowFormula>
    </tableColumn>
    <tableColumn id="30" xr3:uid="{C3FF1C1F-C6F9-4E2B-A5B5-9F06F41CEF11}" name="2043" totalsRowFunction="custom">
      <totalsRowFormula array="1">SUBTOTAL(109,SCC_NOx_Refinery,Table8[[#Headers],[2043]])</totalsRowFormula>
    </tableColumn>
    <tableColumn id="31" xr3:uid="{3981D871-1AD6-4C66-8A27-13F92DE2E493}" name="2044" totalsRowFunction="custom">
      <totalsRowFormula array="1">SUBTOTAL(109,SCC_NOx_Refinery,Table8[[#Headers],[2044]])</totalsRowFormula>
    </tableColumn>
    <tableColumn id="32" xr3:uid="{8AB810B6-BC8B-47C1-9C40-72418F2B8872}" name="2045" totalsRowFunction="custom">
      <totalsRowFormula array="1">SUBTOTAL(109,SCC_NOx_Refinery,Table8[[#Headers],[2045]])</totalsRowFormula>
    </tableColumn>
    <tableColumn id="33" xr3:uid="{35FBDC52-83BC-46CE-984D-A4E8B4C04D12}" name="2046" totalsRowFunction="custom">
      <totalsRowFormula array="1">SUBTOTAL(109,SCC_NOx_Refinery,Table8[[#Headers],[2046]])</totalsRow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295E16A-A6ED-4A0D-AEFF-7A738DBF0CCC}" name="Table110" displayName="Table110" ref="A217:AG301" totalsRowCount="1">
  <autoFilter ref="A217:AG300" xr:uid="{9295E16A-A6ED-4A0D-AEFF-7A738DBF0CCC}"/>
  <tableColumns count="33">
    <tableColumn id="1" xr3:uid="{735CE1C6-DAEF-4154-AB67-DF87A1B45FC8}" name="AREA"/>
    <tableColumn id="2" xr3:uid="{45168BA4-D283-4597-BA18-03FE97EDD146}" name="EIC"/>
    <tableColumn id="3" xr3:uid="{5321EB67-8D9F-404F-84D8-1EBEC12E5960}" name="EICSUM"/>
    <tableColumn id="4" xr3:uid="{160648C3-0199-480D-86C8-432CD8A1D637}" name="EICSOU"/>
    <tableColumn id="5" xr3:uid="{737373AE-CF8A-4A1C-8E0C-9DFBEE12F34C}" name="EICMAT"/>
    <tableColumn id="6" xr3:uid="{FF1EBB51-404A-435D-9B23-6638AE04813B}" name="EICSUB"/>
    <tableColumn id="7" xr3:uid="{5B579626-5FAC-4A19-B967-45E32647B745}" name="POLLUTANT"/>
    <tableColumn id="8" xr3:uid="{54ED7E41-F1BE-487A-A80A-B4C652313CC9}" name="SEASON"/>
    <tableColumn id="9" xr3:uid="{12AD7B78-6059-4F6C-8FB6-6FBFB0B49F40}" name="CONTROL_TYPE"/>
    <tableColumn id="10" xr3:uid="{CBBE5D36-5AED-4552-9ECC-C8B655AE5800}" name="2023" totalsRowFunction="custom">
      <totalsRowFormula array="1">SUBTOTAL(109,SC_NOx_Refinery,Table110[2023])</totalsRowFormula>
    </tableColumn>
    <tableColumn id="11" xr3:uid="{06F04F15-1850-4F70-997A-20CAB2FA003B}" name="2024" totalsRowFunction="custom">
      <totalsRowFormula array="1">SUBTOTAL(109,SC_NOx_Refinery,Table110[2024])</totalsRowFormula>
    </tableColumn>
    <tableColumn id="12" xr3:uid="{25E2D704-37D6-42A8-B3C5-ED213556D86D}" name="2025" totalsRowFunction="custom">
      <totalsRowFormula array="1">SUBTOTAL(109,SC_NOx_Refinery,Table110[2025])</totalsRowFormula>
    </tableColumn>
    <tableColumn id="13" xr3:uid="{A01C644F-129C-40FC-973E-5C4BBC2B81D5}" name="2026" totalsRowFunction="custom">
      <totalsRowFormula array="1">SUBTOTAL(109,SC_NOx_Refinery,Table110[2026])</totalsRowFormula>
    </tableColumn>
    <tableColumn id="14" xr3:uid="{B1AF634A-3136-48F0-8182-687FDD8F10A1}" name="2027" totalsRowFunction="custom">
      <totalsRowFormula array="1">SUBTOTAL(109,SC_NOx_Refinery,Table110[2027])</totalsRowFormula>
    </tableColumn>
    <tableColumn id="15" xr3:uid="{AD88F26B-1110-4C6F-94B5-37C4FC23D9AF}" name="2028" totalsRowFunction="custom">
      <totalsRowFormula array="1">SUBTOTAL(109,SC_NOx_Refinery,Table110[2028])</totalsRowFormula>
    </tableColumn>
    <tableColumn id="16" xr3:uid="{E5ABC791-5AC5-4FF3-B913-6F5D2FCFB1F1}" name="2029" totalsRowFunction="custom">
      <totalsRowFormula array="1">SUBTOTAL(109,SC_NOx_Refinery,Table110[2029])</totalsRowFormula>
    </tableColumn>
    <tableColumn id="17" xr3:uid="{5A9B9ED8-87F0-4C40-A2D6-640C1C89EEAB}" name="2030" totalsRowFunction="custom">
      <totalsRowFormula array="1">SUBTOTAL(109,SC_NOx_Refinery,Table110[2030])</totalsRowFormula>
    </tableColumn>
    <tableColumn id="18" xr3:uid="{76B51FC1-967D-41CE-A0D0-06D36BD0A402}" name="2031" totalsRowFunction="custom">
      <totalsRowFormula array="1">SUBTOTAL(109,SC_NOx_Refinery,Table110[2031])</totalsRowFormula>
    </tableColumn>
    <tableColumn id="19" xr3:uid="{B52CC577-3CB2-4CDB-815B-3B8C811C27EF}" name="2032" totalsRowFunction="custom">
      <totalsRowFormula array="1">SUBTOTAL(109,SC_NOx_Refinery,Table110[2032])</totalsRowFormula>
    </tableColumn>
    <tableColumn id="20" xr3:uid="{92F08202-4AFF-4CAF-99BB-98EA8BCE9EF1}" name="2033" totalsRowFunction="custom">
      <totalsRowFormula array="1">SUBTOTAL(109,SC_NOx_Refinery,Table110[2033])</totalsRowFormula>
    </tableColumn>
    <tableColumn id="21" xr3:uid="{E013F1EC-FAC9-497A-944D-77E25CDBB6D0}" name="2034" totalsRowFunction="custom">
      <totalsRowFormula array="1">SUBTOTAL(109,SC_NOx_Refinery,Table110[2034])</totalsRowFormula>
    </tableColumn>
    <tableColumn id="22" xr3:uid="{76B5E837-29B7-4C95-A49E-6EF85E8D5932}" name="2035" totalsRowFunction="custom">
      <totalsRowFormula array="1">SUBTOTAL(109,SC_NOx_Refinery,Table110[2035])</totalsRowFormula>
    </tableColumn>
    <tableColumn id="23" xr3:uid="{DD3A63FF-7F3F-42B1-B1C1-93D1E9994C41}" name="2036" totalsRowFunction="custom">
      <totalsRowFormula array="1">SUBTOTAL(109,SC_NOx_Refinery,Table110[2036])</totalsRowFormula>
    </tableColumn>
    <tableColumn id="24" xr3:uid="{CDF08F52-E0FA-4E1A-BEF0-C348D131E692}" name="2037" totalsRowFunction="custom">
      <totalsRowFormula array="1">SUBTOTAL(109,SC_NOx_Refinery,Table110[2037])</totalsRowFormula>
    </tableColumn>
    <tableColumn id="25" xr3:uid="{9A02E9D6-3B12-4A39-BE01-0BCB4596870F}" name="2038" totalsRowFunction="custom">
      <totalsRowFormula array="1">SUBTOTAL(109,SC_NOx_Refinery,Table110[2038])</totalsRowFormula>
    </tableColumn>
    <tableColumn id="26" xr3:uid="{F32B8330-A10B-4A34-ADB0-5E8A8CBE9501}" name="2039" totalsRowFunction="custom">
      <totalsRowFormula array="1">SUBTOTAL(109,SC_NOx_Refinery,Table110[2039])</totalsRowFormula>
    </tableColumn>
    <tableColumn id="27" xr3:uid="{29C2EB30-FB95-404A-8C0F-C45086DD93BA}" name="2040" totalsRowFunction="custom">
      <totalsRowFormula array="1">SUBTOTAL(109,SC_NOx_Refinery,Table110[2040])</totalsRowFormula>
    </tableColumn>
    <tableColumn id="28" xr3:uid="{B2FF8574-B5CB-48CD-82B3-1B2381A990C5}" name="2041" totalsRowFunction="custom">
      <totalsRowFormula array="1">SUBTOTAL(109,SC_NOx_Refinery,Table110[2041])</totalsRowFormula>
    </tableColumn>
    <tableColumn id="29" xr3:uid="{D2226A15-00FD-453B-A2C2-3FA3EDDE5F49}" name="2042" totalsRowFunction="custom">
      <totalsRowFormula array="1">SUBTOTAL(109,SC_NOx_Refinery,Table110[2042])</totalsRowFormula>
    </tableColumn>
    <tableColumn id="30" xr3:uid="{6AF92E92-048E-432B-96F5-554060D8C54D}" name="2043" totalsRowFunction="custom">
      <totalsRowFormula array="1">SUBTOTAL(109,SC_NOx_Refinery,Table110[2043])</totalsRowFormula>
    </tableColumn>
    <tableColumn id="31" xr3:uid="{062FD99E-3980-490E-9DFD-08F482DFEFEB}" name="2044" totalsRowFunction="custom">
      <totalsRowFormula array="1">SUBTOTAL(109,SC_NOx_Refinery,Table110[2044])</totalsRowFormula>
    </tableColumn>
    <tableColumn id="32" xr3:uid="{9CA119B3-0A81-46AE-922A-E012D0E11654}" name="2045" totalsRowFunction="custom">
      <totalsRowFormula array="1">SUBTOTAL(109,SC_NOx_Refinery,Table110[2045])</totalsRowFormula>
    </tableColumn>
    <tableColumn id="33" xr3:uid="{53E5C634-D7F8-4F5E-9FEA-C959B7AF17D5}" name="2046" totalsRowFunction="custom">
      <totalsRowFormula array="1">SUBTOTAL(109,SC_NOx_Refinery,Table110[2046])</totalsRow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F296A83-644D-42AE-867B-41A2BD726EC8}" name="Table10" displayName="Table10" ref="A6:AG26" totalsRowCount="1">
  <autoFilter ref="A6:AG25" xr:uid="{7F296A83-644D-42AE-867B-41A2BD726EC8}"/>
  <tableColumns count="33">
    <tableColumn id="1" xr3:uid="{EDFE7EAA-C981-49F4-B106-9D5A130CCB9E}" name="AREA"/>
    <tableColumn id="2" xr3:uid="{2AF6154E-9076-4924-A26A-685B36968C15}" name="EIC"/>
    <tableColumn id="3" xr3:uid="{497CBDAA-0C7D-43A4-B609-3423975F9974}" name="EICSUM"/>
    <tableColumn id="4" xr3:uid="{8E0450B5-D27E-46A9-8F9E-5CEB11025A9B}" name="EICSOU"/>
    <tableColumn id="5" xr3:uid="{6DCF15C0-2802-4B9A-A23C-A012C9D7329F}" name="EICMAT"/>
    <tableColumn id="6" xr3:uid="{E942015C-E4DF-4429-AE1D-A85745C3AE36}" name="EICSUB"/>
    <tableColumn id="7" xr3:uid="{0638B2EA-E8A0-441E-B4ED-A05D033E74FA}" name="POLLUTANT"/>
    <tableColumn id="8" xr3:uid="{B95031FE-F5C5-4CB9-8C30-9BF26A93F455}" name="SEASON"/>
    <tableColumn id="9" xr3:uid="{A51AEAF3-C4CF-46C9-AF67-CF653D8BD1B7}" name="CONTROL_TYPE"/>
    <tableColumn id="10" xr3:uid="{3C16B0B8-BCA2-45D8-8DF2-39FA2AF0B3C6}" name="2023" totalsRowFunction="custom">
      <totalsRowFormula>SUBTOTAL(109,Table10[2023])</totalsRowFormula>
    </tableColumn>
    <tableColumn id="11" xr3:uid="{B013563A-2E9E-4D20-89A1-7DE4F3A5F297}" name="2024" totalsRowFunction="custom">
      <totalsRowFormula>SUBTOTAL(109,Table10[2024])</totalsRowFormula>
    </tableColumn>
    <tableColumn id="12" xr3:uid="{12B2AD1D-FF4B-45BE-879A-DA7960EAA88A}" name="2025" totalsRowFunction="custom">
      <totalsRowFormula>SUBTOTAL(109,Table10[2025])</totalsRowFormula>
    </tableColumn>
    <tableColumn id="13" xr3:uid="{EC1F4546-C427-4CDA-8D47-01B2E35B4FBE}" name="2026" totalsRowFunction="custom">
      <totalsRowFormula>SUBTOTAL(109,Table10[2026])</totalsRowFormula>
    </tableColumn>
    <tableColumn id="14" xr3:uid="{7AD8D354-0ED6-4BD6-86A2-AAE2CF7DA0C8}" name="2027" totalsRowFunction="custom">
      <totalsRowFormula>SUBTOTAL(109,Table10[2027])</totalsRowFormula>
    </tableColumn>
    <tableColumn id="15" xr3:uid="{F18B5FB5-B189-4862-90B5-954369B4F68A}" name="2028" totalsRowFunction="custom">
      <totalsRowFormula>SUBTOTAL(109,Table10[2028])</totalsRowFormula>
    </tableColumn>
    <tableColumn id="16" xr3:uid="{253ADC54-C1F7-4D21-8D6C-6D7DF13B3F05}" name="2029" totalsRowFunction="custom">
      <totalsRowFormula>SUBTOTAL(109,Table10[2029])</totalsRowFormula>
    </tableColumn>
    <tableColumn id="17" xr3:uid="{9414F67A-E5C6-405B-9362-8BFD2D0DCCF1}" name="2030" totalsRowFunction="custom">
      <totalsRowFormula>SUBTOTAL(109,Table10[2030])</totalsRowFormula>
    </tableColumn>
    <tableColumn id="18" xr3:uid="{211AF501-2C60-4C2E-8DA2-8C28FCF98660}" name="2031" totalsRowFunction="custom">
      <totalsRowFormula>SUBTOTAL(109,Table10[2031])</totalsRowFormula>
    </tableColumn>
    <tableColumn id="19" xr3:uid="{361B8856-176D-46BF-BA27-E878B6D3810B}" name="2032" totalsRowFunction="custom">
      <totalsRowFormula>SUBTOTAL(109,Table10[2032])</totalsRowFormula>
    </tableColumn>
    <tableColumn id="20" xr3:uid="{E5344023-E47B-4171-AAB8-E8BE4EB31CB8}" name="2033" totalsRowFunction="custom">
      <totalsRowFormula>SUBTOTAL(109,Table10[2033])</totalsRowFormula>
    </tableColumn>
    <tableColumn id="21" xr3:uid="{32835854-95AA-4DBB-9592-2BE0A3348379}" name="2034" totalsRowFunction="custom">
      <totalsRowFormula>SUBTOTAL(109,Table10[2034])</totalsRowFormula>
    </tableColumn>
    <tableColumn id="22" xr3:uid="{38699976-8636-4A64-9A74-938E75030D10}" name="2035" totalsRowFunction="custom">
      <totalsRowFormula>SUBTOTAL(109,Table10[2035])</totalsRowFormula>
    </tableColumn>
    <tableColumn id="23" xr3:uid="{C7D178A1-ADE6-4381-955C-7804BC33022B}" name="2036" totalsRowFunction="custom">
      <totalsRowFormula>SUBTOTAL(109,Table10[2036])</totalsRowFormula>
    </tableColumn>
    <tableColumn id="24" xr3:uid="{AA4118D7-B573-4F9B-B9F4-72664BEC9926}" name="2037" totalsRowFunction="custom">
      <totalsRowFormula>SUBTOTAL(109,Table10[2037])</totalsRowFormula>
    </tableColumn>
    <tableColumn id="25" xr3:uid="{539B8F38-545C-487F-936A-C45DA12D9815}" name="2038" totalsRowFunction="custom">
      <totalsRowFormula>SUBTOTAL(109,Table10[2038])</totalsRowFormula>
    </tableColumn>
    <tableColumn id="26" xr3:uid="{4F2781F7-4C51-4505-B931-A04153A5489D}" name="2039" totalsRowFunction="custom">
      <totalsRowFormula>SUBTOTAL(109,Table10[2039])</totalsRowFormula>
    </tableColumn>
    <tableColumn id="27" xr3:uid="{23A2883F-7A87-415C-BA32-AABEFD786521}" name="2040" totalsRowFunction="custom">
      <totalsRowFormula>SUBTOTAL(109,Table10[2040])</totalsRowFormula>
    </tableColumn>
    <tableColumn id="28" xr3:uid="{FAD0874F-E017-47FD-B25A-68E62BCD6FE6}" name="2041" totalsRowFunction="custom">
      <totalsRowFormula>SUBTOTAL(109,Table10[2041])</totalsRowFormula>
    </tableColumn>
    <tableColumn id="29" xr3:uid="{8FC6D5BE-6010-4EF8-A8E1-CAF2E6E7A866}" name="2042" totalsRowFunction="custom">
      <totalsRowFormula>SUBTOTAL(109,Table10[2042])</totalsRowFormula>
    </tableColumn>
    <tableColumn id="30" xr3:uid="{3B35DB26-221F-4311-98D9-0F606BFF2589}" name="2043" totalsRowFunction="custom">
      <totalsRowFormula>SUBTOTAL(109,Table10[2043])</totalsRowFormula>
    </tableColumn>
    <tableColumn id="31" xr3:uid="{855052DB-E8FE-42D6-BEF1-BDA73256C316}" name="2044" totalsRowFunction="custom">
      <totalsRowFormula>SUBTOTAL(109,Table10[2044])</totalsRowFormula>
    </tableColumn>
    <tableColumn id="32" xr3:uid="{38D0A728-C4AE-4C91-AEB2-760C5903772D}" name="2045" totalsRowFunction="custom">
      <totalsRowFormula>SUBTOTAL(109,Table10[2045])</totalsRowFormula>
    </tableColumn>
    <tableColumn id="33" xr3:uid="{23DB8378-2268-4E99-9E55-63A24E1D01C5}" name="2046" totalsRowFunction="custom">
      <totalsRowFormula>SUBTOTAL(109,Table10[2046])</totalsRow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2DA273F-0FCD-4AEE-B100-AE90788D97C6}" name="Table22" displayName="Table22" ref="A84:AG97" totalsRowCount="1">
  <autoFilter ref="A84:AG96" xr:uid="{62DA273F-0FCD-4AEE-B100-AE90788D97C6}"/>
  <tableColumns count="33">
    <tableColumn id="1" xr3:uid="{7C95FDF5-E9ED-428F-80BF-32FE8D5CAADD}" name="AREA"/>
    <tableColumn id="2" xr3:uid="{60626976-A655-4272-BC36-529C516D6E99}" name="EIC"/>
    <tableColumn id="3" xr3:uid="{D78E4C04-4486-45BD-8851-41F8A9938EF5}" name="EICSUM"/>
    <tableColumn id="4" xr3:uid="{774A7226-5A2A-4552-BC18-5FD05EB323A0}" name="EICSOU"/>
    <tableColumn id="5" xr3:uid="{1813C300-EAFA-4BF1-A073-6DC3AB0B99E1}" name="EICMAT"/>
    <tableColumn id="6" xr3:uid="{319D628B-C25E-4D00-B091-7839AA7EC256}" name="EICSUB"/>
    <tableColumn id="7" xr3:uid="{BB2B830C-2353-4066-87A1-054520E0F996}" name="POLLUTANT"/>
    <tableColumn id="8" xr3:uid="{BBACBF7A-9E35-40A7-ADEF-08AA0BE88FFF}" name="SEASON"/>
    <tableColumn id="9" xr3:uid="{2EED140F-D2F1-4D42-BB3B-2AC1258653A4}" name="CONTROL_TYPE"/>
    <tableColumn id="10" xr3:uid="{3C38C559-4987-4A56-AAFB-E95462F5C749}" name="2023" totalsRowFunction="sum"/>
    <tableColumn id="11" xr3:uid="{387A9E5D-E882-4DB7-BE69-286E6B8D8EB8}" name="2024" totalsRowFunction="sum"/>
    <tableColumn id="12" xr3:uid="{E9AE3989-F743-47E9-8E36-317C5D008BFC}" name="2025" totalsRowFunction="sum"/>
    <tableColumn id="13" xr3:uid="{10FB7882-0E93-499F-83BD-6ECA433DA17A}" name="2026" totalsRowFunction="sum"/>
    <tableColumn id="14" xr3:uid="{75C9F15D-FF01-49A8-8707-CA389E84CA15}" name="2027" totalsRowFunction="sum"/>
    <tableColumn id="15" xr3:uid="{0DD08975-6324-4E95-B891-EFF2DA914D5A}" name="2028" totalsRowFunction="sum"/>
    <tableColumn id="16" xr3:uid="{04B8C5F8-985F-4AB5-AACF-61B17720A04E}" name="2029" totalsRowFunction="sum"/>
    <tableColumn id="17" xr3:uid="{8807CBFF-5AD0-4733-8AE2-BB99092C96FE}" name="2030" totalsRowFunction="sum"/>
    <tableColumn id="18" xr3:uid="{5843CD13-77F0-4653-8B8B-D89FC36EB123}" name="2031" totalsRowFunction="sum"/>
    <tableColumn id="19" xr3:uid="{AEAD0622-97D0-4A9E-8110-4EB3F9A55290}" name="2032" totalsRowFunction="sum"/>
    <tableColumn id="20" xr3:uid="{F83F8F65-D42E-41BA-A2BD-2F027FAEB80A}" name="2033" totalsRowFunction="sum"/>
    <tableColumn id="21" xr3:uid="{96A65F20-0D5B-4D65-81A7-9B3914629D40}" name="2034" totalsRowFunction="sum"/>
    <tableColumn id="22" xr3:uid="{33397089-03D3-414A-9949-A975F25773DA}" name="2035" totalsRowFunction="sum"/>
    <tableColumn id="23" xr3:uid="{8F32000C-E684-4574-AB6A-01CBE5B6F14E}" name="2036" totalsRowFunction="sum"/>
    <tableColumn id="24" xr3:uid="{D9FB7AF8-D02D-48AB-AE6E-F1608262B2C9}" name="2037" totalsRowFunction="sum"/>
    <tableColumn id="25" xr3:uid="{CAC2E0CF-3469-4B4C-AFEA-041FDCDF9655}" name="2038" totalsRowFunction="sum"/>
    <tableColumn id="26" xr3:uid="{67A4E83B-7194-4502-83E6-DF46F587F314}" name="2039" totalsRowFunction="sum"/>
    <tableColumn id="27" xr3:uid="{DEF1237D-643C-4C6D-886E-3968D36C679D}" name="2040" totalsRowFunction="sum"/>
    <tableColumn id="28" xr3:uid="{B42505AF-4432-4F04-8D73-9F07F898D4D7}" name="2041" totalsRowFunction="sum"/>
    <tableColumn id="29" xr3:uid="{F4146DBD-0E68-4B84-88A8-DA4170476D3C}" name="2042" totalsRowFunction="sum"/>
    <tableColumn id="30" xr3:uid="{6979BF64-D305-4998-A8FF-9DB51E4824A8}" name="2043" totalsRowFunction="sum"/>
    <tableColumn id="31" xr3:uid="{05843221-1023-4594-9AB4-6519ED8B9FF4}" name="2044" totalsRowFunction="sum"/>
    <tableColumn id="32" xr3:uid="{32E73E75-778D-4B21-8EE1-4FB6CAC859F3}" name="2045" totalsRowFunction="sum"/>
    <tableColumn id="33" xr3:uid="{D996D62D-7503-4928-AB1A-F954145C728F}" name="2046" totalsRowFunction="sum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bloomenergy.com/wp-content/uploads/es5-300kw-datasheet-2022.pdf" TargetMode="External"/><Relationship Id="rId1" Type="http://schemas.openxmlformats.org/officeDocument/2006/relationships/hyperlink" Target="https://ww2.arb.ca.gov/our-work/programs/dgcert/exec-order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13" Type="http://schemas.openxmlformats.org/officeDocument/2006/relationships/table" Target="../tables/table24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3.xml"/><Relationship Id="rId13" Type="http://schemas.openxmlformats.org/officeDocument/2006/relationships/table" Target="../tables/table38.xml"/><Relationship Id="rId3" Type="http://schemas.openxmlformats.org/officeDocument/2006/relationships/table" Target="../tables/table28.xml"/><Relationship Id="rId7" Type="http://schemas.openxmlformats.org/officeDocument/2006/relationships/table" Target="../tables/table32.xml"/><Relationship Id="rId12" Type="http://schemas.openxmlformats.org/officeDocument/2006/relationships/table" Target="../tables/table37.xml"/><Relationship Id="rId2" Type="http://schemas.openxmlformats.org/officeDocument/2006/relationships/table" Target="../tables/table27.xml"/><Relationship Id="rId1" Type="http://schemas.openxmlformats.org/officeDocument/2006/relationships/table" Target="../tables/table26.xml"/><Relationship Id="rId6" Type="http://schemas.openxmlformats.org/officeDocument/2006/relationships/table" Target="../tables/table31.xml"/><Relationship Id="rId11" Type="http://schemas.openxmlformats.org/officeDocument/2006/relationships/table" Target="../tables/table36.xml"/><Relationship Id="rId5" Type="http://schemas.openxmlformats.org/officeDocument/2006/relationships/table" Target="../tables/table30.xml"/><Relationship Id="rId15" Type="http://schemas.openxmlformats.org/officeDocument/2006/relationships/table" Target="../tables/table40.xml"/><Relationship Id="rId10" Type="http://schemas.openxmlformats.org/officeDocument/2006/relationships/table" Target="../tables/table35.xml"/><Relationship Id="rId4" Type="http://schemas.openxmlformats.org/officeDocument/2006/relationships/table" Target="../tables/table29.xml"/><Relationship Id="rId9" Type="http://schemas.openxmlformats.org/officeDocument/2006/relationships/table" Target="../tables/table34.xml"/><Relationship Id="rId14" Type="http://schemas.openxmlformats.org/officeDocument/2006/relationships/table" Target="../tables/table3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eogreen.com/" TargetMode="External"/><Relationship Id="rId3" Type="http://schemas.openxmlformats.org/officeDocument/2006/relationships/hyperlink" Target="http://www.baybiodiesel.com/" TargetMode="External"/><Relationship Id="rId7" Type="http://schemas.openxmlformats.org/officeDocument/2006/relationships/hyperlink" Target="http://www.crimsonrenewable.com/" TargetMode="External"/><Relationship Id="rId2" Type="http://schemas.openxmlformats.org/officeDocument/2006/relationships/hyperlink" Target="http://www.bakercommodities.com/" TargetMode="External"/><Relationship Id="rId1" Type="http://schemas.openxmlformats.org/officeDocument/2006/relationships/hyperlink" Target="http://www.northstarbiofuels.com/" TargetMode="External"/><Relationship Id="rId6" Type="http://schemas.openxmlformats.org/officeDocument/2006/relationships/hyperlink" Target="http://www.communityfuels.com/" TargetMode="External"/><Relationship Id="rId11" Type="http://schemas.openxmlformats.org/officeDocument/2006/relationships/hyperlink" Target="http://www.simplefuels.com/" TargetMode="External"/><Relationship Id="rId5" Type="http://schemas.openxmlformats.org/officeDocument/2006/relationships/hyperlink" Target="http://www.biodico.com/" TargetMode="External"/><Relationship Id="rId10" Type="http://schemas.openxmlformats.org/officeDocument/2006/relationships/hyperlink" Target="http://www.newleafbiofuel.com/" TargetMode="External"/><Relationship Id="rId4" Type="http://schemas.openxmlformats.org/officeDocument/2006/relationships/hyperlink" Target="http://www.biodico.com/" TargetMode="External"/><Relationship Id="rId9" Type="http://schemas.openxmlformats.org/officeDocument/2006/relationships/hyperlink" Target="http://www.biotanefuels.com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81EC3-3B43-4764-A4EF-9270461D8463}">
  <sheetPr>
    <tabColor rgb="FFFFFF00"/>
  </sheetPr>
  <dimension ref="A1:AB83"/>
  <sheetViews>
    <sheetView topLeftCell="A34" workbookViewId="0">
      <selection activeCell="I33" sqref="I33"/>
    </sheetView>
  </sheetViews>
  <sheetFormatPr defaultRowHeight="15"/>
  <cols>
    <col min="1" max="1" width="41.28515625" bestFit="1" customWidth="1"/>
    <col min="4" max="28" width="14.7109375" bestFit="1" customWidth="1"/>
  </cols>
  <sheetData>
    <row r="1" spans="1:28">
      <c r="B1" s="298" t="s">
        <v>0</v>
      </c>
      <c r="C1" s="298" t="s">
        <v>1</v>
      </c>
      <c r="D1" s="298">
        <v>2022</v>
      </c>
      <c r="E1" s="298">
        <v>2023</v>
      </c>
      <c r="F1" s="298">
        <v>2024</v>
      </c>
      <c r="G1" s="298">
        <v>2025</v>
      </c>
      <c r="H1" s="298">
        <v>2026</v>
      </c>
      <c r="I1" s="298">
        <v>2027</v>
      </c>
      <c r="J1" s="298">
        <v>2028</v>
      </c>
      <c r="K1" s="298">
        <v>2029</v>
      </c>
      <c r="L1" s="298">
        <v>2030</v>
      </c>
      <c r="M1" s="298">
        <v>2031</v>
      </c>
      <c r="N1" s="298">
        <v>2032</v>
      </c>
      <c r="O1" s="298">
        <v>2033</v>
      </c>
      <c r="P1" s="298">
        <v>2034</v>
      </c>
      <c r="Q1" s="298">
        <v>2035</v>
      </c>
      <c r="R1" s="298">
        <v>2036</v>
      </c>
      <c r="S1" s="298">
        <v>2037</v>
      </c>
      <c r="T1" s="298">
        <v>2038</v>
      </c>
      <c r="U1" s="298">
        <v>2039</v>
      </c>
      <c r="V1" s="298">
        <v>2040</v>
      </c>
      <c r="W1" s="298">
        <v>2041</v>
      </c>
      <c r="X1" s="298">
        <v>2042</v>
      </c>
      <c r="Y1" s="298">
        <v>2043</v>
      </c>
      <c r="Z1" s="298">
        <v>2044</v>
      </c>
      <c r="AA1" s="298">
        <v>2045</v>
      </c>
      <c r="AB1" s="298">
        <v>2046</v>
      </c>
    </row>
    <row r="2" spans="1:28">
      <c r="A2" s="298" t="s">
        <v>2</v>
      </c>
      <c r="B2" s="422" t="s">
        <v>3</v>
      </c>
      <c r="C2" t="s">
        <v>4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</row>
    <row r="3" spans="1:28">
      <c r="A3" s="298" t="s">
        <v>5</v>
      </c>
      <c r="B3" s="422" t="s">
        <v>3</v>
      </c>
      <c r="C3" t="s">
        <v>4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</row>
    <row r="4" spans="1:28">
      <c r="A4" s="298" t="s">
        <v>6</v>
      </c>
      <c r="B4" s="422" t="s">
        <v>3</v>
      </c>
      <c r="C4" t="s">
        <v>7</v>
      </c>
      <c r="D4" s="8">
        <v>5.8022944923636954</v>
      </c>
      <c r="E4" s="8">
        <v>11.518694998813009</v>
      </c>
      <c r="F4" s="8">
        <v>3.3704153781382762</v>
      </c>
      <c r="G4" s="8">
        <v>3.3704153781382749</v>
      </c>
      <c r="H4" s="8">
        <v>3.3704153781382762</v>
      </c>
      <c r="I4" s="8">
        <v>3.3704153781382762</v>
      </c>
      <c r="J4" s="8">
        <v>3.3704153781382762</v>
      </c>
      <c r="K4" s="8">
        <v>3.3704153781382762</v>
      </c>
      <c r="L4" s="8">
        <v>3.3704153781382749</v>
      </c>
      <c r="M4" s="8">
        <v>3.3704153781382749</v>
      </c>
      <c r="N4" s="8">
        <v>3.3704153781382749</v>
      </c>
      <c r="O4" s="8">
        <v>3.3704153781382749</v>
      </c>
      <c r="P4" s="8">
        <v>3.3704153781382749</v>
      </c>
      <c r="Q4" s="8">
        <v>3.3704153781382749</v>
      </c>
      <c r="R4" s="8">
        <v>3.3704153781382749</v>
      </c>
      <c r="S4" s="8">
        <v>3.3704153781382749</v>
      </c>
      <c r="T4" s="8">
        <v>3.3704153781382749</v>
      </c>
      <c r="U4" s="8">
        <v>3.3704153781382749</v>
      </c>
      <c r="V4" s="8">
        <v>3.3704153781382749</v>
      </c>
      <c r="W4" s="8">
        <v>3.3704153781382749</v>
      </c>
      <c r="X4" s="8">
        <v>3.3704153781382749</v>
      </c>
      <c r="Y4" s="8">
        <v>3.3704153781382749</v>
      </c>
      <c r="Z4" s="8">
        <v>3.3704153781382749</v>
      </c>
      <c r="AA4" s="8">
        <v>3.3704153781382749</v>
      </c>
      <c r="AB4" s="8">
        <v>3.3704153781382749</v>
      </c>
    </row>
    <row r="5" spans="1:28">
      <c r="A5" s="298" t="s">
        <v>8</v>
      </c>
      <c r="B5" s="422" t="s">
        <v>3</v>
      </c>
      <c r="C5" t="s">
        <v>7</v>
      </c>
      <c r="D5" s="8">
        <v>5.8022944923636954</v>
      </c>
      <c r="E5" s="8">
        <v>11.518694998813039</v>
      </c>
      <c r="F5" s="8">
        <v>2.1308859513966931</v>
      </c>
      <c r="G5" s="8">
        <v>1.2785315708380149</v>
      </c>
      <c r="H5" s="8">
        <v>0.7671189425028091</v>
      </c>
      <c r="I5" s="8">
        <v>0.46027136550168551</v>
      </c>
      <c r="J5" s="8">
        <v>0.27616281930101128</v>
      </c>
      <c r="K5" s="8">
        <v>0.16569769158060679</v>
      </c>
      <c r="L5" s="8">
        <v>9.9418614948364029E-2</v>
      </c>
      <c r="M5" s="8">
        <v>5.9651168969018412E-2</v>
      </c>
      <c r="N5" s="8">
        <v>3.579070138141105E-2</v>
      </c>
      <c r="O5" s="8">
        <v>2.1474420828846631E-2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</row>
    <row r="6" spans="1:28">
      <c r="A6" s="298" t="s">
        <v>9</v>
      </c>
      <c r="B6" s="422" t="s">
        <v>3</v>
      </c>
      <c r="C6" t="s">
        <v>7</v>
      </c>
      <c r="D6" s="8">
        <v>281.16396700229922</v>
      </c>
      <c r="E6" s="8">
        <v>281.16396700229922</v>
      </c>
      <c r="F6" s="8">
        <v>281.16396700229922</v>
      </c>
      <c r="G6" s="8">
        <v>281.16396700229922</v>
      </c>
      <c r="H6" s="8">
        <v>281.16396700229922</v>
      </c>
      <c r="I6" s="8">
        <v>281.16396700229922</v>
      </c>
      <c r="J6" s="8">
        <v>281.16396700229922</v>
      </c>
      <c r="K6" s="8">
        <v>281.16396700229922</v>
      </c>
      <c r="L6" s="8">
        <v>281.16396700229927</v>
      </c>
      <c r="M6" s="8">
        <v>281.16396700229927</v>
      </c>
      <c r="N6" s="8">
        <v>281.16396700229927</v>
      </c>
      <c r="O6" s="8">
        <v>281.16396700229927</v>
      </c>
      <c r="P6" s="8">
        <v>281.16396700229927</v>
      </c>
      <c r="Q6" s="8">
        <v>281.16396700229927</v>
      </c>
      <c r="R6" s="8">
        <v>281.16396700229927</v>
      </c>
      <c r="S6" s="8">
        <v>281.16396700229927</v>
      </c>
      <c r="T6" s="8">
        <v>281.16396700229927</v>
      </c>
      <c r="U6" s="8">
        <v>281.16396700229927</v>
      </c>
      <c r="V6" s="8">
        <v>281.16396700229927</v>
      </c>
      <c r="W6" s="8">
        <v>281.16396700229927</v>
      </c>
      <c r="X6" s="8">
        <v>281.16396700229927</v>
      </c>
      <c r="Y6" s="8">
        <v>281.16396700229927</v>
      </c>
      <c r="Z6" s="8">
        <v>281.16396700229927</v>
      </c>
      <c r="AA6" s="8">
        <v>281.16396700229927</v>
      </c>
      <c r="AB6" s="8">
        <v>281.16396700229927</v>
      </c>
    </row>
    <row r="7" spans="1:28">
      <c r="A7" s="298" t="s">
        <v>10</v>
      </c>
      <c r="B7" s="422" t="s">
        <v>3</v>
      </c>
      <c r="C7" t="s">
        <v>7</v>
      </c>
      <c r="D7" s="8">
        <v>12394.075118723969</v>
      </c>
      <c r="E7" s="8">
        <v>12078.55315256515</v>
      </c>
      <c r="F7" s="8">
        <v>11612.38832067946</v>
      </c>
      <c r="G7" s="8">
        <v>11272.88216981195</v>
      </c>
      <c r="H7" s="8">
        <v>10913.35025011942</v>
      </c>
      <c r="I7" s="8">
        <v>10486.560522742389</v>
      </c>
      <c r="J7" s="8">
        <v>10040.58398282214</v>
      </c>
      <c r="K7" s="8">
        <v>9576.2266623162559</v>
      </c>
      <c r="L7" s="8">
        <v>9090.4400649941053</v>
      </c>
      <c r="M7" s="8">
        <v>8582.2159985613507</v>
      </c>
      <c r="N7" s="8">
        <v>8051.9557676982977</v>
      </c>
      <c r="O7" s="8">
        <v>7492.1411850500181</v>
      </c>
      <c r="P7" s="8">
        <v>6916.5307218759981</v>
      </c>
      <c r="Q7" s="8">
        <v>6331.9536777557023</v>
      </c>
      <c r="R7" s="8">
        <v>5764.4586638937844</v>
      </c>
      <c r="S7" s="8">
        <v>5218.2243414733293</v>
      </c>
      <c r="T7" s="8">
        <v>4698.3232726265196</v>
      </c>
      <c r="U7" s="8">
        <v>4207.9193518321699</v>
      </c>
      <c r="V7" s="8">
        <v>3745.9643527355079</v>
      </c>
      <c r="W7" s="8">
        <v>3313.4408276794511</v>
      </c>
      <c r="X7" s="8">
        <v>2911.628222349776</v>
      </c>
      <c r="Y7" s="8">
        <v>2541.46774638735</v>
      </c>
      <c r="Z7" s="8">
        <v>2200.8953722041319</v>
      </c>
      <c r="AA7" s="8">
        <v>1890.460241071235</v>
      </c>
      <c r="AB7" s="8">
        <v>1632.283211203908</v>
      </c>
    </row>
    <row r="8" spans="1:28">
      <c r="A8" s="298" t="s">
        <v>11</v>
      </c>
      <c r="B8" s="422" t="s">
        <v>3</v>
      </c>
      <c r="C8" t="s">
        <v>7</v>
      </c>
      <c r="D8" s="8">
        <v>498.1990930995043</v>
      </c>
      <c r="E8" s="8">
        <v>497.75217017155933</v>
      </c>
      <c r="F8" s="8">
        <v>519.83275540973443</v>
      </c>
      <c r="G8" s="8">
        <v>522.98009198671639</v>
      </c>
      <c r="H8" s="8">
        <v>519.49400373542176</v>
      </c>
      <c r="I8" s="8">
        <v>514.79405571640268</v>
      </c>
      <c r="J8" s="8">
        <v>508.66927933045821</v>
      </c>
      <c r="K8" s="8">
        <v>501.13225739519339</v>
      </c>
      <c r="L8" s="8">
        <v>492.98068126034019</v>
      </c>
      <c r="M8" s="8">
        <v>501.53553021305402</v>
      </c>
      <c r="N8" s="8">
        <v>510.01321348632172</v>
      </c>
      <c r="O8" s="8">
        <v>518.42487286393066</v>
      </c>
      <c r="P8" s="8">
        <v>526.77999363831225</v>
      </c>
      <c r="Q8" s="8">
        <v>535.04402220865165</v>
      </c>
      <c r="R8" s="8">
        <v>543.24060748505258</v>
      </c>
      <c r="S8" s="8">
        <v>551.37948089717611</v>
      </c>
      <c r="T8" s="8">
        <v>559.44610084380213</v>
      </c>
      <c r="U8" s="8">
        <v>567.4180424297723</v>
      </c>
      <c r="V8" s="8">
        <v>575.32677449229618</v>
      </c>
      <c r="W8" s="8">
        <v>583.15029667300541</v>
      </c>
      <c r="X8" s="8">
        <v>590.90571504128593</v>
      </c>
      <c r="Y8" s="8">
        <v>598.58162329900608</v>
      </c>
      <c r="Z8" s="8">
        <v>606.18415909770977</v>
      </c>
      <c r="AA8" s="8">
        <v>613.71293190746974</v>
      </c>
      <c r="AB8" s="8">
        <v>621.42805956282609</v>
      </c>
    </row>
    <row r="9" spans="1:28">
      <c r="A9" s="298" t="s">
        <v>12</v>
      </c>
      <c r="B9" s="422" t="s">
        <v>3</v>
      </c>
      <c r="C9" t="s">
        <v>13</v>
      </c>
      <c r="D9" s="8">
        <v>41.411879452666028</v>
      </c>
      <c r="E9" s="8">
        <v>24.847127671599619</v>
      </c>
      <c r="F9" s="8">
        <v>14.90827660295977</v>
      </c>
      <c r="G9" s="8">
        <v>8.9449659617758641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</row>
    <row r="10" spans="1:28">
      <c r="A10" s="298" t="s">
        <v>14</v>
      </c>
      <c r="B10" s="422" t="s">
        <v>3</v>
      </c>
      <c r="C10" t="s">
        <v>15</v>
      </c>
      <c r="D10" s="8">
        <v>3.8346666666666671</v>
      </c>
      <c r="E10" s="8">
        <v>18.410886111111122</v>
      </c>
      <c r="F10" s="8">
        <v>382.22966222222232</v>
      </c>
      <c r="G10" s="8">
        <v>697.45028083333341</v>
      </c>
      <c r="H10" s="8">
        <v>1206.3094530555561</v>
      </c>
      <c r="I10" s="8">
        <v>1930.2697627777779</v>
      </c>
      <c r="J10" s="8">
        <v>2583.6675002777788</v>
      </c>
      <c r="K10" s="8">
        <v>3456.705892500001</v>
      </c>
      <c r="L10" s="8">
        <v>4569.5603663888896</v>
      </c>
      <c r="M10" s="8">
        <v>5862.2211216666656</v>
      </c>
      <c r="N10" s="8">
        <v>7129.843291388891</v>
      </c>
      <c r="O10" s="8">
        <v>8339.2769141666704</v>
      </c>
      <c r="P10" s="8">
        <v>9776.9359541666672</v>
      </c>
      <c r="Q10" s="8">
        <v>11415.656083611109</v>
      </c>
      <c r="R10" s="8">
        <v>12987.748855</v>
      </c>
      <c r="S10" s="8">
        <v>14690.00529472223</v>
      </c>
      <c r="T10" s="8">
        <v>16418.76916472222</v>
      </c>
      <c r="U10" s="8">
        <v>18213.835303888889</v>
      </c>
      <c r="V10" s="8">
        <v>19678.438300833332</v>
      </c>
      <c r="W10" s="8">
        <v>21193.848648055558</v>
      </c>
      <c r="X10" s="8">
        <v>22785.324677500001</v>
      </c>
      <c r="Y10" s="8">
        <v>23915.834082500001</v>
      </c>
      <c r="Z10" s="8">
        <v>25047.633741944439</v>
      </c>
      <c r="AA10" s="8">
        <v>26140.67146666667</v>
      </c>
      <c r="AB10" s="8">
        <v>27327.589306388891</v>
      </c>
    </row>
    <row r="11" spans="1:28">
      <c r="A11" s="298" t="s">
        <v>16</v>
      </c>
      <c r="B11" s="422" t="s">
        <v>3</v>
      </c>
      <c r="C11" t="s">
        <v>15</v>
      </c>
      <c r="D11" s="8">
        <v>0</v>
      </c>
      <c r="E11" s="8">
        <v>0</v>
      </c>
      <c r="F11" s="8">
        <v>0</v>
      </c>
      <c r="G11" s="8">
        <v>30.6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</row>
    <row r="12" spans="1:28">
      <c r="A12" s="298" t="s">
        <v>17</v>
      </c>
      <c r="B12" s="422" t="s">
        <v>3</v>
      </c>
      <c r="C12" t="s">
        <v>15</v>
      </c>
      <c r="D12" s="8">
        <v>3405.916658055557</v>
      </c>
      <c r="E12" s="8">
        <v>4243.2297497222226</v>
      </c>
      <c r="F12" s="8">
        <v>5276.2062469444454</v>
      </c>
      <c r="G12" s="8">
        <v>6542.380570000003</v>
      </c>
      <c r="H12" s="8">
        <v>8093.20976138889</v>
      </c>
      <c r="I12" s="8">
        <v>10505.71946416667</v>
      </c>
      <c r="J12" s="8">
        <v>13361.60451138889</v>
      </c>
      <c r="K12" s="8">
        <v>16691.896311111112</v>
      </c>
      <c r="L12" s="8">
        <v>20547.963274166668</v>
      </c>
      <c r="M12" s="8">
        <v>24978.509136666671</v>
      </c>
      <c r="N12" s="8">
        <v>29484.45985472223</v>
      </c>
      <c r="O12" s="8">
        <v>34455.75230472222</v>
      </c>
      <c r="P12" s="8">
        <v>39739.412582500008</v>
      </c>
      <c r="Q12" s="8">
        <v>45282.638018333339</v>
      </c>
      <c r="R12" s="8">
        <v>50745.155940555582</v>
      </c>
      <c r="S12" s="8">
        <v>56112.192676944462</v>
      </c>
      <c r="T12" s="8">
        <v>61329.187026111118</v>
      </c>
      <c r="U12" s="8">
        <v>66355.345674166689</v>
      </c>
      <c r="V12" s="8">
        <v>71164.976508888896</v>
      </c>
      <c r="W12" s="8">
        <v>75752.910762500032</v>
      </c>
      <c r="X12" s="8">
        <v>80054.986243611143</v>
      </c>
      <c r="Y12" s="8">
        <v>84063.184965277818</v>
      </c>
      <c r="Z12" s="8">
        <v>87760.341567777796</v>
      </c>
      <c r="AA12" s="8">
        <v>91120.502526666663</v>
      </c>
      <c r="AB12" s="8">
        <v>94608.523778333343</v>
      </c>
    </row>
    <row r="13" spans="1:28">
      <c r="A13" s="298" t="s">
        <v>18</v>
      </c>
      <c r="B13" s="422" t="s">
        <v>3</v>
      </c>
      <c r="C13" t="s">
        <v>15</v>
      </c>
      <c r="D13" s="8">
        <v>0</v>
      </c>
      <c r="E13" s="8">
        <v>0</v>
      </c>
      <c r="F13" s="8">
        <v>0</v>
      </c>
      <c r="G13" s="8">
        <v>3.4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</row>
    <row r="14" spans="1:28">
      <c r="A14" s="298" t="s">
        <v>19</v>
      </c>
      <c r="B14" s="422" t="s">
        <v>3</v>
      </c>
      <c r="C14" t="s">
        <v>7</v>
      </c>
      <c r="D14" s="8">
        <v>1384.277987288961</v>
      </c>
      <c r="E14" s="8">
        <v>1352.3732794342779</v>
      </c>
      <c r="F14" s="8">
        <v>1304.993133935762</v>
      </c>
      <c r="G14" s="8">
        <v>1266.4168351904989</v>
      </c>
      <c r="H14" s="8">
        <v>1226.4886083575709</v>
      </c>
      <c r="I14" s="8">
        <v>1179.090989088475</v>
      </c>
      <c r="J14" s="8">
        <v>1129.562556499433</v>
      </c>
      <c r="K14" s="8">
        <v>1077.99282538753</v>
      </c>
      <c r="L14" s="8">
        <v>1024.043241531768</v>
      </c>
      <c r="M14" s="8">
        <v>967.60183898860987</v>
      </c>
      <c r="N14" s="8">
        <v>908.71318510639674</v>
      </c>
      <c r="O14" s="8">
        <v>846.5423390255329</v>
      </c>
      <c r="P14" s="8">
        <v>782.61726344205101</v>
      </c>
      <c r="Q14" s="8">
        <v>717.69639399902826</v>
      </c>
      <c r="R14" s="8">
        <v>654.67258888205129</v>
      </c>
      <c r="S14" s="8">
        <v>594.00991406812409</v>
      </c>
      <c r="T14" s="8">
        <v>536.27170872226714</v>
      </c>
      <c r="U14" s="8">
        <v>481.80934274936578</v>
      </c>
      <c r="V14" s="8">
        <v>430.5064041777058</v>
      </c>
      <c r="W14" s="8">
        <v>382.47201147681511</v>
      </c>
      <c r="X14" s="8">
        <v>337.84825494456129</v>
      </c>
      <c r="Y14" s="8">
        <v>296.73966168960862</v>
      </c>
      <c r="Z14" s="8">
        <v>258.91700877732791</v>
      </c>
      <c r="AA14" s="8">
        <v>224.44128171703099</v>
      </c>
      <c r="AB14" s="8">
        <v>195.76913761252359</v>
      </c>
    </row>
    <row r="15" spans="1:28">
      <c r="A15" s="298" t="s">
        <v>20</v>
      </c>
      <c r="B15" s="422" t="s">
        <v>3</v>
      </c>
      <c r="C15" t="s">
        <v>7</v>
      </c>
      <c r="D15" s="8">
        <v>103.5217700036805</v>
      </c>
      <c r="E15" s="8">
        <v>144.93047800515271</v>
      </c>
      <c r="F15" s="8">
        <v>202.90266920721371</v>
      </c>
      <c r="G15" s="8">
        <v>191.38755980861239</v>
      </c>
      <c r="H15" s="8">
        <v>191.38755980861239</v>
      </c>
      <c r="I15" s="8">
        <v>191.38755980861239</v>
      </c>
      <c r="J15" s="8">
        <v>191.38755980861239</v>
      </c>
      <c r="K15" s="8">
        <v>191.38755980861251</v>
      </c>
      <c r="L15" s="8">
        <v>191.38755980861239</v>
      </c>
      <c r="M15" s="8">
        <v>191.38755980861251</v>
      </c>
      <c r="N15" s="8">
        <v>191.38755980861251</v>
      </c>
      <c r="O15" s="8">
        <v>191.38755980861251</v>
      </c>
      <c r="P15" s="8">
        <v>191.38755980861251</v>
      </c>
      <c r="Q15" s="8">
        <v>191.38755980861251</v>
      </c>
      <c r="R15" s="8">
        <v>191.38755980861251</v>
      </c>
      <c r="S15" s="8">
        <v>191.38755980861251</v>
      </c>
      <c r="T15" s="8">
        <v>191.38755980861251</v>
      </c>
      <c r="U15" s="8">
        <v>191.38755980861251</v>
      </c>
      <c r="V15" s="8">
        <v>191.38755980861251</v>
      </c>
      <c r="W15" s="8">
        <v>191.38755980861251</v>
      </c>
      <c r="X15" s="8">
        <v>191.38755980861251</v>
      </c>
      <c r="Y15" s="8">
        <v>191.38755980861251</v>
      </c>
      <c r="Z15" s="8">
        <v>191.38755980861251</v>
      </c>
      <c r="AA15" s="8">
        <v>191.38755980861251</v>
      </c>
      <c r="AB15" s="8">
        <v>191.38755980861251</v>
      </c>
    </row>
    <row r="16" spans="1:28">
      <c r="A16" s="298" t="s">
        <v>21</v>
      </c>
      <c r="B16" s="422" t="s">
        <v>3</v>
      </c>
      <c r="C16" t="s">
        <v>22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3.2550488666666668</v>
      </c>
      <c r="M16" s="8">
        <v>2.8818263583333419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</row>
    <row r="17" spans="1:28">
      <c r="A17" s="298" t="s">
        <v>23</v>
      </c>
      <c r="B17" s="422" t="s">
        <v>3</v>
      </c>
      <c r="C17" t="s">
        <v>22</v>
      </c>
      <c r="D17" s="8">
        <v>0</v>
      </c>
      <c r="E17" s="8">
        <v>0</v>
      </c>
      <c r="F17" s="8">
        <v>0</v>
      </c>
      <c r="G17" s="8">
        <v>0.54649999999999999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</row>
    <row r="18" spans="1:28">
      <c r="A18" s="298" t="s">
        <v>24</v>
      </c>
      <c r="B18" s="422" t="s">
        <v>3</v>
      </c>
      <c r="C18" t="s">
        <v>22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8.0123047741666138</v>
      </c>
      <c r="V18" s="8">
        <v>25.39598266716661</v>
      </c>
      <c r="W18" s="8">
        <v>44.702786013166637</v>
      </c>
      <c r="X18" s="8">
        <v>67.842351482333285</v>
      </c>
      <c r="Y18" s="8">
        <v>77.558381250666642</v>
      </c>
      <c r="Z18" s="8">
        <v>88.236226162166602</v>
      </c>
      <c r="AA18" s="8">
        <v>99.297376775499927</v>
      </c>
      <c r="AB18" s="8">
        <v>115.92991817399989</v>
      </c>
    </row>
    <row r="19" spans="1:28">
      <c r="A19" s="298" t="s">
        <v>25</v>
      </c>
      <c r="B19" s="422" t="s">
        <v>3</v>
      </c>
      <c r="C19" t="s">
        <v>22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</row>
    <row r="20" spans="1:28">
      <c r="A20" s="298" t="s">
        <v>26</v>
      </c>
      <c r="B20" s="422" t="s">
        <v>3</v>
      </c>
      <c r="C20" t="s">
        <v>22</v>
      </c>
      <c r="D20" s="8">
        <v>0</v>
      </c>
      <c r="E20" s="8">
        <v>0.2385582083333333</v>
      </c>
      <c r="F20" s="8">
        <v>1.1241731333333329</v>
      </c>
      <c r="G20" s="8">
        <v>2.0283731833333332</v>
      </c>
      <c r="H20" s="8">
        <v>5.1617237999999999</v>
      </c>
      <c r="I20" s="8">
        <v>10.654472183333329</v>
      </c>
      <c r="J20" s="8">
        <v>20.592489916666668</v>
      </c>
      <c r="K20" s="8">
        <v>34.402153908333332</v>
      </c>
      <c r="L20" s="8">
        <v>48.262500000000003</v>
      </c>
      <c r="M20" s="8">
        <v>67.567499999999981</v>
      </c>
      <c r="N20" s="8">
        <v>88.950653916666667</v>
      </c>
      <c r="O20" s="8">
        <v>106.31570783333331</v>
      </c>
      <c r="P20" s="8">
        <v>129.653683925</v>
      </c>
      <c r="Q20" s="8">
        <v>155.58310943333331</v>
      </c>
      <c r="R20" s="8">
        <v>180.15187690833329</v>
      </c>
      <c r="S20" s="8">
        <v>206.37337038333331</v>
      </c>
      <c r="T20" s="8">
        <v>233.8010902916667</v>
      </c>
      <c r="U20" s="8">
        <v>254.46210859249999</v>
      </c>
      <c r="V20" s="8">
        <v>261.97346686616669</v>
      </c>
      <c r="W20" s="8">
        <v>269.91590188683341</v>
      </c>
      <c r="X20" s="8">
        <v>277.12460070933338</v>
      </c>
      <c r="Y20" s="8">
        <v>283.71223942433329</v>
      </c>
      <c r="Z20" s="8">
        <v>289.44595303783342</v>
      </c>
      <c r="AA20" s="8">
        <v>294.68315958283341</v>
      </c>
      <c r="AB20" s="8">
        <v>294.68315957599998</v>
      </c>
    </row>
    <row r="21" spans="1:28">
      <c r="A21" s="298" t="s">
        <v>27</v>
      </c>
      <c r="B21" s="422" t="s">
        <v>3</v>
      </c>
      <c r="C21" t="s">
        <v>22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</row>
    <row r="22" spans="1:28">
      <c r="A22" s="298" t="s">
        <v>28</v>
      </c>
      <c r="B22" s="422" t="s">
        <v>3</v>
      </c>
      <c r="C22" t="s">
        <v>22</v>
      </c>
      <c r="D22" s="8">
        <v>0</v>
      </c>
      <c r="E22" s="8">
        <v>0</v>
      </c>
      <c r="F22" s="8">
        <v>0</v>
      </c>
      <c r="G22" s="8">
        <v>0.54649999999999999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</row>
    <row r="23" spans="1:28">
      <c r="A23" s="298" t="s">
        <v>29</v>
      </c>
      <c r="B23" s="422" t="s">
        <v>3</v>
      </c>
      <c r="C23" t="s">
        <v>22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10.336950848166589</v>
      </c>
      <c r="S23" s="8">
        <v>36.772132816833263</v>
      </c>
      <c r="T23" s="8">
        <v>63.80610649416662</v>
      </c>
      <c r="U23" s="8">
        <v>83.385007674999997</v>
      </c>
      <c r="V23" s="8">
        <v>89.979236608333338</v>
      </c>
      <c r="W23" s="8">
        <v>96.330386916666654</v>
      </c>
      <c r="X23" s="8">
        <v>102.3610350666667</v>
      </c>
      <c r="Y23" s="8">
        <v>108.04777675</v>
      </c>
      <c r="Z23" s="8">
        <v>113.350635025</v>
      </c>
      <c r="AA23" s="8">
        <v>118.22997807500001</v>
      </c>
      <c r="AB23" s="8">
        <v>123.36066523333329</v>
      </c>
    </row>
    <row r="24" spans="1:28">
      <c r="A24" s="298" t="s">
        <v>30</v>
      </c>
      <c r="B24" s="422" t="s">
        <v>3</v>
      </c>
      <c r="C24" t="s">
        <v>22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</row>
    <row r="25" spans="1:28">
      <c r="A25" s="298" t="s">
        <v>31</v>
      </c>
      <c r="B25" s="422" t="s">
        <v>3</v>
      </c>
      <c r="C25" t="s">
        <v>22</v>
      </c>
      <c r="D25" s="8">
        <v>1.0825233750000001</v>
      </c>
      <c r="E25" s="8">
        <v>1.2335523333333329</v>
      </c>
      <c r="F25" s="8">
        <v>1.543232158333333</v>
      </c>
      <c r="G25" s="8">
        <v>1.4590063</v>
      </c>
      <c r="H25" s="8">
        <v>3.863752158333333</v>
      </c>
      <c r="I25" s="8">
        <v>6.839509708333332</v>
      </c>
      <c r="J25" s="8">
        <v>10.851397933333329</v>
      </c>
      <c r="K25" s="8">
        <v>15.86534685833333</v>
      </c>
      <c r="L25" s="8">
        <v>21.928768191666659</v>
      </c>
      <c r="M25" s="8">
        <v>28.145119391666661</v>
      </c>
      <c r="N25" s="8">
        <v>34.5995828</v>
      </c>
      <c r="O25" s="8">
        <v>41.314089950000003</v>
      </c>
      <c r="P25" s="8">
        <v>48.226662391666657</v>
      </c>
      <c r="Q25" s="8">
        <v>55.392127308333343</v>
      </c>
      <c r="R25" s="8">
        <v>52.194153926833408</v>
      </c>
      <c r="S25" s="8">
        <v>32.848628783166738</v>
      </c>
      <c r="T25" s="8">
        <v>12.78333590583337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</row>
    <row r="26" spans="1:28">
      <c r="A26" s="298" t="s">
        <v>32</v>
      </c>
      <c r="B26" s="422" t="s">
        <v>3</v>
      </c>
      <c r="C26" t="s">
        <v>13</v>
      </c>
      <c r="D26" s="8">
        <v>155.2624472075556</v>
      </c>
      <c r="E26" s="8">
        <v>163.9524477132446</v>
      </c>
      <c r="F26" s="8">
        <v>165.1882957477504</v>
      </c>
      <c r="G26" s="8">
        <v>163.38642495813201</v>
      </c>
      <c r="H26" s="8">
        <v>165.4155616643117</v>
      </c>
      <c r="I26" s="8">
        <v>157.8013307800997</v>
      </c>
      <c r="J26" s="8">
        <v>149.3580882352941</v>
      </c>
      <c r="K26" s="8">
        <v>141.7716384695471</v>
      </c>
      <c r="L26" s="8">
        <v>134.70107912545541</v>
      </c>
      <c r="M26" s="8">
        <v>128.0007997471555</v>
      </c>
      <c r="N26" s="8">
        <v>122.5000413623856</v>
      </c>
      <c r="O26" s="8">
        <v>116.601357745222</v>
      </c>
      <c r="P26" s="8">
        <v>110.6093863463969</v>
      </c>
      <c r="Q26" s="8">
        <v>104.12766515207851</v>
      </c>
      <c r="R26" s="8">
        <v>97.118312924815896</v>
      </c>
      <c r="S26" s="8">
        <v>89.635311006172387</v>
      </c>
      <c r="T26" s="8">
        <v>81.622904179370835</v>
      </c>
      <c r="U26" s="8">
        <v>73.049753513794883</v>
      </c>
      <c r="V26" s="8">
        <v>64.875267293820173</v>
      </c>
      <c r="W26" s="8">
        <v>56.231647423217048</v>
      </c>
      <c r="X26" s="8">
        <v>48.386540447683487</v>
      </c>
      <c r="Y26" s="8">
        <v>41.217322852680887</v>
      </c>
      <c r="Z26" s="8">
        <v>34.977417736298051</v>
      </c>
      <c r="AA26" s="8">
        <v>29.277853000669289</v>
      </c>
      <c r="AB26" s="8">
        <v>29.27785300810589</v>
      </c>
    </row>
    <row r="27" spans="1:28">
      <c r="A27" s="298" t="s">
        <v>33</v>
      </c>
      <c r="B27" s="422" t="s">
        <v>3</v>
      </c>
      <c r="C27" t="s">
        <v>13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</row>
    <row r="28" spans="1:28">
      <c r="A28" s="298" t="s">
        <v>34</v>
      </c>
      <c r="B28" s="422" t="s">
        <v>3</v>
      </c>
      <c r="C28" t="s">
        <v>7</v>
      </c>
      <c r="D28" s="8">
        <v>1385.2302780331661</v>
      </c>
      <c r="E28" s="8">
        <v>1965.1653570536059</v>
      </c>
      <c r="F28" s="8">
        <v>2144.849823411751</v>
      </c>
      <c r="G28" s="8">
        <v>1812.5335162117501</v>
      </c>
      <c r="H28" s="8">
        <v>1613.143731891751</v>
      </c>
      <c r="I28" s="8">
        <v>1493.509861299751</v>
      </c>
      <c r="J28" s="8">
        <v>1421.729538944551</v>
      </c>
      <c r="K28" s="8">
        <v>1378.6613455314309</v>
      </c>
      <c r="L28" s="8">
        <v>1352.820429483558</v>
      </c>
      <c r="M28" s="8">
        <v>1337.315879854835</v>
      </c>
      <c r="N28" s="8">
        <v>1328.013150077601</v>
      </c>
      <c r="O28" s="8">
        <v>1322.431512211261</v>
      </c>
      <c r="P28" s="8">
        <v>1314.05905541175</v>
      </c>
      <c r="Q28" s="8">
        <v>1314.05905541175</v>
      </c>
      <c r="R28" s="8">
        <v>1314.05905541175</v>
      </c>
      <c r="S28" s="8">
        <v>1314.05905541175</v>
      </c>
      <c r="T28" s="8">
        <v>1314.05905541175</v>
      </c>
      <c r="U28" s="8">
        <v>1314.05905541175</v>
      </c>
      <c r="V28" s="8">
        <v>1314.05905541175</v>
      </c>
      <c r="W28" s="8">
        <v>1314.05905541175</v>
      </c>
      <c r="X28" s="8">
        <v>1314.05905541175</v>
      </c>
      <c r="Y28" s="8">
        <v>1314.05905541175</v>
      </c>
      <c r="Z28" s="8">
        <v>1314.05905541175</v>
      </c>
      <c r="AA28" s="8">
        <v>1314.05905541175</v>
      </c>
      <c r="AB28" s="8">
        <v>1314.05905541175</v>
      </c>
    </row>
    <row r="29" spans="1:28">
      <c r="A29" s="298" t="s">
        <v>35</v>
      </c>
      <c r="B29" s="422" t="s">
        <v>3</v>
      </c>
      <c r="C29" t="s">
        <v>7</v>
      </c>
      <c r="D29" s="8">
        <v>2041.163086138172</v>
      </c>
      <c r="E29" s="8">
        <v>1503.9860612924831</v>
      </c>
      <c r="F29" s="8">
        <v>1210.8732416573689</v>
      </c>
      <c r="G29" s="8">
        <v>1517.3423192247089</v>
      </c>
      <c r="H29" s="8">
        <v>1683.264585024426</v>
      </c>
      <c r="I29" s="8">
        <v>1748.430382259889</v>
      </c>
      <c r="J29" s="8">
        <v>1767.480777986457</v>
      </c>
      <c r="K29" s="8">
        <v>1740.3302553049</v>
      </c>
      <c r="L29" s="8">
        <v>1680.529463452493</v>
      </c>
      <c r="M29" s="8">
        <v>1619.1515058810189</v>
      </c>
      <c r="N29" s="8">
        <v>1558.3930320847701</v>
      </c>
      <c r="O29" s="8">
        <v>1507.2738507757119</v>
      </c>
      <c r="P29" s="8">
        <v>1439.1239087072699</v>
      </c>
      <c r="Q29" s="8">
        <v>1354.4785646156499</v>
      </c>
      <c r="R29" s="8">
        <v>1278.605640855704</v>
      </c>
      <c r="S29" s="8">
        <v>1201.4720602578011</v>
      </c>
      <c r="T29" s="8">
        <v>1122.561879994546</v>
      </c>
      <c r="U29" s="8">
        <v>1040.399153527675</v>
      </c>
      <c r="V29" s="8">
        <v>995.69035526040386</v>
      </c>
      <c r="W29" s="8">
        <v>944.77685155697588</v>
      </c>
      <c r="X29" s="8">
        <v>886.35292099997389</v>
      </c>
      <c r="Y29" s="8">
        <v>886.1627373233174</v>
      </c>
      <c r="Z29" s="8">
        <v>889.51779840757422</v>
      </c>
      <c r="AA29" s="8">
        <v>898.68851178602335</v>
      </c>
      <c r="AB29" s="8">
        <v>901.88227081777723</v>
      </c>
    </row>
    <row r="30" spans="1:28">
      <c r="A30" s="298" t="s">
        <v>36</v>
      </c>
      <c r="B30" t="s">
        <v>37</v>
      </c>
      <c r="C30" t="s">
        <v>38</v>
      </c>
      <c r="D30" s="8">
        <v>56</v>
      </c>
      <c r="E30" s="8">
        <v>56</v>
      </c>
      <c r="F30" s="8">
        <v>56</v>
      </c>
      <c r="G30" s="8">
        <v>56</v>
      </c>
      <c r="H30" s="8">
        <v>56</v>
      </c>
      <c r="I30" s="8">
        <v>56</v>
      </c>
      <c r="J30" s="8">
        <v>56</v>
      </c>
      <c r="K30" s="8">
        <v>56</v>
      </c>
      <c r="L30" s="8">
        <v>56</v>
      </c>
      <c r="M30" s="8">
        <v>56</v>
      </c>
      <c r="N30" s="8">
        <v>56</v>
      </c>
      <c r="O30" s="8">
        <v>56</v>
      </c>
      <c r="P30" s="8">
        <v>56</v>
      </c>
      <c r="Q30" s="8">
        <v>56</v>
      </c>
      <c r="R30" s="8">
        <v>56</v>
      </c>
      <c r="S30" s="8">
        <v>56</v>
      </c>
      <c r="T30" s="8">
        <v>56</v>
      </c>
      <c r="U30" s="8">
        <v>56</v>
      </c>
      <c r="V30" s="8">
        <v>56</v>
      </c>
      <c r="W30" s="8">
        <v>56</v>
      </c>
      <c r="X30" s="8">
        <v>56</v>
      </c>
      <c r="Y30" s="8">
        <v>56</v>
      </c>
      <c r="Z30" s="8">
        <v>56</v>
      </c>
      <c r="AA30" s="8">
        <v>56</v>
      </c>
      <c r="AB30" s="8">
        <v>56</v>
      </c>
    </row>
    <row r="31" spans="1:28">
      <c r="A31" s="298" t="s">
        <v>39</v>
      </c>
      <c r="B31" t="s">
        <v>37</v>
      </c>
      <c r="C31" t="s">
        <v>38</v>
      </c>
      <c r="D31" s="8">
        <v>31</v>
      </c>
      <c r="E31" s="8">
        <v>31</v>
      </c>
      <c r="F31" s="8">
        <v>31</v>
      </c>
      <c r="G31" s="8">
        <v>31</v>
      </c>
      <c r="H31" s="8">
        <v>31</v>
      </c>
      <c r="I31" s="8">
        <v>31</v>
      </c>
      <c r="J31" s="8">
        <v>31</v>
      </c>
      <c r="K31" s="8">
        <v>31</v>
      </c>
      <c r="L31" s="8">
        <v>31</v>
      </c>
      <c r="M31" s="8">
        <v>31</v>
      </c>
      <c r="N31" s="8">
        <v>31</v>
      </c>
      <c r="O31" s="8">
        <v>31</v>
      </c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>
      <c r="A32" s="298" t="s">
        <v>40</v>
      </c>
      <c r="B32" t="s">
        <v>37</v>
      </c>
      <c r="C32" t="s">
        <v>38</v>
      </c>
      <c r="D32" s="8">
        <v>55</v>
      </c>
      <c r="E32" s="8">
        <v>55</v>
      </c>
      <c r="F32" s="8">
        <v>55</v>
      </c>
      <c r="G32" s="8">
        <v>55</v>
      </c>
      <c r="H32" s="8">
        <v>55</v>
      </c>
      <c r="I32" s="8">
        <v>55</v>
      </c>
      <c r="J32" s="8">
        <v>55</v>
      </c>
      <c r="K32" s="8">
        <v>55</v>
      </c>
      <c r="L32" s="8">
        <v>55</v>
      </c>
      <c r="M32" s="8">
        <v>55</v>
      </c>
      <c r="N32" s="8">
        <v>55</v>
      </c>
      <c r="O32" s="8">
        <v>55</v>
      </c>
      <c r="P32" s="8">
        <v>55</v>
      </c>
      <c r="Q32" s="8">
        <v>55</v>
      </c>
      <c r="R32" s="8">
        <v>55</v>
      </c>
      <c r="S32" s="8">
        <v>55</v>
      </c>
      <c r="T32" s="8">
        <v>55</v>
      </c>
      <c r="U32" s="8">
        <v>55</v>
      </c>
      <c r="V32" s="8">
        <v>55</v>
      </c>
      <c r="W32" s="8">
        <v>55</v>
      </c>
      <c r="X32" s="8">
        <v>55</v>
      </c>
      <c r="Y32" s="8">
        <v>55</v>
      </c>
      <c r="Z32" s="8">
        <v>55</v>
      </c>
      <c r="AA32" s="8">
        <v>55</v>
      </c>
      <c r="AB32" s="8">
        <v>55</v>
      </c>
    </row>
    <row r="33" spans="1:28">
      <c r="A33" s="298" t="s">
        <v>41</v>
      </c>
      <c r="B33" t="s">
        <v>37</v>
      </c>
      <c r="C33" t="s">
        <v>38</v>
      </c>
      <c r="D33" s="8">
        <v>100.82</v>
      </c>
      <c r="E33" s="8">
        <v>100.82</v>
      </c>
      <c r="F33" s="8">
        <v>100.82</v>
      </c>
      <c r="G33" s="8">
        <v>100.82</v>
      </c>
      <c r="H33" s="8">
        <v>100.82</v>
      </c>
      <c r="I33" s="8">
        <v>100.82</v>
      </c>
      <c r="J33" s="8">
        <v>100.82</v>
      </c>
      <c r="K33" s="8">
        <v>100.82</v>
      </c>
      <c r="L33" s="8">
        <v>100.82</v>
      </c>
      <c r="M33" s="8">
        <v>100.82</v>
      </c>
      <c r="N33" s="8">
        <v>100.82</v>
      </c>
      <c r="O33" s="8">
        <v>100.82</v>
      </c>
      <c r="P33" s="8">
        <v>100.82</v>
      </c>
      <c r="Q33" s="8">
        <v>100.82</v>
      </c>
      <c r="R33" s="8">
        <v>100.82</v>
      </c>
      <c r="S33" s="8">
        <v>100.82</v>
      </c>
      <c r="T33" s="8">
        <v>100.82</v>
      </c>
      <c r="U33" s="8">
        <v>100.82</v>
      </c>
      <c r="V33" s="8">
        <v>100.82</v>
      </c>
      <c r="W33" s="8">
        <v>100.82</v>
      </c>
      <c r="X33" s="8">
        <v>100.82</v>
      </c>
      <c r="Y33" s="8">
        <v>100.82</v>
      </c>
      <c r="Z33" s="8">
        <v>100.82</v>
      </c>
      <c r="AA33" s="8">
        <v>100.82</v>
      </c>
      <c r="AB33" s="8">
        <v>100.82</v>
      </c>
    </row>
    <row r="34" spans="1:28">
      <c r="A34" s="298" t="s">
        <v>42</v>
      </c>
      <c r="B34" t="s">
        <v>37</v>
      </c>
      <c r="C34" t="s">
        <v>38</v>
      </c>
      <c r="D34" s="8">
        <v>89.37</v>
      </c>
      <c r="E34" s="8">
        <v>89.15</v>
      </c>
      <c r="F34" s="8">
        <v>87.89</v>
      </c>
      <c r="G34" s="8">
        <v>86.64</v>
      </c>
      <c r="H34" s="8">
        <v>85.38</v>
      </c>
      <c r="I34" s="8">
        <v>84.13</v>
      </c>
      <c r="J34" s="8">
        <v>82.87</v>
      </c>
      <c r="K34" s="8">
        <v>81.62</v>
      </c>
      <c r="L34" s="8">
        <v>80.36</v>
      </c>
      <c r="M34" s="8">
        <v>80.36</v>
      </c>
      <c r="N34" s="8">
        <v>80.36</v>
      </c>
      <c r="O34" s="8">
        <v>80.36</v>
      </c>
      <c r="P34" s="8">
        <v>80.36</v>
      </c>
      <c r="Q34" s="8">
        <v>80.36</v>
      </c>
      <c r="R34" s="8">
        <v>80.36</v>
      </c>
      <c r="S34" s="8">
        <v>80.36</v>
      </c>
      <c r="T34" s="8">
        <v>80.36</v>
      </c>
      <c r="U34" s="8">
        <v>80.36</v>
      </c>
      <c r="V34" s="8">
        <v>80.36</v>
      </c>
      <c r="W34" s="8">
        <v>80.36</v>
      </c>
      <c r="X34" s="8">
        <v>80.36</v>
      </c>
      <c r="Y34" s="8">
        <v>80.36</v>
      </c>
      <c r="Z34" s="8">
        <v>80.36</v>
      </c>
      <c r="AA34" s="8">
        <v>80.36</v>
      </c>
      <c r="AB34" s="8">
        <v>80.36</v>
      </c>
    </row>
    <row r="35" spans="1:28">
      <c r="A35" s="298" t="s">
        <v>43</v>
      </c>
      <c r="B35" t="s">
        <v>37</v>
      </c>
      <c r="C35" t="s">
        <v>38</v>
      </c>
      <c r="D35" s="8">
        <v>-293</v>
      </c>
      <c r="E35" s="8">
        <v>-293</v>
      </c>
      <c r="F35" s="8">
        <v>-293</v>
      </c>
      <c r="G35" s="8">
        <v>-293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>
      <c r="A36" s="298" t="s">
        <v>44</v>
      </c>
      <c r="B36" t="s">
        <v>37</v>
      </c>
      <c r="C36" t="s">
        <v>38</v>
      </c>
      <c r="D36" s="8"/>
      <c r="E36" s="8"/>
      <c r="F36" s="8"/>
      <c r="G36" s="8">
        <v>-440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>
      <c r="A37" s="298" t="s">
        <v>45</v>
      </c>
      <c r="B37" t="s">
        <v>37</v>
      </c>
      <c r="C37" t="s">
        <v>38</v>
      </c>
      <c r="D37" s="8">
        <v>76.73</v>
      </c>
      <c r="E37" s="8">
        <v>81</v>
      </c>
      <c r="F37" s="8">
        <v>84.7</v>
      </c>
      <c r="G37" s="8">
        <v>88.4</v>
      </c>
      <c r="H37" s="8">
        <v>69.36</v>
      </c>
      <c r="I37" s="8">
        <v>85.4</v>
      </c>
      <c r="J37" s="8">
        <v>83.8</v>
      </c>
      <c r="K37" s="8">
        <v>79.099999999999994</v>
      </c>
      <c r="L37" s="8">
        <v>0</v>
      </c>
      <c r="M37" s="8">
        <v>0</v>
      </c>
      <c r="N37" s="8">
        <v>0</v>
      </c>
      <c r="O37" s="8">
        <v>65.2</v>
      </c>
      <c r="P37" s="8">
        <v>0</v>
      </c>
      <c r="Q37" s="8">
        <v>0</v>
      </c>
      <c r="R37" s="8">
        <v>0</v>
      </c>
      <c r="S37" s="8">
        <v>56.6</v>
      </c>
      <c r="T37" s="8">
        <v>0</v>
      </c>
      <c r="U37" s="8">
        <v>0</v>
      </c>
      <c r="V37" s="8">
        <v>0</v>
      </c>
      <c r="W37" s="8">
        <v>51.8</v>
      </c>
      <c r="X37" s="8">
        <v>50.6</v>
      </c>
      <c r="Y37" s="8">
        <v>0</v>
      </c>
      <c r="Z37" s="8">
        <v>0</v>
      </c>
      <c r="AA37" s="8">
        <v>16.5</v>
      </c>
      <c r="AB37" s="8">
        <v>9.4700000000000006</v>
      </c>
    </row>
    <row r="38" spans="1:28">
      <c r="A38" s="298" t="s">
        <v>46</v>
      </c>
      <c r="B38" t="s">
        <v>37</v>
      </c>
      <c r="C38" t="s">
        <v>38</v>
      </c>
      <c r="D38" s="8"/>
      <c r="E38" s="8"/>
      <c r="F38" s="8"/>
      <c r="G38" s="8">
        <v>-440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>
      <c r="A39" s="298" t="s">
        <v>47</v>
      </c>
      <c r="B39" t="s">
        <v>37</v>
      </c>
      <c r="C39" t="s">
        <v>38</v>
      </c>
      <c r="D39" s="8">
        <v>76.73</v>
      </c>
      <c r="E39" s="8">
        <v>81</v>
      </c>
      <c r="F39" s="8">
        <v>84.7</v>
      </c>
      <c r="G39" s="8">
        <v>88.4</v>
      </c>
      <c r="H39" s="8">
        <v>0</v>
      </c>
      <c r="I39" s="8">
        <v>16.48</v>
      </c>
      <c r="J39" s="8">
        <v>0</v>
      </c>
      <c r="K39" s="8">
        <v>0</v>
      </c>
      <c r="L39" s="8">
        <v>74.400000000000006</v>
      </c>
      <c r="M39" s="8">
        <v>71.3</v>
      </c>
      <c r="N39" s="8">
        <v>68.3</v>
      </c>
      <c r="O39" s="8">
        <v>65.2</v>
      </c>
      <c r="P39" s="8">
        <v>62.1</v>
      </c>
      <c r="Q39" s="8">
        <v>59.1</v>
      </c>
      <c r="R39" s="8">
        <v>57.8</v>
      </c>
      <c r="S39" s="8">
        <v>56.6</v>
      </c>
      <c r="T39" s="8">
        <v>55.4</v>
      </c>
      <c r="U39" s="8">
        <v>54.2</v>
      </c>
      <c r="V39" s="8">
        <v>0</v>
      </c>
      <c r="W39" s="8">
        <v>51.8</v>
      </c>
      <c r="X39" s="8">
        <v>50.6</v>
      </c>
      <c r="Y39" s="8">
        <v>49.5</v>
      </c>
      <c r="Z39" s="8">
        <v>48.3</v>
      </c>
      <c r="AA39" s="8">
        <v>0</v>
      </c>
      <c r="AB39" s="8">
        <v>0</v>
      </c>
    </row>
    <row r="40" spans="1:28">
      <c r="A40" s="298" t="s">
        <v>48</v>
      </c>
      <c r="B40" t="s">
        <v>37</v>
      </c>
      <c r="C40" t="s">
        <v>38</v>
      </c>
      <c r="D40" s="8">
        <v>66</v>
      </c>
      <c r="E40" s="8">
        <v>59</v>
      </c>
      <c r="F40" s="8">
        <v>59</v>
      </c>
      <c r="G40" s="8">
        <v>58</v>
      </c>
      <c r="H40" s="8">
        <v>58</v>
      </c>
      <c r="I40" s="8">
        <v>57</v>
      </c>
      <c r="J40" s="8">
        <v>57</v>
      </c>
      <c r="K40" s="8">
        <v>56</v>
      </c>
      <c r="L40" s="8">
        <v>56</v>
      </c>
      <c r="M40" s="8">
        <v>55</v>
      </c>
      <c r="N40" s="8">
        <v>55</v>
      </c>
      <c r="O40" s="8">
        <v>55</v>
      </c>
      <c r="P40" s="8">
        <v>54</v>
      </c>
      <c r="Q40" s="8">
        <v>54</v>
      </c>
      <c r="R40" s="8">
        <v>54</v>
      </c>
      <c r="S40" s="8">
        <v>54</v>
      </c>
      <c r="T40" s="8">
        <v>53</v>
      </c>
      <c r="U40" s="8">
        <v>53</v>
      </c>
      <c r="V40" s="8">
        <v>53</v>
      </c>
      <c r="W40" s="8">
        <v>53</v>
      </c>
      <c r="X40" s="8">
        <v>52</v>
      </c>
      <c r="Y40" s="8">
        <v>52</v>
      </c>
      <c r="Z40" s="8">
        <v>52</v>
      </c>
      <c r="AA40" s="8">
        <v>52</v>
      </c>
      <c r="AB40" s="8">
        <v>52</v>
      </c>
    </row>
    <row r="41" spans="1:28">
      <c r="A41" s="298" t="s">
        <v>49</v>
      </c>
      <c r="B41" t="s">
        <v>37</v>
      </c>
      <c r="C41" t="s">
        <v>38</v>
      </c>
      <c r="D41" s="8">
        <v>66</v>
      </c>
      <c r="E41" s="8">
        <v>59</v>
      </c>
      <c r="F41" s="8">
        <v>59</v>
      </c>
      <c r="G41" s="8">
        <v>58</v>
      </c>
      <c r="H41" s="8">
        <v>58</v>
      </c>
      <c r="I41" s="8">
        <v>57</v>
      </c>
      <c r="J41" s="8">
        <v>57</v>
      </c>
      <c r="K41" s="8">
        <v>56</v>
      </c>
      <c r="L41" s="8">
        <v>56</v>
      </c>
      <c r="M41" s="8">
        <v>55</v>
      </c>
      <c r="N41" s="8">
        <v>55</v>
      </c>
      <c r="O41" s="8">
        <v>55</v>
      </c>
      <c r="P41" s="8">
        <v>54</v>
      </c>
      <c r="Q41" s="8">
        <v>54</v>
      </c>
      <c r="R41" s="8">
        <v>54</v>
      </c>
      <c r="S41" s="8">
        <v>54</v>
      </c>
      <c r="T41" s="8">
        <v>53</v>
      </c>
      <c r="U41" s="8">
        <v>53</v>
      </c>
      <c r="V41" s="8">
        <v>53</v>
      </c>
      <c r="W41" s="8">
        <v>53</v>
      </c>
      <c r="X41" s="8">
        <v>52</v>
      </c>
      <c r="Y41" s="8">
        <v>52</v>
      </c>
      <c r="Z41" s="8">
        <v>52</v>
      </c>
      <c r="AA41" s="8">
        <v>52</v>
      </c>
      <c r="AB41" s="8">
        <v>52</v>
      </c>
    </row>
    <row r="42" spans="1:28">
      <c r="A42" s="298" t="s">
        <v>50</v>
      </c>
      <c r="B42" t="s">
        <v>37</v>
      </c>
      <c r="C42" t="s">
        <v>38</v>
      </c>
      <c r="D42" s="8"/>
      <c r="E42" s="8"/>
      <c r="F42" s="8"/>
      <c r="G42" s="8"/>
      <c r="H42" s="8"/>
      <c r="I42" s="8"/>
      <c r="J42" s="8"/>
      <c r="K42" s="8"/>
      <c r="L42" s="8">
        <v>10.51</v>
      </c>
      <c r="M42" s="8">
        <v>10.51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>
      <c r="A43" s="298" t="s">
        <v>51</v>
      </c>
      <c r="B43" t="s">
        <v>37</v>
      </c>
      <c r="C43" t="s">
        <v>38</v>
      </c>
      <c r="D43" s="8"/>
      <c r="E43" s="8"/>
      <c r="F43" s="8"/>
      <c r="G43" s="8">
        <v>-353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>
      <c r="A44" s="298" t="s">
        <v>52</v>
      </c>
      <c r="B44" t="s">
        <v>37</v>
      </c>
      <c r="C44" t="s">
        <v>38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>
        <v>117.67</v>
      </c>
      <c r="V44" s="8">
        <v>117.67</v>
      </c>
      <c r="W44" s="8">
        <v>117.67</v>
      </c>
      <c r="X44" s="8">
        <v>117.67</v>
      </c>
      <c r="Y44" s="8">
        <v>117.67</v>
      </c>
      <c r="Z44" s="8">
        <v>117.67</v>
      </c>
      <c r="AA44" s="8">
        <v>117.67</v>
      </c>
      <c r="AB44" s="8">
        <v>117.67</v>
      </c>
    </row>
    <row r="45" spans="1:28">
      <c r="A45" s="298" t="s">
        <v>53</v>
      </c>
      <c r="B45" t="s">
        <v>37</v>
      </c>
      <c r="C45" t="s">
        <v>38</v>
      </c>
      <c r="D45" s="8"/>
      <c r="E45" s="8">
        <v>99</v>
      </c>
      <c r="F45" s="8">
        <v>99</v>
      </c>
      <c r="G45" s="8">
        <v>99</v>
      </c>
      <c r="H45" s="8">
        <v>99</v>
      </c>
      <c r="I45" s="8">
        <v>99</v>
      </c>
      <c r="J45" s="8">
        <v>99</v>
      </c>
      <c r="K45" s="8">
        <v>99</v>
      </c>
      <c r="L45" s="8">
        <v>99</v>
      </c>
      <c r="M45" s="8">
        <v>99</v>
      </c>
      <c r="N45" s="8">
        <v>99</v>
      </c>
      <c r="O45" s="8">
        <v>99</v>
      </c>
      <c r="P45" s="8">
        <v>99</v>
      </c>
      <c r="Q45" s="8">
        <v>99</v>
      </c>
      <c r="R45" s="8">
        <v>99</v>
      </c>
      <c r="S45" s="8">
        <v>99</v>
      </c>
      <c r="T45" s="8">
        <v>99</v>
      </c>
      <c r="U45" s="8">
        <v>99</v>
      </c>
      <c r="V45" s="8">
        <v>99</v>
      </c>
      <c r="W45" s="8">
        <v>99</v>
      </c>
      <c r="X45" s="8">
        <v>99</v>
      </c>
      <c r="Y45" s="8">
        <v>99</v>
      </c>
      <c r="Z45" s="8">
        <v>99</v>
      </c>
      <c r="AA45" s="8">
        <v>99</v>
      </c>
      <c r="AB45" s="8">
        <v>99</v>
      </c>
    </row>
    <row r="46" spans="1:28">
      <c r="A46" s="298" t="s">
        <v>54</v>
      </c>
      <c r="B46" t="s">
        <v>37</v>
      </c>
      <c r="C46" t="s">
        <v>38</v>
      </c>
      <c r="D46" s="8"/>
      <c r="E46" s="8"/>
      <c r="F46" s="8"/>
      <c r="G46" s="8">
        <v>-353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>
      <c r="A47" s="298" t="s">
        <v>55</v>
      </c>
      <c r="B47" t="s">
        <v>37</v>
      </c>
      <c r="C47" t="s">
        <v>38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>
        <v>117.67</v>
      </c>
      <c r="S47" s="8">
        <v>117.67</v>
      </c>
      <c r="T47" s="8">
        <v>117.67</v>
      </c>
      <c r="U47" s="8">
        <v>117.67</v>
      </c>
      <c r="V47" s="8">
        <v>117.67</v>
      </c>
      <c r="W47" s="8">
        <v>117.67</v>
      </c>
      <c r="X47" s="8">
        <v>117.67</v>
      </c>
      <c r="Y47" s="8">
        <v>117.67</v>
      </c>
      <c r="Z47" s="8">
        <v>117.67</v>
      </c>
      <c r="AA47" s="8">
        <v>117.67</v>
      </c>
      <c r="AB47" s="8">
        <v>117.67</v>
      </c>
    </row>
    <row r="48" spans="1:28">
      <c r="A48" s="298" t="s">
        <v>56</v>
      </c>
      <c r="B48" t="s">
        <v>37</v>
      </c>
      <c r="C48" t="s">
        <v>38</v>
      </c>
      <c r="D48" s="8">
        <v>99</v>
      </c>
      <c r="E48" s="8">
        <v>99</v>
      </c>
      <c r="F48" s="8">
        <v>99</v>
      </c>
      <c r="G48" s="8">
        <v>99</v>
      </c>
      <c r="H48" s="8">
        <v>99</v>
      </c>
      <c r="I48" s="8">
        <v>99</v>
      </c>
      <c r="J48" s="8">
        <v>99</v>
      </c>
      <c r="K48" s="8">
        <v>99</v>
      </c>
      <c r="L48" s="8">
        <v>99</v>
      </c>
      <c r="M48" s="8">
        <v>99</v>
      </c>
      <c r="N48" s="8">
        <v>99</v>
      </c>
      <c r="O48" s="8">
        <v>99</v>
      </c>
      <c r="P48" s="8">
        <v>99</v>
      </c>
      <c r="Q48" s="8">
        <v>99</v>
      </c>
      <c r="R48" s="8">
        <v>99</v>
      </c>
      <c r="S48" s="8">
        <v>99</v>
      </c>
      <c r="T48" s="8">
        <v>99</v>
      </c>
      <c r="U48" s="8"/>
      <c r="V48" s="8"/>
      <c r="W48" s="8"/>
      <c r="X48" s="8"/>
      <c r="Y48" s="8"/>
      <c r="Z48" s="8"/>
      <c r="AA48" s="8"/>
      <c r="AB48" s="8"/>
    </row>
    <row r="49" spans="1:28">
      <c r="A49" s="298" t="s">
        <v>57</v>
      </c>
      <c r="B49" t="s">
        <v>37</v>
      </c>
      <c r="C49" t="s">
        <v>38</v>
      </c>
      <c r="D49" s="8">
        <v>45</v>
      </c>
      <c r="E49" s="8">
        <v>45</v>
      </c>
      <c r="F49" s="8">
        <v>45</v>
      </c>
      <c r="G49" s="8">
        <v>45</v>
      </c>
      <c r="H49" s="8">
        <v>45</v>
      </c>
      <c r="I49" s="8">
        <v>45</v>
      </c>
      <c r="J49" s="8">
        <v>45</v>
      </c>
      <c r="K49" s="8">
        <v>45</v>
      </c>
      <c r="L49" s="8">
        <v>45</v>
      </c>
      <c r="M49" s="8">
        <v>45</v>
      </c>
      <c r="N49" s="8">
        <v>45</v>
      </c>
      <c r="O49" s="8">
        <v>45</v>
      </c>
      <c r="P49" s="8">
        <v>45</v>
      </c>
      <c r="Q49" s="8">
        <v>45</v>
      </c>
      <c r="R49" s="8">
        <v>45</v>
      </c>
      <c r="S49" s="8">
        <v>45</v>
      </c>
      <c r="T49" s="8">
        <v>45</v>
      </c>
      <c r="U49" s="8">
        <v>45</v>
      </c>
      <c r="V49" s="8">
        <v>45</v>
      </c>
      <c r="W49" s="8">
        <v>45</v>
      </c>
      <c r="X49" s="8">
        <v>45</v>
      </c>
      <c r="Y49" s="8">
        <v>45</v>
      </c>
      <c r="Z49" s="8">
        <v>45</v>
      </c>
      <c r="AA49" s="8">
        <v>45</v>
      </c>
      <c r="AB49" s="8">
        <v>45</v>
      </c>
    </row>
    <row r="50" spans="1:28">
      <c r="A50" s="298" t="s">
        <v>58</v>
      </c>
      <c r="B50" t="s">
        <v>37</v>
      </c>
      <c r="C50" t="s">
        <v>38</v>
      </c>
      <c r="D50" s="8">
        <v>40.549999999999997</v>
      </c>
      <c r="E50" s="8">
        <v>38.39</v>
      </c>
      <c r="F50" s="8">
        <v>46.32</v>
      </c>
      <c r="G50" s="8">
        <v>49.12</v>
      </c>
      <c r="H50" s="8">
        <v>51.36</v>
      </c>
      <c r="I50" s="8">
        <v>53</v>
      </c>
      <c r="J50" s="8">
        <v>54.11</v>
      </c>
      <c r="K50" s="8">
        <v>54.83</v>
      </c>
      <c r="L50" s="8">
        <v>55.28</v>
      </c>
      <c r="M50" s="8">
        <v>55.57</v>
      </c>
      <c r="N50" s="8">
        <v>55.74</v>
      </c>
      <c r="O50" s="8">
        <v>55.84</v>
      </c>
      <c r="P50" s="8">
        <v>56</v>
      </c>
      <c r="Q50" s="8">
        <v>56</v>
      </c>
      <c r="R50" s="8">
        <v>56</v>
      </c>
      <c r="S50" s="8">
        <v>56</v>
      </c>
      <c r="T50" s="8">
        <v>56</v>
      </c>
      <c r="U50" s="8">
        <v>56</v>
      </c>
      <c r="V50" s="8">
        <v>56</v>
      </c>
      <c r="W50" s="8">
        <v>56</v>
      </c>
      <c r="X50" s="8">
        <v>56</v>
      </c>
      <c r="Y50" s="8">
        <v>56</v>
      </c>
      <c r="Z50" s="8">
        <v>56</v>
      </c>
      <c r="AA50" s="8">
        <v>56</v>
      </c>
      <c r="AB50" s="8">
        <v>56</v>
      </c>
    </row>
    <row r="51" spans="1:28">
      <c r="A51" s="298" t="s">
        <v>59</v>
      </c>
      <c r="B51" t="s">
        <v>37</v>
      </c>
      <c r="C51" t="s">
        <v>38</v>
      </c>
      <c r="D51" s="8">
        <v>100.45</v>
      </c>
      <c r="E51" s="8">
        <v>100.45</v>
      </c>
      <c r="F51" s="8">
        <v>100.45</v>
      </c>
      <c r="G51" s="8">
        <v>100.45</v>
      </c>
      <c r="H51" s="8">
        <v>100.45</v>
      </c>
      <c r="I51" s="8">
        <v>100.45</v>
      </c>
      <c r="J51" s="8">
        <v>100.45</v>
      </c>
      <c r="K51" s="8">
        <v>100.45</v>
      </c>
      <c r="L51" s="8">
        <v>100.45</v>
      </c>
      <c r="M51" s="8">
        <v>100.45</v>
      </c>
      <c r="N51" s="8">
        <v>100.45</v>
      </c>
      <c r="O51" s="8">
        <v>100.45</v>
      </c>
      <c r="P51" s="8">
        <v>100.45</v>
      </c>
      <c r="Q51" s="8">
        <v>100.45</v>
      </c>
      <c r="R51" s="8">
        <v>100.45</v>
      </c>
      <c r="S51" s="8">
        <v>100.45</v>
      </c>
      <c r="T51" s="8">
        <v>100.45</v>
      </c>
      <c r="U51" s="8">
        <v>100.45</v>
      </c>
      <c r="V51" s="8">
        <v>100.45</v>
      </c>
      <c r="W51" s="8">
        <v>100.45</v>
      </c>
      <c r="X51" s="8">
        <v>100.45</v>
      </c>
      <c r="Y51" s="8">
        <v>100.45</v>
      </c>
      <c r="Z51" s="8">
        <v>100.45</v>
      </c>
      <c r="AA51" s="8">
        <v>100.45</v>
      </c>
      <c r="AB51" s="8">
        <v>100.45</v>
      </c>
    </row>
    <row r="52" spans="1:28">
      <c r="A52" s="298" t="s">
        <v>60</v>
      </c>
      <c r="B52" t="s">
        <v>61</v>
      </c>
      <c r="C52" t="s">
        <v>62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</row>
    <row r="53" spans="1:28">
      <c r="A53" s="298" t="s">
        <v>63</v>
      </c>
      <c r="B53" t="s">
        <v>64</v>
      </c>
      <c r="C53" t="s">
        <v>65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</row>
    <row r="54" spans="1:28">
      <c r="A54" s="298" t="s">
        <v>66</v>
      </c>
      <c r="B54" t="s">
        <v>64</v>
      </c>
      <c r="C54" t="s">
        <v>65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</row>
    <row r="55" spans="1:28">
      <c r="A55" s="298" t="s">
        <v>67</v>
      </c>
      <c r="B55" t="s">
        <v>64</v>
      </c>
      <c r="C55" t="s">
        <v>65</v>
      </c>
      <c r="D55" s="8">
        <v>2849858</v>
      </c>
      <c r="E55" s="8">
        <v>3569822</v>
      </c>
      <c r="F55" s="8">
        <v>3442669</v>
      </c>
      <c r="G55" s="8">
        <v>3299787</v>
      </c>
      <c r="H55" s="8">
        <v>3064945</v>
      </c>
      <c r="I55" s="8">
        <v>2935678</v>
      </c>
      <c r="J55" s="8">
        <v>2696072</v>
      </c>
      <c r="K55" s="8">
        <v>2565986</v>
      </c>
      <c r="L55" s="8">
        <v>2333092</v>
      </c>
      <c r="M55" s="8">
        <v>2319219</v>
      </c>
      <c r="N55" s="8">
        <v>2201379</v>
      </c>
      <c r="O55" s="8">
        <v>2076970</v>
      </c>
      <c r="P55" s="8">
        <v>2028443</v>
      </c>
      <c r="Q55" s="8">
        <v>1893240</v>
      </c>
      <c r="R55" s="8">
        <v>1761988</v>
      </c>
      <c r="S55" s="8">
        <v>1635653</v>
      </c>
      <c r="T55" s="8">
        <v>1574720</v>
      </c>
      <c r="U55" s="8">
        <v>1456859</v>
      </c>
      <c r="V55" s="8">
        <v>1345834</v>
      </c>
      <c r="W55" s="8">
        <v>1241884</v>
      </c>
      <c r="X55" s="8">
        <v>1188452</v>
      </c>
      <c r="Y55" s="8">
        <v>1096138</v>
      </c>
      <c r="Z55" s="8">
        <v>1011204</v>
      </c>
      <c r="AA55" s="8">
        <v>933785</v>
      </c>
      <c r="AB55" s="8">
        <v>869399</v>
      </c>
    </row>
    <row r="56" spans="1:28">
      <c r="A56" s="298" t="s">
        <v>68</v>
      </c>
      <c r="B56" t="s">
        <v>64</v>
      </c>
      <c r="C56" t="s">
        <v>65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</row>
    <row r="57" spans="1:28">
      <c r="A57" s="298" t="s">
        <v>69</v>
      </c>
      <c r="B57" t="s">
        <v>64</v>
      </c>
      <c r="C57" t="s">
        <v>65</v>
      </c>
      <c r="D57" s="8">
        <v>-2755731</v>
      </c>
      <c r="E57" s="8">
        <v>-2285323</v>
      </c>
      <c r="F57" s="8">
        <v>-2045096</v>
      </c>
      <c r="G57" s="8">
        <v>-2817751</v>
      </c>
      <c r="H57" s="8">
        <v>-3411073</v>
      </c>
      <c r="I57" s="8">
        <v>-3837018</v>
      </c>
      <c r="J57" s="8">
        <v>-4178293</v>
      </c>
      <c r="K57" s="8">
        <v>-4406638</v>
      </c>
      <c r="L57" s="8">
        <v>-4539954</v>
      </c>
      <c r="M57" s="8">
        <v>-4374141</v>
      </c>
      <c r="N57" s="8">
        <v>-4210002</v>
      </c>
      <c r="O57" s="8">
        <v>-4071903</v>
      </c>
      <c r="P57" s="8">
        <v>-3887796</v>
      </c>
      <c r="Q57" s="8">
        <v>-3659126</v>
      </c>
      <c r="R57" s="8">
        <v>-3454156</v>
      </c>
      <c r="S57" s="8">
        <v>-3245779</v>
      </c>
      <c r="T57" s="8">
        <v>-3032603</v>
      </c>
      <c r="U57" s="8">
        <v>-2810640</v>
      </c>
      <c r="V57" s="8">
        <v>-2689859</v>
      </c>
      <c r="W57" s="8">
        <v>-2552316</v>
      </c>
      <c r="X57" s="8">
        <v>-2394484</v>
      </c>
      <c r="Y57" s="8">
        <v>-2393970</v>
      </c>
      <c r="Z57" s="8">
        <v>-2403034</v>
      </c>
      <c r="AA57" s="8">
        <v>-2427809</v>
      </c>
      <c r="AB57" s="8">
        <v>-2436437</v>
      </c>
    </row>
    <row r="58" spans="1:28">
      <c r="A58" s="298" t="s">
        <v>70</v>
      </c>
      <c r="B58" t="s">
        <v>64</v>
      </c>
      <c r="C58" t="s">
        <v>65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</row>
    <row r="59" spans="1:28">
      <c r="A59" s="298" t="s">
        <v>71</v>
      </c>
      <c r="B59" t="s">
        <v>64</v>
      </c>
      <c r="C59" t="s">
        <v>65</v>
      </c>
      <c r="D59" s="8">
        <v>-16770170</v>
      </c>
      <c r="E59" s="8">
        <v>-18147930</v>
      </c>
      <c r="F59" s="8">
        <v>-19168677</v>
      </c>
      <c r="G59" s="8">
        <v>-20279086</v>
      </c>
      <c r="H59" s="8">
        <v>-21262905</v>
      </c>
      <c r="I59" s="8">
        <v>-21985663</v>
      </c>
      <c r="J59" s="8">
        <v>-22538835</v>
      </c>
      <c r="K59" s="8">
        <v>-22915820</v>
      </c>
      <c r="L59" s="8">
        <v>-23111563</v>
      </c>
      <c r="M59" s="8">
        <v>-21819452</v>
      </c>
      <c r="N59" s="8">
        <v>-20471317</v>
      </c>
      <c r="O59" s="8">
        <v>-19048042</v>
      </c>
      <c r="P59" s="8">
        <v>-17584609</v>
      </c>
      <c r="Q59" s="8">
        <v>-16098378</v>
      </c>
      <c r="R59" s="8">
        <v>-14655577</v>
      </c>
      <c r="S59" s="8">
        <v>-13266829</v>
      </c>
      <c r="T59" s="8">
        <v>-11945031</v>
      </c>
      <c r="U59" s="8">
        <v>-10698227</v>
      </c>
      <c r="V59" s="8">
        <v>-9523751</v>
      </c>
      <c r="W59" s="8">
        <v>-8424102</v>
      </c>
      <c r="X59" s="8">
        <v>-7402532</v>
      </c>
      <c r="Y59" s="8">
        <v>-6461435</v>
      </c>
      <c r="Z59" s="8">
        <v>-5595563</v>
      </c>
      <c r="AA59" s="8">
        <v>-4806311</v>
      </c>
      <c r="AB59" s="8">
        <v>-4149921</v>
      </c>
    </row>
    <row r="60" spans="1:28">
      <c r="A60" s="298" t="s">
        <v>72</v>
      </c>
      <c r="B60" t="s">
        <v>64</v>
      </c>
      <c r="C60" t="s">
        <v>65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</row>
    <row r="61" spans="1:28">
      <c r="A61" s="298" t="s">
        <v>73</v>
      </c>
      <c r="B61" t="s">
        <v>64</v>
      </c>
      <c r="C61" t="s">
        <v>65</v>
      </c>
      <c r="D61" s="8">
        <v>62671</v>
      </c>
      <c r="E61" s="8">
        <v>62671</v>
      </c>
      <c r="F61" s="8">
        <v>62671</v>
      </c>
      <c r="G61" s="8">
        <v>62671</v>
      </c>
      <c r="H61" s="8">
        <v>62671</v>
      </c>
      <c r="I61" s="8">
        <v>62671</v>
      </c>
      <c r="J61" s="8">
        <v>62671</v>
      </c>
      <c r="K61" s="8">
        <v>62671</v>
      </c>
      <c r="L61" s="8">
        <v>62671</v>
      </c>
      <c r="M61" s="8">
        <v>62671</v>
      </c>
      <c r="N61" s="8">
        <v>62671</v>
      </c>
      <c r="O61" s="8">
        <v>62671</v>
      </c>
      <c r="P61" s="8">
        <v>62671</v>
      </c>
      <c r="Q61" s="8">
        <v>62671</v>
      </c>
      <c r="R61" s="8">
        <v>62671</v>
      </c>
      <c r="S61" s="8">
        <v>62671</v>
      </c>
      <c r="T61" s="8">
        <v>62671</v>
      </c>
      <c r="U61" s="8">
        <v>62671</v>
      </c>
      <c r="V61" s="8">
        <v>62671</v>
      </c>
      <c r="W61" s="8">
        <v>62671</v>
      </c>
      <c r="X61" s="8">
        <v>62671</v>
      </c>
      <c r="Y61" s="8">
        <v>62671</v>
      </c>
      <c r="Z61" s="8">
        <v>62671</v>
      </c>
      <c r="AA61" s="8">
        <v>62671</v>
      </c>
      <c r="AB61" s="8">
        <v>62671</v>
      </c>
    </row>
    <row r="62" spans="1:28">
      <c r="A62" s="298" t="s">
        <v>74</v>
      </c>
      <c r="B62" t="s">
        <v>64</v>
      </c>
      <c r="C62" t="s">
        <v>65</v>
      </c>
      <c r="D62" s="8">
        <v>0</v>
      </c>
      <c r="E62" s="8">
        <v>0</v>
      </c>
      <c r="F62" s="8">
        <v>0</v>
      </c>
      <c r="G62" s="8">
        <v>105146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</row>
    <row r="63" spans="1:28">
      <c r="A63" s="298" t="s">
        <v>75</v>
      </c>
      <c r="B63" t="s">
        <v>64</v>
      </c>
      <c r="C63" t="s">
        <v>65</v>
      </c>
      <c r="D63" s="8">
        <v>2795485</v>
      </c>
      <c r="E63" s="8">
        <v>3370301</v>
      </c>
      <c r="F63" s="8">
        <v>4498497</v>
      </c>
      <c r="G63" s="8">
        <v>5652037</v>
      </c>
      <c r="H63" s="8">
        <v>9925314</v>
      </c>
      <c r="I63" s="8">
        <v>12415217</v>
      </c>
      <c r="J63" s="8">
        <v>16491829</v>
      </c>
      <c r="K63" s="8">
        <v>20602274</v>
      </c>
      <c r="L63" s="8">
        <v>21113598</v>
      </c>
      <c r="M63" s="8">
        <v>26389476</v>
      </c>
      <c r="N63" s="8">
        <v>31772319</v>
      </c>
      <c r="O63" s="8">
        <v>35567038</v>
      </c>
      <c r="P63" s="8">
        <v>43951947</v>
      </c>
      <c r="Q63" s="8">
        <v>50969526</v>
      </c>
      <c r="R63" s="8">
        <v>57637619</v>
      </c>
      <c r="S63" s="8">
        <v>61458136</v>
      </c>
      <c r="T63" s="8">
        <v>71233666</v>
      </c>
      <c r="U63" s="8">
        <v>78008362</v>
      </c>
      <c r="V63" s="8">
        <v>97757235</v>
      </c>
      <c r="W63" s="8">
        <v>86337849</v>
      </c>
      <c r="X63" s="8">
        <v>92174025</v>
      </c>
      <c r="Y63" s="8">
        <v>101465366</v>
      </c>
      <c r="Z63" s="8">
        <v>106422675</v>
      </c>
      <c r="AA63" s="8">
        <v>124982506</v>
      </c>
      <c r="AB63" s="8">
        <v>130716720</v>
      </c>
    </row>
    <row r="64" spans="1:28">
      <c r="A64" s="298" t="s">
        <v>76</v>
      </c>
      <c r="B64" t="s">
        <v>64</v>
      </c>
      <c r="C64" t="s">
        <v>65</v>
      </c>
      <c r="D64" s="8">
        <v>37166</v>
      </c>
      <c r="E64" s="8">
        <v>48556</v>
      </c>
      <c r="F64" s="8">
        <v>57240</v>
      </c>
      <c r="G64" s="8">
        <v>56228</v>
      </c>
      <c r="H64" s="8">
        <v>70349</v>
      </c>
      <c r="I64" s="8">
        <v>86576</v>
      </c>
      <c r="J64" s="8">
        <v>104967</v>
      </c>
      <c r="K64" s="8">
        <v>125457</v>
      </c>
      <c r="L64" s="8">
        <v>145177</v>
      </c>
      <c r="M64" s="8">
        <v>145177</v>
      </c>
      <c r="N64" s="8">
        <v>145177</v>
      </c>
      <c r="O64" s="8">
        <v>145177</v>
      </c>
      <c r="P64" s="8">
        <v>145177</v>
      </c>
      <c r="Q64" s="8">
        <v>145177</v>
      </c>
      <c r="R64" s="8">
        <v>145177</v>
      </c>
      <c r="S64" s="8">
        <v>145177</v>
      </c>
      <c r="T64" s="8">
        <v>145177</v>
      </c>
      <c r="U64" s="8">
        <v>145177</v>
      </c>
      <c r="V64" s="8">
        <v>145177</v>
      </c>
      <c r="W64" s="8">
        <v>145177</v>
      </c>
      <c r="X64" s="8">
        <v>145177</v>
      </c>
      <c r="Y64" s="8">
        <v>145177</v>
      </c>
      <c r="Z64" s="8">
        <v>145177</v>
      </c>
      <c r="AA64" s="8">
        <v>145177</v>
      </c>
      <c r="AB64" s="8">
        <v>145177</v>
      </c>
    </row>
    <row r="65" spans="1:28">
      <c r="A65" s="298" t="s">
        <v>77</v>
      </c>
      <c r="B65" t="s">
        <v>64</v>
      </c>
      <c r="C65" t="s">
        <v>65</v>
      </c>
      <c r="D65" s="8">
        <v>248771</v>
      </c>
      <c r="E65" s="8">
        <v>255779</v>
      </c>
      <c r="F65" s="8">
        <v>260853</v>
      </c>
      <c r="G65" s="8">
        <v>263959</v>
      </c>
      <c r="H65" s="8">
        <v>265250</v>
      </c>
      <c r="I65" s="8">
        <v>264581</v>
      </c>
      <c r="J65" s="8">
        <v>262089</v>
      </c>
      <c r="K65" s="8">
        <v>257644</v>
      </c>
      <c r="L65" s="8">
        <v>248096</v>
      </c>
      <c r="M65" s="8">
        <v>227579</v>
      </c>
      <c r="N65" s="8">
        <v>207062</v>
      </c>
      <c r="O65" s="8">
        <v>186545</v>
      </c>
      <c r="P65" s="8">
        <v>166028</v>
      </c>
      <c r="Q65" s="8">
        <v>145511</v>
      </c>
      <c r="R65" s="8">
        <v>124995</v>
      </c>
      <c r="S65" s="8">
        <v>104478</v>
      </c>
      <c r="T65" s="8">
        <v>83961</v>
      </c>
      <c r="U65" s="8">
        <v>63444</v>
      </c>
      <c r="V65" s="8">
        <v>42927</v>
      </c>
      <c r="W65" s="8">
        <v>22410</v>
      </c>
      <c r="X65" s="8">
        <v>3511</v>
      </c>
      <c r="Y65" s="8">
        <v>0</v>
      </c>
      <c r="Z65" s="8">
        <v>0</v>
      </c>
      <c r="AA65" s="8">
        <v>0</v>
      </c>
      <c r="AB65" s="8">
        <v>0</v>
      </c>
    </row>
    <row r="66" spans="1:28">
      <c r="A66" s="298" t="s">
        <v>78</v>
      </c>
      <c r="B66" t="s">
        <v>64</v>
      </c>
      <c r="C66" t="s">
        <v>65</v>
      </c>
      <c r="D66" s="8">
        <v>1505627</v>
      </c>
      <c r="E66" s="8">
        <v>1882033</v>
      </c>
      <c r="F66" s="8">
        <v>1509329</v>
      </c>
      <c r="G66" s="8">
        <v>370389</v>
      </c>
      <c r="H66" s="8">
        <v>477616</v>
      </c>
      <c r="I66" s="8">
        <v>613908</v>
      </c>
      <c r="J66" s="8">
        <v>733394</v>
      </c>
      <c r="K66" s="8">
        <v>878624</v>
      </c>
      <c r="L66" s="8">
        <v>1068432</v>
      </c>
      <c r="M66" s="8">
        <v>1279497</v>
      </c>
      <c r="N66" s="8">
        <v>1496120</v>
      </c>
      <c r="O66" s="8">
        <v>1708458</v>
      </c>
      <c r="P66" s="8">
        <v>1924023</v>
      </c>
      <c r="Q66" s="8">
        <v>2133573</v>
      </c>
      <c r="R66" s="8">
        <v>2329955</v>
      </c>
      <c r="S66" s="8">
        <v>2511983</v>
      </c>
      <c r="T66" s="8">
        <v>2662774</v>
      </c>
      <c r="U66" s="8">
        <v>2816667</v>
      </c>
      <c r="V66" s="8">
        <v>2973196</v>
      </c>
      <c r="W66" s="8">
        <v>3118949</v>
      </c>
      <c r="X66" s="8">
        <v>3235805</v>
      </c>
      <c r="Y66" s="8">
        <v>3347859</v>
      </c>
      <c r="Z66" s="8">
        <v>3431998</v>
      </c>
      <c r="AA66" s="8">
        <v>3508537</v>
      </c>
      <c r="AB66" s="8">
        <v>3578708</v>
      </c>
    </row>
    <row r="67" spans="1:28">
      <c r="A67" s="298" t="s">
        <v>79</v>
      </c>
      <c r="B67" t="s">
        <v>64</v>
      </c>
      <c r="C67" t="s">
        <v>65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55533</v>
      </c>
      <c r="M67" s="8">
        <v>49166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</row>
    <row r="68" spans="1:28">
      <c r="A68" s="298" t="s">
        <v>80</v>
      </c>
      <c r="B68" t="s">
        <v>64</v>
      </c>
      <c r="C68" t="s">
        <v>65</v>
      </c>
      <c r="D68" s="8">
        <v>0</v>
      </c>
      <c r="E68" s="8">
        <v>0</v>
      </c>
      <c r="F68" s="8">
        <v>0</v>
      </c>
      <c r="G68" s="8">
        <v>71156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</row>
    <row r="69" spans="1:28">
      <c r="A69" s="298" t="s">
        <v>81</v>
      </c>
      <c r="B69" t="s">
        <v>64</v>
      </c>
      <c r="C69" t="s">
        <v>65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100729</v>
      </c>
      <c r="S69" s="8">
        <v>358329</v>
      </c>
      <c r="T69" s="8">
        <v>621764</v>
      </c>
      <c r="U69" s="8">
        <v>846218</v>
      </c>
      <c r="V69" s="8">
        <v>983517</v>
      </c>
      <c r="W69" s="8">
        <v>1126527</v>
      </c>
      <c r="X69" s="8">
        <v>1282519</v>
      </c>
      <c r="Y69" s="8">
        <v>1378757</v>
      </c>
      <c r="Z69" s="8">
        <v>1475296</v>
      </c>
      <c r="AA69" s="8">
        <v>1569319</v>
      </c>
      <c r="AB69" s="8">
        <v>1689200</v>
      </c>
    </row>
    <row r="70" spans="1:28">
      <c r="A70" s="298" t="s">
        <v>82</v>
      </c>
      <c r="B70" t="s">
        <v>64</v>
      </c>
      <c r="C70" t="s">
        <v>65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</row>
    <row r="71" spans="1:28">
      <c r="A71" s="298" t="s">
        <v>83</v>
      </c>
      <c r="B71" t="s">
        <v>64</v>
      </c>
      <c r="C71" t="s">
        <v>65</v>
      </c>
      <c r="D71" s="8">
        <v>16205</v>
      </c>
      <c r="E71" s="8">
        <v>20018</v>
      </c>
      <c r="F71" s="8">
        <v>31121</v>
      </c>
      <c r="G71" s="8">
        <v>36179</v>
      </c>
      <c r="H71" s="8">
        <v>91228</v>
      </c>
      <c r="I71" s="8">
        <v>167420</v>
      </c>
      <c r="J71" s="8">
        <v>282603</v>
      </c>
      <c r="K71" s="8">
        <v>427600</v>
      </c>
      <c r="L71" s="8">
        <v>573727</v>
      </c>
      <c r="M71" s="8">
        <v>772594</v>
      </c>
      <c r="N71" s="8">
        <v>987703</v>
      </c>
      <c r="O71" s="8">
        <v>1180043</v>
      </c>
      <c r="P71" s="8">
        <v>1413235</v>
      </c>
      <c r="Q71" s="8">
        <v>1666153</v>
      </c>
      <c r="R71" s="8">
        <v>1786099</v>
      </c>
      <c r="S71" s="8">
        <v>1723164</v>
      </c>
      <c r="T71" s="8">
        <v>1659373</v>
      </c>
      <c r="U71" s="8">
        <v>1639265</v>
      </c>
      <c r="V71" s="8">
        <v>1687654</v>
      </c>
      <c r="W71" s="8">
        <v>1738819</v>
      </c>
      <c r="X71" s="8">
        <v>1785258</v>
      </c>
      <c r="Y71" s="8">
        <v>1827696</v>
      </c>
      <c r="Z71" s="8">
        <v>1864633</v>
      </c>
      <c r="AA71" s="8">
        <v>1898372</v>
      </c>
      <c r="AB71" s="8">
        <v>1898372</v>
      </c>
    </row>
    <row r="72" spans="1:28">
      <c r="A72" s="298" t="s">
        <v>84</v>
      </c>
      <c r="B72" t="s">
        <v>64</v>
      </c>
      <c r="C72" t="s">
        <v>65</v>
      </c>
      <c r="D72" s="8">
        <v>-3200</v>
      </c>
      <c r="E72" s="8">
        <v>-3200</v>
      </c>
      <c r="F72" s="8">
        <v>-3200</v>
      </c>
      <c r="G72" s="8">
        <v>-3200</v>
      </c>
      <c r="H72" s="8">
        <v>-3200</v>
      </c>
      <c r="I72" s="8">
        <v>-3200</v>
      </c>
      <c r="J72" s="8">
        <v>-3200</v>
      </c>
      <c r="K72" s="8">
        <v>-3200</v>
      </c>
      <c r="L72" s="8">
        <v>-3200</v>
      </c>
      <c r="M72" s="8">
        <v>-3200</v>
      </c>
      <c r="N72" s="8">
        <v>-3200</v>
      </c>
      <c r="O72" s="8">
        <v>-3200</v>
      </c>
      <c r="P72" s="8">
        <v>-3200</v>
      </c>
      <c r="Q72" s="8">
        <v>-3200</v>
      </c>
      <c r="R72" s="8">
        <v>-3200</v>
      </c>
      <c r="S72" s="8">
        <v>-3200</v>
      </c>
      <c r="T72" s="8">
        <v>-3200</v>
      </c>
      <c r="U72" s="8">
        <v>-3200</v>
      </c>
      <c r="V72" s="8">
        <v>-3200</v>
      </c>
      <c r="W72" s="8">
        <v>-3200</v>
      </c>
      <c r="X72" s="8">
        <v>-3200</v>
      </c>
      <c r="Y72" s="8">
        <v>-3200</v>
      </c>
      <c r="Z72" s="8">
        <v>-3200</v>
      </c>
      <c r="AA72" s="8">
        <v>-3200</v>
      </c>
      <c r="AB72" s="8">
        <v>0</v>
      </c>
    </row>
    <row r="73" spans="1:28">
      <c r="A73" s="298" t="s">
        <v>85</v>
      </c>
      <c r="B73" t="s">
        <v>64</v>
      </c>
      <c r="C73" t="s">
        <v>65</v>
      </c>
      <c r="D73" s="8">
        <v>968402</v>
      </c>
      <c r="E73" s="8">
        <v>1070096</v>
      </c>
      <c r="F73" s="8">
        <v>1135401</v>
      </c>
      <c r="G73" s="8">
        <v>1605267</v>
      </c>
      <c r="H73" s="8">
        <v>1337722</v>
      </c>
      <c r="I73" s="8">
        <v>1070178</v>
      </c>
      <c r="J73" s="8">
        <v>802633</v>
      </c>
      <c r="K73" s="8">
        <v>535089</v>
      </c>
      <c r="L73" s="8">
        <v>267544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</row>
    <row r="74" spans="1:28">
      <c r="A74" s="298" t="s">
        <v>86</v>
      </c>
      <c r="B74" t="s">
        <v>64</v>
      </c>
      <c r="C74" t="s">
        <v>65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</row>
    <row r="75" spans="1:28">
      <c r="A75" s="298" t="s">
        <v>87</v>
      </c>
      <c r="B75" t="s">
        <v>64</v>
      </c>
      <c r="C75" t="s">
        <v>65</v>
      </c>
      <c r="D75" s="8">
        <v>357288</v>
      </c>
      <c r="E75" s="8">
        <v>374080</v>
      </c>
      <c r="F75" s="8">
        <v>392410</v>
      </c>
      <c r="G75" s="8">
        <v>422233</v>
      </c>
      <c r="H75" s="8">
        <v>436589</v>
      </c>
      <c r="I75" s="8">
        <v>453180</v>
      </c>
      <c r="J75" s="8">
        <v>471760</v>
      </c>
      <c r="K75" s="8">
        <v>492517</v>
      </c>
      <c r="L75" s="8">
        <v>515666</v>
      </c>
      <c r="M75" s="8">
        <v>555372</v>
      </c>
      <c r="N75" s="8">
        <v>600357</v>
      </c>
      <c r="O75" s="8">
        <v>600357</v>
      </c>
      <c r="P75" s="8">
        <v>600357</v>
      </c>
      <c r="Q75" s="8">
        <v>600357</v>
      </c>
      <c r="R75" s="8">
        <v>600357</v>
      </c>
      <c r="S75" s="8">
        <v>600357</v>
      </c>
      <c r="T75" s="8">
        <v>600357</v>
      </c>
      <c r="U75" s="8">
        <v>600357</v>
      </c>
      <c r="V75" s="8">
        <v>600357</v>
      </c>
      <c r="W75" s="8">
        <v>600357</v>
      </c>
      <c r="X75" s="8">
        <v>600357</v>
      </c>
      <c r="Y75" s="8">
        <v>600357</v>
      </c>
      <c r="Z75" s="8">
        <v>600357</v>
      </c>
      <c r="AA75" s="8">
        <v>600357</v>
      </c>
      <c r="AB75" s="8">
        <v>600357</v>
      </c>
    </row>
    <row r="76" spans="1:28">
      <c r="A76" s="298" t="s">
        <v>88</v>
      </c>
      <c r="B76" t="s">
        <v>64</v>
      </c>
      <c r="C76" t="s">
        <v>65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</row>
    <row r="77" spans="1:28">
      <c r="A77" s="298" t="s">
        <v>89</v>
      </c>
      <c r="B77" t="s">
        <v>64</v>
      </c>
      <c r="C77" t="s">
        <v>65</v>
      </c>
      <c r="D77" s="8">
        <v>28000</v>
      </c>
      <c r="E77" s="8">
        <v>28000</v>
      </c>
      <c r="F77" s="8">
        <v>28000</v>
      </c>
      <c r="G77" s="8">
        <v>28000</v>
      </c>
      <c r="H77" s="8">
        <v>28000</v>
      </c>
      <c r="I77" s="8">
        <v>28000</v>
      </c>
      <c r="J77" s="8">
        <v>28000</v>
      </c>
      <c r="K77" s="8">
        <v>28000</v>
      </c>
      <c r="L77" s="8">
        <v>28000</v>
      </c>
      <c r="M77" s="8">
        <v>28000</v>
      </c>
      <c r="N77" s="8">
        <v>28000</v>
      </c>
      <c r="O77" s="8">
        <v>28000</v>
      </c>
      <c r="P77" s="8">
        <v>28000</v>
      </c>
      <c r="Q77" s="8">
        <v>28000</v>
      </c>
      <c r="R77" s="8">
        <v>28000</v>
      </c>
      <c r="S77" s="8">
        <v>28000</v>
      </c>
      <c r="T77" s="8">
        <v>28000</v>
      </c>
      <c r="U77" s="8">
        <v>28000</v>
      </c>
      <c r="V77" s="8">
        <v>28000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</row>
    <row r="78" spans="1:28">
      <c r="A78" s="298" t="s">
        <v>90</v>
      </c>
      <c r="B78" t="s">
        <v>64</v>
      </c>
      <c r="C78" t="s">
        <v>65</v>
      </c>
      <c r="D78" s="8">
        <v>1454800</v>
      </c>
      <c r="E78" s="8">
        <v>1103013</v>
      </c>
      <c r="F78" s="8">
        <v>119841</v>
      </c>
      <c r="G78" s="8">
        <v>446220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</row>
    <row r="79" spans="1:28">
      <c r="A79" s="298" t="s">
        <v>91</v>
      </c>
      <c r="B79" t="s">
        <v>64</v>
      </c>
      <c r="C79" t="s">
        <v>65</v>
      </c>
      <c r="D79" s="8">
        <v>629931</v>
      </c>
      <c r="E79" s="8">
        <v>144036</v>
      </c>
      <c r="F79" s="8">
        <v>626115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</row>
    <row r="80" spans="1:28">
      <c r="A80" s="298" t="s">
        <v>92</v>
      </c>
      <c r="B80" t="s">
        <v>64</v>
      </c>
      <c r="C80" t="s">
        <v>65</v>
      </c>
      <c r="D80" s="8">
        <v>759317</v>
      </c>
      <c r="E80" s="8">
        <v>776814</v>
      </c>
      <c r="F80" s="8">
        <v>757481</v>
      </c>
      <c r="G80" s="8">
        <v>724501</v>
      </c>
      <c r="H80" s="8">
        <v>708275</v>
      </c>
      <c r="I80" s="8">
        <v>651800</v>
      </c>
      <c r="J80" s="8">
        <v>594150</v>
      </c>
      <c r="K80" s="8">
        <v>542524</v>
      </c>
      <c r="L80" s="8">
        <v>494926</v>
      </c>
      <c r="M80" s="8">
        <v>470307</v>
      </c>
      <c r="N80" s="8">
        <v>450096</v>
      </c>
      <c r="O80" s="8">
        <v>428423</v>
      </c>
      <c r="P80" s="8">
        <v>406407</v>
      </c>
      <c r="Q80" s="8">
        <v>382591</v>
      </c>
      <c r="R80" s="8">
        <v>356837</v>
      </c>
      <c r="S80" s="8">
        <v>329343</v>
      </c>
      <c r="T80" s="8">
        <v>299903</v>
      </c>
      <c r="U80" s="8">
        <v>268403</v>
      </c>
      <c r="V80" s="8">
        <v>238368</v>
      </c>
      <c r="W80" s="8">
        <v>206609</v>
      </c>
      <c r="X80" s="8">
        <v>177784</v>
      </c>
      <c r="Y80" s="8">
        <v>151443</v>
      </c>
      <c r="Z80" s="8">
        <v>128516</v>
      </c>
      <c r="AA80" s="8">
        <v>107574</v>
      </c>
      <c r="AB80" s="8">
        <v>107574</v>
      </c>
    </row>
    <row r="81" spans="1:28">
      <c r="A81" s="298" t="s">
        <v>93</v>
      </c>
      <c r="B81" t="s">
        <v>64</v>
      </c>
      <c r="C81" t="s">
        <v>65</v>
      </c>
      <c r="D81" s="8">
        <v>2462503</v>
      </c>
      <c r="E81" s="8">
        <v>6546815</v>
      </c>
      <c r="F81" s="8">
        <v>4460708</v>
      </c>
      <c r="G81" s="8">
        <v>3762</v>
      </c>
      <c r="H81" s="8">
        <v>0</v>
      </c>
      <c r="I81" s="8">
        <v>0</v>
      </c>
      <c r="J81" s="8">
        <v>2113314</v>
      </c>
      <c r="K81" s="8">
        <v>4937530</v>
      </c>
      <c r="L81" s="8">
        <v>4560303</v>
      </c>
      <c r="M81" s="8">
        <v>11311352</v>
      </c>
      <c r="N81" s="8">
        <v>18415769</v>
      </c>
      <c r="O81" s="8">
        <v>23974132</v>
      </c>
      <c r="P81" s="8">
        <v>34310565</v>
      </c>
      <c r="Q81" s="8">
        <v>43325976</v>
      </c>
      <c r="R81" s="8">
        <v>51881376</v>
      </c>
      <c r="S81" s="8">
        <v>57501364</v>
      </c>
      <c r="T81" s="8">
        <v>69051415</v>
      </c>
      <c r="U81" s="8">
        <v>77483238</v>
      </c>
      <c r="V81" s="8">
        <v>98708008</v>
      </c>
      <c r="W81" s="8">
        <v>88681516</v>
      </c>
      <c r="X81" s="8">
        <v>95915224</v>
      </c>
      <c r="Y81" s="8">
        <v>106276742</v>
      </c>
      <c r="Z81" s="8">
        <v>112200613</v>
      </c>
      <c r="AA81" s="8">
        <v>131630860</v>
      </c>
      <c r="AB81" s="8">
        <v>138141702</v>
      </c>
    </row>
    <row r="82" spans="1:28">
      <c r="A82" s="298" t="s">
        <v>94</v>
      </c>
      <c r="B82" t="s">
        <v>64</v>
      </c>
      <c r="C82" t="s">
        <v>65</v>
      </c>
      <c r="D82" s="8">
        <v>3640310</v>
      </c>
      <c r="E82" s="8">
        <v>3754312</v>
      </c>
      <c r="F82" s="8">
        <v>6612995</v>
      </c>
      <c r="G82" s="8">
        <v>6355174</v>
      </c>
      <c r="H82" s="8">
        <v>6095290</v>
      </c>
      <c r="I82" s="8">
        <v>5837469</v>
      </c>
      <c r="J82" s="8">
        <v>5577585</v>
      </c>
      <c r="K82" s="8">
        <v>5319764</v>
      </c>
      <c r="L82" s="8">
        <v>5059880</v>
      </c>
      <c r="M82" s="8">
        <v>5059880</v>
      </c>
      <c r="N82" s="8">
        <v>5059880</v>
      </c>
      <c r="O82" s="8">
        <v>5059880</v>
      </c>
      <c r="P82" s="8">
        <v>5059880</v>
      </c>
      <c r="Q82" s="8">
        <v>5059880</v>
      </c>
      <c r="R82" s="8">
        <v>5059880</v>
      </c>
      <c r="S82" s="8">
        <v>5059880</v>
      </c>
      <c r="T82" s="8">
        <v>5059880</v>
      </c>
      <c r="U82" s="8">
        <v>5059880</v>
      </c>
      <c r="V82" s="8">
        <v>5059880</v>
      </c>
      <c r="W82" s="8">
        <v>5059880</v>
      </c>
      <c r="X82" s="8">
        <v>5059880</v>
      </c>
      <c r="Y82" s="8">
        <v>5059880</v>
      </c>
      <c r="Z82" s="8">
        <v>5059880</v>
      </c>
      <c r="AA82" s="8">
        <v>5059880</v>
      </c>
      <c r="AB82" s="8">
        <v>5059880</v>
      </c>
    </row>
    <row r="83" spans="1:28">
      <c r="A83" s="298" t="s">
        <v>95</v>
      </c>
      <c r="B83" t="s">
        <v>64</v>
      </c>
      <c r="C83" t="s">
        <v>65</v>
      </c>
      <c r="D83" s="8">
        <v>6637771</v>
      </c>
      <c r="E83" s="8">
        <v>10523734</v>
      </c>
      <c r="F83" s="8">
        <v>6143056</v>
      </c>
      <c r="G83" s="8">
        <v>3604847</v>
      </c>
      <c r="H83" s="8">
        <v>2113928</v>
      </c>
      <c r="I83" s="8">
        <v>1239202</v>
      </c>
      <c r="J83" s="8">
        <v>725888</v>
      </c>
      <c r="K83" s="8">
        <v>425037</v>
      </c>
      <c r="L83" s="8">
        <v>248674</v>
      </c>
      <c r="M83" s="8">
        <v>149204</v>
      </c>
      <c r="N83" s="8">
        <v>89522</v>
      </c>
      <c r="O83" s="8">
        <v>53713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6">
    <tabColor rgb="FF00B0F0"/>
    <pageSetUpPr fitToPage="1"/>
  </sheetPr>
  <dimension ref="B2:AA24"/>
  <sheetViews>
    <sheetView zoomScaleNormal="100" workbookViewId="0">
      <selection activeCell="F20" sqref="F20"/>
    </sheetView>
  </sheetViews>
  <sheetFormatPr defaultRowHeight="15"/>
  <cols>
    <col min="2" max="2" width="55.42578125" customWidth="1"/>
    <col min="3" max="6" width="10.28515625" bestFit="1" customWidth="1"/>
    <col min="7" max="7" width="10.28515625" customWidth="1"/>
    <col min="8" max="9" width="11.7109375" bestFit="1" customWidth="1"/>
    <col min="10" max="14" width="9.28515625" customWidth="1"/>
  </cols>
  <sheetData>
    <row r="2" spans="2:27">
      <c r="B2" s="2" t="s">
        <v>411</v>
      </c>
    </row>
    <row r="4" spans="2:27">
      <c r="B4" s="2" t="s">
        <v>412</v>
      </c>
      <c r="C4" s="2">
        <v>2022</v>
      </c>
      <c r="D4" s="2">
        <v>2023</v>
      </c>
      <c r="E4" s="2">
        <v>2024</v>
      </c>
      <c r="F4" s="2">
        <v>2025</v>
      </c>
      <c r="G4" s="2">
        <v>2026</v>
      </c>
      <c r="H4" s="2">
        <v>2027</v>
      </c>
      <c r="I4" s="2">
        <v>2028</v>
      </c>
      <c r="J4" s="2">
        <v>2029</v>
      </c>
      <c r="K4" s="2">
        <v>2030</v>
      </c>
      <c r="L4" s="2">
        <v>2031</v>
      </c>
      <c r="M4" s="2">
        <v>2032</v>
      </c>
      <c r="N4" s="2">
        <v>2033</v>
      </c>
      <c r="O4" s="2">
        <v>2034</v>
      </c>
      <c r="P4" s="2">
        <v>2035</v>
      </c>
      <c r="Q4" s="2">
        <v>2036</v>
      </c>
      <c r="R4" s="2">
        <v>2037</v>
      </c>
      <c r="S4" s="2">
        <v>2038</v>
      </c>
      <c r="T4" s="2">
        <v>2039</v>
      </c>
      <c r="U4" s="2">
        <v>2040</v>
      </c>
      <c r="V4" s="2">
        <v>2041</v>
      </c>
      <c r="W4" s="2">
        <v>2042</v>
      </c>
      <c r="X4" s="2">
        <v>2043</v>
      </c>
      <c r="Y4" s="2">
        <v>2044</v>
      </c>
      <c r="Z4" s="2">
        <v>2045</v>
      </c>
      <c r="AA4" s="2">
        <v>2046</v>
      </c>
    </row>
    <row r="5" spans="2:27">
      <c r="B5" s="433" t="s">
        <v>413</v>
      </c>
      <c r="C5" s="435">
        <v>0</v>
      </c>
      <c r="D5" s="435">
        <v>0</v>
      </c>
      <c r="E5" s="434">
        <v>-748.66492322622798</v>
      </c>
      <c r="F5" s="434">
        <v>-2027.032925127467</v>
      </c>
      <c r="G5" s="434">
        <v>-2268.9405259202467</v>
      </c>
      <c r="H5" s="434">
        <v>-2150.1093714329763</v>
      </c>
      <c r="I5" s="434">
        <v>-1952.6349870412523</v>
      </c>
      <c r="J5" s="434">
        <v>-1904.4306238451099</v>
      </c>
      <c r="K5" s="434">
        <v>-1830.924669547996</v>
      </c>
      <c r="L5" s="434">
        <v>-1741.3774754626211</v>
      </c>
      <c r="M5" s="434">
        <v>-1641.632633422807</v>
      </c>
      <c r="N5" s="434">
        <v>-1537.2621399028721</v>
      </c>
      <c r="O5" s="434">
        <v>-1439.620390080061</v>
      </c>
      <c r="P5" s="434">
        <v>-1338.569063656978</v>
      </c>
      <c r="Q5" s="434">
        <v>-1226.2662296165945</v>
      </c>
      <c r="R5" s="434">
        <v>-1115.212807641481</v>
      </c>
      <c r="S5" s="434">
        <v>-1027.143452397373</v>
      </c>
      <c r="T5" s="434">
        <v>-1001.7155853688237</v>
      </c>
      <c r="U5" s="434">
        <v>-974.09124544138467</v>
      </c>
      <c r="V5" s="434">
        <v>-915.00233705324354</v>
      </c>
      <c r="W5" s="434">
        <v>-834.41904088971205</v>
      </c>
      <c r="X5" s="434">
        <v>-781.34568995435257</v>
      </c>
      <c r="Y5" s="434">
        <v>-722.42507823825144</v>
      </c>
      <c r="Z5" s="434">
        <v>-681.79232217065874</v>
      </c>
      <c r="AA5" s="434">
        <v>-629.73855601347168</v>
      </c>
    </row>
    <row r="6" spans="2:27">
      <c r="B6" s="173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2:27">
      <c r="B7" s="176" t="s">
        <v>414</v>
      </c>
      <c r="C7" s="2">
        <v>2022</v>
      </c>
      <c r="D7" s="2">
        <v>2023</v>
      </c>
      <c r="E7" s="2">
        <v>2024</v>
      </c>
      <c r="F7" s="2">
        <v>2025</v>
      </c>
      <c r="G7" s="2">
        <v>2026</v>
      </c>
      <c r="H7" s="2">
        <v>2027</v>
      </c>
      <c r="I7" s="2">
        <v>2028</v>
      </c>
      <c r="J7" s="2">
        <v>2029</v>
      </c>
      <c r="K7" s="2">
        <v>2030</v>
      </c>
      <c r="L7" s="2">
        <v>2031</v>
      </c>
      <c r="M7" s="2">
        <v>2032</v>
      </c>
      <c r="N7" s="2">
        <v>2033</v>
      </c>
      <c r="O7" s="2">
        <v>2034</v>
      </c>
      <c r="P7" s="2">
        <v>2035</v>
      </c>
      <c r="Q7" s="2">
        <v>2036</v>
      </c>
      <c r="R7" s="2">
        <v>2037</v>
      </c>
      <c r="S7" s="2">
        <v>2038</v>
      </c>
      <c r="T7" s="2">
        <v>2039</v>
      </c>
      <c r="U7" s="2">
        <v>2040</v>
      </c>
      <c r="V7" s="2">
        <v>2041</v>
      </c>
      <c r="W7" s="2">
        <v>2042</v>
      </c>
      <c r="X7" s="2">
        <v>2043</v>
      </c>
      <c r="Y7" s="2">
        <v>2044</v>
      </c>
      <c r="Z7" s="2">
        <v>2045</v>
      </c>
      <c r="AA7" s="2">
        <v>2046</v>
      </c>
    </row>
    <row r="8" spans="2:27">
      <c r="B8" t="s">
        <v>415</v>
      </c>
      <c r="C8" s="177">
        <f>C$5*'Mobile NOx Tailpipe by AB'!E7</f>
        <v>0</v>
      </c>
      <c r="D8" s="177">
        <f>D$5*'Mobile NOx Tailpipe by AB'!F7</f>
        <v>0</v>
      </c>
      <c r="E8" s="177">
        <f>E$5*'Mobile NOx Tailpipe by AB'!G7</f>
        <v>-3.4438586468406487</v>
      </c>
      <c r="F8" s="177">
        <f>F$5*'Mobile NOx Tailpipe by AB'!H7</f>
        <v>-9.3243514555863474</v>
      </c>
      <c r="G8" s="177">
        <f>G$5*'Mobile NOx Tailpipe by AB'!I7</f>
        <v>-10.21023236664111</v>
      </c>
      <c r="H8" s="177">
        <f>H$5*'Mobile NOx Tailpipe by AB'!J7</f>
        <v>-9.4604812343050959</v>
      </c>
      <c r="I8" s="177">
        <f>I$5*'Mobile NOx Tailpipe by AB'!K7</f>
        <v>-8.5915939429815111</v>
      </c>
      <c r="J8" s="177">
        <f>J$5*'Mobile NOx Tailpipe by AB'!L7</f>
        <v>-8.1890516825339734</v>
      </c>
      <c r="K8" s="177">
        <f>K$5*'Mobile NOx Tailpipe by AB'!M7</f>
        <v>-7.8729760790563832</v>
      </c>
      <c r="L8" s="177">
        <f>L$5*'Mobile NOx Tailpipe by AB'!N7</f>
        <v>-7.3137853969430084</v>
      </c>
      <c r="M8" s="177">
        <f>M$5*'Mobile NOx Tailpipe by AB'!O7</f>
        <v>-6.730693797033509</v>
      </c>
      <c r="N8" s="177">
        <f>N$5*'Mobile NOx Tailpipe by AB'!P7</f>
        <v>-6.1490485596114883</v>
      </c>
      <c r="O8" s="177">
        <f>O$5*'Mobile NOx Tailpipe by AB'!Q7</f>
        <v>-5.6145195213122374</v>
      </c>
      <c r="P8" s="177">
        <f>P$5*'Mobile NOx Tailpipe by AB'!R7</f>
        <v>-5.0865624418965165</v>
      </c>
      <c r="Q8" s="177">
        <f>Q$5*'Mobile NOx Tailpipe by AB'!S7</f>
        <v>-4.6598116725430589</v>
      </c>
      <c r="R8" s="177">
        <f>R$5*'Mobile NOx Tailpipe by AB'!T7</f>
        <v>-4.1262873882734796</v>
      </c>
      <c r="S8" s="177">
        <f>S$5*'Mobile NOx Tailpipe by AB'!U7</f>
        <v>-3.6977164286305428</v>
      </c>
      <c r="T8" s="177">
        <f>T$5*'Mobile NOx Tailpipe by AB'!V7</f>
        <v>-3.6061761073277649</v>
      </c>
      <c r="U8" s="177">
        <f>U$5*'Mobile NOx Tailpipe by AB'!W7</f>
        <v>-3.4093193590448463</v>
      </c>
      <c r="V8" s="177">
        <f>V$5*'Mobile NOx Tailpipe by AB'!X7</f>
        <v>-3.111007945981028</v>
      </c>
      <c r="W8" s="177">
        <f>W$5*'Mobile NOx Tailpipe by AB'!Y7</f>
        <v>-2.8370247390250207</v>
      </c>
      <c r="X8" s="177">
        <f>X$5*'Mobile NOx Tailpipe by AB'!Z7</f>
        <v>-2.5784407768493636</v>
      </c>
      <c r="Y8" s="177">
        <f>Y$5*'Mobile NOx Tailpipe by AB'!AA7</f>
        <v>-2.38400275818623</v>
      </c>
      <c r="Z8" s="177">
        <f>Z$5*'Mobile NOx Tailpipe by AB'!AB7</f>
        <v>-2.1817354309461079</v>
      </c>
      <c r="AA8" s="177">
        <f>AA$5*'Mobile NOx Tailpipe by AB'!AC7</f>
        <v>-1.9521895236417621</v>
      </c>
    </row>
    <row r="9" spans="2:27">
      <c r="B9" t="s">
        <v>416</v>
      </c>
      <c r="C9" s="177">
        <f>C$5*'Mobile NOx Tailpipe by AB'!E10</f>
        <v>0</v>
      </c>
      <c r="D9" s="177">
        <f>D$5*'Mobile NOx Tailpipe by AB'!F10</f>
        <v>0</v>
      </c>
      <c r="E9" s="177">
        <f>E$5*'Mobile NOx Tailpipe by AB'!G10</f>
        <v>-2.0962617850334384</v>
      </c>
      <c r="F9" s="177">
        <f>F$5*'Mobile NOx Tailpipe by AB'!H10</f>
        <v>-5.4729888978441616</v>
      </c>
      <c r="G9" s="177">
        <f>G$5*'Mobile NOx Tailpipe by AB'!I10</f>
        <v>-5.8992453673926413</v>
      </c>
      <c r="H9" s="177">
        <f>H$5*'Mobile NOx Tailpipe by AB'!J10</f>
        <v>-5.3752734285824406</v>
      </c>
      <c r="I9" s="177">
        <f>I$5*'Mobile NOx Tailpipe by AB'!K10</f>
        <v>-4.4910604701948804</v>
      </c>
      <c r="J9" s="177">
        <f>J$5*'Mobile NOx Tailpipe by AB'!L10</f>
        <v>-4.1897473724592418</v>
      </c>
      <c r="K9" s="177">
        <f>K$5*'Mobile NOx Tailpipe by AB'!M10</f>
        <v>-3.8449418060507914</v>
      </c>
      <c r="L9" s="177">
        <f>L$5*'Mobile NOx Tailpipe by AB'!N10</f>
        <v>-3.482754950925242</v>
      </c>
      <c r="M9" s="177">
        <f>M$5*'Mobile NOx Tailpipe by AB'!O10</f>
        <v>-3.1191020035033334</v>
      </c>
      <c r="N9" s="177">
        <f>N$5*'Mobile NOx Tailpipe by AB'!P10</f>
        <v>-2.76707185182517</v>
      </c>
      <c r="O9" s="177">
        <f>O$5*'Mobile NOx Tailpipe by AB'!Q10</f>
        <v>-2.4473546631361036</v>
      </c>
      <c r="P9" s="177">
        <f>P$5*'Mobile NOx Tailpipe by AB'!R10</f>
        <v>-2.007853595485467</v>
      </c>
      <c r="Q9" s="177">
        <f>Q$5*'Mobile NOx Tailpipe by AB'!S10</f>
        <v>-1.8393993444248917</v>
      </c>
      <c r="R9" s="177">
        <f>R$5*'Mobile NOx Tailpipe by AB'!T10</f>
        <v>-1.5612979306980734</v>
      </c>
      <c r="S9" s="177">
        <f>S$5*'Mobile NOx Tailpipe by AB'!U10</f>
        <v>-1.3352864881165849</v>
      </c>
      <c r="T9" s="177">
        <f>T$5*'Mobile NOx Tailpipe by AB'!V10</f>
        <v>-1.2020587024425884</v>
      </c>
      <c r="U9" s="177">
        <f>U$5*'Mobile NOx Tailpipe by AB'!W10</f>
        <v>-1.0715003699855232</v>
      </c>
      <c r="V9" s="177">
        <f>V$5*'Mobile NOx Tailpipe by AB'!X10</f>
        <v>-0.91500233705324352</v>
      </c>
      <c r="W9" s="177">
        <f>W$5*'Mobile NOx Tailpipe by AB'!Y10</f>
        <v>-0.83441904088971208</v>
      </c>
      <c r="X9" s="177">
        <f>X$5*'Mobile NOx Tailpipe by AB'!Z10</f>
        <v>-0.70321112095891725</v>
      </c>
      <c r="Y9" s="177">
        <f>Y$5*'Mobile NOx Tailpipe by AB'!AA10</f>
        <v>-0.65018257041442629</v>
      </c>
      <c r="Z9" s="177">
        <f>Z$5*'Mobile NOx Tailpipe by AB'!AB10</f>
        <v>-0.54543385773652697</v>
      </c>
      <c r="AA9" s="177">
        <f>AA$5*'Mobile NOx Tailpipe by AB'!AC10</f>
        <v>-0.50379084481077741</v>
      </c>
    </row>
    <row r="10" spans="2:27">
      <c r="B10" t="s">
        <v>417</v>
      </c>
      <c r="C10" s="177">
        <f>C$5*'Mobile NOx Tailpipe by AB'!E13</f>
        <v>0</v>
      </c>
      <c r="D10" s="177">
        <f>D$5*'Mobile NOx Tailpipe by AB'!F13</f>
        <v>0</v>
      </c>
      <c r="E10" s="177">
        <f>E$5*'Mobile NOx Tailpipe by AB'!G13</f>
        <v>-0.97326440019409632</v>
      </c>
      <c r="F10" s="177">
        <f>F$5*'Mobile NOx Tailpipe by AB'!H13</f>
        <v>-2.6351428026657069</v>
      </c>
      <c r="G10" s="177">
        <f>G$5*'Mobile NOx Tailpipe by AB'!I13</f>
        <v>-2.722728631104296</v>
      </c>
      <c r="H10" s="177">
        <f>H$5*'Mobile NOx Tailpipe by AB'!J13</f>
        <v>-2.5801312457195715</v>
      </c>
      <c r="I10" s="177">
        <f>I$5*'Mobile NOx Tailpipe by AB'!K13</f>
        <v>-2.1478984857453778</v>
      </c>
      <c r="J10" s="177">
        <f>J$5*'Mobile NOx Tailpipe by AB'!L13</f>
        <v>-2.0948736862296209</v>
      </c>
      <c r="K10" s="177">
        <f>K$5*'Mobile NOx Tailpipe by AB'!M13</f>
        <v>-2.0140171365027957</v>
      </c>
      <c r="L10" s="177">
        <f>L$5*'Mobile NOx Tailpipe by AB'!N13</f>
        <v>-1.741377475462621</v>
      </c>
      <c r="M10" s="177">
        <f>M$5*'Mobile NOx Tailpipe by AB'!O13</f>
        <v>-1.6416326334228071</v>
      </c>
      <c r="N10" s="177">
        <f>N$5*'Mobile NOx Tailpipe by AB'!P13</f>
        <v>-1.5372621399028721</v>
      </c>
      <c r="O10" s="177">
        <f>O$5*'Mobile NOx Tailpipe by AB'!Q13</f>
        <v>-1.295658351072055</v>
      </c>
      <c r="P10" s="177">
        <f>P$5*'Mobile NOx Tailpipe by AB'!R13</f>
        <v>-1.2047121572912802</v>
      </c>
      <c r="Q10" s="177">
        <f>Q$5*'Mobile NOx Tailpipe by AB'!S13</f>
        <v>-0.98101298369327561</v>
      </c>
      <c r="R10" s="177">
        <f>R$5*'Mobile NOx Tailpipe by AB'!T13</f>
        <v>-0.89217024611318485</v>
      </c>
      <c r="S10" s="177">
        <f>S$5*'Mobile NOx Tailpipe by AB'!U13</f>
        <v>-0.8217147619178985</v>
      </c>
      <c r="T10" s="177">
        <f>T$5*'Mobile NOx Tailpipe by AB'!V13</f>
        <v>-0.80137246829505893</v>
      </c>
      <c r="U10" s="177">
        <f>U$5*'Mobile NOx Tailpipe by AB'!W13</f>
        <v>-0.68186387180896924</v>
      </c>
      <c r="V10" s="177">
        <f>V$5*'Mobile NOx Tailpipe by AB'!X13</f>
        <v>-0.6405016359372705</v>
      </c>
      <c r="W10" s="177">
        <f>W$5*'Mobile NOx Tailpipe by AB'!Y13</f>
        <v>-0.58409332862279839</v>
      </c>
      <c r="X10" s="177">
        <f>X$5*'Mobile NOx Tailpipe by AB'!Z13</f>
        <v>-0.54694198296804675</v>
      </c>
      <c r="Y10" s="177">
        <f>Y$5*'Mobile NOx Tailpipe by AB'!AA13</f>
        <v>-0.50569755476677603</v>
      </c>
      <c r="Z10" s="177">
        <f>Z$5*'Mobile NOx Tailpipe by AB'!AB13</f>
        <v>-0.40907539330239523</v>
      </c>
      <c r="AA10" s="177">
        <f>AA$5*'Mobile NOx Tailpipe by AB'!AC13</f>
        <v>-0.37784313360808297</v>
      </c>
    </row>
    <row r="11" spans="2:27">
      <c r="B11" t="s">
        <v>418</v>
      </c>
      <c r="C11" s="177">
        <f>C$5*'Mobile NOx Tailpipe by AB'!E16</f>
        <v>0</v>
      </c>
      <c r="D11" s="177">
        <f>D$5*'Mobile NOx Tailpipe by AB'!F16</f>
        <v>0</v>
      </c>
      <c r="E11" s="177">
        <f>E$5*'Mobile NOx Tailpipe by AB'!G16</f>
        <v>-56.673934688225458</v>
      </c>
      <c r="F11" s="177">
        <f>F$5*'Mobile NOx Tailpipe by AB'!H16</f>
        <v>-155.47342535727674</v>
      </c>
      <c r="G11" s="177">
        <f>G$5*'Mobile NOx Tailpipe by AB'!I16</f>
        <v>-176.52357291659519</v>
      </c>
      <c r="H11" s="177">
        <f>H$5*'Mobile NOx Tailpipe by AB'!J16</f>
        <v>-169.64362940606182</v>
      </c>
      <c r="I11" s="177">
        <f>I$5*'Mobile NOx Tailpipe by AB'!K16</f>
        <v>-156.79658945941256</v>
      </c>
      <c r="J11" s="177">
        <f>J$5*'Mobile NOx Tailpipe by AB'!L16</f>
        <v>-155.78242503052999</v>
      </c>
      <c r="K11" s="177">
        <f>K$5*'Mobile NOx Tailpipe by AB'!M16</f>
        <v>-152.69911744030287</v>
      </c>
      <c r="L11" s="177">
        <f>L$5*'Mobile NOx Tailpipe by AB'!N16</f>
        <v>-148.3653609094153</v>
      </c>
      <c r="M11" s="177">
        <f>M$5*'Mobile NOx Tailpipe by AB'!O16</f>
        <v>-142.65787584444195</v>
      </c>
      <c r="N11" s="177">
        <f>N$5*'Mobile NOx Tailpipe by AB'!P16</f>
        <v>-136.20142559539448</v>
      </c>
      <c r="O11" s="177">
        <f>O$5*'Mobile NOx Tailpipe by AB'!Q16</f>
        <v>-130.28564530224551</v>
      </c>
      <c r="P11" s="177">
        <f>P$5*'Mobile NOx Tailpipe by AB'!R16</f>
        <v>-123.81763838827045</v>
      </c>
      <c r="Q11" s="177">
        <f>Q$5*'Mobile NOx Tailpipe by AB'!S16</f>
        <v>-115.63690545284486</v>
      </c>
      <c r="R11" s="177">
        <f>R$5*'Mobile NOx Tailpipe by AB'!T16</f>
        <v>-107.39499337587462</v>
      </c>
      <c r="S11" s="177">
        <f>S$5*'Mobile NOx Tailpipe by AB'!U16</f>
        <v>-100.35191529922334</v>
      </c>
      <c r="T11" s="177">
        <f>T$5*'Mobile NOx Tailpipe by AB'!V16</f>
        <v>-99.871043861271716</v>
      </c>
      <c r="U11" s="177">
        <f>U$5*'Mobile NOx Tailpipe by AB'!W16</f>
        <v>-98.967670536844679</v>
      </c>
      <c r="V11" s="177">
        <f>V$5*'Mobile NOx Tailpipe by AB'!X16</f>
        <v>-94.611241651305392</v>
      </c>
      <c r="W11" s="177">
        <f>W$5*'Mobile NOx Tailpipe by AB'!Y16</f>
        <v>-87.780883101597709</v>
      </c>
      <c r="X11" s="177">
        <f>X$5*'Mobile NOx Tailpipe by AB'!Z16</f>
        <v>-83.447719687124859</v>
      </c>
      <c r="Y11" s="177">
        <f>Y$5*'Mobile NOx Tailpipe by AB'!AA16</f>
        <v>-78.38312098885028</v>
      </c>
      <c r="Z11" s="177">
        <f>Z$5*'Mobile NOx Tailpipe by AB'!AB16</f>
        <v>-74.997155438772467</v>
      </c>
      <c r="AA11" s="177">
        <f>AA$5*'Mobile NOx Tailpipe by AB'!AC16</f>
        <v>-70.2158489955021</v>
      </c>
    </row>
    <row r="12" spans="2:27">
      <c r="B12" t="s">
        <v>419</v>
      </c>
      <c r="C12" s="177">
        <f>C$5*'Mobile NOx Tailpipe by AB'!E19</f>
        <v>0</v>
      </c>
      <c r="D12" s="177">
        <f>D$5*'Mobile NOx Tailpipe by AB'!F19</f>
        <v>0</v>
      </c>
      <c r="E12" s="177">
        <f>E$5*'Mobile NOx Tailpipe by AB'!G19</f>
        <v>-19.689887480849798</v>
      </c>
      <c r="F12" s="177">
        <f>F$5*'Mobile NOx Tailpipe by AB'!H19</f>
        <v>-51.689339590750407</v>
      </c>
      <c r="G12" s="177">
        <f>G$5*'Mobile NOx Tailpipe by AB'!I19</f>
        <v>-56.042830990230094</v>
      </c>
      <c r="H12" s="177">
        <f>H$5*'Mobile NOx Tailpipe by AB'!J19</f>
        <v>-51.602624914391434</v>
      </c>
      <c r="I12" s="177">
        <f>I$5*'Mobile NOx Tailpipe by AB'!K19</f>
        <v>-45.49639519806118</v>
      </c>
      <c r="J12" s="177">
        <f>J$5*'Mobile NOx Tailpipe by AB'!L19</f>
        <v>-43.230575161284001</v>
      </c>
      <c r="K12" s="177">
        <f>K$5*'Mobile NOx Tailpipe by AB'!M19</f>
        <v>-40.463435197010718</v>
      </c>
      <c r="L12" s="177">
        <f>L$5*'Mobile NOx Tailpipe by AB'!N19</f>
        <v>-37.439615722446348</v>
      </c>
      <c r="M12" s="177">
        <f>M$5*'Mobile NOx Tailpipe by AB'!O19</f>
        <v>-34.47428530187895</v>
      </c>
      <c r="N12" s="177">
        <f>N$5*'Mobile NOx Tailpipe by AB'!P19</f>
        <v>-31.513873868008879</v>
      </c>
      <c r="O12" s="177">
        <f>O$5*'Mobile NOx Tailpipe by AB'!Q19</f>
        <v>-28.792407801601222</v>
      </c>
      <c r="P12" s="177">
        <f>P$5*'Mobile NOx Tailpipe by AB'!R19</f>
        <v>-26.235953647676766</v>
      </c>
      <c r="Q12" s="177">
        <f>Q$5*'Mobile NOx Tailpipe by AB'!S19</f>
        <v>-23.666938231600277</v>
      </c>
      <c r="R12" s="177">
        <f>R$5*'Mobile NOx Tailpipe by AB'!T19</f>
        <v>-21.189043345188139</v>
      </c>
      <c r="S12" s="177">
        <f>S$5*'Mobile NOx Tailpipe by AB'!U19</f>
        <v>-19.207582559830879</v>
      </c>
      <c r="T12" s="177">
        <f>T$5*'Mobile NOx Tailpipe by AB'!V19</f>
        <v>-18.631909887860118</v>
      </c>
      <c r="U12" s="177">
        <f>U$5*'Mobile NOx Tailpipe by AB'!W19</f>
        <v>-17.923278916121479</v>
      </c>
      <c r="V12" s="177">
        <f>V$5*'Mobile NOx Tailpipe by AB'!X19</f>
        <v>-16.744542768074357</v>
      </c>
      <c r="W12" s="177">
        <f>W$5*'Mobile NOx Tailpipe by AB'!Y19</f>
        <v>-15.186426544192759</v>
      </c>
      <c r="X12" s="177">
        <f>X$5*'Mobile NOx Tailpipe by AB'!Z19</f>
        <v>-14.142356988173782</v>
      </c>
      <c r="Y12" s="177">
        <f>Y$5*'Mobile NOx Tailpipe by AB'!AA19</f>
        <v>-13.075893916112353</v>
      </c>
      <c r="Z12" s="177">
        <f>Z$5*'Mobile NOx Tailpipe by AB'!AB19</f>
        <v>-12.340441031288924</v>
      </c>
      <c r="AA12" s="177">
        <f>AA$5*'Mobile NOx Tailpipe by AB'!AC19</f>
        <v>-11.398267863843838</v>
      </c>
    </row>
    <row r="13" spans="2:27">
      <c r="B13" t="s">
        <v>420</v>
      </c>
      <c r="C13" s="177">
        <f>C$5*'Mobile NOx Tailpipe by AB'!E22</f>
        <v>0</v>
      </c>
      <c r="D13" s="177">
        <f>D$5*'Mobile NOx Tailpipe by AB'!F22</f>
        <v>0</v>
      </c>
      <c r="E13" s="177">
        <f>E$5*'Mobile NOx Tailpipe by AB'!G22</f>
        <v>-15.272764433815052</v>
      </c>
      <c r="F13" s="177">
        <f>F$5*'Mobile NOx Tailpipe by AB'!H22</f>
        <v>-40.94606508757483</v>
      </c>
      <c r="G13" s="177">
        <f>G$5*'Mobile NOx Tailpipe by AB'!I22</f>
        <v>-45.15191646581291</v>
      </c>
      <c r="H13" s="177">
        <f>H$5*'Mobile NOx Tailpipe by AB'!J22</f>
        <v>-42.357154617229632</v>
      </c>
      <c r="I13" s="177">
        <f>I$5*'Mobile NOx Tailpipe by AB'!K22</f>
        <v>-37.881118748600294</v>
      </c>
      <c r="J13" s="177">
        <f>J$5*'Mobile NOx Tailpipe by AB'!L22</f>
        <v>-36.565067977826111</v>
      </c>
      <c r="K13" s="177">
        <f>K$5*'Mobile NOx Tailpipe by AB'!M22</f>
        <v>-34.604476254457126</v>
      </c>
      <c r="L13" s="177">
        <f>L$5*'Mobile NOx Tailpipe by AB'!N22</f>
        <v>-32.389621043604748</v>
      </c>
      <c r="M13" s="177">
        <f>M$5*'Mobile NOx Tailpipe by AB'!O22</f>
        <v>-30.041877191637369</v>
      </c>
      <c r="N13" s="177">
        <f>N$5*'Mobile NOx Tailpipe by AB'!P22</f>
        <v>-27.670718518251697</v>
      </c>
      <c r="O13" s="177">
        <f>O$5*'Mobile NOx Tailpipe by AB'!Q22</f>
        <v>-25.48128090441708</v>
      </c>
      <c r="P13" s="177">
        <f>P$5*'Mobile NOx Tailpipe by AB'!R22</f>
        <v>-23.291101707631416</v>
      </c>
      <c r="Q13" s="177">
        <f>Q$5*'Mobile NOx Tailpipe by AB'!S22</f>
        <v>-20.969152526443768</v>
      </c>
      <c r="R13" s="177">
        <f>R$5*'Mobile NOx Tailpipe by AB'!T22</f>
        <v>-18.735575168376879</v>
      </c>
      <c r="S13" s="177">
        <f>S$5*'Mobile NOx Tailpipe by AB'!U22</f>
        <v>-17.050581309796392</v>
      </c>
      <c r="T13" s="177">
        <f>T$5*'Mobile NOx Tailpipe by AB'!V22</f>
        <v>-16.327964041511823</v>
      </c>
      <c r="U13" s="177">
        <f>U$5*'Mobile NOx Tailpipe by AB'!W22</f>
        <v>-15.585459927062155</v>
      </c>
      <c r="V13" s="177">
        <f>V$5*'Mobile NOx Tailpipe by AB'!X22</f>
        <v>-14.457036925441249</v>
      </c>
      <c r="W13" s="177">
        <f>W$5*'Mobile NOx Tailpipe by AB'!Y22</f>
        <v>-12.933495133790537</v>
      </c>
      <c r="X13" s="177">
        <f>X$5*'Mobile NOx Tailpipe by AB'!Z22</f>
        <v>-11.954589056301593</v>
      </c>
      <c r="Y13" s="177">
        <f>Y$5*'Mobile NOx Tailpipe by AB'!AA22</f>
        <v>-10.836376173573772</v>
      </c>
      <c r="Z13" s="177">
        <f>Z$5*'Mobile NOx Tailpipe by AB'!AB22</f>
        <v>-10.090526368125749</v>
      </c>
      <c r="AA13" s="177">
        <f>AA$5*'Mobile NOx Tailpipe by AB'!AC22</f>
        <v>-9.1312090621953406</v>
      </c>
    </row>
    <row r="14" spans="2:27">
      <c r="B14" t="s">
        <v>258</v>
      </c>
      <c r="C14" s="177">
        <f>C$5*'Mobile NOx Tailpipe by AB'!E25</f>
        <v>0</v>
      </c>
      <c r="D14" s="177">
        <f>D$5*'Mobile NOx Tailpipe by AB'!F25</f>
        <v>0</v>
      </c>
      <c r="E14" s="177">
        <f>E$5*'Mobile NOx Tailpipe by AB'!G25</f>
        <v>-15.647096895428163</v>
      </c>
      <c r="F14" s="177">
        <f>F$5*'Mobile NOx Tailpipe by AB'!H25</f>
        <v>-41.148768380087574</v>
      </c>
      <c r="G14" s="177">
        <f>G$5*'Mobile NOx Tailpipe by AB'!I25</f>
        <v>-44.698128360628857</v>
      </c>
      <c r="H14" s="177">
        <f>H$5*'Mobile NOx Tailpipe by AB'!J25</f>
        <v>-41.067088994369847</v>
      </c>
      <c r="I14" s="177">
        <f>I$5*'Mobile NOx Tailpipe by AB'!K25</f>
        <v>-36.123747260263166</v>
      </c>
      <c r="J14" s="177">
        <f>J$5*'Mobile NOx Tailpipe by AB'!L25</f>
        <v>-34.089308166827465</v>
      </c>
      <c r="K14" s="177">
        <f>K$5*'Mobile NOx Tailpipe by AB'!M25</f>
        <v>-31.85808925013513</v>
      </c>
      <c r="L14" s="177">
        <f>L$5*'Mobile NOx Tailpipe by AB'!N25</f>
        <v>-29.255141587772034</v>
      </c>
      <c r="M14" s="177">
        <f>M$5*'Mobile NOx Tailpipe by AB'!O25</f>
        <v>-26.594448661449473</v>
      </c>
      <c r="N14" s="177">
        <f>N$5*'Mobile NOx Tailpipe by AB'!P25</f>
        <v>-23.981289382484803</v>
      </c>
      <c r="O14" s="177">
        <f>O$5*'Mobile NOx Tailpipe by AB'!Q25</f>
        <v>-21.738267890208924</v>
      </c>
      <c r="P14" s="177">
        <f>P$5*'Mobile NOx Tailpipe by AB'!R25</f>
        <v>-19.409251423026181</v>
      </c>
      <c r="Q14" s="177">
        <f>Q$5*'Mobile NOx Tailpipe by AB'!S25</f>
        <v>-17.290353837593983</v>
      </c>
      <c r="R14" s="177">
        <f>R$5*'Mobile NOx Tailpipe by AB'!T25</f>
        <v>-15.166894183924141</v>
      </c>
      <c r="S14" s="177">
        <f>S$5*'Mobile NOx Tailpipe by AB'!U25</f>
        <v>-13.558293571645324</v>
      </c>
      <c r="T14" s="177">
        <f>T$5*'Mobile NOx Tailpipe by AB'!V25</f>
        <v>-12.821959492720943</v>
      </c>
      <c r="U14" s="177">
        <f>U$5*'Mobile NOx Tailpipe by AB'!W25</f>
        <v>-12.078731443473169</v>
      </c>
      <c r="V14" s="177">
        <f>V$5*'Mobile NOx Tailpipe by AB'!X25</f>
        <v>-10.980028044638923</v>
      </c>
      <c r="W14" s="177">
        <f>W$5*'Mobile NOx Tailpipe by AB'!Y25</f>
        <v>-9.6792608743206596</v>
      </c>
      <c r="X14" s="177">
        <f>X$5*'Mobile NOx Tailpipe by AB'!Z25</f>
        <v>-8.829206296484184</v>
      </c>
      <c r="Y14" s="177">
        <f>Y$5*'Mobile NOx Tailpipe by AB'!AA25</f>
        <v>-7.9466758606207657</v>
      </c>
      <c r="Z14" s="177">
        <f>Z$5*'Mobile NOx Tailpipe by AB'!AB25</f>
        <v>-7.2951778472260482</v>
      </c>
      <c r="AA14" s="177">
        <f>AA$5*'Mobile NOx Tailpipe by AB'!AC25</f>
        <v>-6.5492809825401048</v>
      </c>
    </row>
    <row r="15" spans="2:27">
      <c r="B15" t="s">
        <v>259</v>
      </c>
      <c r="C15" s="177">
        <f>C$5*'Mobile NOx Tailpipe by AB'!E28</f>
        <v>0</v>
      </c>
      <c r="D15" s="177">
        <f>D$5*'Mobile NOx Tailpipe by AB'!F28</f>
        <v>0</v>
      </c>
      <c r="E15" s="177">
        <f>E$5*'Mobile NOx Tailpipe by AB'!G28</f>
        <v>-8.9091125863921139</v>
      </c>
      <c r="F15" s="177">
        <f>F$5*'Mobile NOx Tailpipe by AB'!H28</f>
        <v>-23.716285223991363</v>
      </c>
      <c r="G15" s="177">
        <f>G$5*'Mobile NOx Tailpipe by AB'!I28</f>
        <v>-25.865921995490815</v>
      </c>
      <c r="H15" s="177">
        <f>H$5*'Mobile NOx Tailpipe by AB'!J28</f>
        <v>-24.081224960049333</v>
      </c>
      <c r="I15" s="177">
        <f>I$5*'Mobile NOx Tailpipe by AB'!K28</f>
        <v>-21.478984857453774</v>
      </c>
      <c r="J15" s="177">
        <f>J$5*'Mobile NOx Tailpipe by AB'!L28</f>
        <v>-20.758293799911698</v>
      </c>
      <c r="K15" s="177">
        <f>K$5*'Mobile NOx Tailpipe by AB'!M28</f>
        <v>-19.590893964163556</v>
      </c>
      <c r="L15" s="177">
        <f>L$5*'Mobile NOx Tailpipe by AB'!N28</f>
        <v>-18.284463492357524</v>
      </c>
      <c r="M15" s="177">
        <f>M$5*'Mobile NOx Tailpipe by AB'!O28</f>
        <v>-17.07297938759719</v>
      </c>
      <c r="N15" s="177">
        <f>N$5*'Mobile NOx Tailpipe by AB'!P28</f>
        <v>-15.833800040999582</v>
      </c>
      <c r="O15" s="177">
        <f>O$5*'Mobile NOx Tailpipe by AB'!Q28</f>
        <v>-14.540165939808617</v>
      </c>
      <c r="P15" s="177">
        <f>P$5*'Mobile NOx Tailpipe by AB'!R28</f>
        <v>-13.38569063656978</v>
      </c>
      <c r="Q15" s="177">
        <f>Q$5*'Mobile NOx Tailpipe by AB'!S28</f>
        <v>-12.262662296165946</v>
      </c>
      <c r="R15" s="177">
        <f>R$5*'Mobile NOx Tailpipe by AB'!T28</f>
        <v>-11.040606795650664</v>
      </c>
      <c r="S15" s="177">
        <f>S$5*'Mobile NOx Tailpipe by AB'!U28</f>
        <v>-10.066005833494255</v>
      </c>
      <c r="T15" s="177">
        <f>T$5*'Mobile NOx Tailpipe by AB'!V28</f>
        <v>-9.8168127366144713</v>
      </c>
      <c r="U15" s="177">
        <f>U$5*'Mobile NOx Tailpipe by AB'!W28</f>
        <v>-9.4486850807814324</v>
      </c>
      <c r="V15" s="177">
        <f>V$5*'Mobile NOx Tailpipe by AB'!X28</f>
        <v>-8.7840224357111367</v>
      </c>
      <c r="W15" s="177">
        <f>W$5*'Mobile NOx Tailpipe by AB'!Y28</f>
        <v>-8.0104227925412346</v>
      </c>
      <c r="X15" s="177">
        <f>X$5*'Mobile NOx Tailpipe by AB'!Z28</f>
        <v>-7.4227840545663488</v>
      </c>
      <c r="Y15" s="177">
        <f>Y$5*'Mobile NOx Tailpipe by AB'!AA28</f>
        <v>-6.7907957354395636</v>
      </c>
      <c r="Z15" s="177">
        <f>Z$5*'Mobile NOx Tailpipe by AB'!AB28</f>
        <v>-6.4088478284041921</v>
      </c>
      <c r="AA15" s="177">
        <f>AA$5*'Mobile NOx Tailpipe by AB'!AC28</f>
        <v>-5.8565685709252859</v>
      </c>
    </row>
    <row r="16" spans="2:27">
      <c r="B16" t="s">
        <v>381</v>
      </c>
      <c r="C16" s="177">
        <f>C$5*'Mobile NOx Tailpipe by AB'!E34</f>
        <v>0</v>
      </c>
      <c r="D16" s="177">
        <f>D$5*'Mobile NOx Tailpipe by AB'!F34</f>
        <v>0</v>
      </c>
      <c r="E16" s="177">
        <f>E$5*'Mobile NOx Tailpipe by AB'!G34</f>
        <v>-83.850471401337529</v>
      </c>
      <c r="F16" s="177">
        <f>F$5*'Mobile NOx Tailpipe by AB'!H34</f>
        <v>-223.9871382265851</v>
      </c>
      <c r="G16" s="177">
        <f>G$5*'Mobile NOx Tailpipe by AB'!I34</f>
        <v>-247.31451732530689</v>
      </c>
      <c r="H16" s="177">
        <f>H$5*'Mobile NOx Tailpipe by AB'!J34</f>
        <v>-231.35176836618825</v>
      </c>
      <c r="I16" s="177">
        <f>I$5*'Mobile NOx Tailpipe by AB'!K34</f>
        <v>-207.369835623781</v>
      </c>
      <c r="J16" s="177">
        <f>J$5*'Mobile NOx Tailpipe by AB'!L34</f>
        <v>-199.77477244135201</v>
      </c>
      <c r="K16" s="177">
        <f>K$5*'Mobile NOx Tailpipe by AB'!M34</f>
        <v>-189.50070329821759</v>
      </c>
      <c r="L16" s="177">
        <f>L$5*'Mobile NOx Tailpipe by AB'!N34</f>
        <v>-177.44636474964111</v>
      </c>
      <c r="M16" s="177">
        <f>M$5*'Mobile NOx Tailpipe by AB'!O34</f>
        <v>-164.81991639564981</v>
      </c>
      <c r="N16" s="177">
        <f>N$5*'Mobile NOx Tailpipe by AB'!P34</f>
        <v>-152.18895185038434</v>
      </c>
      <c r="O16" s="177">
        <f>O$5*'Mobile NOx Tailpipe by AB'!Q34</f>
        <v>-140.50695007181398</v>
      </c>
      <c r="P16" s="177">
        <f>P$5*'Mobile NOx Tailpipe by AB'!R34</f>
        <v>-128.90420083016699</v>
      </c>
      <c r="Q16" s="177">
        <f>Q$5*'Mobile NOx Tailpipe by AB'!S34</f>
        <v>-116.74054505949981</v>
      </c>
      <c r="R16" s="177">
        <f>R$5*'Mobile NOx Tailpipe by AB'!T34</f>
        <v>-104.83000391829921</v>
      </c>
      <c r="S16" s="177">
        <f>S$5*'Mobile NOx Tailpipe by AB'!U34</f>
        <v>-95.421626727715946</v>
      </c>
      <c r="T16" s="177">
        <f>T$5*'Mobile NOx Tailpipe by AB'!V34</f>
        <v>-92.157833853931777</v>
      </c>
      <c r="U16" s="177">
        <f>U$5*'Mobile NOx Tailpipe by AB'!W34</f>
        <v>-88.642303335166005</v>
      </c>
      <c r="V16" s="177">
        <f>V$5*'Mobile NOx Tailpipe by AB'!X34</f>
        <v>-82.533210802202575</v>
      </c>
      <c r="W16" s="177">
        <f>W$5*'Mobile NOx Tailpipe by AB'!Y34</f>
        <v>-74.513620351451294</v>
      </c>
      <c r="X16" s="177">
        <f>X$5*'Mobile NOx Tailpipe by AB'!Z34</f>
        <v>-69.305362698951072</v>
      </c>
      <c r="Y16" s="177">
        <f>Y$5*'Mobile NOx Tailpipe by AB'!AA34</f>
        <v>-63.50116437714231</v>
      </c>
      <c r="Z16" s="177">
        <f>Z$5*'Mobile NOx Tailpipe by AB'!AB34</f>
        <v>-59.452290493281438</v>
      </c>
      <c r="AA16" s="177">
        <f>AA$5*'Mobile NOx Tailpipe by AB'!AC34</f>
        <v>-54.472385095165293</v>
      </c>
    </row>
    <row r="17" spans="2:27">
      <c r="B17" t="s">
        <v>261</v>
      </c>
      <c r="C17" s="177">
        <f>C$5*'Mobile NOx Tailpipe by AB'!E37</f>
        <v>0</v>
      </c>
      <c r="D17" s="177">
        <f>D$5*'Mobile NOx Tailpipe by AB'!F37</f>
        <v>0</v>
      </c>
      <c r="E17" s="177">
        <f>E$5*'Mobile NOx Tailpipe by AB'!G37</f>
        <v>-26.652471266853716</v>
      </c>
      <c r="F17" s="177">
        <f>F$5*'Mobile NOx Tailpipe by AB'!H37</f>
        <v>-73.783998474639802</v>
      </c>
      <c r="G17" s="177">
        <f>G$5*'Mobile NOx Tailpipe by AB'!I37</f>
        <v>-84.631481616825198</v>
      </c>
      <c r="H17" s="177">
        <f>H$5*'Mobile NOx Tailpipe by AB'!J37</f>
        <v>-81.919167051596403</v>
      </c>
      <c r="I17" s="177">
        <f>I$5*'Mobile NOx Tailpipe by AB'!K37</f>
        <v>-76.348027993312968</v>
      </c>
      <c r="J17" s="177">
        <f>J$5*'Mobile NOx Tailpipe by AB'!L37</f>
        <v>-76.558111078573418</v>
      </c>
      <c r="K17" s="177">
        <f>K$5*'Mobile NOx Tailpipe by AB'!M37</f>
        <v>-75.800281319287038</v>
      </c>
      <c r="L17" s="177">
        <f>L$5*'Mobile NOx Tailpipe by AB'!N37</f>
        <v>-74.008542707161396</v>
      </c>
      <c r="M17" s="177">
        <f>M$5*'Mobile NOx Tailpipe by AB'!O37</f>
        <v>-71.575182817234378</v>
      </c>
      <c r="N17" s="177">
        <f>N$5*'Mobile NOx Tailpipe by AB'!P37</f>
        <v>-68.869343867648666</v>
      </c>
      <c r="O17" s="177">
        <f>O$5*'Mobile NOx Tailpipe by AB'!Q37</f>
        <v>-66.366499982690812</v>
      </c>
      <c r="P17" s="177">
        <f>P$5*'Mobile NOx Tailpipe by AB'!R37</f>
        <v>-63.314316710975056</v>
      </c>
      <c r="Q17" s="177">
        <f>Q$5*'Mobile NOx Tailpipe by AB'!S37</f>
        <v>-59.596538759366489</v>
      </c>
      <c r="R17" s="177">
        <f>R$5*'Mobile NOx Tailpipe by AB'!T37</f>
        <v>-55.649119101309907</v>
      </c>
      <c r="S17" s="177">
        <f>S$5*'Mobile NOx Tailpipe by AB'!U37</f>
        <v>-53.411459524663393</v>
      </c>
      <c r="T17" s="177">
        <f>T$5*'Mobile NOx Tailpipe by AB'!V37</f>
        <v>-53.391440700158299</v>
      </c>
      <c r="U17" s="177">
        <f>U$5*'Mobile NOx Tailpipe by AB'!W37</f>
        <v>-53.087972876555462</v>
      </c>
      <c r="V17" s="177">
        <f>V$5*'Mobile NOx Tailpipe by AB'!X37</f>
        <v>-50.965630173865662</v>
      </c>
      <c r="W17" s="177">
        <f>W$5*'Mobile NOx Tailpipe by AB'!Y37</f>
        <v>-47.478443426624615</v>
      </c>
      <c r="X17" s="177">
        <f>X$5*'Mobile NOx Tailpipe by AB'!Z37</f>
        <v>-45.318050017352448</v>
      </c>
      <c r="Y17" s="177">
        <f>Y$5*'Mobile NOx Tailpipe by AB'!AA37</f>
        <v>-42.767564631704488</v>
      </c>
      <c r="Z17" s="177">
        <f>Z$5*'Mobile NOx Tailpipe by AB'!AB37</f>
        <v>-41.043897794673654</v>
      </c>
      <c r="AA17" s="177">
        <f>AA$5*'Mobile NOx Tailpipe by AB'!AC37</f>
        <v>-38.602973483625817</v>
      </c>
    </row>
    <row r="18" spans="2:27">
      <c r="B18" t="s">
        <v>373</v>
      </c>
      <c r="C18" s="177">
        <f>C$5*'Mobile NOx Tailpipe by AB'!E40</f>
        <v>0</v>
      </c>
      <c r="D18" s="177">
        <f>D$5*'Mobile NOx Tailpipe by AB'!F40</f>
        <v>0</v>
      </c>
      <c r="E18" s="177">
        <f>E$5*'Mobile NOx Tailpipe by AB'!G40</f>
        <v>-44.171230470347446</v>
      </c>
      <c r="F18" s="177">
        <f>F$5*'Mobile NOx Tailpipe by AB'!H40</f>
        <v>-118.17601953493133</v>
      </c>
      <c r="G18" s="177">
        <f>G$5*'Mobile NOx Tailpipe by AB'!I40</f>
        <v>-130.69097429300621</v>
      </c>
      <c r="H18" s="177">
        <f>H$5*'Mobile NOx Tailpipe by AB'!J40</f>
        <v>-122.34122323453636</v>
      </c>
      <c r="I18" s="177">
        <f>I$5*'Mobile NOx Tailpipe by AB'!K40</f>
        <v>-109.54282277301425</v>
      </c>
      <c r="J18" s="177">
        <f>J$5*'Mobile NOx Tailpipe by AB'!L40</f>
        <v>-105.31501349863458</v>
      </c>
      <c r="K18" s="177">
        <f>K$5*'Mobile NOx Tailpipe by AB'!M40</f>
        <v>-99.602302023410971</v>
      </c>
      <c r="L18" s="177">
        <f>L$5*'Mobile NOx Tailpipe by AB'!N40</f>
        <v>-93.686108179889018</v>
      </c>
      <c r="M18" s="177">
        <f>M$5*'Mobile NOx Tailpipe by AB'!O40</f>
        <v>-87.170692834751051</v>
      </c>
      <c r="N18" s="177">
        <f>N$5*'Mobile NOx Tailpipe by AB'!P40</f>
        <v>-80.706262344900779</v>
      </c>
      <c r="O18" s="177">
        <f>O$5*'Mobile NOx Tailpipe by AB'!Q40</f>
        <v>-74.716298245155173</v>
      </c>
      <c r="P18" s="177">
        <f>P$5*'Mobile NOx Tailpipe by AB'!R40</f>
        <v>-68.802449871968662</v>
      </c>
      <c r="Q18" s="177">
        <f>Q$5*'Mobile NOx Tailpipe by AB'!S40</f>
        <v>-62.416951087484662</v>
      </c>
      <c r="R18" s="177">
        <f>R$5*'Mobile NOx Tailpipe by AB'!T40</f>
        <v>-56.206725505130642</v>
      </c>
      <c r="S18" s="177">
        <f>S$5*'Mobile NOx Tailpipe by AB'!U40</f>
        <v>-51.357172619868656</v>
      </c>
      <c r="T18" s="177">
        <f>T$5*'Mobile NOx Tailpipe by AB'!V40</f>
        <v>-49.685093034293651</v>
      </c>
      <c r="U18" s="177">
        <f>U$5*'Mobile NOx Tailpipe by AB'!W40</f>
        <v>-47.925289275716125</v>
      </c>
      <c r="V18" s="177">
        <f>V$5*'Mobile NOx Tailpipe by AB'!X40</f>
        <v>-44.743614281903611</v>
      </c>
      <c r="W18" s="177">
        <f>W$5*'Mobile NOx Tailpipe by AB'!Y40</f>
        <v>-40.552765387240001</v>
      </c>
      <c r="X18" s="177">
        <f>X$5*'Mobile NOx Tailpipe by AB'!Z40</f>
        <v>-37.81713139379066</v>
      </c>
      <c r="Y18" s="177">
        <f>Y$5*'Mobile NOx Tailpipe by AB'!AA40</f>
        <v>-34.748646263259893</v>
      </c>
      <c r="Z18" s="177">
        <f>Z$5*'Mobile NOx Tailpipe by AB'!AB40</f>
        <v>-32.726031464191621</v>
      </c>
      <c r="AA18" s="177">
        <f>AA$5*'Mobile NOx Tailpipe by AB'!AC40</f>
        <v>-30.101502977443946</v>
      </c>
    </row>
    <row r="19" spans="2:27">
      <c r="B19" t="s">
        <v>421</v>
      </c>
      <c r="C19" s="177">
        <f>C$5*'Mobile NOx Tailpipe by AB'!E43</f>
        <v>0</v>
      </c>
      <c r="D19" s="177">
        <f>D$5*'Mobile NOx Tailpipe by AB'!F43</f>
        <v>0</v>
      </c>
      <c r="E19" s="177">
        <f>E$5*'Mobile NOx Tailpipe by AB'!G43</f>
        <v>-88.342460940694892</v>
      </c>
      <c r="F19" s="177">
        <f>F$5*'Mobile NOx Tailpipe by AB'!H43</f>
        <v>-237.97366540996464</v>
      </c>
      <c r="G19" s="177">
        <f>G$5*'Mobile NOx Tailpipe by AB'!I43</f>
        <v>-265.01225342748484</v>
      </c>
      <c r="H19" s="177">
        <f>H$5*'Mobile NOx Tailpipe by AB'!J43</f>
        <v>-249.41268708622528</v>
      </c>
      <c r="I19" s="177">
        <f>I$5*'Mobile NOx Tailpipe by AB'!K43</f>
        <v>-224.74828700844813</v>
      </c>
      <c r="J19" s="177">
        <f>J$5*'Mobile NOx Tailpipe by AB'!L43</f>
        <v>-217.10509111834253</v>
      </c>
      <c r="K19" s="177">
        <f>K$5*'Mobile NOx Tailpipe by AB'!M43</f>
        <v>-206.89448765892357</v>
      </c>
      <c r="L19" s="177">
        <f>L$5*'Mobile NOx Tailpipe by AB'!N43</f>
        <v>-194.68600175672103</v>
      </c>
      <c r="M19" s="177">
        <f>M$5*'Mobile NOx Tailpipe by AB'!O43</f>
        <v>-181.72873251990475</v>
      </c>
      <c r="N19" s="177">
        <f>N$5*'Mobile NOx Tailpipe by AB'!P43</f>
        <v>-168.48393053335479</v>
      </c>
      <c r="O19" s="177">
        <f>O$5*'Mobile NOx Tailpipe by AB'!Q43</f>
        <v>-156.19881232368661</v>
      </c>
      <c r="P19" s="177">
        <f>P$5*'Mobile NOx Tailpipe by AB'!R43</f>
        <v>-143.36074671766235</v>
      </c>
      <c r="Q19" s="177">
        <f>Q$5*'Mobile NOx Tailpipe by AB'!S43</f>
        <v>-129.98422033935901</v>
      </c>
      <c r="R19" s="177">
        <f>R$5*'Mobile NOx Tailpipe by AB'!T43</f>
        <v>-116.76278096006307</v>
      </c>
      <c r="S19" s="177">
        <f>S$5*'Mobile NOx Tailpipe by AB'!U43</f>
        <v>-106.30934732312811</v>
      </c>
      <c r="T19" s="177">
        <f>T$5*'Mobile NOx Tailpipe by AB'!V43</f>
        <v>-102.37533282469377</v>
      </c>
      <c r="U19" s="177">
        <f>U$5*'Mobile NOx Tailpipe by AB'!W43</f>
        <v>-98.285806665035722</v>
      </c>
      <c r="V19" s="177">
        <f>V$5*'Mobile NOx Tailpipe by AB'!X43</f>
        <v>-91.134232770503047</v>
      </c>
      <c r="W19" s="177">
        <f>W$5*'Mobile NOx Tailpipe by AB'!Y43</f>
        <v>-82.023391719458687</v>
      </c>
      <c r="X19" s="177">
        <f>X$5*'Mobile NOx Tailpipe by AB'!Z43</f>
        <v>-75.790531925572196</v>
      </c>
      <c r="Y19" s="177">
        <f>Y$5*'Mobile NOx Tailpipe by AB'!AA43</f>
        <v>-69.208322495224479</v>
      </c>
      <c r="Z19" s="177">
        <f>Z$5*'Mobile NOx Tailpipe by AB'!AB43</f>
        <v>-64.497553677344314</v>
      </c>
      <c r="AA19" s="177">
        <f>AA$5*'Mobile NOx Tailpipe by AB'!AC43</f>
        <v>-58.817581131658251</v>
      </c>
    </row>
    <row r="20" spans="2:27">
      <c r="B20" t="s">
        <v>422</v>
      </c>
      <c r="C20" s="177">
        <f>C$5*'Mobile NOx Tailpipe by AB'!E46</f>
        <v>0</v>
      </c>
      <c r="D20" s="177">
        <f>D$5*'Mobile NOx Tailpipe by AB'!F46</f>
        <v>0</v>
      </c>
      <c r="E20" s="177">
        <f>E$5*'Mobile NOx Tailpipe by AB'!G46</f>
        <v>-159.09129618557344</v>
      </c>
      <c r="F20" s="177">
        <f>F$5*'Mobile NOx Tailpipe by AB'!H46</f>
        <v>-435.60937560989265</v>
      </c>
      <c r="G20" s="177">
        <f>G$5*'Mobile NOx Tailpipe by AB'!I46</f>
        <v>-493.49456438765367</v>
      </c>
      <c r="H20" s="177">
        <f>H$5*'Mobile NOx Tailpipe by AB'!J46</f>
        <v>-472.59403984096821</v>
      </c>
      <c r="I20" s="177">
        <f>I$5*'Mobile NOx Tailpipe by AB'!K46</f>
        <v>-433.87549412056626</v>
      </c>
      <c r="J20" s="177">
        <f>J$5*'Mobile NOx Tailpipe by AB'!L46</f>
        <v>-428.11600424038073</v>
      </c>
      <c r="K20" s="177">
        <f>K$5*'Mobile NOx Tailpipe by AB'!M46</f>
        <v>-416.35226985521427</v>
      </c>
      <c r="L20" s="177">
        <f>L$5*'Mobile NOx Tailpipe by AB'!N46</f>
        <v>-400.86509485149537</v>
      </c>
      <c r="M20" s="177">
        <f>M$5*'Mobile NOx Tailpipe by AB'!O46</f>
        <v>-382.33624032417174</v>
      </c>
      <c r="N20" s="177">
        <f>N$5*'Mobile NOx Tailpipe by AB'!P46</f>
        <v>-362.33268637510696</v>
      </c>
      <c r="O20" s="177">
        <f>O$5*'Mobile NOx Tailpipe by AB'!Q46</f>
        <v>-343.20550099508654</v>
      </c>
      <c r="P20" s="177">
        <f>P$5*'Mobile NOx Tailpipe by AB'!R46</f>
        <v>-322.7290012476974</v>
      </c>
      <c r="Q20" s="177">
        <f>Q$5*'Mobile NOx Tailpipe by AB'!S46</f>
        <v>-299.0863334034874</v>
      </c>
      <c r="R20" s="177">
        <f>R$5*'Mobile NOx Tailpipe by AB'!T46</f>
        <v>-274.78843580286093</v>
      </c>
      <c r="S20" s="177">
        <f>S$5*'Mobile NOx Tailpipe by AB'!U46</f>
        <v>-255.55329095646641</v>
      </c>
      <c r="T20" s="177">
        <f>T$5*'Mobile NOx Tailpipe by AB'!V46</f>
        <v>-251.43061192757474</v>
      </c>
      <c r="U20" s="177">
        <f>U$5*'Mobile NOx Tailpipe by AB'!W46</f>
        <v>-246.44508509667031</v>
      </c>
      <c r="V20" s="177">
        <f>V$5*'Mobile NOx Tailpipe by AB'!X46</f>
        <v>-233.23409571487178</v>
      </c>
      <c r="W20" s="177">
        <f>W$5*'Mobile NOx Tailpipe by AB'!Y46</f>
        <v>-214.11192589230012</v>
      </c>
      <c r="X20" s="177">
        <f>X$5*'Mobile NOx Tailpipe by AB'!Z46</f>
        <v>-201.58718800822297</v>
      </c>
      <c r="Y20" s="177">
        <f>Y$5*'Mobile NOx Tailpipe by AB'!AA46</f>
        <v>-187.54155031065008</v>
      </c>
      <c r="Z20" s="177">
        <f>Z$5*'Mobile NOx Tailpipe by AB'!AB46</f>
        <v>-177.87961685432487</v>
      </c>
      <c r="AA20" s="177">
        <f>AA$5*'Mobile NOx Tailpipe by AB'!AC46</f>
        <v>-165.11744938673226</v>
      </c>
    </row>
    <row r="21" spans="2:27">
      <c r="B21" t="s">
        <v>267</v>
      </c>
      <c r="C21" s="177">
        <f>C$5*'Mobile NOx Tailpipe by AB'!E49</f>
        <v>0</v>
      </c>
      <c r="D21" s="177">
        <f>D$5*'Mobile NOx Tailpipe by AB'!F49</f>
        <v>0</v>
      </c>
      <c r="E21" s="177">
        <f>E$5*'Mobile NOx Tailpipe by AB'!G49</f>
        <v>-23.508078589303558</v>
      </c>
      <c r="F21" s="177">
        <f>F$5*'Mobile NOx Tailpipe by AB'!H49</f>
        <v>-62.22991080141324</v>
      </c>
      <c r="G21" s="177">
        <f>G$5*'Mobile NOx Tailpipe by AB'!I49</f>
        <v>-68.068215777607406</v>
      </c>
      <c r="H21" s="177">
        <f>H$5*'Mobile NOx Tailpipe by AB'!J49</f>
        <v>-62.998204582986205</v>
      </c>
      <c r="I21" s="177">
        <f>I$5*'Mobile NOx Tailpipe by AB'!K49</f>
        <v>-55.65009713067569</v>
      </c>
      <c r="J21" s="177">
        <f>J$5*'Mobile NOx Tailpipe by AB'!L49</f>
        <v>-52.752728280509544</v>
      </c>
      <c r="K21" s="177">
        <f>K$5*'Mobile NOx Tailpipe by AB'!M49</f>
        <v>-49.434966077795892</v>
      </c>
      <c r="L21" s="177">
        <f>L$5*'Mobile NOx Tailpipe by AB'!N49</f>
        <v>-45.449952109574411</v>
      </c>
      <c r="M21" s="177">
        <f>M$5*'Mobile NOx Tailpipe by AB'!O49</f>
        <v>-41.533305625597016</v>
      </c>
      <c r="N21" s="177">
        <f>N$5*'Mobile NOx Tailpipe by AB'!P49</f>
        <v>-37.662922427620366</v>
      </c>
      <c r="O21" s="177">
        <f>O$5*'Mobile NOx Tailpipe by AB'!Q49</f>
        <v>-34.119003244897442</v>
      </c>
      <c r="P21" s="177">
        <f>P$5*'Mobile NOx Tailpipe by AB'!R49</f>
        <v>-30.653231557744796</v>
      </c>
      <c r="Q21" s="177">
        <f>Q$5*'Mobile NOx Tailpipe by AB'!S49</f>
        <v>-27.2231102974884</v>
      </c>
      <c r="R21" s="177">
        <f>R$5*'Mobile NOx Tailpipe by AB'!T49</f>
        <v>-23.865554083527694</v>
      </c>
      <c r="S21" s="177">
        <f>S$5*'Mobile NOx Tailpipe by AB'!U49</f>
        <v>-21.364583809865358</v>
      </c>
      <c r="T21" s="177">
        <f>T$5*'Mobile NOx Tailpipe by AB'!V49</f>
        <v>-20.134483265913357</v>
      </c>
      <c r="U21" s="177">
        <f>U$5*'Mobile NOx Tailpipe by AB'!W49</f>
        <v>-18.994779286107001</v>
      </c>
      <c r="V21" s="177">
        <f>V$5*'Mobile NOx Tailpipe by AB'!X49</f>
        <v>-17.293544170306301</v>
      </c>
      <c r="W21" s="177">
        <f>W$5*'Mobile NOx Tailpipe by AB'!Y49</f>
        <v>-15.269868448281731</v>
      </c>
      <c r="X21" s="177">
        <f>X$5*'Mobile NOx Tailpipe by AB'!Z49</f>
        <v>-13.82981871219204</v>
      </c>
      <c r="Y21" s="177">
        <f>Y$5*'Mobile NOx Tailpipe by AB'!AA49</f>
        <v>-12.425711345697925</v>
      </c>
      <c r="Z21" s="177">
        <f>Z$5*'Mobile NOx Tailpipe by AB'!AB49</f>
        <v>-11.385931780250001</v>
      </c>
      <c r="AA21" s="177">
        <f>AA$5*'Mobile NOx Tailpipe by AB'!AC49</f>
        <v>-10.201764607418241</v>
      </c>
    </row>
    <row r="22" spans="2:27">
      <c r="B22" t="s">
        <v>268</v>
      </c>
      <c r="C22" s="177">
        <f>C$5*'Mobile NOx Tailpipe by AB'!E52</f>
        <v>0</v>
      </c>
      <c r="D22" s="177">
        <f>D$5*'Mobile NOx Tailpipe by AB'!F52</f>
        <v>0</v>
      </c>
      <c r="E22" s="177">
        <f>E$5*'Mobile NOx Tailpipe by AB'!G52</f>
        <v>-200.26786696301599</v>
      </c>
      <c r="F22" s="177">
        <f>F$5*'Mobile NOx Tailpipe by AB'!H52</f>
        <v>-544.86645027426312</v>
      </c>
      <c r="G22" s="177">
        <f>G$5*'Mobile NOx Tailpipe by AB'!I52</f>
        <v>-612.84083605105866</v>
      </c>
      <c r="H22" s="177">
        <f>H$5*'Mobile NOx Tailpipe by AB'!J52</f>
        <v>-583.53968340690972</v>
      </c>
      <c r="I22" s="177">
        <f>I$5*'Mobile NOx Tailpipe by AB'!K52</f>
        <v>-531.89777047003713</v>
      </c>
      <c r="J22" s="177">
        <f>J$5*'Mobile NOx Tailpipe by AB'!L52</f>
        <v>-519.71911724733047</v>
      </c>
      <c r="K22" s="177">
        <f>K$5*'Mobile NOx Tailpipe by AB'!M52</f>
        <v>-500.75789712137697</v>
      </c>
      <c r="L22" s="177">
        <f>L$5*'Mobile NOx Tailpipe by AB'!N52</f>
        <v>-477.13742827675821</v>
      </c>
      <c r="M22" s="177">
        <f>M$5*'Mobile NOx Tailpipe by AB'!O52</f>
        <v>-449.97150482119139</v>
      </c>
      <c r="N22" s="177">
        <f>N$5*'Mobile NOx Tailpipe by AB'!P52</f>
        <v>-421.51727876136755</v>
      </c>
      <c r="O22" s="177">
        <f>O$5*'Mobile NOx Tailpipe by AB'!Q52</f>
        <v>-394.16806280392069</v>
      </c>
      <c r="P22" s="177">
        <f>P$5*'Mobile NOx Tailpipe by AB'!R52</f>
        <v>-366.2324958165492</v>
      </c>
      <c r="Q22" s="177">
        <f>Q$5*'Mobile NOx Tailpipe by AB'!S52</f>
        <v>-334.03492094756029</v>
      </c>
      <c r="R22" s="177">
        <f>R$5*'Mobile NOx Tailpipe by AB'!T52</f>
        <v>-302.78027727466213</v>
      </c>
      <c r="S22" s="177">
        <f>S$5*'Mobile NOx Tailpipe by AB'!U52</f>
        <v>-277.43144649253048</v>
      </c>
      <c r="T22" s="177">
        <f>T$5*'Mobile NOx Tailpipe by AB'!V52</f>
        <v>-269.66183558128733</v>
      </c>
      <c r="U22" s="177">
        <f>U$5*'Mobile NOx Tailpipe by AB'!W52</f>
        <v>-261.34868115192347</v>
      </c>
      <c r="V22" s="177">
        <f>V$5*'Mobile NOx Tailpipe by AB'!X52</f>
        <v>-244.76312516174266</v>
      </c>
      <c r="W22" s="177">
        <f>W$5*'Mobile NOx Tailpipe by AB'!Y52</f>
        <v>-222.62300010937517</v>
      </c>
      <c r="X22" s="177">
        <f>X$5*'Mobile NOx Tailpipe by AB'!Z52</f>
        <v>-207.91608809685323</v>
      </c>
      <c r="Y22" s="177">
        <f>Y$5*'Mobile NOx Tailpipe by AB'!AA52</f>
        <v>-191.80385827225578</v>
      </c>
      <c r="Z22" s="177">
        <f>Z$5*'Mobile NOx Tailpipe by AB'!AB52</f>
        <v>-180.53860691079041</v>
      </c>
      <c r="AA22" s="177">
        <f>AA$5*'Mobile NOx Tailpipe by AB'!AC52</f>
        <v>-166.37692649875922</v>
      </c>
    </row>
    <row r="23" spans="2:27">
      <c r="B23" t="s">
        <v>423</v>
      </c>
      <c r="C23" s="60">
        <f>SUM(C8:C22)</f>
        <v>0</v>
      </c>
      <c r="D23" s="60">
        <f>SUM(D8:D22)</f>
        <v>0</v>
      </c>
      <c r="E23" s="60">
        <f t="shared" ref="E23:AA23" si="0">SUM(E8:E22)</f>
        <v>-748.59005673390527</v>
      </c>
      <c r="F23" s="60">
        <f t="shared" si="0"/>
        <v>-2027.032925127467</v>
      </c>
      <c r="G23" s="60">
        <f t="shared" si="0"/>
        <v>-2269.1674199728386</v>
      </c>
      <c r="H23" s="60">
        <f t="shared" si="0"/>
        <v>-2150.3243823701196</v>
      </c>
      <c r="I23" s="60">
        <f t="shared" si="0"/>
        <v>-1952.4397235425481</v>
      </c>
      <c r="J23" s="60">
        <f t="shared" si="0"/>
        <v>-1904.2401807827255</v>
      </c>
      <c r="K23" s="60">
        <f t="shared" si="0"/>
        <v>-1831.2908544819059</v>
      </c>
      <c r="L23" s="60">
        <f t="shared" si="0"/>
        <v>-1741.5516132101675</v>
      </c>
      <c r="M23" s="60">
        <f t="shared" si="0"/>
        <v>-1641.4684701594647</v>
      </c>
      <c r="N23" s="60">
        <f t="shared" si="0"/>
        <v>-1537.4158661168624</v>
      </c>
      <c r="O23" s="60">
        <f t="shared" si="0"/>
        <v>-1439.4764280410529</v>
      </c>
      <c r="P23" s="60">
        <f t="shared" si="0"/>
        <v>-1338.4352067506122</v>
      </c>
      <c r="Q23" s="60">
        <f t="shared" si="0"/>
        <v>-1226.3888562395559</v>
      </c>
      <c r="R23" s="60">
        <f t="shared" si="0"/>
        <v>-1114.9897650799528</v>
      </c>
      <c r="S23" s="60">
        <f t="shared" si="0"/>
        <v>-1026.9380237068935</v>
      </c>
      <c r="T23" s="60">
        <f t="shared" si="0"/>
        <v>-1001.9159284858974</v>
      </c>
      <c r="U23" s="60">
        <f t="shared" si="0"/>
        <v>-973.89642719229641</v>
      </c>
      <c r="V23" s="60">
        <f t="shared" si="0"/>
        <v>-914.9108368195383</v>
      </c>
      <c r="W23" s="60">
        <f t="shared" si="0"/>
        <v>-834.41904088971216</v>
      </c>
      <c r="X23" s="60">
        <f t="shared" si="0"/>
        <v>-781.18942081636169</v>
      </c>
      <c r="Y23" s="60">
        <f t="shared" si="0"/>
        <v>-722.56956325389899</v>
      </c>
      <c r="Z23" s="60">
        <f t="shared" si="0"/>
        <v>-681.79232217065874</v>
      </c>
      <c r="AA23" s="60">
        <f t="shared" si="0"/>
        <v>-629.67558215787028</v>
      </c>
    </row>
    <row r="24" spans="2:27"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</sheetData>
  <pageMargins left="0.2" right="0.2" top="0.25" bottom="0.25" header="0.3" footer="0.3"/>
  <pageSetup paperSize="3" scale="69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>
    <tabColor rgb="FF00B0F0"/>
  </sheetPr>
  <dimension ref="B3:AB25"/>
  <sheetViews>
    <sheetView zoomScaleNormal="100" workbookViewId="0">
      <selection activeCell="B6" sqref="B6"/>
    </sheetView>
  </sheetViews>
  <sheetFormatPr defaultRowHeight="15"/>
  <cols>
    <col min="2" max="2" width="66.42578125" customWidth="1"/>
    <col min="3" max="4" width="23" bestFit="1" customWidth="1"/>
    <col min="5" max="6" width="23.7109375" bestFit="1" customWidth="1"/>
    <col min="7" max="7" width="12.5703125" customWidth="1"/>
    <col min="8" max="27" width="23.7109375" bestFit="1" customWidth="1"/>
  </cols>
  <sheetData>
    <row r="3" spans="2:28">
      <c r="B3" s="2" t="s">
        <v>424</v>
      </c>
    </row>
    <row r="5" spans="2:28">
      <c r="B5" s="2" t="s">
        <v>425</v>
      </c>
      <c r="C5" s="2">
        <v>2022</v>
      </c>
      <c r="D5" s="2">
        <v>2023</v>
      </c>
      <c r="E5" s="2">
        <v>2024</v>
      </c>
      <c r="F5" s="2">
        <v>2025</v>
      </c>
      <c r="G5" s="2">
        <v>2026</v>
      </c>
      <c r="H5" s="2">
        <v>2027</v>
      </c>
      <c r="I5" s="2">
        <v>2028</v>
      </c>
      <c r="J5" s="2">
        <v>2029</v>
      </c>
      <c r="K5" s="2">
        <v>2030</v>
      </c>
      <c r="L5" s="2">
        <v>2031</v>
      </c>
      <c r="M5" s="2">
        <v>2032</v>
      </c>
      <c r="N5" s="2">
        <v>2033</v>
      </c>
      <c r="O5" s="2">
        <v>2034</v>
      </c>
      <c r="P5" s="2">
        <v>2035</v>
      </c>
      <c r="Q5" s="2">
        <v>2036</v>
      </c>
      <c r="R5" s="2">
        <v>2037</v>
      </c>
      <c r="S5" s="2">
        <v>2038</v>
      </c>
      <c r="T5" s="2">
        <v>2039</v>
      </c>
      <c r="U5" s="2">
        <v>2040</v>
      </c>
      <c r="V5" s="2">
        <v>2041</v>
      </c>
      <c r="W5" s="2">
        <v>2042</v>
      </c>
      <c r="X5" s="2">
        <v>2043</v>
      </c>
      <c r="Y5" s="2">
        <v>2044</v>
      </c>
      <c r="Z5" s="2">
        <v>2045</v>
      </c>
      <c r="AA5" s="2">
        <v>2046</v>
      </c>
    </row>
    <row r="6" spans="2:28">
      <c r="B6" s="433" t="s">
        <v>426</v>
      </c>
      <c r="C6" s="422">
        <v>0</v>
      </c>
      <c r="D6" s="422">
        <v>0</v>
      </c>
      <c r="E6" s="434">
        <v>-101.12130273832463</v>
      </c>
      <c r="F6" s="434">
        <v>-277.63921185985964</v>
      </c>
      <c r="G6" s="434">
        <v>-314.5404866089475</v>
      </c>
      <c r="H6" s="434">
        <v>-321.48526123718239</v>
      </c>
      <c r="I6" s="434">
        <v>-295.12372736157204</v>
      </c>
      <c r="J6" s="434">
        <v>-290.68520950193624</v>
      </c>
      <c r="K6" s="434">
        <v>-283.00725422858204</v>
      </c>
      <c r="L6" s="434">
        <v>-272.42906494346903</v>
      </c>
      <c r="M6" s="434">
        <v>-260.5698468946357</v>
      </c>
      <c r="N6" s="434">
        <v>-247.90791783212967</v>
      </c>
      <c r="O6" s="434">
        <v>-236.04915550213195</v>
      </c>
      <c r="P6" s="434">
        <v>-223.95548218489694</v>
      </c>
      <c r="Q6" s="434">
        <v>-209.95362391501612</v>
      </c>
      <c r="R6" s="434">
        <v>-197.60926784074513</v>
      </c>
      <c r="S6" s="434">
        <v>-186.88400842216015</v>
      </c>
      <c r="T6" s="434">
        <v>-188.39452167521995</v>
      </c>
      <c r="U6" s="434">
        <v>-188.54004698824224</v>
      </c>
      <c r="V6" s="434">
        <v>-181.91890152360952</v>
      </c>
      <c r="W6" s="434">
        <v>-170.56986861996984</v>
      </c>
      <c r="X6" s="434">
        <v>-164.87169137760577</v>
      </c>
      <c r="Y6" s="434">
        <v>-158.18879911406975</v>
      </c>
      <c r="Z6" s="434">
        <v>-152.99314922086296</v>
      </c>
      <c r="AA6" s="434">
        <v>-145.24564716774944</v>
      </c>
    </row>
    <row r="8" spans="2:28">
      <c r="B8" s="176" t="s">
        <v>427</v>
      </c>
      <c r="C8" s="2">
        <v>2022</v>
      </c>
      <c r="D8" s="2">
        <v>2023</v>
      </c>
      <c r="E8" s="2">
        <v>2024</v>
      </c>
      <c r="F8" s="2">
        <v>2025</v>
      </c>
      <c r="G8" s="2">
        <v>2026</v>
      </c>
      <c r="H8" s="2">
        <v>2027</v>
      </c>
      <c r="I8" s="2">
        <v>2028</v>
      </c>
      <c r="J8" s="2">
        <v>2029</v>
      </c>
      <c r="K8" s="2">
        <v>2030</v>
      </c>
      <c r="L8" s="2">
        <v>2031</v>
      </c>
      <c r="M8" s="2">
        <v>2032</v>
      </c>
      <c r="N8" s="2">
        <v>2033</v>
      </c>
      <c r="O8" s="2">
        <v>2034</v>
      </c>
      <c r="P8" s="2">
        <v>2035</v>
      </c>
      <c r="Q8" s="2">
        <v>2036</v>
      </c>
      <c r="R8" s="2">
        <v>2037</v>
      </c>
      <c r="S8" s="2">
        <v>2038</v>
      </c>
      <c r="T8" s="2">
        <v>2039</v>
      </c>
      <c r="U8" s="2">
        <v>2040</v>
      </c>
      <c r="V8" s="2">
        <v>2041</v>
      </c>
      <c r="W8" s="2">
        <v>2042</v>
      </c>
      <c r="X8" s="2">
        <v>2043</v>
      </c>
      <c r="Y8" s="2">
        <v>2044</v>
      </c>
      <c r="Z8" s="2">
        <v>2045</v>
      </c>
      <c r="AA8" s="2">
        <v>2046</v>
      </c>
    </row>
    <row r="9" spans="2:28">
      <c r="B9" t="s">
        <v>415</v>
      </c>
      <c r="C9" s="29">
        <f>C$6*'Mobile PM Tailpipe by AB'!B9</f>
        <v>0</v>
      </c>
      <c r="D9" s="29">
        <f>D$6*'Mobile PM Tailpipe by AB'!C9</f>
        <v>0</v>
      </c>
      <c r="E9" s="29">
        <f>E$6*'Mobile PM Tailpipe by AB'!D9</f>
        <v>-0.24925841257615969</v>
      </c>
      <c r="F9" s="29">
        <f>F$6*'Mobile PM Tailpipe by AB'!E9</f>
        <v>-0.66077205518573212</v>
      </c>
      <c r="G9" s="29">
        <f>G$6*'Mobile PM Tailpipe by AB'!F9</f>
        <v>-0.74608672790787267</v>
      </c>
      <c r="H9" s="29">
        <f>H$6*'Mobile PM Tailpipe by AB'!G9</f>
        <v>-0.74599717212336503</v>
      </c>
      <c r="I9" s="29">
        <f>I$6*'Mobile PM Tailpipe by AB'!H9</f>
        <v>-0.67943563799725126</v>
      </c>
      <c r="J9" s="29">
        <f>J$6*'Mobile PM Tailpipe by AB'!I9</f>
        <v>-0.66261822056092601</v>
      </c>
      <c r="K9" s="29">
        <f>K$6*'Mobile PM Tailpipe by AB'!J9</f>
        <v>-0.64053147937411414</v>
      </c>
      <c r="L9" s="29">
        <f>L$6*'Mobile PM Tailpipe by AB'!K9</f>
        <v>-0.60723685669709582</v>
      </c>
      <c r="M9" s="29">
        <f>M$6*'Mobile PM Tailpipe by AB'!L9</f>
        <v>-0.57615142202748326</v>
      </c>
      <c r="N9" s="29">
        <f>N$6*'Mobile PM Tailpipe by AB'!M9</f>
        <v>-0.54408550557922275</v>
      </c>
      <c r="O9" s="29">
        <f>O$6*'Mobile PM Tailpipe by AB'!N9</f>
        <v>-0.51550337035290761</v>
      </c>
      <c r="P9" s="29">
        <f>P$6*'Mobile PM Tailpipe by AB'!O9</f>
        <v>-0.48099278481731161</v>
      </c>
      <c r="Q9" s="29">
        <f>Q$6*'Mobile PM Tailpipe by AB'!P9</f>
        <v>-0.45186439825339469</v>
      </c>
      <c r="R9" s="29">
        <f>R$6*'Mobile PM Tailpipe by AB'!Q9</f>
        <v>-0.42489408444760857</v>
      </c>
      <c r="S9" s="29">
        <f>S$6*'Mobile PM Tailpipe by AB'!R9</f>
        <v>-0.40064315477940787</v>
      </c>
      <c r="T9" s="29">
        <f>T$6*'Mobile PM Tailpipe by AB'!S9</f>
        <v>-0.40227047300829794</v>
      </c>
      <c r="U9" s="29">
        <f>U$6*'Mobile PM Tailpipe by AB'!T9</f>
        <v>-0.4012327848678624</v>
      </c>
      <c r="V9" s="29">
        <f>V$6*'Mobile PM Tailpipe by AB'!U9</f>
        <v>-0.38587902369540394</v>
      </c>
      <c r="W9" s="29">
        <f>W$6*'Mobile PM Tailpipe by AB'!V9</f>
        <v>-0.36034257670461795</v>
      </c>
      <c r="X9" s="29">
        <f>X$6*'Mobile PM Tailpipe by AB'!W9</f>
        <v>-0.34856080013154306</v>
      </c>
      <c r="Y9" s="29">
        <f>Y$6*'Mobile PM Tailpipe by AB'!X9</f>
        <v>-0.33444575296121015</v>
      </c>
      <c r="Z9" s="29">
        <f>Z$6*'Mobile PM Tailpipe by AB'!Y9</f>
        <v>-0.32122853408397145</v>
      </c>
      <c r="AA9" s="29">
        <f>AA$6*'Mobile PM Tailpipe by AB'!Z9</f>
        <v>-0.30279901764263834</v>
      </c>
      <c r="AB9" s="177"/>
    </row>
    <row r="10" spans="2:28">
      <c r="B10" t="s">
        <v>416</v>
      </c>
      <c r="C10" s="29">
        <f>C$6*'Mobile PM Tailpipe by AB'!B14</f>
        <v>0</v>
      </c>
      <c r="D10" s="29">
        <f>D$6*'Mobile PM Tailpipe by AB'!C14</f>
        <v>0</v>
      </c>
      <c r="E10" s="29">
        <f>E$6*'Mobile PM Tailpipe by AB'!D14</f>
        <v>-0.25938304497984799</v>
      </c>
      <c r="F10" s="29">
        <f>F$6*'Mobile PM Tailpipe by AB'!E14</f>
        <v>-0.6776073004332579</v>
      </c>
      <c r="G10" s="29">
        <f>G$6*'Mobile PM Tailpipe by AB'!F14</f>
        <v>-0.74185877320078641</v>
      </c>
      <c r="H10" s="29">
        <f>H$6*'Mobile PM Tailpipe by AB'!G14</f>
        <v>-0.73227150301836497</v>
      </c>
      <c r="I10" s="29">
        <f>I$6*'Mobile PM Tailpipe by AB'!H14</f>
        <v>-0.64583483784335072</v>
      </c>
      <c r="J10" s="29">
        <f>J$6*'Mobile PM Tailpipe by AB'!I14</f>
        <v>-0.61029262000709616</v>
      </c>
      <c r="K10" s="29">
        <f>K$6*'Mobile PM Tailpipe by AB'!J14</f>
        <v>-0.56917025014046707</v>
      </c>
      <c r="L10" s="29">
        <f>L$6*'Mobile PM Tailpipe by AB'!K14</f>
        <v>-0.52578435459443462</v>
      </c>
      <c r="M10" s="29">
        <f>M$6*'Mobile PM Tailpipe by AB'!L14</f>
        <v>-0.4830585094180182</v>
      </c>
      <c r="N10" s="29">
        <f>N$6*'Mobile PM Tailpipe by AB'!M14</f>
        <v>-0.44179548376153738</v>
      </c>
      <c r="O10" s="29">
        <f>O$6*'Mobile PM Tailpipe by AB'!N14</f>
        <v>-0.40518602667143072</v>
      </c>
      <c r="P10" s="29">
        <f>P$6*'Mobile PM Tailpipe by AB'!O14</f>
        <v>-0.36786561887020564</v>
      </c>
      <c r="Q10" s="29">
        <f>Q$6*'Mobile PM Tailpipe by AB'!P14</f>
        <v>-0.33405552722737047</v>
      </c>
      <c r="R10" s="29">
        <f>R$6*'Mobile PM Tailpipe by AB'!Q14</f>
        <v>-0.30238725524243021</v>
      </c>
      <c r="S10" s="29">
        <f>S$6*'Mobile PM Tailpipe by AB'!R14</f>
        <v>-0.27423013297945925</v>
      </c>
      <c r="T10" s="29">
        <f>T$6*'Mobile PM Tailpipe by AB'!S14</f>
        <v>-0.26533476942920164</v>
      </c>
      <c r="U10" s="29">
        <f>U$6*'Mobile PM Tailpipe by AB'!T14</f>
        <v>-0.25456995338511473</v>
      </c>
      <c r="V10" s="29">
        <f>V$6*'Mobile PM Tailpipe by AB'!U14</f>
        <v>-0.23580155337846703</v>
      </c>
      <c r="W10" s="29">
        <f>W$6*'Mobile PM Tailpipe by AB'!V14</f>
        <v>-0.21218791622194325</v>
      </c>
      <c r="X10" s="29">
        <f>X$6*'Mobile PM Tailpipe by AB'!W14</f>
        <v>-0.19760826106539148</v>
      </c>
      <c r="Y10" s="29">
        <f>Y$6*'Mobile PM Tailpipe by AB'!X14</f>
        <v>-0.18244935782252156</v>
      </c>
      <c r="Z10" s="29">
        <f>Z$6*'Mobile PM Tailpipe by AB'!Y14</f>
        <v>-0.16865231137674644</v>
      </c>
      <c r="AA10" s="29">
        <f>AA$6*'Mobile PM Tailpipe by AB'!Z14</f>
        <v>-0.1530855941944608</v>
      </c>
      <c r="AB10" s="177"/>
    </row>
    <row r="11" spans="2:28">
      <c r="B11" t="s">
        <v>417</v>
      </c>
      <c r="C11" s="29">
        <f>C$6*'Mobile PM Tailpipe by AB'!B19</f>
        <v>0</v>
      </c>
      <c r="D11" s="29">
        <f>D$6*'Mobile PM Tailpipe by AB'!C19</f>
        <v>0</v>
      </c>
      <c r="E11" s="29">
        <f>E$6*'Mobile PM Tailpipe by AB'!D19</f>
        <v>-0.18000172238354381</v>
      </c>
      <c r="F11" s="29">
        <f>F$6*'Mobile PM Tailpipe by AB'!E19</f>
        <v>-0.48551578808751156</v>
      </c>
      <c r="G11" s="29">
        <f>G$6*'Mobile PM Tailpipe by AB'!F19</f>
        <v>-0.53548848813979122</v>
      </c>
      <c r="H11" s="29">
        <f>H$6*'Mobile PM Tailpipe by AB'!G19</f>
        <v>-0.53383521817721358</v>
      </c>
      <c r="I11" s="29">
        <f>I$6*'Mobile PM Tailpipe by AB'!H19</f>
        <v>-0.47620352161626422</v>
      </c>
      <c r="J11" s="29">
        <f>J$6*'Mobile PM Tailpipe by AB'!I19</f>
        <v>-0.45604459191834107</v>
      </c>
      <c r="K11" s="29">
        <f>K$6*'Mobile PM Tailpipe by AB'!J19</f>
        <v>-0.43203711246543886</v>
      </c>
      <c r="L11" s="29">
        <f>L$6*'Mobile PM Tailpipe by AB'!K19</f>
        <v>-0.40511713227191026</v>
      </c>
      <c r="M11" s="29">
        <f>M$6*'Mobile PM Tailpipe by AB'!L19</f>
        <v>-0.37729308920572463</v>
      </c>
      <c r="N11" s="29">
        <f>N$6*'Mobile PM Tailpipe by AB'!M19</f>
        <v>-0.34938016739975625</v>
      </c>
      <c r="O11" s="29">
        <f>O$6*'Mobile PM Tailpipe by AB'!N19</f>
        <v>-0.32498352100466443</v>
      </c>
      <c r="P11" s="29">
        <f>P$6*'Mobile PM Tailpipe by AB'!O19</f>
        <v>-0.29952542214221761</v>
      </c>
      <c r="Q11" s="29">
        <f>Q$6*'Mobile PM Tailpipe by AB'!P19</f>
        <v>-0.27604995601755444</v>
      </c>
      <c r="R11" s="29">
        <f>R$6*'Mobile PM Tailpipe by AB'!Q19</f>
        <v>-0.25406201752307367</v>
      </c>
      <c r="S11" s="29">
        <f>S$6*'Mobile PM Tailpipe by AB'!R19</f>
        <v>-0.2344760779534856</v>
      </c>
      <c r="T11" s="29">
        <f>T$6*'Mobile PM Tailpipe by AB'!S19</f>
        <v>-0.23087156938702241</v>
      </c>
      <c r="U11" s="29">
        <f>U$6*'Mobile PM Tailpipe by AB'!T19</f>
        <v>-0.22533153395887337</v>
      </c>
      <c r="V11" s="29">
        <f>V$6*'Mobile PM Tailpipe by AB'!U19</f>
        <v>-0.21216364893587855</v>
      </c>
      <c r="W11" s="29">
        <f>W$6*'Mobile PM Tailpipe by AB'!V19</f>
        <v>-0.19437710035899386</v>
      </c>
      <c r="X11" s="29">
        <f>X$6*'Mobile PM Tailpipe by AB'!W19</f>
        <v>-0.18405180925230682</v>
      </c>
      <c r="Y11" s="29">
        <f>Y$6*'Mobile PM Tailpipe by AB'!X19</f>
        <v>-0.17283739382679331</v>
      </c>
      <c r="Z11" s="29">
        <f>Z$6*'Mobile PM Tailpipe by AB'!Y19</f>
        <v>-0.16256887573529524</v>
      </c>
      <c r="AA11" s="29">
        <f>AA$6*'Mobile PM Tailpipe by AB'!Z19</f>
        <v>-0.15024213910005391</v>
      </c>
      <c r="AB11" s="177"/>
    </row>
    <row r="12" spans="2:28">
      <c r="B12" t="s">
        <v>418</v>
      </c>
      <c r="C12" s="29">
        <f>C$6*'Mobile PM Tailpipe by AB'!B24</f>
        <v>0</v>
      </c>
      <c r="D12" s="29">
        <f>D$6*'Mobile PM Tailpipe by AB'!C24</f>
        <v>0</v>
      </c>
      <c r="E12" s="29">
        <f>E$6*'Mobile PM Tailpipe by AB'!D24</f>
        <v>-8.6169901427312769</v>
      </c>
      <c r="F12" s="29">
        <f>F$6*'Mobile PM Tailpipe by AB'!E24</f>
        <v>-24.25515795156042</v>
      </c>
      <c r="G12" s="29">
        <f>G$6*'Mobile PM Tailpipe by AB'!F24</f>
        <v>-28.21848655969281</v>
      </c>
      <c r="H12" s="29">
        <f>H$6*'Mobile PM Tailpipe by AB'!G24</f>
        <v>-29.752554206494459</v>
      </c>
      <c r="I12" s="29">
        <f>I$6*'Mobile PM Tailpipe by AB'!H24</f>
        <v>-27.999739004175549</v>
      </c>
      <c r="J12" s="29">
        <f>J$6*'Mobile PM Tailpipe by AB'!I24</f>
        <v>-28.348845860570552</v>
      </c>
      <c r="K12" s="29">
        <f>K$6*'Mobile PM Tailpipe by AB'!J24</f>
        <v>-28.29855192806162</v>
      </c>
      <c r="L12" s="29">
        <f>L$6*'Mobile PM Tailpipe by AB'!K24</f>
        <v>-27.596601835159102</v>
      </c>
      <c r="M12" s="29">
        <f>M$6*'Mobile PM Tailpipe by AB'!L24</f>
        <v>-26.653238963120355</v>
      </c>
      <c r="N12" s="29">
        <f>N$6*'Mobile PM Tailpipe by AB'!M24</f>
        <v>-25.594685928423552</v>
      </c>
      <c r="O12" s="29">
        <f>O$6*'Mobile PM Tailpipe by AB'!N24</f>
        <v>-24.460180642555805</v>
      </c>
      <c r="P12" s="29">
        <f>P$6*'Mobile PM Tailpipe by AB'!O24</f>
        <v>-23.524955163062454</v>
      </c>
      <c r="Q12" s="29">
        <f>Q$6*'Mobile PM Tailpipe by AB'!P24</f>
        <v>-21.646811140378787</v>
      </c>
      <c r="R12" s="29">
        <f>R$6*'Mobile PM Tailpipe by AB'!Q24</f>
        <v>-20.243726005574402</v>
      </c>
      <c r="S12" s="29">
        <f>S$6*'Mobile PM Tailpipe by AB'!R24</f>
        <v>-19.054388292953</v>
      </c>
      <c r="T12" s="29">
        <f>T$6*'Mobile PM Tailpipe by AB'!S24</f>
        <v>-19.073468455532399</v>
      </c>
      <c r="U12" s="29">
        <f>U$6*'Mobile PM Tailpipe by AB'!T24</f>
        <v>-18.992788977671601</v>
      </c>
      <c r="V12" s="29">
        <f>V$6*'Mobile PM Tailpipe by AB'!U24</f>
        <v>-18.17242184242102</v>
      </c>
      <c r="W12" s="29">
        <f>W$6*'Mobile PM Tailpipe by AB'!V24</f>
        <v>-16.869013494037997</v>
      </c>
      <c r="X12" s="29">
        <f>X$6*'Mobile PM Tailpipe by AB'!W24</f>
        <v>-16.069538484279796</v>
      </c>
      <c r="Y12" s="29">
        <f>Y$6*'Mobile PM Tailpipe by AB'!X24</f>
        <v>-15.204361486708082</v>
      </c>
      <c r="Z12" s="29">
        <f>Z$6*'Mobile PM Tailpipe by AB'!Y24</f>
        <v>-14.772557593174952</v>
      </c>
      <c r="AA12" s="29">
        <f>AA$6*'Mobile PM Tailpipe by AB'!Z24</f>
        <v>-14.100323250589222</v>
      </c>
      <c r="AB12" s="177"/>
    </row>
    <row r="13" spans="2:28">
      <c r="B13" t="s">
        <v>419</v>
      </c>
      <c r="C13" s="29">
        <f>C$6*'Mobile PM Tailpipe by AB'!B29</f>
        <v>0</v>
      </c>
      <c r="D13" s="29">
        <f>D$6*'Mobile PM Tailpipe by AB'!C29</f>
        <v>0</v>
      </c>
      <c r="E13" s="29">
        <f>E$6*'Mobile PM Tailpipe by AB'!D29</f>
        <v>-2.400133809906023</v>
      </c>
      <c r="F13" s="29">
        <f>F$6*'Mobile PM Tailpipe by AB'!E29</f>
        <v>-6.5598384037714474</v>
      </c>
      <c r="G13" s="29">
        <f>G$6*'Mobile PM Tailpipe by AB'!F29</f>
        <v>-7.3311569972403747</v>
      </c>
      <c r="H13" s="29">
        <f>H$6*'Mobile PM Tailpipe by AB'!G29</f>
        <v>-7.4255390030097388</v>
      </c>
      <c r="I13" s="29">
        <f>I$6*'Mobile PM Tailpipe by AB'!H29</f>
        <v>-6.737394628003571</v>
      </c>
      <c r="J13" s="29">
        <f>J$6*'Mobile PM Tailpipe by AB'!I29</f>
        <v>-6.5707577961813257</v>
      </c>
      <c r="K13" s="29">
        <f>K$6*'Mobile PM Tailpipe by AB'!J29</f>
        <v>-6.3278361660119868</v>
      </c>
      <c r="L13" s="29">
        <f>L$6*'Mobile PM Tailpipe by AB'!K29</f>
        <v>-6.0062042306645678</v>
      </c>
      <c r="M13" s="29">
        <f>M$6*'Mobile PM Tailpipe by AB'!L29</f>
        <v>-5.6087463637901251</v>
      </c>
      <c r="N13" s="29">
        <f>N$6*'Mobile PM Tailpipe by AB'!M29</f>
        <v>-5.2419162686442808</v>
      </c>
      <c r="O13" s="29">
        <f>O$6*'Mobile PM Tailpipe by AB'!N29</f>
        <v>-4.8746211799199992</v>
      </c>
      <c r="P13" s="29">
        <f>P$6*'Mobile PM Tailpipe by AB'!O29</f>
        <v>-4.5853198332995966</v>
      </c>
      <c r="Q13" s="29">
        <f>Q$6*'Mobile PM Tailpipe by AB'!P29</f>
        <v>-4.1941633568349044</v>
      </c>
      <c r="R13" s="29">
        <f>R$6*'Mobile PM Tailpipe by AB'!Q29</f>
        <v>-3.855076314837667</v>
      </c>
      <c r="S13" s="29">
        <f>S$6*'Mobile PM Tailpipe by AB'!R29</f>
        <v>-3.6114110313633705</v>
      </c>
      <c r="T13" s="29">
        <f>T$6*'Mobile PM Tailpipe by AB'!S29</f>
        <v>-3.5584199306737623</v>
      </c>
      <c r="U13" s="29">
        <f>U$6*'Mobile PM Tailpipe by AB'!T29</f>
        <v>-3.4592858632530912</v>
      </c>
      <c r="V13" s="29">
        <f>V$6*'Mobile PM Tailpipe by AB'!U29</f>
        <v>-3.2922003236883333</v>
      </c>
      <c r="W13" s="29">
        <f>W$6*'Mobile PM Tailpipe by AB'!V29</f>
        <v>-3.012411181305362</v>
      </c>
      <c r="X13" s="29">
        <f>X$6*'Mobile PM Tailpipe by AB'!W29</f>
        <v>-2.8494761561554318</v>
      </c>
      <c r="Y13" s="29">
        <f>Y$6*'Mobile PM Tailpipe by AB'!X29</f>
        <v>-2.6910912781348335</v>
      </c>
      <c r="Z13" s="29">
        <f>Z$6*'Mobile PM Tailpipe by AB'!Y29</f>
        <v>-2.5813384753770183</v>
      </c>
      <c r="AA13" s="29">
        <f>AA$6*'Mobile PM Tailpipe by AB'!Z29</f>
        <v>-2.4179709377240717</v>
      </c>
      <c r="AB13" s="177"/>
    </row>
    <row r="14" spans="2:28">
      <c r="B14" t="s">
        <v>420</v>
      </c>
      <c r="C14" s="29">
        <f>C$6*'Mobile PM Tailpipe by AB'!B34</f>
        <v>0</v>
      </c>
      <c r="D14" s="29">
        <f>D$6*'Mobile PM Tailpipe by AB'!C34</f>
        <v>0</v>
      </c>
      <c r="E14" s="29">
        <f>E$6*'Mobile PM Tailpipe by AB'!D34</f>
        <v>-1.8424641597833373</v>
      </c>
      <c r="F14" s="29">
        <f>F$6*'Mobile PM Tailpipe by AB'!E34</f>
        <v>-5.0244860690893942</v>
      </c>
      <c r="G14" s="29">
        <f>G$6*'Mobile PM Tailpipe by AB'!F34</f>
        <v>-5.59128825947555</v>
      </c>
      <c r="H14" s="29">
        <f>H$6*'Mobile PM Tailpipe by AB'!G34</f>
        <v>-5.632237409150437</v>
      </c>
      <c r="I14" s="29">
        <f>I$6*'Mobile PM Tailpipe by AB'!H34</f>
        <v>-5.0699802301011463</v>
      </c>
      <c r="J14" s="29">
        <f>J$6*'Mobile PM Tailpipe by AB'!I34</f>
        <v>-4.8937623568958672</v>
      </c>
      <c r="K14" s="29">
        <f>K$6*'Mobile PM Tailpipe by AB'!J34</f>
        <v>-4.6709423584129324</v>
      </c>
      <c r="L14" s="29">
        <f>L$6*'Mobile PM Tailpipe by AB'!K34</f>
        <v>-4.4167626910726181</v>
      </c>
      <c r="M14" s="29">
        <f>M$6*'Mobile PM Tailpipe by AB'!L34</f>
        <v>-4.1523865342399322</v>
      </c>
      <c r="N14" s="29">
        <f>N$6*'Mobile PM Tailpipe by AB'!M34</f>
        <v>-3.8855949180598146</v>
      </c>
      <c r="O14" s="29">
        <f>O$6*'Mobile PM Tailpipe by AB'!N34</f>
        <v>-3.6507627053620504</v>
      </c>
      <c r="P14" s="29">
        <f>P$6*'Mobile PM Tailpipe by AB'!O34</f>
        <v>-3.4000812725842446</v>
      </c>
      <c r="Q14" s="29">
        <f>Q$6*'Mobile PM Tailpipe by AB'!P34</f>
        <v>-3.1706210083609179</v>
      </c>
      <c r="R14" s="29">
        <f>R$6*'Mobile PM Tailpipe by AB'!Q34</f>
        <v>-2.9503493804204299</v>
      </c>
      <c r="S14" s="29">
        <f>S$6*'Mobile PM Tailpipe by AB'!R34</f>
        <v>-2.7504757334761707</v>
      </c>
      <c r="T14" s="29">
        <f>T$6*'Mobile PM Tailpipe by AB'!S34</f>
        <v>-2.7347007353328405</v>
      </c>
      <c r="U14" s="29">
        <f>U$6*'Mobile PM Tailpipe by AB'!T34</f>
        <v>-2.6984882704845123</v>
      </c>
      <c r="V14" s="29">
        <f>V$6*'Mobile PM Tailpipe by AB'!U34</f>
        <v>-2.5698269722328813</v>
      </c>
      <c r="W14" s="29">
        <f>W$6*'Mobile PM Tailpipe by AB'!V34</f>
        <v>-2.3808613970703316</v>
      </c>
      <c r="X14" s="29">
        <f>X$6*'Mobile PM Tailpipe by AB'!W34</f>
        <v>-2.2805444634367031</v>
      </c>
      <c r="Y14" s="29">
        <f>Y$6*'Mobile PM Tailpipe by AB'!X34</f>
        <v>-2.167786709943488</v>
      </c>
      <c r="Z14" s="29">
        <f>Z$6*'Mobile PM Tailpipe by AB'!Y34</f>
        <v>-2.062096577097019</v>
      </c>
      <c r="AA14" s="29">
        <f>AA$6*'Mobile PM Tailpipe by AB'!Z34</f>
        <v>-1.9263176013647025</v>
      </c>
      <c r="AB14" s="177"/>
    </row>
    <row r="15" spans="2:28">
      <c r="B15" t="s">
        <v>258</v>
      </c>
      <c r="C15" s="29">
        <f>C$6*'Mobile PM Tailpipe by AB'!B39</f>
        <v>0</v>
      </c>
      <c r="D15" s="29">
        <f>D$6*'Mobile PM Tailpipe by AB'!C39</f>
        <v>0</v>
      </c>
      <c r="E15" s="29">
        <f>E$6*'Mobile PM Tailpipe by AB'!D39</f>
        <v>-2.3687741514537377</v>
      </c>
      <c r="F15" s="29">
        <f>F$6*'Mobile PM Tailpipe by AB'!E39</f>
        <v>-6.4447747104224558</v>
      </c>
      <c r="G15" s="29">
        <f>G$6*'Mobile PM Tailpipe by AB'!F39</f>
        <v>-7.1170195986072633</v>
      </c>
      <c r="H15" s="29">
        <f>H$6*'Mobile PM Tailpipe by AB'!G39</f>
        <v>-7.1253852412851675</v>
      </c>
      <c r="I15" s="29">
        <f>I$6*'Mobile PM Tailpipe by AB'!H39</f>
        <v>-6.3607197365682033</v>
      </c>
      <c r="J15" s="29">
        <f>J$6*'Mobile PM Tailpipe by AB'!I39</f>
        <v>-6.0895780687486534</v>
      </c>
      <c r="K15" s="29">
        <f>K$6*'Mobile PM Tailpipe by AB'!J39</f>
        <v>-5.746189458681819</v>
      </c>
      <c r="L15" s="29">
        <f>L$6*'Mobile PM Tailpipe by AB'!K39</f>
        <v>-5.3748768864325145</v>
      </c>
      <c r="M15" s="29">
        <f>M$6*'Mobile PM Tailpipe by AB'!L39</f>
        <v>-4.9747253677243224</v>
      </c>
      <c r="N15" s="29">
        <f>N$6*'Mobile PM Tailpipe by AB'!M39</f>
        <v>-4.5943678443475751</v>
      </c>
      <c r="O15" s="29">
        <f>O$6*'Mobile PM Tailpipe by AB'!N39</f>
        <v>-4.2633973996616623</v>
      </c>
      <c r="P15" s="29">
        <f>P$6*'Mobile PM Tailpipe by AB'!O39</f>
        <v>-3.9242968680460177</v>
      </c>
      <c r="Q15" s="29">
        <f>Q$6*'Mobile PM Tailpipe by AB'!P39</f>
        <v>-3.6242955653408337</v>
      </c>
      <c r="R15" s="29">
        <f>R$6*'Mobile PM Tailpipe by AB'!Q39</f>
        <v>-3.3145853139324619</v>
      </c>
      <c r="S15" s="29">
        <f>S$6*'Mobile PM Tailpipe by AB'!R39</f>
        <v>-3.0379750444674118</v>
      </c>
      <c r="T15" s="29">
        <f>T$6*'Mobile PM Tailpipe by AB'!S39</f>
        <v>-2.9843521341240016</v>
      </c>
      <c r="U15" s="29">
        <f>U$6*'Mobile PM Tailpipe by AB'!T39</f>
        <v>-2.8873134153571693</v>
      </c>
      <c r="V15" s="29">
        <f>V$6*'Mobile PM Tailpipe by AB'!U39</f>
        <v>-2.7044225478244255</v>
      </c>
      <c r="W15" s="29">
        <f>W$6*'Mobile PM Tailpipe by AB'!V39</f>
        <v>-2.4659945600658939</v>
      </c>
      <c r="X15" s="29">
        <f>X$6*'Mobile PM Tailpipe by AB'!W39</f>
        <v>-2.309981423863519</v>
      </c>
      <c r="Y15" s="29">
        <f>Y$6*'Mobile PM Tailpipe by AB'!X39</f>
        <v>-2.1604572884523363</v>
      </c>
      <c r="Z15" s="29">
        <f>Z$6*'Mobile PM Tailpipe by AB'!Y39</f>
        <v>-2.0230355710852144</v>
      </c>
      <c r="AA15" s="29">
        <f>AA$6*'Mobile PM Tailpipe by AB'!Z39</f>
        <v>-1.8645233230775808</v>
      </c>
      <c r="AB15" s="177"/>
    </row>
    <row r="16" spans="2:28">
      <c r="B16" t="s">
        <v>259</v>
      </c>
      <c r="C16" s="29">
        <f>C$6*'Mobile PM Tailpipe by AB'!B44</f>
        <v>0</v>
      </c>
      <c r="D16" s="29">
        <f>D$6*'Mobile PM Tailpipe by AB'!C44</f>
        <v>0</v>
      </c>
      <c r="E16" s="29">
        <f>E$6*'Mobile PM Tailpipe by AB'!D44</f>
        <v>-1.6564316252823277</v>
      </c>
      <c r="F16" s="29">
        <f>F$6*'Mobile PM Tailpipe by AB'!E44</f>
        <v>-4.5573147019698439</v>
      </c>
      <c r="G16" s="29">
        <f>G$6*'Mobile PM Tailpipe by AB'!F44</f>
        <v>-5.1149486106565005</v>
      </c>
      <c r="H16" s="29">
        <f>H$6*'Mobile PM Tailpipe by AB'!G44</f>
        <v>-5.2409945052586373</v>
      </c>
      <c r="I16" s="29">
        <f>I$6*'Mobile PM Tailpipe by AB'!H44</f>
        <v>-4.7716443646472371</v>
      </c>
      <c r="J16" s="29">
        <f>J$6*'Mobile PM Tailpipe by AB'!I44</f>
        <v>-4.6547132081100084</v>
      </c>
      <c r="K16" s="29">
        <f>K$6*'Mobile PM Tailpipe by AB'!J44</f>
        <v>-4.5318125021731879</v>
      </c>
      <c r="L16" s="29">
        <f>L$6*'Mobile PM Tailpipe by AB'!K44</f>
        <v>-4.2779421382700651</v>
      </c>
      <c r="M16" s="29">
        <f>M$6*'Mobile PM Tailpipe by AB'!L44</f>
        <v>-4.0315065806744323</v>
      </c>
      <c r="N16" s="29">
        <f>N$6*'Mobile PM Tailpipe by AB'!M44</f>
        <v>-3.7891205803142269</v>
      </c>
      <c r="O16" s="29">
        <f>O$6*'Mobile PM Tailpipe by AB'!N44</f>
        <v>-3.5300444148269761</v>
      </c>
      <c r="P16" s="29">
        <f>P$6*'Mobile PM Tailpipe by AB'!O44</f>
        <v>-3.2828590854225288</v>
      </c>
      <c r="Q16" s="29">
        <f>Q$6*'Mobile PM Tailpipe by AB'!P44</f>
        <v>-2.9891941085741887</v>
      </c>
      <c r="R16" s="29">
        <f>R$6*'Mobile PM Tailpipe by AB'!Q44</f>
        <v>-2.7216935052082927</v>
      </c>
      <c r="S16" s="29">
        <f>S$6*'Mobile PM Tailpipe by AB'!R44</f>
        <v>-2.5201010854674037</v>
      </c>
      <c r="T16" s="29">
        <f>T$6*'Mobile PM Tailpipe by AB'!S44</f>
        <v>-2.4725555087584339</v>
      </c>
      <c r="U16" s="29">
        <f>U$6*'Mobile PM Tailpipe by AB'!T44</f>
        <v>-2.4149664775930111</v>
      </c>
      <c r="V16" s="29">
        <f>V$6*'Mobile PM Tailpipe by AB'!U44</f>
        <v>-2.2347665782940163</v>
      </c>
      <c r="W16" s="29">
        <f>W$6*'Mobile PM Tailpipe by AB'!V44</f>
        <v>-2.0268167012686069</v>
      </c>
      <c r="X16" s="29">
        <f>X$6*'Mobile PM Tailpipe by AB'!W44</f>
        <v>-1.8967174863505463</v>
      </c>
      <c r="Y16" s="29">
        <f>Y$6*'Mobile PM Tailpipe by AB'!X44</f>
        <v>-1.7386940544089673</v>
      </c>
      <c r="Z16" s="29">
        <f>Z$6*'Mobile PM Tailpipe by AB'!Y44</f>
        <v>-1.6649967405044941</v>
      </c>
      <c r="AA16" s="29">
        <f>AA$6*'Mobile PM Tailpipe by AB'!Z44</f>
        <v>-1.5315958121483026</v>
      </c>
      <c r="AB16" s="177"/>
    </row>
    <row r="17" spans="2:28">
      <c r="B17" t="s">
        <v>381</v>
      </c>
      <c r="C17" s="29">
        <f>C$6*'Mobile PM Tailpipe by AB'!B54</f>
        <v>0</v>
      </c>
      <c r="D17" s="29">
        <f>D$6*'Mobile PM Tailpipe by AB'!C54</f>
        <v>0</v>
      </c>
      <c r="E17" s="29">
        <f>E$6*'Mobile PM Tailpipe by AB'!D54</f>
        <v>-10.051511904607745</v>
      </c>
      <c r="F17" s="29">
        <f>F$6*'Mobile PM Tailpipe by AB'!E54</f>
        <v>-27.29201098394201</v>
      </c>
      <c r="G17" s="29">
        <f>G$6*'Mobile PM Tailpipe by AB'!F54</f>
        <v>-30.497921611262679</v>
      </c>
      <c r="H17" s="29">
        <f>H$6*'Mobile PM Tailpipe by AB'!G54</f>
        <v>-30.876200291679478</v>
      </c>
      <c r="I17" s="29">
        <f>I$6*'Mobile PM Tailpipe by AB'!H54</f>
        <v>-27.961764771818224</v>
      </c>
      <c r="J17" s="29">
        <f>J$6*'Mobile PM Tailpipe by AB'!I54</f>
        <v>-27.171848704712126</v>
      </c>
      <c r="K17" s="29">
        <f>K$6*'Mobile PM Tailpipe by AB'!J54</f>
        <v>-26.038685724173835</v>
      </c>
      <c r="L17" s="29">
        <f>L$6*'Mobile PM Tailpipe by AB'!K54</f>
        <v>-24.695679482304651</v>
      </c>
      <c r="M17" s="29">
        <f>M$6*'Mobile PM Tailpipe by AB'!L54</f>
        <v>-23.258696181014859</v>
      </c>
      <c r="N17" s="29">
        <f>N$6*'Mobile PM Tailpipe by AB'!M54</f>
        <v>-21.867370080232604</v>
      </c>
      <c r="O17" s="29">
        <f>O$6*'Mobile PM Tailpipe by AB'!N54</f>
        <v>-20.577751181574531</v>
      </c>
      <c r="P17" s="29">
        <f>P$6*'Mobile PM Tailpipe by AB'!O54</f>
        <v>-19.212196705717506</v>
      </c>
      <c r="Q17" s="29">
        <f>Q$6*'Mobile PM Tailpipe by AB'!P54</f>
        <v>-17.810371838666427</v>
      </c>
      <c r="R17" s="29">
        <f>R$6*'Mobile PM Tailpipe by AB'!Q54</f>
        <v>-16.575610893817775</v>
      </c>
      <c r="S17" s="29">
        <f>S$6*'Mobile PM Tailpipe by AB'!R54</f>
        <v>-15.458518003365837</v>
      </c>
      <c r="T17" s="29">
        <f>T$6*'Mobile PM Tailpipe by AB'!S54</f>
        <v>-15.402351881742769</v>
      </c>
      <c r="U17" s="29">
        <f>U$6*'Mobile PM Tailpipe by AB'!T54</f>
        <v>-15.184437615099226</v>
      </c>
      <c r="V17" s="29">
        <f>V$6*'Mobile PM Tailpipe by AB'!U54</f>
        <v>-14.44889483928112</v>
      </c>
      <c r="W17" s="29">
        <f>W$6*'Mobile PM Tailpipe by AB'!V54</f>
        <v>-13.416836054040095</v>
      </c>
      <c r="X17" s="29">
        <f>X$6*'Mobile PM Tailpipe by AB'!W54</f>
        <v>-12.845890745863633</v>
      </c>
      <c r="Y17" s="29">
        <f>Y$6*'Mobile PM Tailpipe by AB'!X54</f>
        <v>-12.206076682094871</v>
      </c>
      <c r="Z17" s="29">
        <f>Z$6*'Mobile PM Tailpipe by AB'!Y54</f>
        <v>-11.69605051114754</v>
      </c>
      <c r="AA17" s="29">
        <f>AA$6*'Mobile PM Tailpipe by AB'!Z54</f>
        <v>-11.014306224055234</v>
      </c>
      <c r="AB17" s="177"/>
    </row>
    <row r="18" spans="2:28">
      <c r="B18" t="s">
        <v>261</v>
      </c>
      <c r="C18" s="29">
        <f>C$6*'Mobile PM Tailpipe by AB'!B59</f>
        <v>0</v>
      </c>
      <c r="D18" s="29">
        <f>D$6*'Mobile PM Tailpipe by AB'!C59</f>
        <v>0</v>
      </c>
      <c r="E18" s="29">
        <f>E$6*'Mobile PM Tailpipe by AB'!D59</f>
        <v>-3.9383614395527022</v>
      </c>
      <c r="F18" s="29">
        <f>F$6*'Mobile PM Tailpipe by AB'!E59</f>
        <v>-10.918536265747271</v>
      </c>
      <c r="G18" s="29">
        <f>G$6*'Mobile PM Tailpipe by AB'!F59</f>
        <v>-12.597915770406425</v>
      </c>
      <c r="H18" s="29">
        <f>H$6*'Mobile PM Tailpipe by AB'!G59</f>
        <v>-13.095062225706306</v>
      </c>
      <c r="I18" s="29">
        <f>I$6*'Mobile PM Tailpipe by AB'!H59</f>
        <v>-12.287579726697849</v>
      </c>
      <c r="J18" s="29">
        <f>J$6*'Mobile PM Tailpipe by AB'!I59</f>
        <v>-12.372864634397697</v>
      </c>
      <c r="K18" s="29">
        <f>K$6*'Mobile PM Tailpipe by AB'!J59</f>
        <v>-12.311791089880712</v>
      </c>
      <c r="L18" s="29">
        <f>L$6*'Mobile PM Tailpipe by AB'!K59</f>
        <v>-11.994598792247148</v>
      </c>
      <c r="M18" s="29">
        <f>M$6*'Mobile PM Tailpipe by AB'!L59</f>
        <v>-11.621612822090798</v>
      </c>
      <c r="N18" s="29">
        <f>N$6*'Mobile PM Tailpipe by AB'!M59</f>
        <v>-11.192839939615526</v>
      </c>
      <c r="O18" s="29">
        <f>O$6*'Mobile PM Tailpipe by AB'!N59</f>
        <v>-10.744400841691716</v>
      </c>
      <c r="P18" s="29">
        <f>P$6*'Mobile PM Tailpipe by AB'!O59</f>
        <v>-10.343801824190356</v>
      </c>
      <c r="Q18" s="29">
        <f>Q$6*'Mobile PM Tailpipe by AB'!P59</f>
        <v>-9.6456293168531619</v>
      </c>
      <c r="R18" s="29">
        <f>R$6*'Mobile PM Tailpipe by AB'!Q59</f>
        <v>-9.1227091378008094</v>
      </c>
      <c r="S18" s="29">
        <f>S$6*'Mobile PM Tailpipe by AB'!R59</f>
        <v>-8.7043716735567873</v>
      </c>
      <c r="T18" s="29">
        <f>T$6*'Mobile PM Tailpipe by AB'!S59</f>
        <v>-8.7858912539212035</v>
      </c>
      <c r="U18" s="29">
        <f>U$6*'Mobile PM Tailpipe by AB'!T59</f>
        <v>-8.8320446716534402</v>
      </c>
      <c r="V18" s="29">
        <f>V$6*'Mobile PM Tailpipe by AB'!U59</f>
        <v>-8.5576210118511096</v>
      </c>
      <c r="W18" s="29">
        <f>W$6*'Mobile PM Tailpipe by AB'!V59</f>
        <v>-8.025276089710248</v>
      </c>
      <c r="X18" s="29">
        <f>X$6*'Mobile PM Tailpipe by AB'!W59</f>
        <v>-7.7573765764031464</v>
      </c>
      <c r="Y18" s="29">
        <f>Y$6*'Mobile PM Tailpipe by AB'!X59</f>
        <v>-7.4566114713680749</v>
      </c>
      <c r="Z18" s="29">
        <f>Z$6*'Mobile PM Tailpipe by AB'!Y59</f>
        <v>-7.2946024668588008</v>
      </c>
      <c r="AA18" s="29">
        <f>AA$6*'Mobile PM Tailpipe by AB'!Z59</f>
        <v>-7.0036727855910392</v>
      </c>
      <c r="AB18" s="177"/>
    </row>
    <row r="19" spans="2:28">
      <c r="B19" t="s">
        <v>373</v>
      </c>
      <c r="C19" s="29">
        <f>C$6*'Mobile PM Tailpipe by AB'!B64</f>
        <v>0</v>
      </c>
      <c r="D19" s="29">
        <f>D$6*'Mobile PM Tailpipe by AB'!C64</f>
        <v>0</v>
      </c>
      <c r="E19" s="29">
        <f>E$6*'Mobile PM Tailpipe by AB'!D64</f>
        <v>-4.8124598620640198</v>
      </c>
      <c r="F19" s="29">
        <f>F$6*'Mobile PM Tailpipe by AB'!E64</f>
        <v>-13.193965983884096</v>
      </c>
      <c r="G19" s="29">
        <f>G$6*'Mobile PM Tailpipe by AB'!F64</f>
        <v>-14.897875297112011</v>
      </c>
      <c r="H19" s="29">
        <f>H$6*'Mobile PM Tailpipe by AB'!G64</f>
        <v>-15.174687055874319</v>
      </c>
      <c r="I19" s="29">
        <f>I$6*'Mobile PM Tailpipe by AB'!H64</f>
        <v>-13.868880829603885</v>
      </c>
      <c r="J19" s="29">
        <f>J$6*'Mobile PM Tailpipe by AB'!I64</f>
        <v>-13.602115977271405</v>
      </c>
      <c r="K19" s="29">
        <f>K$6*'Mobile PM Tailpipe by AB'!J64</f>
        <v>-13.021604617455402</v>
      </c>
      <c r="L19" s="29">
        <f>L$6*'Mobile PM Tailpipe by AB'!K64</f>
        <v>-12.522113792187636</v>
      </c>
      <c r="M19" s="29">
        <f>M$6*'Mobile PM Tailpipe by AB'!L64</f>
        <v>-11.961366504860154</v>
      </c>
      <c r="N19" s="29">
        <f>N$6*'Mobile PM Tailpipe by AB'!M64</f>
        <v>-11.375338238692168</v>
      </c>
      <c r="O19" s="29">
        <f>O$6*'Mobile PM Tailpipe by AB'!N64</f>
        <v>-10.855910936633194</v>
      </c>
      <c r="P19" s="29">
        <f>P$6*'Mobile PM Tailpipe by AB'!O64</f>
        <v>-10.269374577989584</v>
      </c>
      <c r="Q19" s="29">
        <f>Q$6*'Mobile PM Tailpipe by AB'!P64</f>
        <v>-9.7148238525657273</v>
      </c>
      <c r="R19" s="29">
        <f>R$6*'Mobile PM Tailpipe by AB'!Q64</f>
        <v>-9.1823920401321146</v>
      </c>
      <c r="S19" s="29">
        <f>S$6*'Mobile PM Tailpipe by AB'!R64</f>
        <v>-8.7008117942785628</v>
      </c>
      <c r="T19" s="29">
        <f>T$6*'Mobile PM Tailpipe by AB'!S64</f>
        <v>-8.8043568537204777</v>
      </c>
      <c r="U19" s="29">
        <f>U$6*'Mobile PM Tailpipe by AB'!T64</f>
        <v>-8.8412346655545253</v>
      </c>
      <c r="V19" s="29">
        <f>V$6*'Mobile PM Tailpipe by AB'!U64</f>
        <v>-8.5593355883770812</v>
      </c>
      <c r="W19" s="29">
        <f>W$6*'Mobile PM Tailpipe by AB'!V64</f>
        <v>-8.063568514704242</v>
      </c>
      <c r="X19" s="29">
        <f>X$6*'Mobile PM Tailpipe by AB'!W64</f>
        <v>-7.8511793884335157</v>
      </c>
      <c r="Y19" s="29">
        <f>Y$6*'Mobile PM Tailpipe by AB'!X64</f>
        <v>-7.5822713085728903</v>
      </c>
      <c r="Z19" s="29">
        <f>Z$6*'Mobile PM Tailpipe by AB'!Y64</f>
        <v>-7.3249827503741516</v>
      </c>
      <c r="AA19" s="29">
        <f>AA$6*'Mobile PM Tailpipe by AB'!Z64</f>
        <v>-6.950121354635435</v>
      </c>
      <c r="AB19" s="177"/>
    </row>
    <row r="20" spans="2:28">
      <c r="B20" t="s">
        <v>421</v>
      </c>
      <c r="C20" s="29">
        <f>C$6*'Mobile PM Tailpipe by AB'!B69</f>
        <v>0</v>
      </c>
      <c r="D20" s="29">
        <f>D$6*'Mobile PM Tailpipe by AB'!C69</f>
        <v>0</v>
      </c>
      <c r="E20" s="29">
        <f>E$6*'Mobile PM Tailpipe by AB'!D69</f>
        <v>-13.078405313449181</v>
      </c>
      <c r="F20" s="29">
        <f>F$6*'Mobile PM Tailpipe by AB'!E69</f>
        <v>-36.578258475241697</v>
      </c>
      <c r="G20" s="29">
        <f>G$6*'Mobile PM Tailpipe by AB'!F69</f>
        <v>-41.924354147783966</v>
      </c>
      <c r="H20" s="29">
        <f>H$6*'Mobile PM Tailpipe by AB'!G69</f>
        <v>-43.084505076149803</v>
      </c>
      <c r="I20" s="29">
        <f>I$6*'Mobile PM Tailpipe by AB'!H69</f>
        <v>-39.803581005529793</v>
      </c>
      <c r="J20" s="29">
        <f>J$6*'Mobile PM Tailpipe by AB'!I69</f>
        <v>-39.459344979752338</v>
      </c>
      <c r="K20" s="29">
        <f>K$6*'Mobile PM Tailpipe by AB'!J69</f>
        <v>-38.691464221048015</v>
      </c>
      <c r="L20" s="29">
        <f>L$6*'Mobile PM Tailpipe by AB'!K69</f>
        <v>-37.466578402775767</v>
      </c>
      <c r="M20" s="29">
        <f>M$6*'Mobile PM Tailpipe by AB'!L69</f>
        <v>-36.148743574847657</v>
      </c>
      <c r="N20" s="29">
        <f>N$6*'Mobile PM Tailpipe by AB'!M69</f>
        <v>-34.746418546309606</v>
      </c>
      <c r="O20" s="29">
        <f>O$6*'Mobile PM Tailpipe by AB'!N69</f>
        <v>-33.520577217000906</v>
      </c>
      <c r="P20" s="29">
        <f>P$6*'Mobile PM Tailpipe by AB'!O69</f>
        <v>-31.932924073009321</v>
      </c>
      <c r="Q20" s="29">
        <f>Q$6*'Mobile PM Tailpipe by AB'!P69</f>
        <v>-30.492152822599227</v>
      </c>
      <c r="R20" s="29">
        <f>R$6*'Mobile PM Tailpipe by AB'!Q69</f>
        <v>-29.125711080636862</v>
      </c>
      <c r="S20" s="29">
        <f>S$6*'Mobile PM Tailpipe by AB'!R69</f>
        <v>-27.844906173932358</v>
      </c>
      <c r="T20" s="29">
        <f>T$6*'Mobile PM Tailpipe by AB'!S69</f>
        <v>-28.428938380064697</v>
      </c>
      <c r="U20" s="29">
        <f>U$6*'Mobile PM Tailpipe by AB'!T69</f>
        <v>-28.756602635269285</v>
      </c>
      <c r="V20" s="29">
        <f>V$6*'Mobile PM Tailpipe by AB'!U69</f>
        <v>-28.022632091887829</v>
      </c>
      <c r="W20" s="29">
        <f>W$6*'Mobile PM Tailpipe by AB'!V69</f>
        <v>-26.576960185404538</v>
      </c>
      <c r="X20" s="29">
        <f>X$6*'Mobile PM Tailpipe by AB'!W69</f>
        <v>-25.969040770150059</v>
      </c>
      <c r="Y20" s="29">
        <f>Y$6*'Mobile PM Tailpipe by AB'!X69</f>
        <v>-25.186379761841383</v>
      </c>
      <c r="Z20" s="29">
        <f>Z$6*'Mobile PM Tailpipe by AB'!Y69</f>
        <v>-24.455799508327217</v>
      </c>
      <c r="AA20" s="29">
        <f>AA$6*'Mobile PM Tailpipe by AB'!Z69</f>
        <v>-23.302862660171968</v>
      </c>
      <c r="AB20" s="177"/>
    </row>
    <row r="21" spans="2:28">
      <c r="B21" t="s">
        <v>422</v>
      </c>
      <c r="C21" s="29">
        <f>C$6*'Mobile PM Tailpipe by AB'!B74</f>
        <v>0</v>
      </c>
      <c r="D21" s="29">
        <f>D$6*'Mobile PM Tailpipe by AB'!C74</f>
        <v>0</v>
      </c>
      <c r="E21" s="29">
        <f>E$6*'Mobile PM Tailpipe by AB'!D74</f>
        <v>-24.589128055940215</v>
      </c>
      <c r="F21" s="29">
        <f>F$6*'Mobile PM Tailpipe by AB'!E74</f>
        <v>-66.927808201120271</v>
      </c>
      <c r="G21" s="29">
        <f>G$6*'Mobile PM Tailpipe by AB'!F74</f>
        <v>-75.01017631925113</v>
      </c>
      <c r="H21" s="29">
        <f>H$6*'Mobile PM Tailpipe by AB'!G74</f>
        <v>-75.778731365699542</v>
      </c>
      <c r="I21" s="29">
        <f>I$6*'Mobile PM Tailpipe by AB'!H74</f>
        <v>-68.884528790131029</v>
      </c>
      <c r="J21" s="29">
        <f>J$6*'Mobile PM Tailpipe by AB'!I74</f>
        <v>-67.117885537611784</v>
      </c>
      <c r="K21" s="29">
        <f>K$6*'Mobile PM Tailpipe by AB'!J74</f>
        <v>-64.619163217309833</v>
      </c>
      <c r="L21" s="29">
        <f>L$6*'Mobile PM Tailpipe by AB'!K74</f>
        <v>-61.536311989368393</v>
      </c>
      <c r="M21" s="29">
        <f>M$6*'Mobile PM Tailpipe by AB'!L74</f>
        <v>-58.289767684947478</v>
      </c>
      <c r="N21" s="29">
        <f>N$6*'Mobile PM Tailpipe by AB'!M74</f>
        <v>-54.97009918891186</v>
      </c>
      <c r="O21" s="29">
        <f>O$6*'Mobile PM Tailpipe by AB'!N74</f>
        <v>-51.955835953789183</v>
      </c>
      <c r="P21" s="29">
        <f>P$6*'Mobile PM Tailpipe by AB'!O74</f>
        <v>-48.85515528309061</v>
      </c>
      <c r="Q21" s="29">
        <f>Q$6*'Mobile PM Tailpipe by AB'!P74</f>
        <v>-45.589850020819185</v>
      </c>
      <c r="R21" s="29">
        <f>R$6*'Mobile PM Tailpipe by AB'!Q74</f>
        <v>-42.609736409035051</v>
      </c>
      <c r="S21" s="29">
        <f>S$6*'Mobile PM Tailpipe by AB'!R74</f>
        <v>-39.953575026980772</v>
      </c>
      <c r="T21" s="29">
        <f>T$6*'Mobile PM Tailpipe by AB'!S74</f>
        <v>-39.967226531244101</v>
      </c>
      <c r="U21" s="29">
        <f>U$6*'Mobile PM Tailpipe by AB'!T74</f>
        <v>-39.742292214976914</v>
      </c>
      <c r="V21" s="29">
        <f>V$6*'Mobile PM Tailpipe by AB'!U74</f>
        <v>-38.127477909874479</v>
      </c>
      <c r="W21" s="29">
        <f>W$6*'Mobile PM Tailpipe by AB'!V74</f>
        <v>-35.559247183723585</v>
      </c>
      <c r="X21" s="29">
        <f>X$6*'Mobile PM Tailpipe by AB'!W74</f>
        <v>-34.263160685058487</v>
      </c>
      <c r="Y21" s="29">
        <f>Y$6*'Mobile PM Tailpipe by AB'!X74</f>
        <v>-32.74805620348414</v>
      </c>
      <c r="Z21" s="29">
        <f>Z$6*'Mobile PM Tailpipe by AB'!Y74</f>
        <v>-31.556296850187923</v>
      </c>
      <c r="AA21" s="29">
        <f>AA$6*'Mobile PM Tailpipe by AB'!Z74</f>
        <v>-29.854865534227084</v>
      </c>
      <c r="AB21" s="177"/>
    </row>
    <row r="22" spans="2:28">
      <c r="B22" t="s">
        <v>267</v>
      </c>
      <c r="C22" s="29">
        <f>C$6*'Mobile PM Tailpipe by AB'!B79</f>
        <v>0</v>
      </c>
      <c r="D22" s="29">
        <f>D$6*'Mobile PM Tailpipe by AB'!C79</f>
        <v>0</v>
      </c>
      <c r="E22" s="29">
        <f>E$6*'Mobile PM Tailpipe by AB'!D79</f>
        <v>-3.8319211134967239</v>
      </c>
      <c r="F22" s="29">
        <f>F$6*'Mobile PM Tailpipe by AB'!E79</f>
        <v>-10.465110115843476</v>
      </c>
      <c r="G22" s="29">
        <f>G$6*'Mobile PM Tailpipe by AB'!F79</f>
        <v>-11.730970249284054</v>
      </c>
      <c r="H22" s="29">
        <f>H$6*'Mobile PM Tailpipe by AB'!G79</f>
        <v>-11.872102136377679</v>
      </c>
      <c r="I22" s="29">
        <f>I$6*'Mobile PM Tailpipe by AB'!H79</f>
        <v>-10.750918816863232</v>
      </c>
      <c r="J22" s="29">
        <f>J$6*'Mobile PM Tailpipe by AB'!I79</f>
        <v>-10.437177662805505</v>
      </c>
      <c r="K22" s="29">
        <f>K$6*'Mobile PM Tailpipe by AB'!J79</f>
        <v>-10.036524881392062</v>
      </c>
      <c r="L22" s="29">
        <f>L$6*'Mobile PM Tailpipe by AB'!K79</f>
        <v>-9.5512305358634642</v>
      </c>
      <c r="M22" s="29">
        <f>M$6*'Mobile PM Tailpipe by AB'!L79</f>
        <v>-9.0426798999626996</v>
      </c>
      <c r="N22" s="29">
        <f>N$6*'Mobile PM Tailpipe by AB'!M79</f>
        <v>-8.5074122265852008</v>
      </c>
      <c r="O22" s="29">
        <f>O$6*'Mobile PM Tailpipe by AB'!N79</f>
        <v>-8.0486533142155992</v>
      </c>
      <c r="P22" s="29">
        <f>P$6*'Mobile PM Tailpipe by AB'!O79</f>
        <v>-7.5484232659074717</v>
      </c>
      <c r="Q22" s="29">
        <f>Q$6*'Mobile PM Tailpipe by AB'!P79</f>
        <v>-7.0600046806045933</v>
      </c>
      <c r="R22" s="29">
        <f>R$6*'Mobile PM Tailpipe by AB'!Q79</f>
        <v>-6.6026480601274642</v>
      </c>
      <c r="S22" s="29">
        <f>S$6*'Mobile PM Tailpipe by AB'!R79</f>
        <v>-6.202769320666512</v>
      </c>
      <c r="T22" s="29">
        <f>T$6*'Mobile PM Tailpipe by AB'!S79</f>
        <v>-6.2089369419518823</v>
      </c>
      <c r="U22" s="29">
        <f>U$6*'Mobile PM Tailpipe by AB'!T79</f>
        <v>-6.1629524398030471</v>
      </c>
      <c r="V22" s="29">
        <f>V$6*'Mobile PM Tailpipe by AB'!U79</f>
        <v>-5.8940087297880215</v>
      </c>
      <c r="W22" s="29">
        <f>W$6*'Mobile PM Tailpipe by AB'!V79</f>
        <v>-5.4898484234940828</v>
      </c>
      <c r="X22" s="29">
        <f>X$6*'Mobile PM Tailpipe by AB'!W79</f>
        <v>-5.2585318837956132</v>
      </c>
      <c r="Y22" s="29">
        <f>Y$6*'Mobile PM Tailpipe by AB'!X79</f>
        <v>-4.9973445510533372</v>
      </c>
      <c r="Z22" s="29">
        <f>Z$6*'Mobile PM Tailpipe by AB'!Y79</f>
        <v>-4.7645885726779733</v>
      </c>
      <c r="AA22" s="29">
        <f>AA$6*'Mobile PM Tailpipe by AB'!Z79</f>
        <v>-4.4645040251054739</v>
      </c>
      <c r="AB22" s="177"/>
    </row>
    <row r="23" spans="2:28">
      <c r="B23" t="s">
        <v>268</v>
      </c>
      <c r="C23" s="29">
        <f>C$6*'Mobile PM Tailpipe by AB'!B84</f>
        <v>0</v>
      </c>
      <c r="D23" s="29">
        <f>D$6*'Mobile PM Tailpipe by AB'!C84</f>
        <v>0</v>
      </c>
      <c r="E23" s="29">
        <f>E$6*'Mobile PM Tailpipe by AB'!D84</f>
        <v>-23.246077980117782</v>
      </c>
      <c r="F23" s="29">
        <f>F$6*'Mobile PM Tailpipe by AB'!E84</f>
        <v>-63.598054853560761</v>
      </c>
      <c r="G23" s="29">
        <f>G$6*'Mobile PM Tailpipe by AB'!F84</f>
        <v>-72.484939198926256</v>
      </c>
      <c r="H23" s="29">
        <f>H$6*'Mobile PM Tailpipe by AB'!G84</f>
        <v>-74.415158827177905</v>
      </c>
      <c r="I23" s="29">
        <f>I$6*'Mobile PM Tailpipe by AB'!H84</f>
        <v>-68.825521459975519</v>
      </c>
      <c r="J23" s="29">
        <f>J$6*'Mobile PM Tailpipe by AB'!I84</f>
        <v>-68.237359282392603</v>
      </c>
      <c r="K23" s="29">
        <f>K$6*'Mobile PM Tailpipe by AB'!J84</f>
        <v>-67.070949222000593</v>
      </c>
      <c r="L23" s="29">
        <f>L$6*'Mobile PM Tailpipe by AB'!K84</f>
        <v>-65.452025823559666</v>
      </c>
      <c r="M23" s="29">
        <f>M$6*'Mobile PM Tailpipe by AB'!L84</f>
        <v>-63.3898733967117</v>
      </c>
      <c r="N23" s="29">
        <f>N$6*'Mobile PM Tailpipe by AB'!M84</f>
        <v>-60.80749291525273</v>
      </c>
      <c r="O23" s="29">
        <f>O$6*'Mobile PM Tailpipe by AB'!N84</f>
        <v>-58.321346796871332</v>
      </c>
      <c r="P23" s="29">
        <f>P$6*'Mobile PM Tailpipe by AB'!O84</f>
        <v>-55.927710406747529</v>
      </c>
      <c r="Q23" s="29">
        <f>Q$6*'Mobile PM Tailpipe by AB'!P84</f>
        <v>-52.953736321919841</v>
      </c>
      <c r="R23" s="29">
        <f>R$6*'Mobile PM Tailpipe by AB'!Q84</f>
        <v>-50.323686342008699</v>
      </c>
      <c r="S23" s="29">
        <f>S$6*'Mobile PM Tailpipe by AB'!R84</f>
        <v>-48.135355875939609</v>
      </c>
      <c r="T23" s="29">
        <f>T$6*'Mobile PM Tailpipe by AB'!S84</f>
        <v>-49.074846256328861</v>
      </c>
      <c r="U23" s="29">
        <f>U$6*'Mobile PM Tailpipe by AB'!T84</f>
        <v>-49.686505469314547</v>
      </c>
      <c r="V23" s="29">
        <f>V$6*'Mobile PM Tailpipe by AB'!U84</f>
        <v>-48.501448862079457</v>
      </c>
      <c r="W23" s="29">
        <f>W$6*'Mobile PM Tailpipe by AB'!V84</f>
        <v>-45.916127241859307</v>
      </c>
      <c r="X23" s="29">
        <f>X$6*'Mobile PM Tailpipe by AB'!W84</f>
        <v>-44.79003244336608</v>
      </c>
      <c r="Y23" s="29">
        <f>Y$6*'Mobile PM Tailpipe by AB'!X84</f>
        <v>-43.359935813396817</v>
      </c>
      <c r="Z23" s="29">
        <f>Z$6*'Mobile PM Tailpipe by AB'!Y84</f>
        <v>-42.144353882854631</v>
      </c>
      <c r="AA23" s="29">
        <f>AA$6*'Mobile PM Tailpipe by AB'!Z84</f>
        <v>-40.208456908122173</v>
      </c>
      <c r="AB23" s="177"/>
    </row>
    <row r="24" spans="2:28">
      <c r="B24" t="s">
        <v>423</v>
      </c>
      <c r="C24" s="60">
        <f>C$6*'Mobile PM Tailpipe by AB'!B89</f>
        <v>0</v>
      </c>
      <c r="D24" s="60">
        <f>D$6*'Mobile PM Tailpipe by AB'!C89</f>
        <v>0</v>
      </c>
      <c r="E24" s="60">
        <f>E$6*'Mobile PM Tailpipe by AB'!D89</f>
        <v>-101.12130273832463</v>
      </c>
      <c r="F24" s="60">
        <f>F$6*'Mobile PM Tailpipe by AB'!E89</f>
        <v>-277.63921185985964</v>
      </c>
      <c r="G24" s="60">
        <f>G$6*'Mobile PM Tailpipe by AB'!F89</f>
        <v>-314.5404866089475</v>
      </c>
      <c r="H24" s="60">
        <f>H$6*'Mobile PM Tailpipe by AB'!G89</f>
        <v>-321.48526123718239</v>
      </c>
      <c r="I24" s="60">
        <f>I$6*'Mobile PM Tailpipe by AB'!H89</f>
        <v>-295.12372736157204</v>
      </c>
      <c r="J24" s="60">
        <f>J$6*'Mobile PM Tailpipe by AB'!I89</f>
        <v>-290.68520950193624</v>
      </c>
      <c r="K24" s="60">
        <f>K$6*'Mobile PM Tailpipe by AB'!J89</f>
        <v>-283.00725422858204</v>
      </c>
      <c r="L24" s="60">
        <f>L$6*'Mobile PM Tailpipe by AB'!K89</f>
        <v>-272.42906494346903</v>
      </c>
      <c r="M24" s="60">
        <f>M$6*'Mobile PM Tailpipe by AB'!L89</f>
        <v>-260.5698468946357</v>
      </c>
      <c r="N24" s="60">
        <f>N$6*'Mobile PM Tailpipe by AB'!M89</f>
        <v>-247.90791783212967</v>
      </c>
      <c r="O24" s="60">
        <f>O$6*'Mobile PM Tailpipe by AB'!N89</f>
        <v>-236.04915550213195</v>
      </c>
      <c r="P24" s="60">
        <f>P$6*'Mobile PM Tailpipe by AB'!O89</f>
        <v>-223.95548218489694</v>
      </c>
      <c r="Q24" s="60">
        <f>Q$6*'Mobile PM Tailpipe by AB'!P89</f>
        <v>-209.95362391501612</v>
      </c>
      <c r="R24" s="60">
        <f>R$6*'Mobile PM Tailpipe by AB'!Q89</f>
        <v>-197.60926784074513</v>
      </c>
      <c r="S24" s="60">
        <f>S$6*'Mobile PM Tailpipe by AB'!R89</f>
        <v>-186.88400842216015</v>
      </c>
      <c r="T24" s="60">
        <f>T$6*'Mobile PM Tailpipe by AB'!S89</f>
        <v>-188.39452167521995</v>
      </c>
      <c r="U24" s="60">
        <f>U$6*'Mobile PM Tailpipe by AB'!T89</f>
        <v>-188.54004698824224</v>
      </c>
      <c r="V24" s="60">
        <f>V$6*'Mobile PM Tailpipe by AB'!U89</f>
        <v>-181.91890152360952</v>
      </c>
      <c r="W24" s="60">
        <f>W$6*'Mobile PM Tailpipe by AB'!V89</f>
        <v>-170.56986861996984</v>
      </c>
      <c r="X24" s="60">
        <f>X$6*'Mobile PM Tailpipe by AB'!W89</f>
        <v>-164.87169137760577</v>
      </c>
      <c r="Y24" s="60">
        <f>Y$6*'Mobile PM Tailpipe by AB'!X89</f>
        <v>-158.18879911406975</v>
      </c>
      <c r="Z24" s="60">
        <f>Z$6*'Mobile PM Tailpipe by AB'!Y89</f>
        <v>-152.99314922086296</v>
      </c>
      <c r="AA24" s="60">
        <f>AA$6*'Mobile PM Tailpipe by AB'!Z89</f>
        <v>-145.24564716774944</v>
      </c>
      <c r="AB24" s="177"/>
    </row>
    <row r="25" spans="2:28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FF0000"/>
  </sheetPr>
  <dimension ref="A2:Z40"/>
  <sheetViews>
    <sheetView workbookViewId="0">
      <selection activeCell="C12" sqref="C12"/>
    </sheetView>
  </sheetViews>
  <sheetFormatPr defaultRowHeight="15"/>
  <cols>
    <col min="1" max="1" width="32.28515625" bestFit="1" customWidth="1"/>
    <col min="2" max="2" width="21.5703125" customWidth="1"/>
    <col min="3" max="3" width="12.28515625" bestFit="1" customWidth="1"/>
    <col min="4" max="10" width="12.42578125" bestFit="1" customWidth="1"/>
    <col min="11" max="11" width="11.42578125" bestFit="1" customWidth="1"/>
    <col min="12" max="12" width="12.42578125" bestFit="1" customWidth="1"/>
    <col min="13" max="13" width="11.42578125" bestFit="1" customWidth="1"/>
    <col min="14" max="26" width="10.5703125" bestFit="1" customWidth="1"/>
    <col min="27" max="32" width="10.28515625" bestFit="1" customWidth="1"/>
  </cols>
  <sheetData>
    <row r="2" spans="1:26">
      <c r="A2" s="2" t="s">
        <v>428</v>
      </c>
      <c r="B2" t="s">
        <v>429</v>
      </c>
    </row>
    <row r="3" spans="1:26">
      <c r="A3" s="2" t="s">
        <v>430</v>
      </c>
    </row>
    <row r="4" spans="1:26">
      <c r="A4" s="2" t="s">
        <v>431</v>
      </c>
      <c r="B4" s="2">
        <v>2022</v>
      </c>
      <c r="C4" s="2">
        <v>2023</v>
      </c>
      <c r="D4" s="2">
        <v>2024</v>
      </c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2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2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</row>
    <row r="5" spans="1:26">
      <c r="A5" t="s">
        <v>278</v>
      </c>
      <c r="D5">
        <v>1.9107679896263932</v>
      </c>
      <c r="E5">
        <v>1.3818562355055681</v>
      </c>
      <c r="F5">
        <v>1.22467333897335</v>
      </c>
      <c r="G5">
        <v>1.0762350703275916</v>
      </c>
      <c r="H5">
        <v>0.93907417776876223</v>
      </c>
      <c r="I5">
        <v>0.84848753309059988</v>
      </c>
      <c r="J5">
        <v>0.76971371555350343</v>
      </c>
      <c r="K5">
        <v>0.69789399276059072</v>
      </c>
      <c r="L5">
        <v>0.63634177468629882</v>
      </c>
      <c r="M5">
        <v>0.58599054078831303</v>
      </c>
      <c r="N5">
        <v>0.53933495611489091</v>
      </c>
      <c r="O5">
        <v>0.49564370537334912</v>
      </c>
      <c r="P5">
        <v>0.47922518910056522</v>
      </c>
      <c r="Q5">
        <v>0.44636124325116849</v>
      </c>
      <c r="R5">
        <v>0.41801986414504472</v>
      </c>
      <c r="S5">
        <v>0.39380752353084164</v>
      </c>
      <c r="T5">
        <v>0.37991072696892614</v>
      </c>
      <c r="U5">
        <v>0.36869232448732692</v>
      </c>
      <c r="V5">
        <v>0.3595100295403128</v>
      </c>
      <c r="W5">
        <v>0.35176393731200278</v>
      </c>
      <c r="X5">
        <v>0.34513094256267413</v>
      </c>
      <c r="Y5">
        <v>0.33972187525708569</v>
      </c>
      <c r="Z5">
        <v>0.3345258333788142</v>
      </c>
    </row>
    <row r="6" spans="1:26">
      <c r="A6" t="s">
        <v>246</v>
      </c>
      <c r="D6">
        <v>6.2797353968319813E-2</v>
      </c>
      <c r="E6">
        <v>6.2108749022837986E-2</v>
      </c>
      <c r="F6">
        <v>6.166209914093649E-2</v>
      </c>
      <c r="G6">
        <v>6.1079136494486853E-2</v>
      </c>
      <c r="H6">
        <v>6.0477699474753843E-2</v>
      </c>
      <c r="I6">
        <v>5.9610852462132151E-2</v>
      </c>
      <c r="J6">
        <v>5.841877454025584E-2</v>
      </c>
      <c r="K6">
        <v>5.7162863802635806E-2</v>
      </c>
      <c r="L6">
        <v>5.5967183666041406E-2</v>
      </c>
      <c r="M6">
        <v>5.4981994330486464E-2</v>
      </c>
      <c r="N6">
        <v>5.3592185812868058E-2</v>
      </c>
      <c r="O6">
        <v>5.2216367495687893E-2</v>
      </c>
      <c r="P6">
        <v>5.0499639829746222E-2</v>
      </c>
      <c r="Q6">
        <v>4.877772691855399E-2</v>
      </c>
      <c r="R6">
        <v>4.7052188905595697E-2</v>
      </c>
      <c r="S6">
        <v>4.5446650592358022E-2</v>
      </c>
      <c r="T6">
        <v>4.422217716784247E-2</v>
      </c>
      <c r="U6">
        <v>4.3046773119367034E-2</v>
      </c>
      <c r="V6">
        <v>4.1898714817700744E-2</v>
      </c>
      <c r="W6">
        <v>4.1627809816604466E-2</v>
      </c>
      <c r="X6">
        <v>4.1411754497205057E-2</v>
      </c>
      <c r="Y6">
        <v>4.1247576264252947E-2</v>
      </c>
      <c r="Z6">
        <v>4.110905262852374E-2</v>
      </c>
    </row>
    <row r="8" spans="1:26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6">
      <c r="A9" t="s">
        <v>432</v>
      </c>
    </row>
    <row r="10" spans="1:26">
      <c r="A10" t="s">
        <v>433</v>
      </c>
    </row>
    <row r="11" spans="1:26">
      <c r="A11" t="s">
        <v>434</v>
      </c>
      <c r="B11">
        <v>2022</v>
      </c>
      <c r="C11">
        <v>2023</v>
      </c>
      <c r="D11">
        <v>2024</v>
      </c>
      <c r="E11">
        <v>2025</v>
      </c>
      <c r="F11">
        <v>2026</v>
      </c>
      <c r="G11">
        <v>2027</v>
      </c>
      <c r="H11">
        <v>2028</v>
      </c>
      <c r="I11">
        <v>2029</v>
      </c>
      <c r="J11">
        <v>2030</v>
      </c>
      <c r="K11">
        <v>2031</v>
      </c>
      <c r="L11">
        <v>2032</v>
      </c>
      <c r="M11">
        <v>2033</v>
      </c>
      <c r="N11">
        <v>2034</v>
      </c>
      <c r="O11">
        <v>2035</v>
      </c>
      <c r="P11">
        <v>2036</v>
      </c>
      <c r="Q11">
        <v>2037</v>
      </c>
      <c r="R11">
        <v>2038</v>
      </c>
      <c r="S11">
        <v>2039</v>
      </c>
      <c r="T11">
        <v>2040</v>
      </c>
      <c r="U11">
        <v>2041</v>
      </c>
      <c r="V11">
        <v>2042</v>
      </c>
      <c r="W11">
        <v>2043</v>
      </c>
      <c r="X11">
        <v>2044</v>
      </c>
      <c r="Y11">
        <v>2045</v>
      </c>
      <c r="Z11">
        <v>2046</v>
      </c>
    </row>
    <row r="12" spans="1:26">
      <c r="A12" s="136" t="s">
        <v>278</v>
      </c>
      <c r="B12" s="101">
        <v>0.23449275367380917</v>
      </c>
      <c r="C12" s="101">
        <v>0.23328097202690296</v>
      </c>
      <c r="D12" s="101">
        <v>0.23144505103933161</v>
      </c>
      <c r="E12" s="101">
        <v>0.22645620305164976</v>
      </c>
      <c r="F12" s="101">
        <v>0.21723406241098547</v>
      </c>
      <c r="G12" s="101">
        <v>0.20858611966773913</v>
      </c>
      <c r="H12" s="101">
        <v>0.19979447453270185</v>
      </c>
      <c r="I12" s="101">
        <v>0.19178999496378363</v>
      </c>
      <c r="J12" s="101">
        <v>0.10229844810550255</v>
      </c>
      <c r="K12" s="101">
        <v>9.1816991157306058E-2</v>
      </c>
      <c r="L12" s="101">
        <v>8.8235256314671717E-2</v>
      </c>
      <c r="M12" s="101">
        <v>8.4480436493160296E-2</v>
      </c>
      <c r="N12" s="101">
        <v>8.1407999144009341E-2</v>
      </c>
      <c r="O12" s="101">
        <v>5.9070029865252539E-2</v>
      </c>
      <c r="P12" s="101">
        <v>4.5564364230121369E-2</v>
      </c>
      <c r="Q12" s="101">
        <v>3.0980444177070882E-2</v>
      </c>
      <c r="R12" s="101">
        <v>3.0196271065777876E-2</v>
      </c>
      <c r="S12" s="101">
        <v>2.8700314015636618E-2</v>
      </c>
      <c r="T12" s="101">
        <v>2.7733996130975106E-2</v>
      </c>
      <c r="U12" s="101">
        <v>2.6985309957051229E-2</v>
      </c>
      <c r="V12" s="101">
        <v>2.6319203811659378E-2</v>
      </c>
      <c r="W12" s="101">
        <v>2.5665442228379062E-2</v>
      </c>
      <c r="X12" s="101">
        <v>2.5024101942584545E-2</v>
      </c>
      <c r="Y12" s="101">
        <v>2.4395179898790118E-2</v>
      </c>
      <c r="Z12" s="101">
        <v>2.377861443594291E-2</v>
      </c>
    </row>
    <row r="13" spans="1:26">
      <c r="A13" s="136" t="s">
        <v>246</v>
      </c>
      <c r="B13" s="101">
        <v>5.1801509160247132E-3</v>
      </c>
      <c r="C13" s="101">
        <v>5.0935077346431828E-3</v>
      </c>
      <c r="D13" s="101">
        <v>4.9739992925115859E-3</v>
      </c>
      <c r="E13" s="101">
        <v>4.7863089641464376E-3</v>
      </c>
      <c r="F13" s="101">
        <v>4.5304419238942654E-3</v>
      </c>
      <c r="G13" s="101">
        <v>4.3012946688287066E-3</v>
      </c>
      <c r="H13" s="101">
        <v>4.0699510894534252E-3</v>
      </c>
      <c r="I13" s="101">
        <v>3.8682188184942156E-3</v>
      </c>
      <c r="J13" s="101">
        <v>1.5005584681774999E-3</v>
      </c>
      <c r="K13" s="101">
        <v>1.3356211879658388E-3</v>
      </c>
      <c r="L13" s="101">
        <v>1.2800883753925929E-3</v>
      </c>
      <c r="M13" s="101">
        <v>1.2222914032783742E-3</v>
      </c>
      <c r="N13" s="101">
        <v>1.1750986497691166E-3</v>
      </c>
      <c r="O13" s="101">
        <v>8.4371948903749999E-4</v>
      </c>
      <c r="P13" s="101">
        <v>6.4364885694966122E-4</v>
      </c>
      <c r="Q13" s="101">
        <v>4.2753012964357818E-4</v>
      </c>
      <c r="R13" s="101">
        <v>4.1670854070773473E-4</v>
      </c>
      <c r="S13" s="101">
        <v>3.9606433341578533E-4</v>
      </c>
      <c r="T13" s="101">
        <v>3.8272914660745648E-4</v>
      </c>
      <c r="U13" s="101">
        <v>3.7239727740730698E-4</v>
      </c>
      <c r="V13" s="101">
        <v>3.632050126008994E-4</v>
      </c>
      <c r="W13" s="101">
        <v>3.5418310275163109E-4</v>
      </c>
      <c r="X13" s="101">
        <v>3.4533260680766678E-4</v>
      </c>
      <c r="Y13" s="101">
        <v>3.3665348260330358E-4</v>
      </c>
      <c r="Z13" s="101">
        <v>3.2814487921601216E-4</v>
      </c>
    </row>
    <row r="16" spans="1:26">
      <c r="C16" s="28"/>
      <c r="D16" s="28"/>
      <c r="E16" s="28"/>
    </row>
    <row r="17" spans="3:5">
      <c r="C17" s="28"/>
      <c r="D17" s="28"/>
      <c r="E17" s="28"/>
    </row>
    <row r="18" spans="3:5">
      <c r="C18" s="28"/>
      <c r="D18" s="101"/>
      <c r="E18" s="101"/>
    </row>
    <row r="19" spans="3:5">
      <c r="C19" s="28"/>
      <c r="D19" s="101"/>
      <c r="E19" s="101"/>
    </row>
    <row r="20" spans="3:5">
      <c r="C20" s="28"/>
      <c r="D20" s="101"/>
      <c r="E20" s="101"/>
    </row>
    <row r="21" spans="3:5">
      <c r="C21" s="28"/>
      <c r="D21" s="101"/>
      <c r="E21" s="101"/>
    </row>
    <row r="22" spans="3:5">
      <c r="C22" s="28"/>
      <c r="D22" s="101"/>
      <c r="E22" s="101"/>
    </row>
    <row r="23" spans="3:5">
      <c r="D23" s="101"/>
      <c r="E23" s="101"/>
    </row>
    <row r="24" spans="3:5">
      <c r="D24" s="101"/>
      <c r="E24" s="101"/>
    </row>
    <row r="25" spans="3:5">
      <c r="D25" s="101"/>
      <c r="E25" s="101"/>
    </row>
    <row r="26" spans="3:5">
      <c r="D26" s="101"/>
      <c r="E26" s="101"/>
    </row>
    <row r="27" spans="3:5">
      <c r="D27" s="101"/>
      <c r="E27" s="101"/>
    </row>
    <row r="28" spans="3:5">
      <c r="D28" s="101"/>
      <c r="E28" s="101"/>
    </row>
    <row r="29" spans="3:5">
      <c r="D29" s="101"/>
      <c r="E29" s="101"/>
    </row>
    <row r="30" spans="3:5">
      <c r="D30" s="101"/>
      <c r="E30" s="101"/>
    </row>
    <row r="31" spans="3:5">
      <c r="D31" s="101"/>
      <c r="E31" s="101"/>
    </row>
    <row r="32" spans="3:5">
      <c r="D32" s="101"/>
      <c r="E32" s="101"/>
    </row>
    <row r="33" spans="4:5">
      <c r="D33" s="101"/>
      <c r="E33" s="101"/>
    </row>
    <row r="34" spans="4:5">
      <c r="D34" s="101"/>
      <c r="E34" s="101"/>
    </row>
    <row r="35" spans="4:5">
      <c r="D35" s="101"/>
      <c r="E35" s="101"/>
    </row>
    <row r="36" spans="4:5">
      <c r="D36" s="101"/>
      <c r="E36" s="101"/>
    </row>
    <row r="37" spans="4:5">
      <c r="D37" s="101"/>
      <c r="E37" s="101"/>
    </row>
    <row r="38" spans="4:5">
      <c r="D38" s="101"/>
      <c r="E38" s="101"/>
    </row>
    <row r="39" spans="4:5">
      <c r="D39" s="101"/>
      <c r="E39" s="101"/>
    </row>
    <row r="40" spans="4:5">
      <c r="D40" s="101"/>
      <c r="E40" s="101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>
    <tabColor rgb="FFFF0000"/>
  </sheetPr>
  <dimension ref="A1:AE10"/>
  <sheetViews>
    <sheetView workbookViewId="0">
      <selection activeCell="H18" sqref="H18"/>
    </sheetView>
  </sheetViews>
  <sheetFormatPr defaultRowHeight="15"/>
  <cols>
    <col min="1" max="1" width="24.28515625" customWidth="1"/>
    <col min="2" max="2" width="48.7109375" bestFit="1" customWidth="1"/>
    <col min="3" max="3" width="12.7109375" customWidth="1"/>
    <col min="6" max="7" width="16.7109375" bestFit="1" customWidth="1"/>
    <col min="8" max="8" width="14.5703125" customWidth="1"/>
    <col min="9" max="15" width="16.7109375" bestFit="1" customWidth="1"/>
    <col min="16" max="28" width="16.7109375" customWidth="1"/>
  </cols>
  <sheetData>
    <row r="1" spans="1:31" ht="15.75" thickBot="1">
      <c r="B1" s="4"/>
      <c r="D1" s="83">
        <v>2022</v>
      </c>
      <c r="E1" s="83">
        <v>2023</v>
      </c>
      <c r="F1" s="83">
        <v>2024</v>
      </c>
      <c r="G1" s="83">
        <v>2025</v>
      </c>
      <c r="H1" s="83">
        <v>2026</v>
      </c>
      <c r="I1" s="83">
        <v>2027</v>
      </c>
      <c r="J1" s="83">
        <v>2028</v>
      </c>
      <c r="K1" s="83">
        <v>2029</v>
      </c>
      <c r="L1" s="83">
        <v>2030</v>
      </c>
      <c r="M1" s="83">
        <v>2031</v>
      </c>
      <c r="N1" s="83">
        <v>2032</v>
      </c>
      <c r="O1" s="83">
        <v>2033</v>
      </c>
      <c r="P1" s="83">
        <v>2034</v>
      </c>
      <c r="Q1" s="83">
        <v>2035</v>
      </c>
      <c r="R1" s="83">
        <v>2036</v>
      </c>
      <c r="S1" s="83">
        <v>2037</v>
      </c>
      <c r="T1" s="83">
        <v>2038</v>
      </c>
      <c r="U1" s="83">
        <v>2039</v>
      </c>
      <c r="V1" s="83">
        <v>2040</v>
      </c>
      <c r="W1" s="83">
        <v>2041</v>
      </c>
      <c r="X1" s="83">
        <v>2042</v>
      </c>
      <c r="Y1" s="83">
        <v>2043</v>
      </c>
      <c r="Z1" s="83">
        <v>2044</v>
      </c>
      <c r="AA1" s="83">
        <v>2045</v>
      </c>
      <c r="AB1" s="83">
        <v>2046</v>
      </c>
    </row>
    <row r="2" spans="1:31">
      <c r="A2" s="502" t="s">
        <v>435</v>
      </c>
      <c r="B2" t="s">
        <v>436</v>
      </c>
      <c r="C2" s="2" t="s">
        <v>282</v>
      </c>
      <c r="D2" s="60" cm="1">
        <f t="array" ref="D2:AB2">TRANSPOSE('Emission Factors - CJF'!V7:V31)</f>
        <v>0.29938570514949003</v>
      </c>
      <c r="E2">
        <v>0.29950235506581635</v>
      </c>
      <c r="F2">
        <v>0.29958893734426179</v>
      </c>
      <c r="G2" s="60">
        <v>0.29975158615615882</v>
      </c>
      <c r="H2" s="60">
        <v>0.29963686300097025</v>
      </c>
      <c r="I2" s="60">
        <v>0.29945353682202497</v>
      </c>
      <c r="J2" s="60">
        <v>0.29907163072043069</v>
      </c>
      <c r="K2" s="60">
        <v>0.29902424288271939</v>
      </c>
      <c r="L2" s="60">
        <v>0.29877137224710987</v>
      </c>
      <c r="M2" s="60">
        <v>0.29877137224710987</v>
      </c>
      <c r="N2" s="60">
        <v>0.29877137224710987</v>
      </c>
      <c r="O2" s="60">
        <v>0.29877137224710998</v>
      </c>
      <c r="P2" s="60">
        <v>0.29877137224710998</v>
      </c>
      <c r="Q2" s="60">
        <v>0.29877137224710998</v>
      </c>
      <c r="R2" s="60">
        <v>0.29877137224710998</v>
      </c>
      <c r="S2" s="60">
        <v>0.29877137224710998</v>
      </c>
      <c r="T2" s="60">
        <v>0.29877137224710998</v>
      </c>
      <c r="U2" s="60">
        <v>0.29877137224710998</v>
      </c>
      <c r="V2" s="60">
        <v>0.29877137224710998</v>
      </c>
      <c r="W2" s="60">
        <v>0.29877137224710998</v>
      </c>
      <c r="X2" s="60">
        <v>0.29877137224710998</v>
      </c>
      <c r="Y2" s="60">
        <v>0.29877137224710998</v>
      </c>
      <c r="Z2" s="60">
        <v>0.29877137224710998</v>
      </c>
      <c r="AA2" s="60">
        <v>0.29877137224710998</v>
      </c>
      <c r="AB2" s="60">
        <v>0.29877137224710998</v>
      </c>
      <c r="AE2" t="s">
        <v>437</v>
      </c>
    </row>
    <row r="3" spans="1:31">
      <c r="A3" s="503"/>
      <c r="B3" t="s">
        <v>438</v>
      </c>
      <c r="C3" s="2" t="s">
        <v>439</v>
      </c>
      <c r="D3" s="66" cm="1">
        <f t="array" ref="D3:AB3">TRANSPOSE('Emission Factors - CJF'!W7:W31)</f>
        <v>6.8688693698392787E-3</v>
      </c>
      <c r="E3">
        <v>6.8532360693179788E-3</v>
      </c>
      <c r="F3">
        <v>6.8991366179510846E-3</v>
      </c>
      <c r="G3" s="66">
        <v>6.8881465957268007E-3</v>
      </c>
      <c r="H3" s="66">
        <v>6.8485839125968029E-3</v>
      </c>
      <c r="I3" s="66">
        <v>6.8221403386168559E-3</v>
      </c>
      <c r="J3" s="66">
        <v>6.8732862071809748E-3</v>
      </c>
      <c r="K3" s="66">
        <v>6.8465046628093966E-3</v>
      </c>
      <c r="L3" s="66">
        <v>6.820455444966793E-3</v>
      </c>
      <c r="M3" s="66">
        <v>6.8204554449667904E-3</v>
      </c>
      <c r="N3" s="66">
        <v>6.820455444966793E-3</v>
      </c>
      <c r="O3" s="66">
        <v>6.8204554449667904E-3</v>
      </c>
      <c r="P3" s="66">
        <v>6.8204554449667904E-3</v>
      </c>
      <c r="Q3" s="66">
        <v>6.8204554449667904E-3</v>
      </c>
      <c r="R3" s="66">
        <v>6.8204554449667904E-3</v>
      </c>
      <c r="S3" s="66">
        <v>6.8204554449667904E-3</v>
      </c>
      <c r="T3" s="66">
        <v>6.8204554449667904E-3</v>
      </c>
      <c r="U3" s="66">
        <v>6.8204554449667904E-3</v>
      </c>
      <c r="V3" s="66">
        <v>6.8204554449667904E-3</v>
      </c>
      <c r="W3" s="66">
        <v>6.8204554449667904E-3</v>
      </c>
      <c r="X3" s="66">
        <v>6.8204554449667904E-3</v>
      </c>
      <c r="Y3" s="66">
        <v>6.8204554449667904E-3</v>
      </c>
      <c r="Z3" s="66">
        <v>6.8204554449667904E-3</v>
      </c>
      <c r="AA3" s="66">
        <v>6.8204554449667904E-3</v>
      </c>
      <c r="AB3" s="66">
        <v>6.8204554449667904E-3</v>
      </c>
      <c r="AE3" t="s">
        <v>437</v>
      </c>
    </row>
    <row r="4" spans="1:31">
      <c r="A4" s="503"/>
      <c r="C4" s="2"/>
    </row>
    <row r="5" spans="1:31">
      <c r="A5" s="503"/>
      <c r="B5" t="s">
        <v>440</v>
      </c>
      <c r="C5" s="2" t="s">
        <v>282</v>
      </c>
      <c r="D5" s="101">
        <f>D2*-(1-$C$8)</f>
        <v>0</v>
      </c>
      <c r="E5" s="101">
        <f t="shared" ref="E5:AB5" si="0">E2*-(1-$C$8)</f>
        <v>0</v>
      </c>
      <c r="F5" s="101">
        <f t="shared" si="0"/>
        <v>0</v>
      </c>
      <c r="G5" s="101">
        <f t="shared" si="0"/>
        <v>0</v>
      </c>
      <c r="H5" s="101">
        <f t="shared" si="0"/>
        <v>0</v>
      </c>
      <c r="I5" s="101">
        <f t="shared" si="0"/>
        <v>0</v>
      </c>
      <c r="J5" s="101">
        <f t="shared" si="0"/>
        <v>0</v>
      </c>
      <c r="K5" s="101">
        <f t="shared" si="0"/>
        <v>0</v>
      </c>
      <c r="L5" s="101">
        <f t="shared" si="0"/>
        <v>0</v>
      </c>
      <c r="M5" s="101">
        <f t="shared" si="0"/>
        <v>0</v>
      </c>
      <c r="N5" s="101">
        <f t="shared" si="0"/>
        <v>0</v>
      </c>
      <c r="O5" s="101">
        <f t="shared" si="0"/>
        <v>0</v>
      </c>
      <c r="P5" s="101">
        <f t="shared" si="0"/>
        <v>0</v>
      </c>
      <c r="Q5" s="101">
        <f t="shared" si="0"/>
        <v>0</v>
      </c>
      <c r="R5" s="101">
        <f t="shared" si="0"/>
        <v>0</v>
      </c>
      <c r="S5" s="101">
        <f t="shared" si="0"/>
        <v>0</v>
      </c>
      <c r="T5" s="101">
        <f t="shared" si="0"/>
        <v>0</v>
      </c>
      <c r="U5" s="101">
        <f t="shared" si="0"/>
        <v>0</v>
      </c>
      <c r="V5" s="101">
        <f t="shared" si="0"/>
        <v>0</v>
      </c>
      <c r="W5" s="101">
        <f t="shared" si="0"/>
        <v>0</v>
      </c>
      <c r="X5" s="101">
        <f t="shared" si="0"/>
        <v>0</v>
      </c>
      <c r="Y5" s="101">
        <f t="shared" si="0"/>
        <v>0</v>
      </c>
      <c r="Z5" s="101">
        <f t="shared" si="0"/>
        <v>0</v>
      </c>
      <c r="AA5" s="101">
        <f t="shared" si="0"/>
        <v>0</v>
      </c>
      <c r="AB5" s="101">
        <f t="shared" si="0"/>
        <v>0</v>
      </c>
    </row>
    <row r="6" spans="1:31">
      <c r="A6" s="503"/>
      <c r="B6" t="s">
        <v>441</v>
      </c>
      <c r="C6" s="2" t="s">
        <v>439</v>
      </c>
      <c r="D6" s="101">
        <f>D3*-(1-$C$9)</f>
        <v>-4.4647650903955312E-3</v>
      </c>
      <c r="E6" s="101">
        <f>E3*-(1-$C$9)</f>
        <v>-4.4546034450566865E-3</v>
      </c>
      <c r="F6" s="101">
        <f>F3*-(1-$C$9)</f>
        <v>-4.4844388016682052E-3</v>
      </c>
      <c r="G6" s="101">
        <f t="shared" ref="G6:AB6" si="1">G3*-(1-$C$9)</f>
        <v>-4.4772952872224204E-3</v>
      </c>
      <c r="H6" s="101">
        <f t="shared" si="1"/>
        <v>-4.4515795431879224E-3</v>
      </c>
      <c r="I6" s="101">
        <f t="shared" si="1"/>
        <v>-4.4343912201009568E-3</v>
      </c>
      <c r="J6" s="101">
        <f t="shared" si="1"/>
        <v>-4.4676360346676339E-3</v>
      </c>
      <c r="K6" s="101">
        <f t="shared" si="1"/>
        <v>-4.4502280308261078E-3</v>
      </c>
      <c r="L6" s="101">
        <f t="shared" si="1"/>
        <v>-4.4332960392284154E-3</v>
      </c>
      <c r="M6" s="101">
        <f t="shared" si="1"/>
        <v>-4.4332960392284137E-3</v>
      </c>
      <c r="N6" s="101">
        <f t="shared" si="1"/>
        <v>-4.4332960392284154E-3</v>
      </c>
      <c r="O6" s="101">
        <f t="shared" si="1"/>
        <v>-4.4332960392284137E-3</v>
      </c>
      <c r="P6" s="101">
        <f t="shared" si="1"/>
        <v>-4.4332960392284137E-3</v>
      </c>
      <c r="Q6" s="101">
        <f t="shared" si="1"/>
        <v>-4.4332960392284137E-3</v>
      </c>
      <c r="R6" s="101">
        <f t="shared" si="1"/>
        <v>-4.4332960392284137E-3</v>
      </c>
      <c r="S6" s="101">
        <f t="shared" si="1"/>
        <v>-4.4332960392284137E-3</v>
      </c>
      <c r="T6" s="101">
        <f t="shared" si="1"/>
        <v>-4.4332960392284137E-3</v>
      </c>
      <c r="U6" s="101">
        <f t="shared" si="1"/>
        <v>-4.4332960392284137E-3</v>
      </c>
      <c r="V6" s="101">
        <f t="shared" si="1"/>
        <v>-4.4332960392284137E-3</v>
      </c>
      <c r="W6" s="101">
        <f t="shared" si="1"/>
        <v>-4.4332960392284137E-3</v>
      </c>
      <c r="X6" s="101">
        <f t="shared" si="1"/>
        <v>-4.4332960392284137E-3</v>
      </c>
      <c r="Y6" s="101">
        <f t="shared" si="1"/>
        <v>-4.4332960392284137E-3</v>
      </c>
      <c r="Z6" s="101">
        <f t="shared" si="1"/>
        <v>-4.4332960392284137E-3</v>
      </c>
      <c r="AA6" s="101">
        <f t="shared" si="1"/>
        <v>-4.4332960392284137E-3</v>
      </c>
      <c r="AB6" s="101">
        <f t="shared" si="1"/>
        <v>-4.4332960392284137E-3</v>
      </c>
      <c r="AE6" s="4"/>
    </row>
    <row r="7" spans="1:31">
      <c r="A7" s="503"/>
    </row>
    <row r="8" spans="1:31">
      <c r="A8" s="503"/>
      <c r="B8" t="s">
        <v>442</v>
      </c>
      <c r="C8" s="3">
        <v>1</v>
      </c>
    </row>
    <row r="9" spans="1:31">
      <c r="A9" s="503"/>
      <c r="B9" t="s">
        <v>443</v>
      </c>
      <c r="C9" s="3">
        <f>1-0.65</f>
        <v>0.35</v>
      </c>
      <c r="E9" s="4" t="s">
        <v>444</v>
      </c>
    </row>
    <row r="10" spans="1:31" ht="15.75" thickBot="1">
      <c r="A10" s="504"/>
    </row>
  </sheetData>
  <mergeCells count="1">
    <mergeCell ref="A2:A10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tabColor rgb="FFFF0000"/>
  </sheetPr>
  <dimension ref="A1:AC70"/>
  <sheetViews>
    <sheetView workbookViewId="0">
      <selection activeCell="A26" sqref="A26"/>
    </sheetView>
  </sheetViews>
  <sheetFormatPr defaultRowHeight="15"/>
  <cols>
    <col min="1" max="1" width="18" bestFit="1" customWidth="1"/>
    <col min="2" max="2" width="17.7109375" bestFit="1" customWidth="1"/>
    <col min="4" max="4" width="29.140625" bestFit="1" customWidth="1"/>
    <col min="5" max="5" width="31.28515625" bestFit="1" customWidth="1"/>
    <col min="6" max="8" width="8" customWidth="1"/>
    <col min="9" max="10" width="8.7109375" customWidth="1"/>
    <col min="11" max="11" width="12" bestFit="1" customWidth="1"/>
    <col min="12" max="12" width="13.28515625" bestFit="1" customWidth="1"/>
    <col min="13" max="15" width="8" customWidth="1"/>
    <col min="16" max="16" width="28.85546875" bestFit="1" customWidth="1"/>
    <col min="17" max="17" width="27" bestFit="1" customWidth="1"/>
    <col min="21" max="21" width="17" customWidth="1"/>
    <col min="22" max="22" width="14.7109375" customWidth="1"/>
    <col min="23" max="23" width="16.28515625" customWidth="1"/>
    <col min="24" max="24" width="20.5703125" bestFit="1" customWidth="1"/>
    <col min="25" max="25" width="21.5703125" bestFit="1" customWidth="1"/>
    <col min="26" max="26" width="11.5703125" bestFit="1" customWidth="1"/>
    <col min="29" max="29" width="32.7109375" customWidth="1"/>
    <col min="30" max="30" width="14.7109375" bestFit="1" customWidth="1"/>
    <col min="32" max="32" width="20.42578125" bestFit="1" customWidth="1"/>
  </cols>
  <sheetData>
    <row r="1" spans="1:23">
      <c r="A1" s="2" t="s">
        <v>445</v>
      </c>
    </row>
    <row r="2" spans="1:23">
      <c r="B2" t="s">
        <v>446</v>
      </c>
      <c r="H2" t="s">
        <v>447</v>
      </c>
      <c r="O2" t="s">
        <v>448</v>
      </c>
      <c r="U2" t="s">
        <v>281</v>
      </c>
    </row>
    <row r="3" spans="1:23">
      <c r="A3" t="s">
        <v>449</v>
      </c>
      <c r="B3" t="s">
        <v>450</v>
      </c>
      <c r="C3" t="s">
        <v>451</v>
      </c>
      <c r="D3" t="s">
        <v>452</v>
      </c>
      <c r="E3" t="s">
        <v>453</v>
      </c>
      <c r="H3" t="s">
        <v>449</v>
      </c>
      <c r="I3" t="s">
        <v>450</v>
      </c>
      <c r="J3" t="s">
        <v>451</v>
      </c>
      <c r="K3" t="s">
        <v>452</v>
      </c>
      <c r="L3" t="s">
        <v>454</v>
      </c>
      <c r="O3" t="s">
        <v>449</v>
      </c>
      <c r="P3" t="s">
        <v>450</v>
      </c>
      <c r="Q3" t="s">
        <v>451</v>
      </c>
      <c r="R3" t="s">
        <v>452</v>
      </c>
      <c r="S3" t="s">
        <v>453</v>
      </c>
      <c r="U3" s="191" t="s">
        <v>449</v>
      </c>
      <c r="V3" s="191" t="s">
        <v>455</v>
      </c>
      <c r="W3" s="191" t="s">
        <v>456</v>
      </c>
    </row>
    <row r="4" spans="1:23">
      <c r="A4">
        <v>2019</v>
      </c>
      <c r="B4">
        <v>36800842.511300623</v>
      </c>
      <c r="C4">
        <v>99260236.967270315</v>
      </c>
      <c r="D4">
        <v>193264874.67412841</v>
      </c>
      <c r="E4" s="59">
        <v>329325954.15269935</v>
      </c>
      <c r="H4">
        <v>2019</v>
      </c>
      <c r="I4">
        <v>491.24946638500001</v>
      </c>
      <c r="J4">
        <v>1330.4855660559997</v>
      </c>
      <c r="K4">
        <v>11068.568467558996</v>
      </c>
      <c r="L4">
        <v>12890.303499999996</v>
      </c>
      <c r="O4">
        <v>2019</v>
      </c>
      <c r="P4">
        <v>31.639475930499998</v>
      </c>
      <c r="Q4">
        <v>95.090383087499987</v>
      </c>
      <c r="R4">
        <v>172.10217448199998</v>
      </c>
      <c r="S4">
        <v>298.83203349999997</v>
      </c>
      <c r="U4">
        <v>2019</v>
      </c>
      <c r="V4" s="445">
        <f>L4/E4/$B$18*1000000</f>
        <v>0.2984461832497885</v>
      </c>
      <c r="W4" s="446">
        <f>S4/E4/$B$18*1000000</f>
        <v>6.9187882062550308E-3</v>
      </c>
    </row>
    <row r="5" spans="1:23">
      <c r="A5">
        <v>2020</v>
      </c>
      <c r="B5">
        <v>37392924.026543587</v>
      </c>
      <c r="C5">
        <v>100857278.0599947</v>
      </c>
      <c r="D5">
        <v>196375409.24809921</v>
      </c>
      <c r="E5">
        <v>334625611.334638</v>
      </c>
      <c r="H5">
        <v>2020</v>
      </c>
      <c r="I5">
        <v>499.89462460999994</v>
      </c>
      <c r="J5">
        <v>1353.8998576159997</v>
      </c>
      <c r="K5">
        <v>11263.356517773998</v>
      </c>
      <c r="L5">
        <v>13117.150999999998</v>
      </c>
      <c r="O5">
        <v>2020</v>
      </c>
      <c r="P5">
        <v>32.138496885999999</v>
      </c>
      <c r="Q5">
        <v>96.590158049999999</v>
      </c>
      <c r="R5">
        <v>174.81658706399998</v>
      </c>
      <c r="S5">
        <v>303.54524199999997</v>
      </c>
      <c r="U5">
        <v>2020</v>
      </c>
      <c r="V5" s="445">
        <f>L5/E5/$B$18*1000000</f>
        <v>0.29888848623561709</v>
      </c>
      <c r="W5" s="446">
        <f t="shared" ref="W5:W15" si="0">S5/E5/$B$18*1000000</f>
        <v>6.9166069587370052E-3</v>
      </c>
    </row>
    <row r="6" spans="1:23">
      <c r="A6">
        <v>2021</v>
      </c>
      <c r="B6">
        <v>37985005.541786432</v>
      </c>
      <c r="C6">
        <v>102454319.15271878</v>
      </c>
      <c r="D6">
        <v>199485943.82206953</v>
      </c>
      <c r="E6">
        <v>339925268.51657474</v>
      </c>
      <c r="H6">
        <v>2021</v>
      </c>
      <c r="I6">
        <v>508.05988266000014</v>
      </c>
      <c r="J6">
        <v>1376.0144016960003</v>
      </c>
      <c r="K6">
        <v>11447.331715644001</v>
      </c>
      <c r="L6">
        <v>13331.406000000001</v>
      </c>
      <c r="O6">
        <v>2021</v>
      </c>
      <c r="P6">
        <v>32.529203215499997</v>
      </c>
      <c r="Q6">
        <v>97.764400462499992</v>
      </c>
      <c r="R6">
        <v>176.94182482199997</v>
      </c>
      <c r="S6">
        <v>307.23542850000001</v>
      </c>
      <c r="U6">
        <v>2021</v>
      </c>
      <c r="V6" s="445">
        <f t="shared" ref="V6:V13" si="1">L6/E6/$B$18*1000000</f>
        <v>0.29903453737546393</v>
      </c>
      <c r="W6" s="446">
        <f t="shared" si="0"/>
        <v>6.8915464900588825E-3</v>
      </c>
    </row>
    <row r="7" spans="1:23">
      <c r="A7">
        <v>2022</v>
      </c>
      <c r="B7">
        <v>38577087.057029337</v>
      </c>
      <c r="C7">
        <v>104051360.24544317</v>
      </c>
      <c r="D7">
        <v>202596478.39604032</v>
      </c>
      <c r="E7">
        <v>345224925.69851279</v>
      </c>
      <c r="H7">
        <v>2022</v>
      </c>
      <c r="I7">
        <v>516.58680460999994</v>
      </c>
      <c r="J7">
        <v>1399.1084656159996</v>
      </c>
      <c r="K7">
        <v>11639.455729773998</v>
      </c>
      <c r="L7">
        <v>13555.150999999998</v>
      </c>
      <c r="O7">
        <v>2022</v>
      </c>
      <c r="P7">
        <v>32.927646304</v>
      </c>
      <c r="Q7">
        <v>98.961895200000001</v>
      </c>
      <c r="R7">
        <v>179.10914649599999</v>
      </c>
      <c r="S7">
        <v>310.99868800000002</v>
      </c>
      <c r="U7">
        <v>2022</v>
      </c>
      <c r="V7" s="445">
        <f t="shared" si="1"/>
        <v>0.29938570514949003</v>
      </c>
      <c r="W7" s="446">
        <f t="shared" si="0"/>
        <v>6.8688693698392787E-3</v>
      </c>
    </row>
    <row r="8" spans="1:23">
      <c r="A8">
        <v>2023</v>
      </c>
      <c r="B8">
        <v>39169168.572272301</v>
      </c>
      <c r="C8">
        <v>105648401.33816755</v>
      </c>
      <c r="D8">
        <v>205707012.97001112</v>
      </c>
      <c r="E8">
        <v>350524582.88045096</v>
      </c>
      <c r="H8">
        <v>2023</v>
      </c>
      <c r="I8">
        <v>524.7214603299999</v>
      </c>
      <c r="J8">
        <v>1421.1401272479998</v>
      </c>
      <c r="K8">
        <v>11822.741412421998</v>
      </c>
      <c r="L8">
        <v>13768.602999999997</v>
      </c>
      <c r="O8">
        <v>2023</v>
      </c>
      <c r="P8">
        <v>33.357036428499995</v>
      </c>
      <c r="Q8">
        <v>100.2523992375</v>
      </c>
      <c r="R8">
        <v>181.44480383399997</v>
      </c>
      <c r="S8">
        <v>315.05423949999994</v>
      </c>
      <c r="U8">
        <v>2023</v>
      </c>
      <c r="V8" s="445">
        <f t="shared" si="1"/>
        <v>0.29950235506581635</v>
      </c>
      <c r="W8" s="446">
        <f t="shared" si="0"/>
        <v>6.8532360693179788E-3</v>
      </c>
    </row>
    <row r="9" spans="1:23">
      <c r="A9">
        <v>2024</v>
      </c>
      <c r="B9">
        <v>39761250.087515265</v>
      </c>
      <c r="C9">
        <v>107245442.43089169</v>
      </c>
      <c r="D9">
        <v>208817547.54398191</v>
      </c>
      <c r="E9">
        <v>355824240.0623889</v>
      </c>
      <c r="H9">
        <v>2024</v>
      </c>
      <c r="I9">
        <v>532.80882154000005</v>
      </c>
      <c r="J9">
        <v>1443.043697824</v>
      </c>
      <c r="K9">
        <v>12004.961480636</v>
      </c>
      <c r="L9">
        <v>13980.814000000002</v>
      </c>
      <c r="O9">
        <v>2024</v>
      </c>
      <c r="P9">
        <v>34.088160153999993</v>
      </c>
      <c r="Q9">
        <v>102.44974394999998</v>
      </c>
      <c r="R9">
        <v>185.42173389599998</v>
      </c>
      <c r="S9">
        <v>321.95963799999993</v>
      </c>
      <c r="U9">
        <v>2024</v>
      </c>
      <c r="V9" s="445">
        <f>L9/E9/$B$18*1000000</f>
        <v>0.29958893734426179</v>
      </c>
      <c r="W9" s="446">
        <f t="shared" si="0"/>
        <v>6.8991366179510846E-3</v>
      </c>
    </row>
    <row r="10" spans="1:23">
      <c r="A10">
        <v>2025</v>
      </c>
      <c r="B10">
        <v>40353331.602758169</v>
      </c>
      <c r="C10">
        <v>108842483.52361608</v>
      </c>
      <c r="D10">
        <v>211928082.1179527</v>
      </c>
      <c r="E10">
        <v>361123897.24432701</v>
      </c>
      <c r="H10">
        <v>2025</v>
      </c>
      <c r="I10">
        <v>541.03806627999995</v>
      </c>
      <c r="J10">
        <v>1465.3315415679999</v>
      </c>
      <c r="K10">
        <v>12190.378392151999</v>
      </c>
      <c r="L10">
        <v>14196.748</v>
      </c>
      <c r="O10">
        <v>2025</v>
      </c>
      <c r="P10">
        <v>34.5407605555</v>
      </c>
      <c r="Q10">
        <v>103.8100049625</v>
      </c>
      <c r="R10">
        <v>187.883642982</v>
      </c>
      <c r="S10">
        <v>326.23440849999997</v>
      </c>
      <c r="U10">
        <v>2025</v>
      </c>
      <c r="V10" s="445">
        <f>L10/E10/$B$18*1000000</f>
        <v>0.29975158615615882</v>
      </c>
      <c r="W10" s="446">
        <f t="shared" si="0"/>
        <v>6.8881465957268007E-3</v>
      </c>
    </row>
    <row r="11" spans="1:23">
      <c r="A11">
        <v>2026</v>
      </c>
      <c r="B11">
        <v>40945413.118001103</v>
      </c>
      <c r="C11">
        <v>110439524.61634046</v>
      </c>
      <c r="D11">
        <v>215038616.6919235</v>
      </c>
      <c r="E11">
        <v>366423554.42626506</v>
      </c>
      <c r="H11">
        <v>2026</v>
      </c>
      <c r="I11">
        <v>548.76793663500007</v>
      </c>
      <c r="J11">
        <v>1486.266894456</v>
      </c>
      <c r="K11">
        <v>12364.543668908998</v>
      </c>
      <c r="L11">
        <v>14399.5785</v>
      </c>
      <c r="O11">
        <v>2026</v>
      </c>
      <c r="P11">
        <v>34.846362535999994</v>
      </c>
      <c r="Q11">
        <v>104.72847179999999</v>
      </c>
      <c r="R11">
        <v>189.54595766399996</v>
      </c>
      <c r="S11">
        <v>329.12079199999994</v>
      </c>
      <c r="U11">
        <v>2026</v>
      </c>
      <c r="V11" s="445">
        <f>L11/E11/$B$18*1000000</f>
        <v>0.29963686300097025</v>
      </c>
      <c r="W11" s="446">
        <f t="shared" si="0"/>
        <v>6.8485839125968029E-3</v>
      </c>
    </row>
    <row r="12" spans="1:23">
      <c r="A12">
        <v>2027</v>
      </c>
      <c r="B12">
        <v>41537494.633244067</v>
      </c>
      <c r="C12">
        <v>112036565.70906454</v>
      </c>
      <c r="D12">
        <v>218149151.26589429</v>
      </c>
      <c r="E12">
        <v>371723211.60820293</v>
      </c>
      <c r="H12">
        <v>2027</v>
      </c>
      <c r="I12">
        <v>556.36426955000002</v>
      </c>
      <c r="J12">
        <v>1506.8405784800002</v>
      </c>
      <c r="K12">
        <v>12535.700151970001</v>
      </c>
      <c r="L12">
        <v>14598.905000000002</v>
      </c>
      <c r="O12">
        <v>2027</v>
      </c>
      <c r="P12">
        <v>35.213858588500003</v>
      </c>
      <c r="Q12">
        <v>105.83295723750001</v>
      </c>
      <c r="R12">
        <v>191.544943674</v>
      </c>
      <c r="S12">
        <v>332.59175950000002</v>
      </c>
      <c r="U12">
        <v>2027</v>
      </c>
      <c r="V12" s="445">
        <f t="shared" si="1"/>
        <v>0.29945353682202497</v>
      </c>
      <c r="W12" s="446">
        <f t="shared" si="0"/>
        <v>6.8221403386168559E-3</v>
      </c>
    </row>
    <row r="13" spans="1:23">
      <c r="A13">
        <v>2028</v>
      </c>
      <c r="B13">
        <v>42129576.148486972</v>
      </c>
      <c r="C13">
        <v>113633606.80178893</v>
      </c>
      <c r="D13">
        <v>221259685.83986509</v>
      </c>
      <c r="E13">
        <v>377022868.79014099</v>
      </c>
      <c r="H13">
        <v>2028</v>
      </c>
      <c r="I13">
        <v>563.57668232500009</v>
      </c>
      <c r="J13">
        <v>1526.3744645200002</v>
      </c>
      <c r="K13">
        <v>12698.206353154999</v>
      </c>
      <c r="L13">
        <v>14788.157499999998</v>
      </c>
      <c r="O13">
        <v>2028</v>
      </c>
      <c r="P13">
        <v>35.983666108999998</v>
      </c>
      <c r="Q13">
        <v>108.14656357499999</v>
      </c>
      <c r="R13">
        <v>195.73229331599995</v>
      </c>
      <c r="S13">
        <v>339.86252299999995</v>
      </c>
      <c r="U13">
        <v>2028</v>
      </c>
      <c r="V13" s="445">
        <f t="shared" si="1"/>
        <v>0.29907163072043069</v>
      </c>
      <c r="W13" s="446">
        <f t="shared" si="0"/>
        <v>6.8732862071809748E-3</v>
      </c>
    </row>
    <row r="14" spans="1:23">
      <c r="A14">
        <v>2029</v>
      </c>
      <c r="B14">
        <v>42721657.663729817</v>
      </c>
      <c r="C14">
        <v>115230647.89451331</v>
      </c>
      <c r="D14">
        <v>224370220.41383588</v>
      </c>
      <c r="E14">
        <v>382322525.97207904</v>
      </c>
      <c r="H14">
        <v>2029</v>
      </c>
      <c r="I14">
        <v>571.4080967750001</v>
      </c>
      <c r="J14">
        <v>1547.5848364400001</v>
      </c>
      <c r="K14">
        <v>12874.659566784998</v>
      </c>
      <c r="L14">
        <v>14993.6525</v>
      </c>
      <c r="O14">
        <v>2029</v>
      </c>
      <c r="P14">
        <v>36.347293782000001</v>
      </c>
      <c r="Q14">
        <v>109.23942285000001</v>
      </c>
      <c r="R14">
        <v>197.71023736800001</v>
      </c>
      <c r="S14">
        <v>343.29695400000003</v>
      </c>
      <c r="U14">
        <v>2029</v>
      </c>
      <c r="V14" s="445">
        <f>L14/E14/$B$18*1000000</f>
        <v>0.29902424288271939</v>
      </c>
      <c r="W14" s="446">
        <f t="shared" si="0"/>
        <v>6.8465046628093966E-3</v>
      </c>
    </row>
    <row r="15" spans="1:23">
      <c r="A15">
        <v>2030</v>
      </c>
      <c r="B15">
        <v>43313739.178972781</v>
      </c>
      <c r="C15">
        <v>116827688.98723769</v>
      </c>
      <c r="D15">
        <v>227480754.98780668</v>
      </c>
      <c r="E15">
        <v>387622183.15401715</v>
      </c>
      <c r="H15">
        <v>2030</v>
      </c>
      <c r="I15">
        <v>578.83889890500006</v>
      </c>
      <c r="J15">
        <v>1567.7102017680002</v>
      </c>
      <c r="K15">
        <v>13042.086399327001</v>
      </c>
      <c r="L15">
        <v>15188.635500000002</v>
      </c>
      <c r="O15">
        <v>2030</v>
      </c>
      <c r="P15">
        <v>36.710921455000005</v>
      </c>
      <c r="Q15">
        <v>110.33228212500001</v>
      </c>
      <c r="R15">
        <v>199.68818141999998</v>
      </c>
      <c r="S15">
        <v>346.73138499999993</v>
      </c>
      <c r="U15">
        <v>2030</v>
      </c>
      <c r="V15" s="445">
        <f>L15/E15/$B$18*1000000</f>
        <v>0.29877137224710987</v>
      </c>
      <c r="W15" s="446">
        <f t="shared" si="0"/>
        <v>6.820455444966793E-3</v>
      </c>
    </row>
    <row r="16" spans="1:23">
      <c r="L16">
        <f>L15/365</f>
        <v>41.612700000000004</v>
      </c>
      <c r="U16">
        <v>2031</v>
      </c>
      <c r="V16" s="60">
        <v>0.29877137224710987</v>
      </c>
      <c r="W16" s="66">
        <v>6.8204554449667904E-3</v>
      </c>
    </row>
    <row r="17" spans="1:23">
      <c r="A17" t="s">
        <v>457</v>
      </c>
      <c r="B17">
        <v>124307.03423937227</v>
      </c>
      <c r="C17" t="s">
        <v>458</v>
      </c>
      <c r="D17">
        <v>947.81712266701334</v>
      </c>
      <c r="E17" t="s">
        <v>459</v>
      </c>
      <c r="U17">
        <v>2032</v>
      </c>
      <c r="V17" s="60">
        <v>0.29877137224710987</v>
      </c>
      <c r="W17" s="66">
        <v>6.820455444966793E-3</v>
      </c>
    </row>
    <row r="18" spans="1:23">
      <c r="B18">
        <f>B17/D17</f>
        <v>131.15086367040001</v>
      </c>
      <c r="C18" t="s">
        <v>460</v>
      </c>
      <c r="U18">
        <v>2033</v>
      </c>
      <c r="V18" s="60">
        <v>0.29877137224710998</v>
      </c>
      <c r="W18" s="66">
        <v>6.8204554449667904E-3</v>
      </c>
    </row>
    <row r="19" spans="1:23">
      <c r="U19">
        <v>2034</v>
      </c>
      <c r="V19" s="60">
        <v>0.29877137224710998</v>
      </c>
      <c r="W19" s="66">
        <v>6.8204554449667904E-3</v>
      </c>
    </row>
    <row r="20" spans="1:23">
      <c r="U20">
        <v>2035</v>
      </c>
      <c r="V20" s="60">
        <v>0.29877137224710998</v>
      </c>
      <c r="W20" s="66">
        <v>6.8204554449667904E-3</v>
      </c>
    </row>
    <row r="21" spans="1:23">
      <c r="A21" s="2" t="s">
        <v>461</v>
      </c>
      <c r="B21" t="s">
        <v>446</v>
      </c>
      <c r="H21" s="2" t="s">
        <v>462</v>
      </c>
      <c r="I21" t="s">
        <v>463</v>
      </c>
      <c r="O21" t="s">
        <v>464</v>
      </c>
      <c r="P21" t="s">
        <v>446</v>
      </c>
      <c r="U21">
        <v>2036</v>
      </c>
      <c r="V21" s="60">
        <v>0.29877137224710998</v>
      </c>
      <c r="W21" s="66">
        <v>6.8204554449667904E-3</v>
      </c>
    </row>
    <row r="22" spans="1:23">
      <c r="A22" t="s">
        <v>449</v>
      </c>
      <c r="B22" t="s">
        <v>450</v>
      </c>
      <c r="C22" t="s">
        <v>451</v>
      </c>
      <c r="D22" t="s">
        <v>452</v>
      </c>
      <c r="E22" t="s">
        <v>453</v>
      </c>
      <c r="F22" t="s">
        <v>465</v>
      </c>
      <c r="H22" t="s">
        <v>449</v>
      </c>
      <c r="I22" t="s">
        <v>450</v>
      </c>
      <c r="J22" t="s">
        <v>451</v>
      </c>
      <c r="K22" t="s">
        <v>452</v>
      </c>
      <c r="L22" t="s">
        <v>453</v>
      </c>
      <c r="M22" t="s">
        <v>465</v>
      </c>
      <c r="O22" t="s">
        <v>449</v>
      </c>
      <c r="P22" t="s">
        <v>450</v>
      </c>
      <c r="Q22" t="s">
        <v>451</v>
      </c>
      <c r="R22" t="s">
        <v>452</v>
      </c>
      <c r="S22" t="s">
        <v>453</v>
      </c>
      <c r="T22" t="s">
        <v>465</v>
      </c>
      <c r="U22">
        <v>2037</v>
      </c>
      <c r="V22" s="60">
        <v>0.29877137224710998</v>
      </c>
      <c r="W22" s="66">
        <v>6.8204554449667904E-3</v>
      </c>
    </row>
    <row r="23" spans="1:23">
      <c r="A23">
        <v>2019</v>
      </c>
      <c r="B23">
        <v>10891650.456847608</v>
      </c>
      <c r="C23">
        <v>28935287.10518384</v>
      </c>
      <c r="D23">
        <v>53884085.527951002</v>
      </c>
      <c r="E23">
        <v>93711023.089982405</v>
      </c>
      <c r="F23">
        <v>154201489.98009199</v>
      </c>
      <c r="H23">
        <v>2019</v>
      </c>
      <c r="I23" s="29">
        <v>198732185.54239538</v>
      </c>
      <c r="J23" s="29">
        <v>539415932.18649948</v>
      </c>
      <c r="K23" s="29">
        <v>1049130917.6276464</v>
      </c>
      <c r="L23" s="29">
        <v>1787279035.3565412</v>
      </c>
      <c r="M23">
        <v>1651325920.7126105</v>
      </c>
      <c r="O23">
        <v>2019</v>
      </c>
      <c r="P23">
        <v>5705214.1784046888</v>
      </c>
      <c r="Q23">
        <v>15485581.341384113</v>
      </c>
      <c r="R23">
        <v>32721579.461667657</v>
      </c>
      <c r="S23">
        <v>53912374.981456459</v>
      </c>
      <c r="T23" s="167">
        <v>1795191170.0743582</v>
      </c>
      <c r="U23">
        <v>2038</v>
      </c>
      <c r="V23" s="60">
        <v>0.29877137224710998</v>
      </c>
      <c r="W23" s="66">
        <v>6.8204554449667904E-3</v>
      </c>
    </row>
    <row r="24" spans="1:23">
      <c r="A24">
        <v>2020</v>
      </c>
      <c r="B24">
        <v>11065796.79645443</v>
      </c>
      <c r="C24">
        <v>29397932.721181512</v>
      </c>
      <c r="D24">
        <v>54745636.887401104</v>
      </c>
      <c r="E24">
        <v>95209366.405037045</v>
      </c>
      <c r="F24">
        <v>156360395.58257511</v>
      </c>
      <c r="H24">
        <v>2020</v>
      </c>
      <c r="I24" s="29">
        <v>201923573.82368666</v>
      </c>
      <c r="J24" s="29">
        <v>548078271.8071475</v>
      </c>
      <c r="K24" s="29">
        <v>1065978637.1196806</v>
      </c>
      <c r="L24" s="29">
        <v>1815980482.7505147</v>
      </c>
      <c r="M24">
        <v>1674586649.951525</v>
      </c>
      <c r="O24">
        <v>2020</v>
      </c>
      <c r="P24">
        <v>5798698.9483196437</v>
      </c>
      <c r="Q24">
        <v>15739325.716867566</v>
      </c>
      <c r="R24">
        <v>33257750.275167823</v>
      </c>
      <c r="S24">
        <v>54795774.940355033</v>
      </c>
      <c r="T24" s="167">
        <v>1821198036.1687949</v>
      </c>
      <c r="U24">
        <v>2039</v>
      </c>
      <c r="V24" s="60">
        <v>0.29877137224710998</v>
      </c>
      <c r="W24" s="66">
        <v>6.8204554449667904E-3</v>
      </c>
    </row>
    <row r="25" spans="1:23">
      <c r="A25">
        <v>2021</v>
      </c>
      <c r="B25">
        <v>11239943.136061251</v>
      </c>
      <c r="C25">
        <v>29860578.337179184</v>
      </c>
      <c r="D25">
        <v>55607188.246851206</v>
      </c>
      <c r="E25">
        <v>96707709.720091641</v>
      </c>
      <c r="F25">
        <v>158546266.28377205</v>
      </c>
      <c r="H25">
        <v>2021</v>
      </c>
      <c r="I25" s="29">
        <v>205114962.10497674</v>
      </c>
      <c r="J25" s="29">
        <v>556740611.42779315</v>
      </c>
      <c r="K25" s="29">
        <v>1082826356.6117101</v>
      </c>
      <c r="L25" s="29">
        <v>1844681930.14448</v>
      </c>
      <c r="M25">
        <v>1698134064.6575711</v>
      </c>
      <c r="O25">
        <v>2021</v>
      </c>
      <c r="P25">
        <v>5892183.7182345986</v>
      </c>
      <c r="Q25">
        <v>15993070.09235096</v>
      </c>
      <c r="R25">
        <v>33793921.088667989</v>
      </c>
      <c r="S25">
        <v>55679174.899253547</v>
      </c>
      <c r="T25" s="167">
        <v>1847505949.7607739</v>
      </c>
      <c r="U25">
        <v>2040</v>
      </c>
      <c r="V25" s="60">
        <v>0.29877137224710998</v>
      </c>
      <c r="W25" s="66">
        <v>6.8204554449667904E-3</v>
      </c>
    </row>
    <row r="26" spans="1:23">
      <c r="A26">
        <v>2022</v>
      </c>
      <c r="B26">
        <v>11414089.475668013</v>
      </c>
      <c r="C26">
        <v>30323223.953176856</v>
      </c>
      <c r="D26">
        <v>56468739.606301308</v>
      </c>
      <c r="E26">
        <v>98206053.035146177</v>
      </c>
      <c r="F26">
        <v>160759466.11251566</v>
      </c>
      <c r="H26">
        <v>2022</v>
      </c>
      <c r="I26" s="29">
        <v>208306350.38626799</v>
      </c>
      <c r="J26" s="29">
        <v>565402951.04844117</v>
      </c>
      <c r="K26" s="29">
        <v>1099674076.1037443</v>
      </c>
      <c r="L26" s="29">
        <v>1873383377.5384536</v>
      </c>
      <c r="M26">
        <v>1721972035.0845544</v>
      </c>
      <c r="O26">
        <v>2022</v>
      </c>
      <c r="P26">
        <v>5985668.4881495535</v>
      </c>
      <c r="Q26">
        <v>16246814.467834413</v>
      </c>
      <c r="R26">
        <v>34330091.902168155</v>
      </c>
      <c r="S26">
        <v>56562574.858152121</v>
      </c>
      <c r="T26" s="167">
        <v>1874118974.9915113</v>
      </c>
      <c r="U26">
        <v>2041</v>
      </c>
      <c r="V26" s="60">
        <v>0.29877137224710998</v>
      </c>
      <c r="W26" s="66">
        <v>6.8204554449667904E-3</v>
      </c>
    </row>
    <row r="27" spans="1:23">
      <c r="A27">
        <v>2023</v>
      </c>
      <c r="B27">
        <v>11588235.815274835</v>
      </c>
      <c r="C27">
        <v>30785869.569174528</v>
      </c>
      <c r="D27">
        <v>57330290.96575141</v>
      </c>
      <c r="E27">
        <v>99704396.350200772</v>
      </c>
      <c r="F27">
        <v>163000364.01202771</v>
      </c>
      <c r="H27">
        <v>2023</v>
      </c>
      <c r="I27" s="29">
        <v>211497738.66755927</v>
      </c>
      <c r="J27" s="29">
        <v>574065290.6690892</v>
      </c>
      <c r="K27" s="29">
        <v>1116521795.5957785</v>
      </c>
      <c r="L27" s="29">
        <v>1902084824.9324269</v>
      </c>
      <c r="M27">
        <v>1746104483.7347083</v>
      </c>
      <c r="O27">
        <v>2023</v>
      </c>
      <c r="P27">
        <v>6079153.2580645084</v>
      </c>
      <c r="Q27">
        <v>16500558.843317866</v>
      </c>
      <c r="R27">
        <v>34866262.715668321</v>
      </c>
      <c r="S27">
        <v>57445974.817050695</v>
      </c>
      <c r="T27" s="167">
        <v>1901041230.8681321</v>
      </c>
      <c r="U27">
        <v>2042</v>
      </c>
      <c r="V27" s="60">
        <v>0.29877137224710998</v>
      </c>
      <c r="W27" s="66">
        <v>6.8204554449667904E-3</v>
      </c>
    </row>
    <row r="28" spans="1:23">
      <c r="A28">
        <v>2024</v>
      </c>
      <c r="B28">
        <v>11762382.154881656</v>
      </c>
      <c r="C28">
        <v>31248515.1851722</v>
      </c>
      <c r="D28">
        <v>58191842.325201511</v>
      </c>
      <c r="E28">
        <v>101202739.66525537</v>
      </c>
      <c r="F28">
        <v>165269333.90626365</v>
      </c>
      <c r="H28">
        <v>2024</v>
      </c>
      <c r="I28" s="29">
        <v>214689126.94885051</v>
      </c>
      <c r="J28" s="29">
        <v>582727630.28973496</v>
      </c>
      <c r="K28" s="29">
        <v>1133369515.0878127</v>
      </c>
      <c r="L28" s="29">
        <v>1930786272.3263981</v>
      </c>
      <c r="M28">
        <v>1770535386.0640452</v>
      </c>
      <c r="O28">
        <v>2024</v>
      </c>
      <c r="P28">
        <v>6172638.0279794633</v>
      </c>
      <c r="Q28">
        <v>16754303.21880132</v>
      </c>
      <c r="R28">
        <v>35402433.529168487</v>
      </c>
      <c r="S28">
        <v>58329374.77594927</v>
      </c>
      <c r="T28" s="167">
        <v>1928276892.0043547</v>
      </c>
      <c r="U28">
        <v>2043</v>
      </c>
      <c r="V28" s="60">
        <v>0.29877137224710998</v>
      </c>
      <c r="W28" s="66">
        <v>6.8204554449667904E-3</v>
      </c>
    </row>
    <row r="29" spans="1:23">
      <c r="A29">
        <v>2025</v>
      </c>
      <c r="B29">
        <v>11936528.494488418</v>
      </c>
      <c r="C29">
        <v>31711160.801169872</v>
      </c>
      <c r="D29">
        <v>59053393.684651613</v>
      </c>
      <c r="E29">
        <v>102701082.9803099</v>
      </c>
      <c r="F29">
        <v>167566754.76715231</v>
      </c>
      <c r="H29">
        <v>2025</v>
      </c>
      <c r="I29" s="29">
        <v>217880515.23014179</v>
      </c>
      <c r="J29" s="29">
        <v>591389969.91038299</v>
      </c>
      <c r="K29" s="29">
        <v>1150217234.5798469</v>
      </c>
      <c r="L29" s="29">
        <v>1959487719.7203717</v>
      </c>
      <c r="M29">
        <v>1795268771.1972339</v>
      </c>
      <c r="O29">
        <v>2025</v>
      </c>
      <c r="P29">
        <v>6266122.7978944182</v>
      </c>
      <c r="Q29">
        <v>17008047.594284773</v>
      </c>
      <c r="R29">
        <v>35938604.342668653</v>
      </c>
      <c r="S29">
        <v>59212774.734847844</v>
      </c>
      <c r="T29" s="167">
        <v>1955830189.3711841</v>
      </c>
      <c r="U29">
        <v>2044</v>
      </c>
      <c r="V29" s="60">
        <v>0.29877137224710998</v>
      </c>
      <c r="W29" s="66">
        <v>6.8204554449667904E-3</v>
      </c>
    </row>
    <row r="30" spans="1:23">
      <c r="A30">
        <v>2026</v>
      </c>
      <c r="B30">
        <v>12110674.83409524</v>
      </c>
      <c r="C30">
        <v>32173806.417167544</v>
      </c>
      <c r="D30">
        <v>59914945.044101715</v>
      </c>
      <c r="E30">
        <v>104199426.2953645</v>
      </c>
      <c r="F30">
        <v>169893010.68274337</v>
      </c>
      <c r="H30">
        <v>2026</v>
      </c>
      <c r="I30" s="29">
        <v>221071903.51143304</v>
      </c>
      <c r="J30" s="29">
        <v>600052309.53103101</v>
      </c>
      <c r="K30" s="29">
        <v>1167064954.0718811</v>
      </c>
      <c r="L30" s="29">
        <v>1988189167.1143451</v>
      </c>
      <c r="M30">
        <v>1820308722.6521266</v>
      </c>
      <c r="O30">
        <v>2026</v>
      </c>
      <c r="P30">
        <v>6359607.5678093433</v>
      </c>
      <c r="Q30">
        <v>17261791.969768226</v>
      </c>
      <c r="R30">
        <v>36474775.156168818</v>
      </c>
      <c r="S30">
        <v>60096174.693746388</v>
      </c>
      <c r="T30" s="167">
        <v>1983705411.0577314</v>
      </c>
      <c r="U30">
        <v>2045</v>
      </c>
      <c r="V30" s="60">
        <v>0.29877137224710998</v>
      </c>
      <c r="W30" s="66">
        <v>6.8204554449667904E-3</v>
      </c>
    </row>
    <row r="31" spans="1:23">
      <c r="A31">
        <v>2027</v>
      </c>
      <c r="B31">
        <v>12284821.173702061</v>
      </c>
      <c r="C31">
        <v>32636452.033165216</v>
      </c>
      <c r="D31">
        <v>60776496.403551817</v>
      </c>
      <c r="E31">
        <v>105697769.61041909</v>
      </c>
      <c r="F31">
        <v>172248490.92627537</v>
      </c>
      <c r="H31">
        <v>2027</v>
      </c>
      <c r="I31" s="29">
        <v>224263291.79272431</v>
      </c>
      <c r="J31" s="29">
        <v>608714649.15167677</v>
      </c>
      <c r="K31" s="29">
        <v>1183912673.5639153</v>
      </c>
      <c r="L31" s="29">
        <v>2016890614.5083163</v>
      </c>
      <c r="M31">
        <v>1845659379.0740664</v>
      </c>
      <c r="O31">
        <v>2027</v>
      </c>
      <c r="P31">
        <v>6453092.3377242982</v>
      </c>
      <c r="Q31">
        <v>17515536.34525162</v>
      </c>
      <c r="R31">
        <v>37010945.969668984</v>
      </c>
      <c r="S31">
        <v>60979574.652644902</v>
      </c>
      <c r="T31" s="167">
        <v>2011906903.0423162</v>
      </c>
      <c r="U31">
        <v>2046</v>
      </c>
      <c r="V31" s="60">
        <v>0.29877137224710998</v>
      </c>
      <c r="W31" s="66">
        <v>6.8204554449667904E-3</v>
      </c>
    </row>
    <row r="32" spans="1:23">
      <c r="A32">
        <v>2028</v>
      </c>
      <c r="B32">
        <v>12458967.513308823</v>
      </c>
      <c r="C32">
        <v>33099097.649162889</v>
      </c>
      <c r="D32">
        <v>61638047.763001919</v>
      </c>
      <c r="E32">
        <v>107196112.92547363</v>
      </c>
      <c r="F32">
        <v>174633590.02617553</v>
      </c>
      <c r="H32">
        <v>2028</v>
      </c>
      <c r="I32" s="29">
        <v>227454680.07401556</v>
      </c>
      <c r="J32" s="29">
        <v>617376988.7723248</v>
      </c>
      <c r="K32" s="29">
        <v>1200760393.0559494</v>
      </c>
      <c r="L32" s="29">
        <v>2045592061.9022899</v>
      </c>
      <c r="M32">
        <v>1871324934.9801083</v>
      </c>
      <c r="O32">
        <v>2028</v>
      </c>
      <c r="P32">
        <v>6546577.1076392531</v>
      </c>
      <c r="Q32">
        <v>17769280.720735073</v>
      </c>
      <c r="R32">
        <v>37547116.78316915</v>
      </c>
      <c r="S32">
        <v>61862974.611543477</v>
      </c>
      <c r="T32" s="167">
        <v>2040439069.9739606</v>
      </c>
      <c r="U32" s="98"/>
    </row>
    <row r="33" spans="1:25">
      <c r="A33">
        <v>2029</v>
      </c>
      <c r="B33">
        <v>12633113.852915645</v>
      </c>
      <c r="C33">
        <v>33561743.265160561</v>
      </c>
      <c r="D33">
        <v>62499599.122452021</v>
      </c>
      <c r="E33">
        <v>108694456.24052823</v>
      </c>
      <c r="F33">
        <v>177048707.83700478</v>
      </c>
      <c r="H33">
        <v>2029</v>
      </c>
      <c r="I33" s="29">
        <v>230646068.35530564</v>
      </c>
      <c r="J33" s="29">
        <v>626039328.39297283</v>
      </c>
      <c r="K33" s="29">
        <v>1217608112.5479836</v>
      </c>
      <c r="L33" s="29">
        <v>2074293509.2962623</v>
      </c>
      <c r="M33">
        <v>1897309641.5132878</v>
      </c>
      <c r="O33">
        <v>2029</v>
      </c>
      <c r="P33">
        <v>6640061.877554208</v>
      </c>
      <c r="Q33">
        <v>18023025.096218526</v>
      </c>
      <c r="R33">
        <v>38083287.596669316</v>
      </c>
      <c r="S33">
        <v>62746374.570442051</v>
      </c>
      <c r="T33" s="167">
        <v>2069306375.9644492</v>
      </c>
      <c r="U33" s="98"/>
    </row>
    <row r="34" spans="1:25">
      <c r="A34">
        <v>2030</v>
      </c>
      <c r="B34">
        <v>12807260.192522466</v>
      </c>
      <c r="C34">
        <v>34024388.881158233</v>
      </c>
      <c r="D34">
        <v>63361150.481902122</v>
      </c>
      <c r="E34">
        <v>110192799.55558282</v>
      </c>
      <c r="F34">
        <v>179494249.61136073</v>
      </c>
      <c r="H34">
        <v>2030</v>
      </c>
      <c r="I34" s="29">
        <v>233837456.63659692</v>
      </c>
      <c r="J34" s="29">
        <v>634701668.01362085</v>
      </c>
      <c r="K34" s="29">
        <v>1234455832.0400178</v>
      </c>
      <c r="L34" s="29">
        <v>2102994956.6902356</v>
      </c>
      <c r="M34">
        <v>1923617807.2070711</v>
      </c>
      <c r="O34">
        <v>2030</v>
      </c>
      <c r="P34">
        <v>6733546.6474691629</v>
      </c>
      <c r="Q34">
        <v>18276769.47170198</v>
      </c>
      <c r="R34">
        <v>38619458.410169482</v>
      </c>
      <c r="S34">
        <v>63629774.529340625</v>
      </c>
      <c r="T34" s="167">
        <v>2098513345.3910761</v>
      </c>
    </row>
    <row r="35" spans="1:25">
      <c r="B35" s="136"/>
    </row>
    <row r="36" spans="1:25">
      <c r="H36" s="2"/>
    </row>
    <row r="37" spans="1:25">
      <c r="C37" s="29"/>
      <c r="E37" s="29"/>
    </row>
    <row r="38" spans="1:25">
      <c r="D38" s="29"/>
      <c r="E38" s="29"/>
      <c r="L38" s="98"/>
      <c r="S38" s="492"/>
    </row>
    <row r="39" spans="1:25">
      <c r="L39" s="98"/>
      <c r="S39" s="492"/>
    </row>
    <row r="40" spans="1:25">
      <c r="B40" s="98"/>
      <c r="C40" s="98"/>
      <c r="D40" s="98"/>
      <c r="L40" s="98"/>
      <c r="S40" s="492"/>
    </row>
    <row r="41" spans="1:25">
      <c r="B41" s="98"/>
      <c r="C41" s="98"/>
      <c r="D41" s="98"/>
      <c r="L41" s="98"/>
      <c r="S41" s="492"/>
    </row>
    <row r="42" spans="1:25">
      <c r="T42" s="98"/>
      <c r="U42" s="98"/>
    </row>
    <row r="43" spans="1:25">
      <c r="A43" s="2"/>
      <c r="G43" s="2"/>
      <c r="T43" s="167"/>
      <c r="U43" s="167"/>
    </row>
    <row r="44" spans="1:25">
      <c r="B44" s="98"/>
      <c r="C44" s="98"/>
      <c r="D44" s="98"/>
      <c r="H44" s="98"/>
      <c r="I44" s="98"/>
      <c r="J44" s="98"/>
      <c r="S44" s="492"/>
      <c r="T44" s="98"/>
      <c r="U44" s="98"/>
    </row>
    <row r="45" spans="1:25">
      <c r="B45" s="98"/>
      <c r="C45" s="98"/>
      <c r="D45" s="98"/>
      <c r="H45" s="98"/>
      <c r="I45" s="98"/>
      <c r="J45" s="98"/>
      <c r="S45" s="492"/>
    </row>
    <row r="46" spans="1:25">
      <c r="B46" s="98"/>
      <c r="C46" s="98"/>
      <c r="D46" s="98"/>
      <c r="H46" s="98"/>
      <c r="I46" s="98"/>
      <c r="J46" s="98"/>
      <c r="S46" s="492"/>
    </row>
    <row r="47" spans="1:25">
      <c r="B47" s="98"/>
      <c r="C47" s="98"/>
      <c r="D47" s="98"/>
      <c r="H47" s="98"/>
      <c r="S47" s="492"/>
      <c r="T47" s="98"/>
      <c r="U47" s="98"/>
    </row>
    <row r="48" spans="1:25">
      <c r="B48" s="98"/>
      <c r="C48" s="98"/>
      <c r="D48" s="98"/>
      <c r="H48" s="98"/>
      <c r="T48" s="98"/>
      <c r="U48" s="98"/>
      <c r="W48" s="98"/>
      <c r="X48" s="98"/>
      <c r="Y48" s="98"/>
    </row>
    <row r="49" spans="1:29">
      <c r="B49" s="98"/>
      <c r="C49" s="98"/>
      <c r="D49" s="98"/>
      <c r="H49" s="98"/>
      <c r="S49" s="505"/>
      <c r="T49" s="98"/>
      <c r="U49" s="98"/>
      <c r="W49" s="98"/>
      <c r="X49" s="98"/>
      <c r="Y49" s="98"/>
    </row>
    <row r="50" spans="1:29">
      <c r="D50" s="447"/>
      <c r="J50" s="98"/>
      <c r="K50" s="447"/>
      <c r="L50" s="98"/>
      <c r="S50" s="505"/>
      <c r="T50" s="98"/>
      <c r="U50" s="98"/>
      <c r="V50" s="98"/>
      <c r="W50" s="98"/>
      <c r="Y50" s="98"/>
      <c r="Z50" s="98"/>
      <c r="AA50" s="98"/>
    </row>
    <row r="51" spans="1:29">
      <c r="S51" s="505"/>
      <c r="T51" s="98"/>
      <c r="U51" s="98"/>
      <c r="V51" s="98"/>
      <c r="W51" s="98"/>
      <c r="Y51" s="98"/>
      <c r="Z51" s="98"/>
      <c r="AA51" s="98"/>
    </row>
    <row r="52" spans="1:29">
      <c r="G52" s="2"/>
      <c r="S52" s="505"/>
      <c r="T52" s="98"/>
      <c r="U52" s="98"/>
      <c r="V52" s="98"/>
      <c r="W52" s="98"/>
      <c r="Y52" s="98"/>
      <c r="Z52" s="98"/>
      <c r="AA52" s="98"/>
      <c r="AB52" s="98"/>
      <c r="AC52" s="168"/>
    </row>
    <row r="53" spans="1:29">
      <c r="A53" s="492"/>
      <c r="C53" s="60"/>
      <c r="H53" s="98"/>
      <c r="I53" s="98"/>
      <c r="J53" s="98"/>
      <c r="W53" s="98"/>
    </row>
    <row r="54" spans="1:29">
      <c r="A54" s="492"/>
      <c r="C54" s="60"/>
      <c r="H54" s="98"/>
      <c r="I54" s="98"/>
      <c r="J54" s="98"/>
      <c r="W54" s="98"/>
    </row>
    <row r="55" spans="1:29">
      <c r="A55" s="492"/>
      <c r="C55" s="60"/>
      <c r="H55" s="98"/>
      <c r="I55" s="98"/>
      <c r="J55" s="98"/>
      <c r="Y55" s="98"/>
      <c r="Z55" s="98"/>
      <c r="AA55" s="98"/>
      <c r="AB55" s="98"/>
    </row>
    <row r="56" spans="1:29">
      <c r="A56" s="492"/>
      <c r="C56" s="60"/>
      <c r="H56" s="98"/>
      <c r="V56" s="60"/>
      <c r="Y56" s="98"/>
      <c r="Z56" s="98"/>
      <c r="AA56" s="98"/>
      <c r="AB56" s="98"/>
    </row>
    <row r="57" spans="1:29">
      <c r="H57" s="98"/>
      <c r="V57" s="60"/>
      <c r="Y57" s="98"/>
      <c r="Z57" s="98"/>
      <c r="AA57" s="98"/>
      <c r="AB57" s="98"/>
    </row>
    <row r="58" spans="1:29">
      <c r="H58" s="98"/>
      <c r="V58" s="60"/>
      <c r="Y58" s="98"/>
      <c r="Z58" s="98"/>
      <c r="AA58" s="98"/>
      <c r="AB58" s="98"/>
    </row>
    <row r="59" spans="1:29">
      <c r="A59" s="492"/>
      <c r="J59" s="98"/>
      <c r="K59" s="447"/>
      <c r="L59" s="98"/>
      <c r="V59" s="60"/>
      <c r="Y59" s="98"/>
      <c r="Z59" s="98"/>
      <c r="AA59" s="98"/>
      <c r="AB59" s="98"/>
    </row>
    <row r="60" spans="1:29">
      <c r="A60" s="492"/>
      <c r="Y60" s="98"/>
      <c r="Z60" s="98"/>
      <c r="AA60" s="98"/>
      <c r="AB60" s="98"/>
      <c r="AC60" s="168"/>
    </row>
    <row r="61" spans="1:29">
      <c r="A61" s="492"/>
    </row>
    <row r="62" spans="1:29">
      <c r="A62" s="492"/>
      <c r="D62" s="98"/>
    </row>
    <row r="63" spans="1:29">
      <c r="Y63" s="98"/>
      <c r="Z63" s="98"/>
      <c r="AA63" s="98"/>
    </row>
    <row r="64" spans="1:29">
      <c r="Y64" s="98"/>
      <c r="Z64" s="98"/>
      <c r="AA64" s="98"/>
    </row>
    <row r="65" spans="22:29">
      <c r="Y65" s="98"/>
      <c r="Z65" s="98"/>
      <c r="AA65" s="98"/>
    </row>
    <row r="66" spans="22:29">
      <c r="Y66" s="98"/>
    </row>
    <row r="67" spans="22:29">
      <c r="V67" s="60"/>
      <c r="Y67" s="98"/>
    </row>
    <row r="68" spans="22:29">
      <c r="V68" s="60"/>
      <c r="Y68" s="98"/>
      <c r="AB68" s="98"/>
      <c r="AC68" s="168"/>
    </row>
    <row r="69" spans="22:29">
      <c r="V69" s="60"/>
    </row>
    <row r="70" spans="22:29">
      <c r="V70" s="60"/>
    </row>
  </sheetData>
  <mergeCells count="5">
    <mergeCell ref="A53:A56"/>
    <mergeCell ref="A59:A62"/>
    <mergeCell ref="S38:S41"/>
    <mergeCell ref="S44:S47"/>
    <mergeCell ref="S49:S5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5">
    <tabColor rgb="FFFF0000"/>
  </sheetPr>
  <dimension ref="A1:AE34"/>
  <sheetViews>
    <sheetView zoomScaleNormal="100" workbookViewId="0">
      <selection activeCell="G16" sqref="G16"/>
    </sheetView>
  </sheetViews>
  <sheetFormatPr defaultRowHeight="15"/>
  <cols>
    <col min="1" max="1" width="46.140625" customWidth="1"/>
    <col min="2" max="2" width="10.7109375" customWidth="1"/>
    <col min="3" max="3" width="11.42578125" bestFit="1" customWidth="1"/>
    <col min="4" max="4" width="15" bestFit="1" customWidth="1"/>
    <col min="5" max="5" width="15" customWidth="1"/>
    <col min="6" max="6" width="22.7109375" bestFit="1" customWidth="1"/>
    <col min="7" max="7" width="12.7109375" customWidth="1"/>
    <col min="8" max="8" width="13.7109375" customWidth="1"/>
    <col min="9" max="9" width="16.5703125" style="60" bestFit="1" customWidth="1"/>
    <col min="10" max="12" width="9.42578125" style="60" bestFit="1" customWidth="1"/>
    <col min="13" max="13" width="17.85546875" style="60" customWidth="1"/>
    <col min="14" max="14" width="25.28515625" customWidth="1"/>
    <col min="15" max="15" width="12.5703125" customWidth="1"/>
  </cols>
  <sheetData>
    <row r="1" spans="1:13">
      <c r="A1" s="2" t="s">
        <v>466</v>
      </c>
      <c r="B1" s="2"/>
    </row>
    <row r="2" spans="1:13">
      <c r="A2" t="s">
        <v>467</v>
      </c>
    </row>
    <row r="3" spans="1:13">
      <c r="A3" t="s">
        <v>468</v>
      </c>
      <c r="B3" s="190"/>
      <c r="C3" s="190"/>
      <c r="D3" s="190"/>
      <c r="E3" s="190"/>
      <c r="F3" s="190"/>
      <c r="G3" s="190"/>
      <c r="H3" s="190"/>
      <c r="I3" s="352"/>
      <c r="J3" s="352"/>
      <c r="K3" s="352"/>
      <c r="L3" s="352"/>
      <c r="M3" s="352"/>
    </row>
    <row r="4" spans="1:13">
      <c r="A4" t="s">
        <v>469</v>
      </c>
      <c r="B4" s="190"/>
      <c r="C4" s="190"/>
      <c r="D4" s="190"/>
      <c r="E4" s="190"/>
      <c r="F4" s="190"/>
      <c r="G4" s="190"/>
      <c r="H4" s="190"/>
      <c r="I4" s="352"/>
      <c r="J4" s="352"/>
      <c r="K4" s="352"/>
      <c r="L4" s="352"/>
      <c r="M4" s="352"/>
    </row>
    <row r="5" spans="1:13">
      <c r="A5" t="s">
        <v>470</v>
      </c>
      <c r="B5" s="190"/>
      <c r="C5" s="190"/>
      <c r="D5" s="190"/>
      <c r="E5" s="190"/>
      <c r="F5" s="190"/>
      <c r="G5" s="190"/>
      <c r="H5" s="190"/>
      <c r="I5" s="352"/>
      <c r="J5" s="352"/>
      <c r="K5" s="352"/>
      <c r="L5" s="352"/>
      <c r="M5" s="352"/>
    </row>
    <row r="6" spans="1:13">
      <c r="B6" s="190"/>
      <c r="C6" s="190"/>
      <c r="D6" s="190"/>
      <c r="E6" s="190"/>
      <c r="F6" s="190"/>
      <c r="G6" s="190"/>
      <c r="H6" s="190"/>
      <c r="I6" s="352"/>
      <c r="J6" s="352"/>
      <c r="K6" s="352"/>
      <c r="L6" s="352"/>
      <c r="M6" s="352"/>
    </row>
    <row r="7" spans="1:13" ht="33" customHeight="1">
      <c r="I7" s="508" t="s">
        <v>471</v>
      </c>
      <c r="J7" s="509"/>
      <c r="K7" s="509"/>
      <c r="L7" s="509"/>
      <c r="M7" s="7" t="s">
        <v>472</v>
      </c>
    </row>
    <row r="8" spans="1:13" s="2" customFormat="1">
      <c r="A8" s="2" t="s">
        <v>473</v>
      </c>
      <c r="C8" s="2" t="s">
        <v>474</v>
      </c>
      <c r="D8" s="2" t="s">
        <v>475</v>
      </c>
      <c r="F8" s="2" t="s">
        <v>476</v>
      </c>
      <c r="G8" s="2" t="s">
        <v>477</v>
      </c>
      <c r="H8" s="2" t="s">
        <v>1</v>
      </c>
      <c r="I8" s="126" t="s">
        <v>478</v>
      </c>
      <c r="J8" s="126" t="s">
        <v>479</v>
      </c>
      <c r="K8" s="126" t="s">
        <v>480</v>
      </c>
      <c r="L8" s="126" t="s">
        <v>246</v>
      </c>
      <c r="M8" s="2" t="s">
        <v>481</v>
      </c>
    </row>
    <row r="9" spans="1:13">
      <c r="A9" t="s">
        <v>482</v>
      </c>
      <c r="C9" t="s">
        <v>268</v>
      </c>
      <c r="D9" t="s">
        <v>483</v>
      </c>
      <c r="G9">
        <v>75.7</v>
      </c>
      <c r="H9" t="s">
        <v>484</v>
      </c>
      <c r="I9" s="127">
        <v>19</v>
      </c>
      <c r="J9" s="127">
        <v>2.6</v>
      </c>
      <c r="K9" s="127">
        <v>2.6</v>
      </c>
      <c r="L9" s="127">
        <v>2.4</v>
      </c>
      <c r="M9"/>
    </row>
    <row r="10" spans="1:13">
      <c r="A10" t="s">
        <v>485</v>
      </c>
      <c r="C10" t="s">
        <v>403</v>
      </c>
      <c r="D10" t="s">
        <v>486</v>
      </c>
      <c r="G10">
        <v>105.6</v>
      </c>
      <c r="H10" t="s">
        <v>484</v>
      </c>
      <c r="I10" s="127">
        <v>17.7</v>
      </c>
      <c r="J10" s="127">
        <v>6.5</v>
      </c>
      <c r="K10" s="127">
        <v>6</v>
      </c>
      <c r="L10" s="127">
        <v>5.9</v>
      </c>
      <c r="M10"/>
    </row>
    <row r="11" spans="1:13">
      <c r="A11" t="s">
        <v>487</v>
      </c>
      <c r="C11" t="s">
        <v>403</v>
      </c>
      <c r="D11" t="s">
        <v>486</v>
      </c>
      <c r="G11">
        <v>108.3</v>
      </c>
      <c r="H11" t="s">
        <v>484</v>
      </c>
      <c r="I11" s="127">
        <v>2.8</v>
      </c>
      <c r="J11" s="127">
        <v>0.4</v>
      </c>
      <c r="K11" s="127">
        <v>0.4</v>
      </c>
      <c r="L11" s="127">
        <v>0.4</v>
      </c>
      <c r="M11"/>
    </row>
    <row r="12" spans="1:13">
      <c r="A12" t="s">
        <v>488</v>
      </c>
      <c r="C12" t="s">
        <v>268</v>
      </c>
      <c r="D12" t="s">
        <v>483</v>
      </c>
      <c r="G12">
        <v>88</v>
      </c>
      <c r="I12" s="127">
        <v>16</v>
      </c>
      <c r="J12" s="127">
        <v>5.7</v>
      </c>
      <c r="K12" s="127">
        <v>4.8</v>
      </c>
      <c r="L12" s="127">
        <v>4.0999999999999996</v>
      </c>
      <c r="M12"/>
    </row>
    <row r="13" spans="1:13">
      <c r="A13" t="s">
        <v>489</v>
      </c>
      <c r="C13" t="s">
        <v>490</v>
      </c>
      <c r="D13" t="s">
        <v>491</v>
      </c>
      <c r="G13" s="191"/>
      <c r="H13" t="s">
        <v>484</v>
      </c>
      <c r="I13" s="194">
        <v>9.4</v>
      </c>
      <c r="J13" s="194">
        <v>1.3</v>
      </c>
      <c r="K13" s="194">
        <v>1.3</v>
      </c>
      <c r="L13" s="194">
        <v>1.3</v>
      </c>
      <c r="M13" t="s">
        <v>492</v>
      </c>
    </row>
    <row r="14" spans="1:13">
      <c r="A14" t="s">
        <v>493</v>
      </c>
      <c r="C14" t="s">
        <v>268</v>
      </c>
      <c r="D14" t="s">
        <v>483</v>
      </c>
      <c r="G14">
        <v>140.69999999999999</v>
      </c>
      <c r="H14" t="s">
        <v>484</v>
      </c>
      <c r="I14" s="127">
        <v>26.8</v>
      </c>
      <c r="J14" s="127">
        <v>9.3000000000000007</v>
      </c>
      <c r="K14" s="127">
        <v>9</v>
      </c>
      <c r="L14" s="127">
        <v>8.5</v>
      </c>
      <c r="M14"/>
    </row>
    <row r="15" spans="1:13" ht="15.75" thickBot="1">
      <c r="A15" t="s">
        <v>494</v>
      </c>
      <c r="C15" t="s">
        <v>268</v>
      </c>
      <c r="D15" t="s">
        <v>483</v>
      </c>
      <c r="G15">
        <v>10.6</v>
      </c>
      <c r="I15" s="128">
        <v>2.7</v>
      </c>
      <c r="J15" s="128">
        <v>5.3</v>
      </c>
      <c r="K15" s="128">
        <v>3.7</v>
      </c>
      <c r="L15" s="128">
        <v>2.2000000000000002</v>
      </c>
      <c r="M15"/>
    </row>
    <row r="16" spans="1:13">
      <c r="A16" t="s">
        <v>495</v>
      </c>
      <c r="G16" s="60">
        <f>SUM(G9:G12,G14:G15)</f>
        <v>528.9</v>
      </c>
      <c r="I16" s="127">
        <f>SUM(I14:I15,I9:I12)</f>
        <v>85</v>
      </c>
      <c r="J16" s="127">
        <f t="shared" ref="J16:K16" si="0">SUM(J14:J15,J9:J12)</f>
        <v>29.8</v>
      </c>
      <c r="K16" s="127">
        <f t="shared" si="0"/>
        <v>26.499999999999996</v>
      </c>
      <c r="L16" s="127">
        <f>SUM(L14:L15,L9:L12)</f>
        <v>23.5</v>
      </c>
      <c r="M16"/>
    </row>
    <row r="17" spans="1:31">
      <c r="I17" s="125">
        <f>(I16/$G$16)*0.8</f>
        <v>0.1285687275477406</v>
      </c>
      <c r="J17" s="125">
        <f t="shared" ref="J17:K17" si="1">J16/$G$16/0.8</f>
        <v>7.0429192664019674E-2</v>
      </c>
      <c r="K17" s="125">
        <f t="shared" si="1"/>
        <v>6.2629986764983922E-2</v>
      </c>
      <c r="L17" s="125">
        <f>L16/$G$16/0.8</f>
        <v>5.5539799584042357E-2</v>
      </c>
      <c r="M17" t="s">
        <v>496</v>
      </c>
      <c r="N17" t="s">
        <v>497</v>
      </c>
    </row>
    <row r="18" spans="1:31">
      <c r="I18" s="101"/>
      <c r="J18" s="101"/>
      <c r="K18" s="101"/>
      <c r="L18" s="101"/>
      <c r="M18"/>
    </row>
    <row r="19" spans="1:31">
      <c r="B19" s="2"/>
      <c r="I19" s="506" t="s">
        <v>498</v>
      </c>
      <c r="J19" s="507"/>
      <c r="K19" s="507"/>
      <c r="L19" s="507"/>
      <c r="M19" t="s">
        <v>142</v>
      </c>
    </row>
    <row r="20" spans="1:31">
      <c r="A20" s="2" t="s">
        <v>499</v>
      </c>
      <c r="B20" s="2"/>
      <c r="C20" s="2" t="s">
        <v>474</v>
      </c>
      <c r="D20" s="2" t="s">
        <v>475</v>
      </c>
      <c r="E20" s="2" t="s">
        <v>500</v>
      </c>
      <c r="F20" s="2" t="s">
        <v>476</v>
      </c>
      <c r="G20" s="2" t="s">
        <v>501</v>
      </c>
      <c r="H20" s="2" t="s">
        <v>1</v>
      </c>
      <c r="I20" s="126" t="s">
        <v>478</v>
      </c>
      <c r="J20" s="126" t="s">
        <v>479</v>
      </c>
      <c r="K20" s="126" t="s">
        <v>480</v>
      </c>
      <c r="L20" s="126" t="s">
        <v>246</v>
      </c>
      <c r="M20"/>
    </row>
    <row r="21" spans="1:31">
      <c r="A21" t="s">
        <v>502</v>
      </c>
      <c r="C21" t="s">
        <v>407</v>
      </c>
      <c r="D21" t="s">
        <v>503</v>
      </c>
      <c r="E21" t="s">
        <v>378</v>
      </c>
      <c r="F21">
        <v>520783823</v>
      </c>
      <c r="G21" s="159">
        <f>F21/1000000</f>
        <v>520.78382299999998</v>
      </c>
      <c r="H21" t="s">
        <v>504</v>
      </c>
      <c r="I21" s="127">
        <v>30.2</v>
      </c>
      <c r="J21" s="127">
        <v>11.3</v>
      </c>
      <c r="K21" s="127">
        <v>11.3</v>
      </c>
      <c r="L21" s="127">
        <v>11.2</v>
      </c>
      <c r="M21" t="s">
        <v>505</v>
      </c>
      <c r="O21" s="124"/>
    </row>
    <row r="22" spans="1:31">
      <c r="I22" s="125">
        <f>I21/$G$21</f>
        <v>5.7989512473777434E-2</v>
      </c>
      <c r="J22" s="125">
        <f>J21/$G$21</f>
        <v>2.1698062614360435E-2</v>
      </c>
      <c r="K22" s="125">
        <f>K21/$G$21</f>
        <v>2.1698062614360435E-2</v>
      </c>
      <c r="L22" s="125">
        <f>L21/$G$21</f>
        <v>2.1506044361136002E-2</v>
      </c>
      <c r="M22" t="s">
        <v>506</v>
      </c>
    </row>
    <row r="23" spans="1:31">
      <c r="M23"/>
    </row>
    <row r="24" spans="1:31">
      <c r="I24"/>
      <c r="J24"/>
      <c r="K24"/>
      <c r="L24" s="7"/>
      <c r="M24" t="s">
        <v>507</v>
      </c>
    </row>
    <row r="25" spans="1:31">
      <c r="I25" s="506" t="s">
        <v>508</v>
      </c>
      <c r="J25" s="507"/>
      <c r="K25" s="507"/>
      <c r="L25" s="507"/>
      <c r="M25" t="s">
        <v>509</v>
      </c>
      <c r="O25" s="28"/>
      <c r="P25" s="28"/>
      <c r="Q25" s="28"/>
      <c r="R25" s="28"/>
      <c r="S25" s="28"/>
      <c r="T25" s="28"/>
      <c r="U25" s="28"/>
      <c r="V25" s="28"/>
    </row>
    <row r="26" spans="1:31">
      <c r="A26" s="189" t="s">
        <v>510</v>
      </c>
      <c r="B26" s="2"/>
      <c r="C26" s="2"/>
      <c r="D26" s="2" t="s">
        <v>475</v>
      </c>
      <c r="E26" s="2"/>
      <c r="F26" s="2"/>
      <c r="G26" s="2"/>
      <c r="H26" s="2" t="s">
        <v>474</v>
      </c>
      <c r="I26" s="63" t="s">
        <v>478</v>
      </c>
      <c r="J26" s="63" t="s">
        <v>479</v>
      </c>
      <c r="K26" s="63" t="s">
        <v>480</v>
      </c>
      <c r="L26" s="63" t="s">
        <v>246</v>
      </c>
      <c r="M26" s="63" t="s">
        <v>511</v>
      </c>
      <c r="O26" s="63"/>
      <c r="P26" s="63"/>
      <c r="Q26" s="63"/>
      <c r="R26" s="63"/>
      <c r="S26" s="63"/>
      <c r="T26" s="63"/>
      <c r="U26" s="63"/>
      <c r="V26" s="63"/>
    </row>
    <row r="27" spans="1:31">
      <c r="H27" s="452" t="s">
        <v>400</v>
      </c>
      <c r="I27" s="127">
        <v>2302.0834151529998</v>
      </c>
      <c r="J27" s="127">
        <v>676.66975606000005</v>
      </c>
      <c r="K27" s="127">
        <v>573.61817622499996</v>
      </c>
      <c r="L27" s="127">
        <v>536.57000000000005</v>
      </c>
      <c r="O27" s="28"/>
      <c r="P27" s="28"/>
      <c r="Q27" s="28"/>
      <c r="R27" s="28"/>
      <c r="S27" s="28"/>
      <c r="T27" s="28"/>
      <c r="U27" s="28"/>
      <c r="V27" s="28"/>
      <c r="X27" s="150"/>
      <c r="Y27" s="150"/>
      <c r="Z27" s="150"/>
      <c r="AA27" s="150"/>
      <c r="AB27" s="150"/>
      <c r="AC27" s="150"/>
      <c r="AD27" s="150"/>
      <c r="AE27" s="150"/>
    </row>
    <row r="28" spans="1:31">
      <c r="H28" s="452" t="s">
        <v>512</v>
      </c>
      <c r="I28" s="127">
        <v>85.417611229999991</v>
      </c>
      <c r="J28" s="127">
        <v>11.785652559999999</v>
      </c>
      <c r="K28" s="127">
        <v>11.76034316</v>
      </c>
      <c r="L28" s="127">
        <v>11.734999999999999</v>
      </c>
      <c r="O28" s="28"/>
      <c r="P28" s="28"/>
      <c r="Q28" s="28"/>
      <c r="R28" s="28"/>
      <c r="S28" s="28"/>
      <c r="T28" s="28"/>
      <c r="U28" s="28"/>
      <c r="V28" s="28"/>
      <c r="X28" s="150"/>
      <c r="Y28" s="150"/>
      <c r="Z28" s="150"/>
      <c r="AA28" s="150"/>
      <c r="AB28" s="150"/>
      <c r="AC28" s="150"/>
      <c r="AD28" s="150"/>
      <c r="AE28" s="150"/>
    </row>
    <row r="29" spans="1:31">
      <c r="H29" s="452" t="s">
        <v>513</v>
      </c>
      <c r="I29" s="127">
        <v>2969.710631292</v>
      </c>
      <c r="J29" s="127">
        <v>2082.3640781949998</v>
      </c>
      <c r="K29" s="127">
        <v>1751.4910435230001</v>
      </c>
      <c r="L29" s="127">
        <v>228.17</v>
      </c>
      <c r="O29" s="28"/>
      <c r="P29" s="28"/>
      <c r="Q29" s="28"/>
      <c r="R29" s="28"/>
      <c r="S29" s="28"/>
      <c r="T29" s="28"/>
      <c r="U29" s="28"/>
      <c r="V29" s="161"/>
      <c r="X29" s="150"/>
      <c r="Y29" s="150"/>
      <c r="Z29" s="150"/>
      <c r="AA29" s="150"/>
      <c r="AB29" s="150"/>
      <c r="AC29" s="150"/>
      <c r="AD29" s="150"/>
      <c r="AE29" s="150"/>
    </row>
    <row r="30" spans="1:31">
      <c r="H30" s="452" t="s">
        <v>407</v>
      </c>
      <c r="I30" s="127">
        <v>60.880292984000008</v>
      </c>
      <c r="J30" s="127">
        <v>18.901515299</v>
      </c>
      <c r="K30" s="127">
        <v>18.889360145999998</v>
      </c>
      <c r="L30" s="127">
        <v>18.88</v>
      </c>
      <c r="O30" s="28"/>
      <c r="P30" s="28"/>
      <c r="Q30" s="28"/>
      <c r="R30" s="28"/>
      <c r="S30" s="28"/>
      <c r="T30" s="28"/>
      <c r="U30" s="28"/>
      <c r="V30" s="28"/>
      <c r="X30" s="150"/>
      <c r="Y30" s="150"/>
      <c r="Z30" s="150"/>
      <c r="AA30" s="150"/>
      <c r="AB30" s="150"/>
      <c r="AC30" s="150"/>
      <c r="AD30" s="150"/>
      <c r="AE30" s="150"/>
    </row>
    <row r="31" spans="1:31">
      <c r="A31" t="s">
        <v>495</v>
      </c>
      <c r="I31" s="192">
        <f>SUM(I27:I30)</f>
        <v>5418.0919506589998</v>
      </c>
      <c r="J31" s="192">
        <f>SUM(J27:J30)</f>
        <v>2789.7210021139999</v>
      </c>
      <c r="K31" s="192">
        <f>SUM(K27:K30)</f>
        <v>2355.7589230540002</v>
      </c>
      <c r="L31" s="192">
        <f>SUM(L27:L30)</f>
        <v>795.35500000000002</v>
      </c>
      <c r="O31" s="28"/>
      <c r="P31" s="28"/>
      <c r="Q31" s="28"/>
      <c r="R31" s="28"/>
      <c r="S31" s="28"/>
      <c r="T31" s="28"/>
      <c r="U31" s="28"/>
      <c r="V31" s="28"/>
      <c r="X31" s="150"/>
      <c r="Y31" s="150"/>
      <c r="Z31" s="150"/>
      <c r="AA31" s="150"/>
      <c r="AB31" s="150"/>
      <c r="AC31" s="150"/>
      <c r="AD31" s="150"/>
      <c r="AE31" s="150"/>
    </row>
    <row r="32" spans="1:31">
      <c r="M32"/>
      <c r="O32" s="28"/>
      <c r="P32" s="28"/>
      <c r="Q32" s="28"/>
      <c r="R32" s="28"/>
      <c r="S32" s="28"/>
      <c r="T32" s="28"/>
      <c r="U32" s="28"/>
      <c r="V32" s="28"/>
      <c r="X32" s="150"/>
      <c r="Y32" s="150"/>
      <c r="Z32" s="150"/>
      <c r="AA32" s="150"/>
      <c r="AB32" s="150"/>
      <c r="AC32" s="150"/>
      <c r="AD32" s="150"/>
      <c r="AE32" s="150"/>
    </row>
    <row r="33" spans="13:31">
      <c r="M33"/>
      <c r="O33" s="28"/>
      <c r="P33" s="28"/>
      <c r="Q33" s="28"/>
      <c r="R33" s="28"/>
      <c r="S33" s="28"/>
      <c r="T33" s="28"/>
      <c r="U33" s="28"/>
      <c r="V33" s="28"/>
      <c r="X33" s="151"/>
      <c r="Y33" s="151"/>
      <c r="Z33" s="151"/>
      <c r="AA33" s="151"/>
      <c r="AB33" s="151"/>
      <c r="AC33" s="151"/>
      <c r="AD33" s="151"/>
      <c r="AE33" s="151"/>
    </row>
    <row r="34" spans="13:31">
      <c r="O34" s="149"/>
      <c r="P34" s="149"/>
      <c r="Q34" s="149"/>
      <c r="R34" s="149"/>
      <c r="S34" s="149"/>
      <c r="T34" s="149"/>
      <c r="U34" s="149"/>
      <c r="V34" s="149"/>
    </row>
  </sheetData>
  <mergeCells count="3">
    <mergeCell ref="I25:L25"/>
    <mergeCell ref="I19:L19"/>
    <mergeCell ref="I7:L7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5495C-BDF5-47B3-A3DC-D866C3948520}">
  <sheetPr>
    <tabColor rgb="FFFF0000"/>
  </sheetPr>
  <dimension ref="A2:V35"/>
  <sheetViews>
    <sheetView topLeftCell="F1" workbookViewId="0">
      <selection activeCell="J17" sqref="J17"/>
    </sheetView>
  </sheetViews>
  <sheetFormatPr defaultRowHeight="15" customHeight="1"/>
  <cols>
    <col min="1" max="1" width="30.28515625" bestFit="1" customWidth="1"/>
    <col min="2" max="2" width="11.5703125" bestFit="1" customWidth="1"/>
    <col min="3" max="3" width="12.140625" bestFit="1" customWidth="1"/>
    <col min="4" max="4" width="15.28515625" customWidth="1"/>
    <col min="5" max="5" width="33" customWidth="1"/>
    <col min="6" max="6" width="11.7109375" customWidth="1"/>
    <col min="10" max="10" width="13.42578125" customWidth="1"/>
    <col min="11" max="11" width="18.5703125" customWidth="1"/>
    <col min="12" max="14" width="18.7109375" customWidth="1"/>
    <col min="15" max="15" width="13.85546875" customWidth="1"/>
    <col min="17" max="17" width="12.7109375" customWidth="1"/>
  </cols>
  <sheetData>
    <row r="2" spans="1:20">
      <c r="A2" s="2" t="s">
        <v>514</v>
      </c>
      <c r="B2" s="154" t="s">
        <v>278</v>
      </c>
      <c r="C2" s="154">
        <f>453*0.06</f>
        <v>27.18</v>
      </c>
      <c r="D2" t="s">
        <v>515</v>
      </c>
      <c r="M2" s="289" t="s">
        <v>516</v>
      </c>
    </row>
    <row r="3" spans="1:20" ht="15.75" thickBot="1">
      <c r="C3">
        <v>0.06</v>
      </c>
      <c r="D3" t="s">
        <v>517</v>
      </c>
      <c r="K3" t="s">
        <v>518</v>
      </c>
      <c r="M3" t="s">
        <v>519</v>
      </c>
    </row>
    <row r="4" spans="1:20" ht="15.75" thickBot="1">
      <c r="A4" s="7"/>
      <c r="I4" s="512" t="s">
        <v>520</v>
      </c>
      <c r="J4" s="513"/>
      <c r="K4" s="513"/>
      <c r="L4" s="513"/>
      <c r="M4" s="366" t="s">
        <v>521</v>
      </c>
      <c r="N4" s="367"/>
      <c r="O4" s="368"/>
      <c r="Q4" s="320" t="s">
        <v>522</v>
      </c>
    </row>
    <row r="5" spans="1:20" ht="51.75" customHeight="1">
      <c r="A5" s="510" t="s">
        <v>523</v>
      </c>
      <c r="B5" s="511"/>
      <c r="C5" s="450" t="s">
        <v>524</v>
      </c>
      <c r="D5" s="426" t="s">
        <v>525</v>
      </c>
      <c r="E5" s="436" t="s">
        <v>526</v>
      </c>
      <c r="F5" s="437" t="s">
        <v>527</v>
      </c>
      <c r="I5" s="330"/>
      <c r="J5" s="317" t="s">
        <v>528</v>
      </c>
      <c r="K5" s="317" t="s">
        <v>529</v>
      </c>
      <c r="L5" s="317" t="s">
        <v>529</v>
      </c>
      <c r="M5" s="430" t="s">
        <v>530</v>
      </c>
      <c r="N5" s="317"/>
      <c r="O5" s="331"/>
      <c r="Q5" s="322" t="s">
        <v>531</v>
      </c>
      <c r="R5" s="323" t="s">
        <v>478</v>
      </c>
      <c r="S5" s="323" t="s">
        <v>246</v>
      </c>
      <c r="T5" s="324" t="s">
        <v>532</v>
      </c>
    </row>
    <row r="6" spans="1:20" ht="51.75" customHeight="1">
      <c r="A6" s="337"/>
      <c r="B6" s="68" t="s">
        <v>515</v>
      </c>
      <c r="C6" s="336" t="s">
        <v>533</v>
      </c>
      <c r="D6" s="427" t="s">
        <v>534</v>
      </c>
      <c r="E6" s="438" t="s">
        <v>535</v>
      </c>
      <c r="F6" s="439" t="s">
        <v>536</v>
      </c>
      <c r="I6" s="330"/>
      <c r="J6" s="68" t="s">
        <v>515</v>
      </c>
      <c r="K6" s="68" t="s">
        <v>515</v>
      </c>
      <c r="L6" s="68" t="s">
        <v>535</v>
      </c>
      <c r="M6" s="431" t="s">
        <v>537</v>
      </c>
      <c r="N6" s="68" t="s">
        <v>535</v>
      </c>
      <c r="O6" s="328" t="s">
        <v>538</v>
      </c>
      <c r="Q6" s="325" t="s">
        <v>539</v>
      </c>
      <c r="R6" s="321"/>
      <c r="S6" s="321"/>
      <c r="T6" s="326">
        <v>113739</v>
      </c>
    </row>
    <row r="7" spans="1:20">
      <c r="A7" s="370" t="s">
        <v>540</v>
      </c>
      <c r="B7" s="382">
        <f>C2</f>
        <v>27.18</v>
      </c>
      <c r="C7" s="383">
        <f>B7/907185*0.1</f>
        <v>2.9960812844127717E-6</v>
      </c>
      <c r="D7" s="428">
        <f>C7*$V$25</f>
        <v>0.41559328878688317</v>
      </c>
      <c r="E7" s="440">
        <f>C7*$V$21</f>
        <v>1.7936131410802324E-2</v>
      </c>
      <c r="F7" s="441">
        <f>C7*$V$29</f>
        <v>0.46570691285976806</v>
      </c>
      <c r="I7" s="332" t="s">
        <v>278</v>
      </c>
      <c r="J7" s="318">
        <v>752.81600000000003</v>
      </c>
      <c r="K7" s="319">
        <v>20.137</v>
      </c>
      <c r="L7" s="68">
        <f>K7*$V$21/907185</f>
        <v>0.13288442907259981</v>
      </c>
      <c r="M7" s="431">
        <v>1.6999999999999999E-3</v>
      </c>
      <c r="N7" s="68">
        <f>M7/2000*1000</f>
        <v>8.4999999999999995E-4</v>
      </c>
      <c r="O7" s="328">
        <f>N7*U35</f>
        <v>2.2756005056890013E-5</v>
      </c>
      <c r="Q7" s="327"/>
      <c r="R7" s="68"/>
      <c r="S7" s="68"/>
      <c r="T7" s="328"/>
    </row>
    <row r="8" spans="1:20" ht="15.75" thickBot="1">
      <c r="A8" s="374" t="s">
        <v>287</v>
      </c>
      <c r="B8" s="384">
        <v>3.7</v>
      </c>
      <c r="C8" s="385">
        <f>B8/907185</f>
        <v>4.0785506815037732E-6</v>
      </c>
      <c r="D8" s="429">
        <f>C8*$V$25</f>
        <v>0.56574509511091531</v>
      </c>
      <c r="E8" s="442">
        <f>C8*$V$21</f>
        <v>2.4416367262681603E-2</v>
      </c>
      <c r="F8" s="443">
        <f>C8*$V$29</f>
        <v>0.63396452449637308</v>
      </c>
      <c r="I8" s="332" t="s">
        <v>349</v>
      </c>
      <c r="J8" s="318">
        <v>7.1970000000000001</v>
      </c>
      <c r="K8" s="319">
        <v>8.4960000000000004</v>
      </c>
      <c r="L8" s="68">
        <f>K8*$V$21/907185</f>
        <v>5.6065258449660239E-2</v>
      </c>
      <c r="M8" s="431">
        <v>0</v>
      </c>
      <c r="N8" s="68">
        <v>0</v>
      </c>
      <c r="O8" s="328">
        <v>0</v>
      </c>
      <c r="Q8" s="325" t="s">
        <v>541</v>
      </c>
      <c r="R8" s="342"/>
      <c r="S8" s="342"/>
      <c r="T8" s="326">
        <v>12487</v>
      </c>
    </row>
    <row r="9" spans="1:20" ht="15.75" thickBot="1">
      <c r="I9" s="333" t="s">
        <v>246</v>
      </c>
      <c r="J9" s="379">
        <v>7.1970000000000001</v>
      </c>
      <c r="K9" s="380">
        <v>8.4960000000000004</v>
      </c>
      <c r="L9" s="334">
        <f>K9*$V$21/907185</f>
        <v>5.6065258449660239E-2</v>
      </c>
      <c r="M9" s="432">
        <v>0</v>
      </c>
      <c r="N9" s="334">
        <v>0</v>
      </c>
      <c r="O9" s="335">
        <v>0</v>
      </c>
      <c r="Q9" s="325" t="s">
        <v>542</v>
      </c>
      <c r="R9" s="421">
        <f>'Emission Factors - Production'!I17</f>
        <v>0.1285687275477406</v>
      </c>
      <c r="S9" s="421">
        <f>'Emission Factors - Production'!L17</f>
        <v>5.5539799584042357E-2</v>
      </c>
      <c r="T9" s="369">
        <f>T6*$V$25/907185</f>
        <v>17391.157127789294</v>
      </c>
    </row>
    <row r="10" spans="1:20" ht="15.75" thickBot="1">
      <c r="A10" s="371"/>
      <c r="B10" s="372"/>
      <c r="Q10" s="329" t="s">
        <v>237</v>
      </c>
      <c r="R10" s="334">
        <f>R9*$U$32</f>
        <v>0.1440719732778723</v>
      </c>
      <c r="S10" s="334">
        <f>S9*$U$32</f>
        <v>6.2236973750551462E-2</v>
      </c>
      <c r="T10" s="335">
        <f>T9*$U$32</f>
        <v>19488.240824781886</v>
      </c>
    </row>
    <row r="11" spans="1:20">
      <c r="A11" s="371"/>
      <c r="B11" s="372"/>
    </row>
    <row r="12" spans="1:20">
      <c r="A12" s="371"/>
      <c r="B12" s="373"/>
      <c r="I12" s="297"/>
      <c r="J12" s="375"/>
      <c r="K12" s="376"/>
    </row>
    <row r="13" spans="1:20">
      <c r="I13" s="297"/>
      <c r="J13" s="375"/>
      <c r="K13" s="376"/>
    </row>
    <row r="14" spans="1:20">
      <c r="I14" s="297"/>
      <c r="J14" s="375"/>
      <c r="K14" s="376"/>
    </row>
    <row r="15" spans="1:20">
      <c r="I15" s="297"/>
      <c r="J15" s="375"/>
      <c r="K15" s="376"/>
    </row>
    <row r="16" spans="1:20">
      <c r="I16" s="297"/>
      <c r="J16" s="375"/>
      <c r="K16" s="376"/>
    </row>
    <row r="17" spans="9:22">
      <c r="I17" s="297"/>
      <c r="J17" s="377"/>
      <c r="K17" s="378"/>
    </row>
    <row r="19" spans="9:22">
      <c r="R19" s="454" t="s">
        <v>543</v>
      </c>
      <c r="S19" s="454"/>
      <c r="T19" s="454"/>
      <c r="U19" s="454"/>
      <c r="V19" s="454"/>
    </row>
    <row r="20" spans="9:22">
      <c r="Q20" t="s">
        <v>544</v>
      </c>
      <c r="R20" t="s">
        <v>545</v>
      </c>
      <c r="S20" t="s">
        <v>546</v>
      </c>
      <c r="T20" t="s">
        <v>547</v>
      </c>
      <c r="U20" t="s">
        <v>548</v>
      </c>
      <c r="V20" t="s">
        <v>549</v>
      </c>
    </row>
    <row r="21" spans="9:22">
      <c r="I21" s="297"/>
      <c r="Q21">
        <v>1</v>
      </c>
      <c r="R21">
        <f>Q21*601.35</f>
        <v>601.35</v>
      </c>
      <c r="S21">
        <f>1/3.6</f>
        <v>0.27777777777777779</v>
      </c>
      <c r="T21">
        <f>1/1000000</f>
        <v>9.9999999999999995E-7</v>
      </c>
      <c r="U21">
        <f>R21*S21*T21</f>
        <v>1.6704166666666668E-4</v>
      </c>
      <c r="V21">
        <f>1/U21</f>
        <v>5986.5303068096773</v>
      </c>
    </row>
    <row r="22" spans="9:22" ht="15" customHeight="1">
      <c r="I22" s="297"/>
    </row>
    <row r="23" spans="9:22">
      <c r="R23" s="454" t="s">
        <v>550</v>
      </c>
      <c r="S23" s="454"/>
      <c r="T23" s="454"/>
      <c r="U23" s="454"/>
      <c r="V23" s="454"/>
    </row>
    <row r="24" spans="9:22">
      <c r="Q24" t="s">
        <v>544</v>
      </c>
      <c r="R24" t="s">
        <v>545</v>
      </c>
      <c r="S24" t="s">
        <v>551</v>
      </c>
      <c r="T24" t="s">
        <v>552</v>
      </c>
      <c r="U24" t="s">
        <v>553</v>
      </c>
      <c r="V24" t="s">
        <v>554</v>
      </c>
    </row>
    <row r="25" spans="9:22">
      <c r="Q25">
        <v>1</v>
      </c>
      <c r="R25">
        <f>Q25*865.1</f>
        <v>865.1</v>
      </c>
      <c r="S25">
        <f>1/120</f>
        <v>8.3333333333333332E-3</v>
      </c>
      <c r="T25">
        <f>1/1000000</f>
        <v>9.9999999999999995E-7</v>
      </c>
      <c r="U25">
        <f>R25*S25*T25</f>
        <v>7.2091666666666661E-6</v>
      </c>
      <c r="V25">
        <f>1/U25</f>
        <v>138712.28759680962</v>
      </c>
    </row>
    <row r="28" spans="9:22">
      <c r="Q28" t="s">
        <v>544</v>
      </c>
      <c r="R28" t="s">
        <v>545</v>
      </c>
      <c r="S28" t="s">
        <v>555</v>
      </c>
      <c r="T28" t="s">
        <v>556</v>
      </c>
      <c r="U28" t="s">
        <v>557</v>
      </c>
      <c r="V28" t="s">
        <v>558</v>
      </c>
    </row>
    <row r="29" spans="9:22" ht="15" customHeight="1">
      <c r="Q29">
        <v>1</v>
      </c>
      <c r="R29">
        <f>Q29*865.1</f>
        <v>865.1</v>
      </c>
      <c r="S29">
        <f>1/134.47</f>
        <v>7.4366029597679783E-3</v>
      </c>
      <c r="T29">
        <f>1/1000000</f>
        <v>9.9999999999999995E-7</v>
      </c>
      <c r="U29">
        <f>R29*S29*T29</f>
        <v>6.4334052204952779E-6</v>
      </c>
      <c r="V29">
        <f>1/U29</f>
        <v>155438.67760952489</v>
      </c>
    </row>
    <row r="31" spans="9:22" ht="15" customHeight="1">
      <c r="Q31" t="s">
        <v>559</v>
      </c>
      <c r="R31" t="s">
        <v>560</v>
      </c>
      <c r="S31" t="s">
        <v>555</v>
      </c>
      <c r="T31" t="s">
        <v>561</v>
      </c>
      <c r="U31" t="s">
        <v>562</v>
      </c>
    </row>
    <row r="32" spans="9:22" ht="15" customHeight="1">
      <c r="R32">
        <v>120</v>
      </c>
      <c r="S32">
        <f>1/134.47</f>
        <v>7.4366029597679783E-3</v>
      </c>
      <c r="T32">
        <f>R32*S32</f>
        <v>0.89239235517215743</v>
      </c>
      <c r="U32">
        <f>1/T32</f>
        <v>1.1205833333333333</v>
      </c>
    </row>
    <row r="34" spans="17:22" ht="15" customHeight="1">
      <c r="Q34" t="s">
        <v>563</v>
      </c>
      <c r="R34" t="s">
        <v>564</v>
      </c>
      <c r="S34" t="s">
        <v>555</v>
      </c>
      <c r="T34" t="s">
        <v>565</v>
      </c>
      <c r="U34" t="s">
        <v>566</v>
      </c>
      <c r="V34" t="s">
        <v>567</v>
      </c>
    </row>
    <row r="35" spans="17:22" ht="15" customHeight="1">
      <c r="Q35" s="29">
        <v>1000000</v>
      </c>
      <c r="R35">
        <v>3.6</v>
      </c>
      <c r="S35">
        <f>S32</f>
        <v>7.4366029597679783E-3</v>
      </c>
      <c r="T35">
        <f>1/1000000</f>
        <v>9.9999999999999995E-7</v>
      </c>
      <c r="U35" s="29">
        <f>T35*S35*R35*Q35</f>
        <v>2.6771770655164721E-2</v>
      </c>
      <c r="V35" s="29">
        <f>1/U35</f>
        <v>37.352777777777774</v>
      </c>
    </row>
  </sheetData>
  <mergeCells count="4">
    <mergeCell ref="A5:B5"/>
    <mergeCell ref="R19:V19"/>
    <mergeCell ref="R23:V23"/>
    <mergeCell ref="I4:L4"/>
  </mergeCells>
  <hyperlinks>
    <hyperlink ref="M4" r:id="rId1" xr:uid="{60478FC0-C2DE-4083-9595-B7F907904F83}"/>
    <hyperlink ref="M2" r:id="rId2" xr:uid="{5F93E367-C8CC-4DEE-B422-3CE7400E2E67}"/>
  </hyperlinks>
  <pageMargins left="0.7" right="0.7" top="0.75" bottom="0.75" header="0.3" footer="0.3"/>
  <pageSetup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0">
    <tabColor theme="5" tint="0.79998168889431442"/>
  </sheetPr>
  <dimension ref="A1:AS1203"/>
  <sheetViews>
    <sheetView topLeftCell="A1173" workbookViewId="0">
      <selection activeCell="F1165" sqref="F1165"/>
    </sheetView>
  </sheetViews>
  <sheetFormatPr defaultColWidth="9" defaultRowHeight="15"/>
  <cols>
    <col min="1" max="1" width="14.7109375" customWidth="1"/>
    <col min="2" max="2" width="14" customWidth="1"/>
    <col min="3" max="3" width="24.28515625" customWidth="1"/>
    <col min="4" max="4" width="17" customWidth="1"/>
    <col min="5" max="5" width="45.7109375" customWidth="1"/>
    <col min="6" max="6" width="9.28515625"/>
    <col min="7" max="7" width="11.7109375" customWidth="1"/>
    <col min="8" max="8" width="22" customWidth="1"/>
    <col min="9" max="9" width="19.5703125" customWidth="1"/>
    <col min="10" max="10" width="19.7109375" bestFit="1" customWidth="1"/>
    <col min="11" max="25" width="9.28515625" customWidth="1"/>
  </cols>
  <sheetData>
    <row r="1" spans="1:25">
      <c r="A1" s="2" t="s">
        <v>568</v>
      </c>
    </row>
    <row r="2" spans="1:25">
      <c r="A2" t="s">
        <v>569</v>
      </c>
      <c r="B2" t="s">
        <v>570</v>
      </c>
      <c r="C2" t="s">
        <v>571</v>
      </c>
      <c r="D2" t="s">
        <v>572</v>
      </c>
      <c r="E2" t="s">
        <v>573</v>
      </c>
      <c r="F2" t="s">
        <v>574</v>
      </c>
      <c r="G2" t="s">
        <v>575</v>
      </c>
      <c r="H2" t="s">
        <v>576</v>
      </c>
      <c r="I2" t="s">
        <v>577</v>
      </c>
      <c r="J2" t="s">
        <v>578</v>
      </c>
      <c r="K2" t="s">
        <v>579</v>
      </c>
      <c r="L2" t="s">
        <v>580</v>
      </c>
      <c r="M2" t="s">
        <v>581</v>
      </c>
      <c r="N2" t="s">
        <v>582</v>
      </c>
      <c r="O2" t="s">
        <v>583</v>
      </c>
      <c r="P2" t="s">
        <v>584</v>
      </c>
      <c r="Q2" t="s">
        <v>585</v>
      </c>
      <c r="R2" t="s">
        <v>586</v>
      </c>
      <c r="S2" t="s">
        <v>587</v>
      </c>
      <c r="T2" t="s">
        <v>588</v>
      </c>
      <c r="U2" t="s">
        <v>589</v>
      </c>
      <c r="V2" t="s">
        <v>590</v>
      </c>
      <c r="W2" t="s">
        <v>591</v>
      </c>
      <c r="X2" t="s">
        <v>592</v>
      </c>
      <c r="Y2" t="s">
        <v>593</v>
      </c>
    </row>
    <row r="3" spans="1:25">
      <c r="A3" t="s">
        <v>270</v>
      </c>
      <c r="B3" t="s">
        <v>594</v>
      </c>
      <c r="C3" t="s">
        <v>595</v>
      </c>
      <c r="D3" t="s">
        <v>596</v>
      </c>
      <c r="E3" t="s">
        <v>597</v>
      </c>
      <c r="F3" t="s">
        <v>598</v>
      </c>
      <c r="G3" t="s">
        <v>599</v>
      </c>
      <c r="H3" t="s">
        <v>600</v>
      </c>
      <c r="I3" t="s">
        <v>601</v>
      </c>
      <c r="J3">
        <v>0.48330000000000001</v>
      </c>
      <c r="K3">
        <v>0.48659999999999998</v>
      </c>
      <c r="L3">
        <v>0.48049999999999998</v>
      </c>
      <c r="M3">
        <v>0.48149999999999998</v>
      </c>
      <c r="N3">
        <v>0.48259999999999997</v>
      </c>
      <c r="O3">
        <v>0.4748</v>
      </c>
      <c r="P3">
        <v>0.48820000000000002</v>
      </c>
      <c r="Q3">
        <v>0.49740000000000001</v>
      </c>
      <c r="R3">
        <v>0.50380000000000003</v>
      </c>
      <c r="S3">
        <v>0.50829999999999997</v>
      </c>
      <c r="T3">
        <v>0.51149999999999995</v>
      </c>
      <c r="U3">
        <v>0.51180000000000003</v>
      </c>
      <c r="V3">
        <v>0.51200000000000001</v>
      </c>
      <c r="W3">
        <v>0.51219999999999999</v>
      </c>
      <c r="X3">
        <v>0.51259999999999994</v>
      </c>
      <c r="Y3">
        <v>0.51280000000000003</v>
      </c>
    </row>
    <row r="4" spans="1:25">
      <c r="A4" t="s">
        <v>270</v>
      </c>
      <c r="B4" t="s">
        <v>602</v>
      </c>
      <c r="C4" t="s">
        <v>595</v>
      </c>
      <c r="D4" t="s">
        <v>596</v>
      </c>
      <c r="E4" t="s">
        <v>603</v>
      </c>
      <c r="F4" t="s">
        <v>598</v>
      </c>
      <c r="G4" t="s">
        <v>599</v>
      </c>
      <c r="H4" t="s">
        <v>600</v>
      </c>
      <c r="I4" t="s">
        <v>601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>
      <c r="A5" t="s">
        <v>270</v>
      </c>
      <c r="B5" t="s">
        <v>604</v>
      </c>
      <c r="C5" t="s">
        <v>595</v>
      </c>
      <c r="D5" t="s">
        <v>596</v>
      </c>
      <c r="E5" t="s">
        <v>605</v>
      </c>
      <c r="F5" t="s">
        <v>598</v>
      </c>
      <c r="G5" t="s">
        <v>599</v>
      </c>
      <c r="H5" t="s">
        <v>600</v>
      </c>
      <c r="I5" t="s">
        <v>601</v>
      </c>
      <c r="J5">
        <v>3.5200000000000002E-2</v>
      </c>
      <c r="K5">
        <v>3.5000000000000003E-2</v>
      </c>
      <c r="L5">
        <v>3.4099999999999998E-2</v>
      </c>
      <c r="M5">
        <v>3.4299999999999997E-2</v>
      </c>
      <c r="N5">
        <v>3.4200000000000001E-2</v>
      </c>
      <c r="O5">
        <v>3.4200000000000001E-2</v>
      </c>
      <c r="P5">
        <v>3.5499999999999997E-2</v>
      </c>
      <c r="Q5">
        <v>3.6400000000000002E-2</v>
      </c>
      <c r="R5">
        <v>3.7100000000000001E-2</v>
      </c>
      <c r="S5">
        <v>3.7499999999999999E-2</v>
      </c>
      <c r="T5">
        <v>3.78E-2</v>
      </c>
      <c r="U5">
        <v>3.78E-2</v>
      </c>
      <c r="V5">
        <v>3.78E-2</v>
      </c>
      <c r="W5">
        <v>3.78E-2</v>
      </c>
      <c r="X5">
        <v>3.78E-2</v>
      </c>
      <c r="Y5">
        <v>3.78E-2</v>
      </c>
    </row>
    <row r="6" spans="1:25">
      <c r="A6" t="s">
        <v>270</v>
      </c>
      <c r="B6" t="s">
        <v>606</v>
      </c>
      <c r="C6" t="s">
        <v>595</v>
      </c>
      <c r="D6" t="s">
        <v>596</v>
      </c>
      <c r="E6" t="s">
        <v>607</v>
      </c>
      <c r="F6" t="s">
        <v>598</v>
      </c>
      <c r="G6" t="s">
        <v>599</v>
      </c>
      <c r="H6" t="s">
        <v>600</v>
      </c>
      <c r="I6" t="s">
        <v>601</v>
      </c>
      <c r="J6">
        <v>7.7600000000000002E-2</v>
      </c>
      <c r="K6">
        <v>7.7299999999999994E-2</v>
      </c>
      <c r="L6">
        <v>7.5999999999999998E-2</v>
      </c>
      <c r="M6">
        <v>7.6399999999999996E-2</v>
      </c>
      <c r="N6">
        <v>7.6300000000000007E-2</v>
      </c>
      <c r="O6">
        <v>7.6200000000000004E-2</v>
      </c>
      <c r="P6">
        <v>7.8700000000000006E-2</v>
      </c>
      <c r="Q6">
        <v>8.0399999999999999E-2</v>
      </c>
      <c r="R6">
        <v>8.1600000000000006E-2</v>
      </c>
      <c r="S6">
        <v>8.2400000000000001E-2</v>
      </c>
      <c r="T6">
        <v>8.3000000000000004E-2</v>
      </c>
      <c r="U6">
        <v>8.3000000000000004E-2</v>
      </c>
      <c r="V6">
        <v>8.3000000000000004E-2</v>
      </c>
      <c r="W6">
        <v>8.3000000000000004E-2</v>
      </c>
      <c r="X6">
        <v>8.3299999999999999E-2</v>
      </c>
      <c r="Y6">
        <v>8.3299999999999999E-2</v>
      </c>
    </row>
    <row r="7" spans="1:25">
      <c r="A7" t="s">
        <v>270</v>
      </c>
      <c r="B7" t="s">
        <v>608</v>
      </c>
      <c r="C7" t="s">
        <v>595</v>
      </c>
      <c r="D7" t="s">
        <v>596</v>
      </c>
      <c r="E7" t="s">
        <v>609</v>
      </c>
      <c r="F7" t="s">
        <v>598</v>
      </c>
      <c r="G7" t="s">
        <v>599</v>
      </c>
      <c r="H7" t="s">
        <v>600</v>
      </c>
      <c r="I7" t="s">
        <v>601</v>
      </c>
      <c r="J7">
        <v>8.8999999999999999E-3</v>
      </c>
      <c r="K7">
        <v>9.1000000000000004E-3</v>
      </c>
      <c r="L7">
        <v>9.4000000000000004E-3</v>
      </c>
      <c r="M7">
        <v>9.4000000000000004E-3</v>
      </c>
      <c r="N7">
        <v>9.4999999999999998E-3</v>
      </c>
      <c r="O7">
        <v>9.4999999999999998E-3</v>
      </c>
      <c r="P7">
        <v>9.4999999999999998E-3</v>
      </c>
      <c r="Q7">
        <v>9.4999999999999998E-3</v>
      </c>
      <c r="R7">
        <v>9.4999999999999998E-3</v>
      </c>
      <c r="S7">
        <v>9.4999999999999998E-3</v>
      </c>
      <c r="T7">
        <v>9.4999999999999998E-3</v>
      </c>
      <c r="U7">
        <v>9.4999999999999998E-3</v>
      </c>
      <c r="V7">
        <v>9.4999999999999998E-3</v>
      </c>
      <c r="W7">
        <v>9.4999999999999998E-3</v>
      </c>
      <c r="X7">
        <v>9.5999999999999992E-3</v>
      </c>
      <c r="Y7">
        <v>9.5999999999999992E-3</v>
      </c>
    </row>
    <row r="8" spans="1:25">
      <c r="A8" t="s">
        <v>270</v>
      </c>
      <c r="B8" t="s">
        <v>610</v>
      </c>
      <c r="C8" t="s">
        <v>595</v>
      </c>
      <c r="D8" t="s">
        <v>596</v>
      </c>
      <c r="E8" t="s">
        <v>611</v>
      </c>
      <c r="F8" t="s">
        <v>598</v>
      </c>
      <c r="G8" t="s">
        <v>599</v>
      </c>
      <c r="H8" t="s">
        <v>600</v>
      </c>
      <c r="I8" t="s">
        <v>601</v>
      </c>
      <c r="J8">
        <v>6.3E-3</v>
      </c>
      <c r="K8">
        <v>6.3E-3</v>
      </c>
      <c r="L8">
        <v>6.4000000000000003E-3</v>
      </c>
      <c r="M8">
        <v>6.4999999999999997E-3</v>
      </c>
      <c r="N8">
        <v>6.6E-3</v>
      </c>
      <c r="O8">
        <v>6.6E-3</v>
      </c>
      <c r="P8">
        <v>6.7000000000000002E-3</v>
      </c>
      <c r="Q8">
        <v>6.7999999999999996E-3</v>
      </c>
      <c r="R8">
        <v>6.8999999999999999E-3</v>
      </c>
      <c r="S8">
        <v>6.8999999999999999E-3</v>
      </c>
      <c r="T8">
        <v>7.0000000000000001E-3</v>
      </c>
      <c r="U8">
        <v>7.1000000000000004E-3</v>
      </c>
      <c r="V8">
        <v>7.1999999999999998E-3</v>
      </c>
      <c r="W8">
        <v>7.1999999999999998E-3</v>
      </c>
      <c r="X8">
        <v>7.3000000000000001E-3</v>
      </c>
      <c r="Y8">
        <v>7.4000000000000003E-3</v>
      </c>
    </row>
    <row r="9" spans="1:25">
      <c r="A9" t="s">
        <v>270</v>
      </c>
      <c r="B9" t="s">
        <v>612</v>
      </c>
      <c r="C9" t="s">
        <v>595</v>
      </c>
      <c r="D9" t="s">
        <v>596</v>
      </c>
      <c r="E9" t="s">
        <v>613</v>
      </c>
      <c r="F9" t="s">
        <v>598</v>
      </c>
      <c r="G9" t="s">
        <v>599</v>
      </c>
      <c r="H9" t="s">
        <v>600</v>
      </c>
      <c r="I9" t="s">
        <v>601</v>
      </c>
      <c r="J9">
        <v>2.8400000000000002E-2</v>
      </c>
      <c r="K9">
        <v>2.8299999999999999E-2</v>
      </c>
      <c r="L9">
        <v>2.7699999999999999E-2</v>
      </c>
      <c r="M9">
        <v>2.7799999999999998E-2</v>
      </c>
      <c r="N9">
        <v>2.7900000000000001E-2</v>
      </c>
      <c r="O9">
        <v>2.7900000000000001E-2</v>
      </c>
      <c r="P9">
        <v>2.8899999999999999E-2</v>
      </c>
      <c r="Q9">
        <v>2.9700000000000001E-2</v>
      </c>
      <c r="R9">
        <v>3.0099999999999998E-2</v>
      </c>
      <c r="S9">
        <v>3.0499999999999999E-2</v>
      </c>
      <c r="T9">
        <v>3.0800000000000001E-2</v>
      </c>
      <c r="U9">
        <v>3.09E-2</v>
      </c>
      <c r="V9">
        <v>3.09E-2</v>
      </c>
      <c r="W9">
        <v>3.1E-2</v>
      </c>
      <c r="X9">
        <v>3.1099999999999999E-2</v>
      </c>
      <c r="Y9">
        <v>3.1199999999999999E-2</v>
      </c>
    </row>
    <row r="10" spans="1:25">
      <c r="A10" t="s">
        <v>270</v>
      </c>
      <c r="B10" t="s">
        <v>614</v>
      </c>
      <c r="C10" t="s">
        <v>595</v>
      </c>
      <c r="D10" t="s">
        <v>596</v>
      </c>
      <c r="E10" t="s">
        <v>615</v>
      </c>
      <c r="F10" t="s">
        <v>598</v>
      </c>
      <c r="G10" t="s">
        <v>599</v>
      </c>
      <c r="H10" t="s">
        <v>600</v>
      </c>
      <c r="I10" t="s">
        <v>601</v>
      </c>
      <c r="J10">
        <v>0.13370000000000001</v>
      </c>
      <c r="K10">
        <v>0.13689999999999999</v>
      </c>
      <c r="L10">
        <v>0.1368</v>
      </c>
      <c r="M10">
        <v>0.1391</v>
      </c>
      <c r="N10">
        <v>0.14030000000000001</v>
      </c>
      <c r="O10">
        <v>0.1447</v>
      </c>
      <c r="P10">
        <v>0.14649999999999999</v>
      </c>
      <c r="Q10">
        <v>0.14910000000000001</v>
      </c>
      <c r="R10">
        <v>0.15090000000000001</v>
      </c>
      <c r="S10">
        <v>0.1545</v>
      </c>
      <c r="T10">
        <v>0.15820000000000001</v>
      </c>
      <c r="U10">
        <v>0.1608</v>
      </c>
      <c r="V10">
        <v>0.16189999999999999</v>
      </c>
      <c r="W10">
        <v>0.1646</v>
      </c>
      <c r="X10">
        <v>0.16739999999999999</v>
      </c>
      <c r="Y10">
        <v>0.16930000000000001</v>
      </c>
    </row>
    <row r="11" spans="1:25">
      <c r="A11" t="s">
        <v>270</v>
      </c>
      <c r="B11" t="s">
        <v>616</v>
      </c>
      <c r="C11" t="s">
        <v>595</v>
      </c>
      <c r="D11" t="s">
        <v>596</v>
      </c>
      <c r="E11" t="s">
        <v>617</v>
      </c>
      <c r="F11" t="s">
        <v>598</v>
      </c>
      <c r="G11" t="s">
        <v>599</v>
      </c>
      <c r="H11" t="s">
        <v>600</v>
      </c>
      <c r="I11" t="s">
        <v>601</v>
      </c>
      <c r="J11">
        <v>1.0730999999999999</v>
      </c>
      <c r="K11">
        <v>1.1093</v>
      </c>
      <c r="L11">
        <v>1.115</v>
      </c>
      <c r="M11">
        <v>1.1361000000000001</v>
      </c>
      <c r="N11">
        <v>1.1495</v>
      </c>
      <c r="O11">
        <v>1.1941999999999999</v>
      </c>
      <c r="P11">
        <v>1.2019</v>
      </c>
      <c r="Q11">
        <v>1.2212000000000001</v>
      </c>
      <c r="R11">
        <v>1.2345999999999999</v>
      </c>
      <c r="S11">
        <v>1.2664</v>
      </c>
      <c r="T11">
        <v>1.3026</v>
      </c>
      <c r="U11">
        <v>1.3284</v>
      </c>
      <c r="V11">
        <v>1.3396999999999999</v>
      </c>
      <c r="W11">
        <v>1.3682000000000001</v>
      </c>
      <c r="X11">
        <v>1.3971</v>
      </c>
      <c r="Y11">
        <v>1.4149</v>
      </c>
    </row>
    <row r="12" spans="1:25">
      <c r="A12" t="s">
        <v>270</v>
      </c>
      <c r="B12" t="s">
        <v>618</v>
      </c>
      <c r="C12" t="s">
        <v>595</v>
      </c>
      <c r="D12" t="s">
        <v>596</v>
      </c>
      <c r="E12" t="s">
        <v>619</v>
      </c>
      <c r="F12" t="s">
        <v>598</v>
      </c>
      <c r="G12" t="s">
        <v>599</v>
      </c>
      <c r="H12" t="s">
        <v>600</v>
      </c>
      <c r="I12" t="s">
        <v>601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>
      <c r="A13" t="s">
        <v>270</v>
      </c>
      <c r="B13" t="s">
        <v>620</v>
      </c>
      <c r="C13" t="s">
        <v>595</v>
      </c>
      <c r="D13" t="s">
        <v>621</v>
      </c>
      <c r="E13" t="s">
        <v>597</v>
      </c>
      <c r="F13" t="s">
        <v>598</v>
      </c>
      <c r="G13" t="s">
        <v>599</v>
      </c>
      <c r="H13" t="s">
        <v>600</v>
      </c>
      <c r="I13" t="s">
        <v>601</v>
      </c>
      <c r="J13">
        <v>3.2899999999999999E-2</v>
      </c>
      <c r="K13">
        <v>3.3799999999999997E-2</v>
      </c>
      <c r="L13">
        <v>3.4799999999999998E-2</v>
      </c>
      <c r="M13">
        <v>3.4799999999999998E-2</v>
      </c>
      <c r="N13">
        <v>3.4799999999999998E-2</v>
      </c>
      <c r="O13">
        <v>3.2500000000000001E-2</v>
      </c>
      <c r="P13">
        <v>3.2500000000000001E-2</v>
      </c>
      <c r="Q13">
        <v>3.27E-2</v>
      </c>
      <c r="R13">
        <v>3.2800000000000003E-2</v>
      </c>
      <c r="S13">
        <v>3.2800000000000003E-2</v>
      </c>
      <c r="T13">
        <v>3.2800000000000003E-2</v>
      </c>
      <c r="U13">
        <v>3.2899999999999999E-2</v>
      </c>
      <c r="V13">
        <v>3.3000000000000002E-2</v>
      </c>
      <c r="W13">
        <v>3.3000000000000002E-2</v>
      </c>
      <c r="X13">
        <v>3.3099999999999997E-2</v>
      </c>
      <c r="Y13">
        <v>3.3099999999999997E-2</v>
      </c>
    </row>
    <row r="14" spans="1:25">
      <c r="A14" t="s">
        <v>270</v>
      </c>
      <c r="B14" t="s">
        <v>622</v>
      </c>
      <c r="C14" t="s">
        <v>595</v>
      </c>
      <c r="D14" t="s">
        <v>621</v>
      </c>
      <c r="E14" t="s">
        <v>605</v>
      </c>
      <c r="F14" t="s">
        <v>598</v>
      </c>
      <c r="G14" t="s">
        <v>599</v>
      </c>
      <c r="H14" t="s">
        <v>600</v>
      </c>
      <c r="I14" t="s">
        <v>601</v>
      </c>
      <c r="J14">
        <v>3.8E-3</v>
      </c>
      <c r="K14">
        <v>3.8E-3</v>
      </c>
      <c r="L14">
        <v>3.8999999999999998E-3</v>
      </c>
      <c r="M14">
        <v>3.8999999999999998E-3</v>
      </c>
      <c r="N14">
        <v>4.0000000000000001E-3</v>
      </c>
      <c r="O14">
        <v>4.0000000000000001E-3</v>
      </c>
      <c r="P14">
        <v>4.1000000000000003E-3</v>
      </c>
      <c r="Q14">
        <v>4.1000000000000003E-3</v>
      </c>
      <c r="R14">
        <v>4.1000000000000003E-3</v>
      </c>
      <c r="S14">
        <v>4.1999999999999997E-3</v>
      </c>
      <c r="T14">
        <v>4.1999999999999997E-3</v>
      </c>
      <c r="U14">
        <v>4.1999999999999997E-3</v>
      </c>
      <c r="V14">
        <v>4.1999999999999997E-3</v>
      </c>
      <c r="W14">
        <v>4.3E-3</v>
      </c>
      <c r="X14">
        <v>4.3E-3</v>
      </c>
      <c r="Y14">
        <v>4.3E-3</v>
      </c>
    </row>
    <row r="15" spans="1:25">
      <c r="A15" t="s">
        <v>270</v>
      </c>
      <c r="B15" t="s">
        <v>623</v>
      </c>
      <c r="C15" t="s">
        <v>595</v>
      </c>
      <c r="D15" t="s">
        <v>621</v>
      </c>
      <c r="E15" t="s">
        <v>624</v>
      </c>
      <c r="F15" t="s">
        <v>598</v>
      </c>
      <c r="G15" t="s">
        <v>599</v>
      </c>
      <c r="H15" t="s">
        <v>600</v>
      </c>
      <c r="I15" t="s">
        <v>601</v>
      </c>
      <c r="J15">
        <v>0.18110000000000001</v>
      </c>
      <c r="K15">
        <v>0.18429999999999999</v>
      </c>
      <c r="L15">
        <v>0.18379999999999999</v>
      </c>
      <c r="M15">
        <v>0.1865</v>
      </c>
      <c r="N15">
        <v>0.188</v>
      </c>
      <c r="O15">
        <v>0.1928</v>
      </c>
      <c r="P15">
        <v>0.1958</v>
      </c>
      <c r="Q15">
        <v>0.1996</v>
      </c>
      <c r="R15">
        <v>0.20180000000000001</v>
      </c>
      <c r="S15">
        <v>0.20610000000000001</v>
      </c>
      <c r="T15">
        <v>0.21049999999999999</v>
      </c>
      <c r="U15">
        <v>0.21340000000000001</v>
      </c>
      <c r="V15">
        <v>0.21479999999999999</v>
      </c>
      <c r="W15">
        <v>0.2177</v>
      </c>
      <c r="X15">
        <v>0.2213</v>
      </c>
      <c r="Y15">
        <v>0.22320000000000001</v>
      </c>
    </row>
    <row r="16" spans="1:25">
      <c r="A16" t="s">
        <v>270</v>
      </c>
      <c r="B16" t="s">
        <v>625</v>
      </c>
      <c r="C16" t="s">
        <v>595</v>
      </c>
      <c r="D16" t="s">
        <v>621</v>
      </c>
      <c r="E16" t="s">
        <v>626</v>
      </c>
      <c r="F16" t="s">
        <v>598</v>
      </c>
      <c r="G16" t="s">
        <v>599</v>
      </c>
      <c r="H16" t="s">
        <v>600</v>
      </c>
      <c r="I16" t="s">
        <v>601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>
      <c r="A17" t="s">
        <v>270</v>
      </c>
      <c r="B17" t="s">
        <v>627</v>
      </c>
      <c r="C17" t="s">
        <v>595</v>
      </c>
      <c r="D17" t="s">
        <v>621</v>
      </c>
      <c r="E17" t="s">
        <v>628</v>
      </c>
      <c r="F17" t="s">
        <v>598</v>
      </c>
      <c r="G17" t="s">
        <v>599</v>
      </c>
      <c r="H17" t="s">
        <v>600</v>
      </c>
      <c r="I17" t="s">
        <v>601</v>
      </c>
      <c r="J17">
        <v>3.3700000000000001E-2</v>
      </c>
      <c r="K17">
        <v>3.2800000000000003E-2</v>
      </c>
      <c r="L17">
        <v>3.1800000000000002E-2</v>
      </c>
      <c r="M17">
        <v>3.1199999999999999E-2</v>
      </c>
      <c r="N17">
        <v>3.04E-2</v>
      </c>
      <c r="O17">
        <v>2.9600000000000001E-2</v>
      </c>
      <c r="P17">
        <v>2.9700000000000001E-2</v>
      </c>
      <c r="Q17">
        <v>2.98E-2</v>
      </c>
      <c r="R17">
        <v>3.0499999999999999E-2</v>
      </c>
      <c r="S17">
        <v>3.0499999999999999E-2</v>
      </c>
      <c r="T17">
        <v>3.0499999999999999E-2</v>
      </c>
      <c r="U17">
        <v>3.0700000000000002E-2</v>
      </c>
      <c r="V17">
        <v>3.0700000000000002E-2</v>
      </c>
      <c r="W17">
        <v>3.1E-2</v>
      </c>
      <c r="X17">
        <v>3.1E-2</v>
      </c>
      <c r="Y17">
        <v>3.1E-2</v>
      </c>
    </row>
    <row r="18" spans="1:25">
      <c r="A18" t="s">
        <v>270</v>
      </c>
      <c r="B18" t="s">
        <v>629</v>
      </c>
      <c r="C18" t="s">
        <v>595</v>
      </c>
      <c r="D18" t="s">
        <v>621</v>
      </c>
      <c r="E18" t="s">
        <v>630</v>
      </c>
      <c r="F18" t="s">
        <v>598</v>
      </c>
      <c r="G18" t="s">
        <v>599</v>
      </c>
      <c r="H18" t="s">
        <v>600</v>
      </c>
      <c r="I18" t="s">
        <v>601</v>
      </c>
      <c r="J18">
        <v>1.1000000000000001E-3</v>
      </c>
      <c r="K18">
        <v>1.1000000000000001E-3</v>
      </c>
      <c r="L18">
        <v>1.1000000000000001E-3</v>
      </c>
      <c r="M18">
        <v>1.1000000000000001E-3</v>
      </c>
      <c r="N18">
        <v>1.1000000000000001E-3</v>
      </c>
      <c r="O18">
        <v>1.1000000000000001E-3</v>
      </c>
      <c r="P18">
        <v>1.1000000000000001E-3</v>
      </c>
      <c r="Q18">
        <v>1.1000000000000001E-3</v>
      </c>
      <c r="R18">
        <v>1.1000000000000001E-3</v>
      </c>
      <c r="S18">
        <v>1.1000000000000001E-3</v>
      </c>
      <c r="T18">
        <v>1.1000000000000001E-3</v>
      </c>
      <c r="U18">
        <v>1.1000000000000001E-3</v>
      </c>
      <c r="V18">
        <v>1.1000000000000001E-3</v>
      </c>
      <c r="W18">
        <v>1.1000000000000001E-3</v>
      </c>
      <c r="X18">
        <v>1.1000000000000001E-3</v>
      </c>
      <c r="Y18">
        <v>1.1000000000000001E-3</v>
      </c>
    </row>
    <row r="19" spans="1:25">
      <c r="A19" t="s">
        <v>270</v>
      </c>
      <c r="B19" t="s">
        <v>631</v>
      </c>
      <c r="C19" t="s">
        <v>595</v>
      </c>
      <c r="D19" t="s">
        <v>632</v>
      </c>
      <c r="E19" t="s">
        <v>597</v>
      </c>
      <c r="F19" t="s">
        <v>598</v>
      </c>
      <c r="G19" t="s">
        <v>599</v>
      </c>
      <c r="H19" t="s">
        <v>600</v>
      </c>
      <c r="I19" t="s">
        <v>601</v>
      </c>
      <c r="J19">
        <v>2.5575999999999999</v>
      </c>
      <c r="K19">
        <v>2.5987</v>
      </c>
      <c r="L19">
        <v>2.6173999999999999</v>
      </c>
      <c r="M19">
        <v>2.6238999999999999</v>
      </c>
      <c r="N19">
        <v>2.6309</v>
      </c>
      <c r="O19">
        <v>2.5444</v>
      </c>
      <c r="P19">
        <v>2.5861999999999998</v>
      </c>
      <c r="Q19">
        <v>2.6173000000000002</v>
      </c>
      <c r="R19">
        <v>2.6396000000000002</v>
      </c>
      <c r="S19">
        <v>2.6579999999999999</v>
      </c>
      <c r="T19">
        <v>2.673</v>
      </c>
      <c r="U19">
        <v>2.6802999999999999</v>
      </c>
      <c r="V19">
        <v>2.6873</v>
      </c>
      <c r="W19">
        <v>2.6932</v>
      </c>
      <c r="X19">
        <v>2.7006999999999999</v>
      </c>
      <c r="Y19">
        <v>2.7078000000000002</v>
      </c>
    </row>
    <row r="20" spans="1:25">
      <c r="A20" t="s">
        <v>270</v>
      </c>
      <c r="B20" t="s">
        <v>633</v>
      </c>
      <c r="C20" t="s">
        <v>595</v>
      </c>
      <c r="D20" t="s">
        <v>632</v>
      </c>
      <c r="E20" t="s">
        <v>634</v>
      </c>
      <c r="F20" t="s">
        <v>598</v>
      </c>
      <c r="G20" t="s">
        <v>599</v>
      </c>
      <c r="H20" t="s">
        <v>600</v>
      </c>
      <c r="I20" t="s">
        <v>601</v>
      </c>
      <c r="J20">
        <v>5.0000000000000001E-4</v>
      </c>
      <c r="K20">
        <v>5.0000000000000001E-4</v>
      </c>
      <c r="L20">
        <v>5.0000000000000001E-4</v>
      </c>
      <c r="M20">
        <v>5.0000000000000001E-4</v>
      </c>
      <c r="N20">
        <v>5.0000000000000001E-4</v>
      </c>
      <c r="O20">
        <v>5.0000000000000001E-4</v>
      </c>
      <c r="P20">
        <v>5.0000000000000001E-4</v>
      </c>
      <c r="Q20">
        <v>5.0000000000000001E-4</v>
      </c>
      <c r="R20">
        <v>5.0000000000000001E-4</v>
      </c>
      <c r="S20">
        <v>5.0000000000000001E-4</v>
      </c>
      <c r="T20">
        <v>5.0000000000000001E-4</v>
      </c>
      <c r="U20">
        <v>5.0000000000000001E-4</v>
      </c>
      <c r="V20">
        <v>5.0000000000000001E-4</v>
      </c>
      <c r="W20">
        <v>5.0000000000000001E-4</v>
      </c>
      <c r="X20">
        <v>5.0000000000000001E-4</v>
      </c>
      <c r="Y20">
        <v>5.0000000000000001E-4</v>
      </c>
    </row>
    <row r="21" spans="1:25">
      <c r="A21" t="s">
        <v>270</v>
      </c>
      <c r="B21" t="s">
        <v>635</v>
      </c>
      <c r="C21" t="s">
        <v>595</v>
      </c>
      <c r="D21" t="s">
        <v>632</v>
      </c>
      <c r="E21" t="s">
        <v>624</v>
      </c>
      <c r="F21" t="s">
        <v>598</v>
      </c>
      <c r="G21" t="s">
        <v>599</v>
      </c>
      <c r="H21" t="s">
        <v>600</v>
      </c>
      <c r="I21" t="s">
        <v>601</v>
      </c>
      <c r="J21">
        <v>1.4999999999999999E-2</v>
      </c>
      <c r="K21">
        <v>1.49E-2</v>
      </c>
      <c r="L21">
        <v>1.4800000000000001E-2</v>
      </c>
      <c r="M21">
        <v>1.4800000000000001E-2</v>
      </c>
      <c r="N21">
        <v>1.47E-2</v>
      </c>
      <c r="O21">
        <v>1.47E-2</v>
      </c>
      <c r="P21">
        <v>1.49E-2</v>
      </c>
      <c r="Q21">
        <v>1.49E-2</v>
      </c>
      <c r="R21">
        <v>1.49E-2</v>
      </c>
      <c r="S21">
        <v>1.4999999999999999E-2</v>
      </c>
      <c r="T21">
        <v>1.4999999999999999E-2</v>
      </c>
      <c r="U21">
        <v>1.5100000000000001E-2</v>
      </c>
      <c r="V21">
        <v>1.5100000000000001E-2</v>
      </c>
      <c r="W21">
        <v>1.5100000000000001E-2</v>
      </c>
      <c r="X21">
        <v>1.52E-2</v>
      </c>
      <c r="Y21">
        <v>1.52E-2</v>
      </c>
    </row>
    <row r="22" spans="1:25">
      <c r="A22" t="s">
        <v>270</v>
      </c>
      <c r="B22" t="s">
        <v>636</v>
      </c>
      <c r="C22" t="s">
        <v>595</v>
      </c>
      <c r="D22" t="s">
        <v>632</v>
      </c>
      <c r="E22" t="s">
        <v>628</v>
      </c>
      <c r="F22" t="s">
        <v>598</v>
      </c>
      <c r="G22" t="s">
        <v>599</v>
      </c>
      <c r="H22" t="s">
        <v>600</v>
      </c>
      <c r="I22" t="s">
        <v>601</v>
      </c>
      <c r="J22">
        <v>3.3599999999999998E-2</v>
      </c>
      <c r="K22">
        <v>3.3500000000000002E-2</v>
      </c>
      <c r="L22">
        <v>3.2800000000000003E-2</v>
      </c>
      <c r="M22">
        <v>3.3099999999999997E-2</v>
      </c>
      <c r="N22">
        <v>3.3099999999999997E-2</v>
      </c>
      <c r="O22">
        <v>3.32E-2</v>
      </c>
      <c r="P22">
        <v>3.4200000000000001E-2</v>
      </c>
      <c r="Q22">
        <v>3.5000000000000003E-2</v>
      </c>
      <c r="R22">
        <v>3.56E-2</v>
      </c>
      <c r="S22">
        <v>3.5999999999999997E-2</v>
      </c>
      <c r="T22">
        <v>3.6200000000000003E-2</v>
      </c>
      <c r="U22">
        <v>3.6299999999999999E-2</v>
      </c>
      <c r="V22">
        <v>3.6400000000000002E-2</v>
      </c>
      <c r="W22">
        <v>3.6499999999999998E-2</v>
      </c>
      <c r="X22">
        <v>3.6600000000000001E-2</v>
      </c>
      <c r="Y22">
        <v>3.6700000000000003E-2</v>
      </c>
    </row>
    <row r="23" spans="1:25">
      <c r="A23" t="s">
        <v>270</v>
      </c>
      <c r="B23" t="s">
        <v>637</v>
      </c>
      <c r="C23" t="s">
        <v>595</v>
      </c>
      <c r="D23" t="s">
        <v>632</v>
      </c>
      <c r="E23" t="s">
        <v>638</v>
      </c>
      <c r="F23" t="s">
        <v>598</v>
      </c>
      <c r="G23" t="s">
        <v>599</v>
      </c>
      <c r="H23" t="s">
        <v>600</v>
      </c>
      <c r="I23" t="s">
        <v>601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>
      <c r="A24" t="s">
        <v>270</v>
      </c>
      <c r="B24" t="s">
        <v>639</v>
      </c>
      <c r="C24" t="s">
        <v>595</v>
      </c>
      <c r="D24" t="s">
        <v>640</v>
      </c>
      <c r="E24" t="s">
        <v>597</v>
      </c>
      <c r="F24" t="s">
        <v>598</v>
      </c>
      <c r="G24" t="s">
        <v>599</v>
      </c>
      <c r="H24" t="s">
        <v>600</v>
      </c>
      <c r="I24" t="s">
        <v>601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>
      <c r="A25" t="s">
        <v>270</v>
      </c>
      <c r="B25" t="s">
        <v>641</v>
      </c>
      <c r="C25" t="s">
        <v>595</v>
      </c>
      <c r="D25" t="s">
        <v>640</v>
      </c>
      <c r="E25" t="s">
        <v>642</v>
      </c>
      <c r="F25" t="s">
        <v>598</v>
      </c>
      <c r="G25" t="s">
        <v>599</v>
      </c>
      <c r="H25" t="s">
        <v>600</v>
      </c>
      <c r="I25" t="s">
        <v>601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>
      <c r="A26" t="s">
        <v>270</v>
      </c>
      <c r="B26" t="s">
        <v>643</v>
      </c>
      <c r="C26" t="s">
        <v>595</v>
      </c>
      <c r="D26" t="s">
        <v>640</v>
      </c>
      <c r="E26" t="s">
        <v>613</v>
      </c>
      <c r="F26" t="s">
        <v>598</v>
      </c>
      <c r="G26" t="s">
        <v>599</v>
      </c>
      <c r="H26" t="s">
        <v>600</v>
      </c>
      <c r="I26" t="s">
        <v>601</v>
      </c>
      <c r="J26">
        <v>1.2200000000000001E-2</v>
      </c>
      <c r="K26">
        <v>1.23E-2</v>
      </c>
      <c r="L26">
        <v>1.2500000000000001E-2</v>
      </c>
      <c r="M26">
        <v>1.26E-2</v>
      </c>
      <c r="N26">
        <v>1.2699999999999999E-2</v>
      </c>
      <c r="O26">
        <v>1.2800000000000001E-2</v>
      </c>
      <c r="P26">
        <v>1.29E-2</v>
      </c>
      <c r="Q26">
        <v>1.3100000000000001E-2</v>
      </c>
      <c r="R26">
        <v>1.32E-2</v>
      </c>
      <c r="S26">
        <v>1.3299999999999999E-2</v>
      </c>
      <c r="T26">
        <v>1.3299999999999999E-2</v>
      </c>
      <c r="U26">
        <v>1.34E-2</v>
      </c>
      <c r="V26">
        <v>1.35E-2</v>
      </c>
      <c r="W26">
        <v>1.38E-2</v>
      </c>
      <c r="X26">
        <v>1.3899999999999999E-2</v>
      </c>
      <c r="Y26">
        <v>1.4E-2</v>
      </c>
    </row>
    <row r="27" spans="1:25">
      <c r="A27" t="s">
        <v>270</v>
      </c>
      <c r="B27" t="s">
        <v>644</v>
      </c>
      <c r="C27" t="s">
        <v>595</v>
      </c>
      <c r="D27" t="s">
        <v>645</v>
      </c>
      <c r="E27" t="s">
        <v>646</v>
      </c>
      <c r="F27" t="s">
        <v>598</v>
      </c>
      <c r="G27" t="s">
        <v>599</v>
      </c>
      <c r="H27" t="s">
        <v>600</v>
      </c>
      <c r="I27" t="s">
        <v>601</v>
      </c>
      <c r="J27">
        <v>7.85E-2</v>
      </c>
      <c r="K27">
        <v>7.8399999999999997E-2</v>
      </c>
      <c r="L27">
        <v>7.7799999999999994E-2</v>
      </c>
      <c r="M27">
        <v>7.7899999999999997E-2</v>
      </c>
      <c r="N27">
        <v>7.7899999999999997E-2</v>
      </c>
      <c r="O27">
        <v>7.7799999999999994E-2</v>
      </c>
      <c r="P27">
        <v>7.8700000000000006E-2</v>
      </c>
      <c r="Q27">
        <v>7.9299999999999995E-2</v>
      </c>
      <c r="R27">
        <v>7.9699999999999993E-2</v>
      </c>
      <c r="S27">
        <v>0.08</v>
      </c>
      <c r="T27">
        <v>8.0199999999999994E-2</v>
      </c>
      <c r="U27">
        <v>8.0199999999999994E-2</v>
      </c>
      <c r="V27">
        <v>8.0199999999999994E-2</v>
      </c>
      <c r="W27">
        <v>8.0199999999999994E-2</v>
      </c>
      <c r="X27">
        <v>8.0199999999999994E-2</v>
      </c>
      <c r="Y27">
        <v>8.0199999999999994E-2</v>
      </c>
    </row>
    <row r="28" spans="1:25">
      <c r="A28" t="s">
        <v>270</v>
      </c>
      <c r="B28" t="s">
        <v>647</v>
      </c>
      <c r="C28" t="s">
        <v>595</v>
      </c>
      <c r="D28" t="s">
        <v>648</v>
      </c>
      <c r="E28" t="s">
        <v>649</v>
      </c>
      <c r="F28" t="s">
        <v>598</v>
      </c>
      <c r="G28" t="s">
        <v>599</v>
      </c>
      <c r="H28" t="s">
        <v>600</v>
      </c>
      <c r="I28" t="s">
        <v>601</v>
      </c>
      <c r="J28">
        <v>0.46460000000000001</v>
      </c>
      <c r="K28">
        <v>0.46460000000000001</v>
      </c>
      <c r="L28">
        <v>0.46460000000000001</v>
      </c>
      <c r="M28">
        <v>0.46460000000000001</v>
      </c>
      <c r="N28">
        <v>0.46460000000000001</v>
      </c>
      <c r="O28">
        <v>0.46460000000000001</v>
      </c>
      <c r="P28">
        <v>0.46460000000000001</v>
      </c>
      <c r="Q28">
        <v>0.46460000000000001</v>
      </c>
      <c r="R28">
        <v>0.46460000000000001</v>
      </c>
      <c r="S28">
        <v>0.46460000000000001</v>
      </c>
      <c r="T28">
        <v>0.46460000000000001</v>
      </c>
      <c r="U28">
        <v>0.46460000000000001</v>
      </c>
      <c r="V28">
        <v>0.46460000000000001</v>
      </c>
      <c r="W28">
        <v>0.46460000000000001</v>
      </c>
      <c r="X28">
        <v>0.46460000000000001</v>
      </c>
      <c r="Y28">
        <v>0.46460000000000001</v>
      </c>
    </row>
    <row r="29" spans="1:25" hidden="1">
      <c r="A29" t="s">
        <v>270</v>
      </c>
      <c r="B29" t="s">
        <v>650</v>
      </c>
      <c r="C29" t="s">
        <v>651</v>
      </c>
      <c r="D29" t="s">
        <v>596</v>
      </c>
      <c r="E29" t="s">
        <v>597</v>
      </c>
      <c r="F29" t="s">
        <v>598</v>
      </c>
      <c r="G29" t="s">
        <v>599</v>
      </c>
      <c r="H29" t="s">
        <v>600</v>
      </c>
      <c r="I29" t="s">
        <v>601</v>
      </c>
      <c r="J29">
        <v>1.8E-3</v>
      </c>
      <c r="K29">
        <v>1.9E-3</v>
      </c>
      <c r="L29">
        <v>1.9E-3</v>
      </c>
      <c r="M29">
        <v>1.9E-3</v>
      </c>
      <c r="N29">
        <v>2E-3</v>
      </c>
      <c r="O29">
        <v>2E-3</v>
      </c>
      <c r="P29">
        <v>2E-3</v>
      </c>
      <c r="Q29">
        <v>2.0999999999999999E-3</v>
      </c>
      <c r="R29">
        <v>2.0999999999999999E-3</v>
      </c>
      <c r="S29">
        <v>2.0999999999999999E-3</v>
      </c>
      <c r="T29">
        <v>2.0999999999999999E-3</v>
      </c>
      <c r="U29">
        <v>2.2000000000000001E-3</v>
      </c>
      <c r="V29">
        <v>2.2000000000000001E-3</v>
      </c>
      <c r="W29">
        <v>2.2000000000000001E-3</v>
      </c>
      <c r="X29">
        <v>2.3E-3</v>
      </c>
      <c r="Y29">
        <v>2.3E-3</v>
      </c>
    </row>
    <row r="30" spans="1:25" hidden="1">
      <c r="A30" t="s">
        <v>270</v>
      </c>
      <c r="B30" t="s">
        <v>652</v>
      </c>
      <c r="C30" t="s">
        <v>651</v>
      </c>
      <c r="D30" t="s">
        <v>596</v>
      </c>
      <c r="E30" t="s">
        <v>605</v>
      </c>
      <c r="F30" t="s">
        <v>598</v>
      </c>
      <c r="G30" t="s">
        <v>599</v>
      </c>
      <c r="H30" t="s">
        <v>600</v>
      </c>
      <c r="I30" t="s">
        <v>601</v>
      </c>
      <c r="J30">
        <v>1.21E-2</v>
      </c>
      <c r="K30">
        <v>1.2200000000000001E-2</v>
      </c>
      <c r="L30">
        <v>1.24E-2</v>
      </c>
      <c r="M30">
        <v>1.2500000000000001E-2</v>
      </c>
      <c r="N30">
        <v>1.2699999999999999E-2</v>
      </c>
      <c r="O30">
        <v>1.2800000000000001E-2</v>
      </c>
      <c r="P30">
        <v>1.2999999999999999E-2</v>
      </c>
      <c r="Q30">
        <v>1.3100000000000001E-2</v>
      </c>
      <c r="R30">
        <v>1.3299999999999999E-2</v>
      </c>
      <c r="S30">
        <v>1.35E-2</v>
      </c>
      <c r="T30">
        <v>1.3599999999999999E-2</v>
      </c>
      <c r="U30">
        <v>1.38E-2</v>
      </c>
      <c r="V30">
        <v>1.3899999999999999E-2</v>
      </c>
      <c r="W30">
        <v>1.41E-2</v>
      </c>
      <c r="X30">
        <v>1.43E-2</v>
      </c>
      <c r="Y30">
        <v>1.44E-2</v>
      </c>
    </row>
    <row r="31" spans="1:25" hidden="1">
      <c r="A31" t="s">
        <v>270</v>
      </c>
      <c r="B31" t="s">
        <v>653</v>
      </c>
      <c r="C31" t="s">
        <v>651</v>
      </c>
      <c r="D31" t="s">
        <v>596</v>
      </c>
      <c r="E31" t="s">
        <v>607</v>
      </c>
      <c r="F31" t="s">
        <v>598</v>
      </c>
      <c r="G31" t="s">
        <v>599</v>
      </c>
      <c r="H31" t="s">
        <v>600</v>
      </c>
      <c r="I31" t="s">
        <v>601</v>
      </c>
      <c r="J31">
        <v>5.4600000000000003E-2</v>
      </c>
      <c r="K31">
        <v>5.3100000000000001E-2</v>
      </c>
      <c r="L31">
        <v>5.1499999999999997E-2</v>
      </c>
      <c r="M31">
        <v>4.9299999999999997E-2</v>
      </c>
      <c r="N31">
        <v>4.8300000000000003E-2</v>
      </c>
      <c r="O31">
        <v>4.6699999999999998E-2</v>
      </c>
      <c r="P31">
        <v>4.7300000000000002E-2</v>
      </c>
      <c r="Q31">
        <v>4.7899999999999998E-2</v>
      </c>
      <c r="R31">
        <v>4.8000000000000001E-2</v>
      </c>
      <c r="S31">
        <v>4.8099999999999997E-2</v>
      </c>
      <c r="T31">
        <v>4.82E-2</v>
      </c>
      <c r="U31">
        <v>4.8300000000000003E-2</v>
      </c>
      <c r="V31">
        <v>4.8500000000000001E-2</v>
      </c>
      <c r="W31">
        <v>4.8599999999999997E-2</v>
      </c>
      <c r="X31">
        <v>4.8800000000000003E-2</v>
      </c>
      <c r="Y31">
        <v>4.8899999999999999E-2</v>
      </c>
    </row>
    <row r="32" spans="1:25" hidden="1">
      <c r="A32" t="s">
        <v>270</v>
      </c>
      <c r="B32" t="s">
        <v>654</v>
      </c>
      <c r="C32" t="s">
        <v>651</v>
      </c>
      <c r="D32" t="s">
        <v>596</v>
      </c>
      <c r="E32" t="s">
        <v>609</v>
      </c>
      <c r="F32" t="s">
        <v>598</v>
      </c>
      <c r="G32" t="s">
        <v>599</v>
      </c>
      <c r="H32" t="s">
        <v>600</v>
      </c>
      <c r="I32" t="s">
        <v>601</v>
      </c>
      <c r="J32">
        <v>2.2000000000000001E-3</v>
      </c>
      <c r="K32">
        <v>2.2000000000000001E-3</v>
      </c>
      <c r="L32">
        <v>2.2000000000000001E-3</v>
      </c>
      <c r="M32">
        <v>2.2000000000000001E-3</v>
      </c>
      <c r="N32">
        <v>2.2000000000000001E-3</v>
      </c>
      <c r="O32">
        <v>2.2000000000000001E-3</v>
      </c>
      <c r="P32">
        <v>2.2000000000000001E-3</v>
      </c>
      <c r="Q32">
        <v>2.3E-3</v>
      </c>
      <c r="R32">
        <v>2.3999999999999998E-3</v>
      </c>
      <c r="S32">
        <v>2.3999999999999998E-3</v>
      </c>
      <c r="T32">
        <v>2.3999999999999998E-3</v>
      </c>
      <c r="U32">
        <v>2.3999999999999998E-3</v>
      </c>
      <c r="V32">
        <v>2.3999999999999998E-3</v>
      </c>
      <c r="W32">
        <v>2.3999999999999998E-3</v>
      </c>
      <c r="X32">
        <v>2.3999999999999998E-3</v>
      </c>
      <c r="Y32">
        <v>2.3999999999999998E-3</v>
      </c>
    </row>
    <row r="33" spans="1:25" hidden="1">
      <c r="A33" t="s">
        <v>270</v>
      </c>
      <c r="B33" t="s">
        <v>655</v>
      </c>
      <c r="C33" t="s">
        <v>651</v>
      </c>
      <c r="D33" t="s">
        <v>596</v>
      </c>
      <c r="E33" t="s">
        <v>656</v>
      </c>
      <c r="F33" t="s">
        <v>598</v>
      </c>
      <c r="G33" t="s">
        <v>599</v>
      </c>
      <c r="H33" t="s">
        <v>600</v>
      </c>
      <c r="I33" t="s">
        <v>601</v>
      </c>
      <c r="J33">
        <v>1.0526</v>
      </c>
      <c r="K33">
        <v>1.2043999999999999</v>
      </c>
      <c r="L33">
        <v>1.2928999999999999</v>
      </c>
      <c r="M33">
        <v>1.4068000000000001</v>
      </c>
      <c r="N33">
        <v>1.4877</v>
      </c>
      <c r="O33">
        <v>1.546</v>
      </c>
      <c r="P33">
        <v>1.5637000000000001</v>
      </c>
      <c r="Q33">
        <v>1.5814999999999999</v>
      </c>
      <c r="R33">
        <v>1.6218999999999999</v>
      </c>
      <c r="S33">
        <v>1.6497999999999999</v>
      </c>
      <c r="T33">
        <v>1.6775</v>
      </c>
      <c r="U33">
        <v>1.7053</v>
      </c>
      <c r="V33">
        <v>1.7359</v>
      </c>
      <c r="W33">
        <v>1.7305999999999999</v>
      </c>
      <c r="X33">
        <v>1.7434000000000001</v>
      </c>
      <c r="Y33">
        <v>1.7383999999999999</v>
      </c>
    </row>
    <row r="34" spans="1:25" hidden="1">
      <c r="A34" t="s">
        <v>270</v>
      </c>
      <c r="B34" t="s">
        <v>657</v>
      </c>
      <c r="C34" t="s">
        <v>651</v>
      </c>
      <c r="D34" t="s">
        <v>621</v>
      </c>
      <c r="E34" t="s">
        <v>597</v>
      </c>
      <c r="F34" t="s">
        <v>598</v>
      </c>
      <c r="G34" t="s">
        <v>599</v>
      </c>
      <c r="H34" t="s">
        <v>600</v>
      </c>
      <c r="I34" t="s">
        <v>601</v>
      </c>
      <c r="J34">
        <v>1.0500000000000001E-2</v>
      </c>
      <c r="K34">
        <v>1.0699999999999999E-2</v>
      </c>
      <c r="L34">
        <v>1.0699999999999999E-2</v>
      </c>
      <c r="M34">
        <v>1.09E-2</v>
      </c>
      <c r="N34">
        <v>1.0999999999999999E-2</v>
      </c>
      <c r="O34">
        <v>1.0999999999999999E-2</v>
      </c>
      <c r="P34">
        <v>1.11E-2</v>
      </c>
      <c r="Q34">
        <v>1.12E-2</v>
      </c>
      <c r="R34">
        <v>1.1299999999999999E-2</v>
      </c>
      <c r="S34">
        <v>1.15E-2</v>
      </c>
      <c r="T34">
        <v>1.15E-2</v>
      </c>
      <c r="U34">
        <v>1.15E-2</v>
      </c>
      <c r="V34">
        <v>1.1900000000000001E-2</v>
      </c>
      <c r="W34">
        <v>1.1900000000000001E-2</v>
      </c>
      <c r="X34">
        <v>1.23E-2</v>
      </c>
      <c r="Y34">
        <v>1.23E-2</v>
      </c>
    </row>
    <row r="35" spans="1:25" hidden="1">
      <c r="A35" t="s">
        <v>270</v>
      </c>
      <c r="B35" t="s">
        <v>658</v>
      </c>
      <c r="C35" t="s">
        <v>651</v>
      </c>
      <c r="D35" t="s">
        <v>621</v>
      </c>
      <c r="E35" t="s">
        <v>624</v>
      </c>
      <c r="F35" t="s">
        <v>598</v>
      </c>
      <c r="G35" t="s">
        <v>599</v>
      </c>
      <c r="H35" t="s">
        <v>600</v>
      </c>
      <c r="I35" t="s">
        <v>601</v>
      </c>
      <c r="J35">
        <v>6.4399999999999999E-2</v>
      </c>
      <c r="K35">
        <v>6.4399999999999999E-2</v>
      </c>
      <c r="L35">
        <v>6.4399999999999999E-2</v>
      </c>
      <c r="M35">
        <v>6.4399999999999999E-2</v>
      </c>
      <c r="N35">
        <v>6.4399999999999999E-2</v>
      </c>
      <c r="O35">
        <v>6.4399999999999999E-2</v>
      </c>
      <c r="P35">
        <v>6.4399999999999999E-2</v>
      </c>
      <c r="Q35">
        <v>6.4399999999999999E-2</v>
      </c>
      <c r="R35">
        <v>6.4399999999999999E-2</v>
      </c>
      <c r="S35">
        <v>6.4399999999999999E-2</v>
      </c>
      <c r="T35">
        <v>6.4399999999999999E-2</v>
      </c>
      <c r="U35">
        <v>6.4399999999999999E-2</v>
      </c>
      <c r="V35">
        <v>6.4399999999999999E-2</v>
      </c>
      <c r="W35">
        <v>6.4399999999999999E-2</v>
      </c>
      <c r="X35">
        <v>6.4399999999999999E-2</v>
      </c>
      <c r="Y35">
        <v>6.4399999999999999E-2</v>
      </c>
    </row>
    <row r="36" spans="1:25" hidden="1">
      <c r="A36" t="s">
        <v>270</v>
      </c>
      <c r="B36" t="s">
        <v>659</v>
      </c>
      <c r="C36" t="s">
        <v>651</v>
      </c>
      <c r="D36" t="s">
        <v>621</v>
      </c>
      <c r="E36" t="s">
        <v>628</v>
      </c>
      <c r="F36" t="s">
        <v>598</v>
      </c>
      <c r="G36" t="s">
        <v>599</v>
      </c>
      <c r="H36" t="s">
        <v>600</v>
      </c>
      <c r="I36" t="s">
        <v>601</v>
      </c>
      <c r="J36">
        <v>4.3E-3</v>
      </c>
      <c r="K36">
        <v>4.3E-3</v>
      </c>
      <c r="L36">
        <v>4.3E-3</v>
      </c>
      <c r="M36">
        <v>4.3E-3</v>
      </c>
      <c r="N36">
        <v>4.3E-3</v>
      </c>
      <c r="O36">
        <v>4.3E-3</v>
      </c>
      <c r="P36">
        <v>4.3E-3</v>
      </c>
      <c r="Q36">
        <v>4.3E-3</v>
      </c>
      <c r="R36">
        <v>4.3E-3</v>
      </c>
      <c r="S36">
        <v>4.3E-3</v>
      </c>
      <c r="T36">
        <v>4.3E-3</v>
      </c>
      <c r="U36">
        <v>4.3E-3</v>
      </c>
      <c r="V36">
        <v>4.3E-3</v>
      </c>
      <c r="W36">
        <v>4.3E-3</v>
      </c>
      <c r="X36">
        <v>4.3E-3</v>
      </c>
      <c r="Y36">
        <v>4.3E-3</v>
      </c>
    </row>
    <row r="37" spans="1:25" hidden="1">
      <c r="A37" t="s">
        <v>270</v>
      </c>
      <c r="B37" t="s">
        <v>660</v>
      </c>
      <c r="C37" t="s">
        <v>651</v>
      </c>
      <c r="D37" t="s">
        <v>632</v>
      </c>
      <c r="E37" t="s">
        <v>597</v>
      </c>
      <c r="F37" t="s">
        <v>598</v>
      </c>
      <c r="G37" t="s">
        <v>599</v>
      </c>
      <c r="H37" t="s">
        <v>600</v>
      </c>
      <c r="I37" t="s">
        <v>601</v>
      </c>
      <c r="J37">
        <v>1.2501</v>
      </c>
      <c r="K37">
        <v>1.2636000000000001</v>
      </c>
      <c r="L37">
        <v>1.2775000000000001</v>
      </c>
      <c r="M37">
        <v>1.2907</v>
      </c>
      <c r="N37">
        <v>1.3048</v>
      </c>
      <c r="O37">
        <v>1.3188</v>
      </c>
      <c r="P37">
        <v>1.3334999999999999</v>
      </c>
      <c r="Q37">
        <v>1.347</v>
      </c>
      <c r="R37">
        <v>1.3615999999999999</v>
      </c>
      <c r="S37">
        <v>1.3758999999999999</v>
      </c>
      <c r="T37">
        <v>1.3908</v>
      </c>
      <c r="U37">
        <v>1.4051</v>
      </c>
      <c r="V37">
        <v>1.4202999999999999</v>
      </c>
      <c r="W37">
        <v>1.4358</v>
      </c>
      <c r="X37">
        <v>1.4508000000000001</v>
      </c>
      <c r="Y37">
        <v>1.466</v>
      </c>
    </row>
    <row r="38" spans="1:25" hidden="1">
      <c r="A38" t="s">
        <v>270</v>
      </c>
      <c r="B38" t="s">
        <v>661</v>
      </c>
      <c r="C38" t="s">
        <v>651</v>
      </c>
      <c r="D38" t="s">
        <v>632</v>
      </c>
      <c r="E38" t="s">
        <v>628</v>
      </c>
      <c r="F38" t="s">
        <v>598</v>
      </c>
      <c r="G38" t="s">
        <v>599</v>
      </c>
      <c r="H38" t="s">
        <v>600</v>
      </c>
      <c r="I38" t="s">
        <v>601</v>
      </c>
      <c r="J38">
        <v>8.9999999999999998E-4</v>
      </c>
      <c r="K38">
        <v>8.9999999999999998E-4</v>
      </c>
      <c r="L38">
        <v>8.9999999999999998E-4</v>
      </c>
      <c r="M38">
        <v>8.9999999999999998E-4</v>
      </c>
      <c r="N38">
        <v>8.9999999999999998E-4</v>
      </c>
      <c r="O38">
        <v>8.9999999999999998E-4</v>
      </c>
      <c r="P38">
        <v>8.9999999999999998E-4</v>
      </c>
      <c r="Q38">
        <v>8.9999999999999998E-4</v>
      </c>
      <c r="R38">
        <v>8.9999999999999998E-4</v>
      </c>
      <c r="S38">
        <v>8.9999999999999998E-4</v>
      </c>
      <c r="T38">
        <v>8.9999999999999998E-4</v>
      </c>
      <c r="U38">
        <v>8.9999999999999998E-4</v>
      </c>
      <c r="V38">
        <v>8.9999999999999998E-4</v>
      </c>
      <c r="W38">
        <v>8.9999999999999998E-4</v>
      </c>
      <c r="X38">
        <v>8.9999999999999998E-4</v>
      </c>
      <c r="Y38">
        <v>8.9999999999999998E-4</v>
      </c>
    </row>
    <row r="39" spans="1:25" hidden="1">
      <c r="A39" t="s">
        <v>270</v>
      </c>
      <c r="B39" t="s">
        <v>662</v>
      </c>
      <c r="C39" t="s">
        <v>651</v>
      </c>
      <c r="D39" t="s">
        <v>648</v>
      </c>
      <c r="E39" t="s">
        <v>649</v>
      </c>
      <c r="F39" t="s">
        <v>598</v>
      </c>
      <c r="G39" t="s">
        <v>599</v>
      </c>
      <c r="H39" t="s">
        <v>600</v>
      </c>
      <c r="I39" t="s">
        <v>601</v>
      </c>
      <c r="J39">
        <v>0.1769</v>
      </c>
      <c r="K39">
        <v>0.18310000000000001</v>
      </c>
      <c r="L39">
        <v>0.1865</v>
      </c>
      <c r="M39">
        <v>0.192</v>
      </c>
      <c r="N39">
        <v>0.1966</v>
      </c>
      <c r="O39">
        <v>0.20039999999999999</v>
      </c>
      <c r="P39">
        <v>0.20519999999999999</v>
      </c>
      <c r="Q39">
        <v>0.2094</v>
      </c>
      <c r="R39">
        <v>0.2135</v>
      </c>
      <c r="S39">
        <v>0.21759999999999999</v>
      </c>
      <c r="T39">
        <v>0.2213</v>
      </c>
      <c r="U39">
        <v>0.22559999999999999</v>
      </c>
      <c r="V39">
        <v>0.22950000000000001</v>
      </c>
      <c r="W39">
        <v>0.2331</v>
      </c>
      <c r="X39">
        <v>0.23710000000000001</v>
      </c>
      <c r="Y39">
        <v>0.24079999999999999</v>
      </c>
    </row>
    <row r="40" spans="1:25" hidden="1">
      <c r="A40" t="s">
        <v>270</v>
      </c>
      <c r="B40" t="s">
        <v>663</v>
      </c>
      <c r="C40" t="s">
        <v>664</v>
      </c>
      <c r="D40" t="s">
        <v>596</v>
      </c>
      <c r="E40" t="s">
        <v>597</v>
      </c>
      <c r="F40" t="s">
        <v>598</v>
      </c>
      <c r="G40" t="s">
        <v>599</v>
      </c>
      <c r="H40" t="s">
        <v>600</v>
      </c>
      <c r="I40" t="s">
        <v>601</v>
      </c>
      <c r="J40">
        <v>3.7400000000000003E-2</v>
      </c>
      <c r="K40">
        <v>3.6700000000000003E-2</v>
      </c>
      <c r="L40">
        <v>3.5999999999999997E-2</v>
      </c>
      <c r="M40">
        <v>3.5499999999999997E-2</v>
      </c>
      <c r="N40">
        <v>3.4799999999999998E-2</v>
      </c>
      <c r="O40">
        <v>3.4000000000000002E-2</v>
      </c>
      <c r="P40">
        <v>3.3700000000000001E-2</v>
      </c>
      <c r="Q40">
        <v>3.32E-2</v>
      </c>
      <c r="R40">
        <v>3.2500000000000001E-2</v>
      </c>
      <c r="S40">
        <v>3.1800000000000002E-2</v>
      </c>
      <c r="T40">
        <v>3.1300000000000001E-2</v>
      </c>
      <c r="U40">
        <v>3.0800000000000001E-2</v>
      </c>
      <c r="V40">
        <v>3.0200000000000001E-2</v>
      </c>
      <c r="W40">
        <v>2.98E-2</v>
      </c>
      <c r="X40">
        <v>2.92E-2</v>
      </c>
      <c r="Y40">
        <v>2.8899999999999999E-2</v>
      </c>
    </row>
    <row r="41" spans="1:25" hidden="1">
      <c r="A41" t="s">
        <v>270</v>
      </c>
      <c r="B41" t="s">
        <v>665</v>
      </c>
      <c r="C41" t="s">
        <v>664</v>
      </c>
      <c r="D41" t="s">
        <v>596</v>
      </c>
      <c r="E41" t="s">
        <v>603</v>
      </c>
      <c r="F41" t="s">
        <v>598</v>
      </c>
      <c r="G41" t="s">
        <v>599</v>
      </c>
      <c r="H41" t="s">
        <v>600</v>
      </c>
      <c r="I41" t="s">
        <v>601</v>
      </c>
      <c r="J41">
        <v>2.9999999999999997E-4</v>
      </c>
      <c r="K41">
        <v>2.9999999999999997E-4</v>
      </c>
      <c r="L41">
        <v>2.0000000000000001E-4</v>
      </c>
      <c r="M41">
        <v>2.0000000000000001E-4</v>
      </c>
      <c r="N41">
        <v>2.0000000000000001E-4</v>
      </c>
      <c r="O41">
        <v>2.0000000000000001E-4</v>
      </c>
      <c r="P41">
        <v>2.0000000000000001E-4</v>
      </c>
      <c r="Q41">
        <v>2.0000000000000001E-4</v>
      </c>
      <c r="R41">
        <v>2.0000000000000001E-4</v>
      </c>
      <c r="S41">
        <v>2.0000000000000001E-4</v>
      </c>
      <c r="T41">
        <v>2.0000000000000001E-4</v>
      </c>
      <c r="U41">
        <v>2.0000000000000001E-4</v>
      </c>
      <c r="V41">
        <v>2.0000000000000001E-4</v>
      </c>
      <c r="W41">
        <v>2.0000000000000001E-4</v>
      </c>
      <c r="X41">
        <v>2.0000000000000001E-4</v>
      </c>
      <c r="Y41">
        <v>2.0000000000000001E-4</v>
      </c>
    </row>
    <row r="42" spans="1:25" hidden="1">
      <c r="A42" t="s">
        <v>270</v>
      </c>
      <c r="B42" t="s">
        <v>666</v>
      </c>
      <c r="C42" t="s">
        <v>664</v>
      </c>
      <c r="D42" t="s">
        <v>596</v>
      </c>
      <c r="E42" t="s">
        <v>605</v>
      </c>
      <c r="F42" t="s">
        <v>598</v>
      </c>
      <c r="G42" t="s">
        <v>599</v>
      </c>
      <c r="H42" t="s">
        <v>600</v>
      </c>
      <c r="I42" t="s">
        <v>601</v>
      </c>
      <c r="J42">
        <v>7.4999999999999997E-3</v>
      </c>
      <c r="K42">
        <v>7.4999999999999997E-3</v>
      </c>
      <c r="L42">
        <v>7.6E-3</v>
      </c>
      <c r="M42">
        <v>7.6E-3</v>
      </c>
      <c r="N42">
        <v>7.7000000000000002E-3</v>
      </c>
      <c r="O42">
        <v>7.7000000000000002E-3</v>
      </c>
      <c r="P42">
        <v>7.7999999999999996E-3</v>
      </c>
      <c r="Q42">
        <v>7.9000000000000008E-3</v>
      </c>
      <c r="R42">
        <v>7.9000000000000008E-3</v>
      </c>
      <c r="S42">
        <v>7.9000000000000008E-3</v>
      </c>
      <c r="T42">
        <v>7.9000000000000008E-3</v>
      </c>
      <c r="U42">
        <v>7.9000000000000008E-3</v>
      </c>
      <c r="V42">
        <v>7.9000000000000008E-3</v>
      </c>
      <c r="W42">
        <v>7.9000000000000008E-3</v>
      </c>
      <c r="X42">
        <v>7.9000000000000008E-3</v>
      </c>
      <c r="Y42">
        <v>7.9000000000000008E-3</v>
      </c>
    </row>
    <row r="43" spans="1:25" hidden="1">
      <c r="A43" t="s">
        <v>270</v>
      </c>
      <c r="B43" t="s">
        <v>667</v>
      </c>
      <c r="C43" t="s">
        <v>664</v>
      </c>
      <c r="D43" t="s">
        <v>596</v>
      </c>
      <c r="E43" t="s">
        <v>619</v>
      </c>
      <c r="F43" t="s">
        <v>598</v>
      </c>
      <c r="G43" t="s">
        <v>599</v>
      </c>
      <c r="H43" t="s">
        <v>600</v>
      </c>
      <c r="I43" t="s">
        <v>601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270</v>
      </c>
      <c r="B44" t="s">
        <v>668</v>
      </c>
      <c r="C44" t="s">
        <v>664</v>
      </c>
      <c r="D44" t="s">
        <v>596</v>
      </c>
      <c r="E44" t="s">
        <v>669</v>
      </c>
      <c r="F44" t="s">
        <v>598</v>
      </c>
      <c r="G44" t="s">
        <v>599</v>
      </c>
      <c r="H44" t="s">
        <v>600</v>
      </c>
      <c r="I44" t="s">
        <v>601</v>
      </c>
      <c r="J44">
        <v>1E-4</v>
      </c>
      <c r="K44">
        <v>1E-4</v>
      </c>
      <c r="L44">
        <v>1E-4</v>
      </c>
      <c r="M44">
        <v>1E-4</v>
      </c>
      <c r="N44">
        <v>1E-4</v>
      </c>
      <c r="O44">
        <v>1E-4</v>
      </c>
      <c r="P44">
        <v>1E-4</v>
      </c>
      <c r="Q44">
        <v>1E-4</v>
      </c>
      <c r="R44">
        <v>1E-4</v>
      </c>
      <c r="S44">
        <v>1E-4</v>
      </c>
      <c r="T44">
        <v>1E-4</v>
      </c>
      <c r="U44">
        <v>1E-4</v>
      </c>
      <c r="V44">
        <v>1E-4</v>
      </c>
      <c r="W44">
        <v>1E-4</v>
      </c>
      <c r="X44">
        <v>1E-4</v>
      </c>
      <c r="Y44">
        <v>1E-4</v>
      </c>
    </row>
    <row r="45" spans="1:25" hidden="1">
      <c r="A45" t="s">
        <v>270</v>
      </c>
      <c r="B45" t="s">
        <v>670</v>
      </c>
      <c r="C45" t="s">
        <v>664</v>
      </c>
      <c r="D45" t="s">
        <v>671</v>
      </c>
      <c r="E45" t="s">
        <v>672</v>
      </c>
      <c r="F45" t="s">
        <v>598</v>
      </c>
      <c r="G45" t="s">
        <v>599</v>
      </c>
      <c r="H45" t="s">
        <v>600</v>
      </c>
      <c r="I45" t="s">
        <v>601</v>
      </c>
      <c r="J45">
        <v>3.8999999999999998E-3</v>
      </c>
      <c r="K45">
        <v>3.8999999999999998E-3</v>
      </c>
      <c r="L45">
        <v>3.8E-3</v>
      </c>
      <c r="M45">
        <v>3.5999999999999999E-3</v>
      </c>
      <c r="N45">
        <v>3.5999999999999999E-3</v>
      </c>
      <c r="O45">
        <v>3.5000000000000001E-3</v>
      </c>
      <c r="P45">
        <v>3.5000000000000001E-3</v>
      </c>
      <c r="Q45">
        <v>3.5000000000000001E-3</v>
      </c>
      <c r="R45">
        <v>3.3E-3</v>
      </c>
      <c r="S45">
        <v>3.3E-3</v>
      </c>
      <c r="T45">
        <v>3.0000000000000001E-3</v>
      </c>
      <c r="U45">
        <v>2.8999999999999998E-3</v>
      </c>
      <c r="V45">
        <v>2.8E-3</v>
      </c>
      <c r="W45">
        <v>2.7000000000000001E-3</v>
      </c>
      <c r="X45">
        <v>2.7000000000000001E-3</v>
      </c>
      <c r="Y45">
        <v>2.7000000000000001E-3</v>
      </c>
    </row>
    <row r="46" spans="1:25" hidden="1">
      <c r="A46" t="s">
        <v>270</v>
      </c>
      <c r="B46" t="s">
        <v>673</v>
      </c>
      <c r="C46" t="s">
        <v>664</v>
      </c>
      <c r="D46" t="s">
        <v>671</v>
      </c>
      <c r="E46" t="s">
        <v>597</v>
      </c>
      <c r="F46" t="s">
        <v>598</v>
      </c>
      <c r="G46" t="s">
        <v>599</v>
      </c>
      <c r="H46" t="s">
        <v>600</v>
      </c>
      <c r="I46" t="s">
        <v>601</v>
      </c>
      <c r="J46">
        <v>1.2E-2</v>
      </c>
      <c r="K46">
        <v>1.1900000000000001E-2</v>
      </c>
      <c r="L46">
        <v>1.1599999999999999E-2</v>
      </c>
      <c r="M46">
        <v>1.14E-2</v>
      </c>
      <c r="N46">
        <v>1.1299999999999999E-2</v>
      </c>
      <c r="O46">
        <v>1.11E-2</v>
      </c>
      <c r="P46">
        <v>1.0999999999999999E-2</v>
      </c>
      <c r="Q46">
        <v>1.0800000000000001E-2</v>
      </c>
      <c r="R46">
        <v>1.0699999999999999E-2</v>
      </c>
      <c r="S46">
        <v>1.06E-2</v>
      </c>
      <c r="T46">
        <v>1.04E-2</v>
      </c>
      <c r="U46">
        <v>1.0200000000000001E-2</v>
      </c>
      <c r="V46">
        <v>0.01</v>
      </c>
      <c r="W46">
        <v>9.9000000000000008E-3</v>
      </c>
      <c r="X46">
        <v>9.7999999999999997E-3</v>
      </c>
      <c r="Y46">
        <v>9.5999999999999992E-3</v>
      </c>
    </row>
    <row r="47" spans="1:25" hidden="1">
      <c r="A47" t="s">
        <v>270</v>
      </c>
      <c r="B47" t="s">
        <v>674</v>
      </c>
      <c r="C47" t="s">
        <v>664</v>
      </c>
      <c r="D47" t="s">
        <v>671</v>
      </c>
      <c r="E47" t="s">
        <v>605</v>
      </c>
      <c r="F47" t="s">
        <v>598</v>
      </c>
      <c r="G47" t="s">
        <v>599</v>
      </c>
      <c r="H47" t="s">
        <v>600</v>
      </c>
      <c r="I47" t="s">
        <v>601</v>
      </c>
      <c r="J47">
        <v>2.5999999999999999E-3</v>
      </c>
      <c r="K47">
        <v>2.5000000000000001E-3</v>
      </c>
      <c r="L47">
        <v>2.3999999999999998E-3</v>
      </c>
      <c r="M47">
        <v>2.3999999999999998E-3</v>
      </c>
      <c r="N47">
        <v>2.3E-3</v>
      </c>
      <c r="O47">
        <v>2.3E-3</v>
      </c>
      <c r="P47">
        <v>2.2000000000000001E-3</v>
      </c>
      <c r="Q47">
        <v>2.2000000000000001E-3</v>
      </c>
      <c r="R47">
        <v>2.0999999999999999E-3</v>
      </c>
      <c r="S47">
        <v>2.0999999999999999E-3</v>
      </c>
      <c r="T47">
        <v>2E-3</v>
      </c>
      <c r="U47">
        <v>2E-3</v>
      </c>
      <c r="V47">
        <v>2E-3</v>
      </c>
      <c r="W47">
        <v>1.9E-3</v>
      </c>
      <c r="X47">
        <v>1.9E-3</v>
      </c>
      <c r="Y47">
        <v>1.8E-3</v>
      </c>
    </row>
    <row r="48" spans="1:25" hidden="1">
      <c r="A48" t="s">
        <v>270</v>
      </c>
      <c r="B48" t="s">
        <v>675</v>
      </c>
      <c r="C48" t="s">
        <v>664</v>
      </c>
      <c r="D48" t="s">
        <v>671</v>
      </c>
      <c r="E48" t="s">
        <v>676</v>
      </c>
      <c r="F48" t="s">
        <v>598</v>
      </c>
      <c r="G48" t="s">
        <v>599</v>
      </c>
      <c r="H48" t="s">
        <v>600</v>
      </c>
      <c r="I48" t="s">
        <v>601</v>
      </c>
      <c r="J48">
        <v>1E-4</v>
      </c>
      <c r="K48">
        <v>1E-4</v>
      </c>
      <c r="L48">
        <v>1E-4</v>
      </c>
      <c r="M48">
        <v>1E-4</v>
      </c>
      <c r="N48">
        <v>1E-4</v>
      </c>
      <c r="O48">
        <v>1E-4</v>
      </c>
      <c r="P48">
        <v>1E-4</v>
      </c>
      <c r="Q48">
        <v>1E-4</v>
      </c>
      <c r="R48">
        <v>1E-4</v>
      </c>
      <c r="S48">
        <v>1E-4</v>
      </c>
      <c r="T48">
        <v>1E-4</v>
      </c>
      <c r="U48">
        <v>1E-4</v>
      </c>
      <c r="V48">
        <v>1E-4</v>
      </c>
      <c r="W48">
        <v>1E-4</v>
      </c>
      <c r="X48">
        <v>1E-4</v>
      </c>
      <c r="Y48">
        <v>1E-4</v>
      </c>
    </row>
    <row r="49" spans="1:25" hidden="1">
      <c r="A49" t="s">
        <v>270</v>
      </c>
      <c r="B49" t="s">
        <v>677</v>
      </c>
      <c r="C49" t="s">
        <v>664</v>
      </c>
      <c r="D49" t="s">
        <v>671</v>
      </c>
      <c r="E49" t="s">
        <v>678</v>
      </c>
      <c r="F49" t="s">
        <v>598</v>
      </c>
      <c r="G49" t="s">
        <v>599</v>
      </c>
      <c r="H49" t="s">
        <v>600</v>
      </c>
      <c r="I49" t="s">
        <v>601</v>
      </c>
      <c r="J49">
        <v>5.4999999999999997E-3</v>
      </c>
      <c r="K49">
        <v>5.5999999999999999E-3</v>
      </c>
      <c r="L49">
        <v>5.4999999999999997E-3</v>
      </c>
      <c r="M49">
        <v>5.5999999999999999E-3</v>
      </c>
      <c r="N49">
        <v>5.4999999999999997E-3</v>
      </c>
      <c r="O49">
        <v>5.4999999999999997E-3</v>
      </c>
      <c r="P49">
        <v>5.4999999999999997E-3</v>
      </c>
      <c r="Q49">
        <v>5.5999999999999999E-3</v>
      </c>
      <c r="R49">
        <v>5.5999999999999999E-3</v>
      </c>
      <c r="S49">
        <v>5.5999999999999999E-3</v>
      </c>
      <c r="T49">
        <v>5.5999999999999999E-3</v>
      </c>
      <c r="U49">
        <v>5.5999999999999999E-3</v>
      </c>
      <c r="V49">
        <v>5.5999999999999999E-3</v>
      </c>
      <c r="W49">
        <v>5.5999999999999999E-3</v>
      </c>
      <c r="X49">
        <v>5.5999999999999999E-3</v>
      </c>
      <c r="Y49">
        <v>5.5999999999999999E-3</v>
      </c>
    </row>
    <row r="50" spans="1:25" hidden="1">
      <c r="A50" t="s">
        <v>270</v>
      </c>
      <c r="B50" t="s">
        <v>679</v>
      </c>
      <c r="C50" t="s">
        <v>664</v>
      </c>
      <c r="D50" t="s">
        <v>680</v>
      </c>
      <c r="E50" t="s">
        <v>597</v>
      </c>
      <c r="F50" t="s">
        <v>598</v>
      </c>
      <c r="G50" t="s">
        <v>599</v>
      </c>
      <c r="H50" t="s">
        <v>600</v>
      </c>
      <c r="I50" t="s">
        <v>601</v>
      </c>
      <c r="J50">
        <v>1.4826999999999999</v>
      </c>
      <c r="K50">
        <v>1.4500999999999999</v>
      </c>
      <c r="L50">
        <v>1.4180999999999999</v>
      </c>
      <c r="M50">
        <v>1.3869</v>
      </c>
      <c r="N50">
        <v>1.3564000000000001</v>
      </c>
      <c r="O50">
        <v>1.3266</v>
      </c>
      <c r="P50">
        <v>1.2975000000000001</v>
      </c>
      <c r="Q50">
        <v>1.2688999999999999</v>
      </c>
      <c r="R50">
        <v>1.2408999999999999</v>
      </c>
      <c r="S50">
        <v>1.2136</v>
      </c>
      <c r="T50">
        <v>1.1869000000000001</v>
      </c>
      <c r="U50">
        <v>1.1608000000000001</v>
      </c>
      <c r="V50">
        <v>1.1353</v>
      </c>
      <c r="W50">
        <v>1.1104000000000001</v>
      </c>
      <c r="X50">
        <v>1.0860000000000001</v>
      </c>
      <c r="Y50">
        <v>1.0621</v>
      </c>
    </row>
    <row r="51" spans="1:25" hidden="1">
      <c r="A51" t="s">
        <v>270</v>
      </c>
      <c r="B51" t="s">
        <v>681</v>
      </c>
      <c r="C51" t="s">
        <v>664</v>
      </c>
      <c r="D51" t="s">
        <v>680</v>
      </c>
      <c r="E51" t="s">
        <v>605</v>
      </c>
      <c r="F51" t="s">
        <v>598</v>
      </c>
      <c r="G51" t="s">
        <v>599</v>
      </c>
      <c r="H51" t="s">
        <v>600</v>
      </c>
      <c r="I51" t="s">
        <v>601</v>
      </c>
      <c r="J51">
        <v>0.15989999999999999</v>
      </c>
      <c r="K51">
        <v>0.15629999999999999</v>
      </c>
      <c r="L51">
        <v>0.15290000000000001</v>
      </c>
      <c r="M51">
        <v>0.14949999999999999</v>
      </c>
      <c r="N51">
        <v>0.14630000000000001</v>
      </c>
      <c r="O51">
        <v>0.1431</v>
      </c>
      <c r="P51">
        <v>0.13980000000000001</v>
      </c>
      <c r="Q51">
        <v>0.1368</v>
      </c>
      <c r="R51">
        <v>0.1338</v>
      </c>
      <c r="S51">
        <v>0.13089999999999999</v>
      </c>
      <c r="T51">
        <v>0.128</v>
      </c>
      <c r="U51">
        <v>0.12520000000000001</v>
      </c>
      <c r="V51">
        <v>0.12239999999999999</v>
      </c>
      <c r="W51">
        <v>0.1197</v>
      </c>
      <c r="X51">
        <v>0.11700000000000001</v>
      </c>
      <c r="Y51">
        <v>0.11459999999999999</v>
      </c>
    </row>
    <row r="52" spans="1:25" hidden="1">
      <c r="A52" t="s">
        <v>270</v>
      </c>
      <c r="B52" t="s">
        <v>682</v>
      </c>
      <c r="C52" t="s">
        <v>664</v>
      </c>
      <c r="D52" t="s">
        <v>680</v>
      </c>
      <c r="E52" t="s">
        <v>619</v>
      </c>
      <c r="F52" t="s">
        <v>598</v>
      </c>
      <c r="G52" t="s">
        <v>599</v>
      </c>
      <c r="H52" t="s">
        <v>600</v>
      </c>
      <c r="I52" t="s">
        <v>601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hidden="1">
      <c r="A53" t="s">
        <v>270</v>
      </c>
      <c r="B53" t="s">
        <v>683</v>
      </c>
      <c r="C53" t="s">
        <v>664</v>
      </c>
      <c r="D53" t="s">
        <v>621</v>
      </c>
      <c r="E53" t="s">
        <v>672</v>
      </c>
      <c r="F53" t="s">
        <v>598</v>
      </c>
      <c r="G53" t="s">
        <v>599</v>
      </c>
      <c r="H53" t="s">
        <v>600</v>
      </c>
      <c r="I53" t="s">
        <v>601</v>
      </c>
      <c r="J53">
        <v>7.7000000000000002E-3</v>
      </c>
      <c r="K53">
        <v>7.7000000000000002E-3</v>
      </c>
      <c r="L53">
        <v>7.7000000000000002E-3</v>
      </c>
      <c r="M53">
        <v>7.7999999999999996E-3</v>
      </c>
      <c r="N53">
        <v>7.7999999999999996E-3</v>
      </c>
      <c r="O53">
        <v>7.7999999999999996E-3</v>
      </c>
      <c r="P53">
        <v>7.9000000000000008E-3</v>
      </c>
      <c r="Q53">
        <v>8.0000000000000002E-3</v>
      </c>
      <c r="R53">
        <v>8.0000000000000002E-3</v>
      </c>
      <c r="S53">
        <v>8.0000000000000002E-3</v>
      </c>
      <c r="T53">
        <v>8.0000000000000002E-3</v>
      </c>
      <c r="U53">
        <v>8.0000000000000002E-3</v>
      </c>
      <c r="V53">
        <v>8.0000000000000002E-3</v>
      </c>
      <c r="W53">
        <v>8.0000000000000002E-3</v>
      </c>
      <c r="X53">
        <v>8.0000000000000002E-3</v>
      </c>
      <c r="Y53">
        <v>8.0000000000000002E-3</v>
      </c>
    </row>
    <row r="54" spans="1:25" hidden="1">
      <c r="A54" t="s">
        <v>270</v>
      </c>
      <c r="B54" t="s">
        <v>684</v>
      </c>
      <c r="C54" t="s">
        <v>664</v>
      </c>
      <c r="D54" t="s">
        <v>621</v>
      </c>
      <c r="E54" t="s">
        <v>597</v>
      </c>
      <c r="F54" t="s">
        <v>598</v>
      </c>
      <c r="G54" t="s">
        <v>599</v>
      </c>
      <c r="H54" t="s">
        <v>600</v>
      </c>
      <c r="I54" t="s">
        <v>601</v>
      </c>
      <c r="J54">
        <v>6.1600000000000002E-2</v>
      </c>
      <c r="K54">
        <v>6.0600000000000001E-2</v>
      </c>
      <c r="L54">
        <v>5.96E-2</v>
      </c>
      <c r="M54">
        <v>5.8400000000000001E-2</v>
      </c>
      <c r="N54">
        <v>5.7299999999999997E-2</v>
      </c>
      <c r="O54">
        <v>5.6300000000000003E-2</v>
      </c>
      <c r="P54">
        <v>5.5E-2</v>
      </c>
      <c r="Q54">
        <v>5.4399999999999997E-2</v>
      </c>
      <c r="R54">
        <v>5.3400000000000003E-2</v>
      </c>
      <c r="S54">
        <v>5.2299999999999999E-2</v>
      </c>
      <c r="T54">
        <v>5.1400000000000001E-2</v>
      </c>
      <c r="U54">
        <v>5.0599999999999999E-2</v>
      </c>
      <c r="V54">
        <v>4.99E-2</v>
      </c>
      <c r="W54">
        <v>4.8800000000000003E-2</v>
      </c>
      <c r="X54">
        <v>4.7800000000000002E-2</v>
      </c>
      <c r="Y54">
        <v>4.7100000000000003E-2</v>
      </c>
    </row>
    <row r="55" spans="1:25" hidden="1">
      <c r="A55" t="s">
        <v>270</v>
      </c>
      <c r="B55" t="s">
        <v>685</v>
      </c>
      <c r="C55" t="s">
        <v>664</v>
      </c>
      <c r="D55" t="s">
        <v>621</v>
      </c>
      <c r="E55" t="s">
        <v>603</v>
      </c>
      <c r="F55" t="s">
        <v>598</v>
      </c>
      <c r="G55" t="s">
        <v>599</v>
      </c>
      <c r="H55" t="s">
        <v>600</v>
      </c>
      <c r="I55" t="s">
        <v>601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hidden="1">
      <c r="A56" t="s">
        <v>270</v>
      </c>
      <c r="B56" t="s">
        <v>686</v>
      </c>
      <c r="C56" t="s">
        <v>664</v>
      </c>
      <c r="D56" t="s">
        <v>621</v>
      </c>
      <c r="E56" t="s">
        <v>605</v>
      </c>
      <c r="F56" t="s">
        <v>598</v>
      </c>
      <c r="G56" t="s">
        <v>599</v>
      </c>
      <c r="H56" t="s">
        <v>600</v>
      </c>
      <c r="I56" t="s">
        <v>601</v>
      </c>
      <c r="J56">
        <v>7.1999999999999998E-3</v>
      </c>
      <c r="K56">
        <v>7.0000000000000001E-3</v>
      </c>
      <c r="L56">
        <v>6.7999999999999996E-3</v>
      </c>
      <c r="M56">
        <v>6.7000000000000002E-3</v>
      </c>
      <c r="N56">
        <v>6.4999999999999997E-3</v>
      </c>
      <c r="O56">
        <v>6.4000000000000003E-3</v>
      </c>
      <c r="P56">
        <v>6.1999999999999998E-3</v>
      </c>
      <c r="Q56">
        <v>6.1000000000000004E-3</v>
      </c>
      <c r="R56">
        <v>6.0000000000000001E-3</v>
      </c>
      <c r="S56">
        <v>5.8999999999999999E-3</v>
      </c>
      <c r="T56">
        <v>5.7000000000000002E-3</v>
      </c>
      <c r="U56">
        <v>5.5999999999999999E-3</v>
      </c>
      <c r="V56">
        <v>5.4999999999999997E-3</v>
      </c>
      <c r="W56">
        <v>5.4000000000000003E-3</v>
      </c>
      <c r="X56">
        <v>5.3E-3</v>
      </c>
      <c r="Y56">
        <v>5.1000000000000004E-3</v>
      </c>
    </row>
    <row r="57" spans="1:25" hidden="1">
      <c r="A57" t="s">
        <v>270</v>
      </c>
      <c r="B57" t="s">
        <v>687</v>
      </c>
      <c r="C57" t="s">
        <v>664</v>
      </c>
      <c r="D57" t="s">
        <v>621</v>
      </c>
      <c r="E57" t="s">
        <v>688</v>
      </c>
      <c r="F57" t="s">
        <v>598</v>
      </c>
      <c r="G57" t="s">
        <v>599</v>
      </c>
      <c r="H57" t="s">
        <v>600</v>
      </c>
      <c r="I57" t="s">
        <v>601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hidden="1">
      <c r="A58" t="s">
        <v>270</v>
      </c>
      <c r="B58" t="s">
        <v>689</v>
      </c>
      <c r="C58" t="s">
        <v>664</v>
      </c>
      <c r="D58" t="s">
        <v>621</v>
      </c>
      <c r="E58" t="s">
        <v>626</v>
      </c>
      <c r="F58" t="s">
        <v>598</v>
      </c>
      <c r="G58" t="s">
        <v>599</v>
      </c>
      <c r="H58" t="s">
        <v>600</v>
      </c>
      <c r="I58" t="s">
        <v>601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hidden="1">
      <c r="A59" t="s">
        <v>270</v>
      </c>
      <c r="B59" t="s">
        <v>690</v>
      </c>
      <c r="C59" t="s">
        <v>664</v>
      </c>
      <c r="D59" t="s">
        <v>621</v>
      </c>
      <c r="E59" t="s">
        <v>628</v>
      </c>
      <c r="F59" t="s">
        <v>598</v>
      </c>
      <c r="G59" t="s">
        <v>599</v>
      </c>
      <c r="H59" t="s">
        <v>600</v>
      </c>
      <c r="I59" t="s">
        <v>601</v>
      </c>
      <c r="J59">
        <v>2.87E-2</v>
      </c>
      <c r="K59">
        <v>2.8500000000000001E-2</v>
      </c>
      <c r="L59">
        <v>2.81E-2</v>
      </c>
      <c r="M59">
        <v>2.7699999999999999E-2</v>
      </c>
      <c r="N59">
        <v>2.7400000000000001E-2</v>
      </c>
      <c r="O59">
        <v>2.7E-2</v>
      </c>
      <c r="P59">
        <v>2.6599999999999999E-2</v>
      </c>
      <c r="Q59">
        <v>2.64E-2</v>
      </c>
      <c r="R59">
        <v>2.5899999999999999E-2</v>
      </c>
      <c r="S59">
        <v>2.5499999999999998E-2</v>
      </c>
      <c r="T59">
        <v>2.53E-2</v>
      </c>
      <c r="U59">
        <v>2.5100000000000001E-2</v>
      </c>
      <c r="V59">
        <v>2.4899999999999999E-2</v>
      </c>
      <c r="W59">
        <v>2.46E-2</v>
      </c>
      <c r="X59">
        <v>2.4500000000000001E-2</v>
      </c>
      <c r="Y59">
        <v>2.4199999999999999E-2</v>
      </c>
    </row>
    <row r="60" spans="1:25" hidden="1">
      <c r="A60" t="s">
        <v>270</v>
      </c>
      <c r="B60" t="s">
        <v>691</v>
      </c>
      <c r="C60" t="s">
        <v>664</v>
      </c>
      <c r="D60" t="s">
        <v>621</v>
      </c>
      <c r="E60" t="s">
        <v>692</v>
      </c>
      <c r="F60" t="s">
        <v>598</v>
      </c>
      <c r="G60" t="s">
        <v>599</v>
      </c>
      <c r="H60" t="s">
        <v>600</v>
      </c>
      <c r="I60" t="s">
        <v>601</v>
      </c>
      <c r="J60">
        <v>6.9999999999999999E-4</v>
      </c>
      <c r="K60">
        <v>6.9999999999999999E-4</v>
      </c>
      <c r="L60">
        <v>6.9999999999999999E-4</v>
      </c>
      <c r="M60">
        <v>6.9999999999999999E-4</v>
      </c>
      <c r="N60">
        <v>5.9999999999999995E-4</v>
      </c>
      <c r="O60">
        <v>5.9999999999999995E-4</v>
      </c>
      <c r="P60">
        <v>5.9999999999999995E-4</v>
      </c>
      <c r="Q60">
        <v>5.9999999999999995E-4</v>
      </c>
      <c r="R60">
        <v>5.9999999999999995E-4</v>
      </c>
      <c r="S60">
        <v>5.9999999999999995E-4</v>
      </c>
      <c r="T60">
        <v>5.9999999999999995E-4</v>
      </c>
      <c r="U60">
        <v>5.9999999999999995E-4</v>
      </c>
      <c r="V60">
        <v>5.9999999999999995E-4</v>
      </c>
      <c r="W60">
        <v>5.9999999999999995E-4</v>
      </c>
      <c r="X60">
        <v>5.9999999999999995E-4</v>
      </c>
      <c r="Y60">
        <v>5.0000000000000001E-4</v>
      </c>
    </row>
    <row r="61" spans="1:25" hidden="1">
      <c r="A61" t="s">
        <v>270</v>
      </c>
      <c r="B61" t="s">
        <v>693</v>
      </c>
      <c r="C61" t="s">
        <v>664</v>
      </c>
      <c r="D61" t="s">
        <v>621</v>
      </c>
      <c r="E61" t="s">
        <v>678</v>
      </c>
      <c r="F61" t="s">
        <v>598</v>
      </c>
      <c r="G61" t="s">
        <v>599</v>
      </c>
      <c r="H61" t="s">
        <v>600</v>
      </c>
      <c r="I61" t="s">
        <v>601</v>
      </c>
      <c r="J61">
        <v>3.7000000000000002E-3</v>
      </c>
      <c r="K61">
        <v>3.7000000000000002E-3</v>
      </c>
      <c r="L61">
        <v>3.5999999999999999E-3</v>
      </c>
      <c r="M61">
        <v>3.5000000000000001E-3</v>
      </c>
      <c r="N61">
        <v>3.5000000000000001E-3</v>
      </c>
      <c r="O61">
        <v>3.3999999999999998E-3</v>
      </c>
      <c r="P61">
        <v>3.3E-3</v>
      </c>
      <c r="Q61">
        <v>3.3E-3</v>
      </c>
      <c r="R61">
        <v>3.2000000000000002E-3</v>
      </c>
      <c r="S61">
        <v>3.2000000000000002E-3</v>
      </c>
      <c r="T61">
        <v>3.0999999999999999E-3</v>
      </c>
      <c r="U61">
        <v>3.0000000000000001E-3</v>
      </c>
      <c r="V61">
        <v>3.0000000000000001E-3</v>
      </c>
      <c r="W61">
        <v>2.8999999999999998E-3</v>
      </c>
      <c r="X61">
        <v>2.8999999999999998E-3</v>
      </c>
      <c r="Y61">
        <v>2.8E-3</v>
      </c>
    </row>
    <row r="62" spans="1:25" hidden="1">
      <c r="A62" t="s">
        <v>270</v>
      </c>
      <c r="B62" t="s">
        <v>694</v>
      </c>
      <c r="C62" t="s">
        <v>664</v>
      </c>
      <c r="D62" t="s">
        <v>695</v>
      </c>
      <c r="E62" t="s">
        <v>678</v>
      </c>
      <c r="F62" t="s">
        <v>598</v>
      </c>
      <c r="G62" t="s">
        <v>599</v>
      </c>
      <c r="H62" t="s">
        <v>600</v>
      </c>
      <c r="I62" t="s">
        <v>601</v>
      </c>
      <c r="J62">
        <v>2.7000000000000001E-3</v>
      </c>
      <c r="K62">
        <v>2.5999999999999999E-3</v>
      </c>
      <c r="L62">
        <v>2.5000000000000001E-3</v>
      </c>
      <c r="M62">
        <v>2.5000000000000001E-3</v>
      </c>
      <c r="N62">
        <v>2.3999999999999998E-3</v>
      </c>
      <c r="O62">
        <v>2.3999999999999998E-3</v>
      </c>
      <c r="P62">
        <v>2.3E-3</v>
      </c>
      <c r="Q62">
        <v>2.3E-3</v>
      </c>
      <c r="R62">
        <v>2.3E-3</v>
      </c>
      <c r="S62">
        <v>2.3E-3</v>
      </c>
      <c r="T62">
        <v>2.3E-3</v>
      </c>
      <c r="U62">
        <v>2.3E-3</v>
      </c>
      <c r="V62">
        <v>2.3E-3</v>
      </c>
      <c r="W62">
        <v>2.2000000000000001E-3</v>
      </c>
      <c r="X62">
        <v>2.0999999999999999E-3</v>
      </c>
      <c r="Y62">
        <v>2.0999999999999999E-3</v>
      </c>
    </row>
    <row r="63" spans="1:25" hidden="1">
      <c r="A63" t="s">
        <v>270</v>
      </c>
      <c r="B63" t="s">
        <v>696</v>
      </c>
      <c r="C63" t="s">
        <v>664</v>
      </c>
      <c r="D63" t="s">
        <v>632</v>
      </c>
      <c r="E63" t="s">
        <v>597</v>
      </c>
      <c r="F63" t="s">
        <v>598</v>
      </c>
      <c r="G63" t="s">
        <v>599</v>
      </c>
      <c r="H63" t="s">
        <v>600</v>
      </c>
      <c r="I63" t="s">
        <v>601</v>
      </c>
      <c r="J63">
        <v>0.1062</v>
      </c>
      <c r="K63">
        <v>0.1051</v>
      </c>
      <c r="L63">
        <v>0.10440000000000001</v>
      </c>
      <c r="M63">
        <v>0.1037</v>
      </c>
      <c r="N63">
        <v>0.1027</v>
      </c>
      <c r="O63">
        <v>0.10199999999999999</v>
      </c>
      <c r="P63">
        <v>0.1014</v>
      </c>
      <c r="Q63">
        <v>0.1009</v>
      </c>
      <c r="R63">
        <v>9.98E-2</v>
      </c>
      <c r="S63">
        <v>9.8699999999999996E-2</v>
      </c>
      <c r="T63">
        <v>9.7799999999999998E-2</v>
      </c>
      <c r="U63">
        <v>9.7100000000000006E-2</v>
      </c>
      <c r="V63">
        <v>9.6699999999999994E-2</v>
      </c>
      <c r="W63">
        <v>9.6100000000000005E-2</v>
      </c>
      <c r="X63">
        <v>9.5500000000000002E-2</v>
      </c>
      <c r="Y63">
        <v>9.4899999999999998E-2</v>
      </c>
    </row>
    <row r="64" spans="1:25" hidden="1">
      <c r="A64" t="s">
        <v>270</v>
      </c>
      <c r="B64" t="s">
        <v>697</v>
      </c>
      <c r="C64" t="s">
        <v>664</v>
      </c>
      <c r="D64" t="s">
        <v>632</v>
      </c>
      <c r="E64" t="s">
        <v>628</v>
      </c>
      <c r="F64" t="s">
        <v>598</v>
      </c>
      <c r="G64" t="s">
        <v>599</v>
      </c>
      <c r="H64" t="s">
        <v>600</v>
      </c>
      <c r="I64" t="s">
        <v>601</v>
      </c>
      <c r="J64">
        <v>5.4999999999999997E-3</v>
      </c>
      <c r="K64">
        <v>5.4999999999999997E-3</v>
      </c>
      <c r="L64">
        <v>5.4999999999999997E-3</v>
      </c>
      <c r="M64">
        <v>5.5999999999999999E-3</v>
      </c>
      <c r="N64">
        <v>5.5999999999999999E-3</v>
      </c>
      <c r="O64">
        <v>5.5999999999999999E-3</v>
      </c>
      <c r="P64">
        <v>5.5999999999999999E-3</v>
      </c>
      <c r="Q64">
        <v>5.7000000000000002E-3</v>
      </c>
      <c r="R64">
        <v>5.7000000000000002E-3</v>
      </c>
      <c r="S64">
        <v>5.7000000000000002E-3</v>
      </c>
      <c r="T64">
        <v>5.7000000000000002E-3</v>
      </c>
      <c r="U64">
        <v>5.7000000000000002E-3</v>
      </c>
      <c r="V64">
        <v>5.7000000000000002E-3</v>
      </c>
      <c r="W64">
        <v>5.7000000000000002E-3</v>
      </c>
      <c r="X64">
        <v>5.7000000000000002E-3</v>
      </c>
      <c r="Y64">
        <v>5.7000000000000002E-3</v>
      </c>
    </row>
    <row r="65" spans="1:25" hidden="1">
      <c r="A65" t="s">
        <v>270</v>
      </c>
      <c r="B65" t="s">
        <v>698</v>
      </c>
      <c r="C65" t="s">
        <v>664</v>
      </c>
      <c r="D65" t="s">
        <v>640</v>
      </c>
      <c r="E65" t="s">
        <v>597</v>
      </c>
      <c r="F65" t="s">
        <v>598</v>
      </c>
      <c r="G65" t="s">
        <v>599</v>
      </c>
      <c r="H65" t="s">
        <v>600</v>
      </c>
      <c r="I65" t="s">
        <v>601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hidden="1">
      <c r="A66" t="s">
        <v>270</v>
      </c>
      <c r="B66" t="s">
        <v>699</v>
      </c>
      <c r="C66" t="s">
        <v>664</v>
      </c>
      <c r="D66" t="s">
        <v>640</v>
      </c>
      <c r="E66" t="s">
        <v>605</v>
      </c>
      <c r="F66" t="s">
        <v>598</v>
      </c>
      <c r="G66" t="s">
        <v>599</v>
      </c>
      <c r="H66" t="s">
        <v>600</v>
      </c>
      <c r="I66" t="s">
        <v>601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270</v>
      </c>
      <c r="B67" t="s">
        <v>700</v>
      </c>
      <c r="C67" t="s">
        <v>664</v>
      </c>
      <c r="D67" t="s">
        <v>701</v>
      </c>
      <c r="E67" t="s">
        <v>672</v>
      </c>
      <c r="F67" t="s">
        <v>598</v>
      </c>
      <c r="G67" t="s">
        <v>599</v>
      </c>
      <c r="H67" t="s">
        <v>600</v>
      </c>
      <c r="I67" t="s">
        <v>601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hidden="1">
      <c r="A68" t="s">
        <v>270</v>
      </c>
      <c r="B68" t="s">
        <v>702</v>
      </c>
      <c r="C68" t="s">
        <v>664</v>
      </c>
      <c r="D68" t="s">
        <v>701</v>
      </c>
      <c r="E68" t="s">
        <v>597</v>
      </c>
      <c r="F68" t="s">
        <v>598</v>
      </c>
      <c r="G68" t="s">
        <v>599</v>
      </c>
      <c r="H68" t="s">
        <v>600</v>
      </c>
      <c r="I68" t="s">
        <v>601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hidden="1">
      <c r="A69" t="s">
        <v>270</v>
      </c>
      <c r="B69" t="s">
        <v>703</v>
      </c>
      <c r="C69" t="s">
        <v>664</v>
      </c>
      <c r="D69" t="s">
        <v>704</v>
      </c>
      <c r="E69" t="s">
        <v>672</v>
      </c>
      <c r="F69" t="s">
        <v>598</v>
      </c>
      <c r="G69" t="s">
        <v>599</v>
      </c>
      <c r="H69" t="s">
        <v>600</v>
      </c>
      <c r="I69" t="s">
        <v>601</v>
      </c>
      <c r="J69">
        <v>1.2999999999999999E-3</v>
      </c>
      <c r="K69">
        <v>1.2999999999999999E-3</v>
      </c>
      <c r="L69">
        <v>1.2999999999999999E-3</v>
      </c>
      <c r="M69">
        <v>1.2999999999999999E-3</v>
      </c>
      <c r="N69">
        <v>1.2999999999999999E-3</v>
      </c>
      <c r="O69">
        <v>1.2999999999999999E-3</v>
      </c>
      <c r="P69">
        <v>1.2999999999999999E-3</v>
      </c>
      <c r="Q69">
        <v>1.2999999999999999E-3</v>
      </c>
      <c r="R69">
        <v>1.1999999999999999E-3</v>
      </c>
      <c r="S69">
        <v>1.1000000000000001E-3</v>
      </c>
      <c r="T69">
        <v>1.1000000000000001E-3</v>
      </c>
      <c r="U69">
        <v>1.1000000000000001E-3</v>
      </c>
      <c r="V69">
        <v>1.1000000000000001E-3</v>
      </c>
      <c r="W69">
        <v>1.1000000000000001E-3</v>
      </c>
      <c r="X69">
        <v>8.9999999999999998E-4</v>
      </c>
      <c r="Y69">
        <v>8.9999999999999998E-4</v>
      </c>
    </row>
    <row r="70" spans="1:25" hidden="1">
      <c r="A70" t="s">
        <v>270</v>
      </c>
      <c r="B70" t="s">
        <v>705</v>
      </c>
      <c r="C70" t="s">
        <v>664</v>
      </c>
      <c r="D70" t="s">
        <v>704</v>
      </c>
      <c r="E70" t="s">
        <v>597</v>
      </c>
      <c r="F70" t="s">
        <v>598</v>
      </c>
      <c r="G70" t="s">
        <v>599</v>
      </c>
      <c r="H70" t="s">
        <v>600</v>
      </c>
      <c r="I70" t="s">
        <v>601</v>
      </c>
      <c r="J70">
        <v>4.0000000000000002E-4</v>
      </c>
      <c r="K70">
        <v>4.0000000000000002E-4</v>
      </c>
      <c r="L70">
        <v>4.0000000000000002E-4</v>
      </c>
      <c r="M70">
        <v>4.0000000000000002E-4</v>
      </c>
      <c r="N70">
        <v>4.0000000000000002E-4</v>
      </c>
      <c r="O70">
        <v>4.0000000000000002E-4</v>
      </c>
      <c r="P70">
        <v>2.9999999999999997E-4</v>
      </c>
      <c r="Q70">
        <v>2.9999999999999997E-4</v>
      </c>
      <c r="R70">
        <v>2.9999999999999997E-4</v>
      </c>
      <c r="S70">
        <v>2.9999999999999997E-4</v>
      </c>
      <c r="T70">
        <v>2.9999999999999997E-4</v>
      </c>
      <c r="U70">
        <v>2.9999999999999997E-4</v>
      </c>
      <c r="V70">
        <v>2.9999999999999997E-4</v>
      </c>
      <c r="W70">
        <v>2.9999999999999997E-4</v>
      </c>
      <c r="X70">
        <v>2.9999999999999997E-4</v>
      </c>
      <c r="Y70">
        <v>2.9999999999999997E-4</v>
      </c>
    </row>
    <row r="71" spans="1:25" hidden="1">
      <c r="A71" t="s">
        <v>270</v>
      </c>
      <c r="B71" t="s">
        <v>706</v>
      </c>
      <c r="C71" t="s">
        <v>664</v>
      </c>
      <c r="D71" t="s">
        <v>648</v>
      </c>
      <c r="E71" t="s">
        <v>649</v>
      </c>
      <c r="F71" t="s">
        <v>598</v>
      </c>
      <c r="G71" t="s">
        <v>599</v>
      </c>
      <c r="H71" t="s">
        <v>600</v>
      </c>
      <c r="I71" t="s">
        <v>601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hidden="1">
      <c r="A72" t="s">
        <v>270</v>
      </c>
      <c r="B72" t="s">
        <v>707</v>
      </c>
      <c r="C72" t="s">
        <v>664</v>
      </c>
      <c r="D72" t="s">
        <v>648</v>
      </c>
      <c r="E72" t="s">
        <v>672</v>
      </c>
      <c r="F72" t="s">
        <v>598</v>
      </c>
      <c r="G72" t="s">
        <v>599</v>
      </c>
      <c r="H72" t="s">
        <v>600</v>
      </c>
      <c r="I72" t="s">
        <v>601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hidden="1">
      <c r="A73" t="s">
        <v>270</v>
      </c>
      <c r="B73" t="s">
        <v>708</v>
      </c>
      <c r="C73" t="s">
        <v>664</v>
      </c>
      <c r="D73" t="s">
        <v>648</v>
      </c>
      <c r="E73" t="s">
        <v>597</v>
      </c>
      <c r="F73" t="s">
        <v>598</v>
      </c>
      <c r="G73" t="s">
        <v>599</v>
      </c>
      <c r="H73" t="s">
        <v>600</v>
      </c>
      <c r="I73" t="s">
        <v>601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hidden="1">
      <c r="A74" t="s">
        <v>270</v>
      </c>
      <c r="B74" t="s">
        <v>709</v>
      </c>
      <c r="C74" t="s">
        <v>710</v>
      </c>
      <c r="D74" t="s">
        <v>596</v>
      </c>
      <c r="E74" t="s">
        <v>597</v>
      </c>
      <c r="F74" t="s">
        <v>598</v>
      </c>
      <c r="G74" t="s">
        <v>599</v>
      </c>
      <c r="H74" t="s">
        <v>600</v>
      </c>
      <c r="I74" t="s">
        <v>601</v>
      </c>
      <c r="J74">
        <v>1.35E-2</v>
      </c>
      <c r="K74">
        <v>1.35E-2</v>
      </c>
      <c r="L74">
        <v>1.35E-2</v>
      </c>
      <c r="M74">
        <v>1.35E-2</v>
      </c>
      <c r="N74">
        <v>1.35E-2</v>
      </c>
      <c r="O74">
        <v>1.34E-2</v>
      </c>
      <c r="P74">
        <v>1.3599999999999999E-2</v>
      </c>
      <c r="Q74">
        <v>1.3599999999999999E-2</v>
      </c>
      <c r="R74">
        <v>1.3599999999999999E-2</v>
      </c>
      <c r="S74">
        <v>1.3599999999999999E-2</v>
      </c>
      <c r="T74">
        <v>1.3599999999999999E-2</v>
      </c>
      <c r="U74">
        <v>1.3599999999999999E-2</v>
      </c>
      <c r="V74">
        <v>1.3599999999999999E-2</v>
      </c>
      <c r="W74">
        <v>1.3599999999999999E-2</v>
      </c>
      <c r="X74">
        <v>1.3599999999999999E-2</v>
      </c>
      <c r="Y74">
        <v>1.3599999999999999E-2</v>
      </c>
    </row>
    <row r="75" spans="1:25" hidden="1">
      <c r="A75" t="s">
        <v>270</v>
      </c>
      <c r="B75" t="s">
        <v>711</v>
      </c>
      <c r="C75" t="s">
        <v>710</v>
      </c>
      <c r="D75" t="s">
        <v>596</v>
      </c>
      <c r="E75" t="s">
        <v>605</v>
      </c>
      <c r="F75" t="s">
        <v>598</v>
      </c>
      <c r="G75" t="s">
        <v>599</v>
      </c>
      <c r="H75" t="s">
        <v>600</v>
      </c>
      <c r="I75" t="s">
        <v>601</v>
      </c>
      <c r="J75">
        <v>0.3599</v>
      </c>
      <c r="K75">
        <v>0.36130000000000001</v>
      </c>
      <c r="L75">
        <v>0.36280000000000001</v>
      </c>
      <c r="M75">
        <v>0.3644</v>
      </c>
      <c r="N75">
        <v>0.3659</v>
      </c>
      <c r="O75">
        <v>0.36730000000000002</v>
      </c>
      <c r="P75">
        <v>0.36899999999999999</v>
      </c>
      <c r="Q75">
        <v>0.37059999999999998</v>
      </c>
      <c r="R75">
        <v>0.37209999999999999</v>
      </c>
      <c r="S75">
        <v>0.37390000000000001</v>
      </c>
      <c r="T75">
        <v>0.37530000000000002</v>
      </c>
      <c r="U75">
        <v>0.377</v>
      </c>
      <c r="V75">
        <v>0.37869999999999998</v>
      </c>
      <c r="W75">
        <v>0.38040000000000002</v>
      </c>
      <c r="X75">
        <v>0.38200000000000001</v>
      </c>
      <c r="Y75">
        <v>0.38379999999999997</v>
      </c>
    </row>
    <row r="76" spans="1:25" hidden="1">
      <c r="A76" t="s">
        <v>270</v>
      </c>
      <c r="B76" t="s">
        <v>712</v>
      </c>
      <c r="C76" t="s">
        <v>710</v>
      </c>
      <c r="D76" t="s">
        <v>596</v>
      </c>
      <c r="E76" t="s">
        <v>713</v>
      </c>
      <c r="F76" t="s">
        <v>598</v>
      </c>
      <c r="G76" t="s">
        <v>599</v>
      </c>
      <c r="H76" t="s">
        <v>600</v>
      </c>
      <c r="I76" t="s">
        <v>601</v>
      </c>
      <c r="J76">
        <v>2.0000000000000001E-4</v>
      </c>
      <c r="K76">
        <v>2.0000000000000001E-4</v>
      </c>
      <c r="L76">
        <v>2.0000000000000001E-4</v>
      </c>
      <c r="M76">
        <v>2.0000000000000001E-4</v>
      </c>
      <c r="N76">
        <v>2.0000000000000001E-4</v>
      </c>
      <c r="O76">
        <v>2.0000000000000001E-4</v>
      </c>
      <c r="P76">
        <v>2.0000000000000001E-4</v>
      </c>
      <c r="Q76">
        <v>2.0000000000000001E-4</v>
      </c>
      <c r="R76">
        <v>2.0000000000000001E-4</v>
      </c>
      <c r="S76">
        <v>2.0000000000000001E-4</v>
      </c>
      <c r="T76">
        <v>2.0000000000000001E-4</v>
      </c>
      <c r="U76">
        <v>2.0000000000000001E-4</v>
      </c>
      <c r="V76">
        <v>2.0000000000000001E-4</v>
      </c>
      <c r="W76">
        <v>2.0000000000000001E-4</v>
      </c>
      <c r="X76">
        <v>2.0000000000000001E-4</v>
      </c>
      <c r="Y76">
        <v>2.0000000000000001E-4</v>
      </c>
    </row>
    <row r="77" spans="1:25" hidden="1">
      <c r="A77" t="s">
        <v>270</v>
      </c>
      <c r="B77" t="s">
        <v>714</v>
      </c>
      <c r="C77" t="s">
        <v>710</v>
      </c>
      <c r="D77" t="s">
        <v>671</v>
      </c>
      <c r="E77" t="s">
        <v>672</v>
      </c>
      <c r="F77" t="s">
        <v>598</v>
      </c>
      <c r="G77" t="s">
        <v>599</v>
      </c>
      <c r="H77" t="s">
        <v>600</v>
      </c>
      <c r="I77" t="s">
        <v>601</v>
      </c>
      <c r="J77">
        <v>1.2999999999999999E-3</v>
      </c>
      <c r="K77">
        <v>1.2999999999999999E-3</v>
      </c>
      <c r="L77">
        <v>1.2999999999999999E-3</v>
      </c>
      <c r="M77">
        <v>1.2999999999999999E-3</v>
      </c>
      <c r="N77">
        <v>1.2999999999999999E-3</v>
      </c>
      <c r="O77">
        <v>1.2999999999999999E-3</v>
      </c>
      <c r="P77">
        <v>1.2999999999999999E-3</v>
      </c>
      <c r="Q77">
        <v>1.2999999999999999E-3</v>
      </c>
      <c r="R77">
        <v>1.2999999999999999E-3</v>
      </c>
      <c r="S77">
        <v>1.2999999999999999E-3</v>
      </c>
      <c r="T77">
        <v>1.2999999999999999E-3</v>
      </c>
      <c r="U77">
        <v>1.2999999999999999E-3</v>
      </c>
      <c r="V77">
        <v>1.2999999999999999E-3</v>
      </c>
      <c r="W77">
        <v>1.2999999999999999E-3</v>
      </c>
      <c r="X77">
        <v>1.2999999999999999E-3</v>
      </c>
      <c r="Y77">
        <v>1.2999999999999999E-3</v>
      </c>
    </row>
    <row r="78" spans="1:25" hidden="1">
      <c r="A78" t="s">
        <v>270</v>
      </c>
      <c r="B78" t="s">
        <v>715</v>
      </c>
      <c r="C78" t="s">
        <v>710</v>
      </c>
      <c r="D78" t="s">
        <v>671</v>
      </c>
      <c r="E78" t="s">
        <v>597</v>
      </c>
      <c r="F78" t="s">
        <v>598</v>
      </c>
      <c r="G78" t="s">
        <v>599</v>
      </c>
      <c r="H78" t="s">
        <v>600</v>
      </c>
      <c r="I78" t="s">
        <v>601</v>
      </c>
      <c r="J78">
        <v>0.22869999999999999</v>
      </c>
      <c r="K78">
        <v>0.2288</v>
      </c>
      <c r="L78">
        <v>0.2288</v>
      </c>
      <c r="M78">
        <v>0.22889999999999999</v>
      </c>
      <c r="N78">
        <v>0.22889999999999999</v>
      </c>
      <c r="O78">
        <v>0.22889999999999999</v>
      </c>
      <c r="P78">
        <v>0.22889999999999999</v>
      </c>
      <c r="Q78">
        <v>0.2291</v>
      </c>
      <c r="R78">
        <v>0.2291</v>
      </c>
      <c r="S78">
        <v>0.2291</v>
      </c>
      <c r="T78">
        <v>0.22919999999999999</v>
      </c>
      <c r="U78">
        <v>0.22919999999999999</v>
      </c>
      <c r="V78">
        <v>0.2293</v>
      </c>
      <c r="W78">
        <v>0.2293</v>
      </c>
      <c r="X78">
        <v>0.22939999999999999</v>
      </c>
      <c r="Y78">
        <v>0.22939999999999999</v>
      </c>
    </row>
    <row r="79" spans="1:25" hidden="1">
      <c r="A79" t="s">
        <v>270</v>
      </c>
      <c r="B79" t="s">
        <v>716</v>
      </c>
      <c r="C79" t="s">
        <v>710</v>
      </c>
      <c r="D79" t="s">
        <v>671</v>
      </c>
      <c r="E79" t="s">
        <v>605</v>
      </c>
      <c r="F79" t="s">
        <v>598</v>
      </c>
      <c r="G79" t="s">
        <v>599</v>
      </c>
      <c r="H79" t="s">
        <v>600</v>
      </c>
      <c r="I79" t="s">
        <v>601</v>
      </c>
      <c r="J79">
        <v>2.0886999999999998</v>
      </c>
      <c r="K79">
        <v>2.1019999999999999</v>
      </c>
      <c r="L79">
        <v>2.1141999999999999</v>
      </c>
      <c r="M79">
        <v>2.1276000000000002</v>
      </c>
      <c r="N79">
        <v>2.1408999999999998</v>
      </c>
      <c r="O79">
        <v>2.1532</v>
      </c>
      <c r="P79">
        <v>2.1665999999999999</v>
      </c>
      <c r="Q79">
        <v>2.1798999999999999</v>
      </c>
      <c r="R79">
        <v>2.1932999999999998</v>
      </c>
      <c r="S79">
        <v>2.2079</v>
      </c>
      <c r="T79">
        <v>2.2212000000000001</v>
      </c>
      <c r="U79">
        <v>2.2345999999999999</v>
      </c>
      <c r="V79">
        <v>2.2492000000000001</v>
      </c>
      <c r="W79">
        <v>2.2637</v>
      </c>
      <c r="X79">
        <v>2.2770999999999999</v>
      </c>
      <c r="Y79">
        <v>2.2928999999999999</v>
      </c>
    </row>
    <row r="80" spans="1:25" hidden="1">
      <c r="A80" t="s">
        <v>270</v>
      </c>
      <c r="B80" t="s">
        <v>717</v>
      </c>
      <c r="C80" t="s">
        <v>710</v>
      </c>
      <c r="D80" t="s">
        <v>671</v>
      </c>
      <c r="E80" t="s">
        <v>688</v>
      </c>
      <c r="F80" t="s">
        <v>598</v>
      </c>
      <c r="G80" t="s">
        <v>599</v>
      </c>
      <c r="H80" t="s">
        <v>600</v>
      </c>
      <c r="I80" t="s">
        <v>601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hidden="1">
      <c r="A81" t="s">
        <v>270</v>
      </c>
      <c r="B81" t="s">
        <v>718</v>
      </c>
      <c r="C81" t="s">
        <v>710</v>
      </c>
      <c r="D81" t="s">
        <v>621</v>
      </c>
      <c r="E81" t="s">
        <v>597</v>
      </c>
      <c r="F81" t="s">
        <v>598</v>
      </c>
      <c r="G81" t="s">
        <v>599</v>
      </c>
      <c r="H81" t="s">
        <v>600</v>
      </c>
      <c r="I81" t="s">
        <v>601</v>
      </c>
      <c r="J81">
        <v>3.3999999999999998E-3</v>
      </c>
      <c r="K81">
        <v>3.3999999999999998E-3</v>
      </c>
      <c r="L81">
        <v>3.3999999999999998E-3</v>
      </c>
      <c r="M81">
        <v>3.5000000000000001E-3</v>
      </c>
      <c r="N81">
        <v>3.5000000000000001E-3</v>
      </c>
      <c r="O81">
        <v>3.5000000000000001E-3</v>
      </c>
      <c r="P81">
        <v>3.5000000000000001E-3</v>
      </c>
      <c r="Q81">
        <v>3.5000000000000001E-3</v>
      </c>
      <c r="R81">
        <v>3.5000000000000001E-3</v>
      </c>
      <c r="S81">
        <v>3.5000000000000001E-3</v>
      </c>
      <c r="T81">
        <v>3.5000000000000001E-3</v>
      </c>
      <c r="U81">
        <v>3.5000000000000001E-3</v>
      </c>
      <c r="V81">
        <v>3.5000000000000001E-3</v>
      </c>
      <c r="W81">
        <v>3.5000000000000001E-3</v>
      </c>
      <c r="X81">
        <v>3.5000000000000001E-3</v>
      </c>
      <c r="Y81">
        <v>3.5000000000000001E-3</v>
      </c>
    </row>
    <row r="82" spans="1:25" hidden="1">
      <c r="A82" t="s">
        <v>270</v>
      </c>
      <c r="B82" t="s">
        <v>719</v>
      </c>
      <c r="C82" t="s">
        <v>710</v>
      </c>
      <c r="D82" t="s">
        <v>621</v>
      </c>
      <c r="E82" t="s">
        <v>626</v>
      </c>
      <c r="F82" t="s">
        <v>598</v>
      </c>
      <c r="G82" t="s">
        <v>599</v>
      </c>
      <c r="H82" t="s">
        <v>600</v>
      </c>
      <c r="I82" t="s">
        <v>601</v>
      </c>
      <c r="J82">
        <v>2.9999999999999997E-4</v>
      </c>
      <c r="K82">
        <v>2.9999999999999997E-4</v>
      </c>
      <c r="L82">
        <v>2.9999999999999997E-4</v>
      </c>
      <c r="M82">
        <v>2.9999999999999997E-4</v>
      </c>
      <c r="N82">
        <v>2.9999999999999997E-4</v>
      </c>
      <c r="O82">
        <v>2.9999999999999997E-4</v>
      </c>
      <c r="P82">
        <v>2.9999999999999997E-4</v>
      </c>
      <c r="Q82">
        <v>2.9999999999999997E-4</v>
      </c>
      <c r="R82">
        <v>2.9999999999999997E-4</v>
      </c>
      <c r="S82">
        <v>2.9999999999999997E-4</v>
      </c>
      <c r="T82">
        <v>2.9999999999999997E-4</v>
      </c>
      <c r="U82">
        <v>2.9999999999999997E-4</v>
      </c>
      <c r="V82">
        <v>2.9999999999999997E-4</v>
      </c>
      <c r="W82">
        <v>2.9999999999999997E-4</v>
      </c>
      <c r="X82">
        <v>2.9999999999999997E-4</v>
      </c>
      <c r="Y82">
        <v>2.9999999999999997E-4</v>
      </c>
    </row>
    <row r="83" spans="1:25" hidden="1">
      <c r="A83" t="s">
        <v>270</v>
      </c>
      <c r="B83" t="s">
        <v>720</v>
      </c>
      <c r="C83" t="s">
        <v>710</v>
      </c>
      <c r="D83" t="s">
        <v>632</v>
      </c>
      <c r="E83" t="s">
        <v>597</v>
      </c>
      <c r="F83" t="s">
        <v>598</v>
      </c>
      <c r="G83" t="s">
        <v>599</v>
      </c>
      <c r="H83" t="s">
        <v>600</v>
      </c>
      <c r="I83" t="s">
        <v>601</v>
      </c>
      <c r="J83">
        <v>0.1052</v>
      </c>
      <c r="K83">
        <v>0.1065</v>
      </c>
      <c r="L83">
        <v>0.1077</v>
      </c>
      <c r="M83">
        <v>0.109</v>
      </c>
      <c r="N83">
        <v>0.1103</v>
      </c>
      <c r="O83">
        <v>0.1116</v>
      </c>
      <c r="P83">
        <v>0.113</v>
      </c>
      <c r="Q83">
        <v>0.1143</v>
      </c>
      <c r="R83">
        <v>0.1157</v>
      </c>
      <c r="S83">
        <v>0.1171</v>
      </c>
      <c r="T83">
        <v>0.11849999999999999</v>
      </c>
      <c r="U83">
        <v>0.11990000000000001</v>
      </c>
      <c r="V83">
        <v>0.12130000000000001</v>
      </c>
      <c r="W83">
        <v>0.1229</v>
      </c>
      <c r="X83">
        <v>0.1244</v>
      </c>
      <c r="Y83">
        <v>0.1258</v>
      </c>
    </row>
    <row r="84" spans="1:25" hidden="1">
      <c r="A84" t="s">
        <v>270</v>
      </c>
      <c r="B84" t="s">
        <v>721</v>
      </c>
      <c r="C84" t="s">
        <v>710</v>
      </c>
      <c r="D84" t="s">
        <v>632</v>
      </c>
      <c r="E84" t="s">
        <v>642</v>
      </c>
      <c r="F84" t="s">
        <v>598</v>
      </c>
      <c r="G84" t="s">
        <v>599</v>
      </c>
      <c r="H84" t="s">
        <v>600</v>
      </c>
      <c r="I84" t="s">
        <v>601</v>
      </c>
      <c r="J84">
        <v>1E-4</v>
      </c>
      <c r="K84">
        <v>1E-4</v>
      </c>
      <c r="L84">
        <v>1E-4</v>
      </c>
      <c r="M84">
        <v>1E-4</v>
      </c>
      <c r="N84">
        <v>1E-4</v>
      </c>
      <c r="O84">
        <v>1E-4</v>
      </c>
      <c r="P84">
        <v>1E-4</v>
      </c>
      <c r="Q84">
        <v>1E-4</v>
      </c>
      <c r="R84">
        <v>1E-4</v>
      </c>
      <c r="S84">
        <v>1E-4</v>
      </c>
      <c r="T84">
        <v>1E-4</v>
      </c>
      <c r="U84">
        <v>1E-4</v>
      </c>
      <c r="V84">
        <v>1E-4</v>
      </c>
      <c r="W84">
        <v>1E-4</v>
      </c>
      <c r="X84">
        <v>1E-4</v>
      </c>
      <c r="Y84">
        <v>1E-4</v>
      </c>
    </row>
    <row r="85" spans="1:25" hidden="1">
      <c r="A85" t="s">
        <v>270</v>
      </c>
      <c r="B85" t="s">
        <v>722</v>
      </c>
      <c r="C85" t="s">
        <v>710</v>
      </c>
      <c r="D85" t="s">
        <v>632</v>
      </c>
      <c r="E85" t="s">
        <v>723</v>
      </c>
      <c r="F85" t="s">
        <v>598</v>
      </c>
      <c r="G85" t="s">
        <v>599</v>
      </c>
      <c r="H85" t="s">
        <v>600</v>
      </c>
      <c r="I85" t="s">
        <v>601</v>
      </c>
      <c r="J85">
        <v>0.42559999999999998</v>
      </c>
      <c r="K85">
        <v>0.42659999999999998</v>
      </c>
      <c r="L85">
        <v>0.42730000000000001</v>
      </c>
      <c r="M85">
        <v>0.42809999999999998</v>
      </c>
      <c r="N85">
        <v>0.42899999999999999</v>
      </c>
      <c r="O85">
        <v>0.42980000000000002</v>
      </c>
      <c r="P85">
        <v>0.43070000000000003</v>
      </c>
      <c r="Q85">
        <v>0.43149999999999999</v>
      </c>
      <c r="R85">
        <v>0.43240000000000001</v>
      </c>
      <c r="S85">
        <v>0.43330000000000002</v>
      </c>
      <c r="T85">
        <v>0.43419999999999997</v>
      </c>
      <c r="U85">
        <v>0.43509999999999999</v>
      </c>
      <c r="V85">
        <v>0.43590000000000001</v>
      </c>
      <c r="W85">
        <v>0.43690000000000001</v>
      </c>
      <c r="X85">
        <v>0.43790000000000001</v>
      </c>
      <c r="Y85">
        <v>0.43869999999999998</v>
      </c>
    </row>
    <row r="86" spans="1:25" hidden="1">
      <c r="A86" t="s">
        <v>270</v>
      </c>
      <c r="B86" t="s">
        <v>724</v>
      </c>
      <c r="C86" t="s">
        <v>710</v>
      </c>
      <c r="D86" t="s">
        <v>640</v>
      </c>
      <c r="E86" t="s">
        <v>597</v>
      </c>
      <c r="F86" t="s">
        <v>598</v>
      </c>
      <c r="G86" t="s">
        <v>599</v>
      </c>
      <c r="H86" t="s">
        <v>600</v>
      </c>
      <c r="I86" t="s">
        <v>601</v>
      </c>
      <c r="J86">
        <v>8.3999999999999995E-3</v>
      </c>
      <c r="K86">
        <v>8.6E-3</v>
      </c>
      <c r="L86">
        <v>8.6999999999999994E-3</v>
      </c>
      <c r="M86">
        <v>8.8000000000000005E-3</v>
      </c>
      <c r="N86">
        <v>8.8999999999999999E-3</v>
      </c>
      <c r="O86">
        <v>8.8999999999999999E-3</v>
      </c>
      <c r="P86">
        <v>8.9999999999999993E-3</v>
      </c>
      <c r="Q86">
        <v>9.1000000000000004E-3</v>
      </c>
      <c r="R86">
        <v>9.1999999999999998E-3</v>
      </c>
      <c r="S86">
        <v>9.2999999999999992E-3</v>
      </c>
      <c r="T86">
        <v>9.4000000000000004E-3</v>
      </c>
      <c r="U86">
        <v>9.4000000000000004E-3</v>
      </c>
      <c r="V86">
        <v>9.4999999999999998E-3</v>
      </c>
      <c r="W86">
        <v>9.7000000000000003E-3</v>
      </c>
      <c r="X86">
        <v>9.7000000000000003E-3</v>
      </c>
      <c r="Y86">
        <v>9.9000000000000008E-3</v>
      </c>
    </row>
    <row r="87" spans="1:25" hidden="1">
      <c r="A87" t="s">
        <v>270</v>
      </c>
      <c r="B87" t="s">
        <v>725</v>
      </c>
      <c r="C87" t="s">
        <v>710</v>
      </c>
      <c r="D87" t="s">
        <v>640</v>
      </c>
      <c r="E87" t="s">
        <v>642</v>
      </c>
      <c r="F87" t="s">
        <v>598</v>
      </c>
      <c r="G87" t="s">
        <v>599</v>
      </c>
      <c r="H87" t="s">
        <v>600</v>
      </c>
      <c r="I87" t="s">
        <v>601</v>
      </c>
      <c r="J87">
        <v>1E-4</v>
      </c>
      <c r="K87">
        <v>1E-4</v>
      </c>
      <c r="L87">
        <v>1E-4</v>
      </c>
      <c r="M87">
        <v>1E-4</v>
      </c>
      <c r="N87">
        <v>1E-4</v>
      </c>
      <c r="O87">
        <v>1E-4</v>
      </c>
      <c r="P87">
        <v>1E-4</v>
      </c>
      <c r="Q87">
        <v>1E-4</v>
      </c>
      <c r="R87">
        <v>1E-4</v>
      </c>
      <c r="S87">
        <v>1E-4</v>
      </c>
      <c r="T87">
        <v>1E-4</v>
      </c>
      <c r="U87">
        <v>1E-4</v>
      </c>
      <c r="V87">
        <v>1E-4</v>
      </c>
      <c r="W87">
        <v>1E-4</v>
      </c>
      <c r="X87">
        <v>1E-4</v>
      </c>
      <c r="Y87">
        <v>1E-4</v>
      </c>
    </row>
    <row r="88" spans="1:25" hidden="1">
      <c r="A88" t="s">
        <v>270</v>
      </c>
      <c r="B88" t="s">
        <v>726</v>
      </c>
      <c r="C88" t="s">
        <v>710</v>
      </c>
      <c r="D88" t="s">
        <v>640</v>
      </c>
      <c r="E88" t="s">
        <v>605</v>
      </c>
      <c r="F88" t="s">
        <v>598</v>
      </c>
      <c r="G88" t="s">
        <v>599</v>
      </c>
      <c r="H88" t="s">
        <v>600</v>
      </c>
      <c r="I88" t="s">
        <v>601</v>
      </c>
      <c r="J88">
        <v>7.3400000000000007E-2</v>
      </c>
      <c r="K88">
        <v>7.4700000000000003E-2</v>
      </c>
      <c r="L88">
        <v>7.5300000000000006E-2</v>
      </c>
      <c r="M88">
        <v>7.5999999999999998E-2</v>
      </c>
      <c r="N88">
        <v>7.6799999999999993E-2</v>
      </c>
      <c r="O88">
        <v>7.7299999999999994E-2</v>
      </c>
      <c r="P88">
        <v>7.8100000000000003E-2</v>
      </c>
      <c r="Q88">
        <v>7.8700000000000006E-2</v>
      </c>
      <c r="R88">
        <v>0.08</v>
      </c>
      <c r="S88">
        <v>8.0699999999999994E-2</v>
      </c>
      <c r="T88">
        <v>8.1299999999999997E-2</v>
      </c>
      <c r="U88">
        <v>8.2000000000000003E-2</v>
      </c>
      <c r="V88">
        <v>8.2699999999999996E-2</v>
      </c>
      <c r="W88">
        <v>8.4000000000000005E-2</v>
      </c>
      <c r="X88">
        <v>8.4599999999999995E-2</v>
      </c>
      <c r="Y88">
        <v>8.5400000000000004E-2</v>
      </c>
    </row>
    <row r="89" spans="1:25" hidden="1">
      <c r="A89" t="s">
        <v>270</v>
      </c>
      <c r="B89" t="s">
        <v>727</v>
      </c>
      <c r="C89" t="s">
        <v>710</v>
      </c>
      <c r="D89" t="s">
        <v>640</v>
      </c>
      <c r="E89" t="s">
        <v>613</v>
      </c>
      <c r="F89" t="s">
        <v>598</v>
      </c>
      <c r="G89" t="s">
        <v>599</v>
      </c>
      <c r="H89" t="s">
        <v>600</v>
      </c>
      <c r="I89" t="s">
        <v>601</v>
      </c>
      <c r="J89">
        <v>0.85429999999999995</v>
      </c>
      <c r="K89">
        <v>0.86250000000000004</v>
      </c>
      <c r="L89">
        <v>0.86990000000000001</v>
      </c>
      <c r="M89">
        <v>0.87809999999999999</v>
      </c>
      <c r="N89">
        <v>0.88639999999999997</v>
      </c>
      <c r="O89">
        <v>0.89459999999999995</v>
      </c>
      <c r="P89">
        <v>0.90280000000000005</v>
      </c>
      <c r="Q89">
        <v>0.91110000000000002</v>
      </c>
      <c r="R89">
        <v>0.92010000000000003</v>
      </c>
      <c r="S89">
        <v>0.92830000000000001</v>
      </c>
      <c r="T89">
        <v>0.93740000000000001</v>
      </c>
      <c r="U89">
        <v>0.9456</v>
      </c>
      <c r="V89">
        <v>0.95469999999999999</v>
      </c>
      <c r="W89">
        <v>0.9637</v>
      </c>
      <c r="X89">
        <v>0.9728</v>
      </c>
      <c r="Y89">
        <v>0.98180000000000001</v>
      </c>
    </row>
    <row r="90" spans="1:25" hidden="1">
      <c r="A90" t="s">
        <v>270</v>
      </c>
      <c r="B90" t="s">
        <v>728</v>
      </c>
      <c r="C90" t="s">
        <v>729</v>
      </c>
      <c r="D90" t="s">
        <v>596</v>
      </c>
      <c r="E90" t="s">
        <v>597</v>
      </c>
      <c r="F90" t="s">
        <v>598</v>
      </c>
      <c r="G90" t="s">
        <v>599</v>
      </c>
      <c r="H90" t="s">
        <v>600</v>
      </c>
      <c r="I90" t="s">
        <v>601</v>
      </c>
      <c r="J90">
        <v>0.14199999999999999</v>
      </c>
      <c r="K90">
        <v>0.14069999999999999</v>
      </c>
      <c r="L90">
        <v>0.14069999999999999</v>
      </c>
      <c r="M90">
        <v>0.14330000000000001</v>
      </c>
      <c r="N90">
        <v>0.14399999999999999</v>
      </c>
      <c r="O90">
        <v>0.14649999999999999</v>
      </c>
      <c r="P90">
        <v>0.1484</v>
      </c>
      <c r="Q90">
        <v>0.15</v>
      </c>
      <c r="R90">
        <v>0.15040000000000001</v>
      </c>
      <c r="S90">
        <v>0.15040000000000001</v>
      </c>
      <c r="T90">
        <v>0.1517</v>
      </c>
      <c r="U90">
        <v>0.15279999999999999</v>
      </c>
      <c r="V90">
        <v>0.1545</v>
      </c>
      <c r="W90">
        <v>0.1565</v>
      </c>
      <c r="X90">
        <v>0.1573</v>
      </c>
      <c r="Y90">
        <v>0.15890000000000001</v>
      </c>
    </row>
    <row r="91" spans="1:25" hidden="1">
      <c r="A91" t="s">
        <v>270</v>
      </c>
      <c r="B91" t="s">
        <v>730</v>
      </c>
      <c r="C91" t="s">
        <v>729</v>
      </c>
      <c r="D91" t="s">
        <v>596</v>
      </c>
      <c r="E91" t="s">
        <v>731</v>
      </c>
      <c r="F91" t="s">
        <v>598</v>
      </c>
      <c r="G91" t="s">
        <v>599</v>
      </c>
      <c r="H91" t="s">
        <v>600</v>
      </c>
      <c r="I91" t="s">
        <v>601</v>
      </c>
      <c r="J91">
        <v>1E-4</v>
      </c>
      <c r="K91">
        <v>1E-4</v>
      </c>
      <c r="L91">
        <v>1E-4</v>
      </c>
      <c r="M91">
        <v>1E-4</v>
      </c>
      <c r="N91">
        <v>1E-4</v>
      </c>
      <c r="O91">
        <v>1E-4</v>
      </c>
      <c r="P91">
        <v>1E-4</v>
      </c>
      <c r="Q91">
        <v>1E-4</v>
      </c>
      <c r="R91">
        <v>1E-4</v>
      </c>
      <c r="S91">
        <v>1E-4</v>
      </c>
      <c r="T91">
        <v>1E-4</v>
      </c>
      <c r="U91">
        <v>1E-4</v>
      </c>
      <c r="V91">
        <v>1E-4</v>
      </c>
      <c r="W91">
        <v>1E-4</v>
      </c>
      <c r="X91">
        <v>1E-4</v>
      </c>
      <c r="Y91">
        <v>1E-4</v>
      </c>
    </row>
    <row r="92" spans="1:25" hidden="1">
      <c r="A92" t="s">
        <v>270</v>
      </c>
      <c r="B92" t="s">
        <v>732</v>
      </c>
      <c r="C92" t="s">
        <v>729</v>
      </c>
      <c r="D92" t="s">
        <v>596</v>
      </c>
      <c r="E92" t="s">
        <v>603</v>
      </c>
      <c r="F92" t="s">
        <v>598</v>
      </c>
      <c r="G92" t="s">
        <v>599</v>
      </c>
      <c r="H92" t="s">
        <v>600</v>
      </c>
      <c r="I92" t="s">
        <v>601</v>
      </c>
      <c r="J92">
        <v>1.1000000000000001E-3</v>
      </c>
      <c r="K92">
        <v>1.1000000000000001E-3</v>
      </c>
      <c r="L92">
        <v>1.1000000000000001E-3</v>
      </c>
      <c r="M92">
        <v>1.1000000000000001E-3</v>
      </c>
      <c r="N92">
        <v>1.1999999999999999E-3</v>
      </c>
      <c r="O92">
        <v>1.1999999999999999E-3</v>
      </c>
      <c r="P92">
        <v>1.1999999999999999E-3</v>
      </c>
      <c r="Q92">
        <v>1.1999999999999999E-3</v>
      </c>
      <c r="R92">
        <v>1.1999999999999999E-3</v>
      </c>
      <c r="S92">
        <v>1.1999999999999999E-3</v>
      </c>
      <c r="T92">
        <v>1.1999999999999999E-3</v>
      </c>
      <c r="U92">
        <v>1.1999999999999999E-3</v>
      </c>
      <c r="V92">
        <v>1.1999999999999999E-3</v>
      </c>
      <c r="W92">
        <v>1.1999999999999999E-3</v>
      </c>
      <c r="X92">
        <v>1.1999999999999999E-3</v>
      </c>
      <c r="Y92">
        <v>1.1999999999999999E-3</v>
      </c>
    </row>
    <row r="93" spans="1:25" hidden="1">
      <c r="A93" t="s">
        <v>270</v>
      </c>
      <c r="B93" t="s">
        <v>733</v>
      </c>
      <c r="C93" t="s">
        <v>729</v>
      </c>
      <c r="D93" t="s">
        <v>596</v>
      </c>
      <c r="E93" t="s">
        <v>605</v>
      </c>
      <c r="F93" t="s">
        <v>598</v>
      </c>
      <c r="G93" t="s">
        <v>599</v>
      </c>
      <c r="H93" t="s">
        <v>600</v>
      </c>
      <c r="I93" t="s">
        <v>601</v>
      </c>
      <c r="J93">
        <v>9.5999999999999992E-3</v>
      </c>
      <c r="K93">
        <v>0.01</v>
      </c>
      <c r="L93">
        <v>1.03E-2</v>
      </c>
      <c r="M93">
        <v>1.0699999999999999E-2</v>
      </c>
      <c r="N93">
        <v>1.11E-2</v>
      </c>
      <c r="O93">
        <v>1.15E-2</v>
      </c>
      <c r="P93">
        <v>1.1900000000000001E-2</v>
      </c>
      <c r="Q93">
        <v>1.23E-2</v>
      </c>
      <c r="R93">
        <v>1.2500000000000001E-2</v>
      </c>
      <c r="S93">
        <v>1.26E-2</v>
      </c>
      <c r="T93">
        <v>1.2800000000000001E-2</v>
      </c>
      <c r="U93">
        <v>1.29E-2</v>
      </c>
      <c r="V93">
        <v>1.3100000000000001E-2</v>
      </c>
      <c r="W93">
        <v>1.3299999999999999E-2</v>
      </c>
      <c r="X93">
        <v>1.34E-2</v>
      </c>
      <c r="Y93">
        <v>1.3599999999999999E-2</v>
      </c>
    </row>
    <row r="94" spans="1:25" hidden="1">
      <c r="A94" t="s">
        <v>270</v>
      </c>
      <c r="B94" t="s">
        <v>734</v>
      </c>
      <c r="C94" t="s">
        <v>729</v>
      </c>
      <c r="D94" t="s">
        <v>596</v>
      </c>
      <c r="E94" t="s">
        <v>735</v>
      </c>
      <c r="F94" t="s">
        <v>598</v>
      </c>
      <c r="G94" t="s">
        <v>599</v>
      </c>
      <c r="H94" t="s">
        <v>600</v>
      </c>
      <c r="I94" t="s">
        <v>601</v>
      </c>
      <c r="J94">
        <v>0.46949999999999997</v>
      </c>
      <c r="K94">
        <v>0.46949999999999997</v>
      </c>
      <c r="L94">
        <v>0.46949999999999997</v>
      </c>
      <c r="M94">
        <v>0.46949999999999997</v>
      </c>
      <c r="N94">
        <v>0.46949999999999997</v>
      </c>
      <c r="O94">
        <v>0.46949999999999997</v>
      </c>
      <c r="P94">
        <v>0.46949999999999997</v>
      </c>
      <c r="Q94">
        <v>0.46949999999999997</v>
      </c>
      <c r="R94">
        <v>0.46949999999999997</v>
      </c>
      <c r="S94">
        <v>0.46949999999999997</v>
      </c>
      <c r="T94">
        <v>0.46949999999999997</v>
      </c>
      <c r="U94">
        <v>0.46949999999999997</v>
      </c>
      <c r="V94">
        <v>0.46949999999999997</v>
      </c>
      <c r="W94">
        <v>0.46949999999999997</v>
      </c>
      <c r="X94">
        <v>0.46949999999999997</v>
      </c>
      <c r="Y94">
        <v>0.46949999999999997</v>
      </c>
    </row>
    <row r="95" spans="1:25" hidden="1">
      <c r="A95" t="s">
        <v>270</v>
      </c>
      <c r="B95" t="s">
        <v>736</v>
      </c>
      <c r="C95" t="s">
        <v>729</v>
      </c>
      <c r="D95" t="s">
        <v>596</v>
      </c>
      <c r="E95" t="s">
        <v>611</v>
      </c>
      <c r="F95" t="s">
        <v>598</v>
      </c>
      <c r="G95" t="s">
        <v>599</v>
      </c>
      <c r="H95" t="s">
        <v>600</v>
      </c>
      <c r="I95" t="s">
        <v>601</v>
      </c>
      <c r="J95">
        <v>6.0000000000000001E-3</v>
      </c>
      <c r="K95">
        <v>6.0000000000000001E-3</v>
      </c>
      <c r="L95">
        <v>6.0000000000000001E-3</v>
      </c>
      <c r="M95">
        <v>6.0000000000000001E-3</v>
      </c>
      <c r="N95">
        <v>6.0000000000000001E-3</v>
      </c>
      <c r="O95">
        <v>6.0000000000000001E-3</v>
      </c>
      <c r="P95">
        <v>6.0000000000000001E-3</v>
      </c>
      <c r="Q95">
        <v>6.0000000000000001E-3</v>
      </c>
      <c r="R95">
        <v>6.0000000000000001E-3</v>
      </c>
      <c r="S95">
        <v>6.0000000000000001E-3</v>
      </c>
      <c r="T95">
        <v>6.0000000000000001E-3</v>
      </c>
      <c r="U95">
        <v>6.0000000000000001E-3</v>
      </c>
      <c r="V95">
        <v>6.0000000000000001E-3</v>
      </c>
      <c r="W95">
        <v>6.0000000000000001E-3</v>
      </c>
      <c r="X95">
        <v>6.0000000000000001E-3</v>
      </c>
      <c r="Y95">
        <v>6.0000000000000001E-3</v>
      </c>
    </row>
    <row r="96" spans="1:25" hidden="1">
      <c r="A96" t="s">
        <v>270</v>
      </c>
      <c r="B96" t="s">
        <v>737</v>
      </c>
      <c r="C96" t="s">
        <v>729</v>
      </c>
      <c r="D96" t="s">
        <v>596</v>
      </c>
      <c r="E96" t="s">
        <v>615</v>
      </c>
      <c r="F96" t="s">
        <v>598</v>
      </c>
      <c r="G96" t="s">
        <v>599</v>
      </c>
      <c r="H96" t="s">
        <v>600</v>
      </c>
      <c r="I96" t="s">
        <v>601</v>
      </c>
      <c r="J96">
        <v>1E-4</v>
      </c>
      <c r="K96">
        <v>1E-4</v>
      </c>
      <c r="L96">
        <v>1E-4</v>
      </c>
      <c r="M96">
        <v>1E-4</v>
      </c>
      <c r="N96">
        <v>1E-4</v>
      </c>
      <c r="O96">
        <v>1E-4</v>
      </c>
      <c r="P96">
        <v>1E-4</v>
      </c>
      <c r="Q96">
        <v>1E-4</v>
      </c>
      <c r="R96">
        <v>1E-4</v>
      </c>
      <c r="S96">
        <v>1E-4</v>
      </c>
      <c r="T96">
        <v>1E-4</v>
      </c>
      <c r="U96">
        <v>1E-4</v>
      </c>
      <c r="V96">
        <v>1E-4</v>
      </c>
      <c r="W96">
        <v>1E-4</v>
      </c>
      <c r="X96">
        <v>1E-4</v>
      </c>
      <c r="Y96">
        <v>1E-4</v>
      </c>
    </row>
    <row r="97" spans="1:25" hidden="1">
      <c r="A97" t="s">
        <v>270</v>
      </c>
      <c r="B97" t="s">
        <v>738</v>
      </c>
      <c r="C97" t="s">
        <v>729</v>
      </c>
      <c r="D97" t="s">
        <v>596</v>
      </c>
      <c r="E97" t="s">
        <v>617</v>
      </c>
      <c r="F97" t="s">
        <v>598</v>
      </c>
      <c r="G97" t="s">
        <v>599</v>
      </c>
      <c r="H97" t="s">
        <v>600</v>
      </c>
      <c r="I97" t="s">
        <v>601</v>
      </c>
      <c r="J97">
        <v>0.53320000000000001</v>
      </c>
      <c r="K97">
        <v>0.54290000000000005</v>
      </c>
      <c r="L97">
        <v>0.55000000000000004</v>
      </c>
      <c r="M97">
        <v>0.55669999999999997</v>
      </c>
      <c r="N97">
        <v>0.56389999999999996</v>
      </c>
      <c r="O97">
        <v>0.57140000000000002</v>
      </c>
      <c r="P97">
        <v>0.57879999999999998</v>
      </c>
      <c r="Q97">
        <v>0.58599999999999997</v>
      </c>
      <c r="R97">
        <v>0.59309999999999996</v>
      </c>
      <c r="S97">
        <v>0.60060000000000002</v>
      </c>
      <c r="T97">
        <v>0.60780000000000001</v>
      </c>
      <c r="U97">
        <v>0.61470000000000002</v>
      </c>
      <c r="V97">
        <v>0.62170000000000003</v>
      </c>
      <c r="W97">
        <v>0.62919999999999998</v>
      </c>
      <c r="X97">
        <v>0.63670000000000004</v>
      </c>
      <c r="Y97">
        <v>0.64419999999999999</v>
      </c>
    </row>
    <row r="98" spans="1:25" hidden="1">
      <c r="A98" t="s">
        <v>270</v>
      </c>
      <c r="B98" t="s">
        <v>739</v>
      </c>
      <c r="C98" t="s">
        <v>729</v>
      </c>
      <c r="D98" t="s">
        <v>596</v>
      </c>
      <c r="E98" t="s">
        <v>628</v>
      </c>
      <c r="F98" t="s">
        <v>598</v>
      </c>
      <c r="G98" t="s">
        <v>599</v>
      </c>
      <c r="H98" t="s">
        <v>600</v>
      </c>
      <c r="I98" t="s">
        <v>601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270</v>
      </c>
      <c r="B99" t="s">
        <v>740</v>
      </c>
      <c r="C99" t="s">
        <v>729</v>
      </c>
      <c r="D99" t="s">
        <v>596</v>
      </c>
      <c r="E99" t="s">
        <v>619</v>
      </c>
      <c r="F99" t="s">
        <v>598</v>
      </c>
      <c r="G99" t="s">
        <v>599</v>
      </c>
      <c r="H99" t="s">
        <v>600</v>
      </c>
      <c r="I99" t="s">
        <v>601</v>
      </c>
      <c r="J99">
        <v>8.0999999999999996E-3</v>
      </c>
      <c r="K99">
        <v>8.0000000000000002E-3</v>
      </c>
      <c r="L99">
        <v>7.9000000000000008E-3</v>
      </c>
      <c r="M99">
        <v>7.7999999999999996E-3</v>
      </c>
      <c r="N99">
        <v>7.7000000000000002E-3</v>
      </c>
      <c r="O99">
        <v>7.6E-3</v>
      </c>
      <c r="P99">
        <v>7.7000000000000002E-3</v>
      </c>
      <c r="Q99">
        <v>7.7000000000000002E-3</v>
      </c>
      <c r="R99">
        <v>7.7000000000000002E-3</v>
      </c>
      <c r="S99">
        <v>7.7000000000000002E-3</v>
      </c>
      <c r="T99">
        <v>7.7000000000000002E-3</v>
      </c>
      <c r="U99">
        <v>7.7000000000000002E-3</v>
      </c>
      <c r="V99">
        <v>7.7000000000000002E-3</v>
      </c>
      <c r="W99">
        <v>7.7000000000000002E-3</v>
      </c>
      <c r="X99">
        <v>7.7999999999999996E-3</v>
      </c>
      <c r="Y99">
        <v>7.7999999999999996E-3</v>
      </c>
    </row>
    <row r="100" spans="1:25" hidden="1">
      <c r="A100" t="s">
        <v>270</v>
      </c>
      <c r="B100" t="s">
        <v>741</v>
      </c>
      <c r="C100" t="s">
        <v>729</v>
      </c>
      <c r="D100" t="s">
        <v>596</v>
      </c>
      <c r="E100" t="s">
        <v>742</v>
      </c>
      <c r="F100" t="s">
        <v>598</v>
      </c>
      <c r="G100" t="s">
        <v>599</v>
      </c>
      <c r="H100" t="s">
        <v>600</v>
      </c>
      <c r="I100" t="s">
        <v>601</v>
      </c>
      <c r="J100">
        <v>1E-4</v>
      </c>
      <c r="K100">
        <v>1E-4</v>
      </c>
      <c r="L100">
        <v>1E-4</v>
      </c>
      <c r="M100">
        <v>1E-4</v>
      </c>
      <c r="N100">
        <v>1E-4</v>
      </c>
      <c r="O100">
        <v>1E-4</v>
      </c>
      <c r="P100">
        <v>1E-4</v>
      </c>
      <c r="Q100">
        <v>1E-4</v>
      </c>
      <c r="R100">
        <v>1E-4</v>
      </c>
      <c r="S100">
        <v>1E-4</v>
      </c>
      <c r="T100">
        <v>1E-4</v>
      </c>
      <c r="U100">
        <v>1E-4</v>
      </c>
      <c r="V100">
        <v>1E-4</v>
      </c>
      <c r="W100">
        <v>1E-4</v>
      </c>
      <c r="X100">
        <v>1E-4</v>
      </c>
      <c r="Y100">
        <v>1E-4</v>
      </c>
    </row>
    <row r="101" spans="1:25" hidden="1">
      <c r="A101" t="s">
        <v>270</v>
      </c>
      <c r="B101" t="s">
        <v>743</v>
      </c>
      <c r="C101" t="s">
        <v>729</v>
      </c>
      <c r="D101" t="s">
        <v>596</v>
      </c>
      <c r="E101" t="s">
        <v>744</v>
      </c>
      <c r="F101" t="s">
        <v>598</v>
      </c>
      <c r="G101" t="s">
        <v>599</v>
      </c>
      <c r="H101" t="s">
        <v>600</v>
      </c>
      <c r="I101" t="s">
        <v>601</v>
      </c>
      <c r="J101">
        <v>1E-4</v>
      </c>
      <c r="K101">
        <v>1E-4</v>
      </c>
      <c r="L101">
        <v>1E-4</v>
      </c>
      <c r="M101">
        <v>1E-4</v>
      </c>
      <c r="N101">
        <v>1E-4</v>
      </c>
      <c r="O101">
        <v>1E-4</v>
      </c>
      <c r="P101">
        <v>1E-4</v>
      </c>
      <c r="Q101">
        <v>1E-4</v>
      </c>
      <c r="R101">
        <v>1E-4</v>
      </c>
      <c r="S101">
        <v>1E-4</v>
      </c>
      <c r="T101">
        <v>1E-4</v>
      </c>
      <c r="U101">
        <v>1E-4</v>
      </c>
      <c r="V101">
        <v>1E-4</v>
      </c>
      <c r="W101">
        <v>1E-4</v>
      </c>
      <c r="X101">
        <v>1E-4</v>
      </c>
      <c r="Y101">
        <v>1E-4</v>
      </c>
    </row>
    <row r="102" spans="1:25" hidden="1">
      <c r="A102" t="s">
        <v>270</v>
      </c>
      <c r="B102" t="s">
        <v>745</v>
      </c>
      <c r="C102" t="s">
        <v>729</v>
      </c>
      <c r="D102" t="s">
        <v>671</v>
      </c>
      <c r="E102" t="s">
        <v>597</v>
      </c>
      <c r="F102" t="s">
        <v>598</v>
      </c>
      <c r="G102" t="s">
        <v>599</v>
      </c>
      <c r="H102" t="s">
        <v>600</v>
      </c>
      <c r="I102" t="s">
        <v>601</v>
      </c>
      <c r="J102">
        <v>0.25330000000000003</v>
      </c>
      <c r="K102">
        <v>0.25209999999999999</v>
      </c>
      <c r="L102">
        <v>0.251</v>
      </c>
      <c r="M102">
        <v>0.2606</v>
      </c>
      <c r="N102">
        <v>0.2616</v>
      </c>
      <c r="O102">
        <v>0.26269999999999999</v>
      </c>
      <c r="P102">
        <v>0.27200000000000002</v>
      </c>
      <c r="Q102">
        <v>0.27310000000000001</v>
      </c>
      <c r="R102">
        <v>0.27339999999999998</v>
      </c>
      <c r="S102">
        <v>0.27310000000000001</v>
      </c>
      <c r="T102">
        <v>0.2752</v>
      </c>
      <c r="U102">
        <v>0.27700000000000002</v>
      </c>
      <c r="V102">
        <v>0.28060000000000002</v>
      </c>
      <c r="W102">
        <v>0.28370000000000001</v>
      </c>
      <c r="X102">
        <v>0.28520000000000001</v>
      </c>
      <c r="Y102">
        <v>0.28839999999999999</v>
      </c>
    </row>
    <row r="103" spans="1:25" hidden="1">
      <c r="A103" t="s">
        <v>270</v>
      </c>
      <c r="B103" t="s">
        <v>746</v>
      </c>
      <c r="C103" t="s">
        <v>729</v>
      </c>
      <c r="D103" t="s">
        <v>671</v>
      </c>
      <c r="E103" t="s">
        <v>642</v>
      </c>
      <c r="F103" t="s">
        <v>598</v>
      </c>
      <c r="G103" t="s">
        <v>599</v>
      </c>
      <c r="H103" t="s">
        <v>600</v>
      </c>
      <c r="I103" t="s">
        <v>601</v>
      </c>
      <c r="J103">
        <v>2.9999999999999997E-4</v>
      </c>
      <c r="K103">
        <v>2.9999999999999997E-4</v>
      </c>
      <c r="L103">
        <v>2.9999999999999997E-4</v>
      </c>
      <c r="M103">
        <v>2.9999999999999997E-4</v>
      </c>
      <c r="N103">
        <v>2.9999999999999997E-4</v>
      </c>
      <c r="O103">
        <v>2.9999999999999997E-4</v>
      </c>
      <c r="P103">
        <v>2.9999999999999997E-4</v>
      </c>
      <c r="Q103">
        <v>2.9999999999999997E-4</v>
      </c>
      <c r="R103">
        <v>2.9999999999999997E-4</v>
      </c>
      <c r="S103">
        <v>2.9999999999999997E-4</v>
      </c>
      <c r="T103">
        <v>2.9999999999999997E-4</v>
      </c>
      <c r="U103">
        <v>2.9999999999999997E-4</v>
      </c>
      <c r="V103">
        <v>2.9999999999999997E-4</v>
      </c>
      <c r="W103">
        <v>2.9999999999999997E-4</v>
      </c>
      <c r="X103">
        <v>2.9999999999999997E-4</v>
      </c>
      <c r="Y103">
        <v>2.9999999999999997E-4</v>
      </c>
    </row>
    <row r="104" spans="1:25" hidden="1">
      <c r="A104" t="s">
        <v>270</v>
      </c>
      <c r="B104" t="s">
        <v>747</v>
      </c>
      <c r="C104" t="s">
        <v>729</v>
      </c>
      <c r="D104" t="s">
        <v>671</v>
      </c>
      <c r="E104" t="s">
        <v>605</v>
      </c>
      <c r="F104" t="s">
        <v>598</v>
      </c>
      <c r="G104" t="s">
        <v>599</v>
      </c>
      <c r="H104" t="s">
        <v>600</v>
      </c>
      <c r="I104" t="s">
        <v>601</v>
      </c>
      <c r="J104">
        <v>1.5299999999999999E-2</v>
      </c>
      <c r="K104">
        <v>1.55E-2</v>
      </c>
      <c r="L104">
        <v>1.5599999999999999E-2</v>
      </c>
      <c r="M104">
        <v>1.5800000000000002E-2</v>
      </c>
      <c r="N104">
        <v>1.6E-2</v>
      </c>
      <c r="O104">
        <v>1.6199999999999999E-2</v>
      </c>
      <c r="P104">
        <v>1.6299999999999999E-2</v>
      </c>
      <c r="Q104">
        <v>1.6500000000000001E-2</v>
      </c>
      <c r="R104">
        <v>1.67E-2</v>
      </c>
      <c r="S104">
        <v>1.6899999999999998E-2</v>
      </c>
      <c r="T104">
        <v>1.7100000000000001E-2</v>
      </c>
      <c r="U104">
        <v>1.72E-2</v>
      </c>
      <c r="V104">
        <v>1.7399999999999999E-2</v>
      </c>
      <c r="W104">
        <v>1.7600000000000001E-2</v>
      </c>
      <c r="X104">
        <v>1.78E-2</v>
      </c>
      <c r="Y104">
        <v>1.7999999999999999E-2</v>
      </c>
    </row>
    <row r="105" spans="1:25" hidden="1">
      <c r="A105" t="s">
        <v>270</v>
      </c>
      <c r="B105" t="s">
        <v>748</v>
      </c>
      <c r="C105" t="s">
        <v>729</v>
      </c>
      <c r="D105" t="s">
        <v>671</v>
      </c>
      <c r="E105" t="s">
        <v>619</v>
      </c>
      <c r="F105" t="s">
        <v>598</v>
      </c>
      <c r="G105" t="s">
        <v>599</v>
      </c>
      <c r="H105" t="s">
        <v>600</v>
      </c>
      <c r="I105" t="s">
        <v>601</v>
      </c>
      <c r="J105">
        <v>4.0000000000000002E-4</v>
      </c>
      <c r="K105">
        <v>5.0000000000000001E-4</v>
      </c>
      <c r="L105">
        <v>5.0000000000000001E-4</v>
      </c>
      <c r="M105">
        <v>5.0000000000000001E-4</v>
      </c>
      <c r="N105">
        <v>5.0000000000000001E-4</v>
      </c>
      <c r="O105">
        <v>5.0000000000000001E-4</v>
      </c>
      <c r="P105">
        <v>5.0000000000000001E-4</v>
      </c>
      <c r="Q105">
        <v>5.0000000000000001E-4</v>
      </c>
      <c r="R105">
        <v>5.0000000000000001E-4</v>
      </c>
      <c r="S105">
        <v>5.0000000000000001E-4</v>
      </c>
      <c r="T105">
        <v>5.0000000000000001E-4</v>
      </c>
      <c r="U105">
        <v>5.0000000000000001E-4</v>
      </c>
      <c r="V105">
        <v>5.0000000000000001E-4</v>
      </c>
      <c r="W105">
        <v>4.0000000000000002E-4</v>
      </c>
      <c r="X105">
        <v>4.0000000000000002E-4</v>
      </c>
      <c r="Y105">
        <v>4.0000000000000002E-4</v>
      </c>
    </row>
    <row r="106" spans="1:25" hidden="1">
      <c r="A106" t="s">
        <v>270</v>
      </c>
      <c r="B106" t="s">
        <v>749</v>
      </c>
      <c r="C106" t="s">
        <v>729</v>
      </c>
      <c r="D106" t="s">
        <v>671</v>
      </c>
      <c r="E106" t="s">
        <v>750</v>
      </c>
      <c r="F106" t="s">
        <v>598</v>
      </c>
      <c r="G106" t="s">
        <v>599</v>
      </c>
      <c r="H106" t="s">
        <v>600</v>
      </c>
      <c r="I106" t="s">
        <v>601</v>
      </c>
      <c r="J106">
        <v>1E-4</v>
      </c>
      <c r="K106">
        <v>1E-4</v>
      </c>
      <c r="L106">
        <v>1E-4</v>
      </c>
      <c r="M106">
        <v>1E-4</v>
      </c>
      <c r="N106">
        <v>1E-4</v>
      </c>
      <c r="O106">
        <v>1E-4</v>
      </c>
      <c r="P106">
        <v>1E-4</v>
      </c>
      <c r="Q106">
        <v>1E-4</v>
      </c>
      <c r="R106">
        <v>1E-4</v>
      </c>
      <c r="S106">
        <v>1E-4</v>
      </c>
      <c r="T106">
        <v>1E-4</v>
      </c>
      <c r="U106">
        <v>1E-4</v>
      </c>
      <c r="V106">
        <v>1E-4</v>
      </c>
      <c r="W106">
        <v>1E-4</v>
      </c>
      <c r="X106">
        <v>1E-4</v>
      </c>
      <c r="Y106">
        <v>1E-4</v>
      </c>
    </row>
    <row r="107" spans="1:25" hidden="1">
      <c r="A107" t="s">
        <v>270</v>
      </c>
      <c r="B107" t="s">
        <v>751</v>
      </c>
      <c r="C107" t="s">
        <v>729</v>
      </c>
      <c r="D107" t="s">
        <v>671</v>
      </c>
      <c r="E107" t="s">
        <v>676</v>
      </c>
      <c r="F107" t="s">
        <v>598</v>
      </c>
      <c r="G107" t="s">
        <v>599</v>
      </c>
      <c r="H107" t="s">
        <v>600</v>
      </c>
      <c r="I107" t="s">
        <v>601</v>
      </c>
      <c r="J107">
        <v>1.1999999999999999E-3</v>
      </c>
      <c r="K107">
        <v>1.1999999999999999E-3</v>
      </c>
      <c r="L107">
        <v>1.1999999999999999E-3</v>
      </c>
      <c r="M107">
        <v>1.1999999999999999E-3</v>
      </c>
      <c r="N107">
        <v>1.1999999999999999E-3</v>
      </c>
      <c r="O107">
        <v>1.1999999999999999E-3</v>
      </c>
      <c r="P107">
        <v>1.1999999999999999E-3</v>
      </c>
      <c r="Q107">
        <v>1.1999999999999999E-3</v>
      </c>
      <c r="R107">
        <v>1.1999999999999999E-3</v>
      </c>
      <c r="S107">
        <v>1.1999999999999999E-3</v>
      </c>
      <c r="T107">
        <v>1.1999999999999999E-3</v>
      </c>
      <c r="U107">
        <v>1.1999999999999999E-3</v>
      </c>
      <c r="V107">
        <v>1.1999999999999999E-3</v>
      </c>
      <c r="W107">
        <v>1.1999999999999999E-3</v>
      </c>
      <c r="X107">
        <v>1.1999999999999999E-3</v>
      </c>
      <c r="Y107">
        <v>1.1999999999999999E-3</v>
      </c>
    </row>
    <row r="108" spans="1:25" hidden="1">
      <c r="A108" t="s">
        <v>270</v>
      </c>
      <c r="B108" t="s">
        <v>752</v>
      </c>
      <c r="C108" t="s">
        <v>729</v>
      </c>
      <c r="D108" t="s">
        <v>753</v>
      </c>
      <c r="E108" t="s">
        <v>597</v>
      </c>
      <c r="F108" t="s">
        <v>598</v>
      </c>
      <c r="G108" t="s">
        <v>599</v>
      </c>
      <c r="H108" t="s">
        <v>600</v>
      </c>
      <c r="I108" t="s">
        <v>601</v>
      </c>
      <c r="J108">
        <v>7.7000000000000002E-3</v>
      </c>
      <c r="K108">
        <v>7.7000000000000002E-3</v>
      </c>
      <c r="L108">
        <v>7.7000000000000002E-3</v>
      </c>
      <c r="M108">
        <v>7.7999999999999996E-3</v>
      </c>
      <c r="N108">
        <v>7.7999999999999996E-3</v>
      </c>
      <c r="O108">
        <v>7.7999999999999996E-3</v>
      </c>
      <c r="P108">
        <v>7.7999999999999996E-3</v>
      </c>
      <c r="Q108">
        <v>7.7999999999999996E-3</v>
      </c>
      <c r="R108">
        <v>7.7999999999999996E-3</v>
      </c>
      <c r="S108">
        <v>7.7999999999999996E-3</v>
      </c>
      <c r="T108">
        <v>7.7999999999999996E-3</v>
      </c>
      <c r="U108">
        <v>7.7999999999999996E-3</v>
      </c>
      <c r="V108">
        <v>7.7999999999999996E-3</v>
      </c>
      <c r="W108">
        <v>7.7999999999999996E-3</v>
      </c>
      <c r="X108">
        <v>7.9000000000000008E-3</v>
      </c>
      <c r="Y108">
        <v>7.9000000000000008E-3</v>
      </c>
    </row>
    <row r="109" spans="1:25" hidden="1">
      <c r="A109" t="s">
        <v>270</v>
      </c>
      <c r="B109" t="s">
        <v>754</v>
      </c>
      <c r="C109" t="s">
        <v>729</v>
      </c>
      <c r="D109" t="s">
        <v>753</v>
      </c>
      <c r="E109" t="s">
        <v>642</v>
      </c>
      <c r="F109" t="s">
        <v>598</v>
      </c>
      <c r="G109" t="s">
        <v>599</v>
      </c>
      <c r="H109" t="s">
        <v>600</v>
      </c>
      <c r="I109" t="s">
        <v>601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270</v>
      </c>
      <c r="B110" t="s">
        <v>755</v>
      </c>
      <c r="C110" t="s">
        <v>729</v>
      </c>
      <c r="D110" t="s">
        <v>756</v>
      </c>
      <c r="E110" t="s">
        <v>597</v>
      </c>
      <c r="F110" t="s">
        <v>598</v>
      </c>
      <c r="G110" t="s">
        <v>599</v>
      </c>
      <c r="H110" t="s">
        <v>600</v>
      </c>
      <c r="I110" t="s">
        <v>601</v>
      </c>
      <c r="J110">
        <v>2.7400000000000001E-2</v>
      </c>
      <c r="K110">
        <v>2.76E-2</v>
      </c>
      <c r="L110">
        <v>2.76E-2</v>
      </c>
      <c r="M110">
        <v>2.7699999999999999E-2</v>
      </c>
      <c r="N110">
        <v>2.7699999999999999E-2</v>
      </c>
      <c r="O110">
        <v>2.7699999999999999E-2</v>
      </c>
      <c r="P110">
        <v>2.7699999999999999E-2</v>
      </c>
      <c r="Q110">
        <v>2.7799999999999998E-2</v>
      </c>
      <c r="R110">
        <v>2.7799999999999998E-2</v>
      </c>
      <c r="S110">
        <v>2.8000000000000001E-2</v>
      </c>
      <c r="T110">
        <v>2.81E-2</v>
      </c>
      <c r="U110">
        <v>2.8199999999999999E-2</v>
      </c>
      <c r="V110">
        <v>2.8299999999999999E-2</v>
      </c>
      <c r="W110">
        <v>2.8299999999999999E-2</v>
      </c>
      <c r="X110">
        <v>2.8400000000000002E-2</v>
      </c>
      <c r="Y110">
        <v>2.8500000000000001E-2</v>
      </c>
    </row>
    <row r="111" spans="1:25" hidden="1">
      <c r="A111" t="s">
        <v>270</v>
      </c>
      <c r="B111" t="s">
        <v>757</v>
      </c>
      <c r="C111" t="s">
        <v>729</v>
      </c>
      <c r="D111" t="s">
        <v>756</v>
      </c>
      <c r="E111" t="s">
        <v>642</v>
      </c>
      <c r="F111" t="s">
        <v>598</v>
      </c>
      <c r="G111" t="s">
        <v>599</v>
      </c>
      <c r="H111" t="s">
        <v>600</v>
      </c>
      <c r="I111" t="s">
        <v>601</v>
      </c>
      <c r="J111">
        <v>1E-4</v>
      </c>
      <c r="K111">
        <v>1E-4</v>
      </c>
      <c r="L111">
        <v>1E-4</v>
      </c>
      <c r="M111">
        <v>1E-4</v>
      </c>
      <c r="N111">
        <v>1E-4</v>
      </c>
      <c r="O111">
        <v>1E-4</v>
      </c>
      <c r="P111">
        <v>1E-4</v>
      </c>
      <c r="Q111">
        <v>1E-4</v>
      </c>
      <c r="R111">
        <v>1E-4</v>
      </c>
      <c r="S111">
        <v>1E-4</v>
      </c>
      <c r="T111">
        <v>1E-4</v>
      </c>
      <c r="U111">
        <v>1E-4</v>
      </c>
      <c r="V111">
        <v>1E-4</v>
      </c>
      <c r="W111">
        <v>1E-4</v>
      </c>
      <c r="X111">
        <v>1E-4</v>
      </c>
      <c r="Y111">
        <v>1E-4</v>
      </c>
    </row>
    <row r="112" spans="1:25" hidden="1">
      <c r="A112" t="s">
        <v>270</v>
      </c>
      <c r="B112" t="s">
        <v>758</v>
      </c>
      <c r="C112" t="s">
        <v>729</v>
      </c>
      <c r="D112" t="s">
        <v>756</v>
      </c>
      <c r="E112" t="s">
        <v>656</v>
      </c>
      <c r="F112" t="s">
        <v>598</v>
      </c>
      <c r="G112" t="s">
        <v>599</v>
      </c>
      <c r="H112" t="s">
        <v>600</v>
      </c>
      <c r="I112" t="s">
        <v>601</v>
      </c>
      <c r="J112">
        <v>5.9999999999999995E-4</v>
      </c>
      <c r="K112">
        <v>6.9999999999999999E-4</v>
      </c>
      <c r="L112">
        <v>6.9999999999999999E-4</v>
      </c>
      <c r="M112">
        <v>6.9999999999999999E-4</v>
      </c>
      <c r="N112">
        <v>6.9999999999999999E-4</v>
      </c>
      <c r="O112">
        <v>6.9999999999999999E-4</v>
      </c>
      <c r="P112">
        <v>6.9999999999999999E-4</v>
      </c>
      <c r="Q112">
        <v>8.0000000000000004E-4</v>
      </c>
      <c r="R112">
        <v>8.0000000000000004E-4</v>
      </c>
      <c r="S112">
        <v>8.0000000000000004E-4</v>
      </c>
      <c r="T112">
        <v>8.0000000000000004E-4</v>
      </c>
      <c r="U112">
        <v>8.0000000000000004E-4</v>
      </c>
      <c r="V112">
        <v>8.9999999999999998E-4</v>
      </c>
      <c r="W112">
        <v>8.9999999999999998E-4</v>
      </c>
      <c r="X112">
        <v>8.9999999999999998E-4</v>
      </c>
      <c r="Y112">
        <v>8.9999999999999998E-4</v>
      </c>
    </row>
    <row r="113" spans="1:25" hidden="1">
      <c r="A113" t="s">
        <v>270</v>
      </c>
      <c r="B113" t="s">
        <v>759</v>
      </c>
      <c r="C113" t="s">
        <v>729</v>
      </c>
      <c r="D113" t="s">
        <v>756</v>
      </c>
      <c r="E113" t="s">
        <v>619</v>
      </c>
      <c r="F113" t="s">
        <v>598</v>
      </c>
      <c r="G113" t="s">
        <v>599</v>
      </c>
      <c r="H113" t="s">
        <v>600</v>
      </c>
      <c r="I113" t="s">
        <v>601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270</v>
      </c>
      <c r="B114" t="s">
        <v>760</v>
      </c>
      <c r="C114" t="s">
        <v>729</v>
      </c>
      <c r="D114" t="s">
        <v>621</v>
      </c>
      <c r="E114" t="s">
        <v>649</v>
      </c>
      <c r="F114" t="s">
        <v>598</v>
      </c>
      <c r="G114" t="s">
        <v>599</v>
      </c>
      <c r="H114" t="s">
        <v>600</v>
      </c>
      <c r="I114" t="s">
        <v>601</v>
      </c>
      <c r="J114">
        <v>5.7200000000000001E-2</v>
      </c>
      <c r="K114">
        <v>5.79E-2</v>
      </c>
      <c r="L114">
        <v>5.8500000000000003E-2</v>
      </c>
      <c r="M114">
        <v>5.91E-2</v>
      </c>
      <c r="N114">
        <v>5.9900000000000002E-2</v>
      </c>
      <c r="O114">
        <v>6.0699999999999997E-2</v>
      </c>
      <c r="P114">
        <v>6.0999999999999999E-2</v>
      </c>
      <c r="Q114">
        <v>6.1400000000000003E-2</v>
      </c>
      <c r="R114">
        <v>6.1699999999999998E-2</v>
      </c>
      <c r="S114">
        <v>6.2100000000000002E-2</v>
      </c>
      <c r="T114">
        <v>6.2300000000000001E-2</v>
      </c>
      <c r="U114">
        <v>6.2799999999999995E-2</v>
      </c>
      <c r="V114">
        <v>6.3E-2</v>
      </c>
      <c r="W114">
        <v>6.3299999999999995E-2</v>
      </c>
      <c r="X114">
        <v>6.3799999999999996E-2</v>
      </c>
      <c r="Y114">
        <v>6.4100000000000004E-2</v>
      </c>
    </row>
    <row r="115" spans="1:25" hidden="1">
      <c r="A115" t="s">
        <v>270</v>
      </c>
      <c r="B115" t="s">
        <v>761</v>
      </c>
      <c r="C115" t="s">
        <v>729</v>
      </c>
      <c r="D115" t="s">
        <v>621</v>
      </c>
      <c r="E115" t="s">
        <v>597</v>
      </c>
      <c r="F115" t="s">
        <v>598</v>
      </c>
      <c r="G115" t="s">
        <v>599</v>
      </c>
      <c r="H115" t="s">
        <v>600</v>
      </c>
      <c r="I115" t="s">
        <v>601</v>
      </c>
      <c r="J115">
        <v>0.26779999999999998</v>
      </c>
      <c r="K115">
        <v>0.26729999999999998</v>
      </c>
      <c r="L115">
        <v>0.26490000000000002</v>
      </c>
      <c r="M115">
        <v>0.26540000000000002</v>
      </c>
      <c r="N115">
        <v>0.2681</v>
      </c>
      <c r="O115">
        <v>0.2611</v>
      </c>
      <c r="P115">
        <v>0.25940000000000002</v>
      </c>
      <c r="Q115">
        <v>0.25790000000000002</v>
      </c>
      <c r="R115">
        <v>0.25540000000000002</v>
      </c>
      <c r="S115">
        <v>0.25380000000000003</v>
      </c>
      <c r="T115">
        <v>0.253</v>
      </c>
      <c r="U115">
        <v>0.25230000000000002</v>
      </c>
      <c r="V115">
        <v>0.25219999999999998</v>
      </c>
      <c r="W115">
        <v>0.25259999999999999</v>
      </c>
      <c r="X115">
        <v>0.25219999999999998</v>
      </c>
      <c r="Y115">
        <v>0.25330000000000003</v>
      </c>
    </row>
    <row r="116" spans="1:25" hidden="1">
      <c r="A116" t="s">
        <v>270</v>
      </c>
      <c r="B116" t="s">
        <v>762</v>
      </c>
      <c r="C116" t="s">
        <v>729</v>
      </c>
      <c r="D116" t="s">
        <v>621</v>
      </c>
      <c r="E116" t="s">
        <v>642</v>
      </c>
      <c r="F116" t="s">
        <v>598</v>
      </c>
      <c r="G116" t="s">
        <v>599</v>
      </c>
      <c r="H116" t="s">
        <v>600</v>
      </c>
      <c r="I116" t="s">
        <v>601</v>
      </c>
      <c r="J116">
        <v>2.0000000000000001E-4</v>
      </c>
      <c r="K116">
        <v>2.0000000000000001E-4</v>
      </c>
      <c r="L116">
        <v>2.0000000000000001E-4</v>
      </c>
      <c r="M116">
        <v>2.0000000000000001E-4</v>
      </c>
      <c r="N116">
        <v>2.0000000000000001E-4</v>
      </c>
      <c r="O116">
        <v>2.0000000000000001E-4</v>
      </c>
      <c r="P116">
        <v>2.0000000000000001E-4</v>
      </c>
      <c r="Q116">
        <v>2.0000000000000001E-4</v>
      </c>
      <c r="R116">
        <v>2.0000000000000001E-4</v>
      </c>
      <c r="S116">
        <v>2.0000000000000001E-4</v>
      </c>
      <c r="T116">
        <v>2.0000000000000001E-4</v>
      </c>
      <c r="U116">
        <v>2.0000000000000001E-4</v>
      </c>
      <c r="V116">
        <v>2.0000000000000001E-4</v>
      </c>
      <c r="W116">
        <v>2.0000000000000001E-4</v>
      </c>
      <c r="X116">
        <v>2.0000000000000001E-4</v>
      </c>
      <c r="Y116">
        <v>2.0000000000000001E-4</v>
      </c>
    </row>
    <row r="117" spans="1:25" hidden="1">
      <c r="A117" t="s">
        <v>270</v>
      </c>
      <c r="B117" t="s">
        <v>763</v>
      </c>
      <c r="C117" t="s">
        <v>729</v>
      </c>
      <c r="D117" t="s">
        <v>621</v>
      </c>
      <c r="E117" t="s">
        <v>731</v>
      </c>
      <c r="F117" t="s">
        <v>598</v>
      </c>
      <c r="G117" t="s">
        <v>599</v>
      </c>
      <c r="H117" t="s">
        <v>600</v>
      </c>
      <c r="I117" t="s">
        <v>601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270</v>
      </c>
      <c r="B118" t="s">
        <v>764</v>
      </c>
      <c r="C118" t="s">
        <v>729</v>
      </c>
      <c r="D118" t="s">
        <v>621</v>
      </c>
      <c r="E118" t="s">
        <v>603</v>
      </c>
      <c r="F118" t="s">
        <v>598</v>
      </c>
      <c r="G118" t="s">
        <v>599</v>
      </c>
      <c r="H118" t="s">
        <v>600</v>
      </c>
      <c r="I118" t="s">
        <v>601</v>
      </c>
      <c r="J118">
        <v>1.4E-3</v>
      </c>
      <c r="K118">
        <v>1.4E-3</v>
      </c>
      <c r="L118">
        <v>1.5E-3</v>
      </c>
      <c r="M118">
        <v>1.5E-3</v>
      </c>
      <c r="N118">
        <v>1.5E-3</v>
      </c>
      <c r="O118">
        <v>1.5E-3</v>
      </c>
      <c r="P118">
        <v>1.6000000000000001E-3</v>
      </c>
      <c r="Q118">
        <v>1.6000000000000001E-3</v>
      </c>
      <c r="R118">
        <v>1.6000000000000001E-3</v>
      </c>
      <c r="S118">
        <v>1.6999999999999999E-3</v>
      </c>
      <c r="T118">
        <v>1.6999999999999999E-3</v>
      </c>
      <c r="U118">
        <v>1.6999999999999999E-3</v>
      </c>
      <c r="V118">
        <v>1.8E-3</v>
      </c>
      <c r="W118">
        <v>1.8E-3</v>
      </c>
      <c r="X118">
        <v>1.8E-3</v>
      </c>
      <c r="Y118">
        <v>1.8E-3</v>
      </c>
    </row>
    <row r="119" spans="1:25" hidden="1">
      <c r="A119" t="s">
        <v>270</v>
      </c>
      <c r="B119" t="s">
        <v>765</v>
      </c>
      <c r="C119" t="s">
        <v>729</v>
      </c>
      <c r="D119" t="s">
        <v>621</v>
      </c>
      <c r="E119" t="s">
        <v>605</v>
      </c>
      <c r="F119" t="s">
        <v>598</v>
      </c>
      <c r="G119" t="s">
        <v>599</v>
      </c>
      <c r="H119" t="s">
        <v>600</v>
      </c>
      <c r="I119" t="s">
        <v>601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270</v>
      </c>
      <c r="B120" t="s">
        <v>766</v>
      </c>
      <c r="C120" t="s">
        <v>729</v>
      </c>
      <c r="D120" t="s">
        <v>621</v>
      </c>
      <c r="E120" t="s">
        <v>624</v>
      </c>
      <c r="F120" t="s">
        <v>598</v>
      </c>
      <c r="G120" t="s">
        <v>599</v>
      </c>
      <c r="H120" t="s">
        <v>600</v>
      </c>
      <c r="I120" t="s">
        <v>601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270</v>
      </c>
      <c r="B121" t="s">
        <v>767</v>
      </c>
      <c r="C121" t="s">
        <v>729</v>
      </c>
      <c r="D121" t="s">
        <v>621</v>
      </c>
      <c r="E121" t="s">
        <v>768</v>
      </c>
      <c r="F121" t="s">
        <v>598</v>
      </c>
      <c r="G121" t="s">
        <v>599</v>
      </c>
      <c r="H121" t="s">
        <v>600</v>
      </c>
      <c r="I121" t="s">
        <v>601</v>
      </c>
      <c r="J121">
        <v>2.8E-3</v>
      </c>
      <c r="K121">
        <v>2.8E-3</v>
      </c>
      <c r="L121">
        <v>2.8E-3</v>
      </c>
      <c r="M121">
        <v>2.8E-3</v>
      </c>
      <c r="N121">
        <v>2.8E-3</v>
      </c>
      <c r="O121">
        <v>2.8E-3</v>
      </c>
      <c r="P121">
        <v>2.8E-3</v>
      </c>
      <c r="Q121">
        <v>2.8E-3</v>
      </c>
      <c r="R121">
        <v>2.8E-3</v>
      </c>
      <c r="S121">
        <v>2.8E-3</v>
      </c>
      <c r="T121">
        <v>2.8E-3</v>
      </c>
      <c r="U121">
        <v>2.8E-3</v>
      </c>
      <c r="V121">
        <v>2.8E-3</v>
      </c>
      <c r="W121">
        <v>2.8E-3</v>
      </c>
      <c r="X121">
        <v>2.8E-3</v>
      </c>
      <c r="Y121">
        <v>2.8E-3</v>
      </c>
    </row>
    <row r="122" spans="1:25" hidden="1">
      <c r="A122" t="s">
        <v>270</v>
      </c>
      <c r="B122" t="s">
        <v>769</v>
      </c>
      <c r="C122" t="s">
        <v>729</v>
      </c>
      <c r="D122" t="s">
        <v>621</v>
      </c>
      <c r="E122" t="s">
        <v>626</v>
      </c>
      <c r="F122" t="s">
        <v>598</v>
      </c>
      <c r="G122" t="s">
        <v>599</v>
      </c>
      <c r="H122" t="s">
        <v>600</v>
      </c>
      <c r="I122" t="s">
        <v>601</v>
      </c>
      <c r="J122">
        <v>1.21E-2</v>
      </c>
      <c r="K122">
        <v>1.2200000000000001E-2</v>
      </c>
      <c r="L122">
        <v>1.23E-2</v>
      </c>
      <c r="M122">
        <v>1.23E-2</v>
      </c>
      <c r="N122">
        <v>1.2500000000000001E-2</v>
      </c>
      <c r="O122">
        <v>1.26E-2</v>
      </c>
      <c r="P122">
        <v>1.29E-2</v>
      </c>
      <c r="Q122">
        <v>1.2999999999999999E-2</v>
      </c>
      <c r="R122">
        <v>1.32E-2</v>
      </c>
      <c r="S122">
        <v>1.3299999999999999E-2</v>
      </c>
      <c r="T122">
        <v>1.34E-2</v>
      </c>
      <c r="U122">
        <v>1.34E-2</v>
      </c>
      <c r="V122">
        <v>1.35E-2</v>
      </c>
      <c r="W122">
        <v>1.3599999999999999E-2</v>
      </c>
      <c r="X122">
        <v>1.38E-2</v>
      </c>
      <c r="Y122">
        <v>1.4E-2</v>
      </c>
    </row>
    <row r="123" spans="1:25" hidden="1">
      <c r="A123" t="s">
        <v>270</v>
      </c>
      <c r="B123" t="s">
        <v>770</v>
      </c>
      <c r="C123" t="s">
        <v>729</v>
      </c>
      <c r="D123" t="s">
        <v>621</v>
      </c>
      <c r="E123" t="s">
        <v>628</v>
      </c>
      <c r="F123" t="s">
        <v>598</v>
      </c>
      <c r="G123" t="s">
        <v>599</v>
      </c>
      <c r="H123" t="s">
        <v>600</v>
      </c>
      <c r="I123" t="s">
        <v>601</v>
      </c>
      <c r="J123">
        <v>0.24859999999999999</v>
      </c>
      <c r="K123">
        <v>0.24979999999999999</v>
      </c>
      <c r="L123">
        <v>0.25209999999999999</v>
      </c>
      <c r="M123">
        <v>0.2535</v>
      </c>
      <c r="N123">
        <v>0.25640000000000002</v>
      </c>
      <c r="O123">
        <v>0.25850000000000001</v>
      </c>
      <c r="P123">
        <v>0.2626</v>
      </c>
      <c r="Q123">
        <v>0.26690000000000003</v>
      </c>
      <c r="R123">
        <v>0.26879999999999998</v>
      </c>
      <c r="S123">
        <v>0.27050000000000002</v>
      </c>
      <c r="T123">
        <v>0.27210000000000001</v>
      </c>
      <c r="U123">
        <v>0.27410000000000001</v>
      </c>
      <c r="V123">
        <v>0.27600000000000002</v>
      </c>
      <c r="W123">
        <v>0.27800000000000002</v>
      </c>
      <c r="X123">
        <v>0.28000000000000003</v>
      </c>
      <c r="Y123">
        <v>0.28189999999999998</v>
      </c>
    </row>
    <row r="124" spans="1:25" hidden="1">
      <c r="A124" t="s">
        <v>270</v>
      </c>
      <c r="B124" t="s">
        <v>771</v>
      </c>
      <c r="C124" t="s">
        <v>729</v>
      </c>
      <c r="D124" t="s">
        <v>621</v>
      </c>
      <c r="E124" t="s">
        <v>692</v>
      </c>
      <c r="F124" t="s">
        <v>598</v>
      </c>
      <c r="G124" t="s">
        <v>599</v>
      </c>
      <c r="H124" t="s">
        <v>600</v>
      </c>
      <c r="I124" t="s">
        <v>601</v>
      </c>
      <c r="J124">
        <v>6.1999999999999998E-3</v>
      </c>
      <c r="K124">
        <v>6.1999999999999998E-3</v>
      </c>
      <c r="L124">
        <v>6.1000000000000004E-3</v>
      </c>
      <c r="M124">
        <v>6.1000000000000004E-3</v>
      </c>
      <c r="N124">
        <v>6.1000000000000004E-3</v>
      </c>
      <c r="O124">
        <v>6.0000000000000001E-3</v>
      </c>
      <c r="P124">
        <v>6.0000000000000001E-3</v>
      </c>
      <c r="Q124">
        <v>6.0000000000000001E-3</v>
      </c>
      <c r="R124">
        <v>6.1999999999999998E-3</v>
      </c>
      <c r="S124">
        <v>6.1999999999999998E-3</v>
      </c>
      <c r="T124">
        <v>6.1999999999999998E-3</v>
      </c>
      <c r="U124">
        <v>6.3E-3</v>
      </c>
      <c r="V124">
        <v>6.3E-3</v>
      </c>
      <c r="W124">
        <v>6.4000000000000003E-3</v>
      </c>
      <c r="X124">
        <v>6.4000000000000003E-3</v>
      </c>
      <c r="Y124">
        <v>6.4000000000000003E-3</v>
      </c>
    </row>
    <row r="125" spans="1:25" hidden="1">
      <c r="A125" t="s">
        <v>270</v>
      </c>
      <c r="B125" t="s">
        <v>772</v>
      </c>
      <c r="C125" t="s">
        <v>729</v>
      </c>
      <c r="D125" t="s">
        <v>621</v>
      </c>
      <c r="E125" t="s">
        <v>773</v>
      </c>
      <c r="F125" t="s">
        <v>598</v>
      </c>
      <c r="G125" t="s">
        <v>599</v>
      </c>
      <c r="H125" t="s">
        <v>600</v>
      </c>
      <c r="I125" t="s">
        <v>601</v>
      </c>
      <c r="J125">
        <v>5.0000000000000001E-4</v>
      </c>
      <c r="K125">
        <v>5.9999999999999995E-4</v>
      </c>
      <c r="L125">
        <v>5.9999999999999995E-4</v>
      </c>
      <c r="M125">
        <v>5.9999999999999995E-4</v>
      </c>
      <c r="N125">
        <v>5.9999999999999995E-4</v>
      </c>
      <c r="O125">
        <v>5.9999999999999995E-4</v>
      </c>
      <c r="P125">
        <v>6.9999999999999999E-4</v>
      </c>
      <c r="Q125">
        <v>6.9999999999999999E-4</v>
      </c>
      <c r="R125">
        <v>6.9999999999999999E-4</v>
      </c>
      <c r="S125">
        <v>6.9999999999999999E-4</v>
      </c>
      <c r="T125">
        <v>6.9999999999999999E-4</v>
      </c>
      <c r="U125">
        <v>6.9999999999999999E-4</v>
      </c>
      <c r="V125">
        <v>6.9999999999999999E-4</v>
      </c>
      <c r="W125">
        <v>6.9999999999999999E-4</v>
      </c>
      <c r="X125">
        <v>6.9999999999999999E-4</v>
      </c>
      <c r="Y125">
        <v>6.9999999999999999E-4</v>
      </c>
    </row>
    <row r="126" spans="1:25" hidden="1">
      <c r="A126" t="s">
        <v>270</v>
      </c>
      <c r="B126" t="s">
        <v>774</v>
      </c>
      <c r="C126" t="s">
        <v>729</v>
      </c>
      <c r="D126" t="s">
        <v>621</v>
      </c>
      <c r="E126" t="s">
        <v>638</v>
      </c>
      <c r="F126" t="s">
        <v>598</v>
      </c>
      <c r="G126" t="s">
        <v>599</v>
      </c>
      <c r="H126" t="s">
        <v>600</v>
      </c>
      <c r="I126" t="s">
        <v>601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hidden="1">
      <c r="A127" t="s">
        <v>270</v>
      </c>
      <c r="B127" t="s">
        <v>775</v>
      </c>
      <c r="C127" t="s">
        <v>729</v>
      </c>
      <c r="D127" t="s">
        <v>621</v>
      </c>
      <c r="E127" t="s">
        <v>630</v>
      </c>
      <c r="F127" t="s">
        <v>598</v>
      </c>
      <c r="G127" t="s">
        <v>599</v>
      </c>
      <c r="H127" t="s">
        <v>600</v>
      </c>
      <c r="I127" t="s">
        <v>601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1:25" hidden="1">
      <c r="A128" t="s">
        <v>270</v>
      </c>
      <c r="B128" t="s">
        <v>776</v>
      </c>
      <c r="C128" t="s">
        <v>729</v>
      </c>
      <c r="D128" t="s">
        <v>632</v>
      </c>
      <c r="E128" t="s">
        <v>597</v>
      </c>
      <c r="F128" t="s">
        <v>598</v>
      </c>
      <c r="G128" t="s">
        <v>599</v>
      </c>
      <c r="H128" t="s">
        <v>600</v>
      </c>
      <c r="I128" t="s">
        <v>601</v>
      </c>
      <c r="J128">
        <v>6.7900000000000002E-2</v>
      </c>
      <c r="K128">
        <v>6.8400000000000002E-2</v>
      </c>
      <c r="L128">
        <v>6.8900000000000003E-2</v>
      </c>
      <c r="M128">
        <v>6.93E-2</v>
      </c>
      <c r="N128">
        <v>7.0000000000000007E-2</v>
      </c>
      <c r="O128">
        <v>7.0499999999999993E-2</v>
      </c>
      <c r="P128">
        <v>7.1199999999999999E-2</v>
      </c>
      <c r="Q128">
        <v>7.1800000000000003E-2</v>
      </c>
      <c r="R128">
        <v>7.1999999999999995E-2</v>
      </c>
      <c r="S128">
        <v>7.22E-2</v>
      </c>
      <c r="T128">
        <v>7.2400000000000006E-2</v>
      </c>
      <c r="U128">
        <v>7.2599999999999998E-2</v>
      </c>
      <c r="V128">
        <v>7.2900000000000006E-2</v>
      </c>
      <c r="W128">
        <v>7.2999999999999995E-2</v>
      </c>
      <c r="X128">
        <v>7.3200000000000001E-2</v>
      </c>
      <c r="Y128">
        <v>7.3300000000000004E-2</v>
      </c>
    </row>
    <row r="129" spans="1:25" hidden="1">
      <c r="A129" t="s">
        <v>270</v>
      </c>
      <c r="B129" t="s">
        <v>777</v>
      </c>
      <c r="C129" t="s">
        <v>729</v>
      </c>
      <c r="D129" t="s">
        <v>632</v>
      </c>
      <c r="E129" t="s">
        <v>626</v>
      </c>
      <c r="F129" t="s">
        <v>598</v>
      </c>
      <c r="G129" t="s">
        <v>599</v>
      </c>
      <c r="H129" t="s">
        <v>600</v>
      </c>
      <c r="I129" t="s">
        <v>601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hidden="1">
      <c r="A130" t="s">
        <v>270</v>
      </c>
      <c r="B130" t="s">
        <v>778</v>
      </c>
      <c r="C130" t="s">
        <v>729</v>
      </c>
      <c r="D130" t="s">
        <v>632</v>
      </c>
      <c r="E130" t="s">
        <v>628</v>
      </c>
      <c r="F130" t="s">
        <v>598</v>
      </c>
      <c r="G130" t="s">
        <v>599</v>
      </c>
      <c r="H130" t="s">
        <v>600</v>
      </c>
      <c r="I130" t="s">
        <v>601</v>
      </c>
      <c r="J130">
        <v>1.46E-2</v>
      </c>
      <c r="K130">
        <v>1.46E-2</v>
      </c>
      <c r="L130">
        <v>1.46E-2</v>
      </c>
      <c r="M130">
        <v>1.46E-2</v>
      </c>
      <c r="N130">
        <v>1.46E-2</v>
      </c>
      <c r="O130">
        <v>1.46E-2</v>
      </c>
      <c r="P130">
        <v>1.46E-2</v>
      </c>
      <c r="Q130">
        <v>1.46E-2</v>
      </c>
      <c r="R130">
        <v>1.46E-2</v>
      </c>
      <c r="S130">
        <v>1.46E-2</v>
      </c>
      <c r="T130">
        <v>1.46E-2</v>
      </c>
      <c r="U130">
        <v>1.46E-2</v>
      </c>
      <c r="V130">
        <v>1.46E-2</v>
      </c>
      <c r="W130">
        <v>1.46E-2</v>
      </c>
      <c r="X130">
        <v>1.46E-2</v>
      </c>
      <c r="Y130">
        <v>1.46E-2</v>
      </c>
    </row>
    <row r="131" spans="1:25" hidden="1">
      <c r="A131" t="s">
        <v>270</v>
      </c>
      <c r="B131" t="s">
        <v>779</v>
      </c>
      <c r="C131" t="s">
        <v>729</v>
      </c>
      <c r="D131" t="s">
        <v>632</v>
      </c>
      <c r="E131" t="s">
        <v>773</v>
      </c>
      <c r="F131" t="s">
        <v>598</v>
      </c>
      <c r="G131" t="s">
        <v>599</v>
      </c>
      <c r="H131" t="s">
        <v>600</v>
      </c>
      <c r="I131" t="s">
        <v>601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hidden="1">
      <c r="A132" t="s">
        <v>270</v>
      </c>
      <c r="B132" t="s">
        <v>780</v>
      </c>
      <c r="C132" t="s">
        <v>729</v>
      </c>
      <c r="D132" t="s">
        <v>632</v>
      </c>
      <c r="E132" t="s">
        <v>781</v>
      </c>
      <c r="F132" t="s">
        <v>598</v>
      </c>
      <c r="G132" t="s">
        <v>599</v>
      </c>
      <c r="H132" t="s">
        <v>600</v>
      </c>
      <c r="I132" t="s">
        <v>601</v>
      </c>
      <c r="J132">
        <v>2E-3</v>
      </c>
      <c r="K132">
        <v>2E-3</v>
      </c>
      <c r="L132">
        <v>2.0999999999999999E-3</v>
      </c>
      <c r="M132">
        <v>2.2000000000000001E-3</v>
      </c>
      <c r="N132">
        <v>2.3E-3</v>
      </c>
      <c r="O132">
        <v>2.3999999999999998E-3</v>
      </c>
      <c r="P132">
        <v>2.5999999999999999E-3</v>
      </c>
      <c r="Q132">
        <v>2.7000000000000001E-3</v>
      </c>
      <c r="R132">
        <v>2.8E-3</v>
      </c>
      <c r="S132">
        <v>2.8999999999999998E-3</v>
      </c>
      <c r="T132">
        <v>2.8999999999999998E-3</v>
      </c>
      <c r="U132">
        <v>3.0000000000000001E-3</v>
      </c>
      <c r="V132">
        <v>3.0999999999999999E-3</v>
      </c>
      <c r="W132">
        <v>3.2000000000000002E-3</v>
      </c>
      <c r="X132">
        <v>3.3E-3</v>
      </c>
      <c r="Y132">
        <v>3.3999999999999998E-3</v>
      </c>
    </row>
    <row r="133" spans="1:25" hidden="1">
      <c r="A133" t="s">
        <v>270</v>
      </c>
      <c r="B133" t="s">
        <v>782</v>
      </c>
      <c r="C133" t="s">
        <v>729</v>
      </c>
      <c r="D133" t="s">
        <v>632</v>
      </c>
      <c r="E133" t="s">
        <v>638</v>
      </c>
      <c r="F133" t="s">
        <v>598</v>
      </c>
      <c r="G133" t="s">
        <v>599</v>
      </c>
      <c r="H133" t="s">
        <v>600</v>
      </c>
      <c r="I133" t="s">
        <v>601</v>
      </c>
      <c r="J133">
        <v>1E-4</v>
      </c>
      <c r="K133">
        <v>1E-4</v>
      </c>
      <c r="L133">
        <v>1E-4</v>
      </c>
      <c r="M133">
        <v>1E-4</v>
      </c>
      <c r="N133">
        <v>1E-4</v>
      </c>
      <c r="O133">
        <v>1E-4</v>
      </c>
      <c r="P133">
        <v>1E-4</v>
      </c>
      <c r="Q133">
        <v>1E-4</v>
      </c>
      <c r="R133">
        <v>1E-4</v>
      </c>
      <c r="S133">
        <v>1E-4</v>
      </c>
      <c r="T133">
        <v>1E-4</v>
      </c>
      <c r="U133">
        <v>1E-4</v>
      </c>
      <c r="V133">
        <v>1E-4</v>
      </c>
      <c r="W133">
        <v>1E-4</v>
      </c>
      <c r="X133">
        <v>1E-4</v>
      </c>
      <c r="Y133">
        <v>1E-4</v>
      </c>
    </row>
    <row r="134" spans="1:25" hidden="1">
      <c r="A134" t="s">
        <v>270</v>
      </c>
      <c r="B134" t="s">
        <v>783</v>
      </c>
      <c r="C134" t="s">
        <v>729</v>
      </c>
      <c r="D134" t="s">
        <v>632</v>
      </c>
      <c r="E134" t="s">
        <v>784</v>
      </c>
      <c r="F134" t="s">
        <v>598</v>
      </c>
      <c r="G134" t="s">
        <v>599</v>
      </c>
      <c r="H134" t="s">
        <v>600</v>
      </c>
      <c r="I134" t="s">
        <v>601</v>
      </c>
      <c r="J134">
        <v>4.0000000000000002E-4</v>
      </c>
      <c r="K134">
        <v>4.0000000000000002E-4</v>
      </c>
      <c r="L134">
        <v>4.0000000000000002E-4</v>
      </c>
      <c r="M134">
        <v>5.0000000000000001E-4</v>
      </c>
      <c r="N134">
        <v>5.0000000000000001E-4</v>
      </c>
      <c r="O134">
        <v>5.0000000000000001E-4</v>
      </c>
      <c r="P134">
        <v>5.0000000000000001E-4</v>
      </c>
      <c r="Q134">
        <v>5.0000000000000001E-4</v>
      </c>
      <c r="R134">
        <v>5.9999999999999995E-4</v>
      </c>
      <c r="S134">
        <v>5.9999999999999995E-4</v>
      </c>
      <c r="T134">
        <v>5.9999999999999995E-4</v>
      </c>
      <c r="U134">
        <v>5.9999999999999995E-4</v>
      </c>
      <c r="V134">
        <v>5.9999999999999995E-4</v>
      </c>
      <c r="W134">
        <v>5.9999999999999995E-4</v>
      </c>
      <c r="X134">
        <v>6.9999999999999999E-4</v>
      </c>
      <c r="Y134">
        <v>6.9999999999999999E-4</v>
      </c>
    </row>
    <row r="135" spans="1:25" hidden="1">
      <c r="A135" t="s">
        <v>270</v>
      </c>
      <c r="B135" t="s">
        <v>785</v>
      </c>
      <c r="C135" t="s">
        <v>729</v>
      </c>
      <c r="D135" t="s">
        <v>640</v>
      </c>
      <c r="E135" t="s">
        <v>597</v>
      </c>
      <c r="F135" t="s">
        <v>598</v>
      </c>
      <c r="G135" t="s">
        <v>599</v>
      </c>
      <c r="H135" t="s">
        <v>600</v>
      </c>
      <c r="I135" t="s">
        <v>601</v>
      </c>
      <c r="J135">
        <v>0.13020000000000001</v>
      </c>
      <c r="K135">
        <v>0.13120000000000001</v>
      </c>
      <c r="L135">
        <v>0.13159999999999999</v>
      </c>
      <c r="M135">
        <v>0.13320000000000001</v>
      </c>
      <c r="N135">
        <v>0.14030000000000001</v>
      </c>
      <c r="O135">
        <v>0.1419</v>
      </c>
      <c r="P135">
        <v>0.14349999999999999</v>
      </c>
      <c r="Q135">
        <v>0.14499999999999999</v>
      </c>
      <c r="R135">
        <v>0.1457</v>
      </c>
      <c r="S135">
        <v>0.1462</v>
      </c>
      <c r="T135">
        <v>0.1479</v>
      </c>
      <c r="U135">
        <v>0.14960000000000001</v>
      </c>
      <c r="V135">
        <v>0.1515</v>
      </c>
      <c r="W135">
        <v>0.15409999999999999</v>
      </c>
      <c r="X135">
        <v>0.15540000000000001</v>
      </c>
      <c r="Y135">
        <v>0.15740000000000001</v>
      </c>
    </row>
    <row r="136" spans="1:25" hidden="1">
      <c r="A136" t="s">
        <v>270</v>
      </c>
      <c r="B136" t="s">
        <v>786</v>
      </c>
      <c r="C136" t="s">
        <v>729</v>
      </c>
      <c r="D136" t="s">
        <v>640</v>
      </c>
      <c r="E136" t="s">
        <v>642</v>
      </c>
      <c r="F136" t="s">
        <v>598</v>
      </c>
      <c r="G136" t="s">
        <v>599</v>
      </c>
      <c r="H136" t="s">
        <v>600</v>
      </c>
      <c r="I136" t="s">
        <v>601</v>
      </c>
      <c r="J136">
        <v>4.0000000000000002E-4</v>
      </c>
      <c r="K136">
        <v>4.0000000000000002E-4</v>
      </c>
      <c r="L136">
        <v>4.0000000000000002E-4</v>
      </c>
      <c r="M136">
        <v>4.0000000000000002E-4</v>
      </c>
      <c r="N136">
        <v>4.0000000000000002E-4</v>
      </c>
      <c r="O136">
        <v>4.0000000000000002E-4</v>
      </c>
      <c r="P136">
        <v>4.0000000000000002E-4</v>
      </c>
      <c r="Q136">
        <v>4.0000000000000002E-4</v>
      </c>
      <c r="R136">
        <v>4.0000000000000002E-4</v>
      </c>
      <c r="S136">
        <v>4.0000000000000002E-4</v>
      </c>
      <c r="T136">
        <v>4.0000000000000002E-4</v>
      </c>
      <c r="U136">
        <v>4.0000000000000002E-4</v>
      </c>
      <c r="V136">
        <v>4.0000000000000002E-4</v>
      </c>
      <c r="W136">
        <v>4.0000000000000002E-4</v>
      </c>
      <c r="X136">
        <v>4.0000000000000002E-4</v>
      </c>
      <c r="Y136">
        <v>4.0000000000000002E-4</v>
      </c>
    </row>
    <row r="137" spans="1:25" hidden="1">
      <c r="A137" t="s">
        <v>270</v>
      </c>
      <c r="B137" t="s">
        <v>787</v>
      </c>
      <c r="C137" t="s">
        <v>729</v>
      </c>
      <c r="D137" t="s">
        <v>640</v>
      </c>
      <c r="E137" t="s">
        <v>605</v>
      </c>
      <c r="F137" t="s">
        <v>598</v>
      </c>
      <c r="G137" t="s">
        <v>599</v>
      </c>
      <c r="H137" t="s">
        <v>600</v>
      </c>
      <c r="I137" t="s">
        <v>601</v>
      </c>
      <c r="J137">
        <v>2.9999999999999997E-4</v>
      </c>
      <c r="K137">
        <v>2.9999999999999997E-4</v>
      </c>
      <c r="L137">
        <v>2.9999999999999997E-4</v>
      </c>
      <c r="M137">
        <v>2.9999999999999997E-4</v>
      </c>
      <c r="N137">
        <v>2.9999999999999997E-4</v>
      </c>
      <c r="O137">
        <v>2.9999999999999997E-4</v>
      </c>
      <c r="P137">
        <v>2.9999999999999997E-4</v>
      </c>
      <c r="Q137">
        <v>2.9999999999999997E-4</v>
      </c>
      <c r="R137">
        <v>2.9999999999999997E-4</v>
      </c>
      <c r="S137">
        <v>2.9999999999999997E-4</v>
      </c>
      <c r="T137">
        <v>2.9999999999999997E-4</v>
      </c>
      <c r="U137">
        <v>4.0000000000000002E-4</v>
      </c>
      <c r="V137">
        <v>4.0000000000000002E-4</v>
      </c>
      <c r="W137">
        <v>4.0000000000000002E-4</v>
      </c>
      <c r="X137">
        <v>4.0000000000000002E-4</v>
      </c>
      <c r="Y137">
        <v>4.0000000000000002E-4</v>
      </c>
    </row>
    <row r="138" spans="1:25" hidden="1">
      <c r="A138" t="s">
        <v>270</v>
      </c>
      <c r="B138" t="s">
        <v>788</v>
      </c>
      <c r="C138" t="s">
        <v>729</v>
      </c>
      <c r="D138" t="s">
        <v>640</v>
      </c>
      <c r="E138" t="s">
        <v>611</v>
      </c>
      <c r="F138" t="s">
        <v>598</v>
      </c>
      <c r="G138" t="s">
        <v>599</v>
      </c>
      <c r="H138" t="s">
        <v>600</v>
      </c>
      <c r="I138" t="s">
        <v>601</v>
      </c>
      <c r="J138">
        <v>8.9999999999999998E-4</v>
      </c>
      <c r="K138">
        <v>1E-3</v>
      </c>
      <c r="L138">
        <v>1E-3</v>
      </c>
      <c r="M138">
        <v>1E-3</v>
      </c>
      <c r="N138">
        <v>1E-3</v>
      </c>
      <c r="O138">
        <v>1E-3</v>
      </c>
      <c r="P138">
        <v>1E-3</v>
      </c>
      <c r="Q138">
        <v>1E-3</v>
      </c>
      <c r="R138">
        <v>1.1999999999999999E-3</v>
      </c>
      <c r="S138">
        <v>1.1999999999999999E-3</v>
      </c>
      <c r="T138">
        <v>1.1999999999999999E-3</v>
      </c>
      <c r="U138">
        <v>1.1999999999999999E-3</v>
      </c>
      <c r="V138">
        <v>1.1999999999999999E-3</v>
      </c>
      <c r="W138">
        <v>1.1999999999999999E-3</v>
      </c>
      <c r="X138">
        <v>1.1999999999999999E-3</v>
      </c>
      <c r="Y138">
        <v>1.2999999999999999E-3</v>
      </c>
    </row>
    <row r="139" spans="1:25" hidden="1">
      <c r="A139" t="s">
        <v>270</v>
      </c>
      <c r="B139" t="s">
        <v>789</v>
      </c>
      <c r="C139" t="s">
        <v>729</v>
      </c>
      <c r="D139" t="s">
        <v>640</v>
      </c>
      <c r="E139" t="s">
        <v>656</v>
      </c>
      <c r="F139" t="s">
        <v>598</v>
      </c>
      <c r="G139" t="s">
        <v>599</v>
      </c>
      <c r="H139" t="s">
        <v>600</v>
      </c>
      <c r="I139" t="s">
        <v>601</v>
      </c>
      <c r="J139">
        <v>5.1999999999999998E-3</v>
      </c>
      <c r="K139">
        <v>5.1999999999999998E-3</v>
      </c>
      <c r="L139">
        <v>5.3E-3</v>
      </c>
      <c r="M139">
        <v>5.3E-3</v>
      </c>
      <c r="N139">
        <v>5.4000000000000003E-3</v>
      </c>
      <c r="O139">
        <v>5.4999999999999997E-3</v>
      </c>
      <c r="P139">
        <v>5.4999999999999997E-3</v>
      </c>
      <c r="Q139">
        <v>5.5999999999999999E-3</v>
      </c>
      <c r="R139">
        <v>5.5999999999999999E-3</v>
      </c>
      <c r="S139">
        <v>5.7000000000000002E-3</v>
      </c>
      <c r="T139">
        <v>5.7999999999999996E-3</v>
      </c>
      <c r="U139">
        <v>5.7999999999999996E-3</v>
      </c>
      <c r="V139">
        <v>5.8999999999999999E-3</v>
      </c>
      <c r="W139">
        <v>6.0000000000000001E-3</v>
      </c>
      <c r="X139">
        <v>6.0000000000000001E-3</v>
      </c>
      <c r="Y139">
        <v>6.1000000000000004E-3</v>
      </c>
    </row>
    <row r="140" spans="1:25" hidden="1">
      <c r="A140" t="s">
        <v>270</v>
      </c>
      <c r="B140" t="s">
        <v>790</v>
      </c>
      <c r="C140" t="s">
        <v>729</v>
      </c>
      <c r="D140" t="s">
        <v>640</v>
      </c>
      <c r="E140" t="s">
        <v>613</v>
      </c>
      <c r="F140" t="s">
        <v>598</v>
      </c>
      <c r="G140" t="s">
        <v>599</v>
      </c>
      <c r="H140" t="s">
        <v>600</v>
      </c>
      <c r="I140" t="s">
        <v>601</v>
      </c>
      <c r="J140">
        <v>1.1000000000000001E-3</v>
      </c>
      <c r="K140">
        <v>1.1999999999999999E-3</v>
      </c>
      <c r="L140">
        <v>1.1999999999999999E-3</v>
      </c>
      <c r="M140">
        <v>1.1999999999999999E-3</v>
      </c>
      <c r="N140">
        <v>1.1999999999999999E-3</v>
      </c>
      <c r="O140">
        <v>1.1999999999999999E-3</v>
      </c>
      <c r="P140">
        <v>1.1999999999999999E-3</v>
      </c>
      <c r="Q140">
        <v>1.1999999999999999E-3</v>
      </c>
      <c r="R140">
        <v>1.1999999999999999E-3</v>
      </c>
      <c r="S140">
        <v>1.1999999999999999E-3</v>
      </c>
      <c r="T140">
        <v>1.1999999999999999E-3</v>
      </c>
      <c r="U140">
        <v>1.1999999999999999E-3</v>
      </c>
      <c r="V140">
        <v>1.1999999999999999E-3</v>
      </c>
      <c r="W140">
        <v>1.1999999999999999E-3</v>
      </c>
      <c r="X140">
        <v>1.1999999999999999E-3</v>
      </c>
      <c r="Y140">
        <v>1.1999999999999999E-3</v>
      </c>
    </row>
    <row r="141" spans="1:25" hidden="1">
      <c r="A141" t="s">
        <v>270</v>
      </c>
      <c r="B141" t="s">
        <v>791</v>
      </c>
      <c r="C141" t="s">
        <v>729</v>
      </c>
      <c r="D141" t="s">
        <v>640</v>
      </c>
      <c r="E141" t="s">
        <v>619</v>
      </c>
      <c r="F141" t="s">
        <v>598</v>
      </c>
      <c r="G141" t="s">
        <v>599</v>
      </c>
      <c r="H141" t="s">
        <v>600</v>
      </c>
      <c r="I141" t="s">
        <v>601</v>
      </c>
      <c r="J141">
        <v>2.0000000000000001E-4</v>
      </c>
      <c r="K141">
        <v>2.0000000000000001E-4</v>
      </c>
      <c r="L141">
        <v>2.0000000000000001E-4</v>
      </c>
      <c r="M141">
        <v>2.0000000000000001E-4</v>
      </c>
      <c r="N141">
        <v>2.0000000000000001E-4</v>
      </c>
      <c r="O141">
        <v>2.0000000000000001E-4</v>
      </c>
      <c r="P141">
        <v>2.0000000000000001E-4</v>
      </c>
      <c r="Q141">
        <v>2.0000000000000001E-4</v>
      </c>
      <c r="R141">
        <v>2.0000000000000001E-4</v>
      </c>
      <c r="S141">
        <v>2.0000000000000001E-4</v>
      </c>
      <c r="T141">
        <v>2.0000000000000001E-4</v>
      </c>
      <c r="U141">
        <v>2.0000000000000001E-4</v>
      </c>
      <c r="V141">
        <v>2.0000000000000001E-4</v>
      </c>
      <c r="W141">
        <v>2.0000000000000001E-4</v>
      </c>
      <c r="X141">
        <v>2.0000000000000001E-4</v>
      </c>
      <c r="Y141">
        <v>2.0000000000000001E-4</v>
      </c>
    </row>
    <row r="142" spans="1:25" hidden="1">
      <c r="A142" t="s">
        <v>270</v>
      </c>
      <c r="B142" t="s">
        <v>792</v>
      </c>
      <c r="C142" t="s">
        <v>729</v>
      </c>
      <c r="D142" t="s">
        <v>640</v>
      </c>
      <c r="E142" t="s">
        <v>750</v>
      </c>
      <c r="F142" t="s">
        <v>598</v>
      </c>
      <c r="G142" t="s">
        <v>599</v>
      </c>
      <c r="H142" t="s">
        <v>600</v>
      </c>
      <c r="I142" t="s">
        <v>601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hidden="1">
      <c r="A143" t="s">
        <v>270</v>
      </c>
      <c r="B143" t="s">
        <v>793</v>
      </c>
      <c r="C143" t="s">
        <v>729</v>
      </c>
      <c r="D143" t="s">
        <v>640</v>
      </c>
      <c r="E143" t="s">
        <v>676</v>
      </c>
      <c r="F143" t="s">
        <v>598</v>
      </c>
      <c r="G143" t="s">
        <v>599</v>
      </c>
      <c r="H143" t="s">
        <v>600</v>
      </c>
      <c r="I143" t="s">
        <v>601</v>
      </c>
      <c r="J143">
        <v>4.0000000000000002E-4</v>
      </c>
      <c r="K143">
        <v>4.0000000000000002E-4</v>
      </c>
      <c r="L143">
        <v>4.0000000000000002E-4</v>
      </c>
      <c r="M143">
        <v>4.0000000000000002E-4</v>
      </c>
      <c r="N143">
        <v>4.0000000000000002E-4</v>
      </c>
      <c r="O143">
        <v>2.9999999999999997E-4</v>
      </c>
      <c r="P143">
        <v>4.0000000000000002E-4</v>
      </c>
      <c r="Q143">
        <v>4.0000000000000002E-4</v>
      </c>
      <c r="R143">
        <v>4.0000000000000002E-4</v>
      </c>
      <c r="S143">
        <v>4.0000000000000002E-4</v>
      </c>
      <c r="T143">
        <v>4.0000000000000002E-4</v>
      </c>
      <c r="U143">
        <v>4.0000000000000002E-4</v>
      </c>
      <c r="V143">
        <v>4.0000000000000002E-4</v>
      </c>
      <c r="W143">
        <v>4.0000000000000002E-4</v>
      </c>
      <c r="X143">
        <v>4.0000000000000002E-4</v>
      </c>
      <c r="Y143">
        <v>4.0000000000000002E-4</v>
      </c>
    </row>
    <row r="144" spans="1:25" hidden="1">
      <c r="A144" t="s">
        <v>270</v>
      </c>
      <c r="B144" t="s">
        <v>794</v>
      </c>
      <c r="C144" t="s">
        <v>729</v>
      </c>
      <c r="D144" t="s">
        <v>648</v>
      </c>
      <c r="E144" t="s">
        <v>649</v>
      </c>
      <c r="F144" t="s">
        <v>598</v>
      </c>
      <c r="G144" t="s">
        <v>599</v>
      </c>
      <c r="H144" t="s">
        <v>600</v>
      </c>
      <c r="I144" t="s">
        <v>601</v>
      </c>
      <c r="J144">
        <v>6.4000000000000003E-3</v>
      </c>
      <c r="K144">
        <v>6.1999999999999998E-3</v>
      </c>
      <c r="L144">
        <v>6.1000000000000004E-3</v>
      </c>
      <c r="M144">
        <v>5.7999999999999996E-3</v>
      </c>
      <c r="N144">
        <v>5.7000000000000002E-3</v>
      </c>
      <c r="O144">
        <v>5.4999999999999997E-3</v>
      </c>
      <c r="P144">
        <v>5.5999999999999999E-3</v>
      </c>
      <c r="Q144">
        <v>5.5999999999999999E-3</v>
      </c>
      <c r="R144">
        <v>5.5999999999999999E-3</v>
      </c>
      <c r="S144">
        <v>5.7000000000000002E-3</v>
      </c>
      <c r="T144">
        <v>5.7000000000000002E-3</v>
      </c>
      <c r="U144">
        <v>5.7000000000000002E-3</v>
      </c>
      <c r="V144">
        <v>5.7000000000000002E-3</v>
      </c>
      <c r="W144">
        <v>5.7000000000000002E-3</v>
      </c>
      <c r="X144">
        <v>5.7000000000000002E-3</v>
      </c>
      <c r="Y144">
        <v>5.7999999999999996E-3</v>
      </c>
    </row>
    <row r="145" spans="1:25" hidden="1">
      <c r="A145" t="s">
        <v>270</v>
      </c>
      <c r="B145" t="s">
        <v>795</v>
      </c>
      <c r="C145" t="s">
        <v>729</v>
      </c>
      <c r="D145" t="s">
        <v>648</v>
      </c>
      <c r="E145" t="s">
        <v>597</v>
      </c>
      <c r="F145" t="s">
        <v>598</v>
      </c>
      <c r="G145" t="s">
        <v>599</v>
      </c>
      <c r="H145" t="s">
        <v>600</v>
      </c>
      <c r="I145" t="s">
        <v>601</v>
      </c>
      <c r="J145">
        <v>2.2906</v>
      </c>
      <c r="K145">
        <v>2.2688000000000001</v>
      </c>
      <c r="L145">
        <v>2.2545000000000002</v>
      </c>
      <c r="M145">
        <v>2.2639999999999998</v>
      </c>
      <c r="N145">
        <v>2.2576000000000001</v>
      </c>
      <c r="O145">
        <v>2.2404000000000002</v>
      </c>
      <c r="P145">
        <v>2.2410000000000001</v>
      </c>
      <c r="Q145">
        <v>2.2389999999999999</v>
      </c>
      <c r="R145">
        <v>2.2292000000000001</v>
      </c>
      <c r="S145">
        <v>2.2170999999999998</v>
      </c>
      <c r="T145">
        <v>2.2162999999999999</v>
      </c>
      <c r="U145">
        <v>2.2164999999999999</v>
      </c>
      <c r="V145">
        <v>2.2252000000000001</v>
      </c>
      <c r="W145">
        <v>2.2360000000000002</v>
      </c>
      <c r="X145">
        <v>2.2359</v>
      </c>
      <c r="Y145">
        <v>2.2492999999999999</v>
      </c>
    </row>
    <row r="146" spans="1:25" hidden="1">
      <c r="A146" t="s">
        <v>270</v>
      </c>
      <c r="B146" t="s">
        <v>796</v>
      </c>
      <c r="C146" t="s">
        <v>729</v>
      </c>
      <c r="D146" t="s">
        <v>648</v>
      </c>
      <c r="E146" t="s">
        <v>642</v>
      </c>
      <c r="F146" t="s">
        <v>598</v>
      </c>
      <c r="G146" t="s">
        <v>599</v>
      </c>
      <c r="H146" t="s">
        <v>600</v>
      </c>
      <c r="I146" t="s">
        <v>601</v>
      </c>
      <c r="J146">
        <v>7.7100000000000002E-2</v>
      </c>
      <c r="K146">
        <v>7.9699999999999993E-2</v>
      </c>
      <c r="L146">
        <v>8.2500000000000004E-2</v>
      </c>
      <c r="M146">
        <v>8.5599999999999996E-2</v>
      </c>
      <c r="N146">
        <v>8.8599999999999998E-2</v>
      </c>
      <c r="O146">
        <v>9.1800000000000007E-2</v>
      </c>
      <c r="P146">
        <v>9.4899999999999998E-2</v>
      </c>
      <c r="Q146">
        <v>9.7900000000000001E-2</v>
      </c>
      <c r="R146">
        <v>9.9400000000000002E-2</v>
      </c>
      <c r="S146">
        <v>0.1009</v>
      </c>
      <c r="T146">
        <v>0.1024</v>
      </c>
      <c r="U146">
        <v>0.10390000000000001</v>
      </c>
      <c r="V146">
        <v>0.1053</v>
      </c>
      <c r="W146">
        <v>0.1071</v>
      </c>
      <c r="X146">
        <v>0.1084</v>
      </c>
      <c r="Y146">
        <v>0.1101</v>
      </c>
    </row>
    <row r="147" spans="1:25" hidden="1">
      <c r="A147" t="s">
        <v>270</v>
      </c>
      <c r="B147" t="s">
        <v>797</v>
      </c>
      <c r="C147" t="s">
        <v>729</v>
      </c>
      <c r="D147" t="s">
        <v>648</v>
      </c>
      <c r="E147" t="s">
        <v>605</v>
      </c>
      <c r="F147" t="s">
        <v>598</v>
      </c>
      <c r="G147" t="s">
        <v>599</v>
      </c>
      <c r="H147" t="s">
        <v>600</v>
      </c>
      <c r="I147" t="s">
        <v>601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270</v>
      </c>
      <c r="B148" t="s">
        <v>798</v>
      </c>
      <c r="C148" t="s">
        <v>729</v>
      </c>
      <c r="D148" t="s">
        <v>648</v>
      </c>
      <c r="E148" t="s">
        <v>799</v>
      </c>
      <c r="F148" t="s">
        <v>598</v>
      </c>
      <c r="G148" t="s">
        <v>599</v>
      </c>
      <c r="H148" t="s">
        <v>600</v>
      </c>
      <c r="I148" t="s">
        <v>601</v>
      </c>
      <c r="J148">
        <v>1.84E-2</v>
      </c>
      <c r="K148">
        <v>1.84E-2</v>
      </c>
      <c r="L148">
        <v>1.84E-2</v>
      </c>
      <c r="M148">
        <v>1.84E-2</v>
      </c>
      <c r="N148">
        <v>1.84E-2</v>
      </c>
      <c r="O148">
        <v>1.84E-2</v>
      </c>
      <c r="P148">
        <v>1.84E-2</v>
      </c>
      <c r="Q148">
        <v>1.84E-2</v>
      </c>
      <c r="R148">
        <v>1.84E-2</v>
      </c>
      <c r="S148">
        <v>1.84E-2</v>
      </c>
      <c r="T148">
        <v>1.84E-2</v>
      </c>
      <c r="U148">
        <v>1.84E-2</v>
      </c>
      <c r="V148">
        <v>1.84E-2</v>
      </c>
      <c r="W148">
        <v>1.84E-2</v>
      </c>
      <c r="X148">
        <v>1.84E-2</v>
      </c>
      <c r="Y148">
        <v>1.84E-2</v>
      </c>
    </row>
    <row r="149" spans="1:25" hidden="1">
      <c r="A149" t="s">
        <v>270</v>
      </c>
      <c r="B149" t="s">
        <v>800</v>
      </c>
      <c r="C149" t="s">
        <v>729</v>
      </c>
      <c r="D149" t="s">
        <v>648</v>
      </c>
      <c r="E149" t="s">
        <v>688</v>
      </c>
      <c r="F149" t="s">
        <v>598</v>
      </c>
      <c r="G149" t="s">
        <v>599</v>
      </c>
      <c r="H149" t="s">
        <v>600</v>
      </c>
      <c r="I149" t="s">
        <v>601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hidden="1">
      <c r="A150" t="s">
        <v>270</v>
      </c>
      <c r="B150" t="s">
        <v>801</v>
      </c>
      <c r="C150" t="s">
        <v>729</v>
      </c>
      <c r="D150" t="s">
        <v>648</v>
      </c>
      <c r="E150" t="s">
        <v>619</v>
      </c>
      <c r="F150" t="s">
        <v>598</v>
      </c>
      <c r="G150" t="s">
        <v>599</v>
      </c>
      <c r="H150" t="s">
        <v>600</v>
      </c>
      <c r="I150" t="s">
        <v>601</v>
      </c>
      <c r="J150">
        <v>4.2000000000000003E-2</v>
      </c>
      <c r="K150">
        <v>4.5900000000000003E-2</v>
      </c>
      <c r="L150">
        <v>4.5900000000000003E-2</v>
      </c>
      <c r="M150">
        <v>4.5999999999999999E-2</v>
      </c>
      <c r="N150">
        <v>4.5999999999999999E-2</v>
      </c>
      <c r="O150">
        <v>4.5999999999999999E-2</v>
      </c>
      <c r="P150">
        <v>4.5999999999999999E-2</v>
      </c>
      <c r="Q150">
        <v>4.5999999999999999E-2</v>
      </c>
      <c r="R150">
        <v>4.5999999999999999E-2</v>
      </c>
      <c r="S150">
        <v>4.5999999999999999E-2</v>
      </c>
      <c r="T150">
        <v>4.5999999999999999E-2</v>
      </c>
      <c r="U150">
        <v>4.5999999999999999E-2</v>
      </c>
      <c r="V150">
        <v>4.5999999999999999E-2</v>
      </c>
      <c r="W150">
        <v>4.2099999999999999E-2</v>
      </c>
      <c r="X150">
        <v>4.2099999999999999E-2</v>
      </c>
      <c r="Y150">
        <v>4.2099999999999999E-2</v>
      </c>
    </row>
    <row r="151" spans="1:25" hidden="1">
      <c r="A151" t="s">
        <v>270</v>
      </c>
      <c r="B151" t="s">
        <v>802</v>
      </c>
      <c r="C151" t="s">
        <v>729</v>
      </c>
      <c r="D151" t="s">
        <v>648</v>
      </c>
      <c r="E151" t="s">
        <v>676</v>
      </c>
      <c r="F151" t="s">
        <v>598</v>
      </c>
      <c r="G151" t="s">
        <v>599</v>
      </c>
      <c r="H151" t="s">
        <v>600</v>
      </c>
      <c r="I151" t="s">
        <v>601</v>
      </c>
      <c r="J151">
        <v>5.7799999999999997E-2</v>
      </c>
      <c r="K151">
        <v>5.7799999999999997E-2</v>
      </c>
      <c r="L151">
        <v>5.7799999999999997E-2</v>
      </c>
      <c r="M151">
        <v>5.7799999999999997E-2</v>
      </c>
      <c r="N151">
        <v>5.7799999999999997E-2</v>
      </c>
      <c r="O151">
        <v>5.7799999999999997E-2</v>
      </c>
      <c r="P151">
        <v>5.7799999999999997E-2</v>
      </c>
      <c r="Q151">
        <v>5.7799999999999997E-2</v>
      </c>
      <c r="R151">
        <v>5.7799999999999997E-2</v>
      </c>
      <c r="S151">
        <v>5.7799999999999997E-2</v>
      </c>
      <c r="T151">
        <v>5.7799999999999997E-2</v>
      </c>
      <c r="U151">
        <v>5.7799999999999997E-2</v>
      </c>
      <c r="V151">
        <v>5.7799999999999997E-2</v>
      </c>
      <c r="W151">
        <v>5.7799999999999997E-2</v>
      </c>
      <c r="X151">
        <v>5.7799999999999997E-2</v>
      </c>
      <c r="Y151">
        <v>5.7799999999999997E-2</v>
      </c>
    </row>
    <row r="152" spans="1:25" hidden="1">
      <c r="A152" t="s">
        <v>270</v>
      </c>
      <c r="B152" t="s">
        <v>803</v>
      </c>
      <c r="C152" t="s">
        <v>804</v>
      </c>
      <c r="D152" t="s">
        <v>596</v>
      </c>
      <c r="E152" t="s">
        <v>597</v>
      </c>
      <c r="F152" t="s">
        <v>598</v>
      </c>
      <c r="G152" t="s">
        <v>599</v>
      </c>
      <c r="H152" t="s">
        <v>600</v>
      </c>
      <c r="I152" t="s">
        <v>601</v>
      </c>
      <c r="J152">
        <v>0.34510000000000002</v>
      </c>
      <c r="K152">
        <v>0.34229999999999999</v>
      </c>
      <c r="L152">
        <v>0.33560000000000001</v>
      </c>
      <c r="M152">
        <v>0.34</v>
      </c>
      <c r="N152">
        <v>0.3387</v>
      </c>
      <c r="O152">
        <v>0.33679999999999999</v>
      </c>
      <c r="P152">
        <v>0.33589999999999998</v>
      </c>
      <c r="Q152">
        <v>0.33429999999999999</v>
      </c>
      <c r="R152">
        <v>0.33019999999999999</v>
      </c>
      <c r="S152">
        <v>0.32679999999999998</v>
      </c>
      <c r="T152">
        <v>0.32490000000000002</v>
      </c>
      <c r="U152">
        <v>0.32350000000000001</v>
      </c>
      <c r="V152">
        <v>0.3241</v>
      </c>
      <c r="W152">
        <v>0.32500000000000001</v>
      </c>
      <c r="X152">
        <v>0.32250000000000001</v>
      </c>
      <c r="Y152">
        <v>0.32250000000000001</v>
      </c>
    </row>
    <row r="153" spans="1:25" hidden="1">
      <c r="A153" t="s">
        <v>270</v>
      </c>
      <c r="B153" t="s">
        <v>805</v>
      </c>
      <c r="C153" t="s">
        <v>804</v>
      </c>
      <c r="D153" t="s">
        <v>596</v>
      </c>
      <c r="E153" t="s">
        <v>603</v>
      </c>
      <c r="F153" t="s">
        <v>598</v>
      </c>
      <c r="G153" t="s">
        <v>599</v>
      </c>
      <c r="H153" t="s">
        <v>600</v>
      </c>
      <c r="I153" t="s">
        <v>601</v>
      </c>
      <c r="J153">
        <v>1.1000000000000001E-3</v>
      </c>
      <c r="K153">
        <v>1.1000000000000001E-3</v>
      </c>
      <c r="L153">
        <v>1.1000000000000001E-3</v>
      </c>
      <c r="M153">
        <v>1.1000000000000001E-3</v>
      </c>
      <c r="N153">
        <v>1.1000000000000001E-3</v>
      </c>
      <c r="O153">
        <v>1.1000000000000001E-3</v>
      </c>
      <c r="P153">
        <v>1.1000000000000001E-3</v>
      </c>
      <c r="Q153">
        <v>1.1000000000000001E-3</v>
      </c>
      <c r="R153">
        <v>1.1000000000000001E-3</v>
      </c>
      <c r="S153">
        <v>1.1000000000000001E-3</v>
      </c>
      <c r="T153">
        <v>1.1000000000000001E-3</v>
      </c>
      <c r="U153">
        <v>1.1000000000000001E-3</v>
      </c>
      <c r="V153">
        <v>1.1000000000000001E-3</v>
      </c>
      <c r="W153">
        <v>1.1000000000000001E-3</v>
      </c>
      <c r="X153">
        <v>1.1000000000000001E-3</v>
      </c>
      <c r="Y153">
        <v>1.1000000000000001E-3</v>
      </c>
    </row>
    <row r="154" spans="1:25" hidden="1">
      <c r="A154" t="s">
        <v>270</v>
      </c>
      <c r="B154" t="s">
        <v>806</v>
      </c>
      <c r="C154" t="s">
        <v>804</v>
      </c>
      <c r="D154" t="s">
        <v>596</v>
      </c>
      <c r="E154" t="s">
        <v>605</v>
      </c>
      <c r="F154" t="s">
        <v>598</v>
      </c>
      <c r="G154" t="s">
        <v>599</v>
      </c>
      <c r="H154" t="s">
        <v>600</v>
      </c>
      <c r="I154" t="s">
        <v>601</v>
      </c>
      <c r="J154">
        <v>4.0000000000000002E-4</v>
      </c>
      <c r="K154">
        <v>4.0000000000000002E-4</v>
      </c>
      <c r="L154">
        <v>4.0000000000000002E-4</v>
      </c>
      <c r="M154">
        <v>4.0000000000000002E-4</v>
      </c>
      <c r="N154">
        <v>4.0000000000000002E-4</v>
      </c>
      <c r="O154">
        <v>4.0000000000000002E-4</v>
      </c>
      <c r="P154">
        <v>4.0000000000000002E-4</v>
      </c>
      <c r="Q154">
        <v>4.0000000000000002E-4</v>
      </c>
      <c r="R154">
        <v>4.0000000000000002E-4</v>
      </c>
      <c r="S154">
        <v>4.0000000000000002E-4</v>
      </c>
      <c r="T154">
        <v>4.0000000000000002E-4</v>
      </c>
      <c r="U154">
        <v>4.0000000000000002E-4</v>
      </c>
      <c r="V154">
        <v>4.0000000000000002E-4</v>
      </c>
      <c r="W154">
        <v>4.0000000000000002E-4</v>
      </c>
      <c r="X154">
        <v>4.0000000000000002E-4</v>
      </c>
      <c r="Y154">
        <v>4.0000000000000002E-4</v>
      </c>
    </row>
    <row r="155" spans="1:25" hidden="1">
      <c r="A155" t="s">
        <v>270</v>
      </c>
      <c r="B155" t="s">
        <v>807</v>
      </c>
      <c r="C155" t="s">
        <v>804</v>
      </c>
      <c r="D155" t="s">
        <v>596</v>
      </c>
      <c r="E155" t="s">
        <v>808</v>
      </c>
      <c r="F155" t="s">
        <v>598</v>
      </c>
      <c r="G155" t="s">
        <v>599</v>
      </c>
      <c r="H155" t="s">
        <v>600</v>
      </c>
      <c r="I155" t="s">
        <v>601</v>
      </c>
      <c r="J155">
        <v>1E-3</v>
      </c>
      <c r="K155">
        <v>1E-3</v>
      </c>
      <c r="L155">
        <v>1E-3</v>
      </c>
      <c r="M155">
        <v>1E-3</v>
      </c>
      <c r="N155">
        <v>1E-3</v>
      </c>
      <c r="O155">
        <v>1E-3</v>
      </c>
      <c r="P155">
        <v>1E-3</v>
      </c>
      <c r="Q155">
        <v>1E-3</v>
      </c>
      <c r="R155">
        <v>1.1000000000000001E-3</v>
      </c>
      <c r="S155">
        <v>1.1000000000000001E-3</v>
      </c>
      <c r="T155">
        <v>1.1000000000000001E-3</v>
      </c>
      <c r="U155">
        <v>1.1000000000000001E-3</v>
      </c>
      <c r="V155">
        <v>1.1000000000000001E-3</v>
      </c>
      <c r="W155">
        <v>1.1000000000000001E-3</v>
      </c>
      <c r="X155">
        <v>1.1000000000000001E-3</v>
      </c>
      <c r="Y155">
        <v>1.1000000000000001E-3</v>
      </c>
    </row>
    <row r="156" spans="1:25" hidden="1">
      <c r="A156" t="s">
        <v>270</v>
      </c>
      <c r="B156" t="s">
        <v>809</v>
      </c>
      <c r="C156" t="s">
        <v>804</v>
      </c>
      <c r="D156" t="s">
        <v>596</v>
      </c>
      <c r="E156" t="s">
        <v>735</v>
      </c>
      <c r="F156" t="s">
        <v>598</v>
      </c>
      <c r="G156" t="s">
        <v>599</v>
      </c>
      <c r="H156" t="s">
        <v>600</v>
      </c>
      <c r="I156" t="s">
        <v>601</v>
      </c>
      <c r="J156">
        <v>2.0000000000000001E-4</v>
      </c>
      <c r="K156">
        <v>2.0000000000000001E-4</v>
      </c>
      <c r="L156">
        <v>2.0000000000000001E-4</v>
      </c>
      <c r="M156">
        <v>2.0000000000000001E-4</v>
      </c>
      <c r="N156">
        <v>2.0000000000000001E-4</v>
      </c>
      <c r="O156">
        <v>2.0000000000000001E-4</v>
      </c>
      <c r="P156">
        <v>2.0000000000000001E-4</v>
      </c>
      <c r="Q156">
        <v>2.0000000000000001E-4</v>
      </c>
      <c r="R156">
        <v>2.0000000000000001E-4</v>
      </c>
      <c r="S156">
        <v>2.0000000000000001E-4</v>
      </c>
      <c r="T156">
        <v>2.0000000000000001E-4</v>
      </c>
      <c r="U156">
        <v>2.0000000000000001E-4</v>
      </c>
      <c r="V156">
        <v>2.0000000000000001E-4</v>
      </c>
      <c r="W156">
        <v>2.0000000000000001E-4</v>
      </c>
      <c r="X156">
        <v>2.0000000000000001E-4</v>
      </c>
      <c r="Y156">
        <v>2.0000000000000001E-4</v>
      </c>
    </row>
    <row r="157" spans="1:25" hidden="1">
      <c r="A157" t="s">
        <v>270</v>
      </c>
      <c r="B157" t="s">
        <v>810</v>
      </c>
      <c r="C157" t="s">
        <v>804</v>
      </c>
      <c r="D157" t="s">
        <v>596</v>
      </c>
      <c r="E157" t="s">
        <v>613</v>
      </c>
      <c r="F157" t="s">
        <v>598</v>
      </c>
      <c r="G157" t="s">
        <v>599</v>
      </c>
      <c r="H157" t="s">
        <v>600</v>
      </c>
      <c r="I157" t="s">
        <v>601</v>
      </c>
      <c r="J157">
        <v>7.0000000000000001E-3</v>
      </c>
      <c r="K157">
        <v>7.1999999999999998E-3</v>
      </c>
      <c r="L157">
        <v>7.3000000000000001E-3</v>
      </c>
      <c r="M157">
        <v>7.4999999999999997E-3</v>
      </c>
      <c r="N157">
        <v>7.6E-3</v>
      </c>
      <c r="O157">
        <v>7.7999999999999996E-3</v>
      </c>
      <c r="P157">
        <v>7.9000000000000008E-3</v>
      </c>
      <c r="Q157">
        <v>8.0999999999999996E-3</v>
      </c>
      <c r="R157">
        <v>8.2000000000000007E-3</v>
      </c>
      <c r="S157">
        <v>8.3999999999999995E-3</v>
      </c>
      <c r="T157">
        <v>8.5000000000000006E-3</v>
      </c>
      <c r="U157">
        <v>8.6E-3</v>
      </c>
      <c r="V157">
        <v>8.8000000000000005E-3</v>
      </c>
      <c r="W157">
        <v>8.9999999999999993E-3</v>
      </c>
      <c r="X157">
        <v>9.1000000000000004E-3</v>
      </c>
      <c r="Y157">
        <v>9.2999999999999992E-3</v>
      </c>
    </row>
    <row r="158" spans="1:25" hidden="1">
      <c r="A158" t="s">
        <v>270</v>
      </c>
      <c r="B158" t="s">
        <v>811</v>
      </c>
      <c r="C158" t="s">
        <v>804</v>
      </c>
      <c r="D158" t="s">
        <v>596</v>
      </c>
      <c r="E158" t="s">
        <v>617</v>
      </c>
      <c r="F158" t="s">
        <v>598</v>
      </c>
      <c r="G158" t="s">
        <v>599</v>
      </c>
      <c r="H158" t="s">
        <v>600</v>
      </c>
      <c r="I158" t="s">
        <v>601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270</v>
      </c>
      <c r="B159" t="s">
        <v>812</v>
      </c>
      <c r="C159" t="s">
        <v>804</v>
      </c>
      <c r="D159" t="s">
        <v>596</v>
      </c>
      <c r="E159" t="s">
        <v>619</v>
      </c>
      <c r="F159" t="s">
        <v>598</v>
      </c>
      <c r="G159" t="s">
        <v>599</v>
      </c>
      <c r="H159" t="s">
        <v>600</v>
      </c>
      <c r="I159" t="s">
        <v>601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1E-4</v>
      </c>
      <c r="R159">
        <v>1E-4</v>
      </c>
      <c r="S159">
        <v>1E-4</v>
      </c>
      <c r="T159">
        <v>1E-4</v>
      </c>
      <c r="U159">
        <v>1E-4</v>
      </c>
      <c r="V159">
        <v>1E-4</v>
      </c>
      <c r="W159">
        <v>1E-4</v>
      </c>
      <c r="X159">
        <v>1E-4</v>
      </c>
      <c r="Y159">
        <v>1E-4</v>
      </c>
    </row>
    <row r="160" spans="1:25" hidden="1">
      <c r="A160" t="s">
        <v>270</v>
      </c>
      <c r="B160" t="s">
        <v>813</v>
      </c>
      <c r="C160" t="s">
        <v>804</v>
      </c>
      <c r="D160" t="s">
        <v>596</v>
      </c>
      <c r="E160" t="s">
        <v>742</v>
      </c>
      <c r="F160" t="s">
        <v>598</v>
      </c>
      <c r="G160" t="s">
        <v>599</v>
      </c>
      <c r="H160" t="s">
        <v>600</v>
      </c>
      <c r="I160" t="s">
        <v>601</v>
      </c>
      <c r="J160">
        <v>1E-4</v>
      </c>
      <c r="K160">
        <v>1E-4</v>
      </c>
      <c r="L160">
        <v>1E-4</v>
      </c>
      <c r="M160">
        <v>1E-4</v>
      </c>
      <c r="N160">
        <v>1E-4</v>
      </c>
      <c r="O160">
        <v>1E-4</v>
      </c>
      <c r="P160">
        <v>1E-4</v>
      </c>
      <c r="Q160">
        <v>1E-4</v>
      </c>
      <c r="R160">
        <v>1E-4</v>
      </c>
      <c r="S160">
        <v>1E-4</v>
      </c>
      <c r="T160">
        <v>1E-4</v>
      </c>
      <c r="U160">
        <v>1E-4</v>
      </c>
      <c r="V160">
        <v>1E-4</v>
      </c>
      <c r="W160">
        <v>1E-4</v>
      </c>
      <c r="X160">
        <v>1E-4</v>
      </c>
      <c r="Y160">
        <v>1E-4</v>
      </c>
    </row>
    <row r="161" spans="1:25" hidden="1">
      <c r="A161" t="s">
        <v>270</v>
      </c>
      <c r="B161" t="s">
        <v>814</v>
      </c>
      <c r="C161" t="s">
        <v>804</v>
      </c>
      <c r="D161" t="s">
        <v>596</v>
      </c>
      <c r="E161" t="s">
        <v>669</v>
      </c>
      <c r="F161" t="s">
        <v>598</v>
      </c>
      <c r="G161" t="s">
        <v>599</v>
      </c>
      <c r="H161" t="s">
        <v>600</v>
      </c>
      <c r="I161" t="s">
        <v>601</v>
      </c>
      <c r="J161">
        <v>2.9999999999999997E-4</v>
      </c>
      <c r="K161">
        <v>2.9999999999999997E-4</v>
      </c>
      <c r="L161">
        <v>2.9999999999999997E-4</v>
      </c>
      <c r="M161">
        <v>2.9999999999999997E-4</v>
      </c>
      <c r="N161">
        <v>2.9999999999999997E-4</v>
      </c>
      <c r="O161">
        <v>4.0000000000000002E-4</v>
      </c>
      <c r="P161">
        <v>4.0000000000000002E-4</v>
      </c>
      <c r="Q161">
        <v>4.0000000000000002E-4</v>
      </c>
      <c r="R161">
        <v>4.0000000000000002E-4</v>
      </c>
      <c r="S161">
        <v>4.0000000000000002E-4</v>
      </c>
      <c r="T161">
        <v>4.0000000000000002E-4</v>
      </c>
      <c r="U161">
        <v>4.0000000000000002E-4</v>
      </c>
      <c r="V161">
        <v>4.0000000000000002E-4</v>
      </c>
      <c r="W161">
        <v>4.0000000000000002E-4</v>
      </c>
      <c r="X161">
        <v>4.0000000000000002E-4</v>
      </c>
      <c r="Y161">
        <v>4.0000000000000002E-4</v>
      </c>
    </row>
    <row r="162" spans="1:25" hidden="1">
      <c r="A162" t="s">
        <v>270</v>
      </c>
      <c r="B162" t="s">
        <v>815</v>
      </c>
      <c r="C162" t="s">
        <v>804</v>
      </c>
      <c r="D162" t="s">
        <v>671</v>
      </c>
      <c r="E162" t="s">
        <v>597</v>
      </c>
      <c r="F162" t="s">
        <v>598</v>
      </c>
      <c r="G162" t="s">
        <v>599</v>
      </c>
      <c r="H162" t="s">
        <v>600</v>
      </c>
      <c r="I162" t="s">
        <v>601</v>
      </c>
      <c r="J162">
        <v>6.0900000000000003E-2</v>
      </c>
      <c r="K162">
        <v>6.0400000000000002E-2</v>
      </c>
      <c r="L162">
        <v>5.9700000000000003E-2</v>
      </c>
      <c r="M162">
        <v>6.0100000000000001E-2</v>
      </c>
      <c r="N162">
        <v>5.96E-2</v>
      </c>
      <c r="O162">
        <v>5.8999999999999997E-2</v>
      </c>
      <c r="P162">
        <v>5.9200000000000003E-2</v>
      </c>
      <c r="Q162">
        <v>5.8799999999999998E-2</v>
      </c>
      <c r="R162">
        <v>5.8200000000000002E-2</v>
      </c>
      <c r="S162">
        <v>5.7200000000000001E-2</v>
      </c>
      <c r="T162">
        <v>5.7000000000000002E-2</v>
      </c>
      <c r="U162">
        <v>5.6800000000000003E-2</v>
      </c>
      <c r="V162">
        <v>5.6899999999999999E-2</v>
      </c>
      <c r="W162">
        <v>5.7000000000000002E-2</v>
      </c>
      <c r="X162">
        <v>5.67E-2</v>
      </c>
      <c r="Y162">
        <v>5.6399999999999999E-2</v>
      </c>
    </row>
    <row r="163" spans="1:25" hidden="1">
      <c r="A163" t="s">
        <v>270</v>
      </c>
      <c r="B163" t="s">
        <v>816</v>
      </c>
      <c r="C163" t="s">
        <v>804</v>
      </c>
      <c r="D163" t="s">
        <v>671</v>
      </c>
      <c r="E163" t="s">
        <v>642</v>
      </c>
      <c r="F163" t="s">
        <v>598</v>
      </c>
      <c r="G163" t="s">
        <v>599</v>
      </c>
      <c r="H163" t="s">
        <v>600</v>
      </c>
      <c r="I163" t="s">
        <v>601</v>
      </c>
      <c r="J163">
        <v>3.7000000000000002E-3</v>
      </c>
      <c r="K163">
        <v>3.7000000000000002E-3</v>
      </c>
      <c r="L163">
        <v>3.7000000000000002E-3</v>
      </c>
      <c r="M163">
        <v>3.8E-3</v>
      </c>
      <c r="N163">
        <v>3.8E-3</v>
      </c>
      <c r="O163">
        <v>3.8E-3</v>
      </c>
      <c r="P163">
        <v>3.8E-3</v>
      </c>
      <c r="Q163">
        <v>3.8E-3</v>
      </c>
      <c r="R163">
        <v>3.7000000000000002E-3</v>
      </c>
      <c r="S163">
        <v>3.8999999999999998E-3</v>
      </c>
      <c r="T163">
        <v>3.8E-3</v>
      </c>
      <c r="U163">
        <v>3.8E-3</v>
      </c>
      <c r="V163">
        <v>3.8E-3</v>
      </c>
      <c r="W163">
        <v>3.8E-3</v>
      </c>
      <c r="X163">
        <v>3.8E-3</v>
      </c>
      <c r="Y163">
        <v>3.8E-3</v>
      </c>
    </row>
    <row r="164" spans="1:25" hidden="1">
      <c r="A164" t="s">
        <v>270</v>
      </c>
      <c r="B164" t="s">
        <v>817</v>
      </c>
      <c r="C164" t="s">
        <v>804</v>
      </c>
      <c r="D164" t="s">
        <v>671</v>
      </c>
      <c r="E164" t="s">
        <v>750</v>
      </c>
      <c r="F164" t="s">
        <v>598</v>
      </c>
      <c r="G164" t="s">
        <v>599</v>
      </c>
      <c r="H164" t="s">
        <v>600</v>
      </c>
      <c r="I164" t="s">
        <v>601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270</v>
      </c>
      <c r="B165" t="s">
        <v>818</v>
      </c>
      <c r="C165" t="s">
        <v>804</v>
      </c>
      <c r="D165" t="s">
        <v>753</v>
      </c>
      <c r="E165" t="s">
        <v>597</v>
      </c>
      <c r="F165" t="s">
        <v>598</v>
      </c>
      <c r="G165" t="s">
        <v>599</v>
      </c>
      <c r="H165" t="s">
        <v>600</v>
      </c>
      <c r="I165" t="s">
        <v>601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270</v>
      </c>
      <c r="B166" t="s">
        <v>819</v>
      </c>
      <c r="C166" t="s">
        <v>804</v>
      </c>
      <c r="D166" t="s">
        <v>756</v>
      </c>
      <c r="E166" t="s">
        <v>597</v>
      </c>
      <c r="F166" t="s">
        <v>598</v>
      </c>
      <c r="G166" t="s">
        <v>599</v>
      </c>
      <c r="H166" t="s">
        <v>600</v>
      </c>
      <c r="I166" t="s">
        <v>601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270</v>
      </c>
      <c r="B167" t="s">
        <v>820</v>
      </c>
      <c r="C167" t="s">
        <v>804</v>
      </c>
      <c r="D167" t="s">
        <v>621</v>
      </c>
      <c r="E167" t="s">
        <v>597</v>
      </c>
      <c r="F167" t="s">
        <v>598</v>
      </c>
      <c r="G167" t="s">
        <v>599</v>
      </c>
      <c r="H167" t="s">
        <v>600</v>
      </c>
      <c r="I167" t="s">
        <v>601</v>
      </c>
      <c r="J167">
        <v>1E-3</v>
      </c>
      <c r="K167">
        <v>1E-3</v>
      </c>
      <c r="L167">
        <v>1E-3</v>
      </c>
      <c r="M167">
        <v>1E-3</v>
      </c>
      <c r="N167">
        <v>1E-3</v>
      </c>
      <c r="O167">
        <v>1E-3</v>
      </c>
      <c r="P167">
        <v>1E-3</v>
      </c>
      <c r="Q167">
        <v>1E-3</v>
      </c>
      <c r="R167">
        <v>1E-3</v>
      </c>
      <c r="S167">
        <v>1E-3</v>
      </c>
      <c r="T167">
        <v>1E-3</v>
      </c>
      <c r="U167">
        <v>1E-3</v>
      </c>
      <c r="V167">
        <v>1E-3</v>
      </c>
      <c r="W167">
        <v>1E-3</v>
      </c>
      <c r="X167">
        <v>1E-3</v>
      </c>
      <c r="Y167">
        <v>1.1000000000000001E-3</v>
      </c>
    </row>
    <row r="168" spans="1:25" hidden="1">
      <c r="A168" t="s">
        <v>270</v>
      </c>
      <c r="B168" t="s">
        <v>821</v>
      </c>
      <c r="C168" t="s">
        <v>804</v>
      </c>
      <c r="D168" t="s">
        <v>621</v>
      </c>
      <c r="E168" t="s">
        <v>731</v>
      </c>
      <c r="F168" t="s">
        <v>598</v>
      </c>
      <c r="G168" t="s">
        <v>599</v>
      </c>
      <c r="H168" t="s">
        <v>600</v>
      </c>
      <c r="I168" t="s">
        <v>601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270</v>
      </c>
      <c r="B169" t="s">
        <v>822</v>
      </c>
      <c r="C169" t="s">
        <v>804</v>
      </c>
      <c r="D169" t="s">
        <v>621</v>
      </c>
      <c r="E169" t="s">
        <v>603</v>
      </c>
      <c r="F169" t="s">
        <v>598</v>
      </c>
      <c r="G169" t="s">
        <v>599</v>
      </c>
      <c r="H169" t="s">
        <v>600</v>
      </c>
      <c r="I169" t="s">
        <v>601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270</v>
      </c>
      <c r="B170" t="s">
        <v>823</v>
      </c>
      <c r="C170" t="s">
        <v>804</v>
      </c>
      <c r="D170" t="s">
        <v>621</v>
      </c>
      <c r="E170" t="s">
        <v>768</v>
      </c>
      <c r="F170" t="s">
        <v>598</v>
      </c>
      <c r="G170" t="s">
        <v>599</v>
      </c>
      <c r="H170" t="s">
        <v>600</v>
      </c>
      <c r="I170" t="s">
        <v>601</v>
      </c>
      <c r="J170">
        <v>6.9999999999999999E-4</v>
      </c>
      <c r="K170">
        <v>6.9999999999999999E-4</v>
      </c>
      <c r="L170">
        <v>6.9999999999999999E-4</v>
      </c>
      <c r="M170">
        <v>6.9999999999999999E-4</v>
      </c>
      <c r="N170">
        <v>6.9999999999999999E-4</v>
      </c>
      <c r="O170">
        <v>6.9999999999999999E-4</v>
      </c>
      <c r="P170">
        <v>6.9999999999999999E-4</v>
      </c>
      <c r="Q170">
        <v>6.9999999999999999E-4</v>
      </c>
      <c r="R170">
        <v>6.9999999999999999E-4</v>
      </c>
      <c r="S170">
        <v>6.9999999999999999E-4</v>
      </c>
      <c r="T170">
        <v>6.9999999999999999E-4</v>
      </c>
      <c r="U170">
        <v>6.9999999999999999E-4</v>
      </c>
      <c r="V170">
        <v>6.9999999999999999E-4</v>
      </c>
      <c r="W170">
        <v>6.9999999999999999E-4</v>
      </c>
      <c r="X170">
        <v>6.9999999999999999E-4</v>
      </c>
      <c r="Y170">
        <v>6.9999999999999999E-4</v>
      </c>
    </row>
    <row r="171" spans="1:25" hidden="1">
      <c r="A171" t="s">
        <v>270</v>
      </c>
      <c r="B171" t="s">
        <v>824</v>
      </c>
      <c r="C171" t="s">
        <v>804</v>
      </c>
      <c r="D171" t="s">
        <v>621</v>
      </c>
      <c r="E171" t="s">
        <v>626</v>
      </c>
      <c r="F171" t="s">
        <v>598</v>
      </c>
      <c r="G171" t="s">
        <v>599</v>
      </c>
      <c r="H171" t="s">
        <v>600</v>
      </c>
      <c r="I171" t="s">
        <v>601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270</v>
      </c>
      <c r="B172" t="s">
        <v>825</v>
      </c>
      <c r="C172" t="s">
        <v>804</v>
      </c>
      <c r="D172" t="s">
        <v>621</v>
      </c>
      <c r="E172" t="s">
        <v>628</v>
      </c>
      <c r="F172" t="s">
        <v>598</v>
      </c>
      <c r="G172" t="s">
        <v>599</v>
      </c>
      <c r="H172" t="s">
        <v>600</v>
      </c>
      <c r="I172" t="s">
        <v>601</v>
      </c>
      <c r="J172">
        <v>1.9400000000000001E-2</v>
      </c>
      <c r="K172">
        <v>1.9599999999999999E-2</v>
      </c>
      <c r="L172">
        <v>1.9599999999999999E-2</v>
      </c>
      <c r="M172">
        <v>1.9699999999999999E-2</v>
      </c>
      <c r="N172">
        <v>1.9900000000000001E-2</v>
      </c>
      <c r="O172">
        <v>1.9900000000000001E-2</v>
      </c>
      <c r="P172">
        <v>0.02</v>
      </c>
      <c r="Q172">
        <v>2.0199999999999999E-2</v>
      </c>
      <c r="R172">
        <v>2.0199999999999999E-2</v>
      </c>
      <c r="S172">
        <v>2.0299999999999999E-2</v>
      </c>
      <c r="T172">
        <v>2.0500000000000001E-2</v>
      </c>
      <c r="U172">
        <v>2.0500000000000001E-2</v>
      </c>
      <c r="V172">
        <v>2.06E-2</v>
      </c>
      <c r="W172">
        <v>2.07E-2</v>
      </c>
      <c r="X172">
        <v>2.0899999999999998E-2</v>
      </c>
      <c r="Y172">
        <v>2.1000000000000001E-2</v>
      </c>
    </row>
    <row r="173" spans="1:25" hidden="1">
      <c r="A173" t="s">
        <v>270</v>
      </c>
      <c r="B173" t="s">
        <v>826</v>
      </c>
      <c r="C173" t="s">
        <v>804</v>
      </c>
      <c r="D173" t="s">
        <v>621</v>
      </c>
      <c r="E173" t="s">
        <v>638</v>
      </c>
      <c r="F173" t="s">
        <v>598</v>
      </c>
      <c r="G173" t="s">
        <v>599</v>
      </c>
      <c r="H173" t="s">
        <v>600</v>
      </c>
      <c r="I173" t="s">
        <v>601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270</v>
      </c>
      <c r="B174" t="s">
        <v>827</v>
      </c>
      <c r="C174" t="s">
        <v>804</v>
      </c>
      <c r="D174" t="s">
        <v>828</v>
      </c>
      <c r="E174" t="s">
        <v>597</v>
      </c>
      <c r="F174" t="s">
        <v>598</v>
      </c>
      <c r="G174" t="s">
        <v>599</v>
      </c>
      <c r="H174" t="s">
        <v>600</v>
      </c>
      <c r="I174" t="s">
        <v>601</v>
      </c>
      <c r="J174">
        <v>1.15E-2</v>
      </c>
      <c r="K174">
        <v>1.14E-2</v>
      </c>
      <c r="L174">
        <v>1.1299999999999999E-2</v>
      </c>
      <c r="M174">
        <v>1.14E-2</v>
      </c>
      <c r="N174">
        <v>1.14E-2</v>
      </c>
      <c r="O174">
        <v>1.1299999999999999E-2</v>
      </c>
      <c r="P174">
        <v>1.1299999999999999E-2</v>
      </c>
      <c r="Q174">
        <v>1.14E-2</v>
      </c>
      <c r="R174">
        <v>1.12E-2</v>
      </c>
      <c r="S174">
        <v>1.11E-2</v>
      </c>
      <c r="T174">
        <v>1.11E-2</v>
      </c>
      <c r="U174">
        <v>1.0999999999999999E-2</v>
      </c>
      <c r="V174">
        <v>1.0999999999999999E-2</v>
      </c>
      <c r="W174">
        <v>1.0999999999999999E-2</v>
      </c>
      <c r="X174">
        <v>1.09E-2</v>
      </c>
      <c r="Y174">
        <v>1.09E-2</v>
      </c>
    </row>
    <row r="175" spans="1:25" hidden="1">
      <c r="A175" t="s">
        <v>270</v>
      </c>
      <c r="B175" t="s">
        <v>829</v>
      </c>
      <c r="C175" t="s">
        <v>804</v>
      </c>
      <c r="D175" t="s">
        <v>828</v>
      </c>
      <c r="E175" t="s">
        <v>628</v>
      </c>
      <c r="F175" t="s">
        <v>598</v>
      </c>
      <c r="G175" t="s">
        <v>599</v>
      </c>
      <c r="H175" t="s">
        <v>600</v>
      </c>
      <c r="I175" t="s">
        <v>601</v>
      </c>
      <c r="J175">
        <v>4.7999999999999996E-3</v>
      </c>
      <c r="K175">
        <v>4.7999999999999996E-3</v>
      </c>
      <c r="L175">
        <v>4.7999999999999996E-3</v>
      </c>
      <c r="M175">
        <v>4.7999999999999996E-3</v>
      </c>
      <c r="N175">
        <v>4.7999999999999996E-3</v>
      </c>
      <c r="O175">
        <v>4.7999999999999996E-3</v>
      </c>
      <c r="P175">
        <v>4.7999999999999996E-3</v>
      </c>
      <c r="Q175">
        <v>4.7999999999999996E-3</v>
      </c>
      <c r="R175">
        <v>4.7999999999999996E-3</v>
      </c>
      <c r="S175">
        <v>4.7999999999999996E-3</v>
      </c>
      <c r="T175">
        <v>4.7999999999999996E-3</v>
      </c>
      <c r="U175">
        <v>4.7999999999999996E-3</v>
      </c>
      <c r="V175">
        <v>4.7999999999999996E-3</v>
      </c>
      <c r="W175">
        <v>4.7999999999999996E-3</v>
      </c>
      <c r="X175">
        <v>4.7999999999999996E-3</v>
      </c>
      <c r="Y175">
        <v>4.7999999999999996E-3</v>
      </c>
    </row>
    <row r="176" spans="1:25" hidden="1">
      <c r="A176" t="s">
        <v>270</v>
      </c>
      <c r="B176" t="s">
        <v>830</v>
      </c>
      <c r="C176" t="s">
        <v>804</v>
      </c>
      <c r="D176" t="s">
        <v>828</v>
      </c>
      <c r="E176" t="s">
        <v>628</v>
      </c>
      <c r="F176" t="s">
        <v>831</v>
      </c>
      <c r="G176" t="s">
        <v>599</v>
      </c>
      <c r="H176" t="s">
        <v>600</v>
      </c>
      <c r="I176" t="s">
        <v>601</v>
      </c>
      <c r="J176">
        <v>0.27639999999999998</v>
      </c>
      <c r="K176">
        <v>0.1046</v>
      </c>
      <c r="L176">
        <v>9.69E-2</v>
      </c>
      <c r="M176">
        <v>9.2399999999999996E-2</v>
      </c>
      <c r="N176">
        <v>9.2200000000000004E-2</v>
      </c>
      <c r="O176">
        <v>9.2200000000000004E-2</v>
      </c>
      <c r="P176">
        <v>9.2100000000000001E-2</v>
      </c>
      <c r="Q176">
        <v>9.1600000000000001E-2</v>
      </c>
      <c r="R176">
        <v>9.0999999999999998E-2</v>
      </c>
      <c r="S176">
        <v>9.0300000000000005E-2</v>
      </c>
      <c r="T176">
        <v>8.8999999999999996E-2</v>
      </c>
      <c r="U176">
        <v>8.7099999999999997E-2</v>
      </c>
      <c r="V176">
        <v>8.5400000000000004E-2</v>
      </c>
      <c r="W176">
        <v>8.2199999999999995E-2</v>
      </c>
      <c r="X176">
        <v>7.8700000000000006E-2</v>
      </c>
      <c r="Y176">
        <v>7.5800000000000006E-2</v>
      </c>
    </row>
    <row r="177" spans="1:25" hidden="1">
      <c r="A177" t="s">
        <v>270</v>
      </c>
      <c r="B177" t="s">
        <v>832</v>
      </c>
      <c r="C177" t="s">
        <v>804</v>
      </c>
      <c r="D177" t="s">
        <v>828</v>
      </c>
      <c r="E177" t="s">
        <v>628</v>
      </c>
      <c r="F177" t="s">
        <v>833</v>
      </c>
      <c r="G177" t="s">
        <v>599</v>
      </c>
      <c r="H177" t="s">
        <v>600</v>
      </c>
      <c r="I177" t="s">
        <v>601</v>
      </c>
      <c r="J177">
        <v>0.26629999999999998</v>
      </c>
      <c r="K177">
        <v>0.25290000000000001</v>
      </c>
      <c r="L177">
        <v>0.23960000000000001</v>
      </c>
      <c r="M177">
        <v>0.22589999999999999</v>
      </c>
      <c r="N177">
        <v>0.21149999999999999</v>
      </c>
      <c r="O177">
        <v>0.19570000000000001</v>
      </c>
      <c r="P177">
        <v>0.17879999999999999</v>
      </c>
      <c r="Q177">
        <v>0.16239999999999999</v>
      </c>
      <c r="R177">
        <v>0.1467</v>
      </c>
      <c r="S177">
        <v>0.13339999999999999</v>
      </c>
      <c r="T177">
        <v>0.1215</v>
      </c>
      <c r="U177">
        <v>0.11</v>
      </c>
      <c r="V177">
        <v>9.8900000000000002E-2</v>
      </c>
      <c r="W177">
        <v>9.01E-2</v>
      </c>
      <c r="X177">
        <v>8.0600000000000005E-2</v>
      </c>
      <c r="Y177">
        <v>7.1599999999999997E-2</v>
      </c>
    </row>
    <row r="178" spans="1:25" hidden="1">
      <c r="A178" t="s">
        <v>270</v>
      </c>
      <c r="B178" t="s">
        <v>834</v>
      </c>
      <c r="C178" t="s">
        <v>804</v>
      </c>
      <c r="D178" t="s">
        <v>632</v>
      </c>
      <c r="E178" t="s">
        <v>597</v>
      </c>
      <c r="F178" t="s">
        <v>598</v>
      </c>
      <c r="G178" t="s">
        <v>599</v>
      </c>
      <c r="H178" t="s">
        <v>600</v>
      </c>
      <c r="I178" t="s">
        <v>601</v>
      </c>
      <c r="J178">
        <v>3.8E-3</v>
      </c>
      <c r="K178">
        <v>3.8E-3</v>
      </c>
      <c r="L178">
        <v>3.7000000000000002E-3</v>
      </c>
      <c r="M178">
        <v>3.7000000000000002E-3</v>
      </c>
      <c r="N178">
        <v>3.8E-3</v>
      </c>
      <c r="O178">
        <v>3.8E-3</v>
      </c>
      <c r="P178">
        <v>3.5999999999999999E-3</v>
      </c>
      <c r="Q178">
        <v>3.5999999999999999E-3</v>
      </c>
      <c r="R178">
        <v>3.5999999999999999E-3</v>
      </c>
      <c r="S178">
        <v>3.5000000000000001E-3</v>
      </c>
      <c r="T178">
        <v>3.5000000000000001E-3</v>
      </c>
      <c r="U178">
        <v>3.5999999999999999E-3</v>
      </c>
      <c r="V178">
        <v>3.5999999999999999E-3</v>
      </c>
      <c r="W178">
        <v>3.5999999999999999E-3</v>
      </c>
      <c r="X178">
        <v>3.5000000000000001E-3</v>
      </c>
      <c r="Y178">
        <v>3.5000000000000001E-3</v>
      </c>
    </row>
    <row r="179" spans="1:25" hidden="1">
      <c r="A179" t="s">
        <v>270</v>
      </c>
      <c r="B179" t="s">
        <v>835</v>
      </c>
      <c r="C179" t="s">
        <v>804</v>
      </c>
      <c r="D179" t="s">
        <v>632</v>
      </c>
      <c r="E179" t="s">
        <v>768</v>
      </c>
      <c r="F179" t="s">
        <v>598</v>
      </c>
      <c r="G179" t="s">
        <v>599</v>
      </c>
      <c r="H179" t="s">
        <v>600</v>
      </c>
      <c r="I179" t="s">
        <v>601</v>
      </c>
      <c r="J179">
        <v>1E-4</v>
      </c>
      <c r="K179">
        <v>1E-4</v>
      </c>
      <c r="L179">
        <v>1E-4</v>
      </c>
      <c r="M179">
        <v>1E-4</v>
      </c>
      <c r="N179">
        <v>1E-4</v>
      </c>
      <c r="O179">
        <v>1E-4</v>
      </c>
      <c r="P179">
        <v>1E-4</v>
      </c>
      <c r="Q179">
        <v>1E-4</v>
      </c>
      <c r="R179">
        <v>1E-4</v>
      </c>
      <c r="S179">
        <v>1E-4</v>
      </c>
      <c r="T179">
        <v>1E-4</v>
      </c>
      <c r="U179">
        <v>1E-4</v>
      </c>
      <c r="V179">
        <v>1E-4</v>
      </c>
      <c r="W179">
        <v>1E-4</v>
      </c>
      <c r="X179">
        <v>1E-4</v>
      </c>
      <c r="Y179">
        <v>1E-4</v>
      </c>
    </row>
    <row r="180" spans="1:25" hidden="1">
      <c r="A180" t="s">
        <v>270</v>
      </c>
      <c r="B180" t="s">
        <v>836</v>
      </c>
      <c r="C180" t="s">
        <v>804</v>
      </c>
      <c r="D180" t="s">
        <v>640</v>
      </c>
      <c r="E180" t="s">
        <v>597</v>
      </c>
      <c r="F180" t="s">
        <v>598</v>
      </c>
      <c r="G180" t="s">
        <v>599</v>
      </c>
      <c r="H180" t="s">
        <v>600</v>
      </c>
      <c r="I180" t="s">
        <v>601</v>
      </c>
      <c r="J180">
        <v>6.8999999999999999E-3</v>
      </c>
      <c r="K180">
        <v>6.7999999999999996E-3</v>
      </c>
      <c r="L180">
        <v>6.8999999999999999E-3</v>
      </c>
      <c r="M180">
        <v>7.0000000000000001E-3</v>
      </c>
      <c r="N180">
        <v>7.1000000000000004E-3</v>
      </c>
      <c r="O180">
        <v>7.0000000000000001E-3</v>
      </c>
      <c r="P180">
        <v>7.1000000000000004E-3</v>
      </c>
      <c r="Q180">
        <v>7.3000000000000001E-3</v>
      </c>
      <c r="R180">
        <v>7.1999999999999998E-3</v>
      </c>
      <c r="S180">
        <v>7.1999999999999998E-3</v>
      </c>
      <c r="T180">
        <v>7.1999999999999998E-3</v>
      </c>
      <c r="U180">
        <v>7.1999999999999998E-3</v>
      </c>
      <c r="V180">
        <v>7.1999999999999998E-3</v>
      </c>
      <c r="W180">
        <v>7.1999999999999998E-3</v>
      </c>
      <c r="X180">
        <v>7.1999999999999998E-3</v>
      </c>
      <c r="Y180">
        <v>7.3000000000000001E-3</v>
      </c>
    </row>
    <row r="181" spans="1:25" hidden="1">
      <c r="A181" t="s">
        <v>270</v>
      </c>
      <c r="B181" t="s">
        <v>837</v>
      </c>
      <c r="C181" t="s">
        <v>804</v>
      </c>
      <c r="D181" t="s">
        <v>640</v>
      </c>
      <c r="E181" t="s">
        <v>613</v>
      </c>
      <c r="F181" t="s">
        <v>598</v>
      </c>
      <c r="G181" t="s">
        <v>599</v>
      </c>
      <c r="H181" t="s">
        <v>600</v>
      </c>
      <c r="I181" t="s">
        <v>601</v>
      </c>
      <c r="J181">
        <v>4.0000000000000002E-4</v>
      </c>
      <c r="K181">
        <v>4.0000000000000002E-4</v>
      </c>
      <c r="L181">
        <v>4.0000000000000002E-4</v>
      </c>
      <c r="M181">
        <v>4.0000000000000002E-4</v>
      </c>
      <c r="N181">
        <v>4.0000000000000002E-4</v>
      </c>
      <c r="O181">
        <v>4.0000000000000002E-4</v>
      </c>
      <c r="P181">
        <v>4.0000000000000002E-4</v>
      </c>
      <c r="Q181">
        <v>4.0000000000000002E-4</v>
      </c>
      <c r="R181">
        <v>4.0000000000000002E-4</v>
      </c>
      <c r="S181">
        <v>4.0000000000000002E-4</v>
      </c>
      <c r="T181">
        <v>4.0000000000000002E-4</v>
      </c>
      <c r="U181">
        <v>4.0000000000000002E-4</v>
      </c>
      <c r="V181">
        <v>4.0000000000000002E-4</v>
      </c>
      <c r="W181">
        <v>4.0000000000000002E-4</v>
      </c>
      <c r="X181">
        <v>4.0000000000000002E-4</v>
      </c>
      <c r="Y181">
        <v>4.0000000000000002E-4</v>
      </c>
    </row>
    <row r="182" spans="1:25" hidden="1">
      <c r="A182" t="s">
        <v>270</v>
      </c>
      <c r="B182" t="s">
        <v>838</v>
      </c>
      <c r="C182" t="s">
        <v>804</v>
      </c>
      <c r="D182" t="s">
        <v>648</v>
      </c>
      <c r="E182" t="s">
        <v>597</v>
      </c>
      <c r="F182" t="s">
        <v>598</v>
      </c>
      <c r="G182" t="s">
        <v>599</v>
      </c>
      <c r="H182" t="s">
        <v>600</v>
      </c>
      <c r="I182" t="s">
        <v>601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270</v>
      </c>
      <c r="B183" t="s">
        <v>839</v>
      </c>
      <c r="C183" t="s">
        <v>804</v>
      </c>
      <c r="D183" t="s">
        <v>648</v>
      </c>
      <c r="E183" t="s">
        <v>688</v>
      </c>
      <c r="F183" t="s">
        <v>598</v>
      </c>
      <c r="G183" t="s">
        <v>599</v>
      </c>
      <c r="H183" t="s">
        <v>600</v>
      </c>
      <c r="I183" t="s">
        <v>601</v>
      </c>
      <c r="J183">
        <v>0.26629999999999998</v>
      </c>
      <c r="K183">
        <v>0.2671</v>
      </c>
      <c r="L183">
        <v>0.26879999999999998</v>
      </c>
      <c r="M183">
        <v>0.26910000000000001</v>
      </c>
      <c r="N183">
        <v>0.2702</v>
      </c>
      <c r="O183">
        <v>0.27429999999999999</v>
      </c>
      <c r="P183">
        <v>0.2767</v>
      </c>
      <c r="Q183">
        <v>0.2772</v>
      </c>
      <c r="R183">
        <v>0.27929999999999999</v>
      </c>
      <c r="S183">
        <v>0.28299999999999997</v>
      </c>
      <c r="T183">
        <v>0.28570000000000001</v>
      </c>
      <c r="U183">
        <v>0.2868</v>
      </c>
      <c r="V183">
        <v>0.29039999999999999</v>
      </c>
      <c r="W183">
        <v>0.29160000000000003</v>
      </c>
      <c r="X183">
        <v>0.29409999999999997</v>
      </c>
      <c r="Y183">
        <v>0.29670000000000002</v>
      </c>
    </row>
    <row r="184" spans="1:25" hidden="1">
      <c r="A184" t="s">
        <v>270</v>
      </c>
      <c r="B184" t="s">
        <v>840</v>
      </c>
      <c r="C184" t="s">
        <v>841</v>
      </c>
      <c r="D184" t="s">
        <v>596</v>
      </c>
      <c r="E184" t="s">
        <v>649</v>
      </c>
      <c r="F184" t="s">
        <v>598</v>
      </c>
      <c r="G184" t="s">
        <v>599</v>
      </c>
      <c r="H184" t="s">
        <v>600</v>
      </c>
      <c r="I184" t="s">
        <v>601</v>
      </c>
      <c r="J184">
        <v>1.1000000000000001E-3</v>
      </c>
      <c r="K184">
        <v>1.1000000000000001E-3</v>
      </c>
      <c r="L184">
        <v>1E-3</v>
      </c>
      <c r="M184">
        <v>1E-3</v>
      </c>
      <c r="N184">
        <v>1E-3</v>
      </c>
      <c r="O184">
        <v>1E-3</v>
      </c>
      <c r="P184">
        <v>1.1000000000000001E-3</v>
      </c>
      <c r="Q184">
        <v>1.1000000000000001E-3</v>
      </c>
      <c r="R184">
        <v>1.1000000000000001E-3</v>
      </c>
      <c r="S184">
        <v>1.1000000000000001E-3</v>
      </c>
      <c r="T184">
        <v>1.1000000000000001E-3</v>
      </c>
      <c r="U184">
        <v>1.1000000000000001E-3</v>
      </c>
      <c r="V184">
        <v>1.1000000000000001E-3</v>
      </c>
      <c r="W184">
        <v>1.1000000000000001E-3</v>
      </c>
      <c r="X184">
        <v>1.1000000000000001E-3</v>
      </c>
      <c r="Y184">
        <v>1.1000000000000001E-3</v>
      </c>
    </row>
    <row r="185" spans="1:25" hidden="1">
      <c r="A185" t="s">
        <v>270</v>
      </c>
      <c r="B185" t="s">
        <v>842</v>
      </c>
      <c r="C185" t="s">
        <v>841</v>
      </c>
      <c r="D185" t="s">
        <v>596</v>
      </c>
      <c r="E185" t="s">
        <v>597</v>
      </c>
      <c r="F185" t="s">
        <v>598</v>
      </c>
      <c r="G185" t="s">
        <v>599</v>
      </c>
      <c r="H185" t="s">
        <v>600</v>
      </c>
      <c r="I185" t="s">
        <v>601</v>
      </c>
      <c r="J185">
        <v>0.31109999999999999</v>
      </c>
      <c r="K185">
        <v>0.31459999999999999</v>
      </c>
      <c r="L185">
        <v>0.32029999999999997</v>
      </c>
      <c r="M185">
        <v>0.32790000000000002</v>
      </c>
      <c r="N185">
        <v>0.33260000000000001</v>
      </c>
      <c r="O185">
        <v>0.33689999999999998</v>
      </c>
      <c r="P185">
        <v>0.34160000000000001</v>
      </c>
      <c r="Q185">
        <v>0.34570000000000001</v>
      </c>
      <c r="R185">
        <v>0.34839999999999999</v>
      </c>
      <c r="S185">
        <v>0.35089999999999999</v>
      </c>
      <c r="T185">
        <v>0.35310000000000002</v>
      </c>
      <c r="U185">
        <v>0.35439999999999999</v>
      </c>
      <c r="V185">
        <v>0.35630000000000001</v>
      </c>
      <c r="W185">
        <v>0.35949999999999999</v>
      </c>
      <c r="X185">
        <v>0.36230000000000001</v>
      </c>
      <c r="Y185">
        <v>0.3649</v>
      </c>
    </row>
    <row r="186" spans="1:25" hidden="1">
      <c r="A186" t="s">
        <v>270</v>
      </c>
      <c r="B186" t="s">
        <v>843</v>
      </c>
      <c r="C186" t="s">
        <v>841</v>
      </c>
      <c r="D186" t="s">
        <v>596</v>
      </c>
      <c r="E186" t="s">
        <v>634</v>
      </c>
      <c r="F186" t="s">
        <v>598</v>
      </c>
      <c r="G186" t="s">
        <v>599</v>
      </c>
      <c r="H186" t="s">
        <v>600</v>
      </c>
      <c r="I186" t="s">
        <v>601</v>
      </c>
      <c r="J186">
        <v>2.3E-3</v>
      </c>
      <c r="K186">
        <v>2.3E-3</v>
      </c>
      <c r="L186">
        <v>2.3E-3</v>
      </c>
      <c r="M186">
        <v>2.3E-3</v>
      </c>
      <c r="N186">
        <v>2.3E-3</v>
      </c>
      <c r="O186">
        <v>2.3E-3</v>
      </c>
      <c r="P186">
        <v>2.3999999999999998E-3</v>
      </c>
      <c r="Q186">
        <v>2.3999999999999998E-3</v>
      </c>
      <c r="R186">
        <v>2.5000000000000001E-3</v>
      </c>
      <c r="S186">
        <v>2.5000000000000001E-3</v>
      </c>
      <c r="T186">
        <v>2.5000000000000001E-3</v>
      </c>
      <c r="U186">
        <v>2.5000000000000001E-3</v>
      </c>
      <c r="V186">
        <v>2.5000000000000001E-3</v>
      </c>
      <c r="W186">
        <v>2.5000000000000001E-3</v>
      </c>
      <c r="X186">
        <v>2.5000000000000001E-3</v>
      </c>
      <c r="Y186">
        <v>2.5000000000000001E-3</v>
      </c>
    </row>
    <row r="187" spans="1:25" hidden="1">
      <c r="A187" t="s">
        <v>270</v>
      </c>
      <c r="B187" t="s">
        <v>844</v>
      </c>
      <c r="C187" t="s">
        <v>841</v>
      </c>
      <c r="D187" t="s">
        <v>596</v>
      </c>
      <c r="E187" t="s">
        <v>603</v>
      </c>
      <c r="F187" t="s">
        <v>598</v>
      </c>
      <c r="G187" t="s">
        <v>599</v>
      </c>
      <c r="H187" t="s">
        <v>600</v>
      </c>
      <c r="I187" t="s">
        <v>601</v>
      </c>
      <c r="J187">
        <v>4.1999999999999997E-3</v>
      </c>
      <c r="K187">
        <v>4.1999999999999997E-3</v>
      </c>
      <c r="L187">
        <v>4.1000000000000003E-3</v>
      </c>
      <c r="M187">
        <v>4.1000000000000003E-3</v>
      </c>
      <c r="N187">
        <v>4.0000000000000001E-3</v>
      </c>
      <c r="O187">
        <v>4.0000000000000001E-3</v>
      </c>
      <c r="P187">
        <v>4.0000000000000001E-3</v>
      </c>
      <c r="Q187">
        <v>4.1000000000000003E-3</v>
      </c>
      <c r="R187">
        <v>4.1000000000000003E-3</v>
      </c>
      <c r="S187">
        <v>4.1999999999999997E-3</v>
      </c>
      <c r="T187">
        <v>4.1999999999999997E-3</v>
      </c>
      <c r="U187">
        <v>4.1999999999999997E-3</v>
      </c>
      <c r="V187">
        <v>4.3E-3</v>
      </c>
      <c r="W187">
        <v>4.3E-3</v>
      </c>
      <c r="X187">
        <v>4.3E-3</v>
      </c>
      <c r="Y187">
        <v>4.4000000000000003E-3</v>
      </c>
    </row>
    <row r="188" spans="1:25" hidden="1">
      <c r="A188" t="s">
        <v>270</v>
      </c>
      <c r="B188" t="s">
        <v>845</v>
      </c>
      <c r="C188" t="s">
        <v>841</v>
      </c>
      <c r="D188" t="s">
        <v>596</v>
      </c>
      <c r="E188" t="s">
        <v>605</v>
      </c>
      <c r="F188" t="s">
        <v>598</v>
      </c>
      <c r="G188" t="s">
        <v>599</v>
      </c>
      <c r="H188" t="s">
        <v>600</v>
      </c>
      <c r="I188" t="s">
        <v>601</v>
      </c>
      <c r="J188">
        <v>0.1202</v>
      </c>
      <c r="K188">
        <v>0.1226</v>
      </c>
      <c r="L188">
        <v>0.12509999999999999</v>
      </c>
      <c r="M188">
        <v>0.12759999999999999</v>
      </c>
      <c r="N188">
        <v>0.13009999999999999</v>
      </c>
      <c r="O188">
        <v>0.1326</v>
      </c>
      <c r="P188">
        <v>0.13370000000000001</v>
      </c>
      <c r="Q188">
        <v>0.1348</v>
      </c>
      <c r="R188">
        <v>0.13600000000000001</v>
      </c>
      <c r="S188">
        <v>0.1371</v>
      </c>
      <c r="T188">
        <v>0.13819999999999999</v>
      </c>
      <c r="U188">
        <v>0.13930000000000001</v>
      </c>
      <c r="V188">
        <v>0.1404</v>
      </c>
      <c r="W188">
        <v>0.1416</v>
      </c>
      <c r="X188">
        <v>0.14269999999999999</v>
      </c>
      <c r="Y188">
        <v>0.1439</v>
      </c>
    </row>
    <row r="189" spans="1:25" hidden="1">
      <c r="A189" t="s">
        <v>270</v>
      </c>
      <c r="B189" t="s">
        <v>846</v>
      </c>
      <c r="C189" t="s">
        <v>841</v>
      </c>
      <c r="D189" t="s">
        <v>596</v>
      </c>
      <c r="E189" t="s">
        <v>624</v>
      </c>
      <c r="F189" t="s">
        <v>598</v>
      </c>
      <c r="G189" t="s">
        <v>599</v>
      </c>
      <c r="H189" t="s">
        <v>600</v>
      </c>
      <c r="I189" t="s">
        <v>601</v>
      </c>
      <c r="J189">
        <v>2.0000000000000001E-4</v>
      </c>
      <c r="K189">
        <v>2.0000000000000001E-4</v>
      </c>
      <c r="L189">
        <v>2.0000000000000001E-4</v>
      </c>
      <c r="M189">
        <v>2.9999999999999997E-4</v>
      </c>
      <c r="N189">
        <v>2.9999999999999997E-4</v>
      </c>
      <c r="O189">
        <v>2.9999999999999997E-4</v>
      </c>
      <c r="P189">
        <v>2.9999999999999997E-4</v>
      </c>
      <c r="Q189">
        <v>2.9999999999999997E-4</v>
      </c>
      <c r="R189">
        <v>2.9999999999999997E-4</v>
      </c>
      <c r="S189">
        <v>2.9999999999999997E-4</v>
      </c>
      <c r="T189">
        <v>2.9999999999999997E-4</v>
      </c>
      <c r="U189">
        <v>2.9999999999999997E-4</v>
      </c>
      <c r="V189">
        <v>2.9999999999999997E-4</v>
      </c>
      <c r="W189">
        <v>2.9999999999999997E-4</v>
      </c>
      <c r="X189">
        <v>2.9999999999999997E-4</v>
      </c>
      <c r="Y189">
        <v>2.9999999999999997E-4</v>
      </c>
    </row>
    <row r="190" spans="1:25" hidden="1">
      <c r="A190" t="s">
        <v>270</v>
      </c>
      <c r="B190" t="s">
        <v>847</v>
      </c>
      <c r="C190" t="s">
        <v>841</v>
      </c>
      <c r="D190" t="s">
        <v>596</v>
      </c>
      <c r="E190" t="s">
        <v>808</v>
      </c>
      <c r="F190" t="s">
        <v>598</v>
      </c>
      <c r="G190" t="s">
        <v>599</v>
      </c>
      <c r="H190" t="s">
        <v>600</v>
      </c>
      <c r="I190" t="s">
        <v>601</v>
      </c>
      <c r="J190">
        <v>2.1899999999999999E-2</v>
      </c>
      <c r="K190">
        <v>2.2200000000000001E-2</v>
      </c>
      <c r="L190">
        <v>2.2599999999999999E-2</v>
      </c>
      <c r="M190">
        <v>2.2800000000000001E-2</v>
      </c>
      <c r="N190">
        <v>2.3E-2</v>
      </c>
      <c r="O190">
        <v>2.3300000000000001E-2</v>
      </c>
      <c r="P190">
        <v>2.35E-2</v>
      </c>
      <c r="Q190">
        <v>2.35E-2</v>
      </c>
      <c r="R190">
        <v>2.3800000000000002E-2</v>
      </c>
      <c r="S190">
        <v>2.3900000000000001E-2</v>
      </c>
      <c r="T190">
        <v>2.41E-2</v>
      </c>
      <c r="U190">
        <v>2.4199999999999999E-2</v>
      </c>
      <c r="V190">
        <v>2.4299999999999999E-2</v>
      </c>
      <c r="W190">
        <v>2.4500000000000001E-2</v>
      </c>
      <c r="X190">
        <v>2.47E-2</v>
      </c>
      <c r="Y190">
        <v>2.4899999999999999E-2</v>
      </c>
    </row>
    <row r="191" spans="1:25" hidden="1">
      <c r="A191" t="s">
        <v>270</v>
      </c>
      <c r="B191" t="s">
        <v>848</v>
      </c>
      <c r="C191" t="s">
        <v>841</v>
      </c>
      <c r="D191" t="s">
        <v>596</v>
      </c>
      <c r="E191" t="s">
        <v>735</v>
      </c>
      <c r="F191" t="s">
        <v>598</v>
      </c>
      <c r="G191" t="s">
        <v>599</v>
      </c>
      <c r="H191" t="s">
        <v>600</v>
      </c>
      <c r="I191" t="s">
        <v>601</v>
      </c>
      <c r="J191">
        <v>8.0000000000000004E-4</v>
      </c>
      <c r="K191">
        <v>8.0000000000000004E-4</v>
      </c>
      <c r="L191">
        <v>8.0000000000000004E-4</v>
      </c>
      <c r="M191">
        <v>8.0000000000000004E-4</v>
      </c>
      <c r="N191">
        <v>8.0000000000000004E-4</v>
      </c>
      <c r="O191">
        <v>8.0000000000000004E-4</v>
      </c>
      <c r="P191">
        <v>8.0000000000000004E-4</v>
      </c>
      <c r="Q191">
        <v>8.0000000000000004E-4</v>
      </c>
      <c r="R191">
        <v>8.0000000000000004E-4</v>
      </c>
      <c r="S191">
        <v>8.0000000000000004E-4</v>
      </c>
      <c r="T191">
        <v>8.0000000000000004E-4</v>
      </c>
      <c r="U191">
        <v>8.0000000000000004E-4</v>
      </c>
      <c r="V191">
        <v>8.0000000000000004E-4</v>
      </c>
      <c r="W191">
        <v>8.0000000000000004E-4</v>
      </c>
      <c r="X191">
        <v>8.0000000000000004E-4</v>
      </c>
      <c r="Y191">
        <v>8.0000000000000004E-4</v>
      </c>
    </row>
    <row r="192" spans="1:25" hidden="1">
      <c r="A192" t="s">
        <v>270</v>
      </c>
      <c r="B192" t="s">
        <v>849</v>
      </c>
      <c r="C192" t="s">
        <v>841</v>
      </c>
      <c r="D192" t="s">
        <v>596</v>
      </c>
      <c r="E192" t="s">
        <v>609</v>
      </c>
      <c r="F192" t="s">
        <v>598</v>
      </c>
      <c r="G192" t="s">
        <v>599</v>
      </c>
      <c r="H192" t="s">
        <v>600</v>
      </c>
      <c r="I192" t="s">
        <v>601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270</v>
      </c>
      <c r="B193" t="s">
        <v>850</v>
      </c>
      <c r="C193" t="s">
        <v>841</v>
      </c>
      <c r="D193" t="s">
        <v>596</v>
      </c>
      <c r="E193" t="s">
        <v>613</v>
      </c>
      <c r="F193" t="s">
        <v>598</v>
      </c>
      <c r="G193" t="s">
        <v>599</v>
      </c>
      <c r="H193" t="s">
        <v>600</v>
      </c>
      <c r="I193" t="s">
        <v>601</v>
      </c>
      <c r="J193">
        <v>5.0000000000000001E-4</v>
      </c>
      <c r="K193">
        <v>5.0000000000000001E-4</v>
      </c>
      <c r="L193">
        <v>5.0000000000000001E-4</v>
      </c>
      <c r="M193">
        <v>5.0000000000000001E-4</v>
      </c>
      <c r="N193">
        <v>5.0000000000000001E-4</v>
      </c>
      <c r="O193">
        <v>5.0000000000000001E-4</v>
      </c>
      <c r="P193">
        <v>5.0000000000000001E-4</v>
      </c>
      <c r="Q193">
        <v>5.0000000000000001E-4</v>
      </c>
      <c r="R193">
        <v>5.0000000000000001E-4</v>
      </c>
      <c r="S193">
        <v>5.0000000000000001E-4</v>
      </c>
      <c r="T193">
        <v>5.0000000000000001E-4</v>
      </c>
      <c r="U193">
        <v>5.0000000000000001E-4</v>
      </c>
      <c r="V193">
        <v>5.0000000000000001E-4</v>
      </c>
      <c r="W193">
        <v>5.0000000000000001E-4</v>
      </c>
      <c r="X193">
        <v>5.0000000000000001E-4</v>
      </c>
      <c r="Y193">
        <v>5.0000000000000001E-4</v>
      </c>
    </row>
    <row r="194" spans="1:25" hidden="1">
      <c r="A194" t="s">
        <v>270</v>
      </c>
      <c r="B194" t="s">
        <v>851</v>
      </c>
      <c r="C194" t="s">
        <v>841</v>
      </c>
      <c r="D194" t="s">
        <v>596</v>
      </c>
      <c r="E194" t="s">
        <v>615</v>
      </c>
      <c r="F194" t="s">
        <v>598</v>
      </c>
      <c r="G194" t="s">
        <v>599</v>
      </c>
      <c r="H194" t="s">
        <v>600</v>
      </c>
      <c r="I194" t="s">
        <v>601</v>
      </c>
      <c r="J194">
        <v>7.2099999999999997E-2</v>
      </c>
      <c r="K194">
        <v>7.2099999999999997E-2</v>
      </c>
      <c r="L194">
        <v>7.2099999999999997E-2</v>
      </c>
      <c r="M194">
        <v>7.2099999999999997E-2</v>
      </c>
      <c r="N194">
        <v>7.2099999999999997E-2</v>
      </c>
      <c r="O194">
        <v>7.2099999999999997E-2</v>
      </c>
      <c r="P194">
        <v>7.2099999999999997E-2</v>
      </c>
      <c r="Q194">
        <v>7.2099999999999997E-2</v>
      </c>
      <c r="R194">
        <v>7.2099999999999997E-2</v>
      </c>
      <c r="S194">
        <v>7.2099999999999997E-2</v>
      </c>
      <c r="T194">
        <v>7.2099999999999997E-2</v>
      </c>
      <c r="U194">
        <v>7.2099999999999997E-2</v>
      </c>
      <c r="V194">
        <v>7.2099999999999997E-2</v>
      </c>
      <c r="W194">
        <v>7.2099999999999997E-2</v>
      </c>
      <c r="X194">
        <v>7.2099999999999997E-2</v>
      </c>
      <c r="Y194">
        <v>7.2099999999999997E-2</v>
      </c>
    </row>
    <row r="195" spans="1:25" hidden="1">
      <c r="A195" t="s">
        <v>270</v>
      </c>
      <c r="B195" t="s">
        <v>852</v>
      </c>
      <c r="C195" t="s">
        <v>841</v>
      </c>
      <c r="D195" t="s">
        <v>596</v>
      </c>
      <c r="E195" t="s">
        <v>619</v>
      </c>
      <c r="F195" t="s">
        <v>598</v>
      </c>
      <c r="G195" t="s">
        <v>599</v>
      </c>
      <c r="H195" t="s">
        <v>600</v>
      </c>
      <c r="I195" t="s">
        <v>601</v>
      </c>
      <c r="J195">
        <v>0.14349999999999999</v>
      </c>
      <c r="K195">
        <v>0.14349999999999999</v>
      </c>
      <c r="L195">
        <v>0.14349999999999999</v>
      </c>
      <c r="M195">
        <v>0.14349999999999999</v>
      </c>
      <c r="N195">
        <v>0.14349999999999999</v>
      </c>
      <c r="O195">
        <v>0.1434</v>
      </c>
      <c r="P195">
        <v>0.14349999999999999</v>
      </c>
      <c r="Q195">
        <v>0.14349999999999999</v>
      </c>
      <c r="R195">
        <v>0.14349999999999999</v>
      </c>
      <c r="S195">
        <v>0.14349999999999999</v>
      </c>
      <c r="T195">
        <v>0.14349999999999999</v>
      </c>
      <c r="U195">
        <v>0.14349999999999999</v>
      </c>
      <c r="V195">
        <v>0.14349999999999999</v>
      </c>
      <c r="W195">
        <v>0.14349999999999999</v>
      </c>
      <c r="X195">
        <v>0.14349999999999999</v>
      </c>
      <c r="Y195">
        <v>0.14360000000000001</v>
      </c>
    </row>
    <row r="196" spans="1:25" hidden="1">
      <c r="A196" t="s">
        <v>270</v>
      </c>
      <c r="B196" t="s">
        <v>853</v>
      </c>
      <c r="C196" t="s">
        <v>841</v>
      </c>
      <c r="D196" t="s">
        <v>596</v>
      </c>
      <c r="E196" t="s">
        <v>744</v>
      </c>
      <c r="F196" t="s">
        <v>598</v>
      </c>
      <c r="G196" t="s">
        <v>599</v>
      </c>
      <c r="H196" t="s">
        <v>600</v>
      </c>
      <c r="I196" t="s">
        <v>601</v>
      </c>
      <c r="J196">
        <v>1.5E-3</v>
      </c>
      <c r="K196">
        <v>1.5E-3</v>
      </c>
      <c r="L196">
        <v>1.5E-3</v>
      </c>
      <c r="M196">
        <v>1.5E-3</v>
      </c>
      <c r="N196">
        <v>1.5E-3</v>
      </c>
      <c r="O196">
        <v>1.5E-3</v>
      </c>
      <c r="P196">
        <v>1.5E-3</v>
      </c>
      <c r="Q196">
        <v>1.5E-3</v>
      </c>
      <c r="R196">
        <v>1.5E-3</v>
      </c>
      <c r="S196">
        <v>1.5E-3</v>
      </c>
      <c r="T196">
        <v>1.5E-3</v>
      </c>
      <c r="U196">
        <v>1.5E-3</v>
      </c>
      <c r="V196">
        <v>1.5E-3</v>
      </c>
      <c r="W196">
        <v>1.5E-3</v>
      </c>
      <c r="X196">
        <v>1.5E-3</v>
      </c>
      <c r="Y196">
        <v>1.5E-3</v>
      </c>
    </row>
    <row r="197" spans="1:25" hidden="1">
      <c r="A197" t="s">
        <v>270</v>
      </c>
      <c r="B197" t="s">
        <v>854</v>
      </c>
      <c r="C197" t="s">
        <v>841</v>
      </c>
      <c r="D197" t="s">
        <v>596</v>
      </c>
      <c r="E197" t="s">
        <v>669</v>
      </c>
      <c r="F197" t="s">
        <v>598</v>
      </c>
      <c r="G197" t="s">
        <v>599</v>
      </c>
      <c r="H197" t="s">
        <v>600</v>
      </c>
      <c r="I197" t="s">
        <v>601</v>
      </c>
      <c r="J197">
        <v>2.3300000000000001E-2</v>
      </c>
      <c r="K197">
        <v>2.3300000000000001E-2</v>
      </c>
      <c r="L197">
        <v>2.3300000000000001E-2</v>
      </c>
      <c r="M197">
        <v>2.3300000000000001E-2</v>
      </c>
      <c r="N197">
        <v>2.3300000000000001E-2</v>
      </c>
      <c r="O197">
        <v>2.3300000000000001E-2</v>
      </c>
      <c r="P197">
        <v>2.3300000000000001E-2</v>
      </c>
      <c r="Q197">
        <v>2.3300000000000001E-2</v>
      </c>
      <c r="R197">
        <v>2.3300000000000001E-2</v>
      </c>
      <c r="S197">
        <v>2.3300000000000001E-2</v>
      </c>
      <c r="T197">
        <v>2.3300000000000001E-2</v>
      </c>
      <c r="U197">
        <v>2.3300000000000001E-2</v>
      </c>
      <c r="V197">
        <v>2.3300000000000001E-2</v>
      </c>
      <c r="W197">
        <v>2.3300000000000001E-2</v>
      </c>
      <c r="X197">
        <v>2.3300000000000001E-2</v>
      </c>
      <c r="Y197">
        <v>2.3300000000000001E-2</v>
      </c>
    </row>
    <row r="198" spans="1:25" hidden="1">
      <c r="A198" t="s">
        <v>270</v>
      </c>
      <c r="B198" t="s">
        <v>855</v>
      </c>
      <c r="C198" t="s">
        <v>841</v>
      </c>
      <c r="D198" t="s">
        <v>671</v>
      </c>
      <c r="E198" t="s">
        <v>597</v>
      </c>
      <c r="F198" t="s">
        <v>598</v>
      </c>
      <c r="G198" t="s">
        <v>599</v>
      </c>
      <c r="H198" t="s">
        <v>600</v>
      </c>
      <c r="I198" t="s">
        <v>601</v>
      </c>
      <c r="J198">
        <v>4.6899999999999997E-2</v>
      </c>
      <c r="K198">
        <v>4.7399999999999998E-2</v>
      </c>
      <c r="L198">
        <v>4.8300000000000003E-2</v>
      </c>
      <c r="M198">
        <v>4.9700000000000001E-2</v>
      </c>
      <c r="N198">
        <v>5.0900000000000001E-2</v>
      </c>
      <c r="O198">
        <v>5.1900000000000002E-2</v>
      </c>
      <c r="P198">
        <v>5.2400000000000002E-2</v>
      </c>
      <c r="Q198">
        <v>5.3600000000000002E-2</v>
      </c>
      <c r="R198">
        <v>5.4300000000000001E-2</v>
      </c>
      <c r="S198">
        <v>5.4699999999999999E-2</v>
      </c>
      <c r="T198">
        <v>5.5E-2</v>
      </c>
      <c r="U198">
        <v>5.5500000000000001E-2</v>
      </c>
      <c r="V198">
        <v>5.6099999999999997E-2</v>
      </c>
      <c r="W198">
        <v>5.6899999999999999E-2</v>
      </c>
      <c r="X198">
        <v>5.7299999999999997E-2</v>
      </c>
      <c r="Y198">
        <v>5.7799999999999997E-2</v>
      </c>
    </row>
    <row r="199" spans="1:25" hidden="1">
      <c r="A199" t="s">
        <v>270</v>
      </c>
      <c r="B199" t="s">
        <v>856</v>
      </c>
      <c r="C199" t="s">
        <v>841</v>
      </c>
      <c r="D199" t="s">
        <v>671</v>
      </c>
      <c r="E199" t="s">
        <v>642</v>
      </c>
      <c r="F199" t="s">
        <v>598</v>
      </c>
      <c r="G199" t="s">
        <v>599</v>
      </c>
      <c r="H199" t="s">
        <v>600</v>
      </c>
      <c r="I199" t="s">
        <v>601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270</v>
      </c>
      <c r="B200" t="s">
        <v>857</v>
      </c>
      <c r="C200" t="s">
        <v>841</v>
      </c>
      <c r="D200" t="s">
        <v>671</v>
      </c>
      <c r="E200" t="s">
        <v>605</v>
      </c>
      <c r="F200" t="s">
        <v>598</v>
      </c>
      <c r="G200" t="s">
        <v>599</v>
      </c>
      <c r="H200" t="s">
        <v>600</v>
      </c>
      <c r="I200" t="s">
        <v>601</v>
      </c>
      <c r="J200">
        <v>1.24E-2</v>
      </c>
      <c r="K200">
        <v>1.2500000000000001E-2</v>
      </c>
      <c r="L200">
        <v>1.26E-2</v>
      </c>
      <c r="M200">
        <v>1.2699999999999999E-2</v>
      </c>
      <c r="N200">
        <v>1.2800000000000001E-2</v>
      </c>
      <c r="O200">
        <v>1.29E-2</v>
      </c>
      <c r="P200">
        <v>1.2999999999999999E-2</v>
      </c>
      <c r="Q200">
        <v>1.3100000000000001E-2</v>
      </c>
      <c r="R200">
        <v>1.3299999999999999E-2</v>
      </c>
      <c r="S200">
        <v>1.35E-2</v>
      </c>
      <c r="T200">
        <v>1.3599999999999999E-2</v>
      </c>
      <c r="U200">
        <v>1.37E-2</v>
      </c>
      <c r="V200">
        <v>1.38E-2</v>
      </c>
      <c r="W200">
        <v>1.3899999999999999E-2</v>
      </c>
      <c r="X200">
        <v>1.4E-2</v>
      </c>
      <c r="Y200">
        <v>1.41E-2</v>
      </c>
    </row>
    <row r="201" spans="1:25" hidden="1">
      <c r="A201" t="s">
        <v>270</v>
      </c>
      <c r="B201" t="s">
        <v>858</v>
      </c>
      <c r="C201" t="s">
        <v>841</v>
      </c>
      <c r="D201" t="s">
        <v>671</v>
      </c>
      <c r="E201" t="s">
        <v>624</v>
      </c>
      <c r="F201" t="s">
        <v>598</v>
      </c>
      <c r="G201" t="s">
        <v>599</v>
      </c>
      <c r="H201" t="s">
        <v>600</v>
      </c>
      <c r="I201" t="s">
        <v>601</v>
      </c>
      <c r="J201">
        <v>4.4999999999999997E-3</v>
      </c>
      <c r="K201">
        <v>4.4999999999999997E-3</v>
      </c>
      <c r="L201">
        <v>4.4999999999999997E-3</v>
      </c>
      <c r="M201">
        <v>4.4999999999999997E-3</v>
      </c>
      <c r="N201">
        <v>4.4999999999999997E-3</v>
      </c>
      <c r="O201">
        <v>4.4999999999999997E-3</v>
      </c>
      <c r="P201">
        <v>4.4999999999999997E-3</v>
      </c>
      <c r="Q201">
        <v>4.4999999999999997E-3</v>
      </c>
      <c r="R201">
        <v>4.4999999999999997E-3</v>
      </c>
      <c r="S201">
        <v>4.4999999999999997E-3</v>
      </c>
      <c r="T201">
        <v>4.4999999999999997E-3</v>
      </c>
      <c r="U201">
        <v>4.4999999999999997E-3</v>
      </c>
      <c r="V201">
        <v>4.4999999999999997E-3</v>
      </c>
      <c r="W201">
        <v>4.4999999999999997E-3</v>
      </c>
      <c r="X201">
        <v>4.4999999999999997E-3</v>
      </c>
      <c r="Y201">
        <v>4.4999999999999997E-3</v>
      </c>
    </row>
    <row r="202" spans="1:25" hidden="1">
      <c r="A202" t="s">
        <v>270</v>
      </c>
      <c r="B202" t="s">
        <v>859</v>
      </c>
      <c r="C202" t="s">
        <v>841</v>
      </c>
      <c r="D202" t="s">
        <v>671</v>
      </c>
      <c r="E202" t="s">
        <v>750</v>
      </c>
      <c r="F202" t="s">
        <v>598</v>
      </c>
      <c r="G202" t="s">
        <v>599</v>
      </c>
      <c r="H202" t="s">
        <v>600</v>
      </c>
      <c r="I202" t="s">
        <v>601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hidden="1">
      <c r="A203" t="s">
        <v>270</v>
      </c>
      <c r="B203" t="s">
        <v>860</v>
      </c>
      <c r="C203" t="s">
        <v>841</v>
      </c>
      <c r="D203" t="s">
        <v>753</v>
      </c>
      <c r="E203" t="s">
        <v>597</v>
      </c>
      <c r="F203" t="s">
        <v>598</v>
      </c>
      <c r="G203" t="s">
        <v>599</v>
      </c>
      <c r="H203" t="s">
        <v>600</v>
      </c>
      <c r="I203" t="s">
        <v>601</v>
      </c>
      <c r="J203">
        <v>2.5999999999999999E-3</v>
      </c>
      <c r="K203">
        <v>2.5999999999999999E-3</v>
      </c>
      <c r="L203">
        <v>2.5999999999999999E-3</v>
      </c>
      <c r="M203">
        <v>2.5999999999999999E-3</v>
      </c>
      <c r="N203">
        <v>2.5999999999999999E-3</v>
      </c>
      <c r="O203">
        <v>2.7000000000000001E-3</v>
      </c>
      <c r="P203">
        <v>2.7000000000000001E-3</v>
      </c>
      <c r="Q203">
        <v>2.7000000000000001E-3</v>
      </c>
      <c r="R203">
        <v>2.7000000000000001E-3</v>
      </c>
      <c r="S203">
        <v>2.7000000000000001E-3</v>
      </c>
      <c r="T203">
        <v>2.7000000000000001E-3</v>
      </c>
      <c r="U203">
        <v>2.7000000000000001E-3</v>
      </c>
      <c r="V203">
        <v>2.7000000000000001E-3</v>
      </c>
      <c r="W203">
        <v>2.7000000000000001E-3</v>
      </c>
      <c r="X203">
        <v>2.7000000000000001E-3</v>
      </c>
      <c r="Y203">
        <v>2.7000000000000001E-3</v>
      </c>
    </row>
    <row r="204" spans="1:25" hidden="1">
      <c r="A204" t="s">
        <v>270</v>
      </c>
      <c r="B204" t="s">
        <v>861</v>
      </c>
      <c r="C204" t="s">
        <v>841</v>
      </c>
      <c r="D204" t="s">
        <v>753</v>
      </c>
      <c r="E204" t="s">
        <v>642</v>
      </c>
      <c r="F204" t="s">
        <v>598</v>
      </c>
      <c r="G204" t="s">
        <v>599</v>
      </c>
      <c r="H204" t="s">
        <v>600</v>
      </c>
      <c r="I204" t="s">
        <v>601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 hidden="1">
      <c r="A205" t="s">
        <v>270</v>
      </c>
      <c r="B205" t="s">
        <v>862</v>
      </c>
      <c r="C205" t="s">
        <v>841</v>
      </c>
      <c r="D205" t="s">
        <v>756</v>
      </c>
      <c r="E205" t="s">
        <v>597</v>
      </c>
      <c r="F205" t="s">
        <v>598</v>
      </c>
      <c r="G205" t="s">
        <v>599</v>
      </c>
      <c r="H205" t="s">
        <v>600</v>
      </c>
      <c r="I205" t="s">
        <v>601</v>
      </c>
      <c r="J205">
        <v>0.249</v>
      </c>
      <c r="K205">
        <v>0.25109999999999999</v>
      </c>
      <c r="L205">
        <v>0.25409999999999999</v>
      </c>
      <c r="M205">
        <v>0.25779999999999997</v>
      </c>
      <c r="N205">
        <v>0.25950000000000001</v>
      </c>
      <c r="O205">
        <v>0.26169999999999999</v>
      </c>
      <c r="P205">
        <v>0.26240000000000002</v>
      </c>
      <c r="Q205">
        <v>0.26340000000000002</v>
      </c>
      <c r="R205">
        <v>0.26419999999999999</v>
      </c>
      <c r="S205">
        <v>0.2641</v>
      </c>
      <c r="T205">
        <v>0.26419999999999999</v>
      </c>
      <c r="U205">
        <v>0.26379999999999998</v>
      </c>
      <c r="V205">
        <v>0.26450000000000001</v>
      </c>
      <c r="W205">
        <v>0.26550000000000001</v>
      </c>
      <c r="X205">
        <v>0.2676</v>
      </c>
      <c r="Y205">
        <v>0.26929999999999998</v>
      </c>
    </row>
    <row r="206" spans="1:25" hidden="1">
      <c r="A206" t="s">
        <v>270</v>
      </c>
      <c r="B206" t="s">
        <v>863</v>
      </c>
      <c r="C206" t="s">
        <v>841</v>
      </c>
      <c r="D206" t="s">
        <v>756</v>
      </c>
      <c r="E206" t="s">
        <v>642</v>
      </c>
      <c r="F206" t="s">
        <v>598</v>
      </c>
      <c r="G206" t="s">
        <v>599</v>
      </c>
      <c r="H206" t="s">
        <v>600</v>
      </c>
      <c r="I206" t="s">
        <v>601</v>
      </c>
      <c r="J206">
        <v>2.9999999999999997E-4</v>
      </c>
      <c r="K206">
        <v>2.9999999999999997E-4</v>
      </c>
      <c r="L206">
        <v>2.9999999999999997E-4</v>
      </c>
      <c r="M206">
        <v>2.9999999999999997E-4</v>
      </c>
      <c r="N206">
        <v>2.9999999999999997E-4</v>
      </c>
      <c r="O206">
        <v>2.9999999999999997E-4</v>
      </c>
      <c r="P206">
        <v>2.9999999999999997E-4</v>
      </c>
      <c r="Q206">
        <v>2.9999999999999997E-4</v>
      </c>
      <c r="R206">
        <v>2.9999999999999997E-4</v>
      </c>
      <c r="S206">
        <v>2.9999999999999997E-4</v>
      </c>
      <c r="T206">
        <v>2.9999999999999997E-4</v>
      </c>
      <c r="U206">
        <v>2.9999999999999997E-4</v>
      </c>
      <c r="V206">
        <v>2.9999999999999997E-4</v>
      </c>
      <c r="W206">
        <v>2.9999999999999997E-4</v>
      </c>
      <c r="X206">
        <v>2.9999999999999997E-4</v>
      </c>
      <c r="Y206">
        <v>2.9999999999999997E-4</v>
      </c>
    </row>
    <row r="207" spans="1:25" hidden="1">
      <c r="A207" t="s">
        <v>270</v>
      </c>
      <c r="B207" t="s">
        <v>864</v>
      </c>
      <c r="C207" t="s">
        <v>841</v>
      </c>
      <c r="D207" t="s">
        <v>756</v>
      </c>
      <c r="E207" t="s">
        <v>619</v>
      </c>
      <c r="F207" t="s">
        <v>598</v>
      </c>
      <c r="G207" t="s">
        <v>599</v>
      </c>
      <c r="H207" t="s">
        <v>600</v>
      </c>
      <c r="I207" t="s">
        <v>601</v>
      </c>
      <c r="J207">
        <v>1E-4</v>
      </c>
      <c r="K207">
        <v>1E-4</v>
      </c>
      <c r="L207">
        <v>1E-4</v>
      </c>
      <c r="M207">
        <v>1E-4</v>
      </c>
      <c r="N207">
        <v>1E-4</v>
      </c>
      <c r="O207">
        <v>1E-4</v>
      </c>
      <c r="P207">
        <v>1E-4</v>
      </c>
      <c r="Q207">
        <v>1E-4</v>
      </c>
      <c r="R207">
        <v>1E-4</v>
      </c>
      <c r="S207">
        <v>1E-4</v>
      </c>
      <c r="T207">
        <v>1E-4</v>
      </c>
      <c r="U207">
        <v>1E-4</v>
      </c>
      <c r="V207">
        <v>1E-4</v>
      </c>
      <c r="W207">
        <v>1E-4</v>
      </c>
      <c r="X207">
        <v>1E-4</v>
      </c>
      <c r="Y207">
        <v>1E-4</v>
      </c>
    </row>
    <row r="208" spans="1:25" hidden="1">
      <c r="A208" t="s">
        <v>270</v>
      </c>
      <c r="B208" t="s">
        <v>865</v>
      </c>
      <c r="C208" t="s">
        <v>841</v>
      </c>
      <c r="D208" t="s">
        <v>866</v>
      </c>
      <c r="E208" t="s">
        <v>597</v>
      </c>
      <c r="F208" t="s">
        <v>598</v>
      </c>
      <c r="G208" t="s">
        <v>599</v>
      </c>
      <c r="H208" t="s">
        <v>600</v>
      </c>
      <c r="I208" t="s">
        <v>601</v>
      </c>
      <c r="J208">
        <v>0.1532</v>
      </c>
      <c r="K208">
        <v>0.15440000000000001</v>
      </c>
      <c r="L208">
        <v>0.15570000000000001</v>
      </c>
      <c r="M208">
        <v>0.1575</v>
      </c>
      <c r="N208">
        <v>0.158</v>
      </c>
      <c r="O208">
        <v>0.1583</v>
      </c>
      <c r="P208">
        <v>0.15859999999999999</v>
      </c>
      <c r="Q208">
        <v>0.1585</v>
      </c>
      <c r="R208">
        <v>0.1585</v>
      </c>
      <c r="S208">
        <v>0.158</v>
      </c>
      <c r="T208">
        <v>0.15759999999999999</v>
      </c>
      <c r="U208">
        <v>0.15720000000000001</v>
      </c>
      <c r="V208">
        <v>0.1575</v>
      </c>
      <c r="W208">
        <v>0.15790000000000001</v>
      </c>
      <c r="X208">
        <v>0.15870000000000001</v>
      </c>
      <c r="Y208">
        <v>0.15959999999999999</v>
      </c>
    </row>
    <row r="209" spans="1:25" hidden="1">
      <c r="A209" t="s">
        <v>270</v>
      </c>
      <c r="B209" t="s">
        <v>867</v>
      </c>
      <c r="C209" t="s">
        <v>841</v>
      </c>
      <c r="D209" t="s">
        <v>621</v>
      </c>
      <c r="E209" t="s">
        <v>649</v>
      </c>
      <c r="F209" t="s">
        <v>598</v>
      </c>
      <c r="G209" t="s">
        <v>599</v>
      </c>
      <c r="H209" t="s">
        <v>600</v>
      </c>
      <c r="I209" t="s">
        <v>601</v>
      </c>
      <c r="J209">
        <v>5.9999999999999995E-4</v>
      </c>
      <c r="K209">
        <v>5.9999999999999995E-4</v>
      </c>
      <c r="L209">
        <v>5.9999999999999995E-4</v>
      </c>
      <c r="M209">
        <v>5.9999999999999995E-4</v>
      </c>
      <c r="N209">
        <v>5.9999999999999995E-4</v>
      </c>
      <c r="O209">
        <v>5.9999999999999995E-4</v>
      </c>
      <c r="P209">
        <v>5.9999999999999995E-4</v>
      </c>
      <c r="Q209">
        <v>5.9999999999999995E-4</v>
      </c>
      <c r="R209">
        <v>5.9999999999999995E-4</v>
      </c>
      <c r="S209">
        <v>5.9999999999999995E-4</v>
      </c>
      <c r="T209">
        <v>5.9999999999999995E-4</v>
      </c>
      <c r="U209">
        <v>5.9999999999999995E-4</v>
      </c>
      <c r="V209">
        <v>5.9999999999999995E-4</v>
      </c>
      <c r="W209">
        <v>5.9999999999999995E-4</v>
      </c>
      <c r="X209">
        <v>5.9999999999999995E-4</v>
      </c>
      <c r="Y209">
        <v>5.9999999999999995E-4</v>
      </c>
    </row>
    <row r="210" spans="1:25" hidden="1">
      <c r="A210" t="s">
        <v>270</v>
      </c>
      <c r="B210" t="s">
        <v>868</v>
      </c>
      <c r="C210" t="s">
        <v>841</v>
      </c>
      <c r="D210" t="s">
        <v>621</v>
      </c>
      <c r="E210" t="s">
        <v>597</v>
      </c>
      <c r="F210" t="s">
        <v>598</v>
      </c>
      <c r="G210" t="s">
        <v>599</v>
      </c>
      <c r="H210" t="s">
        <v>600</v>
      </c>
      <c r="I210" t="s">
        <v>601</v>
      </c>
      <c r="J210">
        <v>0.21759999999999999</v>
      </c>
      <c r="K210">
        <v>0.23069999999999999</v>
      </c>
      <c r="L210">
        <v>0.24610000000000001</v>
      </c>
      <c r="M210">
        <v>0.2641</v>
      </c>
      <c r="N210">
        <v>0.28139999999999998</v>
      </c>
      <c r="O210">
        <v>0.29959999999999998</v>
      </c>
      <c r="P210">
        <v>0.31559999999999999</v>
      </c>
      <c r="Q210">
        <v>0.33360000000000001</v>
      </c>
      <c r="R210">
        <v>0.34200000000000003</v>
      </c>
      <c r="S210">
        <v>0.35210000000000002</v>
      </c>
      <c r="T210">
        <v>0.36149999999999999</v>
      </c>
      <c r="U210">
        <v>0.37059999999999998</v>
      </c>
      <c r="V210">
        <v>0.38080000000000003</v>
      </c>
      <c r="W210">
        <v>0.3911</v>
      </c>
      <c r="X210">
        <v>0.40160000000000001</v>
      </c>
      <c r="Y210">
        <v>0.41189999999999999</v>
      </c>
    </row>
    <row r="211" spans="1:25" hidden="1">
      <c r="A211" t="s">
        <v>270</v>
      </c>
      <c r="B211" t="s">
        <v>869</v>
      </c>
      <c r="C211" t="s">
        <v>841</v>
      </c>
      <c r="D211" t="s">
        <v>621</v>
      </c>
      <c r="E211" t="s">
        <v>731</v>
      </c>
      <c r="F211" t="s">
        <v>598</v>
      </c>
      <c r="G211" t="s">
        <v>599</v>
      </c>
      <c r="H211" t="s">
        <v>600</v>
      </c>
      <c r="I211" t="s">
        <v>601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 hidden="1">
      <c r="A212" t="s">
        <v>270</v>
      </c>
      <c r="B212" t="s">
        <v>870</v>
      </c>
      <c r="C212" t="s">
        <v>841</v>
      </c>
      <c r="D212" t="s">
        <v>621</v>
      </c>
      <c r="E212" t="s">
        <v>603</v>
      </c>
      <c r="F212" t="s">
        <v>598</v>
      </c>
      <c r="G212" t="s">
        <v>599</v>
      </c>
      <c r="H212" t="s">
        <v>600</v>
      </c>
      <c r="I212" t="s">
        <v>601</v>
      </c>
      <c r="J212">
        <v>5.9999999999999995E-4</v>
      </c>
      <c r="K212">
        <v>5.9999999999999995E-4</v>
      </c>
      <c r="L212">
        <v>5.9999999999999995E-4</v>
      </c>
      <c r="M212">
        <v>5.9999999999999995E-4</v>
      </c>
      <c r="N212">
        <v>5.9999999999999995E-4</v>
      </c>
      <c r="O212">
        <v>5.9999999999999995E-4</v>
      </c>
      <c r="P212">
        <v>5.9999999999999995E-4</v>
      </c>
      <c r="Q212">
        <v>5.9999999999999995E-4</v>
      </c>
      <c r="R212">
        <v>5.9999999999999995E-4</v>
      </c>
      <c r="S212">
        <v>5.9999999999999995E-4</v>
      </c>
      <c r="T212">
        <v>5.9999999999999995E-4</v>
      </c>
      <c r="U212">
        <v>5.9999999999999995E-4</v>
      </c>
      <c r="V212">
        <v>5.9999999999999995E-4</v>
      </c>
      <c r="W212">
        <v>5.9999999999999995E-4</v>
      </c>
      <c r="X212">
        <v>5.9999999999999995E-4</v>
      </c>
      <c r="Y212">
        <v>5.9999999999999995E-4</v>
      </c>
    </row>
    <row r="213" spans="1:25" hidden="1">
      <c r="A213" t="s">
        <v>270</v>
      </c>
      <c r="B213" t="s">
        <v>871</v>
      </c>
      <c r="C213" t="s">
        <v>841</v>
      </c>
      <c r="D213" t="s">
        <v>621</v>
      </c>
      <c r="E213" t="s">
        <v>605</v>
      </c>
      <c r="F213" t="s">
        <v>598</v>
      </c>
      <c r="G213" t="s">
        <v>599</v>
      </c>
      <c r="H213" t="s">
        <v>600</v>
      </c>
      <c r="I213" t="s">
        <v>601</v>
      </c>
      <c r="J213">
        <v>8.0000000000000004E-4</v>
      </c>
      <c r="K213">
        <v>8.0000000000000004E-4</v>
      </c>
      <c r="L213">
        <v>8.0000000000000004E-4</v>
      </c>
      <c r="M213">
        <v>8.0000000000000004E-4</v>
      </c>
      <c r="N213">
        <v>8.0000000000000004E-4</v>
      </c>
      <c r="O213">
        <v>8.0000000000000004E-4</v>
      </c>
      <c r="P213">
        <v>8.0000000000000004E-4</v>
      </c>
      <c r="Q213">
        <v>8.0000000000000004E-4</v>
      </c>
      <c r="R213">
        <v>8.0000000000000004E-4</v>
      </c>
      <c r="S213">
        <v>8.0000000000000004E-4</v>
      </c>
      <c r="T213">
        <v>8.0000000000000004E-4</v>
      </c>
      <c r="U213">
        <v>8.0000000000000004E-4</v>
      </c>
      <c r="V213">
        <v>8.0000000000000004E-4</v>
      </c>
      <c r="W213">
        <v>8.0000000000000004E-4</v>
      </c>
      <c r="X213">
        <v>8.0000000000000004E-4</v>
      </c>
      <c r="Y213">
        <v>8.0000000000000004E-4</v>
      </c>
    </row>
    <row r="214" spans="1:25" hidden="1">
      <c r="A214" t="s">
        <v>270</v>
      </c>
      <c r="B214" t="s">
        <v>872</v>
      </c>
      <c r="C214" t="s">
        <v>841</v>
      </c>
      <c r="D214" t="s">
        <v>621</v>
      </c>
      <c r="E214" t="s">
        <v>624</v>
      </c>
      <c r="F214" t="s">
        <v>598</v>
      </c>
      <c r="G214" t="s">
        <v>599</v>
      </c>
      <c r="H214" t="s">
        <v>600</v>
      </c>
      <c r="I214" t="s">
        <v>601</v>
      </c>
      <c r="J214">
        <v>0.1938</v>
      </c>
      <c r="K214">
        <v>0.19489999999999999</v>
      </c>
      <c r="L214">
        <v>0.19600000000000001</v>
      </c>
      <c r="M214">
        <v>0.1973</v>
      </c>
      <c r="N214">
        <v>0.19839999999999999</v>
      </c>
      <c r="O214">
        <v>0.19950000000000001</v>
      </c>
      <c r="P214">
        <v>0.20050000000000001</v>
      </c>
      <c r="Q214">
        <v>0.2016</v>
      </c>
      <c r="R214">
        <v>0.20200000000000001</v>
      </c>
      <c r="S214">
        <v>0.20280000000000001</v>
      </c>
      <c r="T214">
        <v>0.20330000000000001</v>
      </c>
      <c r="U214">
        <v>0.20380000000000001</v>
      </c>
      <c r="V214">
        <v>0.20430000000000001</v>
      </c>
      <c r="W214">
        <v>0.20499999999999999</v>
      </c>
      <c r="X214">
        <v>0.20530000000000001</v>
      </c>
      <c r="Y214">
        <v>0.20569999999999999</v>
      </c>
    </row>
    <row r="215" spans="1:25" hidden="1">
      <c r="A215" t="s">
        <v>270</v>
      </c>
      <c r="B215" t="s">
        <v>873</v>
      </c>
      <c r="C215" t="s">
        <v>841</v>
      </c>
      <c r="D215" t="s">
        <v>621</v>
      </c>
      <c r="E215" t="s">
        <v>768</v>
      </c>
      <c r="F215" t="s">
        <v>598</v>
      </c>
      <c r="G215" t="s">
        <v>599</v>
      </c>
      <c r="H215" t="s">
        <v>600</v>
      </c>
      <c r="I215" t="s">
        <v>601</v>
      </c>
      <c r="J215">
        <v>7.8E-2</v>
      </c>
      <c r="K215">
        <v>7.8600000000000003E-2</v>
      </c>
      <c r="L215">
        <v>7.9000000000000001E-2</v>
      </c>
      <c r="M215">
        <v>7.9699999999999993E-2</v>
      </c>
      <c r="N215">
        <v>8.0299999999999996E-2</v>
      </c>
      <c r="O215">
        <v>8.0799999999999997E-2</v>
      </c>
      <c r="P215">
        <v>8.14E-2</v>
      </c>
      <c r="Q215">
        <v>8.2000000000000003E-2</v>
      </c>
      <c r="R215">
        <v>8.2500000000000004E-2</v>
      </c>
      <c r="S215">
        <v>8.3299999999999999E-2</v>
      </c>
      <c r="T215">
        <v>8.3900000000000002E-2</v>
      </c>
      <c r="U215">
        <v>8.4400000000000003E-2</v>
      </c>
      <c r="V215">
        <v>8.4900000000000003E-2</v>
      </c>
      <c r="W215">
        <v>8.5699999999999998E-2</v>
      </c>
      <c r="X215">
        <v>8.6499999999999994E-2</v>
      </c>
      <c r="Y215">
        <v>8.6999999999999994E-2</v>
      </c>
    </row>
    <row r="216" spans="1:25" hidden="1">
      <c r="A216" t="s">
        <v>270</v>
      </c>
      <c r="B216" t="s">
        <v>874</v>
      </c>
      <c r="C216" t="s">
        <v>841</v>
      </c>
      <c r="D216" t="s">
        <v>621</v>
      </c>
      <c r="E216" t="s">
        <v>688</v>
      </c>
      <c r="F216" t="s">
        <v>598</v>
      </c>
      <c r="G216" t="s">
        <v>599</v>
      </c>
      <c r="H216" t="s">
        <v>600</v>
      </c>
      <c r="I216" t="s">
        <v>601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 hidden="1">
      <c r="A217" t="s">
        <v>270</v>
      </c>
      <c r="B217" t="s">
        <v>875</v>
      </c>
      <c r="C217" t="s">
        <v>841</v>
      </c>
      <c r="D217" t="s">
        <v>621</v>
      </c>
      <c r="E217" t="s">
        <v>626</v>
      </c>
      <c r="F217" t="s">
        <v>598</v>
      </c>
      <c r="G217" t="s">
        <v>599</v>
      </c>
      <c r="H217" t="s">
        <v>600</v>
      </c>
      <c r="I217" t="s">
        <v>601</v>
      </c>
      <c r="J217">
        <v>5.0000000000000001E-4</v>
      </c>
      <c r="K217">
        <v>5.0000000000000001E-4</v>
      </c>
      <c r="L217">
        <v>5.0000000000000001E-4</v>
      </c>
      <c r="M217">
        <v>5.0000000000000001E-4</v>
      </c>
      <c r="N217">
        <v>5.0000000000000001E-4</v>
      </c>
      <c r="O217">
        <v>5.0000000000000001E-4</v>
      </c>
      <c r="P217">
        <v>5.0000000000000001E-4</v>
      </c>
      <c r="Q217">
        <v>5.9999999999999995E-4</v>
      </c>
      <c r="R217">
        <v>6.9999999999999999E-4</v>
      </c>
      <c r="S217">
        <v>6.9999999999999999E-4</v>
      </c>
      <c r="T217">
        <v>6.9999999999999999E-4</v>
      </c>
      <c r="U217">
        <v>6.9999999999999999E-4</v>
      </c>
      <c r="V217">
        <v>6.9999999999999999E-4</v>
      </c>
      <c r="W217">
        <v>6.9999999999999999E-4</v>
      </c>
      <c r="X217">
        <v>6.9999999999999999E-4</v>
      </c>
      <c r="Y217">
        <v>6.9999999999999999E-4</v>
      </c>
    </row>
    <row r="218" spans="1:25" hidden="1">
      <c r="A218" t="s">
        <v>270</v>
      </c>
      <c r="B218" t="s">
        <v>876</v>
      </c>
      <c r="C218" t="s">
        <v>841</v>
      </c>
      <c r="D218" t="s">
        <v>621</v>
      </c>
      <c r="E218" t="s">
        <v>628</v>
      </c>
      <c r="F218" t="s">
        <v>598</v>
      </c>
      <c r="G218" t="s">
        <v>599</v>
      </c>
      <c r="H218" t="s">
        <v>600</v>
      </c>
      <c r="I218" t="s">
        <v>601</v>
      </c>
      <c r="J218">
        <v>0.1114</v>
      </c>
      <c r="K218">
        <v>0.112</v>
      </c>
      <c r="L218">
        <v>0.1123</v>
      </c>
      <c r="M218">
        <v>0.1133</v>
      </c>
      <c r="N218">
        <v>0.11360000000000001</v>
      </c>
      <c r="O218">
        <v>0.11409999999999999</v>
      </c>
      <c r="P218">
        <v>0.11509999999999999</v>
      </c>
      <c r="Q218">
        <v>0.1065</v>
      </c>
      <c r="R218">
        <v>0.10730000000000001</v>
      </c>
      <c r="S218">
        <v>0.108</v>
      </c>
      <c r="T218">
        <v>0.1091</v>
      </c>
      <c r="U218">
        <v>0.1099</v>
      </c>
      <c r="V218">
        <v>0.11070000000000001</v>
      </c>
      <c r="W218">
        <v>0.112</v>
      </c>
      <c r="X218">
        <v>0.1129</v>
      </c>
      <c r="Y218">
        <v>0.1134</v>
      </c>
    </row>
    <row r="219" spans="1:25" hidden="1">
      <c r="A219" t="s">
        <v>270</v>
      </c>
      <c r="B219" t="s">
        <v>877</v>
      </c>
      <c r="C219" t="s">
        <v>841</v>
      </c>
      <c r="D219" t="s">
        <v>621</v>
      </c>
      <c r="E219" t="s">
        <v>692</v>
      </c>
      <c r="F219" t="s">
        <v>598</v>
      </c>
      <c r="G219" t="s">
        <v>599</v>
      </c>
      <c r="H219" t="s">
        <v>600</v>
      </c>
      <c r="I219" t="s">
        <v>601</v>
      </c>
      <c r="J219">
        <v>1.5E-3</v>
      </c>
      <c r="K219">
        <v>1.6000000000000001E-3</v>
      </c>
      <c r="L219">
        <v>1.6000000000000001E-3</v>
      </c>
      <c r="M219">
        <v>1.6000000000000001E-3</v>
      </c>
      <c r="N219">
        <v>1.6000000000000001E-3</v>
      </c>
      <c r="O219">
        <v>1.6999999999999999E-3</v>
      </c>
      <c r="P219">
        <v>1.8E-3</v>
      </c>
      <c r="Q219">
        <v>1.8E-3</v>
      </c>
      <c r="R219">
        <v>1.8E-3</v>
      </c>
      <c r="S219">
        <v>1.8E-3</v>
      </c>
      <c r="T219">
        <v>1.8E-3</v>
      </c>
      <c r="U219">
        <v>1.9E-3</v>
      </c>
      <c r="V219">
        <v>1.9E-3</v>
      </c>
      <c r="W219">
        <v>1.9E-3</v>
      </c>
      <c r="X219">
        <v>1.9E-3</v>
      </c>
      <c r="Y219">
        <v>1.9E-3</v>
      </c>
    </row>
    <row r="220" spans="1:25" hidden="1">
      <c r="A220" t="s">
        <v>270</v>
      </c>
      <c r="B220" t="s">
        <v>878</v>
      </c>
      <c r="C220" t="s">
        <v>841</v>
      </c>
      <c r="D220" t="s">
        <v>621</v>
      </c>
      <c r="E220" t="s">
        <v>619</v>
      </c>
      <c r="F220" t="s">
        <v>598</v>
      </c>
      <c r="G220" t="s">
        <v>599</v>
      </c>
      <c r="H220" t="s">
        <v>600</v>
      </c>
      <c r="I220" t="s">
        <v>601</v>
      </c>
      <c r="J220">
        <v>1E-4</v>
      </c>
      <c r="K220">
        <v>1E-4</v>
      </c>
      <c r="L220">
        <v>1E-4</v>
      </c>
      <c r="M220">
        <v>1E-4</v>
      </c>
      <c r="N220">
        <v>1E-4</v>
      </c>
      <c r="O220">
        <v>1E-4</v>
      </c>
      <c r="P220">
        <v>1E-4</v>
      </c>
      <c r="Q220">
        <v>1E-4</v>
      </c>
      <c r="R220">
        <v>1E-4</v>
      </c>
      <c r="S220">
        <v>1E-4</v>
      </c>
      <c r="T220">
        <v>1E-4</v>
      </c>
      <c r="U220">
        <v>1E-4</v>
      </c>
      <c r="V220">
        <v>1E-4</v>
      </c>
      <c r="W220">
        <v>1E-4</v>
      </c>
      <c r="X220">
        <v>1E-4</v>
      </c>
      <c r="Y220">
        <v>1E-4</v>
      </c>
    </row>
    <row r="221" spans="1:25" hidden="1">
      <c r="A221" t="s">
        <v>270</v>
      </c>
      <c r="B221" t="s">
        <v>879</v>
      </c>
      <c r="C221" t="s">
        <v>841</v>
      </c>
      <c r="D221" t="s">
        <v>621</v>
      </c>
      <c r="E221" t="s">
        <v>773</v>
      </c>
      <c r="F221" t="s">
        <v>598</v>
      </c>
      <c r="G221" t="s">
        <v>599</v>
      </c>
      <c r="H221" t="s">
        <v>600</v>
      </c>
      <c r="I221" t="s">
        <v>601</v>
      </c>
      <c r="J221">
        <v>8.0000000000000004E-4</v>
      </c>
      <c r="K221">
        <v>6.9999999999999999E-4</v>
      </c>
      <c r="L221">
        <v>8.0000000000000004E-4</v>
      </c>
      <c r="M221">
        <v>8.0000000000000004E-4</v>
      </c>
      <c r="N221">
        <v>8.0000000000000004E-4</v>
      </c>
      <c r="O221">
        <v>8.0000000000000004E-4</v>
      </c>
      <c r="P221">
        <v>8.0000000000000004E-4</v>
      </c>
      <c r="Q221">
        <v>8.0000000000000004E-4</v>
      </c>
      <c r="R221">
        <v>8.0000000000000004E-4</v>
      </c>
      <c r="S221">
        <v>8.0000000000000004E-4</v>
      </c>
      <c r="T221">
        <v>8.9999999999999998E-4</v>
      </c>
      <c r="U221">
        <v>8.9999999999999998E-4</v>
      </c>
      <c r="V221">
        <v>8.9999999999999998E-4</v>
      </c>
      <c r="W221">
        <v>8.9999999999999998E-4</v>
      </c>
      <c r="X221">
        <v>8.9999999999999998E-4</v>
      </c>
      <c r="Y221">
        <v>8.9999999999999998E-4</v>
      </c>
    </row>
    <row r="222" spans="1:25" hidden="1">
      <c r="A222" t="s">
        <v>270</v>
      </c>
      <c r="B222" t="s">
        <v>880</v>
      </c>
      <c r="C222" t="s">
        <v>841</v>
      </c>
      <c r="D222" t="s">
        <v>621</v>
      </c>
      <c r="E222" t="s">
        <v>638</v>
      </c>
      <c r="F222" t="s">
        <v>598</v>
      </c>
      <c r="G222" t="s">
        <v>599</v>
      </c>
      <c r="H222" t="s">
        <v>600</v>
      </c>
      <c r="I222" t="s">
        <v>601</v>
      </c>
      <c r="J222">
        <v>1.9300000000000001E-2</v>
      </c>
      <c r="K222">
        <v>1.9099999999999999E-2</v>
      </c>
      <c r="L222">
        <v>1.9099999999999999E-2</v>
      </c>
      <c r="M222">
        <v>1.9E-2</v>
      </c>
      <c r="N222">
        <v>1.89E-2</v>
      </c>
      <c r="O222">
        <v>1.8800000000000001E-2</v>
      </c>
      <c r="P222">
        <v>1.8800000000000001E-2</v>
      </c>
      <c r="Q222">
        <v>1.8800000000000001E-2</v>
      </c>
      <c r="R222">
        <v>1.8800000000000001E-2</v>
      </c>
      <c r="S222">
        <v>1.8700000000000001E-2</v>
      </c>
      <c r="T222">
        <v>1.8700000000000001E-2</v>
      </c>
      <c r="U222">
        <v>1.8700000000000001E-2</v>
      </c>
      <c r="V222">
        <v>1.8700000000000001E-2</v>
      </c>
      <c r="W222">
        <v>1.8700000000000001E-2</v>
      </c>
      <c r="X222">
        <v>1.8700000000000001E-2</v>
      </c>
      <c r="Y222">
        <v>1.8700000000000001E-2</v>
      </c>
    </row>
    <row r="223" spans="1:25" hidden="1">
      <c r="A223" t="s">
        <v>270</v>
      </c>
      <c r="B223" t="s">
        <v>881</v>
      </c>
      <c r="C223" t="s">
        <v>841</v>
      </c>
      <c r="D223" t="s">
        <v>632</v>
      </c>
      <c r="E223" t="s">
        <v>649</v>
      </c>
      <c r="F223" t="s">
        <v>598</v>
      </c>
      <c r="G223" t="s">
        <v>599</v>
      </c>
      <c r="H223" t="s">
        <v>600</v>
      </c>
      <c r="I223" t="s">
        <v>601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hidden="1">
      <c r="A224" t="s">
        <v>270</v>
      </c>
      <c r="B224" t="s">
        <v>882</v>
      </c>
      <c r="C224" t="s">
        <v>841</v>
      </c>
      <c r="D224" t="s">
        <v>632</v>
      </c>
      <c r="E224" t="s">
        <v>597</v>
      </c>
      <c r="F224" t="s">
        <v>598</v>
      </c>
      <c r="G224" t="s">
        <v>599</v>
      </c>
      <c r="H224" t="s">
        <v>600</v>
      </c>
      <c r="I224" t="s">
        <v>601</v>
      </c>
      <c r="J224">
        <v>9.1800000000000007E-2</v>
      </c>
      <c r="K224">
        <v>9.2299999999999993E-2</v>
      </c>
      <c r="L224">
        <v>9.2899999999999996E-2</v>
      </c>
      <c r="M224">
        <v>9.4299999999999995E-2</v>
      </c>
      <c r="N224">
        <v>9.4799999999999995E-2</v>
      </c>
      <c r="O224">
        <v>9.5699999999999993E-2</v>
      </c>
      <c r="P224">
        <v>9.6100000000000005E-2</v>
      </c>
      <c r="Q224">
        <v>9.6699999999999994E-2</v>
      </c>
      <c r="R224">
        <v>9.7199999999999995E-2</v>
      </c>
      <c r="S224">
        <v>9.7600000000000006E-2</v>
      </c>
      <c r="T224">
        <v>9.7799999999999998E-2</v>
      </c>
      <c r="U224">
        <v>9.7900000000000001E-2</v>
      </c>
      <c r="V224">
        <v>9.8100000000000007E-2</v>
      </c>
      <c r="W224">
        <v>9.8500000000000004E-2</v>
      </c>
      <c r="X224">
        <v>9.9000000000000005E-2</v>
      </c>
      <c r="Y224">
        <v>9.9599999999999994E-2</v>
      </c>
    </row>
    <row r="225" spans="1:25" hidden="1">
      <c r="A225" t="s">
        <v>270</v>
      </c>
      <c r="B225" t="s">
        <v>883</v>
      </c>
      <c r="C225" t="s">
        <v>841</v>
      </c>
      <c r="D225" t="s">
        <v>632</v>
      </c>
      <c r="E225" t="s">
        <v>624</v>
      </c>
      <c r="F225" t="s">
        <v>598</v>
      </c>
      <c r="G225" t="s">
        <v>599</v>
      </c>
      <c r="H225" t="s">
        <v>600</v>
      </c>
      <c r="I225" t="s">
        <v>601</v>
      </c>
      <c r="J225">
        <v>4.3200000000000002E-2</v>
      </c>
      <c r="K225">
        <v>4.3400000000000001E-2</v>
      </c>
      <c r="L225">
        <v>4.3499999999999997E-2</v>
      </c>
      <c r="M225">
        <v>4.3700000000000003E-2</v>
      </c>
      <c r="N225">
        <v>4.3999999999999997E-2</v>
      </c>
      <c r="O225">
        <v>4.3999999999999997E-2</v>
      </c>
      <c r="P225">
        <v>4.41E-2</v>
      </c>
      <c r="Q225">
        <v>4.4200000000000003E-2</v>
      </c>
      <c r="R225">
        <v>4.41E-2</v>
      </c>
      <c r="S225">
        <v>4.4299999999999999E-2</v>
      </c>
      <c r="T225">
        <v>4.4200000000000003E-2</v>
      </c>
      <c r="U225">
        <v>4.4200000000000003E-2</v>
      </c>
      <c r="V225">
        <v>4.41E-2</v>
      </c>
      <c r="W225">
        <v>4.4200000000000003E-2</v>
      </c>
      <c r="X225">
        <v>4.41E-2</v>
      </c>
      <c r="Y225">
        <v>4.3999999999999997E-2</v>
      </c>
    </row>
    <row r="226" spans="1:25" hidden="1">
      <c r="A226" t="s">
        <v>270</v>
      </c>
      <c r="B226" t="s">
        <v>884</v>
      </c>
      <c r="C226" t="s">
        <v>841</v>
      </c>
      <c r="D226" t="s">
        <v>632</v>
      </c>
      <c r="E226" t="s">
        <v>768</v>
      </c>
      <c r="F226" t="s">
        <v>598</v>
      </c>
      <c r="G226" t="s">
        <v>599</v>
      </c>
      <c r="H226" t="s">
        <v>600</v>
      </c>
      <c r="I226" t="s">
        <v>601</v>
      </c>
      <c r="J226">
        <v>4.1999999999999997E-3</v>
      </c>
      <c r="K226">
        <v>4.3E-3</v>
      </c>
      <c r="L226">
        <v>4.3E-3</v>
      </c>
      <c r="M226">
        <v>4.3E-3</v>
      </c>
      <c r="N226">
        <v>4.4000000000000003E-3</v>
      </c>
      <c r="O226">
        <v>4.4000000000000003E-3</v>
      </c>
      <c r="P226">
        <v>4.4000000000000003E-3</v>
      </c>
      <c r="Q226">
        <v>4.4999999999999997E-3</v>
      </c>
      <c r="R226">
        <v>4.4999999999999997E-3</v>
      </c>
      <c r="S226">
        <v>4.4999999999999997E-3</v>
      </c>
      <c r="T226">
        <v>4.5999999999999999E-3</v>
      </c>
      <c r="U226">
        <v>4.5999999999999999E-3</v>
      </c>
      <c r="V226">
        <v>4.7000000000000002E-3</v>
      </c>
      <c r="W226">
        <v>4.7000000000000002E-3</v>
      </c>
      <c r="X226">
        <v>4.7000000000000002E-3</v>
      </c>
      <c r="Y226">
        <v>4.7999999999999996E-3</v>
      </c>
    </row>
    <row r="227" spans="1:25" hidden="1">
      <c r="A227" t="s">
        <v>270</v>
      </c>
      <c r="B227" t="s">
        <v>885</v>
      </c>
      <c r="C227" t="s">
        <v>841</v>
      </c>
      <c r="D227" t="s">
        <v>632</v>
      </c>
      <c r="E227" t="s">
        <v>628</v>
      </c>
      <c r="F227" t="s">
        <v>598</v>
      </c>
      <c r="G227" t="s">
        <v>599</v>
      </c>
      <c r="H227" t="s">
        <v>600</v>
      </c>
      <c r="I227" t="s">
        <v>601</v>
      </c>
      <c r="J227">
        <v>3.3E-3</v>
      </c>
      <c r="K227">
        <v>3.3E-3</v>
      </c>
      <c r="L227">
        <v>3.3E-3</v>
      </c>
      <c r="M227">
        <v>3.3E-3</v>
      </c>
      <c r="N227">
        <v>3.3E-3</v>
      </c>
      <c r="O227">
        <v>3.3E-3</v>
      </c>
      <c r="P227">
        <v>3.3E-3</v>
      </c>
      <c r="Q227">
        <v>3.3E-3</v>
      </c>
      <c r="R227">
        <v>3.3E-3</v>
      </c>
      <c r="S227">
        <v>3.3E-3</v>
      </c>
      <c r="T227">
        <v>3.3999999999999998E-3</v>
      </c>
      <c r="U227">
        <v>3.3999999999999998E-3</v>
      </c>
      <c r="V227">
        <v>3.3999999999999998E-3</v>
      </c>
      <c r="W227">
        <v>3.3999999999999998E-3</v>
      </c>
      <c r="X227">
        <v>3.3999999999999998E-3</v>
      </c>
      <c r="Y227">
        <v>3.3999999999999998E-3</v>
      </c>
    </row>
    <row r="228" spans="1:25" hidden="1">
      <c r="A228" t="s">
        <v>270</v>
      </c>
      <c r="B228" t="s">
        <v>886</v>
      </c>
      <c r="C228" t="s">
        <v>841</v>
      </c>
      <c r="D228" t="s">
        <v>632</v>
      </c>
      <c r="E228" t="s">
        <v>773</v>
      </c>
      <c r="F228" t="s">
        <v>598</v>
      </c>
      <c r="G228" t="s">
        <v>599</v>
      </c>
      <c r="H228" t="s">
        <v>600</v>
      </c>
      <c r="I228" t="s">
        <v>601</v>
      </c>
      <c r="J228">
        <v>0.19719999999999999</v>
      </c>
      <c r="K228">
        <v>0.19209999999999999</v>
      </c>
      <c r="L228">
        <v>0.18729999999999999</v>
      </c>
      <c r="M228">
        <v>0.18559999999999999</v>
      </c>
      <c r="N228">
        <v>0.17860000000000001</v>
      </c>
      <c r="O228">
        <v>0.17269999999999999</v>
      </c>
      <c r="P228">
        <v>0.17599999999999999</v>
      </c>
      <c r="Q228">
        <v>0.18240000000000001</v>
      </c>
      <c r="R228">
        <v>0.18509999999999999</v>
      </c>
      <c r="S228">
        <v>0.19189999999999999</v>
      </c>
      <c r="T228">
        <v>0.19850000000000001</v>
      </c>
      <c r="U228">
        <v>0.2021</v>
      </c>
      <c r="V228">
        <v>0.20630000000000001</v>
      </c>
      <c r="W228">
        <v>0.21029999999999999</v>
      </c>
      <c r="X228">
        <v>0.21460000000000001</v>
      </c>
      <c r="Y228">
        <v>0.21859999999999999</v>
      </c>
    </row>
    <row r="229" spans="1:25" hidden="1">
      <c r="A229" t="s">
        <v>270</v>
      </c>
      <c r="B229" t="s">
        <v>887</v>
      </c>
      <c r="C229" t="s">
        <v>841</v>
      </c>
      <c r="D229" t="s">
        <v>632</v>
      </c>
      <c r="E229" t="s">
        <v>888</v>
      </c>
      <c r="F229" t="s">
        <v>598</v>
      </c>
      <c r="G229" t="s">
        <v>599</v>
      </c>
      <c r="H229" t="s">
        <v>600</v>
      </c>
      <c r="I229" t="s">
        <v>601</v>
      </c>
      <c r="J229">
        <v>2.5399999999999999E-2</v>
      </c>
      <c r="K229">
        <v>2.5600000000000001E-2</v>
      </c>
      <c r="L229">
        <v>2.58E-2</v>
      </c>
      <c r="M229">
        <v>2.6100000000000002E-2</v>
      </c>
      <c r="N229">
        <v>2.63E-2</v>
      </c>
      <c r="O229">
        <v>2.6499999999999999E-2</v>
      </c>
      <c r="P229">
        <v>2.6800000000000001E-2</v>
      </c>
      <c r="Q229">
        <v>2.7E-2</v>
      </c>
      <c r="R229">
        <v>2.7199999999999998E-2</v>
      </c>
      <c r="S229">
        <v>2.75E-2</v>
      </c>
      <c r="T229">
        <v>2.7699999999999999E-2</v>
      </c>
      <c r="U229">
        <v>2.7900000000000001E-2</v>
      </c>
      <c r="V229">
        <v>2.8199999999999999E-2</v>
      </c>
      <c r="W229">
        <v>2.8400000000000002E-2</v>
      </c>
      <c r="X229">
        <v>2.86E-2</v>
      </c>
      <c r="Y229">
        <v>2.8899999999999999E-2</v>
      </c>
    </row>
    <row r="230" spans="1:25" hidden="1">
      <c r="A230" t="s">
        <v>270</v>
      </c>
      <c r="B230" t="s">
        <v>889</v>
      </c>
      <c r="C230" t="s">
        <v>841</v>
      </c>
      <c r="D230" t="s">
        <v>632</v>
      </c>
      <c r="E230" t="s">
        <v>781</v>
      </c>
      <c r="F230" t="s">
        <v>598</v>
      </c>
      <c r="G230" t="s">
        <v>599</v>
      </c>
      <c r="H230" t="s">
        <v>600</v>
      </c>
      <c r="I230" t="s">
        <v>601</v>
      </c>
      <c r="J230">
        <v>5.9999999999999995E-4</v>
      </c>
      <c r="K230">
        <v>5.9999999999999995E-4</v>
      </c>
      <c r="L230">
        <v>5.9999999999999995E-4</v>
      </c>
      <c r="M230">
        <v>5.9999999999999995E-4</v>
      </c>
      <c r="N230">
        <v>5.9999999999999995E-4</v>
      </c>
      <c r="O230">
        <v>5.9999999999999995E-4</v>
      </c>
      <c r="P230">
        <v>5.9999999999999995E-4</v>
      </c>
      <c r="Q230">
        <v>5.9999999999999995E-4</v>
      </c>
      <c r="R230">
        <v>5.9999999999999995E-4</v>
      </c>
      <c r="S230">
        <v>5.9999999999999995E-4</v>
      </c>
      <c r="T230">
        <v>5.9999999999999995E-4</v>
      </c>
      <c r="U230">
        <v>5.9999999999999995E-4</v>
      </c>
      <c r="V230">
        <v>5.9999999999999995E-4</v>
      </c>
      <c r="W230">
        <v>5.9999999999999995E-4</v>
      </c>
      <c r="X230">
        <v>5.9999999999999995E-4</v>
      </c>
      <c r="Y230">
        <v>5.9999999999999995E-4</v>
      </c>
    </row>
    <row r="231" spans="1:25" hidden="1">
      <c r="A231" t="s">
        <v>270</v>
      </c>
      <c r="B231" t="s">
        <v>890</v>
      </c>
      <c r="C231" t="s">
        <v>841</v>
      </c>
      <c r="D231" t="s">
        <v>632</v>
      </c>
      <c r="E231" t="s">
        <v>638</v>
      </c>
      <c r="F231" t="s">
        <v>598</v>
      </c>
      <c r="G231" t="s">
        <v>599</v>
      </c>
      <c r="H231" t="s">
        <v>600</v>
      </c>
      <c r="I231" t="s">
        <v>601</v>
      </c>
      <c r="J231">
        <v>1.18E-2</v>
      </c>
      <c r="K231">
        <v>1.18E-2</v>
      </c>
      <c r="L231">
        <v>1.18E-2</v>
      </c>
      <c r="M231">
        <v>1.18E-2</v>
      </c>
      <c r="N231">
        <v>1.18E-2</v>
      </c>
      <c r="O231">
        <v>1.18E-2</v>
      </c>
      <c r="P231">
        <v>1.18E-2</v>
      </c>
      <c r="Q231">
        <v>1.18E-2</v>
      </c>
      <c r="R231">
        <v>1.18E-2</v>
      </c>
      <c r="S231">
        <v>1.18E-2</v>
      </c>
      <c r="T231">
        <v>1.18E-2</v>
      </c>
      <c r="U231">
        <v>1.18E-2</v>
      </c>
      <c r="V231">
        <v>1.18E-2</v>
      </c>
      <c r="W231">
        <v>1.18E-2</v>
      </c>
      <c r="X231">
        <v>1.18E-2</v>
      </c>
      <c r="Y231">
        <v>1.18E-2</v>
      </c>
    </row>
    <row r="232" spans="1:25" hidden="1">
      <c r="A232" t="s">
        <v>270</v>
      </c>
      <c r="B232" t="s">
        <v>891</v>
      </c>
      <c r="C232" t="s">
        <v>841</v>
      </c>
      <c r="D232" t="s">
        <v>632</v>
      </c>
      <c r="E232" t="s">
        <v>892</v>
      </c>
      <c r="F232" t="s">
        <v>598</v>
      </c>
      <c r="G232" t="s">
        <v>599</v>
      </c>
      <c r="H232" t="s">
        <v>600</v>
      </c>
      <c r="I232" t="s">
        <v>601</v>
      </c>
      <c r="J232">
        <v>5.91E-2</v>
      </c>
      <c r="K232">
        <v>4.7300000000000002E-2</v>
      </c>
      <c r="L232">
        <v>4.7300000000000002E-2</v>
      </c>
      <c r="M232">
        <v>4.7300000000000002E-2</v>
      </c>
      <c r="N232">
        <v>4.7300000000000002E-2</v>
      </c>
      <c r="O232">
        <v>4.7300000000000002E-2</v>
      </c>
      <c r="P232">
        <v>4.7300000000000002E-2</v>
      </c>
      <c r="Q232">
        <v>4.7300000000000002E-2</v>
      </c>
      <c r="R232">
        <v>4.7300000000000002E-2</v>
      </c>
      <c r="S232">
        <v>4.7300000000000002E-2</v>
      </c>
      <c r="T232">
        <v>4.7300000000000002E-2</v>
      </c>
      <c r="U232">
        <v>4.7300000000000002E-2</v>
      </c>
      <c r="V232">
        <v>4.7300000000000002E-2</v>
      </c>
      <c r="W232">
        <v>4.7300000000000002E-2</v>
      </c>
      <c r="X232">
        <v>4.7300000000000002E-2</v>
      </c>
      <c r="Y232">
        <v>4.7300000000000002E-2</v>
      </c>
    </row>
    <row r="233" spans="1:25" hidden="1">
      <c r="A233" t="s">
        <v>270</v>
      </c>
      <c r="B233" t="s">
        <v>893</v>
      </c>
      <c r="C233" t="s">
        <v>841</v>
      </c>
      <c r="D233" t="s">
        <v>632</v>
      </c>
      <c r="E233" t="s">
        <v>894</v>
      </c>
      <c r="F233" t="s">
        <v>598</v>
      </c>
      <c r="G233" t="s">
        <v>599</v>
      </c>
      <c r="H233" t="s">
        <v>600</v>
      </c>
      <c r="I233" t="s">
        <v>601</v>
      </c>
      <c r="J233">
        <v>3.2000000000000002E-3</v>
      </c>
      <c r="K233">
        <v>3.2000000000000002E-3</v>
      </c>
      <c r="L233">
        <v>3.2000000000000002E-3</v>
      </c>
      <c r="M233">
        <v>3.2000000000000002E-3</v>
      </c>
      <c r="N233">
        <v>3.2000000000000002E-3</v>
      </c>
      <c r="O233">
        <v>3.2000000000000002E-3</v>
      </c>
      <c r="P233">
        <v>3.2000000000000002E-3</v>
      </c>
      <c r="Q233">
        <v>3.2000000000000002E-3</v>
      </c>
      <c r="R233">
        <v>3.2000000000000002E-3</v>
      </c>
      <c r="S233">
        <v>3.2000000000000002E-3</v>
      </c>
      <c r="T233">
        <v>3.2000000000000002E-3</v>
      </c>
      <c r="U233">
        <v>3.2000000000000002E-3</v>
      </c>
      <c r="V233">
        <v>3.2000000000000002E-3</v>
      </c>
      <c r="W233">
        <v>3.2000000000000002E-3</v>
      </c>
      <c r="X233">
        <v>3.2000000000000002E-3</v>
      </c>
      <c r="Y233">
        <v>3.2000000000000002E-3</v>
      </c>
    </row>
    <row r="234" spans="1:25" hidden="1">
      <c r="A234" t="s">
        <v>270</v>
      </c>
      <c r="B234" t="s">
        <v>895</v>
      </c>
      <c r="C234" t="s">
        <v>841</v>
      </c>
      <c r="D234" t="s">
        <v>632</v>
      </c>
      <c r="E234" t="s">
        <v>784</v>
      </c>
      <c r="F234" t="s">
        <v>598</v>
      </c>
      <c r="G234" t="s">
        <v>599</v>
      </c>
      <c r="H234" t="s">
        <v>600</v>
      </c>
      <c r="I234" t="s">
        <v>601</v>
      </c>
      <c r="J234">
        <v>2.0000000000000001E-4</v>
      </c>
      <c r="K234">
        <v>2.0000000000000001E-4</v>
      </c>
      <c r="L234">
        <v>2.0000000000000001E-4</v>
      </c>
      <c r="M234">
        <v>2.0000000000000001E-4</v>
      </c>
      <c r="N234">
        <v>2.0000000000000001E-4</v>
      </c>
      <c r="O234">
        <v>2.0000000000000001E-4</v>
      </c>
      <c r="P234">
        <v>2.0000000000000001E-4</v>
      </c>
      <c r="Q234">
        <v>2.0000000000000001E-4</v>
      </c>
      <c r="R234">
        <v>2.0000000000000001E-4</v>
      </c>
      <c r="S234">
        <v>2.0000000000000001E-4</v>
      </c>
      <c r="T234">
        <v>2.0000000000000001E-4</v>
      </c>
      <c r="U234">
        <v>2.0000000000000001E-4</v>
      </c>
      <c r="V234">
        <v>2.0000000000000001E-4</v>
      </c>
      <c r="W234">
        <v>2.0000000000000001E-4</v>
      </c>
      <c r="X234">
        <v>2.0000000000000001E-4</v>
      </c>
      <c r="Y234">
        <v>2.0000000000000001E-4</v>
      </c>
    </row>
    <row r="235" spans="1:25" hidden="1">
      <c r="A235" t="s">
        <v>270</v>
      </c>
      <c r="B235" t="s">
        <v>896</v>
      </c>
      <c r="C235" t="s">
        <v>841</v>
      </c>
      <c r="D235" t="s">
        <v>640</v>
      </c>
      <c r="E235" t="s">
        <v>597</v>
      </c>
      <c r="F235" t="s">
        <v>598</v>
      </c>
      <c r="G235" t="s">
        <v>599</v>
      </c>
      <c r="H235" t="s">
        <v>600</v>
      </c>
      <c r="I235" t="s">
        <v>601</v>
      </c>
      <c r="J235">
        <v>2.7000000000000001E-3</v>
      </c>
      <c r="K235">
        <v>2.7000000000000001E-3</v>
      </c>
      <c r="L235">
        <v>2.8999999999999998E-3</v>
      </c>
      <c r="M235">
        <v>3.0999999999999999E-3</v>
      </c>
      <c r="N235">
        <v>3.2000000000000002E-3</v>
      </c>
      <c r="O235">
        <v>3.3E-3</v>
      </c>
      <c r="P235">
        <v>3.3E-3</v>
      </c>
      <c r="Q235">
        <v>3.3999999999999998E-3</v>
      </c>
      <c r="R235">
        <v>3.3999999999999998E-3</v>
      </c>
      <c r="S235">
        <v>3.3999999999999998E-3</v>
      </c>
      <c r="T235">
        <v>3.3999999999999998E-3</v>
      </c>
      <c r="U235">
        <v>3.5000000000000001E-3</v>
      </c>
      <c r="V235">
        <v>3.5000000000000001E-3</v>
      </c>
      <c r="W235">
        <v>3.5000000000000001E-3</v>
      </c>
      <c r="X235">
        <v>3.5999999999999999E-3</v>
      </c>
      <c r="Y235">
        <v>3.5999999999999999E-3</v>
      </c>
    </row>
    <row r="236" spans="1:25" hidden="1">
      <c r="A236" t="s">
        <v>270</v>
      </c>
      <c r="B236" t="s">
        <v>897</v>
      </c>
      <c r="C236" t="s">
        <v>841</v>
      </c>
      <c r="D236" t="s">
        <v>640</v>
      </c>
      <c r="E236" t="s">
        <v>642</v>
      </c>
      <c r="F236" t="s">
        <v>598</v>
      </c>
      <c r="G236" t="s">
        <v>599</v>
      </c>
      <c r="H236" t="s">
        <v>600</v>
      </c>
      <c r="I236" t="s">
        <v>601</v>
      </c>
      <c r="J236">
        <v>1E-4</v>
      </c>
      <c r="K236">
        <v>1E-4</v>
      </c>
      <c r="L236">
        <v>1E-4</v>
      </c>
      <c r="M236">
        <v>1E-4</v>
      </c>
      <c r="N236">
        <v>1E-4</v>
      </c>
      <c r="O236">
        <v>1E-4</v>
      </c>
      <c r="P236">
        <v>1E-4</v>
      </c>
      <c r="Q236">
        <v>1E-4</v>
      </c>
      <c r="R236">
        <v>1E-4</v>
      </c>
      <c r="S236">
        <v>1E-4</v>
      </c>
      <c r="T236">
        <v>1E-4</v>
      </c>
      <c r="U236">
        <v>1E-4</v>
      </c>
      <c r="V236">
        <v>1E-4</v>
      </c>
      <c r="W236">
        <v>1E-4</v>
      </c>
      <c r="X236">
        <v>1E-4</v>
      </c>
      <c r="Y236">
        <v>1E-4</v>
      </c>
    </row>
    <row r="237" spans="1:25" hidden="1">
      <c r="A237" t="s">
        <v>270</v>
      </c>
      <c r="B237" t="s">
        <v>898</v>
      </c>
      <c r="C237" t="s">
        <v>841</v>
      </c>
      <c r="D237" t="s">
        <v>640</v>
      </c>
      <c r="E237" t="s">
        <v>656</v>
      </c>
      <c r="F237" t="s">
        <v>598</v>
      </c>
      <c r="G237" t="s">
        <v>599</v>
      </c>
      <c r="H237" t="s">
        <v>600</v>
      </c>
      <c r="I237" t="s">
        <v>601</v>
      </c>
      <c r="J237">
        <v>1.12E-2</v>
      </c>
      <c r="K237">
        <v>1.12E-2</v>
      </c>
      <c r="L237">
        <v>1.12E-2</v>
      </c>
      <c r="M237">
        <v>1.12E-2</v>
      </c>
      <c r="N237">
        <v>1.12E-2</v>
      </c>
      <c r="O237">
        <v>1.12E-2</v>
      </c>
      <c r="P237">
        <v>1.12E-2</v>
      </c>
      <c r="Q237">
        <v>1.12E-2</v>
      </c>
      <c r="R237">
        <v>1.12E-2</v>
      </c>
      <c r="S237">
        <v>1.12E-2</v>
      </c>
      <c r="T237">
        <v>1.12E-2</v>
      </c>
      <c r="U237">
        <v>1.12E-2</v>
      </c>
      <c r="V237">
        <v>1.12E-2</v>
      </c>
      <c r="W237">
        <v>1.12E-2</v>
      </c>
      <c r="X237">
        <v>1.12E-2</v>
      </c>
      <c r="Y237">
        <v>1.12E-2</v>
      </c>
    </row>
    <row r="238" spans="1:25" hidden="1">
      <c r="A238" t="s">
        <v>270</v>
      </c>
      <c r="B238" t="s">
        <v>899</v>
      </c>
      <c r="C238" t="s">
        <v>841</v>
      </c>
      <c r="D238" t="s">
        <v>640</v>
      </c>
      <c r="E238" t="s">
        <v>613</v>
      </c>
      <c r="F238" t="s">
        <v>598</v>
      </c>
      <c r="G238" t="s">
        <v>599</v>
      </c>
      <c r="H238" t="s">
        <v>600</v>
      </c>
      <c r="I238" t="s">
        <v>601</v>
      </c>
      <c r="J238">
        <v>2.5999999999999999E-3</v>
      </c>
      <c r="K238">
        <v>2.5999999999999999E-3</v>
      </c>
      <c r="L238">
        <v>2.5999999999999999E-3</v>
      </c>
      <c r="M238">
        <v>2.5999999999999999E-3</v>
      </c>
      <c r="N238">
        <v>2.5999999999999999E-3</v>
      </c>
      <c r="O238">
        <v>2.5999999999999999E-3</v>
      </c>
      <c r="P238">
        <v>2.5999999999999999E-3</v>
      </c>
      <c r="Q238">
        <v>2.5999999999999999E-3</v>
      </c>
      <c r="R238">
        <v>2.5999999999999999E-3</v>
      </c>
      <c r="S238">
        <v>2.5999999999999999E-3</v>
      </c>
      <c r="T238">
        <v>2.5999999999999999E-3</v>
      </c>
      <c r="U238">
        <v>2.7000000000000001E-3</v>
      </c>
      <c r="V238">
        <v>2.7000000000000001E-3</v>
      </c>
      <c r="W238">
        <v>2.7000000000000001E-3</v>
      </c>
      <c r="X238">
        <v>2.8999999999999998E-3</v>
      </c>
      <c r="Y238">
        <v>2.8999999999999998E-3</v>
      </c>
    </row>
    <row r="239" spans="1:25" hidden="1">
      <c r="A239" t="s">
        <v>270</v>
      </c>
      <c r="B239" t="s">
        <v>900</v>
      </c>
      <c r="C239" t="s">
        <v>841</v>
      </c>
      <c r="D239" t="s">
        <v>640</v>
      </c>
      <c r="E239" t="s">
        <v>619</v>
      </c>
      <c r="F239" t="s">
        <v>598</v>
      </c>
      <c r="G239" t="s">
        <v>599</v>
      </c>
      <c r="H239" t="s">
        <v>600</v>
      </c>
      <c r="I239" t="s">
        <v>601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hidden="1">
      <c r="A240" t="s">
        <v>270</v>
      </c>
      <c r="B240" t="s">
        <v>901</v>
      </c>
      <c r="C240" t="s">
        <v>841</v>
      </c>
      <c r="D240" t="s">
        <v>648</v>
      </c>
      <c r="E240" t="s">
        <v>649</v>
      </c>
      <c r="F240" t="s">
        <v>598</v>
      </c>
      <c r="G240" t="s">
        <v>599</v>
      </c>
      <c r="H240" t="s">
        <v>600</v>
      </c>
      <c r="I240" t="s">
        <v>601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 hidden="1">
      <c r="A241" t="s">
        <v>270</v>
      </c>
      <c r="B241" t="s">
        <v>902</v>
      </c>
      <c r="C241" t="s">
        <v>841</v>
      </c>
      <c r="D241" t="s">
        <v>648</v>
      </c>
      <c r="E241" t="s">
        <v>597</v>
      </c>
      <c r="F241" t="s">
        <v>598</v>
      </c>
      <c r="G241" t="s">
        <v>599</v>
      </c>
      <c r="H241" t="s">
        <v>600</v>
      </c>
      <c r="I241" t="s">
        <v>601</v>
      </c>
      <c r="J241">
        <v>1.7457</v>
      </c>
      <c r="K241">
        <v>1.7669999999999999</v>
      </c>
      <c r="L241">
        <v>1.7921</v>
      </c>
      <c r="M241">
        <v>1.8211999999999999</v>
      </c>
      <c r="N241">
        <v>1.8411</v>
      </c>
      <c r="O241">
        <v>1.8674999999999999</v>
      </c>
      <c r="P241">
        <v>1.8833</v>
      </c>
      <c r="Q241">
        <v>1.8976999999999999</v>
      </c>
      <c r="R241">
        <v>1.9060999999999999</v>
      </c>
      <c r="S241">
        <v>1.9125000000000001</v>
      </c>
      <c r="T241">
        <v>1.9158999999999999</v>
      </c>
      <c r="U241">
        <v>1.9189000000000001</v>
      </c>
      <c r="V241">
        <v>1.9278999999999999</v>
      </c>
      <c r="W241">
        <v>1.9418</v>
      </c>
      <c r="X241">
        <v>1.9564999999999999</v>
      </c>
      <c r="Y241">
        <v>1.9723999999999999</v>
      </c>
    </row>
    <row r="242" spans="1:25" hidden="1">
      <c r="A242" t="s">
        <v>270</v>
      </c>
      <c r="B242" t="s">
        <v>903</v>
      </c>
      <c r="C242" t="s">
        <v>841</v>
      </c>
      <c r="D242" t="s">
        <v>648</v>
      </c>
      <c r="E242" t="s">
        <v>597</v>
      </c>
      <c r="F242" t="s">
        <v>904</v>
      </c>
      <c r="G242" t="s">
        <v>599</v>
      </c>
      <c r="H242" t="s">
        <v>600</v>
      </c>
      <c r="I242" t="s">
        <v>601</v>
      </c>
      <c r="J242">
        <v>1.01E-2</v>
      </c>
      <c r="K242">
        <v>1.01E-2</v>
      </c>
      <c r="L242">
        <v>1.01E-2</v>
      </c>
      <c r="M242">
        <v>1.01E-2</v>
      </c>
      <c r="N242">
        <v>1.01E-2</v>
      </c>
      <c r="O242">
        <v>1.01E-2</v>
      </c>
      <c r="P242">
        <v>1.01E-2</v>
      </c>
      <c r="Q242">
        <v>1.01E-2</v>
      </c>
      <c r="R242">
        <v>1.01E-2</v>
      </c>
      <c r="S242">
        <v>1.01E-2</v>
      </c>
      <c r="T242">
        <v>1.01E-2</v>
      </c>
      <c r="U242">
        <v>1.01E-2</v>
      </c>
      <c r="V242">
        <v>1.01E-2</v>
      </c>
      <c r="W242">
        <v>1.01E-2</v>
      </c>
      <c r="X242">
        <v>1.01E-2</v>
      </c>
      <c r="Y242">
        <v>1.01E-2</v>
      </c>
    </row>
    <row r="243" spans="1:25" hidden="1">
      <c r="A243" t="s">
        <v>270</v>
      </c>
      <c r="B243" t="s">
        <v>905</v>
      </c>
      <c r="C243" t="s">
        <v>841</v>
      </c>
      <c r="D243" t="s">
        <v>648</v>
      </c>
      <c r="E243" t="s">
        <v>597</v>
      </c>
      <c r="F243" t="s">
        <v>906</v>
      </c>
      <c r="G243" t="s">
        <v>599</v>
      </c>
      <c r="H243" t="s">
        <v>600</v>
      </c>
      <c r="I243" t="s">
        <v>601</v>
      </c>
      <c r="J243">
        <v>0.28220000000000001</v>
      </c>
      <c r="K243">
        <v>0.28249999999999997</v>
      </c>
      <c r="L243">
        <v>0.28249999999999997</v>
      </c>
      <c r="M243">
        <v>0.28179999999999999</v>
      </c>
      <c r="N243">
        <v>0.28000000000000003</v>
      </c>
      <c r="O243">
        <v>0.27689999999999998</v>
      </c>
      <c r="P243">
        <v>0.27429999999999999</v>
      </c>
      <c r="Q243">
        <v>0.27189999999999998</v>
      </c>
      <c r="R243">
        <v>0.2697</v>
      </c>
      <c r="S243">
        <v>0.26779999999999998</v>
      </c>
      <c r="T243">
        <v>0.2661</v>
      </c>
      <c r="U243">
        <v>0.26490000000000002</v>
      </c>
      <c r="V243">
        <v>0.2641</v>
      </c>
      <c r="W243">
        <v>0.26329999999999998</v>
      </c>
      <c r="X243">
        <v>0.26400000000000001</v>
      </c>
      <c r="Y243">
        <v>0.26469999999999999</v>
      </c>
    </row>
    <row r="244" spans="1:25" hidden="1">
      <c r="A244" t="s">
        <v>270</v>
      </c>
      <c r="B244" t="s">
        <v>907</v>
      </c>
      <c r="C244" t="s">
        <v>841</v>
      </c>
      <c r="D244" t="s">
        <v>648</v>
      </c>
      <c r="E244" t="s">
        <v>597</v>
      </c>
      <c r="F244" t="s">
        <v>908</v>
      </c>
      <c r="G244" t="s">
        <v>599</v>
      </c>
      <c r="H244" t="s">
        <v>600</v>
      </c>
      <c r="I244" t="s">
        <v>601</v>
      </c>
      <c r="J244">
        <v>0.26729999999999998</v>
      </c>
      <c r="K244">
        <v>0.2676</v>
      </c>
      <c r="L244">
        <v>0.2676</v>
      </c>
      <c r="M244">
        <v>0.26700000000000002</v>
      </c>
      <c r="N244">
        <v>0.2651</v>
      </c>
      <c r="O244">
        <v>0.26219999999999999</v>
      </c>
      <c r="P244">
        <v>0.25969999999999999</v>
      </c>
      <c r="Q244">
        <v>0.25750000000000001</v>
      </c>
      <c r="R244">
        <v>0.25540000000000002</v>
      </c>
      <c r="S244">
        <v>0.25340000000000001</v>
      </c>
      <c r="T244">
        <v>0.25190000000000001</v>
      </c>
      <c r="U244">
        <v>0.25090000000000001</v>
      </c>
      <c r="V244">
        <v>0.25</v>
      </c>
      <c r="W244">
        <v>0.24940000000000001</v>
      </c>
      <c r="X244">
        <v>0.24990000000000001</v>
      </c>
      <c r="Y244">
        <v>0.25059999999999999</v>
      </c>
    </row>
    <row r="245" spans="1:25" hidden="1">
      <c r="A245" t="s">
        <v>270</v>
      </c>
      <c r="B245" t="s">
        <v>909</v>
      </c>
      <c r="C245" t="s">
        <v>841</v>
      </c>
      <c r="D245" t="s">
        <v>648</v>
      </c>
      <c r="E245" t="s">
        <v>642</v>
      </c>
      <c r="F245" t="s">
        <v>598</v>
      </c>
      <c r="G245" t="s">
        <v>599</v>
      </c>
      <c r="H245" t="s">
        <v>600</v>
      </c>
      <c r="I245" t="s">
        <v>601</v>
      </c>
      <c r="J245">
        <v>4.1300000000000003E-2</v>
      </c>
      <c r="K245">
        <v>4.24E-2</v>
      </c>
      <c r="L245">
        <v>4.3900000000000002E-2</v>
      </c>
      <c r="M245">
        <v>4.5199999999999997E-2</v>
      </c>
      <c r="N245">
        <v>4.6699999999999998E-2</v>
      </c>
      <c r="O245">
        <v>4.8000000000000001E-2</v>
      </c>
      <c r="P245">
        <v>4.9200000000000001E-2</v>
      </c>
      <c r="Q245">
        <v>5.04E-2</v>
      </c>
      <c r="R245">
        <v>5.1200000000000002E-2</v>
      </c>
      <c r="S245">
        <v>5.1900000000000002E-2</v>
      </c>
      <c r="T245">
        <v>5.2699999999999997E-2</v>
      </c>
      <c r="U245">
        <v>5.3699999999999998E-2</v>
      </c>
      <c r="V245">
        <v>5.45E-2</v>
      </c>
      <c r="W245">
        <v>6.0600000000000001E-2</v>
      </c>
      <c r="X245">
        <v>6.13E-2</v>
      </c>
      <c r="Y245">
        <v>6.2E-2</v>
      </c>
    </row>
    <row r="246" spans="1:25" hidden="1">
      <c r="A246" t="s">
        <v>270</v>
      </c>
      <c r="B246" t="s">
        <v>910</v>
      </c>
      <c r="C246" t="s">
        <v>841</v>
      </c>
      <c r="D246" t="s">
        <v>648</v>
      </c>
      <c r="E246" t="s">
        <v>799</v>
      </c>
      <c r="F246" t="s">
        <v>598</v>
      </c>
      <c r="G246" t="s">
        <v>599</v>
      </c>
      <c r="H246" t="s">
        <v>600</v>
      </c>
      <c r="I246" t="s">
        <v>601</v>
      </c>
      <c r="J246">
        <v>4.0000000000000002E-4</v>
      </c>
      <c r="K246">
        <v>4.0000000000000002E-4</v>
      </c>
      <c r="L246">
        <v>4.0000000000000002E-4</v>
      </c>
      <c r="M246">
        <v>4.0000000000000002E-4</v>
      </c>
      <c r="N246">
        <v>4.0000000000000002E-4</v>
      </c>
      <c r="O246">
        <v>4.0000000000000002E-4</v>
      </c>
      <c r="P246">
        <v>4.0000000000000002E-4</v>
      </c>
      <c r="Q246">
        <v>4.0000000000000002E-4</v>
      </c>
      <c r="R246">
        <v>4.0000000000000002E-4</v>
      </c>
      <c r="S246">
        <v>4.0000000000000002E-4</v>
      </c>
      <c r="T246">
        <v>4.0000000000000002E-4</v>
      </c>
      <c r="U246">
        <v>4.0000000000000002E-4</v>
      </c>
      <c r="V246">
        <v>4.0000000000000002E-4</v>
      </c>
      <c r="W246">
        <v>4.0000000000000002E-4</v>
      </c>
      <c r="X246">
        <v>4.0000000000000002E-4</v>
      </c>
      <c r="Y246">
        <v>4.0000000000000002E-4</v>
      </c>
    </row>
    <row r="247" spans="1:25" hidden="1">
      <c r="A247" t="s">
        <v>270</v>
      </c>
      <c r="B247" t="s">
        <v>911</v>
      </c>
      <c r="C247" t="s">
        <v>841</v>
      </c>
      <c r="D247" t="s">
        <v>648</v>
      </c>
      <c r="E247" t="s">
        <v>619</v>
      </c>
      <c r="F247" t="s">
        <v>598</v>
      </c>
      <c r="G247" t="s">
        <v>599</v>
      </c>
      <c r="H247" t="s">
        <v>600</v>
      </c>
      <c r="I247" t="s">
        <v>601</v>
      </c>
      <c r="J247">
        <v>1.24E-2</v>
      </c>
      <c r="K247">
        <v>1.24E-2</v>
      </c>
      <c r="L247">
        <v>1.24E-2</v>
      </c>
      <c r="M247">
        <v>1.24E-2</v>
      </c>
      <c r="N247">
        <v>1.24E-2</v>
      </c>
      <c r="O247">
        <v>1.2500000000000001E-2</v>
      </c>
      <c r="P247">
        <v>1.2500000000000001E-2</v>
      </c>
      <c r="Q247">
        <v>1.2500000000000001E-2</v>
      </c>
      <c r="R247">
        <v>1.2500000000000001E-2</v>
      </c>
      <c r="S247">
        <v>1.2500000000000001E-2</v>
      </c>
      <c r="T247">
        <v>1.2500000000000001E-2</v>
      </c>
      <c r="U247">
        <v>1.2500000000000001E-2</v>
      </c>
      <c r="V247">
        <v>1.2500000000000001E-2</v>
      </c>
      <c r="W247">
        <v>1.2500000000000001E-2</v>
      </c>
      <c r="X247">
        <v>1.2500000000000001E-2</v>
      </c>
      <c r="Y247">
        <v>1.2699999999999999E-2</v>
      </c>
    </row>
    <row r="248" spans="1:25" hidden="1">
      <c r="A248" t="s">
        <v>270</v>
      </c>
      <c r="B248" t="s">
        <v>912</v>
      </c>
      <c r="C248" t="s">
        <v>841</v>
      </c>
      <c r="D248" t="s">
        <v>648</v>
      </c>
      <c r="E248" t="s">
        <v>676</v>
      </c>
      <c r="F248" t="s">
        <v>598</v>
      </c>
      <c r="G248" t="s">
        <v>599</v>
      </c>
      <c r="H248" t="s">
        <v>600</v>
      </c>
      <c r="I248" t="s">
        <v>601</v>
      </c>
      <c r="J248">
        <v>3.0099999999999998E-2</v>
      </c>
      <c r="K248">
        <v>3.0099999999999998E-2</v>
      </c>
      <c r="L248">
        <v>3.0099999999999998E-2</v>
      </c>
      <c r="M248">
        <v>3.0099999999999998E-2</v>
      </c>
      <c r="N248">
        <v>3.0099999999999998E-2</v>
      </c>
      <c r="O248">
        <v>3.0099999999999998E-2</v>
      </c>
      <c r="P248">
        <v>3.0099999999999998E-2</v>
      </c>
      <c r="Q248">
        <v>3.0099999999999998E-2</v>
      </c>
      <c r="R248">
        <v>3.0099999999999998E-2</v>
      </c>
      <c r="S248">
        <v>3.0099999999999998E-2</v>
      </c>
      <c r="T248">
        <v>3.0099999999999998E-2</v>
      </c>
      <c r="U248">
        <v>3.0099999999999998E-2</v>
      </c>
      <c r="V248">
        <v>3.0099999999999998E-2</v>
      </c>
      <c r="W248">
        <v>3.0099999999999998E-2</v>
      </c>
      <c r="X248">
        <v>3.0099999999999998E-2</v>
      </c>
      <c r="Y248">
        <v>3.0099999999999998E-2</v>
      </c>
    </row>
    <row r="249" spans="1:25" hidden="1">
      <c r="A249" t="s">
        <v>270</v>
      </c>
      <c r="B249" t="s">
        <v>913</v>
      </c>
      <c r="C249" t="s">
        <v>914</v>
      </c>
      <c r="D249" t="s">
        <v>671</v>
      </c>
      <c r="E249" t="s">
        <v>597</v>
      </c>
      <c r="F249" t="s">
        <v>598</v>
      </c>
      <c r="G249" t="s">
        <v>599</v>
      </c>
      <c r="H249" t="s">
        <v>600</v>
      </c>
      <c r="I249" t="s">
        <v>601</v>
      </c>
      <c r="J249">
        <v>2.9999999999999997E-4</v>
      </c>
      <c r="K249">
        <v>2.9999999999999997E-4</v>
      </c>
      <c r="L249">
        <v>2.9999999999999997E-4</v>
      </c>
      <c r="M249">
        <v>2.9999999999999997E-4</v>
      </c>
      <c r="N249">
        <v>2.9999999999999997E-4</v>
      </c>
      <c r="O249">
        <v>2.9999999999999997E-4</v>
      </c>
      <c r="P249">
        <v>2.9999999999999997E-4</v>
      </c>
      <c r="Q249">
        <v>2.9999999999999997E-4</v>
      </c>
      <c r="R249">
        <v>2.9999999999999997E-4</v>
      </c>
      <c r="S249">
        <v>2.9999999999999997E-4</v>
      </c>
      <c r="T249">
        <v>2.9999999999999997E-4</v>
      </c>
      <c r="U249">
        <v>2.9999999999999997E-4</v>
      </c>
      <c r="V249">
        <v>2.9999999999999997E-4</v>
      </c>
      <c r="W249">
        <v>2.9999999999999997E-4</v>
      </c>
      <c r="X249">
        <v>2.9999999999999997E-4</v>
      </c>
      <c r="Y249">
        <v>2.9999999999999997E-4</v>
      </c>
    </row>
    <row r="250" spans="1:25" hidden="1">
      <c r="A250" t="s">
        <v>270</v>
      </c>
      <c r="B250" t="s">
        <v>915</v>
      </c>
      <c r="C250" t="s">
        <v>914</v>
      </c>
      <c r="D250" t="s">
        <v>671</v>
      </c>
      <c r="E250" t="s">
        <v>642</v>
      </c>
      <c r="F250" t="s">
        <v>598</v>
      </c>
      <c r="G250" t="s">
        <v>599</v>
      </c>
      <c r="H250" t="s">
        <v>600</v>
      </c>
      <c r="I250" t="s">
        <v>601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hidden="1">
      <c r="A251" t="s">
        <v>270</v>
      </c>
      <c r="B251" t="s">
        <v>916</v>
      </c>
      <c r="C251" t="s">
        <v>914</v>
      </c>
      <c r="D251" t="s">
        <v>621</v>
      </c>
      <c r="E251" t="s">
        <v>628</v>
      </c>
      <c r="F251" t="s">
        <v>598</v>
      </c>
      <c r="G251" t="s">
        <v>599</v>
      </c>
      <c r="H251" t="s">
        <v>600</v>
      </c>
      <c r="I251" t="s">
        <v>601</v>
      </c>
      <c r="J251">
        <v>0.13254827999999999</v>
      </c>
      <c r="K251">
        <v>0.13259662</v>
      </c>
      <c r="L251">
        <v>0.13317670000000001</v>
      </c>
      <c r="M251">
        <v>0.13341839999999999</v>
      </c>
      <c r="N251">
        <v>0.13337006000000001</v>
      </c>
      <c r="O251">
        <v>0.10716978000000001</v>
      </c>
      <c r="P251">
        <v>0.10794322000000001</v>
      </c>
      <c r="Q251">
        <v>0.10871666000000001</v>
      </c>
      <c r="R251">
        <v>0.10929674</v>
      </c>
      <c r="S251">
        <v>0.1099735</v>
      </c>
      <c r="T251">
        <v>0.11050524</v>
      </c>
      <c r="U251">
        <v>0.11123034</v>
      </c>
      <c r="V251">
        <v>0.11176208</v>
      </c>
      <c r="W251">
        <v>0.1126322</v>
      </c>
      <c r="X251">
        <v>0.11330896</v>
      </c>
      <c r="Y251">
        <v>0.11398572</v>
      </c>
    </row>
    <row r="252" spans="1:25" hidden="1">
      <c r="A252" t="s">
        <v>270</v>
      </c>
      <c r="B252" t="s">
        <v>917</v>
      </c>
      <c r="C252" t="s">
        <v>914</v>
      </c>
      <c r="D252" t="s">
        <v>918</v>
      </c>
      <c r="E252" t="s">
        <v>649</v>
      </c>
      <c r="F252" t="s">
        <v>598</v>
      </c>
      <c r="G252" t="s">
        <v>599</v>
      </c>
      <c r="H252" t="s">
        <v>600</v>
      </c>
      <c r="I252" t="s">
        <v>601</v>
      </c>
      <c r="J252">
        <v>1.52E-2</v>
      </c>
      <c r="K252">
        <v>1.5100000000000001E-2</v>
      </c>
      <c r="L252">
        <v>1.4999999999999999E-2</v>
      </c>
      <c r="M252">
        <v>1.5100000000000001E-2</v>
      </c>
      <c r="N252">
        <v>1.5100000000000001E-2</v>
      </c>
      <c r="O252">
        <v>1.5100000000000001E-2</v>
      </c>
      <c r="P252">
        <v>1.5599999999999999E-2</v>
      </c>
      <c r="Q252">
        <v>1.5900000000000001E-2</v>
      </c>
      <c r="R252">
        <v>1.6299999999999999E-2</v>
      </c>
      <c r="S252">
        <v>1.6400000000000001E-2</v>
      </c>
      <c r="T252">
        <v>1.6500000000000001E-2</v>
      </c>
      <c r="U252">
        <v>1.6500000000000001E-2</v>
      </c>
      <c r="V252">
        <v>1.66E-2</v>
      </c>
      <c r="W252">
        <v>1.66E-2</v>
      </c>
      <c r="X252">
        <v>1.66E-2</v>
      </c>
      <c r="Y252">
        <v>1.66E-2</v>
      </c>
    </row>
    <row r="253" spans="1:25" hidden="1">
      <c r="A253" t="s">
        <v>270</v>
      </c>
      <c r="B253" t="s">
        <v>919</v>
      </c>
      <c r="C253" t="s">
        <v>914</v>
      </c>
      <c r="D253" t="s">
        <v>648</v>
      </c>
      <c r="E253" t="s">
        <v>920</v>
      </c>
      <c r="F253" t="s">
        <v>598</v>
      </c>
      <c r="G253" t="s">
        <v>599</v>
      </c>
      <c r="H253" t="s">
        <v>600</v>
      </c>
      <c r="I253" t="s">
        <v>601</v>
      </c>
      <c r="J253">
        <v>0.34610000000000002</v>
      </c>
      <c r="K253">
        <v>0.34320000000000001</v>
      </c>
      <c r="L253">
        <v>0.3402</v>
      </c>
      <c r="M253">
        <v>0.33979999999999999</v>
      </c>
      <c r="N253">
        <v>0.33510000000000001</v>
      </c>
      <c r="O253">
        <v>0.33139999999999997</v>
      </c>
      <c r="P253">
        <v>0.33489999999999998</v>
      </c>
      <c r="Q253">
        <v>0.34139999999999998</v>
      </c>
      <c r="R253">
        <v>0.34449999999999997</v>
      </c>
      <c r="S253">
        <v>0.3508</v>
      </c>
      <c r="T253">
        <v>0.35720000000000002</v>
      </c>
      <c r="U253">
        <v>0.36070000000000002</v>
      </c>
      <c r="V253">
        <v>0.3649</v>
      </c>
      <c r="W253">
        <v>0.36899999999999999</v>
      </c>
      <c r="X253">
        <v>0.37359999999999999</v>
      </c>
      <c r="Y253">
        <v>0.37769999999999998</v>
      </c>
    </row>
    <row r="254" spans="1:25" hidden="1">
      <c r="A254" t="s">
        <v>270</v>
      </c>
      <c r="B254" t="s">
        <v>921</v>
      </c>
      <c r="C254" t="s">
        <v>914</v>
      </c>
      <c r="D254" t="s">
        <v>648</v>
      </c>
      <c r="E254" t="s">
        <v>649</v>
      </c>
      <c r="F254" t="s">
        <v>598</v>
      </c>
      <c r="G254" t="s">
        <v>599</v>
      </c>
      <c r="H254" t="s">
        <v>600</v>
      </c>
      <c r="I254" t="s">
        <v>601</v>
      </c>
      <c r="J254">
        <v>5.0000000000000001E-4</v>
      </c>
      <c r="K254">
        <v>5.0000000000000001E-4</v>
      </c>
      <c r="L254">
        <v>5.0000000000000001E-4</v>
      </c>
      <c r="M254">
        <v>5.0000000000000001E-4</v>
      </c>
      <c r="N254">
        <v>5.0000000000000001E-4</v>
      </c>
      <c r="O254">
        <v>5.0000000000000001E-4</v>
      </c>
      <c r="P254">
        <v>5.0000000000000001E-4</v>
      </c>
      <c r="Q254">
        <v>5.0000000000000001E-4</v>
      </c>
      <c r="R254">
        <v>5.0000000000000001E-4</v>
      </c>
      <c r="S254">
        <v>5.0000000000000001E-4</v>
      </c>
      <c r="T254">
        <v>5.0000000000000001E-4</v>
      </c>
      <c r="U254">
        <v>5.0000000000000001E-4</v>
      </c>
      <c r="V254">
        <v>5.0000000000000001E-4</v>
      </c>
      <c r="W254">
        <v>5.0000000000000001E-4</v>
      </c>
      <c r="X254">
        <v>5.0000000000000001E-4</v>
      </c>
      <c r="Y254">
        <v>5.0000000000000001E-4</v>
      </c>
    </row>
    <row r="255" spans="1:25" hidden="1">
      <c r="A255" t="s">
        <v>270</v>
      </c>
      <c r="B255" t="s">
        <v>922</v>
      </c>
      <c r="C255" t="s">
        <v>914</v>
      </c>
      <c r="D255" t="s">
        <v>648</v>
      </c>
      <c r="E255" t="s">
        <v>888</v>
      </c>
      <c r="F255" t="s">
        <v>598</v>
      </c>
      <c r="G255" t="s">
        <v>599</v>
      </c>
      <c r="H255" t="s">
        <v>600</v>
      </c>
      <c r="I255" t="s">
        <v>601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 hidden="1">
      <c r="A256" t="s">
        <v>270</v>
      </c>
      <c r="B256" t="s">
        <v>923</v>
      </c>
      <c r="C256" t="s">
        <v>914</v>
      </c>
      <c r="D256" t="s">
        <v>648</v>
      </c>
      <c r="E256" t="s">
        <v>781</v>
      </c>
      <c r="F256" t="s">
        <v>598</v>
      </c>
      <c r="G256" t="s">
        <v>599</v>
      </c>
      <c r="H256" t="s">
        <v>600</v>
      </c>
      <c r="I256" t="s">
        <v>601</v>
      </c>
      <c r="J256">
        <v>4.7999999999999996E-3</v>
      </c>
      <c r="K256">
        <v>4.7999999999999996E-3</v>
      </c>
      <c r="L256">
        <v>4.7999999999999996E-3</v>
      </c>
      <c r="M256">
        <v>4.7999999999999996E-3</v>
      </c>
      <c r="N256">
        <v>4.7999999999999996E-3</v>
      </c>
      <c r="O256">
        <v>4.7999999999999996E-3</v>
      </c>
      <c r="P256">
        <v>4.7999999999999996E-3</v>
      </c>
      <c r="Q256">
        <v>4.7999999999999996E-3</v>
      </c>
      <c r="R256">
        <v>4.7999999999999996E-3</v>
      </c>
      <c r="S256">
        <v>4.7999999999999996E-3</v>
      </c>
      <c r="T256">
        <v>4.7999999999999996E-3</v>
      </c>
      <c r="U256">
        <v>4.7999999999999996E-3</v>
      </c>
      <c r="V256">
        <v>4.7999999999999996E-3</v>
      </c>
      <c r="W256">
        <v>4.7999999999999996E-3</v>
      </c>
      <c r="X256">
        <v>4.7999999999999996E-3</v>
      </c>
      <c r="Y256">
        <v>4.7999999999999996E-3</v>
      </c>
    </row>
    <row r="257" spans="1:25" hidden="1">
      <c r="A257" t="s">
        <v>270</v>
      </c>
      <c r="B257" t="s">
        <v>924</v>
      </c>
      <c r="C257" t="s">
        <v>925</v>
      </c>
      <c r="D257" t="s">
        <v>926</v>
      </c>
      <c r="E257" t="s">
        <v>927</v>
      </c>
      <c r="F257" t="s">
        <v>598</v>
      </c>
      <c r="G257" t="s">
        <v>599</v>
      </c>
      <c r="H257" t="s">
        <v>600</v>
      </c>
      <c r="I257" t="s">
        <v>601</v>
      </c>
      <c r="J257">
        <v>1.1000000000000001E-3</v>
      </c>
      <c r="K257">
        <v>1.1000000000000001E-3</v>
      </c>
      <c r="L257">
        <v>1.1000000000000001E-3</v>
      </c>
      <c r="M257">
        <v>1.1999999999999999E-3</v>
      </c>
      <c r="N257">
        <v>1.1999999999999999E-3</v>
      </c>
      <c r="O257">
        <v>1.1999999999999999E-3</v>
      </c>
      <c r="P257">
        <v>1.1999999999999999E-3</v>
      </c>
      <c r="Q257">
        <v>1.2999999999999999E-3</v>
      </c>
      <c r="R257">
        <v>1.2999999999999999E-3</v>
      </c>
      <c r="S257">
        <v>1.2999999999999999E-3</v>
      </c>
      <c r="T257">
        <v>1.2999999999999999E-3</v>
      </c>
      <c r="U257">
        <v>1.2999999999999999E-3</v>
      </c>
      <c r="V257">
        <v>1.2999999999999999E-3</v>
      </c>
      <c r="W257">
        <v>1.2999999999999999E-3</v>
      </c>
      <c r="X257">
        <v>1.2999999999999999E-3</v>
      </c>
      <c r="Y257">
        <v>1.2999999999999999E-3</v>
      </c>
    </row>
    <row r="258" spans="1:25" hidden="1">
      <c r="A258" t="s">
        <v>270</v>
      </c>
      <c r="B258" t="s">
        <v>928</v>
      </c>
      <c r="C258" t="s">
        <v>925</v>
      </c>
      <c r="D258" t="s">
        <v>926</v>
      </c>
      <c r="E258" t="s">
        <v>929</v>
      </c>
      <c r="F258" t="s">
        <v>598</v>
      </c>
      <c r="G258" t="s">
        <v>599</v>
      </c>
      <c r="H258" t="s">
        <v>600</v>
      </c>
      <c r="I258" t="s">
        <v>601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 hidden="1">
      <c r="A259" t="s">
        <v>270</v>
      </c>
      <c r="B259" t="s">
        <v>930</v>
      </c>
      <c r="C259" t="s">
        <v>925</v>
      </c>
      <c r="D259" t="s">
        <v>931</v>
      </c>
      <c r="E259" t="s">
        <v>932</v>
      </c>
      <c r="F259" t="s">
        <v>598</v>
      </c>
      <c r="G259" t="s">
        <v>599</v>
      </c>
      <c r="H259" t="s">
        <v>600</v>
      </c>
      <c r="I259" t="s">
        <v>601</v>
      </c>
      <c r="J259">
        <v>1.2999999999999999E-3</v>
      </c>
      <c r="K259">
        <v>1.2999999999999999E-3</v>
      </c>
      <c r="L259">
        <v>1.2999999999999999E-3</v>
      </c>
      <c r="M259">
        <v>1.2999999999999999E-3</v>
      </c>
      <c r="N259">
        <v>1.2999999999999999E-3</v>
      </c>
      <c r="O259">
        <v>1.2999999999999999E-3</v>
      </c>
      <c r="P259">
        <v>1.2999999999999999E-3</v>
      </c>
      <c r="Q259">
        <v>1.2999999999999999E-3</v>
      </c>
      <c r="R259">
        <v>1.2999999999999999E-3</v>
      </c>
      <c r="S259">
        <v>1.4E-3</v>
      </c>
      <c r="T259">
        <v>1.4E-3</v>
      </c>
      <c r="U259">
        <v>1.4E-3</v>
      </c>
      <c r="V259">
        <v>1.4E-3</v>
      </c>
      <c r="W259">
        <v>1.4E-3</v>
      </c>
      <c r="X259">
        <v>1.4E-3</v>
      </c>
      <c r="Y259">
        <v>1.4E-3</v>
      </c>
    </row>
    <row r="260" spans="1:25" hidden="1">
      <c r="A260" t="s">
        <v>270</v>
      </c>
      <c r="B260" t="s">
        <v>933</v>
      </c>
      <c r="C260" t="s">
        <v>925</v>
      </c>
      <c r="D260" t="s">
        <v>934</v>
      </c>
      <c r="E260" t="s">
        <v>597</v>
      </c>
      <c r="F260" t="s">
        <v>598</v>
      </c>
      <c r="G260" t="s">
        <v>599</v>
      </c>
      <c r="H260" t="s">
        <v>600</v>
      </c>
      <c r="I260" t="s">
        <v>601</v>
      </c>
      <c r="J260">
        <v>0</v>
      </c>
      <c r="K260">
        <v>0</v>
      </c>
      <c r="L260">
        <v>0</v>
      </c>
      <c r="M260">
        <v>0</v>
      </c>
      <c r="N260">
        <v>1E-4</v>
      </c>
      <c r="O260">
        <v>1E-4</v>
      </c>
      <c r="P260">
        <v>1E-4</v>
      </c>
      <c r="Q260">
        <v>1E-4</v>
      </c>
      <c r="R260">
        <v>1E-4</v>
      </c>
      <c r="S260">
        <v>1E-4</v>
      </c>
      <c r="T260">
        <v>1E-4</v>
      </c>
      <c r="U260">
        <v>1E-4</v>
      </c>
      <c r="V260">
        <v>1E-4</v>
      </c>
      <c r="W260">
        <v>1E-4</v>
      </c>
      <c r="X260">
        <v>1E-4</v>
      </c>
      <c r="Y260">
        <v>1E-4</v>
      </c>
    </row>
    <row r="261" spans="1:25" hidden="1">
      <c r="A261" t="s">
        <v>270</v>
      </c>
      <c r="B261" t="s">
        <v>935</v>
      </c>
      <c r="C261" t="s">
        <v>925</v>
      </c>
      <c r="D261" t="s">
        <v>934</v>
      </c>
      <c r="E261" t="s">
        <v>605</v>
      </c>
      <c r="F261" t="s">
        <v>598</v>
      </c>
      <c r="G261" t="s">
        <v>599</v>
      </c>
      <c r="H261" t="s">
        <v>600</v>
      </c>
      <c r="I261" t="s">
        <v>601</v>
      </c>
      <c r="J261">
        <v>5.1000000000000004E-3</v>
      </c>
      <c r="K261">
        <v>5.1999999999999998E-3</v>
      </c>
      <c r="L261">
        <v>5.1999999999999998E-3</v>
      </c>
      <c r="M261">
        <v>5.1999999999999998E-3</v>
      </c>
      <c r="N261">
        <v>5.3E-3</v>
      </c>
      <c r="O261">
        <v>5.4999999999999997E-3</v>
      </c>
      <c r="P261">
        <v>5.4999999999999997E-3</v>
      </c>
      <c r="Q261">
        <v>5.4999999999999997E-3</v>
      </c>
      <c r="R261">
        <v>5.5999999999999999E-3</v>
      </c>
      <c r="S261">
        <v>5.7000000000000002E-3</v>
      </c>
      <c r="T261">
        <v>5.7000000000000002E-3</v>
      </c>
      <c r="U261">
        <v>5.7999999999999996E-3</v>
      </c>
      <c r="V261">
        <v>5.8999999999999999E-3</v>
      </c>
      <c r="W261">
        <v>6.1000000000000004E-3</v>
      </c>
      <c r="X261">
        <v>6.1999999999999998E-3</v>
      </c>
      <c r="Y261">
        <v>6.1999999999999998E-3</v>
      </c>
    </row>
    <row r="262" spans="1:25" hidden="1">
      <c r="A262" t="s">
        <v>270</v>
      </c>
      <c r="B262" t="s">
        <v>936</v>
      </c>
      <c r="C262" t="s">
        <v>925</v>
      </c>
      <c r="D262" t="s">
        <v>934</v>
      </c>
      <c r="E262" t="s">
        <v>937</v>
      </c>
      <c r="F262" t="s">
        <v>598</v>
      </c>
      <c r="G262" t="s">
        <v>599</v>
      </c>
      <c r="H262" t="s">
        <v>600</v>
      </c>
      <c r="I262" t="s">
        <v>601</v>
      </c>
      <c r="J262">
        <v>3.8999999999999998E-3</v>
      </c>
      <c r="K262">
        <v>3.8E-3</v>
      </c>
      <c r="L262">
        <v>3.7000000000000002E-3</v>
      </c>
      <c r="M262">
        <v>3.5999999999999999E-3</v>
      </c>
      <c r="N262">
        <v>3.5000000000000001E-3</v>
      </c>
      <c r="O262">
        <v>3.3999999999999998E-3</v>
      </c>
      <c r="P262">
        <v>3.3E-3</v>
      </c>
      <c r="Q262">
        <v>3.2000000000000002E-3</v>
      </c>
      <c r="R262">
        <v>3.2000000000000002E-3</v>
      </c>
      <c r="S262">
        <v>3.0999999999999999E-3</v>
      </c>
      <c r="T262">
        <v>3.0000000000000001E-3</v>
      </c>
      <c r="U262">
        <v>3.0000000000000001E-3</v>
      </c>
      <c r="V262">
        <v>2.8999999999999998E-3</v>
      </c>
      <c r="W262">
        <v>2.8E-3</v>
      </c>
      <c r="X262">
        <v>2.8E-3</v>
      </c>
      <c r="Y262">
        <v>2.7000000000000001E-3</v>
      </c>
    </row>
    <row r="263" spans="1:25" hidden="1">
      <c r="A263" t="s">
        <v>270</v>
      </c>
      <c r="B263" t="s">
        <v>938</v>
      </c>
      <c r="C263" t="s">
        <v>925</v>
      </c>
      <c r="D263" t="s">
        <v>934</v>
      </c>
      <c r="E263" t="s">
        <v>768</v>
      </c>
      <c r="F263" t="s">
        <v>598</v>
      </c>
      <c r="G263" t="s">
        <v>599</v>
      </c>
      <c r="H263" t="s">
        <v>600</v>
      </c>
      <c r="I263" t="s">
        <v>601</v>
      </c>
      <c r="J263">
        <v>1.9E-2</v>
      </c>
      <c r="K263">
        <v>1.9199999999999998E-2</v>
      </c>
      <c r="L263">
        <v>1.9400000000000001E-2</v>
      </c>
      <c r="M263">
        <v>1.95E-2</v>
      </c>
      <c r="N263">
        <v>1.9699999999999999E-2</v>
      </c>
      <c r="O263">
        <v>1.9900000000000001E-2</v>
      </c>
      <c r="P263">
        <v>0.02</v>
      </c>
      <c r="Q263">
        <v>0.02</v>
      </c>
      <c r="R263">
        <v>2.0299999999999999E-2</v>
      </c>
      <c r="S263">
        <v>2.06E-2</v>
      </c>
      <c r="T263">
        <v>2.0799999999999999E-2</v>
      </c>
      <c r="U263">
        <v>2.07E-2</v>
      </c>
      <c r="V263">
        <v>2.1000000000000001E-2</v>
      </c>
      <c r="W263">
        <v>2.1100000000000001E-2</v>
      </c>
      <c r="X263">
        <v>2.1499999999999998E-2</v>
      </c>
      <c r="Y263">
        <v>2.1499999999999998E-2</v>
      </c>
    </row>
    <row r="264" spans="1:25" hidden="1">
      <c r="A264" t="s">
        <v>270</v>
      </c>
      <c r="B264" t="s">
        <v>939</v>
      </c>
      <c r="C264" t="s">
        <v>925</v>
      </c>
      <c r="D264" t="s">
        <v>648</v>
      </c>
      <c r="E264" t="s">
        <v>597</v>
      </c>
      <c r="F264" t="s">
        <v>598</v>
      </c>
      <c r="G264" t="s">
        <v>599</v>
      </c>
      <c r="H264" t="s">
        <v>600</v>
      </c>
      <c r="I264" t="s">
        <v>601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 hidden="1">
      <c r="A265" t="s">
        <v>270</v>
      </c>
      <c r="B265" t="s">
        <v>940</v>
      </c>
      <c r="C265" t="s">
        <v>925</v>
      </c>
      <c r="D265" t="s">
        <v>648</v>
      </c>
      <c r="E265" t="s">
        <v>927</v>
      </c>
      <c r="F265" t="s">
        <v>598</v>
      </c>
      <c r="G265" t="s">
        <v>599</v>
      </c>
      <c r="H265" t="s">
        <v>600</v>
      </c>
      <c r="I265" t="s">
        <v>601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hidden="1">
      <c r="A266" t="s">
        <v>270</v>
      </c>
      <c r="B266" t="s">
        <v>941</v>
      </c>
      <c r="C266" t="s">
        <v>925</v>
      </c>
      <c r="D266" t="s">
        <v>648</v>
      </c>
      <c r="E266" t="s">
        <v>619</v>
      </c>
      <c r="F266" t="s">
        <v>598</v>
      </c>
      <c r="G266" t="s">
        <v>599</v>
      </c>
      <c r="H266" t="s">
        <v>600</v>
      </c>
      <c r="I266" t="s">
        <v>601</v>
      </c>
      <c r="J266">
        <v>1.4E-3</v>
      </c>
      <c r="K266">
        <v>1.4E-3</v>
      </c>
      <c r="L266">
        <v>1.4E-3</v>
      </c>
      <c r="M266">
        <v>1.5E-3</v>
      </c>
      <c r="N266">
        <v>1.5E-3</v>
      </c>
      <c r="O266">
        <v>1.5E-3</v>
      </c>
      <c r="P266">
        <v>1.5E-3</v>
      </c>
      <c r="Q266">
        <v>1.5E-3</v>
      </c>
      <c r="R266">
        <v>1.6000000000000001E-3</v>
      </c>
      <c r="S266">
        <v>1.6000000000000001E-3</v>
      </c>
      <c r="T266">
        <v>1.6000000000000001E-3</v>
      </c>
      <c r="U266">
        <v>1.6000000000000001E-3</v>
      </c>
      <c r="V266">
        <v>1.6000000000000001E-3</v>
      </c>
      <c r="W266">
        <v>1.6000000000000001E-3</v>
      </c>
      <c r="X266">
        <v>1.6000000000000001E-3</v>
      </c>
      <c r="Y266">
        <v>1.6999999999999999E-3</v>
      </c>
    </row>
    <row r="267" spans="1:25" hidden="1">
      <c r="A267" t="s">
        <v>270</v>
      </c>
      <c r="B267" t="s">
        <v>942</v>
      </c>
      <c r="C267" t="s">
        <v>943</v>
      </c>
      <c r="D267" t="s">
        <v>944</v>
      </c>
      <c r="E267" t="s">
        <v>613</v>
      </c>
      <c r="F267" t="s">
        <v>598</v>
      </c>
      <c r="G267" t="s">
        <v>599</v>
      </c>
      <c r="H267" t="s">
        <v>600</v>
      </c>
      <c r="I267" t="s">
        <v>601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 hidden="1">
      <c r="A268" t="s">
        <v>270</v>
      </c>
      <c r="B268" t="s">
        <v>945</v>
      </c>
      <c r="C268" t="s">
        <v>943</v>
      </c>
      <c r="D268" t="s">
        <v>946</v>
      </c>
      <c r="E268" t="s">
        <v>613</v>
      </c>
      <c r="F268" t="s">
        <v>598</v>
      </c>
      <c r="G268" t="s">
        <v>599</v>
      </c>
      <c r="H268" t="s">
        <v>600</v>
      </c>
      <c r="I268" t="s">
        <v>601</v>
      </c>
      <c r="J268">
        <v>2.1899999999999999E-2</v>
      </c>
      <c r="K268">
        <v>2.2599999999999999E-2</v>
      </c>
      <c r="L268">
        <v>2.3300000000000001E-2</v>
      </c>
      <c r="M268">
        <v>2.4E-2</v>
      </c>
      <c r="N268">
        <v>2.47E-2</v>
      </c>
      <c r="O268">
        <v>2.53E-2</v>
      </c>
      <c r="P268">
        <v>2.5899999999999999E-2</v>
      </c>
      <c r="Q268">
        <v>2.6499999999999999E-2</v>
      </c>
      <c r="R268">
        <v>2.7E-2</v>
      </c>
      <c r="S268">
        <v>2.76E-2</v>
      </c>
      <c r="T268">
        <v>2.8199999999999999E-2</v>
      </c>
      <c r="U268">
        <v>2.87E-2</v>
      </c>
      <c r="V268">
        <v>2.93E-2</v>
      </c>
      <c r="W268">
        <v>2.98E-2</v>
      </c>
      <c r="X268">
        <v>3.0300000000000001E-2</v>
      </c>
      <c r="Y268">
        <v>3.1E-2</v>
      </c>
    </row>
    <row r="269" spans="1:25" hidden="1">
      <c r="A269" t="s">
        <v>270</v>
      </c>
      <c r="B269" t="s">
        <v>947</v>
      </c>
      <c r="C269" t="s">
        <v>943</v>
      </c>
      <c r="D269" t="s">
        <v>946</v>
      </c>
      <c r="E269" t="s">
        <v>948</v>
      </c>
      <c r="F269" t="s">
        <v>598</v>
      </c>
      <c r="G269" t="s">
        <v>599</v>
      </c>
      <c r="H269" t="s">
        <v>600</v>
      </c>
      <c r="I269" t="s">
        <v>601</v>
      </c>
      <c r="J269">
        <v>1.5900000000000001E-2</v>
      </c>
      <c r="K269">
        <v>1.61E-2</v>
      </c>
      <c r="L269">
        <v>1.6500000000000001E-2</v>
      </c>
      <c r="M269">
        <v>1.67E-2</v>
      </c>
      <c r="N269">
        <v>1.7000000000000001E-2</v>
      </c>
      <c r="O269">
        <v>1.7299999999999999E-2</v>
      </c>
      <c r="P269">
        <v>1.7600000000000001E-2</v>
      </c>
      <c r="Q269">
        <v>1.77E-2</v>
      </c>
      <c r="R269">
        <v>1.7999999999999999E-2</v>
      </c>
      <c r="S269">
        <v>1.8200000000000001E-2</v>
      </c>
      <c r="T269">
        <v>1.8499999999999999E-2</v>
      </c>
      <c r="U269">
        <v>1.8700000000000001E-2</v>
      </c>
      <c r="V269">
        <v>1.89E-2</v>
      </c>
      <c r="W269">
        <v>1.9099999999999999E-2</v>
      </c>
      <c r="X269">
        <v>1.9400000000000001E-2</v>
      </c>
      <c r="Y269">
        <v>1.9599999999999999E-2</v>
      </c>
    </row>
    <row r="270" spans="1:25" hidden="1">
      <c r="A270" t="s">
        <v>270</v>
      </c>
      <c r="B270" t="s">
        <v>949</v>
      </c>
      <c r="C270" t="s">
        <v>943</v>
      </c>
      <c r="D270" t="s">
        <v>950</v>
      </c>
      <c r="E270" t="s">
        <v>646</v>
      </c>
      <c r="F270" t="s">
        <v>598</v>
      </c>
      <c r="G270" t="s">
        <v>599</v>
      </c>
      <c r="H270" t="s">
        <v>600</v>
      </c>
      <c r="I270" t="s">
        <v>601</v>
      </c>
      <c r="J270">
        <v>2.3647</v>
      </c>
      <c r="K270">
        <v>2.3182999999999998</v>
      </c>
      <c r="L270">
        <v>2.2734000000000001</v>
      </c>
      <c r="M270">
        <v>2.2603</v>
      </c>
      <c r="N270">
        <v>2.1934999999999998</v>
      </c>
      <c r="O270">
        <v>2.1373000000000002</v>
      </c>
      <c r="P270">
        <v>2.1757</v>
      </c>
      <c r="Q270">
        <v>2.2442000000000002</v>
      </c>
      <c r="R270">
        <v>2.2759999999999998</v>
      </c>
      <c r="S270">
        <v>2.3485999999999998</v>
      </c>
      <c r="T270">
        <v>2.4192</v>
      </c>
      <c r="U270">
        <v>2.4598</v>
      </c>
      <c r="V270">
        <v>2.5068000000000001</v>
      </c>
      <c r="W270">
        <v>2.5518999999999998</v>
      </c>
      <c r="X270">
        <v>2.5989</v>
      </c>
      <c r="Y270">
        <v>2.6436000000000002</v>
      </c>
    </row>
    <row r="271" spans="1:25" hidden="1">
      <c r="A271" t="s">
        <v>270</v>
      </c>
      <c r="B271" t="s">
        <v>951</v>
      </c>
      <c r="C271" t="s">
        <v>943</v>
      </c>
      <c r="D271" t="s">
        <v>934</v>
      </c>
      <c r="E271" t="s">
        <v>937</v>
      </c>
      <c r="F271" t="s">
        <v>598</v>
      </c>
      <c r="G271" t="s">
        <v>599</v>
      </c>
      <c r="H271" t="s">
        <v>600</v>
      </c>
      <c r="I271" t="s">
        <v>601</v>
      </c>
      <c r="J271">
        <v>0.37330000000000002</v>
      </c>
      <c r="K271">
        <v>0.37909999999999999</v>
      </c>
      <c r="L271">
        <v>0.38500000000000001</v>
      </c>
      <c r="M271">
        <v>0.39090000000000003</v>
      </c>
      <c r="N271">
        <v>0.39610000000000001</v>
      </c>
      <c r="O271">
        <v>0.40189999999999998</v>
      </c>
      <c r="P271">
        <v>0.40679999999999999</v>
      </c>
      <c r="Q271">
        <v>0.4123</v>
      </c>
      <c r="R271">
        <v>0.41639999999999999</v>
      </c>
      <c r="S271">
        <v>0.42159999999999997</v>
      </c>
      <c r="T271">
        <v>0.42709999999999998</v>
      </c>
      <c r="U271">
        <v>0.432</v>
      </c>
      <c r="V271">
        <v>0.437</v>
      </c>
      <c r="W271">
        <v>0.44230000000000003</v>
      </c>
      <c r="X271">
        <v>0.44729999999999998</v>
      </c>
      <c r="Y271">
        <v>0.45219999999999999</v>
      </c>
    </row>
    <row r="272" spans="1:25" hidden="1">
      <c r="A272" t="s">
        <v>270</v>
      </c>
      <c r="B272" t="s">
        <v>952</v>
      </c>
      <c r="C272" t="s">
        <v>943</v>
      </c>
      <c r="D272" t="s">
        <v>648</v>
      </c>
      <c r="E272" t="s">
        <v>613</v>
      </c>
      <c r="F272" t="s">
        <v>598</v>
      </c>
      <c r="G272" t="s">
        <v>599</v>
      </c>
      <c r="H272" t="s">
        <v>600</v>
      </c>
      <c r="I272" t="s">
        <v>601</v>
      </c>
      <c r="J272">
        <v>8.0000000000000004E-4</v>
      </c>
      <c r="K272">
        <v>8.0000000000000004E-4</v>
      </c>
      <c r="L272">
        <v>8.0000000000000004E-4</v>
      </c>
      <c r="M272">
        <v>8.0000000000000004E-4</v>
      </c>
      <c r="N272">
        <v>8.9999999999999998E-4</v>
      </c>
      <c r="O272">
        <v>8.9999999999999998E-4</v>
      </c>
      <c r="P272">
        <v>8.9999999999999998E-4</v>
      </c>
      <c r="Q272">
        <v>8.9999999999999998E-4</v>
      </c>
      <c r="R272">
        <v>8.9999999999999998E-4</v>
      </c>
      <c r="S272">
        <v>8.9999999999999998E-4</v>
      </c>
      <c r="T272">
        <v>8.9999999999999998E-4</v>
      </c>
      <c r="U272">
        <v>8.9999999999999998E-4</v>
      </c>
      <c r="V272">
        <v>8.9999999999999998E-4</v>
      </c>
      <c r="W272">
        <v>8.9999999999999998E-4</v>
      </c>
      <c r="X272">
        <v>1E-3</v>
      </c>
      <c r="Y272">
        <v>1E-3</v>
      </c>
    </row>
    <row r="273" spans="1:25" hidden="1">
      <c r="A273" t="s">
        <v>270</v>
      </c>
      <c r="B273" t="s">
        <v>953</v>
      </c>
      <c r="C273" t="s">
        <v>943</v>
      </c>
      <c r="D273" t="s">
        <v>648</v>
      </c>
      <c r="E273" t="s">
        <v>954</v>
      </c>
      <c r="F273" t="s">
        <v>598</v>
      </c>
      <c r="G273" t="s">
        <v>599</v>
      </c>
      <c r="H273" t="s">
        <v>600</v>
      </c>
      <c r="I273" t="s">
        <v>601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270</v>
      </c>
      <c r="B274" t="s">
        <v>955</v>
      </c>
      <c r="C274" t="s">
        <v>956</v>
      </c>
      <c r="D274" t="s">
        <v>931</v>
      </c>
      <c r="E274" t="s">
        <v>597</v>
      </c>
      <c r="F274" t="s">
        <v>598</v>
      </c>
      <c r="G274" t="s">
        <v>599</v>
      </c>
      <c r="H274" t="s">
        <v>600</v>
      </c>
      <c r="I274" t="s">
        <v>601</v>
      </c>
      <c r="J274">
        <v>4.1799999999999997E-2</v>
      </c>
      <c r="K274">
        <v>4.2599999999999999E-2</v>
      </c>
      <c r="L274">
        <v>4.3900000000000002E-2</v>
      </c>
      <c r="M274">
        <v>4.4299999999999999E-2</v>
      </c>
      <c r="N274">
        <v>4.5100000000000001E-2</v>
      </c>
      <c r="O274">
        <v>4.58E-2</v>
      </c>
      <c r="P274">
        <v>4.7100000000000003E-2</v>
      </c>
      <c r="Q274">
        <v>4.7800000000000002E-2</v>
      </c>
      <c r="R274">
        <v>4.8000000000000001E-2</v>
      </c>
      <c r="S274">
        <v>4.8500000000000001E-2</v>
      </c>
      <c r="T274">
        <v>4.9099999999999998E-2</v>
      </c>
      <c r="U274">
        <v>4.9200000000000001E-2</v>
      </c>
      <c r="V274">
        <v>4.9399999999999999E-2</v>
      </c>
      <c r="W274">
        <v>4.99E-2</v>
      </c>
      <c r="X274">
        <v>5.0599999999999999E-2</v>
      </c>
      <c r="Y274">
        <v>5.11E-2</v>
      </c>
    </row>
    <row r="275" spans="1:25" hidden="1">
      <c r="A275" t="s">
        <v>270</v>
      </c>
      <c r="B275" t="s">
        <v>957</v>
      </c>
      <c r="C275" t="s">
        <v>956</v>
      </c>
      <c r="D275" t="s">
        <v>931</v>
      </c>
      <c r="E275" t="s">
        <v>605</v>
      </c>
      <c r="F275" t="s">
        <v>598</v>
      </c>
      <c r="G275" t="s">
        <v>599</v>
      </c>
      <c r="H275" t="s">
        <v>600</v>
      </c>
      <c r="I275" t="s">
        <v>601</v>
      </c>
      <c r="J275">
        <v>1E-4</v>
      </c>
      <c r="K275">
        <v>1E-4</v>
      </c>
      <c r="L275">
        <v>1E-4</v>
      </c>
      <c r="M275">
        <v>1E-4</v>
      </c>
      <c r="N275">
        <v>1E-4</v>
      </c>
      <c r="O275">
        <v>1E-4</v>
      </c>
      <c r="P275">
        <v>1E-4</v>
      </c>
      <c r="Q275">
        <v>1E-4</v>
      </c>
      <c r="R275">
        <v>1E-4</v>
      </c>
      <c r="S275">
        <v>1E-4</v>
      </c>
      <c r="T275">
        <v>1E-4</v>
      </c>
      <c r="U275">
        <v>1E-4</v>
      </c>
      <c r="V275">
        <v>1E-4</v>
      </c>
      <c r="W275">
        <v>1E-4</v>
      </c>
      <c r="X275">
        <v>1E-4</v>
      </c>
      <c r="Y275">
        <v>1E-4</v>
      </c>
    </row>
    <row r="276" spans="1:25" hidden="1">
      <c r="A276" t="s">
        <v>270</v>
      </c>
      <c r="B276" t="s">
        <v>958</v>
      </c>
      <c r="C276" t="s">
        <v>956</v>
      </c>
      <c r="D276" t="s">
        <v>931</v>
      </c>
      <c r="E276" t="s">
        <v>656</v>
      </c>
      <c r="F276" t="s">
        <v>598</v>
      </c>
      <c r="G276" t="s">
        <v>599</v>
      </c>
      <c r="H276" t="s">
        <v>600</v>
      </c>
      <c r="I276" t="s">
        <v>601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hidden="1">
      <c r="A277" t="s">
        <v>270</v>
      </c>
      <c r="B277" t="s">
        <v>959</v>
      </c>
      <c r="C277" t="s">
        <v>956</v>
      </c>
      <c r="D277" t="s">
        <v>931</v>
      </c>
      <c r="E277" t="s">
        <v>613</v>
      </c>
      <c r="F277" t="s">
        <v>598</v>
      </c>
      <c r="G277" t="s">
        <v>599</v>
      </c>
      <c r="H277" t="s">
        <v>600</v>
      </c>
      <c r="I277" t="s">
        <v>601</v>
      </c>
      <c r="J277">
        <v>3.6900000000000002E-2</v>
      </c>
      <c r="K277">
        <v>3.7900000000000003E-2</v>
      </c>
      <c r="L277">
        <v>3.9100000000000003E-2</v>
      </c>
      <c r="M277">
        <v>3.9899999999999998E-2</v>
      </c>
      <c r="N277">
        <v>4.0800000000000003E-2</v>
      </c>
      <c r="O277">
        <v>4.1599999999999998E-2</v>
      </c>
      <c r="P277">
        <v>4.2200000000000001E-2</v>
      </c>
      <c r="Q277">
        <v>4.2700000000000002E-2</v>
      </c>
      <c r="R277">
        <v>4.2999999999999997E-2</v>
      </c>
      <c r="S277">
        <v>4.3499999999999997E-2</v>
      </c>
      <c r="T277">
        <v>4.3799999999999999E-2</v>
      </c>
      <c r="U277">
        <v>4.4400000000000002E-2</v>
      </c>
      <c r="V277">
        <v>4.4999999999999998E-2</v>
      </c>
      <c r="W277">
        <v>4.5400000000000003E-2</v>
      </c>
      <c r="X277">
        <v>4.58E-2</v>
      </c>
      <c r="Y277">
        <v>4.6399999999999997E-2</v>
      </c>
    </row>
    <row r="278" spans="1:25" hidden="1">
      <c r="A278" t="s">
        <v>270</v>
      </c>
      <c r="B278" t="s">
        <v>960</v>
      </c>
      <c r="C278" t="s">
        <v>956</v>
      </c>
      <c r="D278" t="s">
        <v>931</v>
      </c>
      <c r="E278" t="s">
        <v>961</v>
      </c>
      <c r="F278" t="s">
        <v>598</v>
      </c>
      <c r="G278" t="s">
        <v>599</v>
      </c>
      <c r="H278" t="s">
        <v>600</v>
      </c>
      <c r="I278" t="s">
        <v>601</v>
      </c>
      <c r="J278">
        <v>4.1000000000000003E-3</v>
      </c>
      <c r="K278">
        <v>4.1000000000000003E-3</v>
      </c>
      <c r="L278">
        <v>4.1000000000000003E-3</v>
      </c>
      <c r="M278">
        <v>4.1999999999999997E-3</v>
      </c>
      <c r="N278">
        <v>4.1999999999999997E-3</v>
      </c>
      <c r="O278">
        <v>4.1999999999999997E-3</v>
      </c>
      <c r="P278">
        <v>4.1999999999999997E-3</v>
      </c>
      <c r="Q278">
        <v>4.1999999999999997E-3</v>
      </c>
      <c r="R278">
        <v>4.1999999999999997E-3</v>
      </c>
      <c r="S278">
        <v>4.1999999999999997E-3</v>
      </c>
      <c r="T278">
        <v>4.3E-3</v>
      </c>
      <c r="U278">
        <v>4.4000000000000003E-3</v>
      </c>
      <c r="V278">
        <v>4.4999999999999997E-3</v>
      </c>
      <c r="W278">
        <v>4.5999999999999999E-3</v>
      </c>
      <c r="X278">
        <v>4.7000000000000002E-3</v>
      </c>
      <c r="Y278">
        <v>4.7000000000000002E-3</v>
      </c>
    </row>
    <row r="279" spans="1:25" hidden="1">
      <c r="A279" t="s">
        <v>270</v>
      </c>
      <c r="B279" t="s">
        <v>962</v>
      </c>
      <c r="C279" t="s">
        <v>956</v>
      </c>
      <c r="D279" t="s">
        <v>931</v>
      </c>
      <c r="E279" t="s">
        <v>676</v>
      </c>
      <c r="F279" t="s">
        <v>598</v>
      </c>
      <c r="G279" t="s">
        <v>599</v>
      </c>
      <c r="H279" t="s">
        <v>600</v>
      </c>
      <c r="I279" t="s">
        <v>601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270</v>
      </c>
      <c r="B280" t="s">
        <v>963</v>
      </c>
      <c r="C280" t="s">
        <v>956</v>
      </c>
      <c r="D280" t="s">
        <v>934</v>
      </c>
      <c r="E280" t="s">
        <v>597</v>
      </c>
      <c r="F280" t="s">
        <v>598</v>
      </c>
      <c r="G280" t="s">
        <v>599</v>
      </c>
      <c r="H280" t="s">
        <v>600</v>
      </c>
      <c r="I280" t="s">
        <v>601</v>
      </c>
      <c r="J280">
        <v>1.2E-2</v>
      </c>
      <c r="K280">
        <v>1.24E-2</v>
      </c>
      <c r="L280">
        <v>1.29E-2</v>
      </c>
      <c r="M280">
        <v>1.3299999999999999E-2</v>
      </c>
      <c r="N280">
        <v>1.38E-2</v>
      </c>
      <c r="O280">
        <v>1.43E-2</v>
      </c>
      <c r="P280">
        <v>1.4800000000000001E-2</v>
      </c>
      <c r="Q280">
        <v>1.5299999999999999E-2</v>
      </c>
      <c r="R280">
        <v>1.54E-2</v>
      </c>
      <c r="S280">
        <v>1.5699999999999999E-2</v>
      </c>
      <c r="T280">
        <v>1.5800000000000002E-2</v>
      </c>
      <c r="U280">
        <v>1.5900000000000001E-2</v>
      </c>
      <c r="V280">
        <v>1.6299999999999999E-2</v>
      </c>
      <c r="W280">
        <v>1.6400000000000001E-2</v>
      </c>
      <c r="X280">
        <v>1.67E-2</v>
      </c>
      <c r="Y280">
        <v>1.6899999999999998E-2</v>
      </c>
    </row>
    <row r="281" spans="1:25" hidden="1">
      <c r="A281" t="s">
        <v>270</v>
      </c>
      <c r="B281" t="s">
        <v>964</v>
      </c>
      <c r="C281" t="s">
        <v>956</v>
      </c>
      <c r="D281" t="s">
        <v>934</v>
      </c>
      <c r="E281" t="s">
        <v>605</v>
      </c>
      <c r="F281" t="s">
        <v>598</v>
      </c>
      <c r="G281" t="s">
        <v>599</v>
      </c>
      <c r="H281" t="s">
        <v>600</v>
      </c>
      <c r="I281" t="s">
        <v>601</v>
      </c>
      <c r="J281">
        <v>0.12089999999999999</v>
      </c>
      <c r="K281">
        <v>0.12089999999999999</v>
      </c>
      <c r="L281">
        <v>0.121</v>
      </c>
      <c r="M281">
        <v>0.1208</v>
      </c>
      <c r="N281">
        <v>0.121</v>
      </c>
      <c r="O281">
        <v>0.121</v>
      </c>
      <c r="P281">
        <v>0.12089999999999999</v>
      </c>
      <c r="Q281">
        <v>0.1206</v>
      </c>
      <c r="R281">
        <v>0.1203</v>
      </c>
      <c r="S281">
        <v>0.1202</v>
      </c>
      <c r="T281">
        <v>0.12</v>
      </c>
      <c r="U281">
        <v>0.11940000000000001</v>
      </c>
      <c r="V281">
        <v>0.1191</v>
      </c>
      <c r="W281">
        <v>0.1187</v>
      </c>
      <c r="X281">
        <v>0.1183</v>
      </c>
      <c r="Y281">
        <v>0.1177</v>
      </c>
    </row>
    <row r="282" spans="1:25" hidden="1">
      <c r="A282" t="s">
        <v>270</v>
      </c>
      <c r="B282" t="s">
        <v>965</v>
      </c>
      <c r="C282" t="s">
        <v>956</v>
      </c>
      <c r="D282" t="s">
        <v>934</v>
      </c>
      <c r="E282" t="s">
        <v>937</v>
      </c>
      <c r="F282" t="s">
        <v>598</v>
      </c>
      <c r="G282" t="s">
        <v>599</v>
      </c>
      <c r="H282" t="s">
        <v>600</v>
      </c>
      <c r="I282" t="s">
        <v>601</v>
      </c>
      <c r="J282">
        <v>1.1900000000000001E-2</v>
      </c>
      <c r="K282">
        <v>1.2200000000000001E-2</v>
      </c>
      <c r="L282">
        <v>1.23E-2</v>
      </c>
      <c r="M282">
        <v>1.2500000000000001E-2</v>
      </c>
      <c r="N282">
        <v>1.26E-2</v>
      </c>
      <c r="O282">
        <v>1.29E-2</v>
      </c>
      <c r="P282">
        <v>1.3100000000000001E-2</v>
      </c>
      <c r="Q282">
        <v>1.32E-2</v>
      </c>
      <c r="R282">
        <v>1.35E-2</v>
      </c>
      <c r="S282">
        <v>1.35E-2</v>
      </c>
      <c r="T282">
        <v>1.37E-2</v>
      </c>
      <c r="U282">
        <v>1.38E-2</v>
      </c>
      <c r="V282">
        <v>1.4E-2</v>
      </c>
      <c r="W282">
        <v>1.41E-2</v>
      </c>
      <c r="X282">
        <v>1.4200000000000001E-2</v>
      </c>
      <c r="Y282">
        <v>1.4200000000000001E-2</v>
      </c>
    </row>
    <row r="283" spans="1:25" hidden="1">
      <c r="A283" t="s">
        <v>270</v>
      </c>
      <c r="B283" t="s">
        <v>966</v>
      </c>
      <c r="C283" t="s">
        <v>956</v>
      </c>
      <c r="D283" t="s">
        <v>648</v>
      </c>
      <c r="E283" t="s">
        <v>597</v>
      </c>
      <c r="F283" t="s">
        <v>598</v>
      </c>
      <c r="G283" t="s">
        <v>599</v>
      </c>
      <c r="H283" t="s">
        <v>600</v>
      </c>
      <c r="I283" t="s">
        <v>601</v>
      </c>
      <c r="J283">
        <v>1.4E-3</v>
      </c>
      <c r="K283">
        <v>1.4E-3</v>
      </c>
      <c r="L283">
        <v>1.4E-3</v>
      </c>
      <c r="M283">
        <v>1.5E-3</v>
      </c>
      <c r="N283">
        <v>1.5E-3</v>
      </c>
      <c r="O283">
        <v>1.5E-3</v>
      </c>
      <c r="P283">
        <v>1.5E-3</v>
      </c>
      <c r="Q283">
        <v>1.5E-3</v>
      </c>
      <c r="R283">
        <v>1.6000000000000001E-3</v>
      </c>
      <c r="S283">
        <v>1.6000000000000001E-3</v>
      </c>
      <c r="T283">
        <v>1.6000000000000001E-3</v>
      </c>
      <c r="U283">
        <v>1.6000000000000001E-3</v>
      </c>
      <c r="V283">
        <v>1.6999999999999999E-3</v>
      </c>
      <c r="W283">
        <v>1.6999999999999999E-3</v>
      </c>
      <c r="X283">
        <v>1.6999999999999999E-3</v>
      </c>
      <c r="Y283">
        <v>1.6999999999999999E-3</v>
      </c>
    </row>
    <row r="284" spans="1:25" hidden="1">
      <c r="A284" t="s">
        <v>270</v>
      </c>
      <c r="B284" t="s">
        <v>967</v>
      </c>
      <c r="C284" t="s">
        <v>956</v>
      </c>
      <c r="D284" t="s">
        <v>648</v>
      </c>
      <c r="E284" t="s">
        <v>642</v>
      </c>
      <c r="F284" t="s">
        <v>598</v>
      </c>
      <c r="G284" t="s">
        <v>599</v>
      </c>
      <c r="H284" t="s">
        <v>600</v>
      </c>
      <c r="I284" t="s">
        <v>601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270</v>
      </c>
      <c r="B285" t="s">
        <v>968</v>
      </c>
      <c r="C285" t="s">
        <v>956</v>
      </c>
      <c r="D285" t="s">
        <v>648</v>
      </c>
      <c r="E285" t="s">
        <v>961</v>
      </c>
      <c r="F285" t="s">
        <v>598</v>
      </c>
      <c r="G285" t="s">
        <v>599</v>
      </c>
      <c r="H285" t="s">
        <v>600</v>
      </c>
      <c r="I285" t="s">
        <v>601</v>
      </c>
      <c r="J285">
        <v>3.8E-3</v>
      </c>
      <c r="K285">
        <v>4.0000000000000001E-3</v>
      </c>
      <c r="L285">
        <v>4.0000000000000001E-3</v>
      </c>
      <c r="M285">
        <v>4.0000000000000001E-3</v>
      </c>
      <c r="N285">
        <v>4.0000000000000001E-3</v>
      </c>
      <c r="O285">
        <v>4.0000000000000001E-3</v>
      </c>
      <c r="P285">
        <v>4.1999999999999997E-3</v>
      </c>
      <c r="Q285">
        <v>4.1999999999999997E-3</v>
      </c>
      <c r="R285">
        <v>4.3E-3</v>
      </c>
      <c r="S285">
        <v>4.3E-3</v>
      </c>
      <c r="T285">
        <v>4.4000000000000003E-3</v>
      </c>
      <c r="U285">
        <v>4.4000000000000003E-3</v>
      </c>
      <c r="V285">
        <v>4.4999999999999997E-3</v>
      </c>
      <c r="W285">
        <v>4.4999999999999997E-3</v>
      </c>
      <c r="X285">
        <v>4.4999999999999997E-3</v>
      </c>
      <c r="Y285">
        <v>4.4999999999999997E-3</v>
      </c>
    </row>
    <row r="286" spans="1:25" hidden="1">
      <c r="A286" t="s">
        <v>270</v>
      </c>
      <c r="B286" t="s">
        <v>969</v>
      </c>
      <c r="C286" t="s">
        <v>956</v>
      </c>
      <c r="D286" t="s">
        <v>648</v>
      </c>
      <c r="E286" t="s">
        <v>619</v>
      </c>
      <c r="F286" t="s">
        <v>598</v>
      </c>
      <c r="G286" t="s">
        <v>599</v>
      </c>
      <c r="H286" t="s">
        <v>600</v>
      </c>
      <c r="I286" t="s">
        <v>601</v>
      </c>
      <c r="J286">
        <v>2.0000000000000001E-4</v>
      </c>
      <c r="K286">
        <v>2.0000000000000001E-4</v>
      </c>
      <c r="L286">
        <v>2.0000000000000001E-4</v>
      </c>
      <c r="M286">
        <v>2.0000000000000001E-4</v>
      </c>
      <c r="N286">
        <v>2.0000000000000001E-4</v>
      </c>
      <c r="O286">
        <v>2.0000000000000001E-4</v>
      </c>
      <c r="P286">
        <v>2.0000000000000001E-4</v>
      </c>
      <c r="Q286">
        <v>2.0000000000000001E-4</v>
      </c>
      <c r="R286">
        <v>2.0000000000000001E-4</v>
      </c>
      <c r="S286">
        <v>2.0000000000000001E-4</v>
      </c>
      <c r="T286">
        <v>2.0000000000000001E-4</v>
      </c>
      <c r="U286">
        <v>2.0000000000000001E-4</v>
      </c>
      <c r="V286">
        <v>2.0000000000000001E-4</v>
      </c>
      <c r="W286">
        <v>2.0000000000000001E-4</v>
      </c>
      <c r="X286">
        <v>2.0000000000000001E-4</v>
      </c>
      <c r="Y286">
        <v>2.0000000000000001E-4</v>
      </c>
    </row>
    <row r="287" spans="1:25" hidden="1">
      <c r="A287" t="s">
        <v>270</v>
      </c>
      <c r="B287" t="s">
        <v>970</v>
      </c>
      <c r="C287" t="s">
        <v>971</v>
      </c>
      <c r="D287" t="s">
        <v>972</v>
      </c>
      <c r="E287" t="s">
        <v>973</v>
      </c>
      <c r="F287" t="s">
        <v>598</v>
      </c>
      <c r="G287" t="s">
        <v>599</v>
      </c>
      <c r="H287" t="s">
        <v>600</v>
      </c>
      <c r="I287" t="s">
        <v>601</v>
      </c>
      <c r="J287">
        <v>6.1999999999999998E-3</v>
      </c>
      <c r="K287">
        <v>6.3E-3</v>
      </c>
      <c r="L287">
        <v>6.3E-3</v>
      </c>
      <c r="M287">
        <v>6.4000000000000003E-3</v>
      </c>
      <c r="N287">
        <v>6.4000000000000003E-3</v>
      </c>
      <c r="O287">
        <v>6.4999999999999997E-3</v>
      </c>
      <c r="P287">
        <v>6.4999999999999997E-3</v>
      </c>
      <c r="Q287">
        <v>6.6E-3</v>
      </c>
      <c r="R287">
        <v>6.6E-3</v>
      </c>
      <c r="S287">
        <v>6.7000000000000002E-3</v>
      </c>
      <c r="T287">
        <v>6.7000000000000002E-3</v>
      </c>
      <c r="U287">
        <v>6.7999999999999996E-3</v>
      </c>
      <c r="V287">
        <v>6.7999999999999996E-3</v>
      </c>
      <c r="W287">
        <v>6.8999999999999999E-3</v>
      </c>
      <c r="X287">
        <v>6.8999999999999999E-3</v>
      </c>
      <c r="Y287">
        <v>6.8999999999999999E-3</v>
      </c>
    </row>
    <row r="288" spans="1:25" hidden="1">
      <c r="A288" t="s">
        <v>270</v>
      </c>
      <c r="B288" t="s">
        <v>974</v>
      </c>
      <c r="C288" t="s">
        <v>971</v>
      </c>
      <c r="D288" t="s">
        <v>648</v>
      </c>
      <c r="E288" t="s">
        <v>973</v>
      </c>
      <c r="F288" t="s">
        <v>598</v>
      </c>
      <c r="G288" t="s">
        <v>599</v>
      </c>
      <c r="H288" t="s">
        <v>600</v>
      </c>
      <c r="I288" t="s">
        <v>601</v>
      </c>
      <c r="J288">
        <v>5.8999999999999999E-3</v>
      </c>
      <c r="K288">
        <v>5.8999999999999999E-3</v>
      </c>
      <c r="L288">
        <v>6.0000000000000001E-3</v>
      </c>
      <c r="M288">
        <v>6.0000000000000001E-3</v>
      </c>
      <c r="N288">
        <v>6.0000000000000001E-3</v>
      </c>
      <c r="O288">
        <v>6.1000000000000004E-3</v>
      </c>
      <c r="P288">
        <v>6.1000000000000004E-3</v>
      </c>
      <c r="Q288">
        <v>6.1000000000000004E-3</v>
      </c>
      <c r="R288">
        <v>6.1999999999999998E-3</v>
      </c>
      <c r="S288">
        <v>6.1999999999999998E-3</v>
      </c>
      <c r="T288">
        <v>6.3E-3</v>
      </c>
      <c r="U288">
        <v>6.3E-3</v>
      </c>
      <c r="V288">
        <v>6.3E-3</v>
      </c>
      <c r="W288">
        <v>6.3E-3</v>
      </c>
      <c r="X288">
        <v>6.4000000000000003E-3</v>
      </c>
      <c r="Y288">
        <v>6.4000000000000003E-3</v>
      </c>
    </row>
    <row r="289" spans="1:25" hidden="1">
      <c r="A289" t="s">
        <v>270</v>
      </c>
      <c r="B289" t="s">
        <v>975</v>
      </c>
      <c r="C289" t="s">
        <v>971</v>
      </c>
      <c r="D289" t="s">
        <v>648</v>
      </c>
      <c r="E289" t="s">
        <v>597</v>
      </c>
      <c r="F289" t="s">
        <v>598</v>
      </c>
      <c r="G289" t="s">
        <v>599</v>
      </c>
      <c r="H289" t="s">
        <v>600</v>
      </c>
      <c r="I289" t="s">
        <v>601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1E-4</v>
      </c>
      <c r="Q289">
        <v>1E-4</v>
      </c>
      <c r="R289">
        <v>1E-4</v>
      </c>
      <c r="S289">
        <v>1E-4</v>
      </c>
      <c r="T289">
        <v>1E-4</v>
      </c>
      <c r="U289">
        <v>1E-4</v>
      </c>
      <c r="V289">
        <v>1E-4</v>
      </c>
      <c r="W289">
        <v>1E-4</v>
      </c>
      <c r="X289">
        <v>1E-4</v>
      </c>
      <c r="Y289">
        <v>1E-4</v>
      </c>
    </row>
    <row r="290" spans="1:25" hidden="1">
      <c r="A290" t="s">
        <v>270</v>
      </c>
      <c r="B290" t="s">
        <v>976</v>
      </c>
      <c r="C290" t="s">
        <v>971</v>
      </c>
      <c r="D290" t="s">
        <v>648</v>
      </c>
      <c r="E290" t="s">
        <v>642</v>
      </c>
      <c r="F290" t="s">
        <v>598</v>
      </c>
      <c r="G290" t="s">
        <v>599</v>
      </c>
      <c r="H290" t="s">
        <v>600</v>
      </c>
      <c r="I290" t="s">
        <v>601</v>
      </c>
      <c r="J290">
        <v>1E-4</v>
      </c>
      <c r="K290">
        <v>1E-4</v>
      </c>
      <c r="L290">
        <v>1E-4</v>
      </c>
      <c r="M290">
        <v>1E-4</v>
      </c>
      <c r="N290">
        <v>1E-4</v>
      </c>
      <c r="O290">
        <v>1E-4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</row>
    <row r="291" spans="1:25" hidden="1">
      <c r="A291" t="s">
        <v>270</v>
      </c>
      <c r="B291" t="s">
        <v>977</v>
      </c>
      <c r="C291" t="s">
        <v>971</v>
      </c>
      <c r="D291" t="s">
        <v>648</v>
      </c>
      <c r="E291" t="s">
        <v>613</v>
      </c>
      <c r="F291" t="s">
        <v>598</v>
      </c>
      <c r="G291" t="s">
        <v>599</v>
      </c>
      <c r="H291" t="s">
        <v>600</v>
      </c>
      <c r="I291" t="s">
        <v>601</v>
      </c>
      <c r="J291">
        <v>4.2500000000000003E-2</v>
      </c>
      <c r="K291">
        <v>4.3200000000000002E-2</v>
      </c>
      <c r="L291">
        <v>4.3700000000000003E-2</v>
      </c>
      <c r="M291">
        <v>4.4299999999999999E-2</v>
      </c>
      <c r="N291">
        <v>4.4999999999999998E-2</v>
      </c>
      <c r="O291">
        <v>4.5699999999999998E-2</v>
      </c>
      <c r="P291">
        <v>4.6199999999999998E-2</v>
      </c>
      <c r="Q291">
        <v>4.6600000000000003E-2</v>
      </c>
      <c r="R291">
        <v>4.7300000000000002E-2</v>
      </c>
      <c r="S291">
        <v>4.7899999999999998E-2</v>
      </c>
      <c r="T291">
        <v>4.8500000000000001E-2</v>
      </c>
      <c r="U291">
        <v>4.8899999999999999E-2</v>
      </c>
      <c r="V291">
        <v>4.9599999999999998E-2</v>
      </c>
      <c r="W291">
        <v>5.0299999999999997E-2</v>
      </c>
      <c r="X291">
        <v>5.0900000000000001E-2</v>
      </c>
      <c r="Y291">
        <v>5.16E-2</v>
      </c>
    </row>
    <row r="292" spans="1:25" hidden="1">
      <c r="A292" t="s">
        <v>270</v>
      </c>
      <c r="B292" t="s">
        <v>978</v>
      </c>
      <c r="C292" t="s">
        <v>971</v>
      </c>
      <c r="D292" t="s">
        <v>648</v>
      </c>
      <c r="E292" t="s">
        <v>927</v>
      </c>
      <c r="F292" t="s">
        <v>598</v>
      </c>
      <c r="G292" t="s">
        <v>599</v>
      </c>
      <c r="H292" t="s">
        <v>600</v>
      </c>
      <c r="I292" t="s">
        <v>601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hidden="1">
      <c r="A293" t="s">
        <v>270</v>
      </c>
      <c r="B293" t="s">
        <v>979</v>
      </c>
      <c r="C293" t="s">
        <v>980</v>
      </c>
      <c r="D293" t="s">
        <v>931</v>
      </c>
      <c r="E293" t="s">
        <v>937</v>
      </c>
      <c r="F293" t="s">
        <v>598</v>
      </c>
      <c r="G293" t="s">
        <v>599</v>
      </c>
      <c r="H293" t="s">
        <v>600</v>
      </c>
      <c r="I293" t="s">
        <v>601</v>
      </c>
      <c r="J293">
        <v>1E-4</v>
      </c>
      <c r="K293">
        <v>1E-4</v>
      </c>
      <c r="L293">
        <v>1E-4</v>
      </c>
      <c r="M293">
        <v>1E-4</v>
      </c>
      <c r="N293">
        <v>1E-4</v>
      </c>
      <c r="O293">
        <v>1E-4</v>
      </c>
      <c r="P293">
        <v>1E-4</v>
      </c>
      <c r="Q293">
        <v>1E-4</v>
      </c>
      <c r="R293">
        <v>1E-4</v>
      </c>
      <c r="S293">
        <v>1E-4</v>
      </c>
      <c r="T293">
        <v>1E-4</v>
      </c>
      <c r="U293">
        <v>1E-4</v>
      </c>
      <c r="V293">
        <v>1E-4</v>
      </c>
      <c r="W293">
        <v>1E-4</v>
      </c>
      <c r="X293">
        <v>1E-4</v>
      </c>
      <c r="Y293">
        <v>1E-4</v>
      </c>
    </row>
    <row r="294" spans="1:25" hidden="1">
      <c r="A294" t="s">
        <v>270</v>
      </c>
      <c r="B294" t="s">
        <v>981</v>
      </c>
      <c r="C294" t="s">
        <v>980</v>
      </c>
      <c r="D294" t="s">
        <v>982</v>
      </c>
      <c r="E294" t="s">
        <v>613</v>
      </c>
      <c r="F294" t="s">
        <v>598</v>
      </c>
      <c r="G294" t="s">
        <v>599</v>
      </c>
      <c r="H294" t="s">
        <v>600</v>
      </c>
      <c r="I294" t="s">
        <v>601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hidden="1">
      <c r="A295" t="s">
        <v>270</v>
      </c>
      <c r="B295" t="s">
        <v>983</v>
      </c>
      <c r="C295" t="s">
        <v>980</v>
      </c>
      <c r="D295" t="s">
        <v>982</v>
      </c>
      <c r="E295" t="s">
        <v>984</v>
      </c>
      <c r="F295" t="s">
        <v>598</v>
      </c>
      <c r="G295" t="s">
        <v>599</v>
      </c>
      <c r="H295" t="s">
        <v>600</v>
      </c>
      <c r="I295" t="s">
        <v>601</v>
      </c>
      <c r="J295">
        <v>4.4999999999999997E-3</v>
      </c>
      <c r="K295">
        <v>4.4999999999999997E-3</v>
      </c>
      <c r="L295">
        <v>4.4999999999999997E-3</v>
      </c>
      <c r="M295">
        <v>4.7000000000000002E-3</v>
      </c>
      <c r="N295">
        <v>4.7000000000000002E-3</v>
      </c>
      <c r="O295">
        <v>4.7000000000000002E-3</v>
      </c>
      <c r="P295">
        <v>4.7000000000000002E-3</v>
      </c>
      <c r="Q295">
        <v>4.7000000000000002E-3</v>
      </c>
      <c r="R295">
        <v>4.8999999999999998E-3</v>
      </c>
      <c r="S295">
        <v>5.0000000000000001E-3</v>
      </c>
      <c r="T295">
        <v>5.0000000000000001E-3</v>
      </c>
      <c r="U295">
        <v>5.0000000000000001E-3</v>
      </c>
      <c r="V295">
        <v>5.1000000000000004E-3</v>
      </c>
      <c r="W295">
        <v>5.1999999999999998E-3</v>
      </c>
      <c r="X295">
        <v>5.3E-3</v>
      </c>
      <c r="Y295">
        <v>5.3E-3</v>
      </c>
    </row>
    <row r="296" spans="1:25" hidden="1">
      <c r="A296" t="s">
        <v>270</v>
      </c>
      <c r="B296" t="s">
        <v>985</v>
      </c>
      <c r="C296" t="s">
        <v>980</v>
      </c>
      <c r="D296" t="s">
        <v>986</v>
      </c>
      <c r="E296" t="s">
        <v>973</v>
      </c>
      <c r="F296" t="s">
        <v>598</v>
      </c>
      <c r="G296" t="s">
        <v>599</v>
      </c>
      <c r="H296" t="s">
        <v>600</v>
      </c>
      <c r="I296" t="s">
        <v>601</v>
      </c>
      <c r="J296">
        <v>2.3999999999999998E-3</v>
      </c>
      <c r="K296">
        <v>2.3999999999999998E-3</v>
      </c>
      <c r="L296">
        <v>2.3999999999999998E-3</v>
      </c>
      <c r="M296">
        <v>2.3999999999999998E-3</v>
      </c>
      <c r="N296">
        <v>2.3999999999999998E-3</v>
      </c>
      <c r="O296">
        <v>2.3999999999999998E-3</v>
      </c>
      <c r="P296">
        <v>2.3999999999999998E-3</v>
      </c>
      <c r="Q296">
        <v>2.5000000000000001E-3</v>
      </c>
      <c r="R296">
        <v>2.5999999999999999E-3</v>
      </c>
      <c r="S296">
        <v>2.5999999999999999E-3</v>
      </c>
      <c r="T296">
        <v>2.5999999999999999E-3</v>
      </c>
      <c r="U296">
        <v>2.5999999999999999E-3</v>
      </c>
      <c r="V296">
        <v>2.7000000000000001E-3</v>
      </c>
      <c r="W296">
        <v>2.7000000000000001E-3</v>
      </c>
      <c r="X296">
        <v>2.7000000000000001E-3</v>
      </c>
      <c r="Y296">
        <v>2.7000000000000001E-3</v>
      </c>
    </row>
    <row r="297" spans="1:25" hidden="1">
      <c r="A297" t="s">
        <v>270</v>
      </c>
      <c r="B297" t="s">
        <v>987</v>
      </c>
      <c r="C297" t="s">
        <v>980</v>
      </c>
      <c r="D297" t="s">
        <v>986</v>
      </c>
      <c r="E297" t="s">
        <v>927</v>
      </c>
      <c r="F297" t="s">
        <v>598</v>
      </c>
      <c r="G297" t="s">
        <v>599</v>
      </c>
      <c r="H297" t="s">
        <v>600</v>
      </c>
      <c r="I297" t="s">
        <v>601</v>
      </c>
      <c r="J297">
        <v>6.9999999999999999E-4</v>
      </c>
      <c r="K297">
        <v>6.9999999999999999E-4</v>
      </c>
      <c r="L297">
        <v>6.9999999999999999E-4</v>
      </c>
      <c r="M297">
        <v>6.9999999999999999E-4</v>
      </c>
      <c r="N297">
        <v>6.9999999999999999E-4</v>
      </c>
      <c r="O297">
        <v>6.9999999999999999E-4</v>
      </c>
      <c r="P297">
        <v>6.9999999999999999E-4</v>
      </c>
      <c r="Q297">
        <v>6.9999999999999999E-4</v>
      </c>
      <c r="R297">
        <v>6.9999999999999999E-4</v>
      </c>
      <c r="S297">
        <v>6.9999999999999999E-4</v>
      </c>
      <c r="T297">
        <v>6.9999999999999999E-4</v>
      </c>
      <c r="U297">
        <v>6.9999999999999999E-4</v>
      </c>
      <c r="V297">
        <v>6.9999999999999999E-4</v>
      </c>
      <c r="W297">
        <v>6.9999999999999999E-4</v>
      </c>
      <c r="X297">
        <v>6.9999999999999999E-4</v>
      </c>
      <c r="Y297">
        <v>6.9999999999999999E-4</v>
      </c>
    </row>
    <row r="298" spans="1:25" hidden="1">
      <c r="A298" t="s">
        <v>270</v>
      </c>
      <c r="B298" t="s">
        <v>988</v>
      </c>
      <c r="C298" t="s">
        <v>980</v>
      </c>
      <c r="D298" t="s">
        <v>648</v>
      </c>
      <c r="E298" t="s">
        <v>920</v>
      </c>
      <c r="F298" t="s">
        <v>598</v>
      </c>
      <c r="G298" t="s">
        <v>599</v>
      </c>
      <c r="H298" t="s">
        <v>600</v>
      </c>
      <c r="I298" t="s">
        <v>601</v>
      </c>
      <c r="J298">
        <v>3.8E-3</v>
      </c>
      <c r="K298">
        <v>4.0000000000000001E-3</v>
      </c>
      <c r="L298">
        <v>4.1000000000000003E-3</v>
      </c>
      <c r="M298">
        <v>4.1999999999999997E-3</v>
      </c>
      <c r="N298">
        <v>4.1999999999999997E-3</v>
      </c>
      <c r="O298">
        <v>4.3E-3</v>
      </c>
      <c r="P298">
        <v>4.4000000000000003E-3</v>
      </c>
      <c r="Q298">
        <v>4.4999999999999997E-3</v>
      </c>
      <c r="R298">
        <v>4.5999999999999999E-3</v>
      </c>
      <c r="S298">
        <v>4.7999999999999996E-3</v>
      </c>
      <c r="T298">
        <v>4.8999999999999998E-3</v>
      </c>
      <c r="U298">
        <v>5.0000000000000001E-3</v>
      </c>
      <c r="V298">
        <v>5.1000000000000004E-3</v>
      </c>
      <c r="W298">
        <v>5.1999999999999998E-3</v>
      </c>
      <c r="X298">
        <v>5.3E-3</v>
      </c>
      <c r="Y298">
        <v>5.4000000000000003E-3</v>
      </c>
    </row>
    <row r="299" spans="1:25" hidden="1">
      <c r="A299" t="s">
        <v>270</v>
      </c>
      <c r="B299" t="s">
        <v>989</v>
      </c>
      <c r="C299" t="s">
        <v>980</v>
      </c>
      <c r="D299" t="s">
        <v>648</v>
      </c>
      <c r="E299" t="s">
        <v>613</v>
      </c>
      <c r="F299" t="s">
        <v>598</v>
      </c>
      <c r="G299" t="s">
        <v>599</v>
      </c>
      <c r="H299" t="s">
        <v>600</v>
      </c>
      <c r="I299" t="s">
        <v>601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270</v>
      </c>
      <c r="B300" t="s">
        <v>990</v>
      </c>
      <c r="C300" t="s">
        <v>980</v>
      </c>
      <c r="D300" t="s">
        <v>648</v>
      </c>
      <c r="E300" t="s">
        <v>984</v>
      </c>
      <c r="F300" t="s">
        <v>598</v>
      </c>
      <c r="G300" t="s">
        <v>599</v>
      </c>
      <c r="H300" t="s">
        <v>600</v>
      </c>
      <c r="I300" t="s">
        <v>601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1E-4</v>
      </c>
      <c r="W300">
        <v>1E-4</v>
      </c>
      <c r="X300">
        <v>1E-4</v>
      </c>
      <c r="Y300">
        <v>1E-4</v>
      </c>
    </row>
    <row r="301" spans="1:25" hidden="1">
      <c r="A301" t="s">
        <v>270</v>
      </c>
      <c r="B301" t="s">
        <v>991</v>
      </c>
      <c r="C301" t="s">
        <v>980</v>
      </c>
      <c r="D301" t="s">
        <v>648</v>
      </c>
      <c r="E301" t="s">
        <v>927</v>
      </c>
      <c r="F301" t="s">
        <v>598</v>
      </c>
      <c r="G301" t="s">
        <v>599</v>
      </c>
      <c r="H301" t="s">
        <v>600</v>
      </c>
      <c r="I301" t="s">
        <v>601</v>
      </c>
      <c r="J301">
        <v>2.0000000000000001E-4</v>
      </c>
      <c r="K301">
        <v>2.0000000000000001E-4</v>
      </c>
      <c r="L301">
        <v>2.0000000000000001E-4</v>
      </c>
      <c r="M301">
        <v>2.0000000000000001E-4</v>
      </c>
      <c r="N301">
        <v>2.0000000000000001E-4</v>
      </c>
      <c r="O301">
        <v>2.0000000000000001E-4</v>
      </c>
      <c r="P301">
        <v>2.0000000000000001E-4</v>
      </c>
      <c r="Q301">
        <v>2.0000000000000001E-4</v>
      </c>
      <c r="R301">
        <v>2.0000000000000001E-4</v>
      </c>
      <c r="S301">
        <v>2.0000000000000001E-4</v>
      </c>
      <c r="T301">
        <v>2.0000000000000001E-4</v>
      </c>
      <c r="U301">
        <v>2.0000000000000001E-4</v>
      </c>
      <c r="V301">
        <v>2.0000000000000001E-4</v>
      </c>
      <c r="W301">
        <v>2.0000000000000001E-4</v>
      </c>
      <c r="X301">
        <v>2.0000000000000001E-4</v>
      </c>
      <c r="Y301">
        <v>2.0000000000000001E-4</v>
      </c>
    </row>
    <row r="302" spans="1:25" hidden="1">
      <c r="A302" t="s">
        <v>270</v>
      </c>
      <c r="B302" t="s">
        <v>992</v>
      </c>
      <c r="C302" t="s">
        <v>980</v>
      </c>
      <c r="D302" t="s">
        <v>648</v>
      </c>
      <c r="E302" t="s">
        <v>929</v>
      </c>
      <c r="F302" t="s">
        <v>598</v>
      </c>
      <c r="G302" t="s">
        <v>599</v>
      </c>
      <c r="H302" t="s">
        <v>600</v>
      </c>
      <c r="I302" t="s">
        <v>601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270</v>
      </c>
      <c r="B303" t="s">
        <v>993</v>
      </c>
      <c r="C303" t="s">
        <v>980</v>
      </c>
      <c r="D303" t="s">
        <v>648</v>
      </c>
      <c r="E303" t="s">
        <v>678</v>
      </c>
      <c r="F303" t="s">
        <v>598</v>
      </c>
      <c r="G303" t="s">
        <v>599</v>
      </c>
      <c r="H303" t="s">
        <v>600</v>
      </c>
      <c r="I303" t="s">
        <v>601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270</v>
      </c>
      <c r="B304" t="s">
        <v>994</v>
      </c>
      <c r="C304" t="s">
        <v>980</v>
      </c>
      <c r="D304" t="s">
        <v>648</v>
      </c>
      <c r="E304" t="s">
        <v>954</v>
      </c>
      <c r="F304" t="s">
        <v>598</v>
      </c>
      <c r="G304" t="s">
        <v>599</v>
      </c>
      <c r="H304" t="s">
        <v>600</v>
      </c>
      <c r="I304" t="s">
        <v>601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270</v>
      </c>
      <c r="B305" t="s">
        <v>995</v>
      </c>
      <c r="C305" t="s">
        <v>980</v>
      </c>
      <c r="D305" t="s">
        <v>648</v>
      </c>
      <c r="E305" t="s">
        <v>996</v>
      </c>
      <c r="F305" t="s">
        <v>598</v>
      </c>
      <c r="G305" t="s">
        <v>599</v>
      </c>
      <c r="H305" t="s">
        <v>600</v>
      </c>
      <c r="I305" t="s">
        <v>601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270</v>
      </c>
      <c r="B306" t="s">
        <v>997</v>
      </c>
      <c r="C306" t="s">
        <v>998</v>
      </c>
      <c r="D306" t="s">
        <v>999</v>
      </c>
      <c r="E306" t="s">
        <v>1000</v>
      </c>
      <c r="F306" t="s">
        <v>598</v>
      </c>
      <c r="G306" t="s">
        <v>599</v>
      </c>
      <c r="H306" t="s">
        <v>600</v>
      </c>
      <c r="I306" t="s">
        <v>601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270</v>
      </c>
      <c r="B307" t="s">
        <v>1001</v>
      </c>
      <c r="C307" t="s">
        <v>998</v>
      </c>
      <c r="D307" t="s">
        <v>999</v>
      </c>
      <c r="E307" t="s">
        <v>1002</v>
      </c>
      <c r="F307" t="s">
        <v>598</v>
      </c>
      <c r="G307" t="s">
        <v>599</v>
      </c>
      <c r="H307" t="s">
        <v>600</v>
      </c>
      <c r="I307" t="s">
        <v>601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270</v>
      </c>
      <c r="B308" t="s">
        <v>1003</v>
      </c>
      <c r="C308" t="s">
        <v>998</v>
      </c>
      <c r="D308" t="s">
        <v>999</v>
      </c>
      <c r="E308" t="s">
        <v>1004</v>
      </c>
      <c r="F308" t="s">
        <v>598</v>
      </c>
      <c r="G308" t="s">
        <v>599</v>
      </c>
      <c r="H308" t="s">
        <v>600</v>
      </c>
      <c r="I308" t="s">
        <v>601</v>
      </c>
      <c r="J308">
        <v>1.2999999999999999E-3</v>
      </c>
      <c r="K308">
        <v>1.4E-3</v>
      </c>
      <c r="L308">
        <v>1.4E-3</v>
      </c>
      <c r="M308">
        <v>1.4E-3</v>
      </c>
      <c r="N308">
        <v>1.5E-3</v>
      </c>
      <c r="O308">
        <v>1.5E-3</v>
      </c>
      <c r="P308">
        <v>1.5E-3</v>
      </c>
      <c r="Q308">
        <v>1.5E-3</v>
      </c>
      <c r="R308">
        <v>1.6000000000000001E-3</v>
      </c>
      <c r="S308">
        <v>1.6000000000000001E-3</v>
      </c>
      <c r="T308">
        <v>1.6000000000000001E-3</v>
      </c>
      <c r="U308">
        <v>1.6999999999999999E-3</v>
      </c>
      <c r="V308">
        <v>1.6999999999999999E-3</v>
      </c>
      <c r="W308">
        <v>1.6999999999999999E-3</v>
      </c>
      <c r="X308">
        <v>1.8E-3</v>
      </c>
      <c r="Y308">
        <v>1.8E-3</v>
      </c>
    </row>
    <row r="309" spans="1:25" hidden="1">
      <c r="A309" t="s">
        <v>270</v>
      </c>
      <c r="B309" t="s">
        <v>1005</v>
      </c>
      <c r="C309" t="s">
        <v>998</v>
      </c>
      <c r="D309" t="s">
        <v>999</v>
      </c>
      <c r="E309" t="s">
        <v>1006</v>
      </c>
      <c r="F309" t="s">
        <v>598</v>
      </c>
      <c r="G309" t="s">
        <v>599</v>
      </c>
      <c r="H309" t="s">
        <v>600</v>
      </c>
      <c r="I309" t="s">
        <v>601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270</v>
      </c>
      <c r="B310" t="s">
        <v>1007</v>
      </c>
      <c r="C310" t="s">
        <v>998</v>
      </c>
      <c r="D310" t="s">
        <v>999</v>
      </c>
      <c r="E310" t="s">
        <v>1008</v>
      </c>
      <c r="F310" t="s">
        <v>598</v>
      </c>
      <c r="G310" t="s">
        <v>599</v>
      </c>
      <c r="H310" t="s">
        <v>600</v>
      </c>
      <c r="I310" t="s">
        <v>601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270</v>
      </c>
      <c r="B311" t="s">
        <v>1009</v>
      </c>
      <c r="C311" t="s">
        <v>998</v>
      </c>
      <c r="D311" t="s">
        <v>999</v>
      </c>
      <c r="E311" t="s">
        <v>1010</v>
      </c>
      <c r="F311" t="s">
        <v>598</v>
      </c>
      <c r="G311" t="s">
        <v>599</v>
      </c>
      <c r="H311" t="s">
        <v>600</v>
      </c>
      <c r="I311" t="s">
        <v>601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270</v>
      </c>
      <c r="B312" t="s">
        <v>1011</v>
      </c>
      <c r="C312" t="s">
        <v>998</v>
      </c>
      <c r="D312" t="s">
        <v>1012</v>
      </c>
      <c r="E312" t="s">
        <v>1004</v>
      </c>
      <c r="F312" t="s">
        <v>598</v>
      </c>
      <c r="G312" t="s">
        <v>599</v>
      </c>
      <c r="H312" t="s">
        <v>600</v>
      </c>
      <c r="I312" t="s">
        <v>601</v>
      </c>
      <c r="J312">
        <v>1E-4</v>
      </c>
      <c r="K312">
        <v>1E-4</v>
      </c>
      <c r="L312">
        <v>1E-4</v>
      </c>
      <c r="M312">
        <v>1E-4</v>
      </c>
      <c r="N312">
        <v>1E-4</v>
      </c>
      <c r="O312">
        <v>1E-4</v>
      </c>
      <c r="P312">
        <v>1E-4</v>
      </c>
      <c r="Q312">
        <v>1E-4</v>
      </c>
      <c r="R312">
        <v>1E-4</v>
      </c>
      <c r="S312">
        <v>1E-4</v>
      </c>
      <c r="T312">
        <v>1E-4</v>
      </c>
      <c r="U312">
        <v>1E-4</v>
      </c>
      <c r="V312">
        <v>1E-4</v>
      </c>
      <c r="W312">
        <v>1E-4</v>
      </c>
      <c r="X312">
        <v>1E-4</v>
      </c>
      <c r="Y312">
        <v>1E-4</v>
      </c>
    </row>
    <row r="313" spans="1:25" hidden="1">
      <c r="A313" t="s">
        <v>270</v>
      </c>
      <c r="B313" t="s">
        <v>1013</v>
      </c>
      <c r="C313" t="s">
        <v>998</v>
      </c>
      <c r="D313" t="s">
        <v>648</v>
      </c>
      <c r="E313" t="s">
        <v>1014</v>
      </c>
      <c r="F313" t="s">
        <v>598</v>
      </c>
      <c r="G313" t="s">
        <v>599</v>
      </c>
      <c r="H313" t="s">
        <v>600</v>
      </c>
      <c r="I313" t="s">
        <v>601</v>
      </c>
      <c r="J313">
        <v>1E-4</v>
      </c>
      <c r="K313">
        <v>1E-4</v>
      </c>
      <c r="L313">
        <v>1E-4</v>
      </c>
      <c r="M313">
        <v>1E-4</v>
      </c>
      <c r="N313">
        <v>1E-4</v>
      </c>
      <c r="O313">
        <v>1E-4</v>
      </c>
      <c r="P313">
        <v>1E-4</v>
      </c>
      <c r="Q313">
        <v>1E-4</v>
      </c>
      <c r="R313">
        <v>1E-4</v>
      </c>
      <c r="S313">
        <v>1E-4</v>
      </c>
      <c r="T313">
        <v>1E-4</v>
      </c>
      <c r="U313">
        <v>1E-4</v>
      </c>
      <c r="V313">
        <v>1E-4</v>
      </c>
      <c r="W313">
        <v>1E-4</v>
      </c>
      <c r="X313">
        <v>1E-4</v>
      </c>
      <c r="Y313">
        <v>1E-4</v>
      </c>
    </row>
    <row r="314" spans="1:25" hidden="1">
      <c r="A314" t="s">
        <v>270</v>
      </c>
      <c r="B314" t="s">
        <v>1015</v>
      </c>
      <c r="C314" t="s">
        <v>1016</v>
      </c>
      <c r="D314" t="s">
        <v>1017</v>
      </c>
      <c r="E314" t="s">
        <v>1018</v>
      </c>
      <c r="F314" t="s">
        <v>598</v>
      </c>
      <c r="G314" t="s">
        <v>599</v>
      </c>
      <c r="H314" t="s">
        <v>600</v>
      </c>
      <c r="I314" t="s">
        <v>601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270</v>
      </c>
      <c r="B315" t="s">
        <v>1019</v>
      </c>
      <c r="C315" t="s">
        <v>1016</v>
      </c>
      <c r="D315" t="s">
        <v>1017</v>
      </c>
      <c r="E315" t="s">
        <v>1020</v>
      </c>
      <c r="F315" t="s">
        <v>598</v>
      </c>
      <c r="G315" t="s">
        <v>599</v>
      </c>
      <c r="H315" t="s">
        <v>600</v>
      </c>
      <c r="I315" t="s">
        <v>601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270</v>
      </c>
      <c r="B316" t="s">
        <v>1021</v>
      </c>
      <c r="C316" t="s">
        <v>1016</v>
      </c>
      <c r="D316" t="s">
        <v>1017</v>
      </c>
      <c r="E316" t="s">
        <v>1022</v>
      </c>
      <c r="F316" t="s">
        <v>598</v>
      </c>
      <c r="G316" t="s">
        <v>599</v>
      </c>
      <c r="H316" t="s">
        <v>600</v>
      </c>
      <c r="I316" t="s">
        <v>601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270</v>
      </c>
      <c r="B317" t="s">
        <v>1023</v>
      </c>
      <c r="C317" t="s">
        <v>1016</v>
      </c>
      <c r="D317" t="s">
        <v>1017</v>
      </c>
      <c r="E317" t="s">
        <v>1024</v>
      </c>
      <c r="F317" t="s">
        <v>598</v>
      </c>
      <c r="G317" t="s">
        <v>599</v>
      </c>
      <c r="H317" t="s">
        <v>600</v>
      </c>
      <c r="I317" t="s">
        <v>601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270</v>
      </c>
      <c r="B318" t="s">
        <v>1025</v>
      </c>
      <c r="C318" t="s">
        <v>1016</v>
      </c>
      <c r="D318" t="s">
        <v>1017</v>
      </c>
      <c r="E318" t="s">
        <v>1026</v>
      </c>
      <c r="F318" t="s">
        <v>598</v>
      </c>
      <c r="G318" t="s">
        <v>599</v>
      </c>
      <c r="H318" t="s">
        <v>600</v>
      </c>
      <c r="I318" t="s">
        <v>601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270</v>
      </c>
      <c r="B319" t="s">
        <v>1027</v>
      </c>
      <c r="C319" t="s">
        <v>1016</v>
      </c>
      <c r="D319" t="s">
        <v>1017</v>
      </c>
      <c r="E319" t="s">
        <v>1028</v>
      </c>
      <c r="F319" t="s">
        <v>598</v>
      </c>
      <c r="G319" t="s">
        <v>599</v>
      </c>
      <c r="H319" t="s">
        <v>600</v>
      </c>
      <c r="I319" t="s">
        <v>601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270</v>
      </c>
      <c r="B320" t="s">
        <v>1029</v>
      </c>
      <c r="C320" t="s">
        <v>1016</v>
      </c>
      <c r="D320" t="s">
        <v>1017</v>
      </c>
      <c r="E320" t="s">
        <v>1030</v>
      </c>
      <c r="F320" t="s">
        <v>598</v>
      </c>
      <c r="G320" t="s">
        <v>599</v>
      </c>
      <c r="H320" t="s">
        <v>600</v>
      </c>
      <c r="I320" t="s">
        <v>601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270</v>
      </c>
      <c r="B321" t="s">
        <v>1031</v>
      </c>
      <c r="C321" t="s">
        <v>1016</v>
      </c>
      <c r="D321" t="s">
        <v>1017</v>
      </c>
      <c r="E321" t="s">
        <v>630</v>
      </c>
      <c r="F321" t="s">
        <v>598</v>
      </c>
      <c r="G321" t="s">
        <v>599</v>
      </c>
      <c r="H321" t="s">
        <v>600</v>
      </c>
      <c r="I321" t="s">
        <v>601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270</v>
      </c>
      <c r="B322" t="s">
        <v>1032</v>
      </c>
      <c r="C322" t="s">
        <v>1016</v>
      </c>
      <c r="D322" t="s">
        <v>1017</v>
      </c>
      <c r="E322" t="s">
        <v>1033</v>
      </c>
      <c r="F322" t="s">
        <v>598</v>
      </c>
      <c r="G322" t="s">
        <v>599</v>
      </c>
      <c r="H322" t="s">
        <v>600</v>
      </c>
      <c r="I322" t="s">
        <v>601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270</v>
      </c>
      <c r="B323" t="s">
        <v>1034</v>
      </c>
      <c r="C323" t="s">
        <v>1016</v>
      </c>
      <c r="D323" t="s">
        <v>1017</v>
      </c>
      <c r="E323" t="s">
        <v>1035</v>
      </c>
      <c r="F323" t="s">
        <v>598</v>
      </c>
      <c r="G323" t="s">
        <v>599</v>
      </c>
      <c r="H323" t="s">
        <v>600</v>
      </c>
      <c r="I323" t="s">
        <v>601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270</v>
      </c>
      <c r="B324" t="s">
        <v>1036</v>
      </c>
      <c r="C324" t="s">
        <v>1016</v>
      </c>
      <c r="D324" t="s">
        <v>1017</v>
      </c>
      <c r="E324" t="s">
        <v>1000</v>
      </c>
      <c r="F324" t="s">
        <v>598</v>
      </c>
      <c r="G324" t="s">
        <v>599</v>
      </c>
      <c r="H324" t="s">
        <v>600</v>
      </c>
      <c r="I324" t="s">
        <v>601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270</v>
      </c>
      <c r="B325" t="s">
        <v>1037</v>
      </c>
      <c r="C325" t="s">
        <v>1016</v>
      </c>
      <c r="D325" t="s">
        <v>1017</v>
      </c>
      <c r="E325" t="s">
        <v>1038</v>
      </c>
      <c r="F325" t="s">
        <v>598</v>
      </c>
      <c r="G325" t="s">
        <v>599</v>
      </c>
      <c r="H325" t="s">
        <v>600</v>
      </c>
      <c r="I325" t="s">
        <v>601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270</v>
      </c>
      <c r="B326" t="s">
        <v>1039</v>
      </c>
      <c r="C326" t="s">
        <v>1016</v>
      </c>
      <c r="D326" t="s">
        <v>1017</v>
      </c>
      <c r="E326" t="s">
        <v>1040</v>
      </c>
      <c r="F326" t="s">
        <v>598</v>
      </c>
      <c r="G326" t="s">
        <v>599</v>
      </c>
      <c r="H326" t="s">
        <v>600</v>
      </c>
      <c r="I326" t="s">
        <v>601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270</v>
      </c>
      <c r="B327" t="s">
        <v>1041</v>
      </c>
      <c r="C327" t="s">
        <v>1016</v>
      </c>
      <c r="D327" t="s">
        <v>1017</v>
      </c>
      <c r="E327" t="s">
        <v>1042</v>
      </c>
      <c r="F327" t="s">
        <v>598</v>
      </c>
      <c r="G327" t="s">
        <v>599</v>
      </c>
      <c r="H327" t="s">
        <v>600</v>
      </c>
      <c r="I327" t="s">
        <v>601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270</v>
      </c>
      <c r="B328" t="s">
        <v>1043</v>
      </c>
      <c r="C328" t="s">
        <v>1016</v>
      </c>
      <c r="D328" t="s">
        <v>1017</v>
      </c>
      <c r="E328" t="s">
        <v>1044</v>
      </c>
      <c r="F328" t="s">
        <v>598</v>
      </c>
      <c r="G328" t="s">
        <v>599</v>
      </c>
      <c r="H328" t="s">
        <v>600</v>
      </c>
      <c r="I328" t="s">
        <v>601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270</v>
      </c>
      <c r="B329" t="s">
        <v>1045</v>
      </c>
      <c r="C329" t="s">
        <v>1016</v>
      </c>
      <c r="D329" t="s">
        <v>1017</v>
      </c>
      <c r="E329" t="s">
        <v>1046</v>
      </c>
      <c r="F329" t="s">
        <v>598</v>
      </c>
      <c r="G329" t="s">
        <v>599</v>
      </c>
      <c r="H329" t="s">
        <v>600</v>
      </c>
      <c r="I329" t="s">
        <v>601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270</v>
      </c>
      <c r="B330" t="s">
        <v>1047</v>
      </c>
      <c r="C330" t="s">
        <v>1016</v>
      </c>
      <c r="D330" t="s">
        <v>1017</v>
      </c>
      <c r="E330" t="s">
        <v>1048</v>
      </c>
      <c r="F330" t="s">
        <v>598</v>
      </c>
      <c r="G330" t="s">
        <v>599</v>
      </c>
      <c r="H330" t="s">
        <v>600</v>
      </c>
      <c r="I330" t="s">
        <v>601</v>
      </c>
      <c r="J330">
        <v>6.0600000000000001E-2</v>
      </c>
      <c r="K330">
        <v>6.3299999999999995E-2</v>
      </c>
      <c r="L330">
        <v>6.5699999999999995E-2</v>
      </c>
      <c r="M330">
        <v>6.8199999999999997E-2</v>
      </c>
      <c r="N330">
        <v>7.0999999999999994E-2</v>
      </c>
      <c r="O330">
        <v>7.3999999999999996E-2</v>
      </c>
      <c r="P330">
        <v>7.6200000000000004E-2</v>
      </c>
      <c r="Q330">
        <v>7.8600000000000003E-2</v>
      </c>
      <c r="R330">
        <v>0.08</v>
      </c>
      <c r="S330">
        <v>8.1299999999999997E-2</v>
      </c>
      <c r="T330">
        <v>8.2699999999999996E-2</v>
      </c>
      <c r="U330">
        <v>8.3900000000000002E-2</v>
      </c>
      <c r="V330">
        <v>8.5199999999999998E-2</v>
      </c>
      <c r="W330">
        <v>8.6499999999999994E-2</v>
      </c>
      <c r="X330">
        <v>8.7999999999999995E-2</v>
      </c>
      <c r="Y330">
        <v>8.9200000000000002E-2</v>
      </c>
    </row>
    <row r="331" spans="1:25" hidden="1">
      <c r="A331" t="s">
        <v>270</v>
      </c>
      <c r="B331" t="s">
        <v>1049</v>
      </c>
      <c r="C331" t="s">
        <v>1016</v>
      </c>
      <c r="D331" t="s">
        <v>1050</v>
      </c>
      <c r="E331" t="s">
        <v>1024</v>
      </c>
      <c r="F331" t="s">
        <v>598</v>
      </c>
      <c r="G331" t="s">
        <v>599</v>
      </c>
      <c r="H331" t="s">
        <v>600</v>
      </c>
      <c r="I331" t="s">
        <v>601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270</v>
      </c>
      <c r="B332" t="s">
        <v>1051</v>
      </c>
      <c r="C332" t="s">
        <v>1016</v>
      </c>
      <c r="D332" t="s">
        <v>1050</v>
      </c>
      <c r="E332" t="s">
        <v>1052</v>
      </c>
      <c r="F332" t="s">
        <v>598</v>
      </c>
      <c r="G332" t="s">
        <v>599</v>
      </c>
      <c r="H332" t="s">
        <v>600</v>
      </c>
      <c r="I332" t="s">
        <v>601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270</v>
      </c>
      <c r="B333" t="s">
        <v>1053</v>
      </c>
      <c r="C333" t="s">
        <v>1016</v>
      </c>
      <c r="D333" t="s">
        <v>1050</v>
      </c>
      <c r="E333" t="s">
        <v>1000</v>
      </c>
      <c r="F333" t="s">
        <v>598</v>
      </c>
      <c r="G333" t="s">
        <v>599</v>
      </c>
      <c r="H333" t="s">
        <v>600</v>
      </c>
      <c r="I333" t="s">
        <v>601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270</v>
      </c>
      <c r="B334" t="s">
        <v>1054</v>
      </c>
      <c r="C334" t="s">
        <v>1016</v>
      </c>
      <c r="D334" t="s">
        <v>1050</v>
      </c>
      <c r="E334" t="s">
        <v>1055</v>
      </c>
      <c r="F334" t="s">
        <v>598</v>
      </c>
      <c r="G334" t="s">
        <v>599</v>
      </c>
      <c r="H334" t="s">
        <v>600</v>
      </c>
      <c r="I334" t="s">
        <v>601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270</v>
      </c>
      <c r="B335" t="s">
        <v>1056</v>
      </c>
      <c r="C335" t="s">
        <v>1016</v>
      </c>
      <c r="D335" t="s">
        <v>1050</v>
      </c>
      <c r="E335" t="s">
        <v>1002</v>
      </c>
      <c r="F335" t="s">
        <v>598</v>
      </c>
      <c r="G335" t="s">
        <v>599</v>
      </c>
      <c r="H335" t="s">
        <v>600</v>
      </c>
      <c r="I335" t="s">
        <v>601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hidden="1">
      <c r="A336" t="s">
        <v>270</v>
      </c>
      <c r="B336" t="s">
        <v>1057</v>
      </c>
      <c r="C336" t="s">
        <v>1016</v>
      </c>
      <c r="D336" t="s">
        <v>1050</v>
      </c>
      <c r="E336" t="s">
        <v>1058</v>
      </c>
      <c r="F336" t="s">
        <v>598</v>
      </c>
      <c r="G336" t="s">
        <v>599</v>
      </c>
      <c r="H336" t="s">
        <v>600</v>
      </c>
      <c r="I336" t="s">
        <v>601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270</v>
      </c>
      <c r="B337" t="s">
        <v>1059</v>
      </c>
      <c r="C337" t="s">
        <v>1016</v>
      </c>
      <c r="D337" t="s">
        <v>1050</v>
      </c>
      <c r="E337" t="s">
        <v>1042</v>
      </c>
      <c r="F337" t="s">
        <v>598</v>
      </c>
      <c r="G337" t="s">
        <v>599</v>
      </c>
      <c r="H337" t="s">
        <v>600</v>
      </c>
      <c r="I337" t="s">
        <v>601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270</v>
      </c>
      <c r="B338" t="s">
        <v>1060</v>
      </c>
      <c r="C338" t="s">
        <v>1016</v>
      </c>
      <c r="D338" t="s">
        <v>1050</v>
      </c>
      <c r="E338" t="s">
        <v>1044</v>
      </c>
      <c r="F338" t="s">
        <v>598</v>
      </c>
      <c r="G338" t="s">
        <v>599</v>
      </c>
      <c r="H338" t="s">
        <v>600</v>
      </c>
      <c r="I338" t="s">
        <v>601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hidden="1">
      <c r="A339" t="s">
        <v>270</v>
      </c>
      <c r="B339" t="s">
        <v>1061</v>
      </c>
      <c r="C339" t="s">
        <v>1016</v>
      </c>
      <c r="D339" t="s">
        <v>1050</v>
      </c>
      <c r="E339" t="s">
        <v>1048</v>
      </c>
      <c r="F339" t="s">
        <v>598</v>
      </c>
      <c r="G339" t="s">
        <v>599</v>
      </c>
      <c r="H339" t="s">
        <v>600</v>
      </c>
      <c r="I339" t="s">
        <v>601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270</v>
      </c>
      <c r="B340" t="s">
        <v>1062</v>
      </c>
      <c r="C340" t="s">
        <v>1016</v>
      </c>
      <c r="D340" t="s">
        <v>1063</v>
      </c>
      <c r="E340" t="s">
        <v>1018</v>
      </c>
      <c r="F340" t="s">
        <v>598</v>
      </c>
      <c r="G340" t="s">
        <v>599</v>
      </c>
      <c r="H340" t="s">
        <v>600</v>
      </c>
      <c r="I340" t="s">
        <v>601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270</v>
      </c>
      <c r="B341" t="s">
        <v>1064</v>
      </c>
      <c r="C341" t="s">
        <v>1016</v>
      </c>
      <c r="D341" t="s">
        <v>1063</v>
      </c>
      <c r="E341" t="s">
        <v>1022</v>
      </c>
      <c r="F341" t="s">
        <v>598</v>
      </c>
      <c r="G341" t="s">
        <v>599</v>
      </c>
      <c r="H341" t="s">
        <v>600</v>
      </c>
      <c r="I341" t="s">
        <v>601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270</v>
      </c>
      <c r="B342" t="s">
        <v>1065</v>
      </c>
      <c r="C342" t="s">
        <v>1016</v>
      </c>
      <c r="D342" t="s">
        <v>1063</v>
      </c>
      <c r="E342" t="s">
        <v>1024</v>
      </c>
      <c r="F342" t="s">
        <v>598</v>
      </c>
      <c r="G342" t="s">
        <v>599</v>
      </c>
      <c r="H342" t="s">
        <v>600</v>
      </c>
      <c r="I342" t="s">
        <v>601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270</v>
      </c>
      <c r="B343" t="s">
        <v>1066</v>
      </c>
      <c r="C343" t="s">
        <v>1016</v>
      </c>
      <c r="D343" t="s">
        <v>1063</v>
      </c>
      <c r="E343" t="s">
        <v>1052</v>
      </c>
      <c r="F343" t="s">
        <v>598</v>
      </c>
      <c r="G343" t="s">
        <v>599</v>
      </c>
      <c r="H343" t="s">
        <v>600</v>
      </c>
      <c r="I343" t="s">
        <v>601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270</v>
      </c>
      <c r="B344" t="s">
        <v>1067</v>
      </c>
      <c r="C344" t="s">
        <v>1016</v>
      </c>
      <c r="D344" t="s">
        <v>1063</v>
      </c>
      <c r="E344" t="s">
        <v>1026</v>
      </c>
      <c r="F344" t="s">
        <v>598</v>
      </c>
      <c r="G344" t="s">
        <v>599</v>
      </c>
      <c r="H344" t="s">
        <v>600</v>
      </c>
      <c r="I344" t="s">
        <v>601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270</v>
      </c>
      <c r="B345" t="s">
        <v>1068</v>
      </c>
      <c r="C345" t="s">
        <v>1016</v>
      </c>
      <c r="D345" t="s">
        <v>1063</v>
      </c>
      <c r="E345" t="s">
        <v>1030</v>
      </c>
      <c r="F345" t="s">
        <v>598</v>
      </c>
      <c r="G345" t="s">
        <v>599</v>
      </c>
      <c r="H345" t="s">
        <v>600</v>
      </c>
      <c r="I345" t="s">
        <v>601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hidden="1">
      <c r="A346" t="s">
        <v>270</v>
      </c>
      <c r="B346" t="s">
        <v>1069</v>
      </c>
      <c r="C346" t="s">
        <v>1016</v>
      </c>
      <c r="D346" t="s">
        <v>1063</v>
      </c>
      <c r="E346" t="s">
        <v>1035</v>
      </c>
      <c r="F346" t="s">
        <v>598</v>
      </c>
      <c r="G346" t="s">
        <v>599</v>
      </c>
      <c r="H346" t="s">
        <v>600</v>
      </c>
      <c r="I346" t="s">
        <v>601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hidden="1">
      <c r="A347" t="s">
        <v>270</v>
      </c>
      <c r="B347" t="s">
        <v>1070</v>
      </c>
      <c r="C347" t="s">
        <v>1016</v>
      </c>
      <c r="D347" t="s">
        <v>1063</v>
      </c>
      <c r="E347" t="s">
        <v>1000</v>
      </c>
      <c r="F347" t="s">
        <v>598</v>
      </c>
      <c r="G347" t="s">
        <v>599</v>
      </c>
      <c r="H347" t="s">
        <v>600</v>
      </c>
      <c r="I347" t="s">
        <v>601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hidden="1">
      <c r="A348" t="s">
        <v>270</v>
      </c>
      <c r="B348" t="s">
        <v>1071</v>
      </c>
      <c r="C348" t="s">
        <v>1016</v>
      </c>
      <c r="D348" t="s">
        <v>1063</v>
      </c>
      <c r="E348" t="s">
        <v>1038</v>
      </c>
      <c r="F348" t="s">
        <v>598</v>
      </c>
      <c r="G348" t="s">
        <v>599</v>
      </c>
      <c r="H348" t="s">
        <v>600</v>
      </c>
      <c r="I348" t="s">
        <v>601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hidden="1">
      <c r="A349" t="s">
        <v>270</v>
      </c>
      <c r="B349" t="s">
        <v>1072</v>
      </c>
      <c r="C349" t="s">
        <v>1016</v>
      </c>
      <c r="D349" t="s">
        <v>1063</v>
      </c>
      <c r="E349" t="s">
        <v>1040</v>
      </c>
      <c r="F349" t="s">
        <v>598</v>
      </c>
      <c r="G349" t="s">
        <v>599</v>
      </c>
      <c r="H349" t="s">
        <v>600</v>
      </c>
      <c r="I349" t="s">
        <v>601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hidden="1">
      <c r="A350" t="s">
        <v>270</v>
      </c>
      <c r="B350" t="s">
        <v>1073</v>
      </c>
      <c r="C350" t="s">
        <v>1016</v>
      </c>
      <c r="D350" t="s">
        <v>1063</v>
      </c>
      <c r="E350" t="s">
        <v>1042</v>
      </c>
      <c r="F350" t="s">
        <v>598</v>
      </c>
      <c r="G350" t="s">
        <v>599</v>
      </c>
      <c r="H350" t="s">
        <v>600</v>
      </c>
      <c r="I350" t="s">
        <v>601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hidden="1">
      <c r="A351" t="s">
        <v>270</v>
      </c>
      <c r="B351" t="s">
        <v>1074</v>
      </c>
      <c r="C351" t="s">
        <v>1016</v>
      </c>
      <c r="D351" t="s">
        <v>1063</v>
      </c>
      <c r="E351" t="s">
        <v>1044</v>
      </c>
      <c r="F351" t="s">
        <v>598</v>
      </c>
      <c r="G351" t="s">
        <v>599</v>
      </c>
      <c r="H351" t="s">
        <v>600</v>
      </c>
      <c r="I351" t="s">
        <v>601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270</v>
      </c>
      <c r="B352" t="s">
        <v>1075</v>
      </c>
      <c r="C352" t="s">
        <v>1016</v>
      </c>
      <c r="D352" t="s">
        <v>1063</v>
      </c>
      <c r="E352" t="s">
        <v>1046</v>
      </c>
      <c r="F352" t="s">
        <v>598</v>
      </c>
      <c r="G352" t="s">
        <v>599</v>
      </c>
      <c r="H352" t="s">
        <v>600</v>
      </c>
      <c r="I352" t="s">
        <v>601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270</v>
      </c>
      <c r="B353" t="s">
        <v>1076</v>
      </c>
      <c r="C353" t="s">
        <v>1016</v>
      </c>
      <c r="D353" t="s">
        <v>1063</v>
      </c>
      <c r="E353" t="s">
        <v>1048</v>
      </c>
      <c r="F353" t="s">
        <v>598</v>
      </c>
      <c r="G353" t="s">
        <v>599</v>
      </c>
      <c r="H353" t="s">
        <v>600</v>
      </c>
      <c r="I353" t="s">
        <v>601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270</v>
      </c>
      <c r="B354" t="s">
        <v>1077</v>
      </c>
      <c r="C354" t="s">
        <v>1016</v>
      </c>
      <c r="D354" t="s">
        <v>648</v>
      </c>
      <c r="E354" t="s">
        <v>954</v>
      </c>
      <c r="F354" t="s">
        <v>598</v>
      </c>
      <c r="G354" t="s">
        <v>599</v>
      </c>
      <c r="H354" t="s">
        <v>600</v>
      </c>
      <c r="I354" t="s">
        <v>601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hidden="1">
      <c r="A355" t="s">
        <v>270</v>
      </c>
      <c r="B355" t="s">
        <v>1078</v>
      </c>
      <c r="C355" t="s">
        <v>1079</v>
      </c>
      <c r="D355" t="s">
        <v>1080</v>
      </c>
      <c r="E355" t="s">
        <v>1081</v>
      </c>
      <c r="F355" t="s">
        <v>598</v>
      </c>
      <c r="G355" t="s">
        <v>599</v>
      </c>
      <c r="H355" t="s">
        <v>600</v>
      </c>
      <c r="I355" t="s">
        <v>601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270</v>
      </c>
      <c r="B356" t="s">
        <v>1082</v>
      </c>
      <c r="C356" t="s">
        <v>1079</v>
      </c>
      <c r="D356" t="s">
        <v>1083</v>
      </c>
      <c r="E356" t="s">
        <v>1084</v>
      </c>
      <c r="F356" t="s">
        <v>598</v>
      </c>
      <c r="G356" t="s">
        <v>599</v>
      </c>
      <c r="H356" t="s">
        <v>600</v>
      </c>
      <c r="I356" t="s">
        <v>601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270</v>
      </c>
      <c r="B357" t="s">
        <v>1085</v>
      </c>
      <c r="C357" t="s">
        <v>1079</v>
      </c>
      <c r="D357" t="s">
        <v>1086</v>
      </c>
      <c r="E357" t="s">
        <v>1004</v>
      </c>
      <c r="F357" t="s">
        <v>598</v>
      </c>
      <c r="G357" t="s">
        <v>599</v>
      </c>
      <c r="H357" t="s">
        <v>600</v>
      </c>
      <c r="I357" t="s">
        <v>601</v>
      </c>
      <c r="J357">
        <v>2.0000000000000001E-4</v>
      </c>
      <c r="K357">
        <v>2.0000000000000001E-4</v>
      </c>
      <c r="L357">
        <v>2.0000000000000001E-4</v>
      </c>
      <c r="M357">
        <v>2.0000000000000001E-4</v>
      </c>
      <c r="N357">
        <v>2.0000000000000001E-4</v>
      </c>
      <c r="O357">
        <v>2.9999999999999997E-4</v>
      </c>
      <c r="P357">
        <v>2.9999999999999997E-4</v>
      </c>
      <c r="Q357">
        <v>2.9999999999999997E-4</v>
      </c>
      <c r="R357">
        <v>2.9999999999999997E-4</v>
      </c>
      <c r="S357">
        <v>2.9999999999999997E-4</v>
      </c>
      <c r="T357">
        <v>2.9999999999999997E-4</v>
      </c>
      <c r="U357">
        <v>2.9999999999999997E-4</v>
      </c>
      <c r="V357">
        <v>2.9999999999999997E-4</v>
      </c>
      <c r="W357">
        <v>2.9999999999999997E-4</v>
      </c>
      <c r="X357">
        <v>2.9999999999999997E-4</v>
      </c>
      <c r="Y357">
        <v>2.9999999999999997E-4</v>
      </c>
    </row>
    <row r="358" spans="1:25" hidden="1">
      <c r="A358" t="s">
        <v>270</v>
      </c>
      <c r="B358" t="s">
        <v>1087</v>
      </c>
      <c r="C358" t="s">
        <v>1079</v>
      </c>
      <c r="D358" t="s">
        <v>1086</v>
      </c>
      <c r="E358" t="s">
        <v>1081</v>
      </c>
      <c r="F358" t="s">
        <v>598</v>
      </c>
      <c r="G358" t="s">
        <v>599</v>
      </c>
      <c r="H358" t="s">
        <v>600</v>
      </c>
      <c r="I358" t="s">
        <v>601</v>
      </c>
      <c r="J358">
        <v>0.36</v>
      </c>
      <c r="K358">
        <v>0.36849999999999999</v>
      </c>
      <c r="L358">
        <v>0.37730000000000002</v>
      </c>
      <c r="M358">
        <v>0.3866</v>
      </c>
      <c r="N358">
        <v>0.39489999999999997</v>
      </c>
      <c r="O358">
        <v>0.40329999999999999</v>
      </c>
      <c r="P358">
        <v>0.4078</v>
      </c>
      <c r="Q358">
        <v>0.41289999999999999</v>
      </c>
      <c r="R358">
        <v>0.41710000000000003</v>
      </c>
      <c r="S358">
        <v>0.42180000000000001</v>
      </c>
      <c r="T358">
        <v>0.42659999999999998</v>
      </c>
      <c r="U358">
        <v>0.43080000000000002</v>
      </c>
      <c r="V358">
        <v>0.43530000000000002</v>
      </c>
      <c r="W358">
        <v>0.43959999999999999</v>
      </c>
      <c r="X358">
        <v>0.44400000000000001</v>
      </c>
      <c r="Y358">
        <v>0.44850000000000001</v>
      </c>
    </row>
    <row r="359" spans="1:25" hidden="1">
      <c r="A359" t="s">
        <v>270</v>
      </c>
      <c r="B359" t="s">
        <v>1088</v>
      </c>
      <c r="C359" t="s">
        <v>1079</v>
      </c>
      <c r="D359" t="s">
        <v>1086</v>
      </c>
      <c r="E359" t="s">
        <v>1089</v>
      </c>
      <c r="F359" t="s">
        <v>598</v>
      </c>
      <c r="G359" t="s">
        <v>599</v>
      </c>
      <c r="H359" t="s">
        <v>600</v>
      </c>
      <c r="I359" t="s">
        <v>601</v>
      </c>
      <c r="J359">
        <v>1E-4</v>
      </c>
      <c r="K359">
        <v>1E-4</v>
      </c>
      <c r="L359">
        <v>1E-4</v>
      </c>
      <c r="M359">
        <v>1E-4</v>
      </c>
      <c r="N359">
        <v>1E-4</v>
      </c>
      <c r="O359">
        <v>1E-4</v>
      </c>
      <c r="P359">
        <v>1E-4</v>
      </c>
      <c r="Q359">
        <v>1E-4</v>
      </c>
      <c r="R359">
        <v>1E-4</v>
      </c>
      <c r="S359">
        <v>1E-4</v>
      </c>
      <c r="T359">
        <v>1E-4</v>
      </c>
      <c r="U359">
        <v>1E-4</v>
      </c>
      <c r="V359">
        <v>1E-4</v>
      </c>
      <c r="W359">
        <v>1E-4</v>
      </c>
      <c r="X359">
        <v>1E-4</v>
      </c>
      <c r="Y359">
        <v>1E-4</v>
      </c>
    </row>
    <row r="360" spans="1:25" hidden="1">
      <c r="A360" t="s">
        <v>270</v>
      </c>
      <c r="B360" t="s">
        <v>1090</v>
      </c>
      <c r="C360" t="s">
        <v>1079</v>
      </c>
      <c r="D360" t="s">
        <v>1086</v>
      </c>
      <c r="E360" t="s">
        <v>1091</v>
      </c>
      <c r="F360" t="s">
        <v>598</v>
      </c>
      <c r="G360" t="s">
        <v>599</v>
      </c>
      <c r="H360" t="s">
        <v>600</v>
      </c>
      <c r="I360" t="s">
        <v>601</v>
      </c>
      <c r="J360">
        <v>3.8E-3</v>
      </c>
      <c r="K360">
        <v>3.8E-3</v>
      </c>
      <c r="L360">
        <v>3.8E-3</v>
      </c>
      <c r="M360">
        <v>3.8E-3</v>
      </c>
      <c r="N360">
        <v>3.8999999999999998E-3</v>
      </c>
      <c r="O360">
        <v>4.0000000000000001E-3</v>
      </c>
      <c r="P360">
        <v>4.0000000000000001E-3</v>
      </c>
      <c r="Q360">
        <v>4.1000000000000003E-3</v>
      </c>
      <c r="R360">
        <v>4.3E-3</v>
      </c>
      <c r="S360">
        <v>4.4999999999999997E-3</v>
      </c>
      <c r="T360">
        <v>4.4999999999999997E-3</v>
      </c>
      <c r="U360">
        <v>4.4999999999999997E-3</v>
      </c>
      <c r="V360">
        <v>4.7000000000000002E-3</v>
      </c>
      <c r="W360">
        <v>4.7000000000000002E-3</v>
      </c>
      <c r="X360">
        <v>4.7999999999999996E-3</v>
      </c>
      <c r="Y360">
        <v>5.0000000000000001E-3</v>
      </c>
    </row>
    <row r="361" spans="1:25" hidden="1">
      <c r="A361" t="s">
        <v>270</v>
      </c>
      <c r="B361" t="s">
        <v>1092</v>
      </c>
      <c r="C361" t="s">
        <v>1079</v>
      </c>
      <c r="D361" t="s">
        <v>1086</v>
      </c>
      <c r="E361" t="s">
        <v>1093</v>
      </c>
      <c r="F361" t="s">
        <v>598</v>
      </c>
      <c r="G361" t="s">
        <v>599</v>
      </c>
      <c r="H361" t="s">
        <v>600</v>
      </c>
      <c r="I361" t="s">
        <v>601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hidden="1">
      <c r="A362" t="s">
        <v>270</v>
      </c>
      <c r="B362" t="s">
        <v>1094</v>
      </c>
      <c r="C362" t="s">
        <v>1079</v>
      </c>
      <c r="D362" t="s">
        <v>1086</v>
      </c>
      <c r="E362" t="s">
        <v>1095</v>
      </c>
      <c r="F362" t="s">
        <v>598</v>
      </c>
      <c r="G362" t="s">
        <v>599</v>
      </c>
      <c r="H362" t="s">
        <v>600</v>
      </c>
      <c r="I362" t="s">
        <v>601</v>
      </c>
      <c r="J362">
        <v>5.4999999999999997E-3</v>
      </c>
      <c r="K362">
        <v>5.4000000000000003E-3</v>
      </c>
      <c r="L362">
        <v>5.3E-3</v>
      </c>
      <c r="M362">
        <v>5.1999999999999998E-3</v>
      </c>
      <c r="N362">
        <v>5.3E-3</v>
      </c>
      <c r="O362">
        <v>5.4999999999999997E-3</v>
      </c>
      <c r="P362">
        <v>5.5999999999999999E-3</v>
      </c>
      <c r="Q362">
        <v>5.7999999999999996E-3</v>
      </c>
      <c r="R362">
        <v>6.0000000000000001E-3</v>
      </c>
      <c r="S362">
        <v>6.0000000000000001E-3</v>
      </c>
      <c r="T362">
        <v>6.0000000000000001E-3</v>
      </c>
      <c r="U362">
        <v>6.1999999999999998E-3</v>
      </c>
      <c r="V362">
        <v>6.3E-3</v>
      </c>
      <c r="W362">
        <v>6.4999999999999997E-3</v>
      </c>
      <c r="X362">
        <v>6.7000000000000002E-3</v>
      </c>
      <c r="Y362">
        <v>6.7999999999999996E-3</v>
      </c>
    </row>
    <row r="363" spans="1:25" hidden="1">
      <c r="A363" t="s">
        <v>270</v>
      </c>
      <c r="B363" t="s">
        <v>1096</v>
      </c>
      <c r="C363" t="s">
        <v>1079</v>
      </c>
      <c r="D363" t="s">
        <v>1086</v>
      </c>
      <c r="E363" t="s">
        <v>1097</v>
      </c>
      <c r="F363" t="s">
        <v>598</v>
      </c>
      <c r="G363" t="s">
        <v>599</v>
      </c>
      <c r="H363" t="s">
        <v>600</v>
      </c>
      <c r="I363" t="s">
        <v>601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270</v>
      </c>
      <c r="B364" t="s">
        <v>1098</v>
      </c>
      <c r="C364" t="s">
        <v>1079</v>
      </c>
      <c r="D364" t="s">
        <v>1086</v>
      </c>
      <c r="E364" t="s">
        <v>1099</v>
      </c>
      <c r="F364" t="s">
        <v>598</v>
      </c>
      <c r="G364" t="s">
        <v>599</v>
      </c>
      <c r="H364" t="s">
        <v>600</v>
      </c>
      <c r="I364" t="s">
        <v>601</v>
      </c>
      <c r="J364">
        <v>1E-4</v>
      </c>
      <c r="K364">
        <v>1E-4</v>
      </c>
      <c r="L364">
        <v>1E-4</v>
      </c>
      <c r="M364">
        <v>1E-4</v>
      </c>
      <c r="N364">
        <v>1E-4</v>
      </c>
      <c r="O364">
        <v>1E-4</v>
      </c>
      <c r="P364">
        <v>1E-4</v>
      </c>
      <c r="Q364">
        <v>1E-4</v>
      </c>
      <c r="R364">
        <v>1E-4</v>
      </c>
      <c r="S364">
        <v>1E-4</v>
      </c>
      <c r="T364">
        <v>1E-4</v>
      </c>
      <c r="U364">
        <v>1E-4</v>
      </c>
      <c r="V364">
        <v>1E-4</v>
      </c>
      <c r="W364">
        <v>1E-4</v>
      </c>
      <c r="X364">
        <v>1E-4</v>
      </c>
      <c r="Y364">
        <v>1E-4</v>
      </c>
    </row>
    <row r="365" spans="1:25" hidden="1">
      <c r="A365" t="s">
        <v>270</v>
      </c>
      <c r="B365" t="s">
        <v>1100</v>
      </c>
      <c r="C365" t="s">
        <v>1079</v>
      </c>
      <c r="D365" t="s">
        <v>1086</v>
      </c>
      <c r="E365" t="s">
        <v>1101</v>
      </c>
      <c r="F365" t="s">
        <v>598</v>
      </c>
      <c r="G365" t="s">
        <v>599</v>
      </c>
      <c r="H365" t="s">
        <v>600</v>
      </c>
      <c r="I365" t="s">
        <v>601</v>
      </c>
      <c r="J365">
        <v>4.3700000000000003E-2</v>
      </c>
      <c r="K365">
        <v>4.4299999999999999E-2</v>
      </c>
      <c r="L365">
        <v>4.4499999999999998E-2</v>
      </c>
      <c r="M365">
        <v>4.5100000000000001E-2</v>
      </c>
      <c r="N365">
        <v>4.5900000000000003E-2</v>
      </c>
      <c r="O365">
        <v>4.65E-2</v>
      </c>
      <c r="P365">
        <v>4.7300000000000002E-2</v>
      </c>
      <c r="Q365">
        <v>4.82E-2</v>
      </c>
      <c r="R365">
        <v>4.9299999999999997E-2</v>
      </c>
      <c r="S365">
        <v>5.0299999999999997E-2</v>
      </c>
      <c r="T365">
        <v>5.1499999999999997E-2</v>
      </c>
      <c r="U365">
        <v>5.2699999999999997E-2</v>
      </c>
      <c r="V365">
        <v>5.3699999999999998E-2</v>
      </c>
      <c r="W365">
        <v>5.5300000000000002E-2</v>
      </c>
      <c r="X365">
        <v>5.6500000000000002E-2</v>
      </c>
      <c r="Y365">
        <v>5.7700000000000001E-2</v>
      </c>
    </row>
    <row r="366" spans="1:25" hidden="1">
      <c r="A366" t="s">
        <v>270</v>
      </c>
      <c r="B366" t="s">
        <v>1102</v>
      </c>
      <c r="C366" t="s">
        <v>1079</v>
      </c>
      <c r="D366" t="s">
        <v>1086</v>
      </c>
      <c r="E366" t="s">
        <v>1103</v>
      </c>
      <c r="F366" t="s">
        <v>598</v>
      </c>
      <c r="G366" t="s">
        <v>599</v>
      </c>
      <c r="H366" t="s">
        <v>600</v>
      </c>
      <c r="I366" t="s">
        <v>601</v>
      </c>
      <c r="J366">
        <v>4.0000000000000001E-3</v>
      </c>
      <c r="K366">
        <v>4.0000000000000001E-3</v>
      </c>
      <c r="L366">
        <v>4.1000000000000003E-3</v>
      </c>
      <c r="M366">
        <v>4.1000000000000003E-3</v>
      </c>
      <c r="N366">
        <v>4.1999999999999997E-3</v>
      </c>
      <c r="O366">
        <v>4.1999999999999997E-3</v>
      </c>
      <c r="P366">
        <v>4.1999999999999997E-3</v>
      </c>
      <c r="Q366">
        <v>4.4000000000000003E-3</v>
      </c>
      <c r="R366">
        <v>4.4000000000000003E-3</v>
      </c>
      <c r="S366">
        <v>4.4000000000000003E-3</v>
      </c>
      <c r="T366">
        <v>4.4999999999999997E-3</v>
      </c>
      <c r="U366">
        <v>4.5999999999999999E-3</v>
      </c>
      <c r="V366">
        <v>4.7000000000000002E-3</v>
      </c>
      <c r="W366">
        <v>4.8999999999999998E-3</v>
      </c>
      <c r="X366">
        <v>5.0000000000000001E-3</v>
      </c>
      <c r="Y366">
        <v>5.0000000000000001E-3</v>
      </c>
    </row>
    <row r="367" spans="1:25" hidden="1">
      <c r="A367" t="s">
        <v>270</v>
      </c>
      <c r="B367" t="s">
        <v>1104</v>
      </c>
      <c r="C367" t="s">
        <v>1079</v>
      </c>
      <c r="D367" t="s">
        <v>1105</v>
      </c>
      <c r="E367" t="s">
        <v>1106</v>
      </c>
      <c r="F367" t="s">
        <v>598</v>
      </c>
      <c r="G367" t="s">
        <v>599</v>
      </c>
      <c r="H367" t="s">
        <v>600</v>
      </c>
      <c r="I367" t="s">
        <v>601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hidden="1">
      <c r="A368" t="s">
        <v>270</v>
      </c>
      <c r="B368" t="s">
        <v>1107</v>
      </c>
      <c r="C368" t="s">
        <v>1079</v>
      </c>
      <c r="D368" t="s">
        <v>1108</v>
      </c>
      <c r="E368" t="s">
        <v>1081</v>
      </c>
      <c r="F368" t="s">
        <v>598</v>
      </c>
      <c r="G368" t="s">
        <v>599</v>
      </c>
      <c r="H368" t="s">
        <v>600</v>
      </c>
      <c r="I368" t="s">
        <v>601</v>
      </c>
      <c r="J368">
        <v>4.4999999999999997E-3</v>
      </c>
      <c r="K368">
        <v>4.5999999999999999E-3</v>
      </c>
      <c r="L368">
        <v>4.5999999999999999E-3</v>
      </c>
      <c r="M368">
        <v>4.5999999999999999E-3</v>
      </c>
      <c r="N368">
        <v>4.7000000000000002E-3</v>
      </c>
      <c r="O368">
        <v>4.7000000000000002E-3</v>
      </c>
      <c r="P368">
        <v>4.7000000000000002E-3</v>
      </c>
      <c r="Q368">
        <v>4.7000000000000002E-3</v>
      </c>
      <c r="R368">
        <v>4.7000000000000002E-3</v>
      </c>
      <c r="S368">
        <v>5.0000000000000001E-3</v>
      </c>
      <c r="T368">
        <v>5.0000000000000001E-3</v>
      </c>
      <c r="U368">
        <v>5.0000000000000001E-3</v>
      </c>
      <c r="V368">
        <v>5.0000000000000001E-3</v>
      </c>
      <c r="W368">
        <v>5.0000000000000001E-3</v>
      </c>
      <c r="X368">
        <v>5.0000000000000001E-3</v>
      </c>
      <c r="Y368">
        <v>5.0000000000000001E-3</v>
      </c>
    </row>
    <row r="369" spans="1:25" hidden="1">
      <c r="A369" t="s">
        <v>270</v>
      </c>
      <c r="B369" t="s">
        <v>1109</v>
      </c>
      <c r="C369" t="s">
        <v>1079</v>
      </c>
      <c r="D369" t="s">
        <v>1108</v>
      </c>
      <c r="E369" t="s">
        <v>1091</v>
      </c>
      <c r="F369" t="s">
        <v>598</v>
      </c>
      <c r="G369" t="s">
        <v>599</v>
      </c>
      <c r="H369" t="s">
        <v>600</v>
      </c>
      <c r="I369" t="s">
        <v>601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hidden="1">
      <c r="A370" t="s">
        <v>270</v>
      </c>
      <c r="B370" t="s">
        <v>1110</v>
      </c>
      <c r="C370" t="s">
        <v>1079</v>
      </c>
      <c r="D370" t="s">
        <v>1108</v>
      </c>
      <c r="E370" t="s">
        <v>1093</v>
      </c>
      <c r="F370" t="s">
        <v>598</v>
      </c>
      <c r="G370" t="s">
        <v>599</v>
      </c>
      <c r="H370" t="s">
        <v>600</v>
      </c>
      <c r="I370" t="s">
        <v>601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270</v>
      </c>
      <c r="B371" t="s">
        <v>1111</v>
      </c>
      <c r="C371" t="s">
        <v>1079</v>
      </c>
      <c r="D371" t="s">
        <v>1108</v>
      </c>
      <c r="E371" t="s">
        <v>1095</v>
      </c>
      <c r="F371" t="s">
        <v>598</v>
      </c>
      <c r="G371" t="s">
        <v>599</v>
      </c>
      <c r="H371" t="s">
        <v>600</v>
      </c>
      <c r="I371" t="s">
        <v>601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270</v>
      </c>
      <c r="B372" t="s">
        <v>1112</v>
      </c>
      <c r="C372" t="s">
        <v>1079</v>
      </c>
      <c r="D372" t="s">
        <v>1108</v>
      </c>
      <c r="E372" t="s">
        <v>1097</v>
      </c>
      <c r="F372" t="s">
        <v>598</v>
      </c>
      <c r="G372" t="s">
        <v>599</v>
      </c>
      <c r="H372" t="s">
        <v>600</v>
      </c>
      <c r="I372" t="s">
        <v>601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hidden="1">
      <c r="A373" t="s">
        <v>270</v>
      </c>
      <c r="B373" t="s">
        <v>1113</v>
      </c>
      <c r="C373" t="s">
        <v>1079</v>
      </c>
      <c r="D373" t="s">
        <v>1108</v>
      </c>
      <c r="E373" t="s">
        <v>1101</v>
      </c>
      <c r="F373" t="s">
        <v>598</v>
      </c>
      <c r="G373" t="s">
        <v>599</v>
      </c>
      <c r="H373" t="s">
        <v>600</v>
      </c>
      <c r="I373" t="s">
        <v>601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1E-4</v>
      </c>
    </row>
    <row r="374" spans="1:25" hidden="1">
      <c r="A374" t="s">
        <v>270</v>
      </c>
      <c r="B374" t="s">
        <v>1114</v>
      </c>
      <c r="C374" t="s">
        <v>1079</v>
      </c>
      <c r="D374" t="s">
        <v>1115</v>
      </c>
      <c r="E374" t="s">
        <v>1081</v>
      </c>
      <c r="F374" t="s">
        <v>598</v>
      </c>
      <c r="G374" t="s">
        <v>599</v>
      </c>
      <c r="H374" t="s">
        <v>600</v>
      </c>
      <c r="I374" t="s">
        <v>601</v>
      </c>
      <c r="J374">
        <v>1E-4</v>
      </c>
      <c r="K374">
        <v>1E-4</v>
      </c>
      <c r="L374">
        <v>1E-4</v>
      </c>
      <c r="M374">
        <v>1E-4</v>
      </c>
      <c r="N374">
        <v>1E-4</v>
      </c>
      <c r="O374">
        <v>1E-4</v>
      </c>
      <c r="P374">
        <v>1E-4</v>
      </c>
      <c r="Q374">
        <v>1E-4</v>
      </c>
      <c r="R374">
        <v>1E-4</v>
      </c>
      <c r="S374">
        <v>1E-4</v>
      </c>
      <c r="T374">
        <v>1E-4</v>
      </c>
      <c r="U374">
        <v>1E-4</v>
      </c>
      <c r="V374">
        <v>1E-4</v>
      </c>
      <c r="W374">
        <v>1E-4</v>
      </c>
      <c r="X374">
        <v>1E-4</v>
      </c>
      <c r="Y374">
        <v>1E-4</v>
      </c>
    </row>
    <row r="375" spans="1:25" hidden="1">
      <c r="A375" t="s">
        <v>270</v>
      </c>
      <c r="B375" t="s">
        <v>1116</v>
      </c>
      <c r="C375" t="s">
        <v>1079</v>
      </c>
      <c r="D375" t="s">
        <v>1115</v>
      </c>
      <c r="E375" t="s">
        <v>1091</v>
      </c>
      <c r="F375" t="s">
        <v>598</v>
      </c>
      <c r="G375" t="s">
        <v>599</v>
      </c>
      <c r="H375" t="s">
        <v>600</v>
      </c>
      <c r="I375" t="s">
        <v>601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270</v>
      </c>
      <c r="B376" t="s">
        <v>1117</v>
      </c>
      <c r="C376" t="s">
        <v>1079</v>
      </c>
      <c r="D376" t="s">
        <v>1115</v>
      </c>
      <c r="E376" t="s">
        <v>1093</v>
      </c>
      <c r="F376" t="s">
        <v>598</v>
      </c>
      <c r="G376" t="s">
        <v>599</v>
      </c>
      <c r="H376" t="s">
        <v>600</v>
      </c>
      <c r="I376" t="s">
        <v>601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270</v>
      </c>
      <c r="B377" t="s">
        <v>1118</v>
      </c>
      <c r="C377" t="s">
        <v>1079</v>
      </c>
      <c r="D377" t="s">
        <v>1115</v>
      </c>
      <c r="E377" t="s">
        <v>1097</v>
      </c>
      <c r="F377" t="s">
        <v>598</v>
      </c>
      <c r="G377" t="s">
        <v>599</v>
      </c>
      <c r="H377" t="s">
        <v>600</v>
      </c>
      <c r="I377" t="s">
        <v>601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270</v>
      </c>
      <c r="B378" t="s">
        <v>1119</v>
      </c>
      <c r="C378" t="s">
        <v>1079</v>
      </c>
      <c r="D378" t="s">
        <v>1115</v>
      </c>
      <c r="E378" t="s">
        <v>1101</v>
      </c>
      <c r="F378" t="s">
        <v>598</v>
      </c>
      <c r="G378" t="s">
        <v>599</v>
      </c>
      <c r="H378" t="s">
        <v>600</v>
      </c>
      <c r="I378" t="s">
        <v>601</v>
      </c>
      <c r="J378">
        <v>4.8999999999999998E-3</v>
      </c>
      <c r="K378">
        <v>5.0000000000000001E-3</v>
      </c>
      <c r="L378">
        <v>5.0000000000000001E-3</v>
      </c>
      <c r="M378">
        <v>5.1000000000000004E-3</v>
      </c>
      <c r="N378">
        <v>5.1999999999999998E-3</v>
      </c>
      <c r="O378">
        <v>5.1999999999999998E-3</v>
      </c>
      <c r="P378">
        <v>5.3E-3</v>
      </c>
      <c r="Q378">
        <v>5.4000000000000003E-3</v>
      </c>
      <c r="R378">
        <v>5.4000000000000003E-3</v>
      </c>
      <c r="S378">
        <v>5.4999999999999997E-3</v>
      </c>
      <c r="T378">
        <v>5.4999999999999997E-3</v>
      </c>
      <c r="U378">
        <v>5.5999999999999999E-3</v>
      </c>
      <c r="V378">
        <v>5.5999999999999999E-3</v>
      </c>
      <c r="W378">
        <v>5.7000000000000002E-3</v>
      </c>
      <c r="X378">
        <v>5.7999999999999996E-3</v>
      </c>
      <c r="Y378">
        <v>5.7999999999999996E-3</v>
      </c>
    </row>
    <row r="379" spans="1:25" hidden="1">
      <c r="A379" t="s">
        <v>270</v>
      </c>
      <c r="B379" t="s">
        <v>1120</v>
      </c>
      <c r="C379" t="s">
        <v>1079</v>
      </c>
      <c r="D379" t="s">
        <v>1121</v>
      </c>
      <c r="E379" t="s">
        <v>1081</v>
      </c>
      <c r="F379" t="s">
        <v>598</v>
      </c>
      <c r="G379" t="s">
        <v>599</v>
      </c>
      <c r="H379" t="s">
        <v>600</v>
      </c>
      <c r="I379" t="s">
        <v>601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270</v>
      </c>
      <c r="B380" t="s">
        <v>1122</v>
      </c>
      <c r="C380" t="s">
        <v>1079</v>
      </c>
      <c r="D380" t="s">
        <v>1121</v>
      </c>
      <c r="E380" t="s">
        <v>1097</v>
      </c>
      <c r="F380" t="s">
        <v>598</v>
      </c>
      <c r="G380" t="s">
        <v>599</v>
      </c>
      <c r="H380" t="s">
        <v>600</v>
      </c>
      <c r="I380" t="s">
        <v>601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270</v>
      </c>
      <c r="B381" t="s">
        <v>1123</v>
      </c>
      <c r="C381" t="s">
        <v>1079</v>
      </c>
      <c r="D381" t="s">
        <v>1121</v>
      </c>
      <c r="E381" t="s">
        <v>1101</v>
      </c>
      <c r="F381" t="s">
        <v>598</v>
      </c>
      <c r="G381" t="s">
        <v>599</v>
      </c>
      <c r="H381" t="s">
        <v>600</v>
      </c>
      <c r="I381" t="s">
        <v>601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270</v>
      </c>
      <c r="B382" t="s">
        <v>1124</v>
      </c>
      <c r="C382" t="s">
        <v>1079</v>
      </c>
      <c r="D382" t="s">
        <v>1121</v>
      </c>
      <c r="E382" t="s">
        <v>1103</v>
      </c>
      <c r="F382" t="s">
        <v>598</v>
      </c>
      <c r="G382" t="s">
        <v>599</v>
      </c>
      <c r="H382" t="s">
        <v>600</v>
      </c>
      <c r="I382" t="s">
        <v>601</v>
      </c>
      <c r="J382">
        <v>8.9999999999999998E-4</v>
      </c>
      <c r="K382">
        <v>8.9999999999999998E-4</v>
      </c>
      <c r="L382">
        <v>8.0000000000000004E-4</v>
      </c>
      <c r="M382">
        <v>8.0000000000000004E-4</v>
      </c>
      <c r="N382">
        <v>8.0000000000000004E-4</v>
      </c>
      <c r="O382">
        <v>8.0000000000000004E-4</v>
      </c>
      <c r="P382">
        <v>8.0000000000000004E-4</v>
      </c>
      <c r="Q382">
        <v>8.0000000000000004E-4</v>
      </c>
      <c r="R382">
        <v>8.0000000000000004E-4</v>
      </c>
      <c r="S382">
        <v>8.0000000000000004E-4</v>
      </c>
      <c r="T382">
        <v>8.0000000000000004E-4</v>
      </c>
      <c r="U382">
        <v>8.0000000000000004E-4</v>
      </c>
      <c r="V382">
        <v>8.0000000000000004E-4</v>
      </c>
      <c r="W382">
        <v>8.0000000000000004E-4</v>
      </c>
      <c r="X382">
        <v>8.0000000000000004E-4</v>
      </c>
      <c r="Y382">
        <v>8.0000000000000004E-4</v>
      </c>
    </row>
    <row r="383" spans="1:25" hidden="1">
      <c r="A383" t="s">
        <v>270</v>
      </c>
      <c r="B383" t="s">
        <v>1125</v>
      </c>
      <c r="C383" t="s">
        <v>1079</v>
      </c>
      <c r="D383" t="s">
        <v>1126</v>
      </c>
      <c r="E383" t="s">
        <v>1081</v>
      </c>
      <c r="F383" t="s">
        <v>598</v>
      </c>
      <c r="G383" t="s">
        <v>599</v>
      </c>
      <c r="H383" t="s">
        <v>600</v>
      </c>
      <c r="I383" t="s">
        <v>601</v>
      </c>
      <c r="J383">
        <v>1.4E-3</v>
      </c>
      <c r="K383">
        <v>1.4E-3</v>
      </c>
      <c r="L383">
        <v>1.6000000000000001E-3</v>
      </c>
      <c r="M383">
        <v>1.6000000000000001E-3</v>
      </c>
      <c r="N383">
        <v>1.6000000000000001E-3</v>
      </c>
      <c r="O383">
        <v>1.6000000000000001E-3</v>
      </c>
      <c r="P383">
        <v>1.6000000000000001E-3</v>
      </c>
      <c r="Q383">
        <v>1.6999999999999999E-3</v>
      </c>
      <c r="R383">
        <v>1.8E-3</v>
      </c>
      <c r="S383">
        <v>1.9E-3</v>
      </c>
      <c r="T383">
        <v>2E-3</v>
      </c>
      <c r="U383">
        <v>2E-3</v>
      </c>
      <c r="V383">
        <v>2E-3</v>
      </c>
      <c r="W383">
        <v>2E-3</v>
      </c>
      <c r="X383">
        <v>2E-3</v>
      </c>
      <c r="Y383">
        <v>2E-3</v>
      </c>
    </row>
    <row r="384" spans="1:25" hidden="1">
      <c r="A384" t="s">
        <v>270</v>
      </c>
      <c r="B384" t="s">
        <v>1127</v>
      </c>
      <c r="C384" t="s">
        <v>1079</v>
      </c>
      <c r="D384" t="s">
        <v>1126</v>
      </c>
      <c r="E384" t="s">
        <v>1091</v>
      </c>
      <c r="F384" t="s">
        <v>598</v>
      </c>
      <c r="G384" t="s">
        <v>599</v>
      </c>
      <c r="H384" t="s">
        <v>600</v>
      </c>
      <c r="I384" t="s">
        <v>601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270</v>
      </c>
      <c r="B385" t="s">
        <v>1128</v>
      </c>
      <c r="C385" t="s">
        <v>1079</v>
      </c>
      <c r="D385" t="s">
        <v>1126</v>
      </c>
      <c r="E385" t="s">
        <v>1093</v>
      </c>
      <c r="F385" t="s">
        <v>598</v>
      </c>
      <c r="G385" t="s">
        <v>599</v>
      </c>
      <c r="H385" t="s">
        <v>600</v>
      </c>
      <c r="I385" t="s">
        <v>601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270</v>
      </c>
      <c r="B386" t="s">
        <v>1129</v>
      </c>
      <c r="C386" t="s">
        <v>1079</v>
      </c>
      <c r="D386" t="s">
        <v>1126</v>
      </c>
      <c r="E386" t="s">
        <v>1097</v>
      </c>
      <c r="F386" t="s">
        <v>598</v>
      </c>
      <c r="G386" t="s">
        <v>599</v>
      </c>
      <c r="H386" t="s">
        <v>600</v>
      </c>
      <c r="I386" t="s">
        <v>601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270</v>
      </c>
      <c r="B387" t="s">
        <v>1130</v>
      </c>
      <c r="C387" t="s">
        <v>1079</v>
      </c>
      <c r="D387" t="s">
        <v>1126</v>
      </c>
      <c r="E387" t="s">
        <v>1099</v>
      </c>
      <c r="F387" t="s">
        <v>598</v>
      </c>
      <c r="G387" t="s">
        <v>599</v>
      </c>
      <c r="H387" t="s">
        <v>600</v>
      </c>
      <c r="I387" t="s">
        <v>601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270</v>
      </c>
      <c r="B388" t="s">
        <v>1131</v>
      </c>
      <c r="C388" t="s">
        <v>1079</v>
      </c>
      <c r="D388" t="s">
        <v>1126</v>
      </c>
      <c r="E388" t="s">
        <v>1101</v>
      </c>
      <c r="F388" t="s">
        <v>598</v>
      </c>
      <c r="G388" t="s">
        <v>599</v>
      </c>
      <c r="H388" t="s">
        <v>600</v>
      </c>
      <c r="I388" t="s">
        <v>601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270</v>
      </c>
      <c r="B389" t="s">
        <v>1132</v>
      </c>
      <c r="C389" t="s">
        <v>1079</v>
      </c>
      <c r="D389" t="s">
        <v>1126</v>
      </c>
      <c r="E389" t="s">
        <v>1103</v>
      </c>
      <c r="F389" t="s">
        <v>598</v>
      </c>
      <c r="G389" t="s">
        <v>599</v>
      </c>
      <c r="H389" t="s">
        <v>600</v>
      </c>
      <c r="I389" t="s">
        <v>601</v>
      </c>
      <c r="J389">
        <v>4.7000000000000002E-3</v>
      </c>
      <c r="K389">
        <v>4.8999999999999998E-3</v>
      </c>
      <c r="L389">
        <v>5.0000000000000001E-3</v>
      </c>
      <c r="M389">
        <v>5.0000000000000001E-3</v>
      </c>
      <c r="N389">
        <v>5.1000000000000004E-3</v>
      </c>
      <c r="O389">
        <v>5.3E-3</v>
      </c>
      <c r="P389">
        <v>5.4000000000000003E-3</v>
      </c>
      <c r="Q389">
        <v>5.4999999999999997E-3</v>
      </c>
      <c r="R389">
        <v>5.7000000000000002E-3</v>
      </c>
      <c r="S389">
        <v>5.7000000000000002E-3</v>
      </c>
      <c r="T389">
        <v>5.8999999999999999E-3</v>
      </c>
      <c r="U389">
        <v>6.1000000000000004E-3</v>
      </c>
      <c r="V389">
        <v>6.1999999999999998E-3</v>
      </c>
      <c r="W389">
        <v>6.3E-3</v>
      </c>
      <c r="X389">
        <v>6.4999999999999997E-3</v>
      </c>
      <c r="Y389">
        <v>6.7999999999999996E-3</v>
      </c>
    </row>
    <row r="390" spans="1:25" hidden="1">
      <c r="A390" t="s">
        <v>270</v>
      </c>
      <c r="B390" t="s">
        <v>1133</v>
      </c>
      <c r="C390" t="s">
        <v>1079</v>
      </c>
      <c r="D390" t="s">
        <v>1134</v>
      </c>
      <c r="E390" t="s">
        <v>1081</v>
      </c>
      <c r="F390" t="s">
        <v>598</v>
      </c>
      <c r="G390" t="s">
        <v>599</v>
      </c>
      <c r="H390" t="s">
        <v>600</v>
      </c>
      <c r="I390" t="s">
        <v>601</v>
      </c>
      <c r="J390">
        <v>2.8E-3</v>
      </c>
      <c r="K390">
        <v>2.8999999999999998E-3</v>
      </c>
      <c r="L390">
        <v>3.0000000000000001E-3</v>
      </c>
      <c r="M390">
        <v>3.3E-3</v>
      </c>
      <c r="N390">
        <v>3.3E-3</v>
      </c>
      <c r="O390">
        <v>3.3999999999999998E-3</v>
      </c>
      <c r="P390">
        <v>3.5999999999999999E-3</v>
      </c>
      <c r="Q390">
        <v>3.5999999999999999E-3</v>
      </c>
      <c r="R390">
        <v>3.5999999999999999E-3</v>
      </c>
      <c r="S390">
        <v>3.7000000000000002E-3</v>
      </c>
      <c r="T390">
        <v>3.7000000000000002E-3</v>
      </c>
      <c r="U390">
        <v>3.7000000000000002E-3</v>
      </c>
      <c r="V390">
        <v>3.7000000000000002E-3</v>
      </c>
      <c r="W390">
        <v>3.7000000000000002E-3</v>
      </c>
      <c r="X390">
        <v>3.8E-3</v>
      </c>
      <c r="Y390">
        <v>3.8E-3</v>
      </c>
    </row>
    <row r="391" spans="1:25" hidden="1">
      <c r="A391" t="s">
        <v>270</v>
      </c>
      <c r="B391" t="s">
        <v>1135</v>
      </c>
      <c r="C391" t="s">
        <v>1079</v>
      </c>
      <c r="D391" t="s">
        <v>1134</v>
      </c>
      <c r="E391" t="s">
        <v>1091</v>
      </c>
      <c r="F391" t="s">
        <v>598</v>
      </c>
      <c r="G391" t="s">
        <v>599</v>
      </c>
      <c r="H391" t="s">
        <v>600</v>
      </c>
      <c r="I391" t="s">
        <v>601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270</v>
      </c>
      <c r="B392" t="s">
        <v>1136</v>
      </c>
      <c r="C392" t="s">
        <v>1079</v>
      </c>
      <c r="D392" t="s">
        <v>1134</v>
      </c>
      <c r="E392" t="s">
        <v>1093</v>
      </c>
      <c r="F392" t="s">
        <v>598</v>
      </c>
      <c r="G392" t="s">
        <v>599</v>
      </c>
      <c r="H392" t="s">
        <v>600</v>
      </c>
      <c r="I392" t="s">
        <v>601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270</v>
      </c>
      <c r="B393" t="s">
        <v>1137</v>
      </c>
      <c r="C393" t="s">
        <v>1079</v>
      </c>
      <c r="D393" t="s">
        <v>1134</v>
      </c>
      <c r="E393" t="s">
        <v>1095</v>
      </c>
      <c r="F393" t="s">
        <v>598</v>
      </c>
      <c r="G393" t="s">
        <v>599</v>
      </c>
      <c r="H393" t="s">
        <v>600</v>
      </c>
      <c r="I393" t="s">
        <v>601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270</v>
      </c>
      <c r="B394" t="s">
        <v>1138</v>
      </c>
      <c r="C394" t="s">
        <v>1079</v>
      </c>
      <c r="D394" t="s">
        <v>1134</v>
      </c>
      <c r="E394" t="s">
        <v>1097</v>
      </c>
      <c r="F394" t="s">
        <v>598</v>
      </c>
      <c r="G394" t="s">
        <v>599</v>
      </c>
      <c r="H394" t="s">
        <v>600</v>
      </c>
      <c r="I394" t="s">
        <v>601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270</v>
      </c>
      <c r="B395" t="s">
        <v>1139</v>
      </c>
      <c r="C395" t="s">
        <v>1079</v>
      </c>
      <c r="D395" t="s">
        <v>1134</v>
      </c>
      <c r="E395" t="s">
        <v>1099</v>
      </c>
      <c r="F395" t="s">
        <v>598</v>
      </c>
      <c r="G395" t="s">
        <v>599</v>
      </c>
      <c r="H395" t="s">
        <v>600</v>
      </c>
      <c r="I395" t="s">
        <v>601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270</v>
      </c>
      <c r="B396" t="s">
        <v>1140</v>
      </c>
      <c r="C396" t="s">
        <v>1079</v>
      </c>
      <c r="D396" t="s">
        <v>1134</v>
      </c>
      <c r="E396" t="s">
        <v>1141</v>
      </c>
      <c r="F396" t="s">
        <v>598</v>
      </c>
      <c r="G396" t="s">
        <v>599</v>
      </c>
      <c r="H396" t="s">
        <v>600</v>
      </c>
      <c r="I396" t="s">
        <v>601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270</v>
      </c>
      <c r="B397" t="s">
        <v>1142</v>
      </c>
      <c r="C397" t="s">
        <v>1079</v>
      </c>
      <c r="D397" t="s">
        <v>1134</v>
      </c>
      <c r="E397" t="s">
        <v>1101</v>
      </c>
      <c r="F397" t="s">
        <v>598</v>
      </c>
      <c r="G397" t="s">
        <v>599</v>
      </c>
      <c r="H397" t="s">
        <v>600</v>
      </c>
      <c r="I397" t="s">
        <v>601</v>
      </c>
      <c r="J397">
        <v>4.5999999999999999E-3</v>
      </c>
      <c r="K397">
        <v>4.7000000000000002E-3</v>
      </c>
      <c r="L397">
        <v>4.7999999999999996E-3</v>
      </c>
      <c r="M397">
        <v>4.8999999999999998E-3</v>
      </c>
      <c r="N397">
        <v>5.0000000000000001E-3</v>
      </c>
      <c r="O397">
        <v>5.1000000000000004E-3</v>
      </c>
      <c r="P397">
        <v>5.1000000000000004E-3</v>
      </c>
      <c r="Q397">
        <v>5.3E-3</v>
      </c>
      <c r="R397">
        <v>5.4000000000000003E-3</v>
      </c>
      <c r="S397">
        <v>5.4999999999999997E-3</v>
      </c>
      <c r="T397">
        <v>5.5999999999999999E-3</v>
      </c>
      <c r="U397">
        <v>5.7999999999999996E-3</v>
      </c>
      <c r="V397">
        <v>5.8999999999999999E-3</v>
      </c>
      <c r="W397">
        <v>6.0000000000000001E-3</v>
      </c>
      <c r="X397">
        <v>6.1000000000000004E-3</v>
      </c>
      <c r="Y397">
        <v>6.3E-3</v>
      </c>
    </row>
    <row r="398" spans="1:25" hidden="1">
      <c r="A398" t="s">
        <v>270</v>
      </c>
      <c r="B398" t="s">
        <v>1143</v>
      </c>
      <c r="C398" t="s">
        <v>1079</v>
      </c>
      <c r="D398" t="s">
        <v>1134</v>
      </c>
      <c r="E398" t="s">
        <v>1103</v>
      </c>
      <c r="F398" t="s">
        <v>598</v>
      </c>
      <c r="G398" t="s">
        <v>599</v>
      </c>
      <c r="H398" t="s">
        <v>600</v>
      </c>
      <c r="I398" t="s">
        <v>601</v>
      </c>
      <c r="J398">
        <v>1E-4</v>
      </c>
      <c r="K398">
        <v>1E-4</v>
      </c>
      <c r="L398">
        <v>1E-4</v>
      </c>
      <c r="M398">
        <v>1E-4</v>
      </c>
      <c r="N398">
        <v>1E-4</v>
      </c>
      <c r="O398">
        <v>1E-4</v>
      </c>
      <c r="P398">
        <v>1E-4</v>
      </c>
      <c r="Q398">
        <v>1E-4</v>
      </c>
      <c r="R398">
        <v>1E-4</v>
      </c>
      <c r="S398">
        <v>1E-4</v>
      </c>
      <c r="T398">
        <v>1E-4</v>
      </c>
      <c r="U398">
        <v>1E-4</v>
      </c>
      <c r="V398">
        <v>1E-4</v>
      </c>
      <c r="W398">
        <v>1E-4</v>
      </c>
      <c r="X398">
        <v>1E-4</v>
      </c>
      <c r="Y398">
        <v>1E-4</v>
      </c>
    </row>
    <row r="399" spans="1:25" hidden="1">
      <c r="A399" t="s">
        <v>270</v>
      </c>
      <c r="B399" t="s">
        <v>1144</v>
      </c>
      <c r="C399" t="s">
        <v>1079</v>
      </c>
      <c r="D399" t="s">
        <v>1145</v>
      </c>
      <c r="E399" t="s">
        <v>1081</v>
      </c>
      <c r="F399" t="s">
        <v>598</v>
      </c>
      <c r="G399" t="s">
        <v>599</v>
      </c>
      <c r="H399" t="s">
        <v>600</v>
      </c>
      <c r="I399" t="s">
        <v>601</v>
      </c>
      <c r="J399">
        <v>1.0121</v>
      </c>
      <c r="K399">
        <v>1.0316000000000001</v>
      </c>
      <c r="L399">
        <v>1.0518000000000001</v>
      </c>
      <c r="M399">
        <v>1.0737000000000001</v>
      </c>
      <c r="N399">
        <v>1.0936999999999999</v>
      </c>
      <c r="O399">
        <v>1.1142000000000001</v>
      </c>
      <c r="P399">
        <v>1.1354</v>
      </c>
      <c r="Q399">
        <v>1.1585000000000001</v>
      </c>
      <c r="R399">
        <v>1.1660999999999999</v>
      </c>
      <c r="S399">
        <v>1.1758999999999999</v>
      </c>
      <c r="T399">
        <v>1.1846000000000001</v>
      </c>
      <c r="U399">
        <v>1.1923999999999999</v>
      </c>
      <c r="V399">
        <v>1.1999</v>
      </c>
      <c r="W399">
        <v>1.208</v>
      </c>
      <c r="X399">
        <v>1.2158</v>
      </c>
      <c r="Y399">
        <v>1.2239</v>
      </c>
    </row>
    <row r="400" spans="1:25" hidden="1">
      <c r="A400" t="s">
        <v>270</v>
      </c>
      <c r="B400" t="s">
        <v>1146</v>
      </c>
      <c r="C400" t="s">
        <v>1079</v>
      </c>
      <c r="D400" t="s">
        <v>1145</v>
      </c>
      <c r="E400" t="s">
        <v>1091</v>
      </c>
      <c r="F400" t="s">
        <v>598</v>
      </c>
      <c r="G400" t="s">
        <v>599</v>
      </c>
      <c r="H400" t="s">
        <v>600</v>
      </c>
      <c r="I400" t="s">
        <v>601</v>
      </c>
      <c r="J400">
        <v>2.3800000000000002E-2</v>
      </c>
      <c r="K400">
        <v>2.41E-2</v>
      </c>
      <c r="L400">
        <v>2.47E-2</v>
      </c>
      <c r="M400">
        <v>2.4799999999999999E-2</v>
      </c>
      <c r="N400">
        <v>2.53E-2</v>
      </c>
      <c r="O400">
        <v>2.5600000000000001E-2</v>
      </c>
      <c r="P400">
        <v>2.6200000000000001E-2</v>
      </c>
      <c r="Q400">
        <v>2.7E-2</v>
      </c>
      <c r="R400">
        <v>2.75E-2</v>
      </c>
      <c r="S400">
        <v>2.81E-2</v>
      </c>
      <c r="T400">
        <v>2.8899999999999999E-2</v>
      </c>
      <c r="U400">
        <v>2.98E-2</v>
      </c>
      <c r="V400">
        <v>3.0599999999999999E-2</v>
      </c>
      <c r="W400">
        <v>3.1300000000000001E-2</v>
      </c>
      <c r="X400">
        <v>3.2199999999999999E-2</v>
      </c>
      <c r="Y400">
        <v>3.32E-2</v>
      </c>
    </row>
    <row r="401" spans="1:25" hidden="1">
      <c r="A401" t="s">
        <v>270</v>
      </c>
      <c r="B401" t="s">
        <v>1147</v>
      </c>
      <c r="C401" t="s">
        <v>1079</v>
      </c>
      <c r="D401" t="s">
        <v>1145</v>
      </c>
      <c r="E401" t="s">
        <v>1093</v>
      </c>
      <c r="F401" t="s">
        <v>598</v>
      </c>
      <c r="G401" t="s">
        <v>599</v>
      </c>
      <c r="H401" t="s">
        <v>600</v>
      </c>
      <c r="I401" t="s">
        <v>601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270</v>
      </c>
      <c r="B402" t="s">
        <v>1148</v>
      </c>
      <c r="C402" t="s">
        <v>1079</v>
      </c>
      <c r="D402" t="s">
        <v>1145</v>
      </c>
      <c r="E402" t="s">
        <v>1095</v>
      </c>
      <c r="F402" t="s">
        <v>598</v>
      </c>
      <c r="G402" t="s">
        <v>599</v>
      </c>
      <c r="H402" t="s">
        <v>600</v>
      </c>
      <c r="I402" t="s">
        <v>601</v>
      </c>
      <c r="J402">
        <v>2E-3</v>
      </c>
      <c r="K402">
        <v>2E-3</v>
      </c>
      <c r="L402">
        <v>2.0999999999999999E-3</v>
      </c>
      <c r="M402">
        <v>2.0999999999999999E-3</v>
      </c>
      <c r="N402">
        <v>2.0999999999999999E-3</v>
      </c>
      <c r="O402">
        <v>2.0999999999999999E-3</v>
      </c>
      <c r="P402">
        <v>2.2000000000000001E-3</v>
      </c>
      <c r="Q402">
        <v>2.3E-3</v>
      </c>
      <c r="R402">
        <v>2.3E-3</v>
      </c>
      <c r="S402">
        <v>2.3999999999999998E-3</v>
      </c>
      <c r="T402">
        <v>2.3999999999999998E-3</v>
      </c>
      <c r="U402">
        <v>2.5999999999999999E-3</v>
      </c>
      <c r="V402">
        <v>2.7000000000000001E-3</v>
      </c>
      <c r="W402">
        <v>2.7000000000000001E-3</v>
      </c>
      <c r="X402">
        <v>2.8E-3</v>
      </c>
      <c r="Y402">
        <v>2.8E-3</v>
      </c>
    </row>
    <row r="403" spans="1:25" hidden="1">
      <c r="A403" t="s">
        <v>270</v>
      </c>
      <c r="B403" t="s">
        <v>1149</v>
      </c>
      <c r="C403" t="s">
        <v>1079</v>
      </c>
      <c r="D403" t="s">
        <v>1145</v>
      </c>
      <c r="E403" t="s">
        <v>1097</v>
      </c>
      <c r="F403" t="s">
        <v>598</v>
      </c>
      <c r="G403" t="s">
        <v>599</v>
      </c>
      <c r="H403" t="s">
        <v>600</v>
      </c>
      <c r="I403" t="s">
        <v>601</v>
      </c>
      <c r="J403">
        <v>1E-4</v>
      </c>
      <c r="K403">
        <v>1E-4</v>
      </c>
      <c r="L403">
        <v>1E-4</v>
      </c>
      <c r="M403">
        <v>1E-4</v>
      </c>
      <c r="N403">
        <v>1E-4</v>
      </c>
      <c r="O403">
        <v>1E-4</v>
      </c>
      <c r="P403">
        <v>1E-4</v>
      </c>
      <c r="Q403">
        <v>1E-4</v>
      </c>
      <c r="R403">
        <v>1E-4</v>
      </c>
      <c r="S403">
        <v>1E-4</v>
      </c>
      <c r="T403">
        <v>1E-4</v>
      </c>
      <c r="U403">
        <v>1E-4</v>
      </c>
      <c r="V403">
        <v>1E-4</v>
      </c>
      <c r="W403">
        <v>1E-4</v>
      </c>
      <c r="X403">
        <v>1E-4</v>
      </c>
      <c r="Y403">
        <v>1E-4</v>
      </c>
    </row>
    <row r="404" spans="1:25" hidden="1">
      <c r="A404" t="s">
        <v>270</v>
      </c>
      <c r="B404" t="s">
        <v>1150</v>
      </c>
      <c r="C404" t="s">
        <v>1079</v>
      </c>
      <c r="D404" t="s">
        <v>1145</v>
      </c>
      <c r="E404" t="s">
        <v>1099</v>
      </c>
      <c r="F404" t="s">
        <v>598</v>
      </c>
      <c r="G404" t="s">
        <v>599</v>
      </c>
      <c r="H404" t="s">
        <v>600</v>
      </c>
      <c r="I404" t="s">
        <v>601</v>
      </c>
      <c r="J404">
        <v>3.0099999999999998E-2</v>
      </c>
      <c r="K404">
        <v>3.1699999999999999E-2</v>
      </c>
      <c r="L404">
        <v>3.3599999999999998E-2</v>
      </c>
      <c r="M404">
        <v>3.5700000000000003E-2</v>
      </c>
      <c r="N404">
        <v>3.7499999999999999E-2</v>
      </c>
      <c r="O404">
        <v>3.9399999999999998E-2</v>
      </c>
      <c r="P404">
        <v>4.0399999999999998E-2</v>
      </c>
      <c r="Q404">
        <v>4.1399999999999999E-2</v>
      </c>
      <c r="R404">
        <v>4.19E-2</v>
      </c>
      <c r="S404">
        <v>4.2299999999999997E-2</v>
      </c>
      <c r="T404">
        <v>4.2799999999999998E-2</v>
      </c>
      <c r="U404">
        <v>4.3299999999999998E-2</v>
      </c>
      <c r="V404">
        <v>4.3799999999999999E-2</v>
      </c>
      <c r="W404">
        <v>4.4299999999999999E-2</v>
      </c>
      <c r="X404">
        <v>4.4900000000000002E-2</v>
      </c>
      <c r="Y404">
        <v>4.5400000000000003E-2</v>
      </c>
    </row>
    <row r="405" spans="1:25" hidden="1">
      <c r="A405" t="s">
        <v>270</v>
      </c>
      <c r="B405" t="s">
        <v>1151</v>
      </c>
      <c r="C405" t="s">
        <v>1079</v>
      </c>
      <c r="D405" t="s">
        <v>1145</v>
      </c>
      <c r="E405" t="s">
        <v>1101</v>
      </c>
      <c r="F405" t="s">
        <v>598</v>
      </c>
      <c r="G405" t="s">
        <v>599</v>
      </c>
      <c r="H405" t="s">
        <v>600</v>
      </c>
      <c r="I405" t="s">
        <v>601</v>
      </c>
      <c r="J405">
        <v>0.13750000000000001</v>
      </c>
      <c r="K405">
        <v>0.1401</v>
      </c>
      <c r="L405">
        <v>0.14219999999999999</v>
      </c>
      <c r="M405">
        <v>0.14460000000000001</v>
      </c>
      <c r="N405">
        <v>0.1472</v>
      </c>
      <c r="O405">
        <v>0.15040000000000001</v>
      </c>
      <c r="P405">
        <v>0.1537</v>
      </c>
      <c r="Q405">
        <v>0.1583</v>
      </c>
      <c r="R405">
        <v>0.16159999999999999</v>
      </c>
      <c r="S405">
        <v>0.16600000000000001</v>
      </c>
      <c r="T405">
        <v>0.17069999999999999</v>
      </c>
      <c r="U405">
        <v>0.17499999999999999</v>
      </c>
      <c r="V405">
        <v>0.17949999999999999</v>
      </c>
      <c r="W405">
        <v>0.18509999999999999</v>
      </c>
      <c r="X405">
        <v>0.19089999999999999</v>
      </c>
      <c r="Y405">
        <v>0.19620000000000001</v>
      </c>
    </row>
    <row r="406" spans="1:25" hidden="1">
      <c r="A406" t="s">
        <v>270</v>
      </c>
      <c r="B406" t="s">
        <v>1152</v>
      </c>
      <c r="C406" t="s">
        <v>1079</v>
      </c>
      <c r="D406" t="s">
        <v>1145</v>
      </c>
      <c r="E406" t="s">
        <v>1153</v>
      </c>
      <c r="F406" t="s">
        <v>598</v>
      </c>
      <c r="G406" t="s">
        <v>599</v>
      </c>
      <c r="H406" t="s">
        <v>600</v>
      </c>
      <c r="I406" t="s">
        <v>601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270</v>
      </c>
      <c r="B407" t="s">
        <v>1154</v>
      </c>
      <c r="C407" t="s">
        <v>1079</v>
      </c>
      <c r="D407" t="s">
        <v>1145</v>
      </c>
      <c r="E407" t="s">
        <v>1103</v>
      </c>
      <c r="F407" t="s">
        <v>598</v>
      </c>
      <c r="G407" t="s">
        <v>599</v>
      </c>
      <c r="H407" t="s">
        <v>600</v>
      </c>
      <c r="I407" t="s">
        <v>601</v>
      </c>
      <c r="J407">
        <v>1.46E-2</v>
      </c>
      <c r="K407">
        <v>1.4800000000000001E-2</v>
      </c>
      <c r="L407">
        <v>1.49E-2</v>
      </c>
      <c r="M407">
        <v>1.4999999999999999E-2</v>
      </c>
      <c r="N407">
        <v>1.5100000000000001E-2</v>
      </c>
      <c r="O407">
        <v>1.5299999999999999E-2</v>
      </c>
      <c r="P407">
        <v>1.5599999999999999E-2</v>
      </c>
      <c r="Q407">
        <v>1.6199999999999999E-2</v>
      </c>
      <c r="R407">
        <v>1.6400000000000001E-2</v>
      </c>
      <c r="S407">
        <v>1.6799999999999999E-2</v>
      </c>
      <c r="T407">
        <v>1.7299999999999999E-2</v>
      </c>
      <c r="U407">
        <v>1.78E-2</v>
      </c>
      <c r="V407">
        <v>1.83E-2</v>
      </c>
      <c r="W407">
        <v>1.8700000000000001E-2</v>
      </c>
      <c r="X407">
        <v>1.9300000000000001E-2</v>
      </c>
      <c r="Y407">
        <v>1.9900000000000001E-2</v>
      </c>
    </row>
    <row r="408" spans="1:25" hidden="1">
      <c r="A408" t="s">
        <v>270</v>
      </c>
      <c r="B408" t="s">
        <v>1155</v>
      </c>
      <c r="C408" t="s">
        <v>1079</v>
      </c>
      <c r="D408" t="s">
        <v>1156</v>
      </c>
      <c r="E408" t="s">
        <v>1081</v>
      </c>
      <c r="F408" t="s">
        <v>598</v>
      </c>
      <c r="G408" t="s">
        <v>599</v>
      </c>
      <c r="H408" t="s">
        <v>600</v>
      </c>
      <c r="I408" t="s">
        <v>601</v>
      </c>
      <c r="J408">
        <v>1.3899999999999999E-2</v>
      </c>
      <c r="K408">
        <v>1.43E-2</v>
      </c>
      <c r="L408">
        <v>1.46E-2</v>
      </c>
      <c r="M408">
        <v>1.4999999999999999E-2</v>
      </c>
      <c r="N408">
        <v>1.5299999999999999E-2</v>
      </c>
      <c r="O408">
        <v>1.5900000000000001E-2</v>
      </c>
      <c r="P408">
        <v>1.61E-2</v>
      </c>
      <c r="Q408">
        <v>1.6400000000000001E-2</v>
      </c>
      <c r="R408">
        <v>1.66E-2</v>
      </c>
      <c r="S408">
        <v>1.6799999999999999E-2</v>
      </c>
      <c r="T408">
        <v>1.7100000000000001E-2</v>
      </c>
      <c r="U408">
        <v>1.7299999999999999E-2</v>
      </c>
      <c r="V408">
        <v>1.7399999999999999E-2</v>
      </c>
      <c r="W408">
        <v>1.77E-2</v>
      </c>
      <c r="X408">
        <v>1.7899999999999999E-2</v>
      </c>
      <c r="Y408">
        <v>1.7999999999999999E-2</v>
      </c>
    </row>
    <row r="409" spans="1:25" hidden="1">
      <c r="A409" t="s">
        <v>270</v>
      </c>
      <c r="B409" t="s">
        <v>1157</v>
      </c>
      <c r="C409" t="s">
        <v>1079</v>
      </c>
      <c r="D409" t="s">
        <v>1156</v>
      </c>
      <c r="E409" t="s">
        <v>1091</v>
      </c>
      <c r="F409" t="s">
        <v>598</v>
      </c>
      <c r="G409" t="s">
        <v>599</v>
      </c>
      <c r="H409" t="s">
        <v>600</v>
      </c>
      <c r="I409" t="s">
        <v>601</v>
      </c>
      <c r="J409">
        <v>1E-4</v>
      </c>
      <c r="K409">
        <v>1E-4</v>
      </c>
      <c r="L409">
        <v>1E-4</v>
      </c>
      <c r="M409">
        <v>1E-4</v>
      </c>
      <c r="N409">
        <v>1E-4</v>
      </c>
      <c r="O409">
        <v>1E-4</v>
      </c>
      <c r="P409">
        <v>1E-4</v>
      </c>
      <c r="Q409">
        <v>1E-4</v>
      </c>
      <c r="R409">
        <v>1E-4</v>
      </c>
      <c r="S409">
        <v>1E-4</v>
      </c>
      <c r="T409">
        <v>1E-4</v>
      </c>
      <c r="U409">
        <v>1E-4</v>
      </c>
      <c r="V409">
        <v>1E-4</v>
      </c>
      <c r="W409">
        <v>1E-4</v>
      </c>
      <c r="X409">
        <v>1E-4</v>
      </c>
      <c r="Y409">
        <v>1E-4</v>
      </c>
    </row>
    <row r="410" spans="1:25" hidden="1">
      <c r="A410" t="s">
        <v>270</v>
      </c>
      <c r="B410" t="s">
        <v>1158</v>
      </c>
      <c r="C410" t="s">
        <v>1079</v>
      </c>
      <c r="D410" t="s">
        <v>1156</v>
      </c>
      <c r="E410" t="s">
        <v>1093</v>
      </c>
      <c r="F410" t="s">
        <v>598</v>
      </c>
      <c r="G410" t="s">
        <v>599</v>
      </c>
      <c r="H410" t="s">
        <v>600</v>
      </c>
      <c r="I410" t="s">
        <v>601</v>
      </c>
      <c r="J410">
        <v>1E-4</v>
      </c>
      <c r="K410">
        <v>1E-4</v>
      </c>
      <c r="L410">
        <v>1E-4</v>
      </c>
      <c r="M410">
        <v>1E-4</v>
      </c>
      <c r="N410">
        <v>1E-4</v>
      </c>
      <c r="O410">
        <v>1E-4</v>
      </c>
      <c r="P410">
        <v>1E-4</v>
      </c>
      <c r="Q410">
        <v>1E-4</v>
      </c>
      <c r="R410">
        <v>1E-4</v>
      </c>
      <c r="S410">
        <v>1E-4</v>
      </c>
      <c r="T410">
        <v>1E-4</v>
      </c>
      <c r="U410">
        <v>1E-4</v>
      </c>
      <c r="V410">
        <v>1E-4</v>
      </c>
      <c r="W410">
        <v>1E-4</v>
      </c>
      <c r="X410">
        <v>1E-4</v>
      </c>
      <c r="Y410">
        <v>1E-4</v>
      </c>
    </row>
    <row r="411" spans="1:25" hidden="1">
      <c r="A411" t="s">
        <v>270</v>
      </c>
      <c r="B411" t="s">
        <v>1159</v>
      </c>
      <c r="C411" t="s">
        <v>1079</v>
      </c>
      <c r="D411" t="s">
        <v>1156</v>
      </c>
      <c r="E411" t="s">
        <v>1097</v>
      </c>
      <c r="F411" t="s">
        <v>598</v>
      </c>
      <c r="G411" t="s">
        <v>599</v>
      </c>
      <c r="H411" t="s">
        <v>600</v>
      </c>
      <c r="I411" t="s">
        <v>601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270</v>
      </c>
      <c r="B412" t="s">
        <v>1160</v>
      </c>
      <c r="C412" t="s">
        <v>1079</v>
      </c>
      <c r="D412" t="s">
        <v>1156</v>
      </c>
      <c r="E412" t="s">
        <v>1099</v>
      </c>
      <c r="F412" t="s">
        <v>598</v>
      </c>
      <c r="G412" t="s">
        <v>599</v>
      </c>
      <c r="H412" t="s">
        <v>600</v>
      </c>
      <c r="I412" t="s">
        <v>601</v>
      </c>
      <c r="J412">
        <v>2.0000000000000001E-4</v>
      </c>
      <c r="K412">
        <v>2.0000000000000001E-4</v>
      </c>
      <c r="L412">
        <v>2.0000000000000001E-4</v>
      </c>
      <c r="M412">
        <v>2.0000000000000001E-4</v>
      </c>
      <c r="N412">
        <v>2.0000000000000001E-4</v>
      </c>
      <c r="O412">
        <v>2.0000000000000001E-4</v>
      </c>
      <c r="P412">
        <v>2.0000000000000001E-4</v>
      </c>
      <c r="Q412">
        <v>2.0000000000000001E-4</v>
      </c>
      <c r="R412">
        <v>2.0000000000000001E-4</v>
      </c>
      <c r="S412">
        <v>2.0000000000000001E-4</v>
      </c>
      <c r="T412">
        <v>2.0000000000000001E-4</v>
      </c>
      <c r="U412">
        <v>2.0000000000000001E-4</v>
      </c>
      <c r="V412">
        <v>2.0000000000000001E-4</v>
      </c>
      <c r="W412">
        <v>2.0000000000000001E-4</v>
      </c>
      <c r="X412">
        <v>2.0000000000000001E-4</v>
      </c>
      <c r="Y412">
        <v>2.0000000000000001E-4</v>
      </c>
    </row>
    <row r="413" spans="1:25" hidden="1">
      <c r="A413" t="s">
        <v>270</v>
      </c>
      <c r="B413" t="s">
        <v>1161</v>
      </c>
      <c r="C413" t="s">
        <v>1079</v>
      </c>
      <c r="D413" t="s">
        <v>1156</v>
      </c>
      <c r="E413" t="s">
        <v>1101</v>
      </c>
      <c r="F413" t="s">
        <v>598</v>
      </c>
      <c r="G413" t="s">
        <v>599</v>
      </c>
      <c r="H413" t="s">
        <v>600</v>
      </c>
      <c r="I413" t="s">
        <v>601</v>
      </c>
      <c r="J413">
        <v>1.6500000000000001E-2</v>
      </c>
      <c r="K413">
        <v>1.7399999999999999E-2</v>
      </c>
      <c r="L413">
        <v>1.8200000000000001E-2</v>
      </c>
      <c r="M413">
        <v>1.89E-2</v>
      </c>
      <c r="N413">
        <v>1.9699999999999999E-2</v>
      </c>
      <c r="O413">
        <v>2.0199999999999999E-2</v>
      </c>
      <c r="P413">
        <v>2.0899999999999998E-2</v>
      </c>
      <c r="Q413">
        <v>2.1700000000000001E-2</v>
      </c>
      <c r="R413">
        <v>2.23E-2</v>
      </c>
      <c r="S413">
        <v>2.3E-2</v>
      </c>
      <c r="T413">
        <v>2.3599999999999999E-2</v>
      </c>
      <c r="U413">
        <v>2.4299999999999999E-2</v>
      </c>
      <c r="V413">
        <v>2.5100000000000001E-2</v>
      </c>
      <c r="W413">
        <v>2.58E-2</v>
      </c>
      <c r="X413">
        <v>2.6700000000000002E-2</v>
      </c>
      <c r="Y413">
        <v>2.75E-2</v>
      </c>
    </row>
    <row r="414" spans="1:25" hidden="1">
      <c r="A414" t="s">
        <v>270</v>
      </c>
      <c r="B414" t="s">
        <v>1162</v>
      </c>
      <c r="C414" t="s">
        <v>1079</v>
      </c>
      <c r="D414" t="s">
        <v>1156</v>
      </c>
      <c r="E414" t="s">
        <v>1103</v>
      </c>
      <c r="F414" t="s">
        <v>598</v>
      </c>
      <c r="G414" t="s">
        <v>599</v>
      </c>
      <c r="H414" t="s">
        <v>600</v>
      </c>
      <c r="I414" t="s">
        <v>601</v>
      </c>
      <c r="J414">
        <v>6.9999999999999999E-4</v>
      </c>
      <c r="K414">
        <v>8.0000000000000004E-4</v>
      </c>
      <c r="L414">
        <v>8.0000000000000004E-4</v>
      </c>
      <c r="M414">
        <v>8.0000000000000004E-4</v>
      </c>
      <c r="N414">
        <v>8.9999999999999998E-4</v>
      </c>
      <c r="O414">
        <v>8.9999999999999998E-4</v>
      </c>
      <c r="P414">
        <v>8.9999999999999998E-4</v>
      </c>
      <c r="Q414">
        <v>8.9999999999999998E-4</v>
      </c>
      <c r="R414">
        <v>1E-3</v>
      </c>
      <c r="S414">
        <v>1E-3</v>
      </c>
      <c r="T414">
        <v>1E-3</v>
      </c>
      <c r="U414">
        <v>1E-3</v>
      </c>
      <c r="V414">
        <v>1.1000000000000001E-3</v>
      </c>
      <c r="W414">
        <v>1.1000000000000001E-3</v>
      </c>
      <c r="X414">
        <v>1.1999999999999999E-3</v>
      </c>
      <c r="Y414">
        <v>1.2999999999999999E-3</v>
      </c>
    </row>
    <row r="415" spans="1:25" hidden="1">
      <c r="A415" t="s">
        <v>270</v>
      </c>
      <c r="B415" t="s">
        <v>1163</v>
      </c>
      <c r="C415" t="s">
        <v>1079</v>
      </c>
      <c r="D415" t="s">
        <v>1164</v>
      </c>
      <c r="E415" t="s">
        <v>1081</v>
      </c>
      <c r="F415" t="s">
        <v>598</v>
      </c>
      <c r="G415" t="s">
        <v>599</v>
      </c>
      <c r="H415" t="s">
        <v>600</v>
      </c>
      <c r="I415" t="s">
        <v>601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270</v>
      </c>
      <c r="B416" t="s">
        <v>1165</v>
      </c>
      <c r="C416" t="s">
        <v>1079</v>
      </c>
      <c r="D416" t="s">
        <v>1164</v>
      </c>
      <c r="E416" t="s">
        <v>1089</v>
      </c>
      <c r="F416" t="s">
        <v>598</v>
      </c>
      <c r="G416" t="s">
        <v>599</v>
      </c>
      <c r="H416" t="s">
        <v>600</v>
      </c>
      <c r="I416" t="s">
        <v>601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270</v>
      </c>
      <c r="B417" t="s">
        <v>1166</v>
      </c>
      <c r="C417" t="s">
        <v>1079</v>
      </c>
      <c r="D417" t="s">
        <v>1164</v>
      </c>
      <c r="E417" t="s">
        <v>1093</v>
      </c>
      <c r="F417" t="s">
        <v>598</v>
      </c>
      <c r="G417" t="s">
        <v>599</v>
      </c>
      <c r="H417" t="s">
        <v>600</v>
      </c>
      <c r="I417" t="s">
        <v>601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270</v>
      </c>
      <c r="B418" t="s">
        <v>1167</v>
      </c>
      <c r="C418" t="s">
        <v>1079</v>
      </c>
      <c r="D418" t="s">
        <v>1164</v>
      </c>
      <c r="E418" t="s">
        <v>1095</v>
      </c>
      <c r="F418" t="s">
        <v>598</v>
      </c>
      <c r="G418" t="s">
        <v>599</v>
      </c>
      <c r="H418" t="s">
        <v>600</v>
      </c>
      <c r="I418" t="s">
        <v>601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270</v>
      </c>
      <c r="B419" t="s">
        <v>1168</v>
      </c>
      <c r="C419" t="s">
        <v>1079</v>
      </c>
      <c r="D419" t="s">
        <v>1164</v>
      </c>
      <c r="E419" t="s">
        <v>1141</v>
      </c>
      <c r="F419" t="s">
        <v>598</v>
      </c>
      <c r="G419" t="s">
        <v>599</v>
      </c>
      <c r="H419" t="s">
        <v>600</v>
      </c>
      <c r="I419" t="s">
        <v>601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270</v>
      </c>
      <c r="B420" t="s">
        <v>1169</v>
      </c>
      <c r="C420" t="s">
        <v>1079</v>
      </c>
      <c r="D420" t="s">
        <v>1164</v>
      </c>
      <c r="E420" t="s">
        <v>1101</v>
      </c>
      <c r="F420" t="s">
        <v>598</v>
      </c>
      <c r="G420" t="s">
        <v>599</v>
      </c>
      <c r="H420" t="s">
        <v>600</v>
      </c>
      <c r="I420" t="s">
        <v>601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270</v>
      </c>
      <c r="B421" t="s">
        <v>1170</v>
      </c>
      <c r="C421" t="s">
        <v>1079</v>
      </c>
      <c r="D421" t="s">
        <v>1164</v>
      </c>
      <c r="E421" t="s">
        <v>1103</v>
      </c>
      <c r="F421" t="s">
        <v>598</v>
      </c>
      <c r="G421" t="s">
        <v>599</v>
      </c>
      <c r="H421" t="s">
        <v>600</v>
      </c>
      <c r="I421" t="s">
        <v>601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270</v>
      </c>
      <c r="B422" t="s">
        <v>1171</v>
      </c>
      <c r="C422" t="s">
        <v>1079</v>
      </c>
      <c r="D422" t="s">
        <v>1172</v>
      </c>
      <c r="E422" t="s">
        <v>1081</v>
      </c>
      <c r="F422" t="s">
        <v>598</v>
      </c>
      <c r="G422" t="s">
        <v>599</v>
      </c>
      <c r="H422" t="s">
        <v>600</v>
      </c>
      <c r="I422" t="s">
        <v>601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270</v>
      </c>
      <c r="B423" t="s">
        <v>1173</v>
      </c>
      <c r="C423" t="s">
        <v>1079</v>
      </c>
      <c r="D423" t="s">
        <v>1172</v>
      </c>
      <c r="E423" t="s">
        <v>1091</v>
      </c>
      <c r="F423" t="s">
        <v>598</v>
      </c>
      <c r="G423" t="s">
        <v>599</v>
      </c>
      <c r="H423" t="s">
        <v>600</v>
      </c>
      <c r="I423" t="s">
        <v>601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270</v>
      </c>
      <c r="B424" t="s">
        <v>1174</v>
      </c>
      <c r="C424" t="s">
        <v>1079</v>
      </c>
      <c r="D424" t="s">
        <v>1172</v>
      </c>
      <c r="E424" t="s">
        <v>1099</v>
      </c>
      <c r="F424" t="s">
        <v>598</v>
      </c>
      <c r="G424" t="s">
        <v>599</v>
      </c>
      <c r="H424" t="s">
        <v>600</v>
      </c>
      <c r="I424" t="s">
        <v>601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270</v>
      </c>
      <c r="B425" t="s">
        <v>1175</v>
      </c>
      <c r="C425" t="s">
        <v>1079</v>
      </c>
      <c r="D425" t="s">
        <v>1172</v>
      </c>
      <c r="E425" t="s">
        <v>1101</v>
      </c>
      <c r="F425" t="s">
        <v>598</v>
      </c>
      <c r="G425" t="s">
        <v>599</v>
      </c>
      <c r="H425" t="s">
        <v>600</v>
      </c>
      <c r="I425" t="s">
        <v>601</v>
      </c>
      <c r="J425">
        <v>1.6999999999999999E-3</v>
      </c>
      <c r="K425">
        <v>1.6999999999999999E-3</v>
      </c>
      <c r="L425">
        <v>1.6999999999999999E-3</v>
      </c>
      <c r="M425">
        <v>1.6999999999999999E-3</v>
      </c>
      <c r="N425">
        <v>1.6999999999999999E-3</v>
      </c>
      <c r="O425">
        <v>1.8E-3</v>
      </c>
      <c r="P425">
        <v>1.8E-3</v>
      </c>
      <c r="Q425">
        <v>1.8E-3</v>
      </c>
      <c r="R425">
        <v>1.9E-3</v>
      </c>
      <c r="S425">
        <v>1.9E-3</v>
      </c>
      <c r="T425">
        <v>2E-3</v>
      </c>
      <c r="U425">
        <v>2E-3</v>
      </c>
      <c r="V425">
        <v>2E-3</v>
      </c>
      <c r="W425">
        <v>2E-3</v>
      </c>
      <c r="X425">
        <v>2E-3</v>
      </c>
      <c r="Y425">
        <v>2.0999999999999999E-3</v>
      </c>
    </row>
    <row r="426" spans="1:25" hidden="1">
      <c r="A426" t="s">
        <v>270</v>
      </c>
      <c r="B426" t="s">
        <v>1176</v>
      </c>
      <c r="C426" t="s">
        <v>1079</v>
      </c>
      <c r="D426" t="s">
        <v>1172</v>
      </c>
      <c r="E426" t="s">
        <v>1103</v>
      </c>
      <c r="F426" t="s">
        <v>598</v>
      </c>
      <c r="G426" t="s">
        <v>599</v>
      </c>
      <c r="H426" t="s">
        <v>600</v>
      </c>
      <c r="I426" t="s">
        <v>601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270</v>
      </c>
      <c r="B427" t="s">
        <v>1177</v>
      </c>
      <c r="C427" t="s">
        <v>1079</v>
      </c>
      <c r="D427" t="s">
        <v>1178</v>
      </c>
      <c r="E427" t="s">
        <v>1081</v>
      </c>
      <c r="F427" t="s">
        <v>598</v>
      </c>
      <c r="G427" t="s">
        <v>599</v>
      </c>
      <c r="H427" t="s">
        <v>600</v>
      </c>
      <c r="I427" t="s">
        <v>601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270</v>
      </c>
      <c r="B428" t="s">
        <v>1179</v>
      </c>
      <c r="C428" t="s">
        <v>1079</v>
      </c>
      <c r="D428" t="s">
        <v>1180</v>
      </c>
      <c r="E428" t="s">
        <v>1081</v>
      </c>
      <c r="F428" t="s">
        <v>598</v>
      </c>
      <c r="G428" t="s">
        <v>599</v>
      </c>
      <c r="H428" t="s">
        <v>600</v>
      </c>
      <c r="I428" t="s">
        <v>601</v>
      </c>
      <c r="J428">
        <v>5.9999999999999995E-4</v>
      </c>
      <c r="K428">
        <v>5.9999999999999995E-4</v>
      </c>
      <c r="L428">
        <v>5.9999999999999995E-4</v>
      </c>
      <c r="M428">
        <v>6.9999999999999999E-4</v>
      </c>
      <c r="N428">
        <v>6.9999999999999999E-4</v>
      </c>
      <c r="O428">
        <v>6.9999999999999999E-4</v>
      </c>
      <c r="P428">
        <v>8.0000000000000004E-4</v>
      </c>
      <c r="Q428">
        <v>8.9999999999999998E-4</v>
      </c>
      <c r="R428">
        <v>8.9999999999999998E-4</v>
      </c>
      <c r="S428">
        <v>8.9999999999999998E-4</v>
      </c>
      <c r="T428">
        <v>8.9999999999999998E-4</v>
      </c>
      <c r="U428">
        <v>1E-3</v>
      </c>
      <c r="V428">
        <v>1E-3</v>
      </c>
      <c r="W428">
        <v>1E-3</v>
      </c>
      <c r="X428">
        <v>1.1000000000000001E-3</v>
      </c>
      <c r="Y428">
        <v>1.1000000000000001E-3</v>
      </c>
    </row>
    <row r="429" spans="1:25" hidden="1">
      <c r="A429" t="s">
        <v>270</v>
      </c>
      <c r="B429" t="s">
        <v>1181</v>
      </c>
      <c r="C429" t="s">
        <v>1079</v>
      </c>
      <c r="D429" t="s">
        <v>1180</v>
      </c>
      <c r="E429" t="s">
        <v>1091</v>
      </c>
      <c r="F429" t="s">
        <v>598</v>
      </c>
      <c r="G429" t="s">
        <v>599</v>
      </c>
      <c r="H429" t="s">
        <v>600</v>
      </c>
      <c r="I429" t="s">
        <v>601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5" hidden="1">
      <c r="A430" t="s">
        <v>270</v>
      </c>
      <c r="B430" t="s">
        <v>1182</v>
      </c>
      <c r="C430" t="s">
        <v>1079</v>
      </c>
      <c r="D430" t="s">
        <v>1180</v>
      </c>
      <c r="E430" t="s">
        <v>1095</v>
      </c>
      <c r="F430" t="s">
        <v>598</v>
      </c>
      <c r="G430" t="s">
        <v>599</v>
      </c>
      <c r="H430" t="s">
        <v>600</v>
      </c>
      <c r="I430" t="s">
        <v>601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hidden="1">
      <c r="A431" t="s">
        <v>270</v>
      </c>
      <c r="B431" t="s">
        <v>1183</v>
      </c>
      <c r="C431" t="s">
        <v>1079</v>
      </c>
      <c r="D431" t="s">
        <v>1180</v>
      </c>
      <c r="E431" t="s">
        <v>1097</v>
      </c>
      <c r="F431" t="s">
        <v>598</v>
      </c>
      <c r="G431" t="s">
        <v>599</v>
      </c>
      <c r="H431" t="s">
        <v>600</v>
      </c>
      <c r="I431" t="s">
        <v>601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270</v>
      </c>
      <c r="B432" t="s">
        <v>1184</v>
      </c>
      <c r="C432" t="s">
        <v>1079</v>
      </c>
      <c r="D432" t="s">
        <v>1180</v>
      </c>
      <c r="E432" t="s">
        <v>1099</v>
      </c>
      <c r="F432" t="s">
        <v>598</v>
      </c>
      <c r="G432" t="s">
        <v>599</v>
      </c>
      <c r="H432" t="s">
        <v>600</v>
      </c>
      <c r="I432" t="s">
        <v>601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270</v>
      </c>
      <c r="B433" t="s">
        <v>1185</v>
      </c>
      <c r="C433" t="s">
        <v>1079</v>
      </c>
      <c r="D433" t="s">
        <v>1180</v>
      </c>
      <c r="E433" t="s">
        <v>1101</v>
      </c>
      <c r="F433" t="s">
        <v>598</v>
      </c>
      <c r="G433" t="s">
        <v>599</v>
      </c>
      <c r="H433" t="s">
        <v>600</v>
      </c>
      <c r="I433" t="s">
        <v>601</v>
      </c>
      <c r="J433">
        <v>2.0000000000000001E-4</v>
      </c>
      <c r="K433">
        <v>2.0000000000000001E-4</v>
      </c>
      <c r="L433">
        <v>2.0000000000000001E-4</v>
      </c>
      <c r="M433">
        <v>2.0000000000000001E-4</v>
      </c>
      <c r="N433">
        <v>2.9999999999999997E-4</v>
      </c>
      <c r="O433">
        <v>2.9999999999999997E-4</v>
      </c>
      <c r="P433">
        <v>4.0000000000000002E-4</v>
      </c>
      <c r="Q433">
        <v>4.0000000000000002E-4</v>
      </c>
      <c r="R433">
        <v>4.0000000000000002E-4</v>
      </c>
      <c r="S433">
        <v>4.0000000000000002E-4</v>
      </c>
      <c r="T433">
        <v>4.0000000000000002E-4</v>
      </c>
      <c r="U433">
        <v>4.0000000000000002E-4</v>
      </c>
      <c r="V433">
        <v>4.0000000000000002E-4</v>
      </c>
      <c r="W433">
        <v>4.0000000000000002E-4</v>
      </c>
      <c r="X433">
        <v>4.0000000000000002E-4</v>
      </c>
      <c r="Y433">
        <v>4.0000000000000002E-4</v>
      </c>
    </row>
    <row r="434" spans="1:25" hidden="1">
      <c r="A434" t="s">
        <v>270</v>
      </c>
      <c r="B434" t="s">
        <v>1186</v>
      </c>
      <c r="C434" t="s">
        <v>1079</v>
      </c>
      <c r="D434" t="s">
        <v>1180</v>
      </c>
      <c r="E434" t="s">
        <v>1103</v>
      </c>
      <c r="F434" t="s">
        <v>598</v>
      </c>
      <c r="G434" t="s">
        <v>599</v>
      </c>
      <c r="H434" t="s">
        <v>600</v>
      </c>
      <c r="I434" t="s">
        <v>601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hidden="1">
      <c r="A435" t="s">
        <v>270</v>
      </c>
      <c r="B435" t="s">
        <v>1187</v>
      </c>
      <c r="C435" t="s">
        <v>1079</v>
      </c>
      <c r="D435" t="s">
        <v>1188</v>
      </c>
      <c r="E435" t="s">
        <v>1018</v>
      </c>
      <c r="F435" t="s">
        <v>598</v>
      </c>
      <c r="G435" t="s">
        <v>599</v>
      </c>
      <c r="H435" t="s">
        <v>600</v>
      </c>
      <c r="I435" t="s">
        <v>601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270</v>
      </c>
      <c r="B436" t="s">
        <v>1189</v>
      </c>
      <c r="C436" t="s">
        <v>1079</v>
      </c>
      <c r="D436" t="s">
        <v>1188</v>
      </c>
      <c r="E436" t="s">
        <v>888</v>
      </c>
      <c r="F436" t="s">
        <v>598</v>
      </c>
      <c r="G436" t="s">
        <v>599</v>
      </c>
      <c r="H436" t="s">
        <v>600</v>
      </c>
      <c r="I436" t="s">
        <v>601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hidden="1">
      <c r="A437" t="s">
        <v>270</v>
      </c>
      <c r="B437" t="s">
        <v>1190</v>
      </c>
      <c r="C437" t="s">
        <v>1079</v>
      </c>
      <c r="D437" t="s">
        <v>1188</v>
      </c>
      <c r="E437" t="s">
        <v>1020</v>
      </c>
      <c r="F437" t="s">
        <v>598</v>
      </c>
      <c r="G437" t="s">
        <v>599</v>
      </c>
      <c r="H437" t="s">
        <v>600</v>
      </c>
      <c r="I437" t="s">
        <v>601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270</v>
      </c>
      <c r="B438" t="s">
        <v>1191</v>
      </c>
      <c r="C438" t="s">
        <v>1079</v>
      </c>
      <c r="D438" t="s">
        <v>1188</v>
      </c>
      <c r="E438" t="s">
        <v>1192</v>
      </c>
      <c r="F438" t="s">
        <v>598</v>
      </c>
      <c r="G438" t="s">
        <v>599</v>
      </c>
      <c r="H438" t="s">
        <v>600</v>
      </c>
      <c r="I438" t="s">
        <v>601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hidden="1">
      <c r="A439" t="s">
        <v>270</v>
      </c>
      <c r="B439" t="s">
        <v>1193</v>
      </c>
      <c r="C439" t="s">
        <v>1079</v>
      </c>
      <c r="D439" t="s">
        <v>1188</v>
      </c>
      <c r="E439" t="s">
        <v>1194</v>
      </c>
      <c r="F439" t="s">
        <v>598</v>
      </c>
      <c r="G439" t="s">
        <v>599</v>
      </c>
      <c r="H439" t="s">
        <v>600</v>
      </c>
      <c r="I439" t="s">
        <v>601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hidden="1">
      <c r="A440" t="s">
        <v>270</v>
      </c>
      <c r="B440" t="s">
        <v>1195</v>
      </c>
      <c r="C440" t="s">
        <v>1079</v>
      </c>
      <c r="D440" t="s">
        <v>1188</v>
      </c>
      <c r="E440" t="s">
        <v>1196</v>
      </c>
      <c r="F440" t="s">
        <v>598</v>
      </c>
      <c r="G440" t="s">
        <v>599</v>
      </c>
      <c r="H440" t="s">
        <v>600</v>
      </c>
      <c r="I440" t="s">
        <v>601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270</v>
      </c>
      <c r="B441" t="s">
        <v>1197</v>
      </c>
      <c r="C441" t="s">
        <v>1079</v>
      </c>
      <c r="D441" t="s">
        <v>1188</v>
      </c>
      <c r="E441" t="s">
        <v>1198</v>
      </c>
      <c r="F441" t="s">
        <v>598</v>
      </c>
      <c r="G441" t="s">
        <v>599</v>
      </c>
      <c r="H441" t="s">
        <v>600</v>
      </c>
      <c r="I441" t="s">
        <v>601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270</v>
      </c>
      <c r="B442" t="s">
        <v>1199</v>
      </c>
      <c r="C442" t="s">
        <v>1079</v>
      </c>
      <c r="D442" t="s">
        <v>1188</v>
      </c>
      <c r="E442" t="s">
        <v>1200</v>
      </c>
      <c r="F442" t="s">
        <v>598</v>
      </c>
      <c r="G442" t="s">
        <v>599</v>
      </c>
      <c r="H442" t="s">
        <v>600</v>
      </c>
      <c r="I442" t="s">
        <v>601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hidden="1">
      <c r="A443" t="s">
        <v>270</v>
      </c>
      <c r="B443" t="s">
        <v>1201</v>
      </c>
      <c r="C443" t="s">
        <v>1079</v>
      </c>
      <c r="D443" t="s">
        <v>1188</v>
      </c>
      <c r="E443" t="s">
        <v>1202</v>
      </c>
      <c r="F443" t="s">
        <v>598</v>
      </c>
      <c r="G443" t="s">
        <v>599</v>
      </c>
      <c r="H443" t="s">
        <v>600</v>
      </c>
      <c r="I443" t="s">
        <v>601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270</v>
      </c>
      <c r="B444" t="s">
        <v>1203</v>
      </c>
      <c r="C444" t="s">
        <v>1079</v>
      </c>
      <c r="D444" t="s">
        <v>1188</v>
      </c>
      <c r="E444" t="s">
        <v>1028</v>
      </c>
      <c r="F444" t="s">
        <v>598</v>
      </c>
      <c r="G444" t="s">
        <v>599</v>
      </c>
      <c r="H444" t="s">
        <v>600</v>
      </c>
      <c r="I444" t="s">
        <v>601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270</v>
      </c>
      <c r="B445" t="s">
        <v>1204</v>
      </c>
      <c r="C445" t="s">
        <v>1079</v>
      </c>
      <c r="D445" t="s">
        <v>1188</v>
      </c>
      <c r="E445" t="s">
        <v>630</v>
      </c>
      <c r="F445" t="s">
        <v>598</v>
      </c>
      <c r="G445" t="s">
        <v>599</v>
      </c>
      <c r="H445" t="s">
        <v>600</v>
      </c>
      <c r="I445" t="s">
        <v>601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270</v>
      </c>
      <c r="B446" t="s">
        <v>1205</v>
      </c>
      <c r="C446" t="s">
        <v>1079</v>
      </c>
      <c r="D446" t="s">
        <v>1188</v>
      </c>
      <c r="E446" t="s">
        <v>1206</v>
      </c>
      <c r="F446" t="s">
        <v>598</v>
      </c>
      <c r="G446" t="s">
        <v>599</v>
      </c>
      <c r="H446" t="s">
        <v>600</v>
      </c>
      <c r="I446" t="s">
        <v>601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hidden="1">
      <c r="A447" t="s">
        <v>270</v>
      </c>
      <c r="B447" t="s">
        <v>1207</v>
      </c>
      <c r="C447" t="s">
        <v>1079</v>
      </c>
      <c r="D447" t="s">
        <v>1188</v>
      </c>
      <c r="E447" t="s">
        <v>1033</v>
      </c>
      <c r="F447" t="s">
        <v>598</v>
      </c>
      <c r="G447" t="s">
        <v>599</v>
      </c>
      <c r="H447" t="s">
        <v>600</v>
      </c>
      <c r="I447" t="s">
        <v>601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</row>
    <row r="448" spans="1:25" hidden="1">
      <c r="A448" t="s">
        <v>270</v>
      </c>
      <c r="B448" t="s">
        <v>1208</v>
      </c>
      <c r="C448" t="s">
        <v>1079</v>
      </c>
      <c r="D448" t="s">
        <v>1188</v>
      </c>
      <c r="E448" t="s">
        <v>1209</v>
      </c>
      <c r="F448" t="s">
        <v>598</v>
      </c>
      <c r="G448" t="s">
        <v>599</v>
      </c>
      <c r="H448" t="s">
        <v>600</v>
      </c>
      <c r="I448" t="s">
        <v>601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hidden="1">
      <c r="A449" t="s">
        <v>270</v>
      </c>
      <c r="B449" t="s">
        <v>1210</v>
      </c>
      <c r="C449" t="s">
        <v>1079</v>
      </c>
      <c r="D449" t="s">
        <v>1188</v>
      </c>
      <c r="E449" t="s">
        <v>1211</v>
      </c>
      <c r="F449" t="s">
        <v>598</v>
      </c>
      <c r="G449" t="s">
        <v>599</v>
      </c>
      <c r="H449" t="s">
        <v>600</v>
      </c>
      <c r="I449" t="s">
        <v>601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hidden="1">
      <c r="A450" t="s">
        <v>270</v>
      </c>
      <c r="B450" t="s">
        <v>1212</v>
      </c>
      <c r="C450" t="s">
        <v>1079</v>
      </c>
      <c r="D450" t="s">
        <v>1188</v>
      </c>
      <c r="E450" t="s">
        <v>1058</v>
      </c>
      <c r="F450" t="s">
        <v>598</v>
      </c>
      <c r="G450" t="s">
        <v>599</v>
      </c>
      <c r="H450" t="s">
        <v>600</v>
      </c>
      <c r="I450" t="s">
        <v>601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hidden="1">
      <c r="A451" t="s">
        <v>270</v>
      </c>
      <c r="B451" t="s">
        <v>1213</v>
      </c>
      <c r="C451" t="s">
        <v>1079</v>
      </c>
      <c r="D451" t="s">
        <v>1188</v>
      </c>
      <c r="E451" t="s">
        <v>1214</v>
      </c>
      <c r="F451" t="s">
        <v>598</v>
      </c>
      <c r="G451" t="s">
        <v>599</v>
      </c>
      <c r="H451" t="s">
        <v>600</v>
      </c>
      <c r="I451" t="s">
        <v>601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270</v>
      </c>
      <c r="B452" t="s">
        <v>1215</v>
      </c>
      <c r="C452" t="s">
        <v>1079</v>
      </c>
      <c r="D452" t="s">
        <v>1188</v>
      </c>
      <c r="E452" t="s">
        <v>1216</v>
      </c>
      <c r="F452" t="s">
        <v>598</v>
      </c>
      <c r="G452" t="s">
        <v>599</v>
      </c>
      <c r="H452" t="s">
        <v>600</v>
      </c>
      <c r="I452" t="s">
        <v>601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25" hidden="1">
      <c r="A453" t="s">
        <v>270</v>
      </c>
      <c r="B453" t="s">
        <v>1217</v>
      </c>
      <c r="C453" t="s">
        <v>1079</v>
      </c>
      <c r="D453" t="s">
        <v>1188</v>
      </c>
      <c r="E453" t="s">
        <v>1106</v>
      </c>
      <c r="F453" t="s">
        <v>598</v>
      </c>
      <c r="G453" t="s">
        <v>599</v>
      </c>
      <c r="H453" t="s">
        <v>600</v>
      </c>
      <c r="I453" t="s">
        <v>601</v>
      </c>
      <c r="J453">
        <v>1.9E-3</v>
      </c>
      <c r="K453">
        <v>2.0999999999999999E-3</v>
      </c>
      <c r="L453">
        <v>2.2000000000000001E-3</v>
      </c>
      <c r="M453">
        <v>2.3E-3</v>
      </c>
      <c r="N453">
        <v>2.3E-3</v>
      </c>
      <c r="O453">
        <v>2.3999999999999998E-3</v>
      </c>
      <c r="P453">
        <v>2.5000000000000001E-3</v>
      </c>
      <c r="Q453">
        <v>2.5000000000000001E-3</v>
      </c>
      <c r="R453">
        <v>2.5999999999999999E-3</v>
      </c>
      <c r="S453">
        <v>2.8E-3</v>
      </c>
      <c r="T453">
        <v>2.8E-3</v>
      </c>
      <c r="U453">
        <v>3.0000000000000001E-3</v>
      </c>
      <c r="V453">
        <v>3.0000000000000001E-3</v>
      </c>
      <c r="W453">
        <v>3.0999999999999999E-3</v>
      </c>
      <c r="X453">
        <v>3.2000000000000002E-3</v>
      </c>
      <c r="Y453">
        <v>3.2000000000000002E-3</v>
      </c>
    </row>
    <row r="454" spans="1:25" hidden="1">
      <c r="A454" t="s">
        <v>270</v>
      </c>
      <c r="B454" t="s">
        <v>1218</v>
      </c>
      <c r="C454" t="s">
        <v>1079</v>
      </c>
      <c r="D454" t="s">
        <v>1188</v>
      </c>
      <c r="E454" t="s">
        <v>1219</v>
      </c>
      <c r="F454" t="s">
        <v>598</v>
      </c>
      <c r="G454" t="s">
        <v>599</v>
      </c>
      <c r="H454" t="s">
        <v>600</v>
      </c>
      <c r="I454" t="s">
        <v>601</v>
      </c>
      <c r="J454">
        <v>1E-4</v>
      </c>
      <c r="K454">
        <v>1E-4</v>
      </c>
      <c r="L454">
        <v>1E-4</v>
      </c>
      <c r="M454">
        <v>1E-4</v>
      </c>
      <c r="N454">
        <v>1E-4</v>
      </c>
      <c r="O454">
        <v>1E-4</v>
      </c>
      <c r="P454">
        <v>1E-4</v>
      </c>
      <c r="Q454">
        <v>1E-4</v>
      </c>
      <c r="R454">
        <v>2.0000000000000001E-4</v>
      </c>
      <c r="S454">
        <v>2.0000000000000001E-4</v>
      </c>
      <c r="T454">
        <v>2.0000000000000001E-4</v>
      </c>
      <c r="U454">
        <v>2.0000000000000001E-4</v>
      </c>
      <c r="V454">
        <v>2.0000000000000001E-4</v>
      </c>
      <c r="W454">
        <v>2.0000000000000001E-4</v>
      </c>
      <c r="X454">
        <v>2.0000000000000001E-4</v>
      </c>
      <c r="Y454">
        <v>2.0000000000000001E-4</v>
      </c>
    </row>
    <row r="455" spans="1:25" hidden="1">
      <c r="A455" t="s">
        <v>270</v>
      </c>
      <c r="B455" t="s">
        <v>1220</v>
      </c>
      <c r="C455" t="s">
        <v>1079</v>
      </c>
      <c r="D455" t="s">
        <v>1188</v>
      </c>
      <c r="E455" t="s">
        <v>1084</v>
      </c>
      <c r="F455" t="s">
        <v>598</v>
      </c>
      <c r="G455" t="s">
        <v>599</v>
      </c>
      <c r="H455" t="s">
        <v>600</v>
      </c>
      <c r="I455" t="s">
        <v>601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1E-4</v>
      </c>
      <c r="S455">
        <v>1E-4</v>
      </c>
      <c r="T455">
        <v>1E-4</v>
      </c>
      <c r="U455">
        <v>1E-4</v>
      </c>
      <c r="V455">
        <v>1E-4</v>
      </c>
      <c r="W455">
        <v>1E-4</v>
      </c>
      <c r="X455">
        <v>1E-4</v>
      </c>
      <c r="Y455">
        <v>1E-4</v>
      </c>
    </row>
    <row r="456" spans="1:25" hidden="1">
      <c r="A456" t="s">
        <v>270</v>
      </c>
      <c r="B456" t="s">
        <v>1221</v>
      </c>
      <c r="C456" t="s">
        <v>1079</v>
      </c>
      <c r="D456" t="s">
        <v>648</v>
      </c>
      <c r="E456" t="s">
        <v>1081</v>
      </c>
      <c r="F456" t="s">
        <v>598</v>
      </c>
      <c r="G456" t="s">
        <v>599</v>
      </c>
      <c r="H456" t="s">
        <v>600</v>
      </c>
      <c r="I456" t="s">
        <v>601</v>
      </c>
      <c r="J456">
        <v>0.23</v>
      </c>
      <c r="K456">
        <v>0.2366</v>
      </c>
      <c r="L456">
        <v>0.24279999999999999</v>
      </c>
      <c r="M456">
        <v>0.24959999999999999</v>
      </c>
      <c r="N456">
        <v>0.25650000000000001</v>
      </c>
      <c r="O456">
        <v>0.26340000000000002</v>
      </c>
      <c r="P456">
        <v>0.26989999999999997</v>
      </c>
      <c r="Q456">
        <v>0.27600000000000002</v>
      </c>
      <c r="R456">
        <v>0.27850000000000003</v>
      </c>
      <c r="S456">
        <v>0.28189999999999998</v>
      </c>
      <c r="T456">
        <v>0.2853</v>
      </c>
      <c r="U456">
        <v>0.28760000000000002</v>
      </c>
      <c r="V456">
        <v>0.29110000000000003</v>
      </c>
      <c r="W456">
        <v>0.29430000000000001</v>
      </c>
      <c r="X456">
        <v>0.29759999999999998</v>
      </c>
      <c r="Y456">
        <v>0.30049999999999999</v>
      </c>
    </row>
    <row r="457" spans="1:25" hidden="1">
      <c r="A457" t="s">
        <v>270</v>
      </c>
      <c r="B457" t="s">
        <v>1222</v>
      </c>
      <c r="C457" t="s">
        <v>1079</v>
      </c>
      <c r="D457" t="s">
        <v>648</v>
      </c>
      <c r="E457" t="s">
        <v>1091</v>
      </c>
      <c r="F457" t="s">
        <v>598</v>
      </c>
      <c r="G457" t="s">
        <v>599</v>
      </c>
      <c r="H457" t="s">
        <v>600</v>
      </c>
      <c r="I457" t="s">
        <v>601</v>
      </c>
      <c r="J457">
        <v>0.19339999999999999</v>
      </c>
      <c r="K457">
        <v>0.2049</v>
      </c>
      <c r="L457">
        <v>0.21879999999999999</v>
      </c>
      <c r="M457">
        <v>0.23419999999999999</v>
      </c>
      <c r="N457">
        <v>0.2475</v>
      </c>
      <c r="O457">
        <v>0.26200000000000001</v>
      </c>
      <c r="P457">
        <v>0.27050000000000002</v>
      </c>
      <c r="Q457">
        <v>0.27929999999999999</v>
      </c>
      <c r="R457">
        <v>0.28370000000000001</v>
      </c>
      <c r="S457">
        <v>0.28770000000000001</v>
      </c>
      <c r="T457">
        <v>0.29149999999999998</v>
      </c>
      <c r="U457">
        <v>0.29570000000000002</v>
      </c>
      <c r="V457">
        <v>0.30030000000000001</v>
      </c>
      <c r="W457">
        <v>0.30499999999999999</v>
      </c>
      <c r="X457">
        <v>0.30959999999999999</v>
      </c>
      <c r="Y457">
        <v>0.31440000000000001</v>
      </c>
    </row>
    <row r="458" spans="1:25" hidden="1">
      <c r="A458" t="s">
        <v>270</v>
      </c>
      <c r="B458" t="s">
        <v>1223</v>
      </c>
      <c r="C458" t="s">
        <v>1079</v>
      </c>
      <c r="D458" t="s">
        <v>648</v>
      </c>
      <c r="E458" t="s">
        <v>1093</v>
      </c>
      <c r="F458" t="s">
        <v>598</v>
      </c>
      <c r="G458" t="s">
        <v>599</v>
      </c>
      <c r="H458" t="s">
        <v>600</v>
      </c>
      <c r="I458" t="s">
        <v>601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hidden="1">
      <c r="A459" t="s">
        <v>270</v>
      </c>
      <c r="B459" t="s">
        <v>1224</v>
      </c>
      <c r="C459" t="s">
        <v>1079</v>
      </c>
      <c r="D459" t="s">
        <v>648</v>
      </c>
      <c r="E459" t="s">
        <v>1095</v>
      </c>
      <c r="F459" t="s">
        <v>598</v>
      </c>
      <c r="G459" t="s">
        <v>599</v>
      </c>
      <c r="H459" t="s">
        <v>600</v>
      </c>
      <c r="I459" t="s">
        <v>601</v>
      </c>
      <c r="J459">
        <v>5.9999999999999995E-4</v>
      </c>
      <c r="K459">
        <v>5.9999999999999995E-4</v>
      </c>
      <c r="L459">
        <v>5.9999999999999995E-4</v>
      </c>
      <c r="M459">
        <v>5.9999999999999995E-4</v>
      </c>
      <c r="N459">
        <v>5.9999999999999995E-4</v>
      </c>
      <c r="O459">
        <v>5.9999999999999995E-4</v>
      </c>
      <c r="P459">
        <v>5.9999999999999995E-4</v>
      </c>
      <c r="Q459">
        <v>6.9999999999999999E-4</v>
      </c>
      <c r="R459">
        <v>6.9999999999999999E-4</v>
      </c>
      <c r="S459">
        <v>6.9999999999999999E-4</v>
      </c>
      <c r="T459">
        <v>6.9999999999999999E-4</v>
      </c>
      <c r="U459">
        <v>6.9999999999999999E-4</v>
      </c>
      <c r="V459">
        <v>6.9999999999999999E-4</v>
      </c>
      <c r="W459">
        <v>6.9999999999999999E-4</v>
      </c>
      <c r="X459">
        <v>6.9999999999999999E-4</v>
      </c>
      <c r="Y459">
        <v>8.9999999999999998E-4</v>
      </c>
    </row>
    <row r="460" spans="1:25" hidden="1">
      <c r="A460" t="s">
        <v>270</v>
      </c>
      <c r="B460" t="s">
        <v>1225</v>
      </c>
      <c r="C460" t="s">
        <v>1079</v>
      </c>
      <c r="D460" t="s">
        <v>648</v>
      </c>
      <c r="E460" t="s">
        <v>1097</v>
      </c>
      <c r="F460" t="s">
        <v>598</v>
      </c>
      <c r="G460" t="s">
        <v>599</v>
      </c>
      <c r="H460" t="s">
        <v>600</v>
      </c>
      <c r="I460" t="s">
        <v>601</v>
      </c>
      <c r="J460">
        <v>5.0000000000000001E-4</v>
      </c>
      <c r="K460">
        <v>5.0000000000000001E-4</v>
      </c>
      <c r="L460">
        <v>5.0000000000000001E-4</v>
      </c>
      <c r="M460">
        <v>5.0000000000000001E-4</v>
      </c>
      <c r="N460">
        <v>5.0000000000000001E-4</v>
      </c>
      <c r="O460">
        <v>5.0000000000000001E-4</v>
      </c>
      <c r="P460">
        <v>5.0000000000000001E-4</v>
      </c>
      <c r="Q460">
        <v>5.0000000000000001E-4</v>
      </c>
      <c r="R460">
        <v>5.0000000000000001E-4</v>
      </c>
      <c r="S460">
        <v>5.0000000000000001E-4</v>
      </c>
      <c r="T460">
        <v>5.0000000000000001E-4</v>
      </c>
      <c r="U460">
        <v>5.0000000000000001E-4</v>
      </c>
      <c r="V460">
        <v>5.0000000000000001E-4</v>
      </c>
      <c r="W460">
        <v>5.0000000000000001E-4</v>
      </c>
      <c r="X460">
        <v>5.0000000000000001E-4</v>
      </c>
      <c r="Y460">
        <v>5.0000000000000001E-4</v>
      </c>
    </row>
    <row r="461" spans="1:25" hidden="1">
      <c r="A461" t="s">
        <v>270</v>
      </c>
      <c r="B461" t="s">
        <v>1226</v>
      </c>
      <c r="C461" t="s">
        <v>1079</v>
      </c>
      <c r="D461" t="s">
        <v>648</v>
      </c>
      <c r="E461" t="s">
        <v>1099</v>
      </c>
      <c r="F461" t="s">
        <v>598</v>
      </c>
      <c r="G461" t="s">
        <v>599</v>
      </c>
      <c r="H461" t="s">
        <v>600</v>
      </c>
      <c r="I461" t="s">
        <v>601</v>
      </c>
      <c r="J461">
        <v>1.1000000000000001E-3</v>
      </c>
      <c r="K461">
        <v>1.1000000000000001E-3</v>
      </c>
      <c r="L461">
        <v>1.1000000000000001E-3</v>
      </c>
      <c r="M461">
        <v>1.1000000000000001E-3</v>
      </c>
      <c r="N461">
        <v>1.1999999999999999E-3</v>
      </c>
      <c r="O461">
        <v>1.1999999999999999E-3</v>
      </c>
      <c r="P461">
        <v>1.1999999999999999E-3</v>
      </c>
      <c r="Q461">
        <v>1.1999999999999999E-3</v>
      </c>
      <c r="R461">
        <v>1.1999999999999999E-3</v>
      </c>
      <c r="S461">
        <v>1.1999999999999999E-3</v>
      </c>
      <c r="T461">
        <v>1.2999999999999999E-3</v>
      </c>
      <c r="U461">
        <v>1.2999999999999999E-3</v>
      </c>
      <c r="V461">
        <v>1.2999999999999999E-3</v>
      </c>
      <c r="W461">
        <v>1.2999999999999999E-3</v>
      </c>
      <c r="X461">
        <v>1.2999999999999999E-3</v>
      </c>
      <c r="Y461">
        <v>1.2999999999999999E-3</v>
      </c>
    </row>
    <row r="462" spans="1:25" hidden="1">
      <c r="A462" t="s">
        <v>270</v>
      </c>
      <c r="B462" t="s">
        <v>1227</v>
      </c>
      <c r="C462" t="s">
        <v>1079</v>
      </c>
      <c r="D462" t="s">
        <v>648</v>
      </c>
      <c r="E462" t="s">
        <v>1101</v>
      </c>
      <c r="F462" t="s">
        <v>598</v>
      </c>
      <c r="G462" t="s">
        <v>599</v>
      </c>
      <c r="H462" t="s">
        <v>600</v>
      </c>
      <c r="I462" t="s">
        <v>601</v>
      </c>
      <c r="J462">
        <v>3.6499999999999998E-2</v>
      </c>
      <c r="K462">
        <v>3.8199999999999998E-2</v>
      </c>
      <c r="L462">
        <v>0.04</v>
      </c>
      <c r="M462">
        <v>4.1799999999999997E-2</v>
      </c>
      <c r="N462">
        <v>4.3299999999999998E-2</v>
      </c>
      <c r="O462">
        <v>4.5100000000000001E-2</v>
      </c>
      <c r="P462">
        <v>4.6300000000000001E-2</v>
      </c>
      <c r="Q462">
        <v>4.7399999999999998E-2</v>
      </c>
      <c r="R462">
        <v>4.8099999999999997E-2</v>
      </c>
      <c r="S462">
        <v>4.8599999999999997E-2</v>
      </c>
      <c r="T462">
        <v>4.9399999999999999E-2</v>
      </c>
      <c r="U462">
        <v>5.0099999999999999E-2</v>
      </c>
      <c r="V462">
        <v>5.0799999999999998E-2</v>
      </c>
      <c r="W462">
        <v>5.1700000000000003E-2</v>
      </c>
      <c r="X462">
        <v>5.2400000000000002E-2</v>
      </c>
      <c r="Y462">
        <v>5.3100000000000001E-2</v>
      </c>
    </row>
    <row r="463" spans="1:25" hidden="1">
      <c r="A463" t="s">
        <v>270</v>
      </c>
      <c r="B463" t="s">
        <v>1228</v>
      </c>
      <c r="C463" t="s">
        <v>1079</v>
      </c>
      <c r="D463" t="s">
        <v>648</v>
      </c>
      <c r="E463" t="s">
        <v>1103</v>
      </c>
      <c r="F463" t="s">
        <v>598</v>
      </c>
      <c r="G463" t="s">
        <v>599</v>
      </c>
      <c r="H463" t="s">
        <v>600</v>
      </c>
      <c r="I463" t="s">
        <v>601</v>
      </c>
      <c r="J463">
        <v>4.1000000000000003E-3</v>
      </c>
      <c r="K463">
        <v>4.1999999999999997E-3</v>
      </c>
      <c r="L463">
        <v>4.1999999999999997E-3</v>
      </c>
      <c r="M463">
        <v>4.3E-3</v>
      </c>
      <c r="N463">
        <v>4.3E-3</v>
      </c>
      <c r="O463">
        <v>4.4999999999999997E-3</v>
      </c>
      <c r="P463">
        <v>4.4999999999999997E-3</v>
      </c>
      <c r="Q463">
        <v>4.5999999999999999E-3</v>
      </c>
      <c r="R463">
        <v>4.7000000000000002E-3</v>
      </c>
      <c r="S463">
        <v>4.7999999999999996E-3</v>
      </c>
      <c r="T463">
        <v>4.8999999999999998E-3</v>
      </c>
      <c r="U463">
        <v>4.8999999999999998E-3</v>
      </c>
      <c r="V463">
        <v>4.8999999999999998E-3</v>
      </c>
      <c r="W463">
        <v>5.1000000000000004E-3</v>
      </c>
      <c r="X463">
        <v>5.3E-3</v>
      </c>
      <c r="Y463">
        <v>5.3E-3</v>
      </c>
    </row>
    <row r="464" spans="1:25" hidden="1">
      <c r="A464" t="s">
        <v>270</v>
      </c>
      <c r="B464" t="s">
        <v>1229</v>
      </c>
      <c r="C464" t="s">
        <v>1230</v>
      </c>
      <c r="D464" t="s">
        <v>1188</v>
      </c>
      <c r="E464" t="s">
        <v>1198</v>
      </c>
      <c r="F464" t="s">
        <v>598</v>
      </c>
      <c r="G464" t="s">
        <v>599</v>
      </c>
      <c r="H464" t="s">
        <v>600</v>
      </c>
      <c r="I464" t="s">
        <v>601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hidden="1">
      <c r="A465" t="s">
        <v>270</v>
      </c>
      <c r="B465" t="s">
        <v>1231</v>
      </c>
      <c r="C465" t="s">
        <v>1230</v>
      </c>
      <c r="D465" t="s">
        <v>1188</v>
      </c>
      <c r="E465" t="s">
        <v>1028</v>
      </c>
      <c r="F465" t="s">
        <v>598</v>
      </c>
      <c r="G465" t="s">
        <v>599</v>
      </c>
      <c r="H465" t="s">
        <v>600</v>
      </c>
      <c r="I465" t="s">
        <v>601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270</v>
      </c>
      <c r="B466" t="s">
        <v>1232</v>
      </c>
      <c r="C466" t="s">
        <v>1230</v>
      </c>
      <c r="D466" t="s">
        <v>1188</v>
      </c>
      <c r="E466" t="s">
        <v>1233</v>
      </c>
      <c r="F466" t="s">
        <v>598</v>
      </c>
      <c r="G466" t="s">
        <v>599</v>
      </c>
      <c r="H466" t="s">
        <v>600</v>
      </c>
      <c r="I466" t="s">
        <v>601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hidden="1">
      <c r="A467" t="s">
        <v>270</v>
      </c>
      <c r="B467" t="s">
        <v>1234</v>
      </c>
      <c r="C467" t="s">
        <v>1230</v>
      </c>
      <c r="D467" t="s">
        <v>1188</v>
      </c>
      <c r="E467" t="s">
        <v>1004</v>
      </c>
      <c r="F467" t="s">
        <v>598</v>
      </c>
      <c r="G467" t="s">
        <v>599</v>
      </c>
      <c r="H467" t="s">
        <v>600</v>
      </c>
      <c r="I467" t="s">
        <v>601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hidden="1">
      <c r="A468" t="s">
        <v>270</v>
      </c>
      <c r="B468" t="s">
        <v>1235</v>
      </c>
      <c r="C468" t="s">
        <v>1230</v>
      </c>
      <c r="D468" t="s">
        <v>1188</v>
      </c>
      <c r="E468" t="s">
        <v>1219</v>
      </c>
      <c r="F468" t="s">
        <v>598</v>
      </c>
      <c r="G468" t="s">
        <v>599</v>
      </c>
      <c r="H468" t="s">
        <v>600</v>
      </c>
      <c r="I468" t="s">
        <v>601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hidden="1">
      <c r="A469" t="s">
        <v>270</v>
      </c>
      <c r="B469" t="s">
        <v>1236</v>
      </c>
      <c r="C469" t="s">
        <v>1230</v>
      </c>
      <c r="D469" t="s">
        <v>1188</v>
      </c>
      <c r="E469" t="s">
        <v>1084</v>
      </c>
      <c r="F469" t="s">
        <v>598</v>
      </c>
      <c r="G469" t="s">
        <v>599</v>
      </c>
      <c r="H469" t="s">
        <v>600</v>
      </c>
      <c r="I469" t="s">
        <v>601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hidden="1">
      <c r="A470" t="s">
        <v>270</v>
      </c>
      <c r="B470" t="s">
        <v>1237</v>
      </c>
      <c r="C470" t="s">
        <v>1230</v>
      </c>
      <c r="D470" t="s">
        <v>1238</v>
      </c>
      <c r="E470" t="s">
        <v>1239</v>
      </c>
      <c r="F470" t="s">
        <v>598</v>
      </c>
      <c r="G470" t="s">
        <v>599</v>
      </c>
      <c r="H470" t="s">
        <v>600</v>
      </c>
      <c r="I470" t="s">
        <v>601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hidden="1">
      <c r="A471" t="s">
        <v>270</v>
      </c>
      <c r="B471" t="s">
        <v>1240</v>
      </c>
      <c r="C471" t="s">
        <v>1230</v>
      </c>
      <c r="D471" t="s">
        <v>1241</v>
      </c>
      <c r="E471" t="s">
        <v>1239</v>
      </c>
      <c r="F471" t="s">
        <v>598</v>
      </c>
      <c r="G471" t="s">
        <v>599</v>
      </c>
      <c r="H471" t="s">
        <v>600</v>
      </c>
      <c r="I471" t="s">
        <v>601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hidden="1">
      <c r="A472" t="s">
        <v>270</v>
      </c>
      <c r="B472" t="s">
        <v>1242</v>
      </c>
      <c r="C472" t="s">
        <v>1230</v>
      </c>
      <c r="D472" t="s">
        <v>1243</v>
      </c>
      <c r="E472" t="s">
        <v>1004</v>
      </c>
      <c r="F472" t="s">
        <v>598</v>
      </c>
      <c r="G472" t="s">
        <v>599</v>
      </c>
      <c r="H472" t="s">
        <v>600</v>
      </c>
      <c r="I472" t="s">
        <v>601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hidden="1">
      <c r="A473" t="s">
        <v>270</v>
      </c>
      <c r="B473" t="s">
        <v>1244</v>
      </c>
      <c r="C473" t="s">
        <v>1230</v>
      </c>
      <c r="D473" t="s">
        <v>1243</v>
      </c>
      <c r="E473" t="s">
        <v>1239</v>
      </c>
      <c r="F473" t="s">
        <v>598</v>
      </c>
      <c r="G473" t="s">
        <v>599</v>
      </c>
      <c r="H473" t="s">
        <v>600</v>
      </c>
      <c r="I473" t="s">
        <v>601</v>
      </c>
      <c r="J473">
        <v>7.3000000000000001E-3</v>
      </c>
      <c r="K473">
        <v>7.7000000000000002E-3</v>
      </c>
      <c r="L473">
        <v>8.0000000000000002E-3</v>
      </c>
      <c r="M473">
        <v>8.3000000000000001E-3</v>
      </c>
      <c r="N473">
        <v>8.6999999999999994E-3</v>
      </c>
      <c r="O473">
        <v>8.9999999999999993E-3</v>
      </c>
      <c r="P473">
        <v>9.2999999999999992E-3</v>
      </c>
      <c r="Q473">
        <v>9.5999999999999992E-3</v>
      </c>
      <c r="R473">
        <v>9.9000000000000008E-3</v>
      </c>
      <c r="S473">
        <v>1.0200000000000001E-2</v>
      </c>
      <c r="T473">
        <v>1.06E-2</v>
      </c>
      <c r="U473">
        <v>1.09E-2</v>
      </c>
      <c r="V473">
        <v>1.12E-2</v>
      </c>
      <c r="W473">
        <v>1.1599999999999999E-2</v>
      </c>
      <c r="X473">
        <v>1.1900000000000001E-2</v>
      </c>
      <c r="Y473">
        <v>1.2200000000000001E-2</v>
      </c>
    </row>
    <row r="474" spans="1:25" hidden="1">
      <c r="A474" t="s">
        <v>270</v>
      </c>
      <c r="B474" t="s">
        <v>1245</v>
      </c>
      <c r="C474" t="s">
        <v>1230</v>
      </c>
      <c r="D474" t="s">
        <v>1246</v>
      </c>
      <c r="E474" t="s">
        <v>1084</v>
      </c>
      <c r="F474" t="s">
        <v>598</v>
      </c>
      <c r="G474" t="s">
        <v>599</v>
      </c>
      <c r="H474" t="s">
        <v>600</v>
      </c>
      <c r="I474" t="s">
        <v>601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hidden="1">
      <c r="A475" t="s">
        <v>270</v>
      </c>
      <c r="B475" t="s">
        <v>1247</v>
      </c>
      <c r="C475" t="s">
        <v>1230</v>
      </c>
      <c r="D475" t="s">
        <v>1246</v>
      </c>
      <c r="E475" t="s">
        <v>1239</v>
      </c>
      <c r="F475" t="s">
        <v>598</v>
      </c>
      <c r="G475" t="s">
        <v>599</v>
      </c>
      <c r="H475" t="s">
        <v>600</v>
      </c>
      <c r="I475" t="s">
        <v>601</v>
      </c>
      <c r="J475">
        <v>0.23280000000000001</v>
      </c>
      <c r="K475">
        <v>0.2505</v>
      </c>
      <c r="L475">
        <v>0.26929999999999998</v>
      </c>
      <c r="M475">
        <v>0.29380000000000001</v>
      </c>
      <c r="N475">
        <v>0.31359999999999999</v>
      </c>
      <c r="O475">
        <v>0.33550000000000002</v>
      </c>
      <c r="P475">
        <v>0.35820000000000002</v>
      </c>
      <c r="Q475">
        <v>0.38350000000000001</v>
      </c>
      <c r="R475">
        <v>0.40100000000000002</v>
      </c>
      <c r="S475">
        <v>0.42309999999999998</v>
      </c>
      <c r="T475">
        <v>0.44519999999999998</v>
      </c>
      <c r="U475">
        <v>0.46479999999999999</v>
      </c>
      <c r="V475">
        <v>0.48670000000000002</v>
      </c>
      <c r="W475">
        <v>0.50870000000000004</v>
      </c>
      <c r="X475">
        <v>0.53039999999999998</v>
      </c>
      <c r="Y475">
        <v>0.5524</v>
      </c>
    </row>
    <row r="476" spans="1:25" hidden="1">
      <c r="A476" t="s">
        <v>270</v>
      </c>
      <c r="B476" t="s">
        <v>1248</v>
      </c>
      <c r="C476" t="s">
        <v>1230</v>
      </c>
      <c r="D476" t="s">
        <v>1249</v>
      </c>
      <c r="E476" t="s">
        <v>1239</v>
      </c>
      <c r="F476" t="s">
        <v>598</v>
      </c>
      <c r="G476" t="s">
        <v>599</v>
      </c>
      <c r="H476" t="s">
        <v>600</v>
      </c>
      <c r="I476" t="s">
        <v>601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</row>
    <row r="477" spans="1:25" hidden="1">
      <c r="A477" t="s">
        <v>270</v>
      </c>
      <c r="B477" t="s">
        <v>1250</v>
      </c>
      <c r="C477" t="s">
        <v>1230</v>
      </c>
      <c r="D477" t="s">
        <v>648</v>
      </c>
      <c r="E477" t="s">
        <v>1004</v>
      </c>
      <c r="F477" t="s">
        <v>598</v>
      </c>
      <c r="G477" t="s">
        <v>599</v>
      </c>
      <c r="H477" t="s">
        <v>600</v>
      </c>
      <c r="I477" t="s">
        <v>601</v>
      </c>
      <c r="J477">
        <v>5.9999999999999995E-4</v>
      </c>
      <c r="K477">
        <v>5.9999999999999995E-4</v>
      </c>
      <c r="L477">
        <v>5.9999999999999995E-4</v>
      </c>
      <c r="M477">
        <v>5.9999999999999995E-4</v>
      </c>
      <c r="N477">
        <v>6.9999999999999999E-4</v>
      </c>
      <c r="O477">
        <v>6.9999999999999999E-4</v>
      </c>
      <c r="P477">
        <v>6.9999999999999999E-4</v>
      </c>
      <c r="Q477">
        <v>6.9999999999999999E-4</v>
      </c>
      <c r="R477">
        <v>6.9999999999999999E-4</v>
      </c>
      <c r="S477">
        <v>6.9999999999999999E-4</v>
      </c>
      <c r="T477">
        <v>6.9999999999999999E-4</v>
      </c>
      <c r="U477">
        <v>6.9999999999999999E-4</v>
      </c>
      <c r="V477">
        <v>6.9999999999999999E-4</v>
      </c>
      <c r="W477">
        <v>6.9999999999999999E-4</v>
      </c>
      <c r="X477">
        <v>6.9999999999999999E-4</v>
      </c>
      <c r="Y477">
        <v>6.9999999999999999E-4</v>
      </c>
    </row>
    <row r="478" spans="1:25" hidden="1">
      <c r="A478" t="s">
        <v>270</v>
      </c>
      <c r="B478" t="s">
        <v>1251</v>
      </c>
      <c r="C478" t="s">
        <v>1230</v>
      </c>
      <c r="D478" t="s">
        <v>648</v>
      </c>
      <c r="E478" t="s">
        <v>1239</v>
      </c>
      <c r="F478" t="s">
        <v>598</v>
      </c>
      <c r="G478" t="s">
        <v>599</v>
      </c>
      <c r="H478" t="s">
        <v>600</v>
      </c>
      <c r="I478" t="s">
        <v>601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hidden="1">
      <c r="A479" t="s">
        <v>270</v>
      </c>
      <c r="B479" t="s">
        <v>1252</v>
      </c>
      <c r="C479" t="s">
        <v>1253</v>
      </c>
      <c r="D479" t="s">
        <v>1254</v>
      </c>
      <c r="E479" t="s">
        <v>1255</v>
      </c>
      <c r="F479" t="s">
        <v>598</v>
      </c>
      <c r="G479" t="s">
        <v>599</v>
      </c>
      <c r="H479" t="s">
        <v>600</v>
      </c>
      <c r="I479" t="s">
        <v>601</v>
      </c>
      <c r="J479">
        <v>2.7000000000000001E-3</v>
      </c>
      <c r="K479">
        <v>2.8999999999999998E-3</v>
      </c>
      <c r="L479">
        <v>3.0999999999999999E-3</v>
      </c>
      <c r="M479">
        <v>3.3E-3</v>
      </c>
      <c r="N479">
        <v>3.5000000000000001E-3</v>
      </c>
      <c r="O479">
        <v>3.5999999999999999E-3</v>
      </c>
      <c r="P479">
        <v>3.7000000000000002E-3</v>
      </c>
      <c r="Q479">
        <v>3.8999999999999998E-3</v>
      </c>
      <c r="R479">
        <v>3.8999999999999998E-3</v>
      </c>
      <c r="S479">
        <v>4.0000000000000001E-3</v>
      </c>
      <c r="T479">
        <v>4.0000000000000001E-3</v>
      </c>
      <c r="U479">
        <v>4.1000000000000003E-3</v>
      </c>
      <c r="V479">
        <v>4.1000000000000003E-3</v>
      </c>
      <c r="W479">
        <v>4.1999999999999997E-3</v>
      </c>
      <c r="X479">
        <v>4.1999999999999997E-3</v>
      </c>
      <c r="Y479">
        <v>4.3E-3</v>
      </c>
    </row>
    <row r="480" spans="1:25" hidden="1">
      <c r="A480" t="s">
        <v>270</v>
      </c>
      <c r="B480" t="s">
        <v>1256</v>
      </c>
      <c r="C480" t="s">
        <v>1253</v>
      </c>
      <c r="D480" t="s">
        <v>1254</v>
      </c>
      <c r="E480" t="s">
        <v>1257</v>
      </c>
      <c r="F480" t="s">
        <v>598</v>
      </c>
      <c r="G480" t="s">
        <v>599</v>
      </c>
      <c r="H480" t="s">
        <v>600</v>
      </c>
      <c r="I480" t="s">
        <v>601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</row>
    <row r="481" spans="1:25" hidden="1">
      <c r="A481" t="s">
        <v>270</v>
      </c>
      <c r="B481" t="s">
        <v>1258</v>
      </c>
      <c r="C481" t="s">
        <v>1253</v>
      </c>
      <c r="D481" t="s">
        <v>1254</v>
      </c>
      <c r="E481" t="s">
        <v>1259</v>
      </c>
      <c r="F481" t="s">
        <v>598</v>
      </c>
      <c r="G481" t="s">
        <v>599</v>
      </c>
      <c r="H481" t="s">
        <v>600</v>
      </c>
      <c r="I481" t="s">
        <v>601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270</v>
      </c>
      <c r="B482" t="s">
        <v>1260</v>
      </c>
      <c r="C482" t="s">
        <v>1261</v>
      </c>
      <c r="D482" t="s">
        <v>648</v>
      </c>
      <c r="E482" t="s">
        <v>920</v>
      </c>
      <c r="F482" t="s">
        <v>598</v>
      </c>
      <c r="G482" t="s">
        <v>599</v>
      </c>
      <c r="H482" t="s">
        <v>600</v>
      </c>
      <c r="I482" t="s">
        <v>601</v>
      </c>
      <c r="J482">
        <v>1.7299999999999999E-2</v>
      </c>
      <c r="K482">
        <v>1.78E-2</v>
      </c>
      <c r="L482">
        <v>1.8599999999999998E-2</v>
      </c>
      <c r="M482">
        <v>1.9300000000000001E-2</v>
      </c>
      <c r="N482">
        <v>1.9800000000000002E-2</v>
      </c>
      <c r="O482">
        <v>2.0500000000000001E-2</v>
      </c>
      <c r="P482">
        <v>2.1000000000000001E-2</v>
      </c>
      <c r="Q482">
        <v>2.1499999999999998E-2</v>
      </c>
      <c r="R482">
        <v>2.18E-2</v>
      </c>
      <c r="S482">
        <v>2.2200000000000001E-2</v>
      </c>
      <c r="T482">
        <v>2.2599999999999999E-2</v>
      </c>
      <c r="U482">
        <v>2.3E-2</v>
      </c>
      <c r="V482">
        <v>2.35E-2</v>
      </c>
      <c r="W482">
        <v>2.3800000000000002E-2</v>
      </c>
      <c r="X482">
        <v>2.4299999999999999E-2</v>
      </c>
      <c r="Y482">
        <v>2.47E-2</v>
      </c>
    </row>
    <row r="483" spans="1:25" hidden="1">
      <c r="A483" t="s">
        <v>270</v>
      </c>
      <c r="B483" t="s">
        <v>1262</v>
      </c>
      <c r="C483" t="s">
        <v>1261</v>
      </c>
      <c r="D483" t="s">
        <v>648</v>
      </c>
      <c r="E483" t="s">
        <v>973</v>
      </c>
      <c r="F483" t="s">
        <v>598</v>
      </c>
      <c r="G483" t="s">
        <v>599</v>
      </c>
      <c r="H483" t="s">
        <v>600</v>
      </c>
      <c r="I483" t="s">
        <v>601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hidden="1">
      <c r="A484" t="s">
        <v>270</v>
      </c>
      <c r="B484" t="s">
        <v>1263</v>
      </c>
      <c r="C484" t="s">
        <v>1261</v>
      </c>
      <c r="D484" t="s">
        <v>648</v>
      </c>
      <c r="E484" t="s">
        <v>1264</v>
      </c>
      <c r="F484" t="s">
        <v>598</v>
      </c>
      <c r="G484" t="s">
        <v>599</v>
      </c>
      <c r="H484" t="s">
        <v>600</v>
      </c>
      <c r="I484" t="s">
        <v>601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hidden="1">
      <c r="A485" t="s">
        <v>270</v>
      </c>
      <c r="B485" t="s">
        <v>1265</v>
      </c>
      <c r="C485" t="s">
        <v>1261</v>
      </c>
      <c r="D485" t="s">
        <v>648</v>
      </c>
      <c r="E485" t="s">
        <v>1004</v>
      </c>
      <c r="F485" t="s">
        <v>598</v>
      </c>
      <c r="G485" t="s">
        <v>599</v>
      </c>
      <c r="H485" t="s">
        <v>600</v>
      </c>
      <c r="I485" t="s">
        <v>601</v>
      </c>
      <c r="J485">
        <v>3.9199999999999999E-2</v>
      </c>
      <c r="K485">
        <v>4.0399999999999998E-2</v>
      </c>
      <c r="L485">
        <v>4.1200000000000001E-2</v>
      </c>
      <c r="M485">
        <v>4.2599999999999999E-2</v>
      </c>
      <c r="N485">
        <v>4.3900000000000002E-2</v>
      </c>
      <c r="O485">
        <v>4.4600000000000001E-2</v>
      </c>
      <c r="P485">
        <v>4.6199999999999998E-2</v>
      </c>
      <c r="Q485">
        <v>4.7199999999999999E-2</v>
      </c>
      <c r="R485">
        <v>4.7699999999999999E-2</v>
      </c>
      <c r="S485">
        <v>4.8099999999999997E-2</v>
      </c>
      <c r="T485">
        <v>4.8500000000000001E-2</v>
      </c>
      <c r="U485">
        <v>4.9299999999999997E-2</v>
      </c>
      <c r="V485">
        <v>4.9799999999999997E-2</v>
      </c>
      <c r="W485">
        <v>5.0299999999999997E-2</v>
      </c>
      <c r="X485">
        <v>5.0799999999999998E-2</v>
      </c>
      <c r="Y485">
        <v>5.1400000000000001E-2</v>
      </c>
    </row>
    <row r="486" spans="1:25" hidden="1">
      <c r="A486" t="s">
        <v>270</v>
      </c>
      <c r="B486" t="s">
        <v>1266</v>
      </c>
      <c r="C486" t="s">
        <v>1267</v>
      </c>
      <c r="D486" t="s">
        <v>1268</v>
      </c>
      <c r="E486" t="s">
        <v>597</v>
      </c>
      <c r="F486" t="s">
        <v>598</v>
      </c>
      <c r="G486" t="s">
        <v>599</v>
      </c>
      <c r="H486" t="s">
        <v>600</v>
      </c>
      <c r="I486" t="s">
        <v>601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</row>
    <row r="487" spans="1:25" hidden="1">
      <c r="A487" t="s">
        <v>270</v>
      </c>
      <c r="B487" t="s">
        <v>1269</v>
      </c>
      <c r="C487" t="s">
        <v>1267</v>
      </c>
      <c r="D487" t="s">
        <v>1268</v>
      </c>
      <c r="E487" t="s">
        <v>678</v>
      </c>
      <c r="F487" t="s">
        <v>598</v>
      </c>
      <c r="G487" t="s">
        <v>599</v>
      </c>
      <c r="H487" t="s">
        <v>600</v>
      </c>
      <c r="I487" t="s">
        <v>601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hidden="1">
      <c r="A488" t="s">
        <v>270</v>
      </c>
      <c r="B488" t="s">
        <v>1270</v>
      </c>
      <c r="C488" t="s">
        <v>1267</v>
      </c>
      <c r="D488" t="s">
        <v>1271</v>
      </c>
      <c r="E488" t="s">
        <v>672</v>
      </c>
      <c r="F488" t="s">
        <v>598</v>
      </c>
      <c r="G488" t="s">
        <v>599</v>
      </c>
      <c r="H488" t="s">
        <v>600</v>
      </c>
      <c r="I488" t="s">
        <v>601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25" hidden="1">
      <c r="A489" t="s">
        <v>270</v>
      </c>
      <c r="B489" t="s">
        <v>1272</v>
      </c>
      <c r="C489" t="s">
        <v>1267</v>
      </c>
      <c r="D489" t="s">
        <v>1271</v>
      </c>
      <c r="E489" t="s">
        <v>678</v>
      </c>
      <c r="F489" t="s">
        <v>598</v>
      </c>
      <c r="G489" t="s">
        <v>599</v>
      </c>
      <c r="H489" t="s">
        <v>600</v>
      </c>
      <c r="I489" t="s">
        <v>601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hidden="1">
      <c r="A490" t="s">
        <v>270</v>
      </c>
      <c r="B490" t="s">
        <v>1273</v>
      </c>
      <c r="C490" t="s">
        <v>1267</v>
      </c>
      <c r="D490" t="s">
        <v>1274</v>
      </c>
      <c r="E490" t="s">
        <v>672</v>
      </c>
      <c r="F490" t="s">
        <v>598</v>
      </c>
      <c r="G490" t="s">
        <v>599</v>
      </c>
      <c r="H490" t="s">
        <v>600</v>
      </c>
      <c r="I490" t="s">
        <v>601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</row>
    <row r="491" spans="1:25" hidden="1">
      <c r="A491" t="s">
        <v>270</v>
      </c>
      <c r="B491" t="s">
        <v>1275</v>
      </c>
      <c r="C491" t="s">
        <v>1267</v>
      </c>
      <c r="D491" t="s">
        <v>1274</v>
      </c>
      <c r="E491" t="s">
        <v>597</v>
      </c>
      <c r="F491" t="s">
        <v>598</v>
      </c>
      <c r="G491" t="s">
        <v>599</v>
      </c>
      <c r="H491" t="s">
        <v>600</v>
      </c>
      <c r="I491" t="s">
        <v>601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hidden="1">
      <c r="A492" t="s">
        <v>270</v>
      </c>
      <c r="B492" t="s">
        <v>1276</v>
      </c>
      <c r="C492" t="s">
        <v>1267</v>
      </c>
      <c r="D492" t="s">
        <v>1274</v>
      </c>
      <c r="E492" t="s">
        <v>678</v>
      </c>
      <c r="F492" t="s">
        <v>598</v>
      </c>
      <c r="G492" t="s">
        <v>599</v>
      </c>
      <c r="H492" t="s">
        <v>600</v>
      </c>
      <c r="I492" t="s">
        <v>601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hidden="1">
      <c r="A493" t="s">
        <v>270</v>
      </c>
      <c r="B493" t="s">
        <v>1277</v>
      </c>
      <c r="C493" t="s">
        <v>1267</v>
      </c>
      <c r="D493" t="s">
        <v>1278</v>
      </c>
      <c r="E493" t="s">
        <v>672</v>
      </c>
      <c r="F493" t="s">
        <v>598</v>
      </c>
      <c r="G493" t="s">
        <v>599</v>
      </c>
      <c r="H493" t="s">
        <v>600</v>
      </c>
      <c r="I493" t="s">
        <v>601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hidden="1">
      <c r="A494" t="s">
        <v>270</v>
      </c>
      <c r="B494" t="s">
        <v>1279</v>
      </c>
      <c r="C494" t="s">
        <v>1267</v>
      </c>
      <c r="D494" t="s">
        <v>1278</v>
      </c>
      <c r="E494" t="s">
        <v>678</v>
      </c>
      <c r="F494" t="s">
        <v>598</v>
      </c>
      <c r="G494" t="s">
        <v>599</v>
      </c>
      <c r="H494" t="s">
        <v>600</v>
      </c>
      <c r="I494" t="s">
        <v>601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hidden="1">
      <c r="A495" t="s">
        <v>270</v>
      </c>
      <c r="B495" t="s">
        <v>1280</v>
      </c>
      <c r="C495" t="s">
        <v>1267</v>
      </c>
      <c r="D495" t="s">
        <v>1281</v>
      </c>
      <c r="E495" t="s">
        <v>672</v>
      </c>
      <c r="F495" t="s">
        <v>598</v>
      </c>
      <c r="G495" t="s">
        <v>599</v>
      </c>
      <c r="H495" t="s">
        <v>600</v>
      </c>
      <c r="I495" t="s">
        <v>601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hidden="1">
      <c r="A496" t="s">
        <v>270</v>
      </c>
      <c r="B496" t="s">
        <v>1282</v>
      </c>
      <c r="C496" t="s">
        <v>1267</v>
      </c>
      <c r="D496" t="s">
        <v>1281</v>
      </c>
      <c r="E496" t="s">
        <v>597</v>
      </c>
      <c r="F496" t="s">
        <v>598</v>
      </c>
      <c r="G496" t="s">
        <v>599</v>
      </c>
      <c r="H496" t="s">
        <v>600</v>
      </c>
      <c r="I496" t="s">
        <v>601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hidden="1">
      <c r="A497" t="s">
        <v>270</v>
      </c>
      <c r="B497" t="s">
        <v>1283</v>
      </c>
      <c r="C497" t="s">
        <v>1267</v>
      </c>
      <c r="D497" t="s">
        <v>1281</v>
      </c>
      <c r="E497" t="s">
        <v>678</v>
      </c>
      <c r="F497" t="s">
        <v>598</v>
      </c>
      <c r="G497" t="s">
        <v>599</v>
      </c>
      <c r="H497" t="s">
        <v>600</v>
      </c>
      <c r="I497" t="s">
        <v>601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hidden="1">
      <c r="A498" t="s">
        <v>270</v>
      </c>
      <c r="B498" t="s">
        <v>1284</v>
      </c>
      <c r="C498" t="s">
        <v>1267</v>
      </c>
      <c r="D498" t="s">
        <v>1285</v>
      </c>
      <c r="E498" t="s">
        <v>678</v>
      </c>
      <c r="F498" t="s">
        <v>598</v>
      </c>
      <c r="G498" t="s">
        <v>599</v>
      </c>
      <c r="H498" t="s">
        <v>600</v>
      </c>
      <c r="I498" t="s">
        <v>601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hidden="1">
      <c r="A499" t="s">
        <v>270</v>
      </c>
      <c r="B499" t="s">
        <v>1286</v>
      </c>
      <c r="C499" t="s">
        <v>1267</v>
      </c>
      <c r="D499" t="s">
        <v>1287</v>
      </c>
      <c r="E499" t="s">
        <v>597</v>
      </c>
      <c r="F499" t="s">
        <v>598</v>
      </c>
      <c r="G499" t="s">
        <v>599</v>
      </c>
      <c r="H499" t="s">
        <v>600</v>
      </c>
      <c r="I499" t="s">
        <v>601</v>
      </c>
      <c r="J499">
        <v>5.9999999999999995E-4</v>
      </c>
      <c r="K499">
        <v>5.9999999999999995E-4</v>
      </c>
      <c r="L499">
        <v>5.9999999999999995E-4</v>
      </c>
      <c r="M499">
        <v>5.9999999999999995E-4</v>
      </c>
      <c r="N499">
        <v>6.9999999999999999E-4</v>
      </c>
      <c r="O499">
        <v>6.9999999999999999E-4</v>
      </c>
      <c r="P499">
        <v>6.9999999999999999E-4</v>
      </c>
      <c r="Q499">
        <v>5.9999999999999995E-4</v>
      </c>
      <c r="R499">
        <v>5.9999999999999995E-4</v>
      </c>
      <c r="S499">
        <v>5.9999999999999995E-4</v>
      </c>
      <c r="T499">
        <v>5.9999999999999995E-4</v>
      </c>
      <c r="U499">
        <v>5.9999999999999995E-4</v>
      </c>
      <c r="V499">
        <v>5.9999999999999995E-4</v>
      </c>
      <c r="W499">
        <v>5.9999999999999995E-4</v>
      </c>
      <c r="X499">
        <v>5.9999999999999995E-4</v>
      </c>
      <c r="Y499">
        <v>5.9999999999999995E-4</v>
      </c>
    </row>
    <row r="500" spans="1:25" hidden="1">
      <c r="A500" t="s">
        <v>270</v>
      </c>
      <c r="B500" t="s">
        <v>1288</v>
      </c>
      <c r="C500" t="s">
        <v>1267</v>
      </c>
      <c r="D500" t="s">
        <v>1287</v>
      </c>
      <c r="E500" t="s">
        <v>678</v>
      </c>
      <c r="F500" t="s">
        <v>598</v>
      </c>
      <c r="G500" t="s">
        <v>599</v>
      </c>
      <c r="H500" t="s">
        <v>600</v>
      </c>
      <c r="I500" t="s">
        <v>601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270</v>
      </c>
      <c r="B501" t="s">
        <v>1289</v>
      </c>
      <c r="C501" t="s">
        <v>1267</v>
      </c>
      <c r="D501" t="s">
        <v>1290</v>
      </c>
      <c r="E501" t="s">
        <v>597</v>
      </c>
      <c r="F501" t="s">
        <v>598</v>
      </c>
      <c r="G501" t="s">
        <v>599</v>
      </c>
      <c r="H501" t="s">
        <v>600</v>
      </c>
      <c r="I501" t="s">
        <v>601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hidden="1">
      <c r="A502" t="s">
        <v>270</v>
      </c>
      <c r="B502" t="s">
        <v>1291</v>
      </c>
      <c r="C502" t="s">
        <v>1267</v>
      </c>
      <c r="D502" t="s">
        <v>1290</v>
      </c>
      <c r="E502" t="s">
        <v>678</v>
      </c>
      <c r="F502" t="s">
        <v>598</v>
      </c>
      <c r="G502" t="s">
        <v>599</v>
      </c>
      <c r="H502" t="s">
        <v>600</v>
      </c>
      <c r="I502" t="s">
        <v>601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270</v>
      </c>
      <c r="B503" t="s">
        <v>1292</v>
      </c>
      <c r="C503" t="s">
        <v>1267</v>
      </c>
      <c r="D503" t="s">
        <v>1293</v>
      </c>
      <c r="E503" t="s">
        <v>672</v>
      </c>
      <c r="F503" t="s">
        <v>598</v>
      </c>
      <c r="G503" t="s">
        <v>599</v>
      </c>
      <c r="H503" t="s">
        <v>600</v>
      </c>
      <c r="I503" t="s">
        <v>601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270</v>
      </c>
      <c r="B504" t="s">
        <v>1294</v>
      </c>
      <c r="C504" t="s">
        <v>1267</v>
      </c>
      <c r="D504" t="s">
        <v>1293</v>
      </c>
      <c r="E504" t="s">
        <v>678</v>
      </c>
      <c r="F504" t="s">
        <v>598</v>
      </c>
      <c r="G504" t="s">
        <v>599</v>
      </c>
      <c r="H504" t="s">
        <v>600</v>
      </c>
      <c r="I504" t="s">
        <v>601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hidden="1">
      <c r="A505" t="s">
        <v>270</v>
      </c>
      <c r="B505" t="s">
        <v>1295</v>
      </c>
      <c r="C505" t="s">
        <v>1267</v>
      </c>
      <c r="D505" t="s">
        <v>1296</v>
      </c>
      <c r="E505" t="s">
        <v>678</v>
      </c>
      <c r="F505" t="s">
        <v>598</v>
      </c>
      <c r="G505" t="s">
        <v>599</v>
      </c>
      <c r="H505" t="s">
        <v>600</v>
      </c>
      <c r="I505" t="s">
        <v>601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</row>
    <row r="506" spans="1:25" hidden="1">
      <c r="A506" t="s">
        <v>270</v>
      </c>
      <c r="B506" t="s">
        <v>1297</v>
      </c>
      <c r="C506" t="s">
        <v>1267</v>
      </c>
      <c r="D506" t="s">
        <v>1298</v>
      </c>
      <c r="E506" t="s">
        <v>672</v>
      </c>
      <c r="F506" t="s">
        <v>598</v>
      </c>
      <c r="G506" t="s">
        <v>599</v>
      </c>
      <c r="H506" t="s">
        <v>600</v>
      </c>
      <c r="I506" t="s">
        <v>601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270</v>
      </c>
      <c r="B507" t="s">
        <v>1299</v>
      </c>
      <c r="C507" t="s">
        <v>1267</v>
      </c>
      <c r="D507" t="s">
        <v>1300</v>
      </c>
      <c r="E507" t="s">
        <v>678</v>
      </c>
      <c r="F507" t="s">
        <v>598</v>
      </c>
      <c r="G507" t="s">
        <v>599</v>
      </c>
      <c r="H507" t="s">
        <v>600</v>
      </c>
      <c r="I507" t="s">
        <v>601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270</v>
      </c>
      <c r="B508" t="s">
        <v>1301</v>
      </c>
      <c r="C508" t="s">
        <v>1267</v>
      </c>
      <c r="D508" t="s">
        <v>1302</v>
      </c>
      <c r="E508" t="s">
        <v>672</v>
      </c>
      <c r="F508" t="s">
        <v>598</v>
      </c>
      <c r="G508" t="s">
        <v>599</v>
      </c>
      <c r="H508" t="s">
        <v>600</v>
      </c>
      <c r="I508" t="s">
        <v>601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hidden="1">
      <c r="A509" t="s">
        <v>270</v>
      </c>
      <c r="B509" t="s">
        <v>1303</v>
      </c>
      <c r="C509" t="s">
        <v>1267</v>
      </c>
      <c r="D509" t="s">
        <v>1302</v>
      </c>
      <c r="E509" t="s">
        <v>678</v>
      </c>
      <c r="F509" t="s">
        <v>598</v>
      </c>
      <c r="G509" t="s">
        <v>599</v>
      </c>
      <c r="H509" t="s">
        <v>600</v>
      </c>
      <c r="I509" t="s">
        <v>601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</row>
    <row r="510" spans="1:25" hidden="1">
      <c r="A510" t="s">
        <v>270</v>
      </c>
      <c r="B510" t="s">
        <v>1304</v>
      </c>
      <c r="C510" t="s">
        <v>1267</v>
      </c>
      <c r="D510" t="s">
        <v>1305</v>
      </c>
      <c r="E510" t="s">
        <v>672</v>
      </c>
      <c r="F510" t="s">
        <v>598</v>
      </c>
      <c r="G510" t="s">
        <v>599</v>
      </c>
      <c r="H510" t="s">
        <v>600</v>
      </c>
      <c r="I510" t="s">
        <v>601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hidden="1">
      <c r="A511" t="s">
        <v>270</v>
      </c>
      <c r="B511" t="s">
        <v>1306</v>
      </c>
      <c r="C511" t="s">
        <v>1267</v>
      </c>
      <c r="D511" t="s">
        <v>1305</v>
      </c>
      <c r="E511" t="s">
        <v>597</v>
      </c>
      <c r="F511" t="s">
        <v>598</v>
      </c>
      <c r="G511" t="s">
        <v>599</v>
      </c>
      <c r="H511" t="s">
        <v>600</v>
      </c>
      <c r="I511" t="s">
        <v>601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hidden="1">
      <c r="A512" t="s">
        <v>270</v>
      </c>
      <c r="B512" t="s">
        <v>1307</v>
      </c>
      <c r="C512" t="s">
        <v>1267</v>
      </c>
      <c r="D512" t="s">
        <v>1305</v>
      </c>
      <c r="E512" t="s">
        <v>678</v>
      </c>
      <c r="F512" t="s">
        <v>598</v>
      </c>
      <c r="G512" t="s">
        <v>599</v>
      </c>
      <c r="H512" t="s">
        <v>600</v>
      </c>
      <c r="I512" t="s">
        <v>601</v>
      </c>
      <c r="J512">
        <v>2.0000000000000001E-4</v>
      </c>
      <c r="K512">
        <v>2.0000000000000001E-4</v>
      </c>
      <c r="L512">
        <v>2.0000000000000001E-4</v>
      </c>
      <c r="M512">
        <v>2.0000000000000001E-4</v>
      </c>
      <c r="N512">
        <v>2.0000000000000001E-4</v>
      </c>
      <c r="O512">
        <v>2.0000000000000001E-4</v>
      </c>
      <c r="P512">
        <v>2.9999999999999997E-4</v>
      </c>
      <c r="Q512">
        <v>2.9999999999999997E-4</v>
      </c>
      <c r="R512">
        <v>2.9999999999999997E-4</v>
      </c>
      <c r="S512">
        <v>2.9999999999999997E-4</v>
      </c>
      <c r="T512">
        <v>2.9999999999999997E-4</v>
      </c>
      <c r="U512">
        <v>2.9999999999999997E-4</v>
      </c>
      <c r="V512">
        <v>2.9999999999999997E-4</v>
      </c>
      <c r="W512">
        <v>2.9999999999999997E-4</v>
      </c>
      <c r="X512">
        <v>2.9999999999999997E-4</v>
      </c>
      <c r="Y512">
        <v>2.9999999999999997E-4</v>
      </c>
    </row>
    <row r="513" spans="1:25" hidden="1">
      <c r="A513" t="s">
        <v>270</v>
      </c>
      <c r="B513" t="s">
        <v>1308</v>
      </c>
      <c r="C513" t="s">
        <v>1267</v>
      </c>
      <c r="D513" t="s">
        <v>1309</v>
      </c>
      <c r="E513" t="s">
        <v>672</v>
      </c>
      <c r="F513" t="s">
        <v>598</v>
      </c>
      <c r="G513" t="s">
        <v>599</v>
      </c>
      <c r="H513" t="s">
        <v>600</v>
      </c>
      <c r="I513" t="s">
        <v>601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hidden="1">
      <c r="A514" t="s">
        <v>270</v>
      </c>
      <c r="B514" t="s">
        <v>1310</v>
      </c>
      <c r="C514" t="s">
        <v>1267</v>
      </c>
      <c r="D514" t="s">
        <v>1311</v>
      </c>
      <c r="E514" t="s">
        <v>597</v>
      </c>
      <c r="F514" t="s">
        <v>598</v>
      </c>
      <c r="G514" t="s">
        <v>599</v>
      </c>
      <c r="H514" t="s">
        <v>600</v>
      </c>
      <c r="I514" t="s">
        <v>601</v>
      </c>
      <c r="J514">
        <v>3.6400000000000002E-2</v>
      </c>
      <c r="K514">
        <v>3.5400000000000001E-2</v>
      </c>
      <c r="L514">
        <v>3.4599999999999999E-2</v>
      </c>
      <c r="M514">
        <v>3.3599999999999998E-2</v>
      </c>
      <c r="N514">
        <v>3.2899999999999999E-2</v>
      </c>
      <c r="O514">
        <v>3.2300000000000002E-2</v>
      </c>
      <c r="P514">
        <v>3.1600000000000003E-2</v>
      </c>
      <c r="Q514">
        <v>3.1099999999999999E-2</v>
      </c>
      <c r="R514">
        <v>3.0300000000000001E-2</v>
      </c>
      <c r="S514">
        <v>2.9499999999999998E-2</v>
      </c>
      <c r="T514">
        <v>2.8799999999999999E-2</v>
      </c>
      <c r="U514">
        <v>2.8299999999999999E-2</v>
      </c>
      <c r="V514">
        <v>2.7699999999999999E-2</v>
      </c>
      <c r="W514">
        <v>2.7099999999999999E-2</v>
      </c>
      <c r="X514">
        <v>2.6599999999999999E-2</v>
      </c>
      <c r="Y514">
        <v>2.5999999999999999E-2</v>
      </c>
    </row>
    <row r="515" spans="1:25" hidden="1">
      <c r="A515" t="s">
        <v>270</v>
      </c>
      <c r="B515" t="s">
        <v>1312</v>
      </c>
      <c r="C515" t="s">
        <v>1267</v>
      </c>
      <c r="D515" t="s">
        <v>1311</v>
      </c>
      <c r="E515" t="s">
        <v>642</v>
      </c>
      <c r="F515" t="s">
        <v>598</v>
      </c>
      <c r="G515" t="s">
        <v>599</v>
      </c>
      <c r="H515" t="s">
        <v>600</v>
      </c>
      <c r="I515" t="s">
        <v>601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hidden="1">
      <c r="A516" t="s">
        <v>270</v>
      </c>
      <c r="B516" t="s">
        <v>1313</v>
      </c>
      <c r="C516" t="s">
        <v>1267</v>
      </c>
      <c r="D516" t="s">
        <v>1311</v>
      </c>
      <c r="E516" t="s">
        <v>605</v>
      </c>
      <c r="F516" t="s">
        <v>598</v>
      </c>
      <c r="G516" t="s">
        <v>599</v>
      </c>
      <c r="H516" t="s">
        <v>600</v>
      </c>
      <c r="I516" t="s">
        <v>601</v>
      </c>
      <c r="J516">
        <v>4.9500000000000002E-2</v>
      </c>
      <c r="K516">
        <v>4.82E-2</v>
      </c>
      <c r="L516">
        <v>4.7199999999999999E-2</v>
      </c>
      <c r="M516">
        <v>4.6100000000000002E-2</v>
      </c>
      <c r="N516">
        <v>4.5100000000000001E-2</v>
      </c>
      <c r="O516">
        <v>4.41E-2</v>
      </c>
      <c r="P516">
        <v>4.3200000000000002E-2</v>
      </c>
      <c r="Q516">
        <v>4.2200000000000001E-2</v>
      </c>
      <c r="R516">
        <v>4.1399999999999999E-2</v>
      </c>
      <c r="S516">
        <v>4.0399999999999998E-2</v>
      </c>
      <c r="T516">
        <v>3.95E-2</v>
      </c>
      <c r="U516">
        <v>3.8699999999999998E-2</v>
      </c>
      <c r="V516">
        <v>3.78E-2</v>
      </c>
      <c r="W516">
        <v>3.7100000000000001E-2</v>
      </c>
      <c r="X516">
        <v>3.6400000000000002E-2</v>
      </c>
      <c r="Y516">
        <v>3.5400000000000001E-2</v>
      </c>
    </row>
    <row r="517" spans="1:25" hidden="1">
      <c r="A517" t="s">
        <v>270</v>
      </c>
      <c r="B517" t="s">
        <v>1314</v>
      </c>
      <c r="C517" t="s">
        <v>1267</v>
      </c>
      <c r="D517" t="s">
        <v>1311</v>
      </c>
      <c r="E517" t="s">
        <v>678</v>
      </c>
      <c r="F517" t="s">
        <v>598</v>
      </c>
      <c r="G517" t="s">
        <v>599</v>
      </c>
      <c r="H517" t="s">
        <v>600</v>
      </c>
      <c r="I517" t="s">
        <v>601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hidden="1">
      <c r="A518" t="s">
        <v>270</v>
      </c>
      <c r="B518" t="s">
        <v>1315</v>
      </c>
      <c r="C518" t="s">
        <v>1267</v>
      </c>
      <c r="D518" t="s">
        <v>1316</v>
      </c>
      <c r="E518" t="s">
        <v>678</v>
      </c>
      <c r="F518" t="s">
        <v>598</v>
      </c>
      <c r="G518" t="s">
        <v>599</v>
      </c>
      <c r="H518" t="s">
        <v>600</v>
      </c>
      <c r="I518" t="s">
        <v>601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5" hidden="1">
      <c r="A519" t="s">
        <v>270</v>
      </c>
      <c r="B519" t="s">
        <v>1317</v>
      </c>
      <c r="C519" t="s">
        <v>1267</v>
      </c>
      <c r="D519" t="s">
        <v>1316</v>
      </c>
      <c r="E519" t="s">
        <v>1318</v>
      </c>
      <c r="F519" t="s">
        <v>598</v>
      </c>
      <c r="G519" t="s">
        <v>599</v>
      </c>
      <c r="H519" t="s">
        <v>600</v>
      </c>
      <c r="I519" t="s">
        <v>601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hidden="1">
      <c r="A520" t="s">
        <v>270</v>
      </c>
      <c r="B520" t="s">
        <v>1319</v>
      </c>
      <c r="C520" t="s">
        <v>1267</v>
      </c>
      <c r="D520" t="s">
        <v>1320</v>
      </c>
      <c r="E520" t="s">
        <v>678</v>
      </c>
      <c r="F520" t="s">
        <v>598</v>
      </c>
      <c r="G520" t="s">
        <v>599</v>
      </c>
      <c r="H520" t="s">
        <v>600</v>
      </c>
      <c r="I520" t="s">
        <v>601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hidden="1">
      <c r="A521" t="s">
        <v>270</v>
      </c>
      <c r="B521" t="s">
        <v>1321</v>
      </c>
      <c r="C521" t="s">
        <v>1267</v>
      </c>
      <c r="D521" t="s">
        <v>1322</v>
      </c>
      <c r="E521" t="s">
        <v>672</v>
      </c>
      <c r="F521" t="s">
        <v>598</v>
      </c>
      <c r="G521" t="s">
        <v>599</v>
      </c>
      <c r="H521" t="s">
        <v>600</v>
      </c>
      <c r="I521" t="s">
        <v>601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hidden="1">
      <c r="A522" t="s">
        <v>270</v>
      </c>
      <c r="B522" t="s">
        <v>1323</v>
      </c>
      <c r="C522" t="s">
        <v>1267</v>
      </c>
      <c r="D522" t="s">
        <v>1324</v>
      </c>
      <c r="E522" t="s">
        <v>688</v>
      </c>
      <c r="F522" t="s">
        <v>598</v>
      </c>
      <c r="G522" t="s">
        <v>599</v>
      </c>
      <c r="H522" t="s">
        <v>600</v>
      </c>
      <c r="I522" t="s">
        <v>601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270</v>
      </c>
      <c r="B523" t="s">
        <v>1325</v>
      </c>
      <c r="C523" t="s">
        <v>1267</v>
      </c>
      <c r="D523" t="s">
        <v>1324</v>
      </c>
      <c r="E523" t="s">
        <v>1326</v>
      </c>
      <c r="F523" t="s">
        <v>598</v>
      </c>
      <c r="G523" t="s">
        <v>599</v>
      </c>
      <c r="H523" t="s">
        <v>600</v>
      </c>
      <c r="I523" t="s">
        <v>601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270</v>
      </c>
      <c r="B524" t="s">
        <v>1327</v>
      </c>
      <c r="C524" t="s">
        <v>1267</v>
      </c>
      <c r="D524" t="s">
        <v>1324</v>
      </c>
      <c r="E524" t="s">
        <v>892</v>
      </c>
      <c r="F524" t="s">
        <v>598</v>
      </c>
      <c r="G524" t="s">
        <v>599</v>
      </c>
      <c r="H524" t="s">
        <v>600</v>
      </c>
      <c r="I524" t="s">
        <v>601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270</v>
      </c>
      <c r="B525" t="s">
        <v>1328</v>
      </c>
      <c r="C525" t="s">
        <v>1267</v>
      </c>
      <c r="D525" t="s">
        <v>1324</v>
      </c>
      <c r="E525" t="s">
        <v>678</v>
      </c>
      <c r="F525" t="s">
        <v>598</v>
      </c>
      <c r="G525" t="s">
        <v>599</v>
      </c>
      <c r="H525" t="s">
        <v>600</v>
      </c>
      <c r="I525" t="s">
        <v>601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hidden="1">
      <c r="A526" t="s">
        <v>270</v>
      </c>
      <c r="B526" t="s">
        <v>1329</v>
      </c>
      <c r="C526" t="s">
        <v>1267</v>
      </c>
      <c r="D526" t="s">
        <v>1324</v>
      </c>
      <c r="E526" t="s">
        <v>1318</v>
      </c>
      <c r="F526" t="s">
        <v>598</v>
      </c>
      <c r="G526" t="s">
        <v>599</v>
      </c>
      <c r="H526" t="s">
        <v>600</v>
      </c>
      <c r="I526" t="s">
        <v>601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hidden="1">
      <c r="A527" t="s">
        <v>270</v>
      </c>
      <c r="B527" t="s">
        <v>1330</v>
      </c>
      <c r="C527" t="s">
        <v>1267</v>
      </c>
      <c r="D527" t="s">
        <v>1324</v>
      </c>
      <c r="E527" t="s">
        <v>954</v>
      </c>
      <c r="F527" t="s">
        <v>598</v>
      </c>
      <c r="G527" t="s">
        <v>599</v>
      </c>
      <c r="H527" t="s">
        <v>600</v>
      </c>
      <c r="I527" t="s">
        <v>601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hidden="1">
      <c r="A528" t="s">
        <v>270</v>
      </c>
      <c r="B528" t="s">
        <v>1331</v>
      </c>
      <c r="C528" t="s">
        <v>1267</v>
      </c>
      <c r="D528" t="s">
        <v>1332</v>
      </c>
      <c r="E528" t="s">
        <v>688</v>
      </c>
      <c r="F528" t="s">
        <v>598</v>
      </c>
      <c r="G528" t="s">
        <v>599</v>
      </c>
      <c r="H528" t="s">
        <v>600</v>
      </c>
      <c r="I528" t="s">
        <v>601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</row>
    <row r="529" spans="1:25" hidden="1">
      <c r="A529" t="s">
        <v>270</v>
      </c>
      <c r="B529" t="s">
        <v>1333</v>
      </c>
      <c r="C529" t="s">
        <v>1267</v>
      </c>
      <c r="D529" t="s">
        <v>1332</v>
      </c>
      <c r="E529" t="s">
        <v>1334</v>
      </c>
      <c r="F529" t="s">
        <v>598</v>
      </c>
      <c r="G529" t="s">
        <v>599</v>
      </c>
      <c r="H529" t="s">
        <v>600</v>
      </c>
      <c r="I529" t="s">
        <v>601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</row>
    <row r="530" spans="1:25" hidden="1">
      <c r="A530" t="s">
        <v>270</v>
      </c>
      <c r="B530" t="s">
        <v>1335</v>
      </c>
      <c r="C530" t="s">
        <v>1267</v>
      </c>
      <c r="D530" t="s">
        <v>1332</v>
      </c>
      <c r="E530" t="s">
        <v>1326</v>
      </c>
      <c r="F530" t="s">
        <v>598</v>
      </c>
      <c r="G530" t="s">
        <v>599</v>
      </c>
      <c r="H530" t="s">
        <v>600</v>
      </c>
      <c r="I530" t="s">
        <v>601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</row>
    <row r="531" spans="1:25" hidden="1">
      <c r="A531" t="s">
        <v>270</v>
      </c>
      <c r="B531" t="s">
        <v>1336</v>
      </c>
      <c r="C531" t="s">
        <v>1267</v>
      </c>
      <c r="D531" t="s">
        <v>1332</v>
      </c>
      <c r="E531" t="s">
        <v>892</v>
      </c>
      <c r="F531" t="s">
        <v>598</v>
      </c>
      <c r="G531" t="s">
        <v>599</v>
      </c>
      <c r="H531" t="s">
        <v>600</v>
      </c>
      <c r="I531" t="s">
        <v>601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hidden="1">
      <c r="A532" t="s">
        <v>270</v>
      </c>
      <c r="B532" t="s">
        <v>1337</v>
      </c>
      <c r="C532" t="s">
        <v>1267</v>
      </c>
      <c r="D532" t="s">
        <v>1332</v>
      </c>
      <c r="E532" t="s">
        <v>678</v>
      </c>
      <c r="F532" t="s">
        <v>598</v>
      </c>
      <c r="G532" t="s">
        <v>599</v>
      </c>
      <c r="H532" t="s">
        <v>600</v>
      </c>
      <c r="I532" t="s">
        <v>601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hidden="1">
      <c r="A533" t="s">
        <v>270</v>
      </c>
      <c r="B533" t="s">
        <v>1338</v>
      </c>
      <c r="C533" t="s">
        <v>1267</v>
      </c>
      <c r="D533" t="s">
        <v>1332</v>
      </c>
      <c r="E533" t="s">
        <v>1318</v>
      </c>
      <c r="F533" t="s">
        <v>598</v>
      </c>
      <c r="G533" t="s">
        <v>599</v>
      </c>
      <c r="H533" t="s">
        <v>600</v>
      </c>
      <c r="I533" t="s">
        <v>601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</row>
    <row r="534" spans="1:25" hidden="1">
      <c r="A534" t="s">
        <v>270</v>
      </c>
      <c r="B534" t="s">
        <v>1339</v>
      </c>
      <c r="C534" t="s">
        <v>1267</v>
      </c>
      <c r="D534" t="s">
        <v>1332</v>
      </c>
      <c r="E534" t="s">
        <v>1340</v>
      </c>
      <c r="F534" t="s">
        <v>598</v>
      </c>
      <c r="G534" t="s">
        <v>599</v>
      </c>
      <c r="H534" t="s">
        <v>600</v>
      </c>
      <c r="I534" t="s">
        <v>601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270</v>
      </c>
      <c r="B535" t="s">
        <v>1341</v>
      </c>
      <c r="C535" t="s">
        <v>1267</v>
      </c>
      <c r="D535" t="s">
        <v>1332</v>
      </c>
      <c r="E535" t="s">
        <v>954</v>
      </c>
      <c r="F535" t="s">
        <v>598</v>
      </c>
      <c r="G535" t="s">
        <v>599</v>
      </c>
      <c r="H535" t="s">
        <v>600</v>
      </c>
      <c r="I535" t="s">
        <v>601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hidden="1">
      <c r="A536" t="s">
        <v>270</v>
      </c>
      <c r="B536" t="s">
        <v>1342</v>
      </c>
      <c r="C536" t="s">
        <v>1267</v>
      </c>
      <c r="D536" t="s">
        <v>1332</v>
      </c>
      <c r="E536" t="s">
        <v>1343</v>
      </c>
      <c r="F536" t="s">
        <v>598</v>
      </c>
      <c r="G536" t="s">
        <v>599</v>
      </c>
      <c r="H536" t="s">
        <v>600</v>
      </c>
      <c r="I536" t="s">
        <v>601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hidden="1">
      <c r="A537" t="s">
        <v>270</v>
      </c>
      <c r="B537" t="s">
        <v>1344</v>
      </c>
      <c r="C537" t="s">
        <v>1267</v>
      </c>
      <c r="D537" t="s">
        <v>1332</v>
      </c>
      <c r="E537" t="s">
        <v>1216</v>
      </c>
      <c r="F537" t="s">
        <v>598</v>
      </c>
      <c r="G537" t="s">
        <v>599</v>
      </c>
      <c r="H537" t="s">
        <v>600</v>
      </c>
      <c r="I537" t="s">
        <v>601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hidden="1">
      <c r="A538" t="s">
        <v>270</v>
      </c>
      <c r="B538" t="s">
        <v>1345</v>
      </c>
      <c r="C538" t="s">
        <v>1267</v>
      </c>
      <c r="D538" t="s">
        <v>1332</v>
      </c>
      <c r="E538" t="s">
        <v>1346</v>
      </c>
      <c r="F538" t="s">
        <v>598</v>
      </c>
      <c r="G538" t="s">
        <v>599</v>
      </c>
      <c r="H538" t="s">
        <v>600</v>
      </c>
      <c r="I538" t="s">
        <v>601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hidden="1">
      <c r="A539" t="s">
        <v>270</v>
      </c>
      <c r="B539" t="s">
        <v>1347</v>
      </c>
      <c r="C539" t="s">
        <v>1267</v>
      </c>
      <c r="D539" t="s">
        <v>1348</v>
      </c>
      <c r="E539" t="s">
        <v>1318</v>
      </c>
      <c r="F539" t="s">
        <v>598</v>
      </c>
      <c r="G539" t="s">
        <v>599</v>
      </c>
      <c r="H539" t="s">
        <v>600</v>
      </c>
      <c r="I539" t="s">
        <v>601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hidden="1">
      <c r="A540" t="s">
        <v>270</v>
      </c>
      <c r="B540" t="s">
        <v>1349</v>
      </c>
      <c r="C540" t="s">
        <v>1267</v>
      </c>
      <c r="D540" t="s">
        <v>1350</v>
      </c>
      <c r="E540" t="s">
        <v>603</v>
      </c>
      <c r="F540" t="s">
        <v>598</v>
      </c>
      <c r="G540" t="s">
        <v>599</v>
      </c>
      <c r="H540" t="s">
        <v>600</v>
      </c>
      <c r="I540" t="s">
        <v>601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</row>
    <row r="541" spans="1:25" hidden="1">
      <c r="A541" t="s">
        <v>270</v>
      </c>
      <c r="B541" t="s">
        <v>1351</v>
      </c>
      <c r="C541" t="s">
        <v>1267</v>
      </c>
      <c r="D541" t="s">
        <v>1352</v>
      </c>
      <c r="E541" t="s">
        <v>672</v>
      </c>
      <c r="F541" t="s">
        <v>598</v>
      </c>
      <c r="G541" t="s">
        <v>599</v>
      </c>
      <c r="H541" t="s">
        <v>600</v>
      </c>
      <c r="I541" t="s">
        <v>601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</row>
    <row r="542" spans="1:25" hidden="1">
      <c r="A542" t="s">
        <v>270</v>
      </c>
      <c r="B542" t="s">
        <v>1353</v>
      </c>
      <c r="C542" t="s">
        <v>1267</v>
      </c>
      <c r="D542" t="s">
        <v>1354</v>
      </c>
      <c r="E542" t="s">
        <v>672</v>
      </c>
      <c r="F542" t="s">
        <v>598</v>
      </c>
      <c r="G542" t="s">
        <v>599</v>
      </c>
      <c r="H542" t="s">
        <v>600</v>
      </c>
      <c r="I542" t="s">
        <v>601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hidden="1">
      <c r="A543" t="s">
        <v>270</v>
      </c>
      <c r="B543" t="s">
        <v>1355</v>
      </c>
      <c r="C543" t="s">
        <v>1267</v>
      </c>
      <c r="D543" t="s">
        <v>1354</v>
      </c>
      <c r="E543" t="s">
        <v>678</v>
      </c>
      <c r="F543" t="s">
        <v>598</v>
      </c>
      <c r="G543" t="s">
        <v>599</v>
      </c>
      <c r="H543" t="s">
        <v>600</v>
      </c>
      <c r="I543" t="s">
        <v>601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</row>
    <row r="544" spans="1:25" hidden="1">
      <c r="A544" t="s">
        <v>270</v>
      </c>
      <c r="B544" t="s">
        <v>1356</v>
      </c>
      <c r="C544" t="s">
        <v>1267</v>
      </c>
      <c r="D544" t="s">
        <v>1357</v>
      </c>
      <c r="E544" t="s">
        <v>678</v>
      </c>
      <c r="F544" t="s">
        <v>598</v>
      </c>
      <c r="G544" t="s">
        <v>599</v>
      </c>
      <c r="H544" t="s">
        <v>600</v>
      </c>
      <c r="I544" t="s">
        <v>601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hidden="1">
      <c r="A545" t="s">
        <v>270</v>
      </c>
      <c r="B545" t="s">
        <v>1358</v>
      </c>
      <c r="C545" t="s">
        <v>1267</v>
      </c>
      <c r="D545" t="s">
        <v>1359</v>
      </c>
      <c r="E545" t="s">
        <v>678</v>
      </c>
      <c r="F545" t="s">
        <v>598</v>
      </c>
      <c r="G545" t="s">
        <v>599</v>
      </c>
      <c r="H545" t="s">
        <v>600</v>
      </c>
      <c r="I545" t="s">
        <v>601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hidden="1">
      <c r="A546" t="s">
        <v>270</v>
      </c>
      <c r="B546" t="s">
        <v>1360</v>
      </c>
      <c r="C546" t="s">
        <v>1267</v>
      </c>
      <c r="D546" t="s">
        <v>1361</v>
      </c>
      <c r="E546" t="s">
        <v>672</v>
      </c>
      <c r="F546" t="s">
        <v>598</v>
      </c>
      <c r="G546" t="s">
        <v>599</v>
      </c>
      <c r="H546" t="s">
        <v>600</v>
      </c>
      <c r="I546" t="s">
        <v>601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</row>
    <row r="547" spans="1:25" hidden="1">
      <c r="A547" t="s">
        <v>270</v>
      </c>
      <c r="B547" t="s">
        <v>1362</v>
      </c>
      <c r="C547" t="s">
        <v>1267</v>
      </c>
      <c r="D547" t="s">
        <v>1363</v>
      </c>
      <c r="E547" t="s">
        <v>597</v>
      </c>
      <c r="F547" t="s">
        <v>598</v>
      </c>
      <c r="G547" t="s">
        <v>599</v>
      </c>
      <c r="H547" t="s">
        <v>600</v>
      </c>
      <c r="I547" t="s">
        <v>601</v>
      </c>
      <c r="J547">
        <v>2.9999999999999997E-4</v>
      </c>
      <c r="K547">
        <v>2.9999999999999997E-4</v>
      </c>
      <c r="L547">
        <v>2.9999999999999997E-4</v>
      </c>
      <c r="M547">
        <v>2.9999999999999997E-4</v>
      </c>
      <c r="N547">
        <v>2.0000000000000001E-4</v>
      </c>
      <c r="O547">
        <v>2.0000000000000001E-4</v>
      </c>
      <c r="P547">
        <v>2.0000000000000001E-4</v>
      </c>
      <c r="Q547">
        <v>2.0000000000000001E-4</v>
      </c>
      <c r="R547">
        <v>2.0000000000000001E-4</v>
      </c>
      <c r="S547">
        <v>2.0000000000000001E-4</v>
      </c>
      <c r="T547">
        <v>2.0000000000000001E-4</v>
      </c>
      <c r="U547">
        <v>2.0000000000000001E-4</v>
      </c>
      <c r="V547">
        <v>2.0000000000000001E-4</v>
      </c>
      <c r="W547">
        <v>2.0000000000000001E-4</v>
      </c>
      <c r="X547">
        <v>2.0000000000000001E-4</v>
      </c>
      <c r="Y547">
        <v>2.0000000000000001E-4</v>
      </c>
    </row>
    <row r="548" spans="1:25" hidden="1">
      <c r="A548" t="s">
        <v>270</v>
      </c>
      <c r="B548" t="s">
        <v>1364</v>
      </c>
      <c r="C548" t="s">
        <v>1267</v>
      </c>
      <c r="D548" t="s">
        <v>1365</v>
      </c>
      <c r="E548" t="s">
        <v>626</v>
      </c>
      <c r="F548" t="s">
        <v>598</v>
      </c>
      <c r="G548" t="s">
        <v>599</v>
      </c>
      <c r="H548" t="s">
        <v>600</v>
      </c>
      <c r="I548" t="s">
        <v>601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</row>
    <row r="549" spans="1:25" hidden="1">
      <c r="A549" t="s">
        <v>270</v>
      </c>
      <c r="B549" t="s">
        <v>1366</v>
      </c>
      <c r="C549" t="s">
        <v>1267</v>
      </c>
      <c r="D549" t="s">
        <v>1365</v>
      </c>
      <c r="E549" t="s">
        <v>628</v>
      </c>
      <c r="F549" t="s">
        <v>598</v>
      </c>
      <c r="G549" t="s">
        <v>599</v>
      </c>
      <c r="H549" t="s">
        <v>600</v>
      </c>
      <c r="I549" t="s">
        <v>601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5" hidden="1">
      <c r="A550" t="s">
        <v>270</v>
      </c>
      <c r="B550" t="s">
        <v>1367</v>
      </c>
      <c r="C550" t="s">
        <v>1267</v>
      </c>
      <c r="D550" t="s">
        <v>1365</v>
      </c>
      <c r="E550" t="s">
        <v>888</v>
      </c>
      <c r="F550" t="s">
        <v>598</v>
      </c>
      <c r="G550" t="s">
        <v>599</v>
      </c>
      <c r="H550" t="s">
        <v>600</v>
      </c>
      <c r="I550" t="s">
        <v>601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</row>
    <row r="551" spans="1:25" hidden="1">
      <c r="A551" t="s">
        <v>270</v>
      </c>
      <c r="B551" t="s">
        <v>1368</v>
      </c>
      <c r="C551" t="s">
        <v>1267</v>
      </c>
      <c r="D551" t="s">
        <v>1365</v>
      </c>
      <c r="E551" t="s">
        <v>678</v>
      </c>
      <c r="F551" t="s">
        <v>598</v>
      </c>
      <c r="G551" t="s">
        <v>599</v>
      </c>
      <c r="H551" t="s">
        <v>600</v>
      </c>
      <c r="I551" t="s">
        <v>601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270</v>
      </c>
      <c r="B552" t="s">
        <v>1369</v>
      </c>
      <c r="C552" t="s">
        <v>1267</v>
      </c>
      <c r="D552" t="s">
        <v>1370</v>
      </c>
      <c r="E552" t="s">
        <v>672</v>
      </c>
      <c r="F552" t="s">
        <v>598</v>
      </c>
      <c r="G552" t="s">
        <v>599</v>
      </c>
      <c r="H552" t="s">
        <v>600</v>
      </c>
      <c r="I552" t="s">
        <v>601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270</v>
      </c>
      <c r="B553" t="s">
        <v>1371</v>
      </c>
      <c r="C553" t="s">
        <v>1267</v>
      </c>
      <c r="D553" t="s">
        <v>1370</v>
      </c>
      <c r="E553" t="s">
        <v>678</v>
      </c>
      <c r="F553" t="s">
        <v>598</v>
      </c>
      <c r="G553" t="s">
        <v>599</v>
      </c>
      <c r="H553" t="s">
        <v>600</v>
      </c>
      <c r="I553" t="s">
        <v>601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270</v>
      </c>
      <c r="B554" t="s">
        <v>1372</v>
      </c>
      <c r="C554" t="s">
        <v>1267</v>
      </c>
      <c r="D554" t="s">
        <v>648</v>
      </c>
      <c r="E554" t="s">
        <v>920</v>
      </c>
      <c r="F554" t="s">
        <v>598</v>
      </c>
      <c r="G554" t="s">
        <v>599</v>
      </c>
      <c r="H554" t="s">
        <v>600</v>
      </c>
      <c r="I554" t="s">
        <v>601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hidden="1">
      <c r="A555" t="s">
        <v>270</v>
      </c>
      <c r="B555" t="s">
        <v>1373</v>
      </c>
      <c r="C555" t="s">
        <v>1267</v>
      </c>
      <c r="D555" t="s">
        <v>648</v>
      </c>
      <c r="E555" t="s">
        <v>672</v>
      </c>
      <c r="F555" t="s">
        <v>598</v>
      </c>
      <c r="G555" t="s">
        <v>599</v>
      </c>
      <c r="H555" t="s">
        <v>600</v>
      </c>
      <c r="I555" t="s">
        <v>601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270</v>
      </c>
      <c r="B556" t="s">
        <v>1374</v>
      </c>
      <c r="C556" t="s">
        <v>1267</v>
      </c>
      <c r="D556" t="s">
        <v>648</v>
      </c>
      <c r="E556" t="s">
        <v>597</v>
      </c>
      <c r="F556" t="s">
        <v>598</v>
      </c>
      <c r="G556" t="s">
        <v>599</v>
      </c>
      <c r="H556" t="s">
        <v>600</v>
      </c>
      <c r="I556" t="s">
        <v>601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hidden="1">
      <c r="A557" t="s">
        <v>270</v>
      </c>
      <c r="B557" t="s">
        <v>1375</v>
      </c>
      <c r="C557" t="s">
        <v>1267</v>
      </c>
      <c r="D557" t="s">
        <v>648</v>
      </c>
      <c r="E557" t="s">
        <v>929</v>
      </c>
      <c r="F557" t="s">
        <v>598</v>
      </c>
      <c r="G557" t="s">
        <v>599</v>
      </c>
      <c r="H557" t="s">
        <v>600</v>
      </c>
      <c r="I557" t="s">
        <v>601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</row>
    <row r="558" spans="1:25" hidden="1">
      <c r="A558" t="s">
        <v>270</v>
      </c>
      <c r="B558" t="s">
        <v>1376</v>
      </c>
      <c r="C558" t="s">
        <v>1267</v>
      </c>
      <c r="D558" t="s">
        <v>648</v>
      </c>
      <c r="E558" t="s">
        <v>678</v>
      </c>
      <c r="F558" t="s">
        <v>598</v>
      </c>
      <c r="G558" t="s">
        <v>599</v>
      </c>
      <c r="H558" t="s">
        <v>600</v>
      </c>
      <c r="I558" t="s">
        <v>601</v>
      </c>
      <c r="J558">
        <v>2.7000000000000001E-3</v>
      </c>
      <c r="K558">
        <v>2.8E-3</v>
      </c>
      <c r="L558">
        <v>3.0000000000000001E-3</v>
      </c>
      <c r="M558">
        <v>3.0999999999999999E-3</v>
      </c>
      <c r="N558">
        <v>3.3E-3</v>
      </c>
      <c r="O558">
        <v>3.3E-3</v>
      </c>
      <c r="P558">
        <v>3.5000000000000001E-3</v>
      </c>
      <c r="Q558">
        <v>3.7000000000000002E-3</v>
      </c>
      <c r="R558">
        <v>3.8E-3</v>
      </c>
      <c r="S558">
        <v>3.8999999999999998E-3</v>
      </c>
      <c r="T558">
        <v>4.0000000000000001E-3</v>
      </c>
      <c r="U558">
        <v>4.1000000000000003E-3</v>
      </c>
      <c r="V558">
        <v>4.1999999999999997E-3</v>
      </c>
      <c r="W558">
        <v>4.3E-3</v>
      </c>
      <c r="X558">
        <v>4.4000000000000003E-3</v>
      </c>
      <c r="Y558">
        <v>4.4000000000000003E-3</v>
      </c>
    </row>
    <row r="559" spans="1:25" hidden="1">
      <c r="A559" t="s">
        <v>270</v>
      </c>
      <c r="B559" t="s">
        <v>1377</v>
      </c>
      <c r="C559" t="s">
        <v>1267</v>
      </c>
      <c r="D559" t="s">
        <v>648</v>
      </c>
      <c r="E559" t="s">
        <v>1378</v>
      </c>
      <c r="F559" t="s">
        <v>598</v>
      </c>
      <c r="G559" t="s">
        <v>599</v>
      </c>
      <c r="H559" t="s">
        <v>600</v>
      </c>
      <c r="I559" t="s">
        <v>601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270</v>
      </c>
      <c r="B560" t="s">
        <v>1379</v>
      </c>
      <c r="C560" t="s">
        <v>1267</v>
      </c>
      <c r="D560" t="s">
        <v>648</v>
      </c>
      <c r="E560" t="s">
        <v>1380</v>
      </c>
      <c r="F560" t="s">
        <v>598</v>
      </c>
      <c r="G560" t="s">
        <v>599</v>
      </c>
      <c r="H560" t="s">
        <v>600</v>
      </c>
      <c r="I560" t="s">
        <v>601</v>
      </c>
      <c r="J560">
        <v>4.0000000000000002E-4</v>
      </c>
      <c r="K560">
        <v>4.0000000000000002E-4</v>
      </c>
      <c r="L560">
        <v>4.0000000000000002E-4</v>
      </c>
      <c r="M560">
        <v>2.9999999999999997E-4</v>
      </c>
      <c r="N560">
        <v>2.9999999999999997E-4</v>
      </c>
      <c r="O560">
        <v>2.9999999999999997E-4</v>
      </c>
      <c r="P560">
        <v>2.9999999999999997E-4</v>
      </c>
      <c r="Q560">
        <v>2.9999999999999997E-4</v>
      </c>
      <c r="R560">
        <v>2.9999999999999997E-4</v>
      </c>
      <c r="S560">
        <v>2.9999999999999997E-4</v>
      </c>
      <c r="T560">
        <v>2.9999999999999997E-4</v>
      </c>
      <c r="U560">
        <v>2.9999999999999997E-4</v>
      </c>
      <c r="V560">
        <v>2.9999999999999997E-4</v>
      </c>
      <c r="W560">
        <v>2.9999999999999997E-4</v>
      </c>
      <c r="X560">
        <v>2.9999999999999997E-4</v>
      </c>
      <c r="Y560">
        <v>2.9999999999999997E-4</v>
      </c>
    </row>
    <row r="561" spans="1:25" hidden="1">
      <c r="A561" t="s">
        <v>270</v>
      </c>
      <c r="B561" t="s">
        <v>1381</v>
      </c>
      <c r="C561" t="s">
        <v>1382</v>
      </c>
      <c r="D561" t="s">
        <v>1274</v>
      </c>
      <c r="E561" t="s">
        <v>973</v>
      </c>
      <c r="F561" t="s">
        <v>598</v>
      </c>
      <c r="G561" t="s">
        <v>599</v>
      </c>
      <c r="H561" t="s">
        <v>600</v>
      </c>
      <c r="I561" t="s">
        <v>601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270</v>
      </c>
      <c r="B562" t="s">
        <v>1383</v>
      </c>
      <c r="C562" t="s">
        <v>1382</v>
      </c>
      <c r="D562" t="s">
        <v>1281</v>
      </c>
      <c r="E562" t="s">
        <v>973</v>
      </c>
      <c r="F562" t="s">
        <v>598</v>
      </c>
      <c r="G562" t="s">
        <v>599</v>
      </c>
      <c r="H562" t="s">
        <v>600</v>
      </c>
      <c r="I562" t="s">
        <v>601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270</v>
      </c>
      <c r="B563" t="s">
        <v>1384</v>
      </c>
      <c r="C563" t="s">
        <v>1382</v>
      </c>
      <c r="D563" t="s">
        <v>1285</v>
      </c>
      <c r="E563" t="s">
        <v>973</v>
      </c>
      <c r="F563" t="s">
        <v>598</v>
      </c>
      <c r="G563" t="s">
        <v>599</v>
      </c>
      <c r="H563" t="s">
        <v>600</v>
      </c>
      <c r="I563" t="s">
        <v>601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270</v>
      </c>
      <c r="B564" t="s">
        <v>1385</v>
      </c>
      <c r="C564" t="s">
        <v>1382</v>
      </c>
      <c r="D564" t="s">
        <v>1287</v>
      </c>
      <c r="E564" t="s">
        <v>973</v>
      </c>
      <c r="F564" t="s">
        <v>598</v>
      </c>
      <c r="G564" t="s">
        <v>599</v>
      </c>
      <c r="H564" t="s">
        <v>600</v>
      </c>
      <c r="I564" t="s">
        <v>601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270</v>
      </c>
      <c r="B565" t="s">
        <v>1386</v>
      </c>
      <c r="C565" t="s">
        <v>1382</v>
      </c>
      <c r="D565" t="s">
        <v>1305</v>
      </c>
      <c r="E565" t="s">
        <v>973</v>
      </c>
      <c r="F565" t="s">
        <v>598</v>
      </c>
      <c r="G565" t="s">
        <v>599</v>
      </c>
      <c r="H565" t="s">
        <v>600</v>
      </c>
      <c r="I565" t="s">
        <v>601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270</v>
      </c>
      <c r="B566" t="s">
        <v>1387</v>
      </c>
      <c r="C566" t="s">
        <v>1382</v>
      </c>
      <c r="D566" t="s">
        <v>1311</v>
      </c>
      <c r="E566" t="s">
        <v>973</v>
      </c>
      <c r="F566" t="s">
        <v>598</v>
      </c>
      <c r="G566" t="s">
        <v>599</v>
      </c>
      <c r="H566" t="s">
        <v>600</v>
      </c>
      <c r="I566" t="s">
        <v>601</v>
      </c>
      <c r="J566">
        <v>8.9999999999999998E-4</v>
      </c>
      <c r="K566">
        <v>8.9999999999999998E-4</v>
      </c>
      <c r="L566">
        <v>8.9999999999999998E-4</v>
      </c>
      <c r="M566">
        <v>8.9999999999999998E-4</v>
      </c>
      <c r="N566">
        <v>8.9999999999999998E-4</v>
      </c>
      <c r="O566">
        <v>8.9999999999999998E-4</v>
      </c>
      <c r="P566">
        <v>8.9999999999999998E-4</v>
      </c>
      <c r="Q566">
        <v>8.9999999999999998E-4</v>
      </c>
      <c r="R566">
        <v>8.9999999999999998E-4</v>
      </c>
      <c r="S566">
        <v>8.9999999999999998E-4</v>
      </c>
      <c r="T566">
        <v>8.9999999999999998E-4</v>
      </c>
      <c r="U566">
        <v>1E-3</v>
      </c>
      <c r="V566">
        <v>1E-3</v>
      </c>
      <c r="W566">
        <v>1E-3</v>
      </c>
      <c r="X566">
        <v>1E-3</v>
      </c>
      <c r="Y566">
        <v>1E-3</v>
      </c>
    </row>
    <row r="567" spans="1:25" hidden="1">
      <c r="A567" t="s">
        <v>270</v>
      </c>
      <c r="B567" t="s">
        <v>1388</v>
      </c>
      <c r="C567" t="s">
        <v>1382</v>
      </c>
      <c r="D567" t="s">
        <v>1311</v>
      </c>
      <c r="E567" t="s">
        <v>597</v>
      </c>
      <c r="F567" t="s">
        <v>598</v>
      </c>
      <c r="G567" t="s">
        <v>599</v>
      </c>
      <c r="H567" t="s">
        <v>600</v>
      </c>
      <c r="I567" t="s">
        <v>601</v>
      </c>
      <c r="J567">
        <v>3.5999999999999999E-3</v>
      </c>
      <c r="K567">
        <v>3.5999999999999999E-3</v>
      </c>
      <c r="L567">
        <v>3.7000000000000002E-3</v>
      </c>
      <c r="M567">
        <v>3.8E-3</v>
      </c>
      <c r="N567">
        <v>3.8E-3</v>
      </c>
      <c r="O567">
        <v>3.8E-3</v>
      </c>
      <c r="P567">
        <v>3.8E-3</v>
      </c>
      <c r="Q567">
        <v>3.8999999999999998E-3</v>
      </c>
      <c r="R567">
        <v>3.8999999999999998E-3</v>
      </c>
      <c r="S567">
        <v>3.8999999999999998E-3</v>
      </c>
      <c r="T567">
        <v>3.8999999999999998E-3</v>
      </c>
      <c r="U567">
        <v>3.8999999999999998E-3</v>
      </c>
      <c r="V567">
        <v>4.0000000000000001E-3</v>
      </c>
      <c r="W567">
        <v>4.0000000000000001E-3</v>
      </c>
      <c r="X567">
        <v>4.1000000000000003E-3</v>
      </c>
      <c r="Y567">
        <v>4.1000000000000003E-3</v>
      </c>
    </row>
    <row r="568" spans="1:25" hidden="1">
      <c r="A568" t="s">
        <v>270</v>
      </c>
      <c r="B568" t="s">
        <v>1389</v>
      </c>
      <c r="C568" t="s">
        <v>1382</v>
      </c>
      <c r="D568" t="s">
        <v>1311</v>
      </c>
      <c r="E568" t="s">
        <v>642</v>
      </c>
      <c r="F568" t="s">
        <v>598</v>
      </c>
      <c r="G568" t="s">
        <v>599</v>
      </c>
      <c r="H568" t="s">
        <v>600</v>
      </c>
      <c r="I568" t="s">
        <v>601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270</v>
      </c>
      <c r="B569" t="s">
        <v>1390</v>
      </c>
      <c r="C569" t="s">
        <v>1382</v>
      </c>
      <c r="D569" t="s">
        <v>1311</v>
      </c>
      <c r="E569" t="s">
        <v>605</v>
      </c>
      <c r="F569" t="s">
        <v>598</v>
      </c>
      <c r="G569" t="s">
        <v>599</v>
      </c>
      <c r="H569" t="s">
        <v>600</v>
      </c>
      <c r="I569" t="s">
        <v>601</v>
      </c>
      <c r="J569">
        <v>0.1958</v>
      </c>
      <c r="K569">
        <v>0.1986</v>
      </c>
      <c r="L569">
        <v>0.20169999999999999</v>
      </c>
      <c r="M569">
        <v>0.20480000000000001</v>
      </c>
      <c r="N569">
        <v>0.2082</v>
      </c>
      <c r="O569">
        <v>0.21160000000000001</v>
      </c>
      <c r="P569">
        <v>0.21490000000000001</v>
      </c>
      <c r="Q569">
        <v>0.21829999999999999</v>
      </c>
      <c r="R569">
        <v>0.21959999999999999</v>
      </c>
      <c r="S569">
        <v>0.221</v>
      </c>
      <c r="T569">
        <v>0.2223</v>
      </c>
      <c r="U569">
        <v>0.22359999999999999</v>
      </c>
      <c r="V569">
        <v>0.22489999999999999</v>
      </c>
      <c r="W569">
        <v>0.2263</v>
      </c>
      <c r="X569">
        <v>0.2276</v>
      </c>
      <c r="Y569">
        <v>0.22900000000000001</v>
      </c>
    </row>
    <row r="570" spans="1:25" hidden="1">
      <c r="A570" t="s">
        <v>270</v>
      </c>
      <c r="B570" t="s">
        <v>1391</v>
      </c>
      <c r="C570" t="s">
        <v>1382</v>
      </c>
      <c r="D570" t="s">
        <v>1392</v>
      </c>
      <c r="E570" t="s">
        <v>1393</v>
      </c>
      <c r="F570" t="s">
        <v>598</v>
      </c>
      <c r="G570" t="s">
        <v>599</v>
      </c>
      <c r="H570" t="s">
        <v>600</v>
      </c>
      <c r="I570" t="s">
        <v>601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270</v>
      </c>
      <c r="B571" t="s">
        <v>1394</v>
      </c>
      <c r="C571" t="s">
        <v>1382</v>
      </c>
      <c r="D571" t="s">
        <v>1316</v>
      </c>
      <c r="E571" t="s">
        <v>1018</v>
      </c>
      <c r="F571" t="s">
        <v>598</v>
      </c>
      <c r="G571" t="s">
        <v>599</v>
      </c>
      <c r="H571" t="s">
        <v>600</v>
      </c>
      <c r="I571" t="s">
        <v>601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270</v>
      </c>
      <c r="B572" t="s">
        <v>1395</v>
      </c>
      <c r="C572" t="s">
        <v>1382</v>
      </c>
      <c r="D572" t="s">
        <v>1316</v>
      </c>
      <c r="E572" t="s">
        <v>688</v>
      </c>
      <c r="F572" t="s">
        <v>598</v>
      </c>
      <c r="G572" t="s">
        <v>599</v>
      </c>
      <c r="H572" t="s">
        <v>600</v>
      </c>
      <c r="I572" t="s">
        <v>601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270</v>
      </c>
      <c r="B573" t="s">
        <v>1396</v>
      </c>
      <c r="C573" t="s">
        <v>1382</v>
      </c>
      <c r="D573" t="s">
        <v>1316</v>
      </c>
      <c r="E573" t="s">
        <v>626</v>
      </c>
      <c r="F573" t="s">
        <v>598</v>
      </c>
      <c r="G573" t="s">
        <v>599</v>
      </c>
      <c r="H573" t="s">
        <v>600</v>
      </c>
      <c r="I573" t="s">
        <v>601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270</v>
      </c>
      <c r="B574" t="s">
        <v>1397</v>
      </c>
      <c r="C574" t="s">
        <v>1382</v>
      </c>
      <c r="D574" t="s">
        <v>1316</v>
      </c>
      <c r="E574" t="s">
        <v>1334</v>
      </c>
      <c r="F574" t="s">
        <v>598</v>
      </c>
      <c r="G574" t="s">
        <v>599</v>
      </c>
      <c r="H574" t="s">
        <v>600</v>
      </c>
      <c r="I574" t="s">
        <v>601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270</v>
      </c>
      <c r="B575" t="s">
        <v>1398</v>
      </c>
      <c r="C575" t="s">
        <v>1382</v>
      </c>
      <c r="D575" t="s">
        <v>1316</v>
      </c>
      <c r="E575" t="s">
        <v>1399</v>
      </c>
      <c r="F575" t="s">
        <v>598</v>
      </c>
      <c r="G575" t="s">
        <v>599</v>
      </c>
      <c r="H575" t="s">
        <v>600</v>
      </c>
      <c r="I575" t="s">
        <v>601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270</v>
      </c>
      <c r="B576" t="s">
        <v>1400</v>
      </c>
      <c r="C576" t="s">
        <v>1382</v>
      </c>
      <c r="D576" t="s">
        <v>1316</v>
      </c>
      <c r="E576" t="s">
        <v>1326</v>
      </c>
      <c r="F576" t="s">
        <v>598</v>
      </c>
      <c r="G576" t="s">
        <v>599</v>
      </c>
      <c r="H576" t="s">
        <v>600</v>
      </c>
      <c r="I576" t="s">
        <v>601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270</v>
      </c>
      <c r="B577" t="s">
        <v>1401</v>
      </c>
      <c r="C577" t="s">
        <v>1382</v>
      </c>
      <c r="D577" t="s">
        <v>1316</v>
      </c>
      <c r="E577" t="s">
        <v>1402</v>
      </c>
      <c r="F577" t="s">
        <v>598</v>
      </c>
      <c r="G577" t="s">
        <v>599</v>
      </c>
      <c r="H577" t="s">
        <v>600</v>
      </c>
      <c r="I577" t="s">
        <v>601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270</v>
      </c>
      <c r="B578" t="s">
        <v>1403</v>
      </c>
      <c r="C578" t="s">
        <v>1382</v>
      </c>
      <c r="D578" t="s">
        <v>1316</v>
      </c>
      <c r="E578" t="s">
        <v>892</v>
      </c>
      <c r="F578" t="s">
        <v>598</v>
      </c>
      <c r="G578" t="s">
        <v>599</v>
      </c>
      <c r="H578" t="s">
        <v>600</v>
      </c>
      <c r="I578" t="s">
        <v>601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270</v>
      </c>
      <c r="B579" t="s">
        <v>1404</v>
      </c>
      <c r="C579" t="s">
        <v>1382</v>
      </c>
      <c r="D579" t="s">
        <v>1316</v>
      </c>
      <c r="E579" t="s">
        <v>1318</v>
      </c>
      <c r="F579" t="s">
        <v>598</v>
      </c>
      <c r="G579" t="s">
        <v>599</v>
      </c>
      <c r="H579" t="s">
        <v>600</v>
      </c>
      <c r="I579" t="s">
        <v>601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270</v>
      </c>
      <c r="B580" t="s">
        <v>1405</v>
      </c>
      <c r="C580" t="s">
        <v>1382</v>
      </c>
      <c r="D580" t="s">
        <v>1316</v>
      </c>
      <c r="E580" t="s">
        <v>1198</v>
      </c>
      <c r="F580" t="s">
        <v>598</v>
      </c>
      <c r="G580" t="s">
        <v>599</v>
      </c>
      <c r="H580" t="s">
        <v>600</v>
      </c>
      <c r="I580" t="s">
        <v>601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270</v>
      </c>
      <c r="B581" t="s">
        <v>1406</v>
      </c>
      <c r="C581" t="s">
        <v>1382</v>
      </c>
      <c r="D581" t="s">
        <v>1320</v>
      </c>
      <c r="E581" t="s">
        <v>688</v>
      </c>
      <c r="F581" t="s">
        <v>598</v>
      </c>
      <c r="G581" t="s">
        <v>599</v>
      </c>
      <c r="H581" t="s">
        <v>600</v>
      </c>
      <c r="I581" t="s">
        <v>601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270</v>
      </c>
      <c r="B582" t="s">
        <v>1407</v>
      </c>
      <c r="C582" t="s">
        <v>1382</v>
      </c>
      <c r="D582" t="s">
        <v>1320</v>
      </c>
      <c r="E582" t="s">
        <v>626</v>
      </c>
      <c r="F582" t="s">
        <v>598</v>
      </c>
      <c r="G582" t="s">
        <v>599</v>
      </c>
      <c r="H582" t="s">
        <v>600</v>
      </c>
      <c r="I582" t="s">
        <v>601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270</v>
      </c>
      <c r="B583" t="s">
        <v>1408</v>
      </c>
      <c r="C583" t="s">
        <v>1382</v>
      </c>
      <c r="D583" t="s">
        <v>1320</v>
      </c>
      <c r="E583" t="s">
        <v>1334</v>
      </c>
      <c r="F583" t="s">
        <v>598</v>
      </c>
      <c r="G583" t="s">
        <v>599</v>
      </c>
      <c r="H583" t="s">
        <v>600</v>
      </c>
      <c r="I583" t="s">
        <v>601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270</v>
      </c>
      <c r="B584" t="s">
        <v>1409</v>
      </c>
      <c r="C584" t="s">
        <v>1382</v>
      </c>
      <c r="D584" t="s">
        <v>1320</v>
      </c>
      <c r="E584" t="s">
        <v>750</v>
      </c>
      <c r="F584" t="s">
        <v>598</v>
      </c>
      <c r="G584" t="s">
        <v>599</v>
      </c>
      <c r="H584" t="s">
        <v>600</v>
      </c>
      <c r="I584" t="s">
        <v>601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270</v>
      </c>
      <c r="B585" t="s">
        <v>1410</v>
      </c>
      <c r="C585" t="s">
        <v>1382</v>
      </c>
      <c r="D585" t="s">
        <v>1320</v>
      </c>
      <c r="E585" t="s">
        <v>1402</v>
      </c>
      <c r="F585" t="s">
        <v>598</v>
      </c>
      <c r="G585" t="s">
        <v>599</v>
      </c>
      <c r="H585" t="s">
        <v>600</v>
      </c>
      <c r="I585" t="s">
        <v>601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270</v>
      </c>
      <c r="B586" t="s">
        <v>1411</v>
      </c>
      <c r="C586" t="s">
        <v>1382</v>
      </c>
      <c r="D586" t="s">
        <v>1320</v>
      </c>
      <c r="E586" t="s">
        <v>892</v>
      </c>
      <c r="F586" t="s">
        <v>598</v>
      </c>
      <c r="G586" t="s">
        <v>599</v>
      </c>
      <c r="H586" t="s">
        <v>600</v>
      </c>
      <c r="I586" t="s">
        <v>601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270</v>
      </c>
      <c r="B587" t="s">
        <v>1412</v>
      </c>
      <c r="C587" t="s">
        <v>1382</v>
      </c>
      <c r="D587" t="s">
        <v>1320</v>
      </c>
      <c r="E587" t="s">
        <v>678</v>
      </c>
      <c r="F587" t="s">
        <v>598</v>
      </c>
      <c r="G587" t="s">
        <v>599</v>
      </c>
      <c r="H587" t="s">
        <v>600</v>
      </c>
      <c r="I587" t="s">
        <v>601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270</v>
      </c>
      <c r="B588" t="s">
        <v>1413</v>
      </c>
      <c r="C588" t="s">
        <v>1382</v>
      </c>
      <c r="D588" t="s">
        <v>1324</v>
      </c>
      <c r="E588" t="s">
        <v>1018</v>
      </c>
      <c r="F588" t="s">
        <v>598</v>
      </c>
      <c r="G588" t="s">
        <v>599</v>
      </c>
      <c r="H588" t="s">
        <v>600</v>
      </c>
      <c r="I588" t="s">
        <v>601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hidden="1">
      <c r="A589" t="s">
        <v>270</v>
      </c>
      <c r="B589" t="s">
        <v>1414</v>
      </c>
      <c r="C589" t="s">
        <v>1382</v>
      </c>
      <c r="D589" t="s">
        <v>1324</v>
      </c>
      <c r="E589" t="s">
        <v>688</v>
      </c>
      <c r="F589" t="s">
        <v>598</v>
      </c>
      <c r="G589" t="s">
        <v>599</v>
      </c>
      <c r="H589" t="s">
        <v>600</v>
      </c>
      <c r="I589" t="s">
        <v>601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270</v>
      </c>
      <c r="B590" t="s">
        <v>1415</v>
      </c>
      <c r="C590" t="s">
        <v>1382</v>
      </c>
      <c r="D590" t="s">
        <v>1324</v>
      </c>
      <c r="E590" t="s">
        <v>1334</v>
      </c>
      <c r="F590" t="s">
        <v>598</v>
      </c>
      <c r="G590" t="s">
        <v>599</v>
      </c>
      <c r="H590" t="s">
        <v>600</v>
      </c>
      <c r="I590" t="s">
        <v>601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270</v>
      </c>
      <c r="B591" t="s">
        <v>1416</v>
      </c>
      <c r="C591" t="s">
        <v>1382</v>
      </c>
      <c r="D591" t="s">
        <v>1324</v>
      </c>
      <c r="E591" t="s">
        <v>1417</v>
      </c>
      <c r="F591" t="s">
        <v>598</v>
      </c>
      <c r="G591" t="s">
        <v>599</v>
      </c>
      <c r="H591" t="s">
        <v>600</v>
      </c>
      <c r="I591" t="s">
        <v>601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270</v>
      </c>
      <c r="B592" t="s">
        <v>1418</v>
      </c>
      <c r="C592" t="s">
        <v>1382</v>
      </c>
      <c r="D592" t="s">
        <v>1324</v>
      </c>
      <c r="E592" t="s">
        <v>1326</v>
      </c>
      <c r="F592" t="s">
        <v>598</v>
      </c>
      <c r="G592" t="s">
        <v>599</v>
      </c>
      <c r="H592" t="s">
        <v>600</v>
      </c>
      <c r="I592" t="s">
        <v>601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hidden="1">
      <c r="A593" t="s">
        <v>270</v>
      </c>
      <c r="B593" t="s">
        <v>1419</v>
      </c>
      <c r="C593" t="s">
        <v>1382</v>
      </c>
      <c r="D593" t="s">
        <v>1324</v>
      </c>
      <c r="E593" t="s">
        <v>1402</v>
      </c>
      <c r="F593" t="s">
        <v>598</v>
      </c>
      <c r="G593" t="s">
        <v>599</v>
      </c>
      <c r="H593" t="s">
        <v>600</v>
      </c>
      <c r="I593" t="s">
        <v>601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270</v>
      </c>
      <c r="B594" t="s">
        <v>1420</v>
      </c>
      <c r="C594" t="s">
        <v>1382</v>
      </c>
      <c r="D594" t="s">
        <v>1324</v>
      </c>
      <c r="E594" t="s">
        <v>892</v>
      </c>
      <c r="F594" t="s">
        <v>598</v>
      </c>
      <c r="G594" t="s">
        <v>599</v>
      </c>
      <c r="H594" t="s">
        <v>600</v>
      </c>
      <c r="I594" t="s">
        <v>601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270</v>
      </c>
      <c r="B595" t="s">
        <v>1421</v>
      </c>
      <c r="C595" t="s">
        <v>1382</v>
      </c>
      <c r="D595" t="s">
        <v>1324</v>
      </c>
      <c r="E595" t="s">
        <v>1318</v>
      </c>
      <c r="F595" t="s">
        <v>598</v>
      </c>
      <c r="G595" t="s">
        <v>599</v>
      </c>
      <c r="H595" t="s">
        <v>600</v>
      </c>
      <c r="I595" t="s">
        <v>601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270</v>
      </c>
      <c r="B596" t="s">
        <v>1422</v>
      </c>
      <c r="C596" t="s">
        <v>1382</v>
      </c>
      <c r="D596" t="s">
        <v>1324</v>
      </c>
      <c r="E596" t="s">
        <v>1423</v>
      </c>
      <c r="F596" t="s">
        <v>598</v>
      </c>
      <c r="G596" t="s">
        <v>599</v>
      </c>
      <c r="H596" t="s">
        <v>600</v>
      </c>
      <c r="I596" t="s">
        <v>601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270</v>
      </c>
      <c r="B597" t="s">
        <v>1424</v>
      </c>
      <c r="C597" t="s">
        <v>1382</v>
      </c>
      <c r="D597" t="s">
        <v>1332</v>
      </c>
      <c r="E597" t="s">
        <v>688</v>
      </c>
      <c r="F597" t="s">
        <v>598</v>
      </c>
      <c r="G597" t="s">
        <v>599</v>
      </c>
      <c r="H597" t="s">
        <v>600</v>
      </c>
      <c r="I597" t="s">
        <v>601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270</v>
      </c>
      <c r="B598" t="s">
        <v>1425</v>
      </c>
      <c r="C598" t="s">
        <v>1382</v>
      </c>
      <c r="D598" t="s">
        <v>1332</v>
      </c>
      <c r="E598" t="s">
        <v>1334</v>
      </c>
      <c r="F598" t="s">
        <v>598</v>
      </c>
      <c r="G598" t="s">
        <v>599</v>
      </c>
      <c r="H598" t="s">
        <v>600</v>
      </c>
      <c r="I598" t="s">
        <v>601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270</v>
      </c>
      <c r="B599" t="s">
        <v>1426</v>
      </c>
      <c r="C599" t="s">
        <v>1382</v>
      </c>
      <c r="D599" t="s">
        <v>1332</v>
      </c>
      <c r="E599" t="s">
        <v>1417</v>
      </c>
      <c r="F599" t="s">
        <v>598</v>
      </c>
      <c r="G599" t="s">
        <v>599</v>
      </c>
      <c r="H599" t="s">
        <v>600</v>
      </c>
      <c r="I599" t="s">
        <v>601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270</v>
      </c>
      <c r="B600" t="s">
        <v>1427</v>
      </c>
      <c r="C600" t="s">
        <v>1382</v>
      </c>
      <c r="D600" t="s">
        <v>1332</v>
      </c>
      <c r="E600" t="s">
        <v>1326</v>
      </c>
      <c r="F600" t="s">
        <v>598</v>
      </c>
      <c r="G600" t="s">
        <v>599</v>
      </c>
      <c r="H600" t="s">
        <v>600</v>
      </c>
      <c r="I600" t="s">
        <v>601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270</v>
      </c>
      <c r="B601" t="s">
        <v>1428</v>
      </c>
      <c r="C601" t="s">
        <v>1382</v>
      </c>
      <c r="D601" t="s">
        <v>1332</v>
      </c>
      <c r="E601" t="s">
        <v>1402</v>
      </c>
      <c r="F601" t="s">
        <v>598</v>
      </c>
      <c r="G601" t="s">
        <v>599</v>
      </c>
      <c r="H601" t="s">
        <v>600</v>
      </c>
      <c r="I601" t="s">
        <v>601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270</v>
      </c>
      <c r="B602" t="s">
        <v>1429</v>
      </c>
      <c r="C602" t="s">
        <v>1382</v>
      </c>
      <c r="D602" t="s">
        <v>1332</v>
      </c>
      <c r="E602" t="s">
        <v>892</v>
      </c>
      <c r="F602" t="s">
        <v>598</v>
      </c>
      <c r="G602" t="s">
        <v>599</v>
      </c>
      <c r="H602" t="s">
        <v>600</v>
      </c>
      <c r="I602" t="s">
        <v>601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270</v>
      </c>
      <c r="B603" t="s">
        <v>1430</v>
      </c>
      <c r="C603" t="s">
        <v>1382</v>
      </c>
      <c r="D603" t="s">
        <v>1332</v>
      </c>
      <c r="E603" t="s">
        <v>1318</v>
      </c>
      <c r="F603" t="s">
        <v>598</v>
      </c>
      <c r="G603" t="s">
        <v>599</v>
      </c>
      <c r="H603" t="s">
        <v>600</v>
      </c>
      <c r="I603" t="s">
        <v>601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270</v>
      </c>
      <c r="B604" t="s">
        <v>1431</v>
      </c>
      <c r="C604" t="s">
        <v>1382</v>
      </c>
      <c r="D604" t="s">
        <v>1332</v>
      </c>
      <c r="E604" t="s">
        <v>1028</v>
      </c>
      <c r="F604" t="s">
        <v>598</v>
      </c>
      <c r="G604" t="s">
        <v>599</v>
      </c>
      <c r="H604" t="s">
        <v>600</v>
      </c>
      <c r="I604" t="s">
        <v>601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270</v>
      </c>
      <c r="B605" t="s">
        <v>1432</v>
      </c>
      <c r="C605" t="s">
        <v>1382</v>
      </c>
      <c r="D605" t="s">
        <v>1348</v>
      </c>
      <c r="E605" t="s">
        <v>688</v>
      </c>
      <c r="F605" t="s">
        <v>598</v>
      </c>
      <c r="G605" t="s">
        <v>599</v>
      </c>
      <c r="H605" t="s">
        <v>600</v>
      </c>
      <c r="I605" t="s">
        <v>601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270</v>
      </c>
      <c r="B606" t="s">
        <v>1433</v>
      </c>
      <c r="C606" t="s">
        <v>1382</v>
      </c>
      <c r="D606" t="s">
        <v>1350</v>
      </c>
      <c r="E606" t="s">
        <v>672</v>
      </c>
      <c r="F606" t="s">
        <v>598</v>
      </c>
      <c r="G606" t="s">
        <v>599</v>
      </c>
      <c r="H606" t="s">
        <v>600</v>
      </c>
      <c r="I606" t="s">
        <v>601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270</v>
      </c>
      <c r="B607" t="s">
        <v>1434</v>
      </c>
      <c r="C607" t="s">
        <v>1382</v>
      </c>
      <c r="D607" t="s">
        <v>1435</v>
      </c>
      <c r="E607" t="s">
        <v>973</v>
      </c>
      <c r="F607" t="s">
        <v>598</v>
      </c>
      <c r="G607" t="s">
        <v>599</v>
      </c>
      <c r="H607" t="s">
        <v>600</v>
      </c>
      <c r="I607" t="s">
        <v>601</v>
      </c>
      <c r="J607">
        <v>1.0395000000000001</v>
      </c>
      <c r="K607">
        <v>1.0396000000000001</v>
      </c>
      <c r="L607">
        <v>1.0398000000000001</v>
      </c>
      <c r="M607">
        <v>1.0399</v>
      </c>
      <c r="N607">
        <v>1.0401</v>
      </c>
      <c r="O607">
        <v>1.0402</v>
      </c>
      <c r="P607">
        <v>1.0404</v>
      </c>
      <c r="Q607">
        <v>1.0405</v>
      </c>
      <c r="R607">
        <v>1.0407</v>
      </c>
      <c r="S607">
        <v>1.0408999999999999</v>
      </c>
      <c r="T607">
        <v>1.0409999999999999</v>
      </c>
      <c r="U607">
        <v>1.0411999999999999</v>
      </c>
      <c r="V607">
        <v>1.0412999999999999</v>
      </c>
      <c r="W607">
        <v>1.0415000000000001</v>
      </c>
      <c r="X607">
        <v>1.0417000000000001</v>
      </c>
      <c r="Y607">
        <v>1.0418000000000001</v>
      </c>
    </row>
    <row r="608" spans="1:25" hidden="1">
      <c r="A608" t="s">
        <v>270</v>
      </c>
      <c r="B608" t="s">
        <v>1436</v>
      </c>
      <c r="C608" t="s">
        <v>1382</v>
      </c>
      <c r="D608" t="s">
        <v>1354</v>
      </c>
      <c r="E608" t="s">
        <v>973</v>
      </c>
      <c r="F608" t="s">
        <v>598</v>
      </c>
      <c r="G608" t="s">
        <v>599</v>
      </c>
      <c r="H608" t="s">
        <v>600</v>
      </c>
      <c r="I608" t="s">
        <v>601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270</v>
      </c>
      <c r="B609" t="s">
        <v>1437</v>
      </c>
      <c r="C609" t="s">
        <v>1382</v>
      </c>
      <c r="D609" t="s">
        <v>1354</v>
      </c>
      <c r="E609" t="s">
        <v>1438</v>
      </c>
      <c r="F609" t="s">
        <v>598</v>
      </c>
      <c r="G609" t="s">
        <v>599</v>
      </c>
      <c r="H609" t="s">
        <v>600</v>
      </c>
      <c r="I609" t="s">
        <v>601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270</v>
      </c>
      <c r="B610" t="s">
        <v>1439</v>
      </c>
      <c r="C610" t="s">
        <v>1382</v>
      </c>
      <c r="D610" t="s">
        <v>1440</v>
      </c>
      <c r="E610" t="s">
        <v>973</v>
      </c>
      <c r="F610" t="s">
        <v>598</v>
      </c>
      <c r="G610" t="s">
        <v>599</v>
      </c>
      <c r="H610" t="s">
        <v>600</v>
      </c>
      <c r="I610" t="s">
        <v>601</v>
      </c>
      <c r="J610">
        <v>0.57699999999999996</v>
      </c>
      <c r="K610">
        <v>0.57969999999999999</v>
      </c>
      <c r="L610">
        <v>0.58209999999999995</v>
      </c>
      <c r="M610">
        <v>0.58479999999999999</v>
      </c>
      <c r="N610">
        <v>0.58740000000000003</v>
      </c>
      <c r="O610">
        <v>0.58979999999999999</v>
      </c>
      <c r="P610">
        <v>0.59250000000000003</v>
      </c>
      <c r="Q610">
        <v>0.59519999999999995</v>
      </c>
      <c r="R610">
        <v>0.5978</v>
      </c>
      <c r="S610">
        <v>0.60070000000000001</v>
      </c>
      <c r="T610">
        <v>0.60340000000000005</v>
      </c>
      <c r="U610">
        <v>0.60599999999999998</v>
      </c>
      <c r="V610">
        <v>0.6089</v>
      </c>
      <c r="W610">
        <v>0.61180000000000001</v>
      </c>
      <c r="X610">
        <v>0.61450000000000005</v>
      </c>
      <c r="Y610">
        <v>0.61760000000000004</v>
      </c>
    </row>
    <row r="611" spans="1:25" hidden="1">
      <c r="A611" t="s">
        <v>270</v>
      </c>
      <c r="B611" t="s">
        <v>1441</v>
      </c>
      <c r="C611" t="s">
        <v>1382</v>
      </c>
      <c r="D611" t="s">
        <v>1440</v>
      </c>
      <c r="E611" t="s">
        <v>1378</v>
      </c>
      <c r="F611" t="s">
        <v>598</v>
      </c>
      <c r="G611" t="s">
        <v>599</v>
      </c>
      <c r="H611" t="s">
        <v>600</v>
      </c>
      <c r="I611" t="s">
        <v>601</v>
      </c>
      <c r="J611">
        <v>1.1900000000000001E-2</v>
      </c>
      <c r="K611">
        <v>1.1900000000000001E-2</v>
      </c>
      <c r="L611">
        <v>1.1900000000000001E-2</v>
      </c>
      <c r="M611">
        <v>1.1900000000000001E-2</v>
      </c>
      <c r="N611">
        <v>1.1900000000000001E-2</v>
      </c>
      <c r="O611">
        <v>1.1900000000000001E-2</v>
      </c>
      <c r="P611">
        <v>1.1900000000000001E-2</v>
      </c>
      <c r="Q611">
        <v>1.1900000000000001E-2</v>
      </c>
      <c r="R611">
        <v>1.1900000000000001E-2</v>
      </c>
      <c r="S611">
        <v>1.1900000000000001E-2</v>
      </c>
      <c r="T611">
        <v>1.1900000000000001E-2</v>
      </c>
      <c r="U611">
        <v>1.1900000000000001E-2</v>
      </c>
      <c r="V611">
        <v>1.1900000000000001E-2</v>
      </c>
      <c r="W611">
        <v>1.1900000000000001E-2</v>
      </c>
      <c r="X611">
        <v>1.1900000000000001E-2</v>
      </c>
      <c r="Y611">
        <v>1.1900000000000001E-2</v>
      </c>
    </row>
    <row r="612" spans="1:25" hidden="1">
      <c r="A612" t="s">
        <v>270</v>
      </c>
      <c r="B612" t="s">
        <v>1442</v>
      </c>
      <c r="C612" t="s">
        <v>1382</v>
      </c>
      <c r="D612" t="s">
        <v>1443</v>
      </c>
      <c r="E612" t="s">
        <v>611</v>
      </c>
      <c r="F612" t="s">
        <v>598</v>
      </c>
      <c r="G612" t="s">
        <v>599</v>
      </c>
      <c r="H612" t="s">
        <v>600</v>
      </c>
      <c r="I612" t="s">
        <v>601</v>
      </c>
      <c r="J612">
        <v>2.6499999999999999E-2</v>
      </c>
      <c r="K612">
        <v>2.6499999999999999E-2</v>
      </c>
      <c r="L612">
        <v>2.6499999999999999E-2</v>
      </c>
      <c r="M612">
        <v>2.6499999999999999E-2</v>
      </c>
      <c r="N612">
        <v>2.6499999999999999E-2</v>
      </c>
      <c r="O612">
        <v>2.6499999999999999E-2</v>
      </c>
      <c r="P612">
        <v>2.6499999999999999E-2</v>
      </c>
      <c r="Q612">
        <v>2.6499999999999999E-2</v>
      </c>
      <c r="R612">
        <v>2.6499999999999999E-2</v>
      </c>
      <c r="S612">
        <v>2.6499999999999999E-2</v>
      </c>
      <c r="T612">
        <v>2.6499999999999999E-2</v>
      </c>
      <c r="U612">
        <v>2.6499999999999999E-2</v>
      </c>
      <c r="V612">
        <v>2.6499999999999999E-2</v>
      </c>
      <c r="W612">
        <v>2.6499999999999999E-2</v>
      </c>
      <c r="X612">
        <v>2.6499999999999999E-2</v>
      </c>
      <c r="Y612">
        <v>2.6499999999999999E-2</v>
      </c>
    </row>
    <row r="613" spans="1:25" hidden="1">
      <c r="A613" t="s">
        <v>270</v>
      </c>
      <c r="B613" t="s">
        <v>1444</v>
      </c>
      <c r="C613" t="s">
        <v>1382</v>
      </c>
      <c r="D613" t="s">
        <v>1445</v>
      </c>
      <c r="E613" t="s">
        <v>973</v>
      </c>
      <c r="F613" t="s">
        <v>598</v>
      </c>
      <c r="G613" t="s">
        <v>599</v>
      </c>
      <c r="H613" t="s">
        <v>600</v>
      </c>
      <c r="I613" t="s">
        <v>601</v>
      </c>
      <c r="J613">
        <v>3.7000000000000002E-3</v>
      </c>
      <c r="K613">
        <v>3.8E-3</v>
      </c>
      <c r="L613">
        <v>3.8E-3</v>
      </c>
      <c r="M613">
        <v>3.8999999999999998E-3</v>
      </c>
      <c r="N613">
        <v>3.8999999999999998E-3</v>
      </c>
      <c r="O613">
        <v>4.0000000000000001E-3</v>
      </c>
      <c r="P613">
        <v>4.0000000000000001E-3</v>
      </c>
      <c r="Q613">
        <v>4.0000000000000001E-3</v>
      </c>
      <c r="R613">
        <v>4.1000000000000003E-3</v>
      </c>
      <c r="S613">
        <v>4.1000000000000003E-3</v>
      </c>
      <c r="T613">
        <v>4.1000000000000003E-3</v>
      </c>
      <c r="U613">
        <v>4.1999999999999997E-3</v>
      </c>
      <c r="V613">
        <v>4.1999999999999997E-3</v>
      </c>
      <c r="W613">
        <v>4.3E-3</v>
      </c>
      <c r="X613">
        <v>4.3E-3</v>
      </c>
      <c r="Y613">
        <v>4.3E-3</v>
      </c>
    </row>
    <row r="614" spans="1:25" hidden="1">
      <c r="A614" t="s">
        <v>270</v>
      </c>
      <c r="B614" t="s">
        <v>1446</v>
      </c>
      <c r="C614" t="s">
        <v>1382</v>
      </c>
      <c r="D614" t="s">
        <v>1445</v>
      </c>
      <c r="E614" t="s">
        <v>1447</v>
      </c>
      <c r="F614" t="s">
        <v>598</v>
      </c>
      <c r="G614" t="s">
        <v>599</v>
      </c>
      <c r="H614" t="s">
        <v>600</v>
      </c>
      <c r="I614" t="s">
        <v>601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270</v>
      </c>
      <c r="B615" t="s">
        <v>1448</v>
      </c>
      <c r="C615" t="s">
        <v>1382</v>
      </c>
      <c r="D615" t="s">
        <v>1449</v>
      </c>
      <c r="E615" t="s">
        <v>1450</v>
      </c>
      <c r="F615" t="s">
        <v>598</v>
      </c>
      <c r="G615" t="s">
        <v>599</v>
      </c>
      <c r="H615" t="s">
        <v>600</v>
      </c>
      <c r="I615" t="s">
        <v>601</v>
      </c>
      <c r="J615">
        <v>8.2000000000000007E-3</v>
      </c>
      <c r="K615">
        <v>8.2000000000000007E-3</v>
      </c>
      <c r="L615">
        <v>8.3000000000000001E-3</v>
      </c>
      <c r="M615">
        <v>8.3999999999999995E-3</v>
      </c>
      <c r="N615">
        <v>8.5000000000000006E-3</v>
      </c>
      <c r="O615">
        <v>8.6E-3</v>
      </c>
      <c r="P615">
        <v>8.6999999999999994E-3</v>
      </c>
      <c r="Q615">
        <v>8.6999999999999994E-3</v>
      </c>
      <c r="R615">
        <v>8.8000000000000005E-3</v>
      </c>
      <c r="S615">
        <v>8.8999999999999999E-3</v>
      </c>
      <c r="T615">
        <v>8.9999999999999993E-3</v>
      </c>
      <c r="U615">
        <v>9.1000000000000004E-3</v>
      </c>
      <c r="V615">
        <v>9.1999999999999998E-3</v>
      </c>
      <c r="W615">
        <v>9.2999999999999992E-3</v>
      </c>
      <c r="X615">
        <v>9.4000000000000004E-3</v>
      </c>
      <c r="Y615">
        <v>9.4999999999999998E-3</v>
      </c>
    </row>
    <row r="616" spans="1:25" hidden="1">
      <c r="A616" t="s">
        <v>270</v>
      </c>
      <c r="B616" t="s">
        <v>1451</v>
      </c>
      <c r="C616" t="s">
        <v>1382</v>
      </c>
      <c r="D616" t="s">
        <v>1365</v>
      </c>
      <c r="E616" t="s">
        <v>973</v>
      </c>
      <c r="F616" t="s">
        <v>598</v>
      </c>
      <c r="G616" t="s">
        <v>599</v>
      </c>
      <c r="H616" t="s">
        <v>600</v>
      </c>
      <c r="I616" t="s">
        <v>601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270</v>
      </c>
      <c r="B617" t="s">
        <v>1452</v>
      </c>
      <c r="C617" t="s">
        <v>1382</v>
      </c>
      <c r="D617" t="s">
        <v>1365</v>
      </c>
      <c r="E617" t="s">
        <v>626</v>
      </c>
      <c r="F617" t="s">
        <v>598</v>
      </c>
      <c r="G617" t="s">
        <v>599</v>
      </c>
      <c r="H617" t="s">
        <v>600</v>
      </c>
      <c r="I617" t="s">
        <v>601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270</v>
      </c>
      <c r="B618" t="s">
        <v>1453</v>
      </c>
      <c r="C618" t="s">
        <v>1382</v>
      </c>
      <c r="D618" t="s">
        <v>1365</v>
      </c>
      <c r="E618" t="s">
        <v>628</v>
      </c>
      <c r="F618" t="s">
        <v>598</v>
      </c>
      <c r="G618" t="s">
        <v>599</v>
      </c>
      <c r="H618" t="s">
        <v>600</v>
      </c>
      <c r="I618" t="s">
        <v>601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270</v>
      </c>
      <c r="B619" t="s">
        <v>1454</v>
      </c>
      <c r="C619" t="s">
        <v>1382</v>
      </c>
      <c r="D619" t="s">
        <v>1365</v>
      </c>
      <c r="E619" t="s">
        <v>888</v>
      </c>
      <c r="F619" t="s">
        <v>598</v>
      </c>
      <c r="G619" t="s">
        <v>599</v>
      </c>
      <c r="H619" t="s">
        <v>600</v>
      </c>
      <c r="I619" t="s">
        <v>601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270</v>
      </c>
      <c r="B620" t="s">
        <v>1455</v>
      </c>
      <c r="C620" t="s">
        <v>1382</v>
      </c>
      <c r="D620" t="s">
        <v>1365</v>
      </c>
      <c r="E620" t="s">
        <v>781</v>
      </c>
      <c r="F620" t="s">
        <v>598</v>
      </c>
      <c r="G620" t="s">
        <v>599</v>
      </c>
      <c r="H620" t="s">
        <v>600</v>
      </c>
      <c r="I620" t="s">
        <v>601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270</v>
      </c>
      <c r="B621" t="s">
        <v>1456</v>
      </c>
      <c r="C621" t="s">
        <v>1382</v>
      </c>
      <c r="D621" t="s">
        <v>1365</v>
      </c>
      <c r="E621" t="s">
        <v>678</v>
      </c>
      <c r="F621" t="s">
        <v>598</v>
      </c>
      <c r="G621" t="s">
        <v>599</v>
      </c>
      <c r="H621" t="s">
        <v>600</v>
      </c>
      <c r="I621" t="s">
        <v>601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270</v>
      </c>
      <c r="B622" t="s">
        <v>1457</v>
      </c>
      <c r="C622" t="s">
        <v>1382</v>
      </c>
      <c r="D622" t="s">
        <v>1458</v>
      </c>
      <c r="E622" t="s">
        <v>626</v>
      </c>
      <c r="F622" t="s">
        <v>598</v>
      </c>
      <c r="G622" t="s">
        <v>599</v>
      </c>
      <c r="H622" t="s">
        <v>600</v>
      </c>
      <c r="I622" t="s">
        <v>601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270</v>
      </c>
      <c r="B623" t="s">
        <v>1459</v>
      </c>
      <c r="C623" t="s">
        <v>1382</v>
      </c>
      <c r="D623" t="s">
        <v>648</v>
      </c>
      <c r="E623" t="s">
        <v>920</v>
      </c>
      <c r="F623" t="s">
        <v>598</v>
      </c>
      <c r="G623" t="s">
        <v>599</v>
      </c>
      <c r="H623" t="s">
        <v>600</v>
      </c>
      <c r="I623" t="s">
        <v>601</v>
      </c>
      <c r="J623">
        <v>7.6899999999999996E-2</v>
      </c>
      <c r="K623">
        <v>7.8E-2</v>
      </c>
      <c r="L623">
        <v>7.8700000000000006E-2</v>
      </c>
      <c r="M623">
        <v>7.9500000000000001E-2</v>
      </c>
      <c r="N623">
        <v>8.0199999999999994E-2</v>
      </c>
      <c r="O623">
        <v>8.0799999999999997E-2</v>
      </c>
      <c r="P623">
        <v>8.1500000000000003E-2</v>
      </c>
      <c r="Q623">
        <v>8.2100000000000006E-2</v>
      </c>
      <c r="R623">
        <v>8.3299999999999999E-2</v>
      </c>
      <c r="S623">
        <v>8.4000000000000005E-2</v>
      </c>
      <c r="T623">
        <v>8.4599999999999995E-2</v>
      </c>
      <c r="U623">
        <v>8.5300000000000001E-2</v>
      </c>
      <c r="V623">
        <v>8.5999999999999993E-2</v>
      </c>
      <c r="W623">
        <v>8.7099999999999997E-2</v>
      </c>
      <c r="X623">
        <v>8.7900000000000006E-2</v>
      </c>
      <c r="Y623">
        <v>8.8599999999999998E-2</v>
      </c>
    </row>
    <row r="624" spans="1:25" hidden="1">
      <c r="A624" t="s">
        <v>270</v>
      </c>
      <c r="B624" t="s">
        <v>1460</v>
      </c>
      <c r="C624" t="s">
        <v>1382</v>
      </c>
      <c r="D624" t="s">
        <v>648</v>
      </c>
      <c r="E624" t="s">
        <v>973</v>
      </c>
      <c r="F624" t="s">
        <v>598</v>
      </c>
      <c r="G624" t="s">
        <v>599</v>
      </c>
      <c r="H624" t="s">
        <v>600</v>
      </c>
      <c r="I624" t="s">
        <v>601</v>
      </c>
      <c r="J624">
        <v>1.8E-3</v>
      </c>
      <c r="K624">
        <v>1.8E-3</v>
      </c>
      <c r="L624">
        <v>1.8E-3</v>
      </c>
      <c r="M624">
        <v>1.8E-3</v>
      </c>
      <c r="N624">
        <v>1.8E-3</v>
      </c>
      <c r="O624">
        <v>1.8E-3</v>
      </c>
      <c r="P624">
        <v>1.8E-3</v>
      </c>
      <c r="Q624">
        <v>1.8E-3</v>
      </c>
      <c r="R624">
        <v>1.8E-3</v>
      </c>
      <c r="S624">
        <v>1.8E-3</v>
      </c>
      <c r="T624">
        <v>1.8E-3</v>
      </c>
      <c r="U624">
        <v>1.8E-3</v>
      </c>
      <c r="V624">
        <v>1.8E-3</v>
      </c>
      <c r="W624">
        <v>1.8E-3</v>
      </c>
      <c r="X624">
        <v>1.8E-3</v>
      </c>
      <c r="Y624">
        <v>1.8E-3</v>
      </c>
    </row>
    <row r="625" spans="1:25" hidden="1">
      <c r="A625" t="s">
        <v>270</v>
      </c>
      <c r="B625" t="s">
        <v>1461</v>
      </c>
      <c r="C625" t="s">
        <v>1382</v>
      </c>
      <c r="D625" t="s">
        <v>648</v>
      </c>
      <c r="E625" t="s">
        <v>642</v>
      </c>
      <c r="F625" t="s">
        <v>598</v>
      </c>
      <c r="G625" t="s">
        <v>599</v>
      </c>
      <c r="H625" t="s">
        <v>600</v>
      </c>
      <c r="I625" t="s">
        <v>601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270</v>
      </c>
      <c r="B626" t="s">
        <v>1462</v>
      </c>
      <c r="C626" t="s">
        <v>1382</v>
      </c>
      <c r="D626" t="s">
        <v>648</v>
      </c>
      <c r="E626" t="s">
        <v>929</v>
      </c>
      <c r="F626" t="s">
        <v>598</v>
      </c>
      <c r="G626" t="s">
        <v>599</v>
      </c>
      <c r="H626" t="s">
        <v>600</v>
      </c>
      <c r="I626" t="s">
        <v>601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hidden="1">
      <c r="A627" t="s">
        <v>270</v>
      </c>
      <c r="B627" t="s">
        <v>1463</v>
      </c>
      <c r="C627" t="s">
        <v>1382</v>
      </c>
      <c r="D627" t="s">
        <v>648</v>
      </c>
      <c r="E627" t="s">
        <v>1464</v>
      </c>
      <c r="F627" t="s">
        <v>598</v>
      </c>
      <c r="G627" t="s">
        <v>599</v>
      </c>
      <c r="H627" t="s">
        <v>600</v>
      </c>
      <c r="I627" t="s">
        <v>601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270</v>
      </c>
      <c r="B628" t="s">
        <v>1465</v>
      </c>
      <c r="C628" t="s">
        <v>1382</v>
      </c>
      <c r="D628" t="s">
        <v>648</v>
      </c>
      <c r="E628" t="s">
        <v>678</v>
      </c>
      <c r="F628" t="s">
        <v>598</v>
      </c>
      <c r="G628" t="s">
        <v>599</v>
      </c>
      <c r="H628" t="s">
        <v>600</v>
      </c>
      <c r="I628" t="s">
        <v>601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270</v>
      </c>
      <c r="B629" t="s">
        <v>1466</v>
      </c>
      <c r="C629" t="s">
        <v>1382</v>
      </c>
      <c r="D629" t="s">
        <v>648</v>
      </c>
      <c r="E629" t="s">
        <v>1467</v>
      </c>
      <c r="F629" t="s">
        <v>598</v>
      </c>
      <c r="G629" t="s">
        <v>599</v>
      </c>
      <c r="H629" t="s">
        <v>600</v>
      </c>
      <c r="I629" t="s">
        <v>601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270</v>
      </c>
      <c r="B630" t="s">
        <v>1468</v>
      </c>
      <c r="C630" t="s">
        <v>1382</v>
      </c>
      <c r="D630" t="s">
        <v>648</v>
      </c>
      <c r="E630" t="s">
        <v>1469</v>
      </c>
      <c r="F630" t="s">
        <v>598</v>
      </c>
      <c r="G630" t="s">
        <v>599</v>
      </c>
      <c r="H630" t="s">
        <v>600</v>
      </c>
      <c r="I630" t="s">
        <v>601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hidden="1">
      <c r="A631" t="s">
        <v>270</v>
      </c>
      <c r="B631" t="s">
        <v>1470</v>
      </c>
      <c r="C631" t="s">
        <v>1382</v>
      </c>
      <c r="D631" t="s">
        <v>648</v>
      </c>
      <c r="E631" t="s">
        <v>1393</v>
      </c>
      <c r="F631" t="s">
        <v>598</v>
      </c>
      <c r="G631" t="s">
        <v>599</v>
      </c>
      <c r="H631" t="s">
        <v>600</v>
      </c>
      <c r="I631" t="s">
        <v>601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hidden="1">
      <c r="A632" t="s">
        <v>270</v>
      </c>
      <c r="B632" t="s">
        <v>1471</v>
      </c>
      <c r="C632" t="s">
        <v>1472</v>
      </c>
      <c r="D632" t="s">
        <v>1274</v>
      </c>
      <c r="E632" t="s">
        <v>973</v>
      </c>
      <c r="F632" t="s">
        <v>598</v>
      </c>
      <c r="G632" t="s">
        <v>599</v>
      </c>
      <c r="H632" t="s">
        <v>600</v>
      </c>
      <c r="I632" t="s">
        <v>601</v>
      </c>
      <c r="J632">
        <v>2.9999999999999997E-4</v>
      </c>
      <c r="K632">
        <v>2.9999999999999997E-4</v>
      </c>
      <c r="L632">
        <v>2.9999999999999997E-4</v>
      </c>
      <c r="M632">
        <v>2.9999999999999997E-4</v>
      </c>
      <c r="N632">
        <v>2.9999999999999997E-4</v>
      </c>
      <c r="O632">
        <v>2.9999999999999997E-4</v>
      </c>
      <c r="P632">
        <v>2.9999999999999997E-4</v>
      </c>
      <c r="Q632">
        <v>2.9999999999999997E-4</v>
      </c>
      <c r="R632">
        <v>2.0000000000000001E-4</v>
      </c>
      <c r="S632">
        <v>2.0000000000000001E-4</v>
      </c>
      <c r="T632">
        <v>2.0000000000000001E-4</v>
      </c>
      <c r="U632">
        <v>2.0000000000000001E-4</v>
      </c>
      <c r="V632">
        <v>2.0000000000000001E-4</v>
      </c>
      <c r="W632">
        <v>2.0000000000000001E-4</v>
      </c>
      <c r="X632">
        <v>2.0000000000000001E-4</v>
      </c>
      <c r="Y632">
        <v>2.0000000000000001E-4</v>
      </c>
    </row>
    <row r="633" spans="1:25" hidden="1">
      <c r="A633" t="s">
        <v>270</v>
      </c>
      <c r="B633" t="s">
        <v>1473</v>
      </c>
      <c r="C633" t="s">
        <v>1472</v>
      </c>
      <c r="D633" t="s">
        <v>1274</v>
      </c>
      <c r="E633" t="s">
        <v>597</v>
      </c>
      <c r="F633" t="s">
        <v>598</v>
      </c>
      <c r="G633" t="s">
        <v>599</v>
      </c>
      <c r="H633" t="s">
        <v>600</v>
      </c>
      <c r="I633" t="s">
        <v>601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hidden="1">
      <c r="A634" t="s">
        <v>270</v>
      </c>
      <c r="B634" t="s">
        <v>1474</v>
      </c>
      <c r="C634" t="s">
        <v>1472</v>
      </c>
      <c r="D634" t="s">
        <v>1274</v>
      </c>
      <c r="E634" t="s">
        <v>678</v>
      </c>
      <c r="F634" t="s">
        <v>598</v>
      </c>
      <c r="G634" t="s">
        <v>599</v>
      </c>
      <c r="H634" t="s">
        <v>600</v>
      </c>
      <c r="I634" t="s">
        <v>601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hidden="1">
      <c r="A635" t="s">
        <v>270</v>
      </c>
      <c r="B635" t="s">
        <v>1475</v>
      </c>
      <c r="C635" t="s">
        <v>1472</v>
      </c>
      <c r="D635" t="s">
        <v>1281</v>
      </c>
      <c r="E635" t="s">
        <v>678</v>
      </c>
      <c r="F635" t="s">
        <v>598</v>
      </c>
      <c r="G635" t="s">
        <v>599</v>
      </c>
      <c r="H635" t="s">
        <v>600</v>
      </c>
      <c r="I635" t="s">
        <v>601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hidden="1">
      <c r="A636" t="s">
        <v>270</v>
      </c>
      <c r="B636" t="s">
        <v>1476</v>
      </c>
      <c r="C636" t="s">
        <v>1472</v>
      </c>
      <c r="D636" t="s">
        <v>1285</v>
      </c>
      <c r="E636" t="s">
        <v>678</v>
      </c>
      <c r="F636" t="s">
        <v>598</v>
      </c>
      <c r="G636" t="s">
        <v>599</v>
      </c>
      <c r="H636" t="s">
        <v>600</v>
      </c>
      <c r="I636" t="s">
        <v>601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hidden="1">
      <c r="A637" t="s">
        <v>270</v>
      </c>
      <c r="B637" t="s">
        <v>1477</v>
      </c>
      <c r="C637" t="s">
        <v>1472</v>
      </c>
      <c r="D637" t="s">
        <v>1287</v>
      </c>
      <c r="E637" t="s">
        <v>597</v>
      </c>
      <c r="F637" t="s">
        <v>598</v>
      </c>
      <c r="G637" t="s">
        <v>599</v>
      </c>
      <c r="H637" t="s">
        <v>600</v>
      </c>
      <c r="I637" t="s">
        <v>601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</row>
    <row r="638" spans="1:25" hidden="1">
      <c r="A638" t="s">
        <v>270</v>
      </c>
      <c r="B638" t="s">
        <v>1478</v>
      </c>
      <c r="C638" t="s">
        <v>1472</v>
      </c>
      <c r="D638" t="s">
        <v>1305</v>
      </c>
      <c r="E638" t="s">
        <v>973</v>
      </c>
      <c r="F638" t="s">
        <v>598</v>
      </c>
      <c r="G638" t="s">
        <v>599</v>
      </c>
      <c r="H638" t="s">
        <v>600</v>
      </c>
      <c r="I638" t="s">
        <v>601</v>
      </c>
      <c r="J638">
        <v>1.5E-3</v>
      </c>
      <c r="K638">
        <v>1.5E-3</v>
      </c>
      <c r="L638">
        <v>1.5E-3</v>
      </c>
      <c r="M638">
        <v>1.6000000000000001E-3</v>
      </c>
      <c r="N638">
        <v>1.6000000000000001E-3</v>
      </c>
      <c r="O638">
        <v>1.6000000000000001E-3</v>
      </c>
      <c r="P638">
        <v>1.6000000000000001E-3</v>
      </c>
      <c r="Q638">
        <v>1.6000000000000001E-3</v>
      </c>
      <c r="R638">
        <v>1.6000000000000001E-3</v>
      </c>
      <c r="S638">
        <v>1.6000000000000001E-3</v>
      </c>
      <c r="T638">
        <v>1.5E-3</v>
      </c>
      <c r="U638">
        <v>1.5E-3</v>
      </c>
      <c r="V638">
        <v>1.5E-3</v>
      </c>
      <c r="W638">
        <v>1.5E-3</v>
      </c>
      <c r="X638">
        <v>1.5E-3</v>
      </c>
      <c r="Y638">
        <v>1.5E-3</v>
      </c>
    </row>
    <row r="639" spans="1:25" hidden="1">
      <c r="A639" t="s">
        <v>270</v>
      </c>
      <c r="B639" t="s">
        <v>1479</v>
      </c>
      <c r="C639" t="s">
        <v>1472</v>
      </c>
      <c r="D639" t="s">
        <v>1305</v>
      </c>
      <c r="E639" t="s">
        <v>688</v>
      </c>
      <c r="F639" t="s">
        <v>598</v>
      </c>
      <c r="G639" t="s">
        <v>599</v>
      </c>
      <c r="H639" t="s">
        <v>600</v>
      </c>
      <c r="I639" t="s">
        <v>601</v>
      </c>
      <c r="J639">
        <v>2.9999999999999997E-4</v>
      </c>
      <c r="K639">
        <v>2.9999999999999997E-4</v>
      </c>
      <c r="L639">
        <v>2.9999999999999997E-4</v>
      </c>
      <c r="M639">
        <v>2.9999999999999997E-4</v>
      </c>
      <c r="N639">
        <v>2.9999999999999997E-4</v>
      </c>
      <c r="O639">
        <v>2.9999999999999997E-4</v>
      </c>
      <c r="P639">
        <v>2.9999999999999997E-4</v>
      </c>
      <c r="Q639">
        <v>2.9999999999999997E-4</v>
      </c>
      <c r="R639">
        <v>2.9999999999999997E-4</v>
      </c>
      <c r="S639">
        <v>2.9999999999999997E-4</v>
      </c>
      <c r="T639">
        <v>2.9999999999999997E-4</v>
      </c>
      <c r="U639">
        <v>2.9999999999999997E-4</v>
      </c>
      <c r="V639">
        <v>2.9999999999999997E-4</v>
      </c>
      <c r="W639">
        <v>2.9999999999999997E-4</v>
      </c>
      <c r="X639">
        <v>2.9999999999999997E-4</v>
      </c>
      <c r="Y639">
        <v>2.9999999999999997E-4</v>
      </c>
    </row>
    <row r="640" spans="1:25" hidden="1">
      <c r="A640" t="s">
        <v>270</v>
      </c>
      <c r="B640" t="s">
        <v>1480</v>
      </c>
      <c r="C640" t="s">
        <v>1472</v>
      </c>
      <c r="D640" t="s">
        <v>1305</v>
      </c>
      <c r="E640" t="s">
        <v>678</v>
      </c>
      <c r="F640" t="s">
        <v>598</v>
      </c>
      <c r="G640" t="s">
        <v>599</v>
      </c>
      <c r="H640" t="s">
        <v>600</v>
      </c>
      <c r="I640" t="s">
        <v>601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hidden="1">
      <c r="A641" t="s">
        <v>270</v>
      </c>
      <c r="B641" t="s">
        <v>1481</v>
      </c>
      <c r="C641" t="s">
        <v>1472</v>
      </c>
      <c r="D641" t="s">
        <v>1305</v>
      </c>
      <c r="E641" t="s">
        <v>1378</v>
      </c>
      <c r="F641" t="s">
        <v>598</v>
      </c>
      <c r="G641" t="s">
        <v>599</v>
      </c>
      <c r="H641" t="s">
        <v>600</v>
      </c>
      <c r="I641" t="s">
        <v>601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hidden="1">
      <c r="A642" t="s">
        <v>270</v>
      </c>
      <c r="B642" t="s">
        <v>1482</v>
      </c>
      <c r="C642" t="s">
        <v>1472</v>
      </c>
      <c r="D642" t="s">
        <v>1483</v>
      </c>
      <c r="E642" t="s">
        <v>597</v>
      </c>
      <c r="F642" t="s">
        <v>598</v>
      </c>
      <c r="G642" t="s">
        <v>599</v>
      </c>
      <c r="H642" t="s">
        <v>600</v>
      </c>
      <c r="I642" t="s">
        <v>601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hidden="1">
      <c r="A643" t="s">
        <v>270</v>
      </c>
      <c r="B643" t="s">
        <v>1484</v>
      </c>
      <c r="C643" t="s">
        <v>1472</v>
      </c>
      <c r="D643" t="s">
        <v>1485</v>
      </c>
      <c r="E643" t="s">
        <v>642</v>
      </c>
      <c r="F643" t="s">
        <v>598</v>
      </c>
      <c r="G643" t="s">
        <v>599</v>
      </c>
      <c r="H643" t="s">
        <v>600</v>
      </c>
      <c r="I643" t="s">
        <v>601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hidden="1">
      <c r="A644" t="s">
        <v>270</v>
      </c>
      <c r="B644" t="s">
        <v>1486</v>
      </c>
      <c r="C644" t="s">
        <v>1472</v>
      </c>
      <c r="D644" t="s">
        <v>1311</v>
      </c>
      <c r="E644" t="s">
        <v>973</v>
      </c>
      <c r="F644" t="s">
        <v>598</v>
      </c>
      <c r="G644" t="s">
        <v>599</v>
      </c>
      <c r="H644" t="s">
        <v>600</v>
      </c>
      <c r="I644" t="s">
        <v>601</v>
      </c>
      <c r="J644">
        <v>4.0000000000000002E-4</v>
      </c>
      <c r="K644">
        <v>4.0000000000000002E-4</v>
      </c>
      <c r="L644">
        <v>4.0000000000000002E-4</v>
      </c>
      <c r="M644">
        <v>4.0000000000000002E-4</v>
      </c>
      <c r="N644">
        <v>4.0000000000000002E-4</v>
      </c>
      <c r="O644">
        <v>4.0000000000000002E-4</v>
      </c>
      <c r="P644">
        <v>4.0000000000000002E-4</v>
      </c>
      <c r="Q644">
        <v>4.0000000000000002E-4</v>
      </c>
      <c r="R644">
        <v>4.0000000000000002E-4</v>
      </c>
      <c r="S644">
        <v>4.0000000000000002E-4</v>
      </c>
      <c r="T644">
        <v>4.0000000000000002E-4</v>
      </c>
      <c r="U644">
        <v>4.0000000000000002E-4</v>
      </c>
      <c r="V644">
        <v>4.0000000000000002E-4</v>
      </c>
      <c r="W644">
        <v>4.0000000000000002E-4</v>
      </c>
      <c r="X644">
        <v>4.0000000000000002E-4</v>
      </c>
      <c r="Y644">
        <v>4.0000000000000002E-4</v>
      </c>
    </row>
    <row r="645" spans="1:25" hidden="1">
      <c r="A645" t="s">
        <v>270</v>
      </c>
      <c r="B645" t="s">
        <v>1487</v>
      </c>
      <c r="C645" t="s">
        <v>1472</v>
      </c>
      <c r="D645" t="s">
        <v>1311</v>
      </c>
      <c r="E645" t="s">
        <v>605</v>
      </c>
      <c r="F645" t="s">
        <v>598</v>
      </c>
      <c r="G645" t="s">
        <v>599</v>
      </c>
      <c r="H645" t="s">
        <v>600</v>
      </c>
      <c r="I645" t="s">
        <v>601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hidden="1">
      <c r="A646" t="s">
        <v>270</v>
      </c>
      <c r="B646" t="s">
        <v>1488</v>
      </c>
      <c r="C646" t="s">
        <v>1472</v>
      </c>
      <c r="D646" t="s">
        <v>1392</v>
      </c>
      <c r="E646" t="s">
        <v>688</v>
      </c>
      <c r="F646" t="s">
        <v>598</v>
      </c>
      <c r="G646" t="s">
        <v>599</v>
      </c>
      <c r="H646" t="s">
        <v>600</v>
      </c>
      <c r="I646" t="s">
        <v>601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hidden="1">
      <c r="A647" t="s">
        <v>270</v>
      </c>
      <c r="B647" t="s">
        <v>1489</v>
      </c>
      <c r="C647" t="s">
        <v>1472</v>
      </c>
      <c r="D647" t="s">
        <v>1392</v>
      </c>
      <c r="E647" t="s">
        <v>1402</v>
      </c>
      <c r="F647" t="s">
        <v>598</v>
      </c>
      <c r="G647" t="s">
        <v>599</v>
      </c>
      <c r="H647" t="s">
        <v>600</v>
      </c>
      <c r="I647" t="s">
        <v>601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hidden="1">
      <c r="A648" t="s">
        <v>270</v>
      </c>
      <c r="B648" t="s">
        <v>1490</v>
      </c>
      <c r="C648" t="s">
        <v>1472</v>
      </c>
      <c r="D648" t="s">
        <v>1392</v>
      </c>
      <c r="E648" t="s">
        <v>892</v>
      </c>
      <c r="F648" t="s">
        <v>598</v>
      </c>
      <c r="G648" t="s">
        <v>599</v>
      </c>
      <c r="H648" t="s">
        <v>600</v>
      </c>
      <c r="I648" t="s">
        <v>601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270</v>
      </c>
      <c r="B649" t="s">
        <v>1491</v>
      </c>
      <c r="C649" t="s">
        <v>1472</v>
      </c>
      <c r="D649" t="s">
        <v>1392</v>
      </c>
      <c r="E649" t="s">
        <v>1393</v>
      </c>
      <c r="F649" t="s">
        <v>598</v>
      </c>
      <c r="G649" t="s">
        <v>599</v>
      </c>
      <c r="H649" t="s">
        <v>600</v>
      </c>
      <c r="I649" t="s">
        <v>601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270</v>
      </c>
      <c r="B650" t="s">
        <v>1492</v>
      </c>
      <c r="C650" t="s">
        <v>1472</v>
      </c>
      <c r="D650" t="s">
        <v>1316</v>
      </c>
      <c r="E650" t="s">
        <v>688</v>
      </c>
      <c r="F650" t="s">
        <v>598</v>
      </c>
      <c r="G650" t="s">
        <v>599</v>
      </c>
      <c r="H650" t="s">
        <v>600</v>
      </c>
      <c r="I650" t="s">
        <v>601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hidden="1">
      <c r="A651" t="s">
        <v>270</v>
      </c>
      <c r="B651" t="s">
        <v>1493</v>
      </c>
      <c r="C651" t="s">
        <v>1472</v>
      </c>
      <c r="D651" t="s">
        <v>1316</v>
      </c>
      <c r="E651" t="s">
        <v>626</v>
      </c>
      <c r="F651" t="s">
        <v>598</v>
      </c>
      <c r="G651" t="s">
        <v>599</v>
      </c>
      <c r="H651" t="s">
        <v>600</v>
      </c>
      <c r="I651" t="s">
        <v>601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hidden="1">
      <c r="A652" t="s">
        <v>270</v>
      </c>
      <c r="B652" t="s">
        <v>1494</v>
      </c>
      <c r="C652" t="s">
        <v>1472</v>
      </c>
      <c r="D652" t="s">
        <v>1316</v>
      </c>
      <c r="E652" t="s">
        <v>1334</v>
      </c>
      <c r="F652" t="s">
        <v>598</v>
      </c>
      <c r="G652" t="s">
        <v>599</v>
      </c>
      <c r="H652" t="s">
        <v>600</v>
      </c>
      <c r="I652" t="s">
        <v>601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hidden="1">
      <c r="A653" t="s">
        <v>270</v>
      </c>
      <c r="B653" t="s">
        <v>1495</v>
      </c>
      <c r="C653" t="s">
        <v>1472</v>
      </c>
      <c r="D653" t="s">
        <v>1316</v>
      </c>
      <c r="E653" t="s">
        <v>1399</v>
      </c>
      <c r="F653" t="s">
        <v>598</v>
      </c>
      <c r="G653" t="s">
        <v>599</v>
      </c>
      <c r="H653" t="s">
        <v>600</v>
      </c>
      <c r="I653" t="s">
        <v>601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hidden="1">
      <c r="A654" t="s">
        <v>270</v>
      </c>
      <c r="B654" t="s">
        <v>1496</v>
      </c>
      <c r="C654" t="s">
        <v>1472</v>
      </c>
      <c r="D654" t="s">
        <v>1316</v>
      </c>
      <c r="E654" t="s">
        <v>1326</v>
      </c>
      <c r="F654" t="s">
        <v>598</v>
      </c>
      <c r="G654" t="s">
        <v>599</v>
      </c>
      <c r="H654" t="s">
        <v>600</v>
      </c>
      <c r="I654" t="s">
        <v>601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hidden="1">
      <c r="A655" t="s">
        <v>270</v>
      </c>
      <c r="B655" t="s">
        <v>1497</v>
      </c>
      <c r="C655" t="s">
        <v>1472</v>
      </c>
      <c r="D655" t="s">
        <v>1316</v>
      </c>
      <c r="E655" t="s">
        <v>750</v>
      </c>
      <c r="F655" t="s">
        <v>598</v>
      </c>
      <c r="G655" t="s">
        <v>599</v>
      </c>
      <c r="H655" t="s">
        <v>600</v>
      </c>
      <c r="I655" t="s">
        <v>601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hidden="1">
      <c r="A656" t="s">
        <v>270</v>
      </c>
      <c r="B656" t="s">
        <v>1498</v>
      </c>
      <c r="C656" t="s">
        <v>1472</v>
      </c>
      <c r="D656" t="s">
        <v>1316</v>
      </c>
      <c r="E656" t="s">
        <v>1402</v>
      </c>
      <c r="F656" t="s">
        <v>598</v>
      </c>
      <c r="G656" t="s">
        <v>599</v>
      </c>
      <c r="H656" t="s">
        <v>600</v>
      </c>
      <c r="I656" t="s">
        <v>601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hidden="1">
      <c r="A657" t="s">
        <v>270</v>
      </c>
      <c r="B657" t="s">
        <v>1499</v>
      </c>
      <c r="C657" t="s">
        <v>1472</v>
      </c>
      <c r="D657" t="s">
        <v>1316</v>
      </c>
      <c r="E657" t="s">
        <v>892</v>
      </c>
      <c r="F657" t="s">
        <v>598</v>
      </c>
      <c r="G657" t="s">
        <v>599</v>
      </c>
      <c r="H657" t="s">
        <v>600</v>
      </c>
      <c r="I657" t="s">
        <v>601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hidden="1">
      <c r="A658" t="s">
        <v>270</v>
      </c>
      <c r="B658" t="s">
        <v>1500</v>
      </c>
      <c r="C658" t="s">
        <v>1472</v>
      </c>
      <c r="D658" t="s">
        <v>1316</v>
      </c>
      <c r="E658" t="s">
        <v>678</v>
      </c>
      <c r="F658" t="s">
        <v>598</v>
      </c>
      <c r="G658" t="s">
        <v>599</v>
      </c>
      <c r="H658" t="s">
        <v>600</v>
      </c>
      <c r="I658" t="s">
        <v>601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 hidden="1">
      <c r="A659" t="s">
        <v>270</v>
      </c>
      <c r="B659" t="s">
        <v>1501</v>
      </c>
      <c r="C659" t="s">
        <v>1472</v>
      </c>
      <c r="D659" t="s">
        <v>1316</v>
      </c>
      <c r="E659" t="s">
        <v>1318</v>
      </c>
      <c r="F659" t="s">
        <v>598</v>
      </c>
      <c r="G659" t="s">
        <v>599</v>
      </c>
      <c r="H659" t="s">
        <v>600</v>
      </c>
      <c r="I659" t="s">
        <v>601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hidden="1">
      <c r="A660" t="s">
        <v>270</v>
      </c>
      <c r="B660" t="s">
        <v>1502</v>
      </c>
      <c r="C660" t="s">
        <v>1472</v>
      </c>
      <c r="D660" t="s">
        <v>1316</v>
      </c>
      <c r="E660" t="s">
        <v>1198</v>
      </c>
      <c r="F660" t="s">
        <v>598</v>
      </c>
      <c r="G660" t="s">
        <v>599</v>
      </c>
      <c r="H660" t="s">
        <v>600</v>
      </c>
      <c r="I660" t="s">
        <v>601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hidden="1">
      <c r="A661" t="s">
        <v>270</v>
      </c>
      <c r="B661" t="s">
        <v>1503</v>
      </c>
      <c r="C661" t="s">
        <v>1472</v>
      </c>
      <c r="D661" t="s">
        <v>1320</v>
      </c>
      <c r="E661" t="s">
        <v>688</v>
      </c>
      <c r="F661" t="s">
        <v>598</v>
      </c>
      <c r="G661" t="s">
        <v>599</v>
      </c>
      <c r="H661" t="s">
        <v>600</v>
      </c>
      <c r="I661" t="s">
        <v>601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hidden="1">
      <c r="A662" t="s">
        <v>270</v>
      </c>
      <c r="B662" t="s">
        <v>1504</v>
      </c>
      <c r="C662" t="s">
        <v>1472</v>
      </c>
      <c r="D662" t="s">
        <v>1320</v>
      </c>
      <c r="E662" t="s">
        <v>626</v>
      </c>
      <c r="F662" t="s">
        <v>598</v>
      </c>
      <c r="G662" t="s">
        <v>599</v>
      </c>
      <c r="H662" t="s">
        <v>600</v>
      </c>
      <c r="I662" t="s">
        <v>601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hidden="1">
      <c r="A663" t="s">
        <v>270</v>
      </c>
      <c r="B663" t="s">
        <v>1505</v>
      </c>
      <c r="C663" t="s">
        <v>1472</v>
      </c>
      <c r="D663" t="s">
        <v>1320</v>
      </c>
      <c r="E663" t="s">
        <v>750</v>
      </c>
      <c r="F663" t="s">
        <v>598</v>
      </c>
      <c r="G663" t="s">
        <v>599</v>
      </c>
      <c r="H663" t="s">
        <v>600</v>
      </c>
      <c r="I663" t="s">
        <v>601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hidden="1">
      <c r="A664" t="s">
        <v>270</v>
      </c>
      <c r="B664" t="s">
        <v>1506</v>
      </c>
      <c r="C664" t="s">
        <v>1472</v>
      </c>
      <c r="D664" t="s">
        <v>1320</v>
      </c>
      <c r="E664" t="s">
        <v>1402</v>
      </c>
      <c r="F664" t="s">
        <v>598</v>
      </c>
      <c r="G664" t="s">
        <v>599</v>
      </c>
      <c r="H664" t="s">
        <v>600</v>
      </c>
      <c r="I664" t="s">
        <v>601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270</v>
      </c>
      <c r="B665" t="s">
        <v>1507</v>
      </c>
      <c r="C665" t="s">
        <v>1472</v>
      </c>
      <c r="D665" t="s">
        <v>1320</v>
      </c>
      <c r="E665" t="s">
        <v>892</v>
      </c>
      <c r="F665" t="s">
        <v>598</v>
      </c>
      <c r="G665" t="s">
        <v>599</v>
      </c>
      <c r="H665" t="s">
        <v>600</v>
      </c>
      <c r="I665" t="s">
        <v>601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 hidden="1">
      <c r="A666" t="s">
        <v>270</v>
      </c>
      <c r="B666" t="s">
        <v>1508</v>
      </c>
      <c r="C666" t="s">
        <v>1472</v>
      </c>
      <c r="D666" t="s">
        <v>1320</v>
      </c>
      <c r="E666" t="s">
        <v>669</v>
      </c>
      <c r="F666" t="s">
        <v>598</v>
      </c>
      <c r="G666" t="s">
        <v>599</v>
      </c>
      <c r="H666" t="s">
        <v>600</v>
      </c>
      <c r="I666" t="s">
        <v>601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270</v>
      </c>
      <c r="B667" t="s">
        <v>1509</v>
      </c>
      <c r="C667" t="s">
        <v>1472</v>
      </c>
      <c r="D667" t="s">
        <v>1320</v>
      </c>
      <c r="E667" t="s">
        <v>678</v>
      </c>
      <c r="F667" t="s">
        <v>598</v>
      </c>
      <c r="G667" t="s">
        <v>599</v>
      </c>
      <c r="H667" t="s">
        <v>600</v>
      </c>
      <c r="I667" t="s">
        <v>601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 hidden="1">
      <c r="A668" t="s">
        <v>270</v>
      </c>
      <c r="B668" t="s">
        <v>1510</v>
      </c>
      <c r="C668" t="s">
        <v>1472</v>
      </c>
      <c r="D668" t="s">
        <v>1320</v>
      </c>
      <c r="E668" t="s">
        <v>1198</v>
      </c>
      <c r="F668" t="s">
        <v>598</v>
      </c>
      <c r="G668" t="s">
        <v>599</v>
      </c>
      <c r="H668" t="s">
        <v>600</v>
      </c>
      <c r="I668" t="s">
        <v>601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hidden="1">
      <c r="A669" t="s">
        <v>270</v>
      </c>
      <c r="B669" t="s">
        <v>1511</v>
      </c>
      <c r="C669" t="s">
        <v>1472</v>
      </c>
      <c r="D669" t="s">
        <v>1324</v>
      </c>
      <c r="E669" t="s">
        <v>1512</v>
      </c>
      <c r="F669" t="s">
        <v>598</v>
      </c>
      <c r="G669" t="s">
        <v>599</v>
      </c>
      <c r="H669" t="s">
        <v>600</v>
      </c>
      <c r="I669" t="s">
        <v>601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270</v>
      </c>
      <c r="B670" t="s">
        <v>1513</v>
      </c>
      <c r="C670" t="s">
        <v>1472</v>
      </c>
      <c r="D670" t="s">
        <v>1324</v>
      </c>
      <c r="E670" t="s">
        <v>688</v>
      </c>
      <c r="F670" t="s">
        <v>598</v>
      </c>
      <c r="G670" t="s">
        <v>599</v>
      </c>
      <c r="H670" t="s">
        <v>600</v>
      </c>
      <c r="I670" t="s">
        <v>601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hidden="1">
      <c r="A671" t="s">
        <v>270</v>
      </c>
      <c r="B671" t="s">
        <v>1514</v>
      </c>
      <c r="C671" t="s">
        <v>1472</v>
      </c>
      <c r="D671" t="s">
        <v>1324</v>
      </c>
      <c r="E671" t="s">
        <v>1334</v>
      </c>
      <c r="F671" t="s">
        <v>598</v>
      </c>
      <c r="G671" t="s">
        <v>599</v>
      </c>
      <c r="H671" t="s">
        <v>600</v>
      </c>
      <c r="I671" t="s">
        <v>601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 hidden="1">
      <c r="A672" t="s">
        <v>270</v>
      </c>
      <c r="B672" t="s">
        <v>1515</v>
      </c>
      <c r="C672" t="s">
        <v>1472</v>
      </c>
      <c r="D672" t="s">
        <v>1324</v>
      </c>
      <c r="E672" t="s">
        <v>1399</v>
      </c>
      <c r="F672" t="s">
        <v>598</v>
      </c>
      <c r="G672" t="s">
        <v>599</v>
      </c>
      <c r="H672" t="s">
        <v>600</v>
      </c>
      <c r="I672" t="s">
        <v>601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hidden="1">
      <c r="A673" t="s">
        <v>270</v>
      </c>
      <c r="B673" t="s">
        <v>1516</v>
      </c>
      <c r="C673" t="s">
        <v>1472</v>
      </c>
      <c r="D673" t="s">
        <v>1324</v>
      </c>
      <c r="E673" t="s">
        <v>1417</v>
      </c>
      <c r="F673" t="s">
        <v>598</v>
      </c>
      <c r="G673" t="s">
        <v>599</v>
      </c>
      <c r="H673" t="s">
        <v>600</v>
      </c>
      <c r="I673" t="s">
        <v>601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hidden="1">
      <c r="A674" t="s">
        <v>270</v>
      </c>
      <c r="B674" t="s">
        <v>1517</v>
      </c>
      <c r="C674" t="s">
        <v>1472</v>
      </c>
      <c r="D674" t="s">
        <v>1324</v>
      </c>
      <c r="E674" t="s">
        <v>692</v>
      </c>
      <c r="F674" t="s">
        <v>598</v>
      </c>
      <c r="G674" t="s">
        <v>599</v>
      </c>
      <c r="H674" t="s">
        <v>600</v>
      </c>
      <c r="I674" t="s">
        <v>601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270</v>
      </c>
      <c r="B675" t="s">
        <v>1518</v>
      </c>
      <c r="C675" t="s">
        <v>1472</v>
      </c>
      <c r="D675" t="s">
        <v>1324</v>
      </c>
      <c r="E675" t="s">
        <v>1326</v>
      </c>
      <c r="F675" t="s">
        <v>598</v>
      </c>
      <c r="G675" t="s">
        <v>599</v>
      </c>
      <c r="H675" t="s">
        <v>600</v>
      </c>
      <c r="I675" t="s">
        <v>601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270</v>
      </c>
      <c r="B676" t="s">
        <v>1519</v>
      </c>
      <c r="C676" t="s">
        <v>1472</v>
      </c>
      <c r="D676" t="s">
        <v>1324</v>
      </c>
      <c r="E676" t="s">
        <v>750</v>
      </c>
      <c r="F676" t="s">
        <v>598</v>
      </c>
      <c r="G676" t="s">
        <v>599</v>
      </c>
      <c r="H676" t="s">
        <v>600</v>
      </c>
      <c r="I676" t="s">
        <v>601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hidden="1">
      <c r="A677" t="s">
        <v>270</v>
      </c>
      <c r="B677" t="s">
        <v>1520</v>
      </c>
      <c r="C677" t="s">
        <v>1472</v>
      </c>
      <c r="D677" t="s">
        <v>1324</v>
      </c>
      <c r="E677" t="s">
        <v>1402</v>
      </c>
      <c r="F677" t="s">
        <v>598</v>
      </c>
      <c r="G677" t="s">
        <v>599</v>
      </c>
      <c r="H677" t="s">
        <v>600</v>
      </c>
      <c r="I677" t="s">
        <v>601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hidden="1">
      <c r="A678" t="s">
        <v>270</v>
      </c>
      <c r="B678" t="s">
        <v>1521</v>
      </c>
      <c r="C678" t="s">
        <v>1472</v>
      </c>
      <c r="D678" t="s">
        <v>1324</v>
      </c>
      <c r="E678" t="s">
        <v>892</v>
      </c>
      <c r="F678" t="s">
        <v>598</v>
      </c>
      <c r="G678" t="s">
        <v>599</v>
      </c>
      <c r="H678" t="s">
        <v>600</v>
      </c>
      <c r="I678" t="s">
        <v>601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hidden="1">
      <c r="A679" t="s">
        <v>270</v>
      </c>
      <c r="B679" t="s">
        <v>1522</v>
      </c>
      <c r="C679" t="s">
        <v>1472</v>
      </c>
      <c r="D679" t="s">
        <v>1324</v>
      </c>
      <c r="E679" t="s">
        <v>669</v>
      </c>
      <c r="F679" t="s">
        <v>598</v>
      </c>
      <c r="G679" t="s">
        <v>599</v>
      </c>
      <c r="H679" t="s">
        <v>600</v>
      </c>
      <c r="I679" t="s">
        <v>601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</row>
    <row r="680" spans="1:25" hidden="1">
      <c r="A680" t="s">
        <v>270</v>
      </c>
      <c r="B680" t="s">
        <v>1523</v>
      </c>
      <c r="C680" t="s">
        <v>1472</v>
      </c>
      <c r="D680" t="s">
        <v>1324</v>
      </c>
      <c r="E680" t="s">
        <v>678</v>
      </c>
      <c r="F680" t="s">
        <v>598</v>
      </c>
      <c r="G680" t="s">
        <v>599</v>
      </c>
      <c r="H680" t="s">
        <v>600</v>
      </c>
      <c r="I680" t="s">
        <v>601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hidden="1">
      <c r="A681" t="s">
        <v>270</v>
      </c>
      <c r="B681" t="s">
        <v>1524</v>
      </c>
      <c r="C681" t="s">
        <v>1472</v>
      </c>
      <c r="D681" t="s">
        <v>1324</v>
      </c>
      <c r="E681" t="s">
        <v>1318</v>
      </c>
      <c r="F681" t="s">
        <v>598</v>
      </c>
      <c r="G681" t="s">
        <v>599</v>
      </c>
      <c r="H681" t="s">
        <v>600</v>
      </c>
      <c r="I681" t="s">
        <v>601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hidden="1">
      <c r="A682" t="s">
        <v>270</v>
      </c>
      <c r="B682" t="s">
        <v>1525</v>
      </c>
      <c r="C682" t="s">
        <v>1472</v>
      </c>
      <c r="D682" t="s">
        <v>1324</v>
      </c>
      <c r="E682" t="s">
        <v>954</v>
      </c>
      <c r="F682" t="s">
        <v>598</v>
      </c>
      <c r="G682" t="s">
        <v>599</v>
      </c>
      <c r="H682" t="s">
        <v>600</v>
      </c>
      <c r="I682" t="s">
        <v>601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hidden="1">
      <c r="A683" t="s">
        <v>270</v>
      </c>
      <c r="B683" t="s">
        <v>1526</v>
      </c>
      <c r="C683" t="s">
        <v>1472</v>
      </c>
      <c r="D683" t="s">
        <v>1332</v>
      </c>
      <c r="E683" t="s">
        <v>688</v>
      </c>
      <c r="F683" t="s">
        <v>598</v>
      </c>
      <c r="G683" t="s">
        <v>599</v>
      </c>
      <c r="H683" t="s">
        <v>600</v>
      </c>
      <c r="I683" t="s">
        <v>601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hidden="1">
      <c r="A684" t="s">
        <v>270</v>
      </c>
      <c r="B684" t="s">
        <v>1527</v>
      </c>
      <c r="C684" t="s">
        <v>1472</v>
      </c>
      <c r="D684" t="s">
        <v>1332</v>
      </c>
      <c r="E684" t="s">
        <v>1334</v>
      </c>
      <c r="F684" t="s">
        <v>598</v>
      </c>
      <c r="G684" t="s">
        <v>599</v>
      </c>
      <c r="H684" t="s">
        <v>600</v>
      </c>
      <c r="I684" t="s">
        <v>601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hidden="1">
      <c r="A685" t="s">
        <v>270</v>
      </c>
      <c r="B685" t="s">
        <v>1528</v>
      </c>
      <c r="C685" t="s">
        <v>1472</v>
      </c>
      <c r="D685" t="s">
        <v>1332</v>
      </c>
      <c r="E685" t="s">
        <v>1399</v>
      </c>
      <c r="F685" t="s">
        <v>598</v>
      </c>
      <c r="G685" t="s">
        <v>599</v>
      </c>
      <c r="H685" t="s">
        <v>600</v>
      </c>
      <c r="I685" t="s">
        <v>601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</row>
    <row r="686" spans="1:25" hidden="1">
      <c r="A686" t="s">
        <v>270</v>
      </c>
      <c r="B686" t="s">
        <v>1529</v>
      </c>
      <c r="C686" t="s">
        <v>1472</v>
      </c>
      <c r="D686" t="s">
        <v>1332</v>
      </c>
      <c r="E686" t="s">
        <v>1417</v>
      </c>
      <c r="F686" t="s">
        <v>598</v>
      </c>
      <c r="G686" t="s">
        <v>599</v>
      </c>
      <c r="H686" t="s">
        <v>600</v>
      </c>
      <c r="I686" t="s">
        <v>601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hidden="1">
      <c r="A687" t="s">
        <v>270</v>
      </c>
      <c r="B687" t="s">
        <v>1530</v>
      </c>
      <c r="C687" t="s">
        <v>1472</v>
      </c>
      <c r="D687" t="s">
        <v>1332</v>
      </c>
      <c r="E687" t="s">
        <v>692</v>
      </c>
      <c r="F687" t="s">
        <v>598</v>
      </c>
      <c r="G687" t="s">
        <v>599</v>
      </c>
      <c r="H687" t="s">
        <v>600</v>
      </c>
      <c r="I687" t="s">
        <v>601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hidden="1">
      <c r="A688" t="s">
        <v>270</v>
      </c>
      <c r="B688" t="s">
        <v>1531</v>
      </c>
      <c r="C688" t="s">
        <v>1472</v>
      </c>
      <c r="D688" t="s">
        <v>1332</v>
      </c>
      <c r="E688" t="s">
        <v>1326</v>
      </c>
      <c r="F688" t="s">
        <v>598</v>
      </c>
      <c r="G688" t="s">
        <v>599</v>
      </c>
      <c r="H688" t="s">
        <v>600</v>
      </c>
      <c r="I688" t="s">
        <v>601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hidden="1">
      <c r="A689" t="s">
        <v>270</v>
      </c>
      <c r="B689" t="s">
        <v>1532</v>
      </c>
      <c r="C689" t="s">
        <v>1472</v>
      </c>
      <c r="D689" t="s">
        <v>1332</v>
      </c>
      <c r="E689" t="s">
        <v>619</v>
      </c>
      <c r="F689" t="s">
        <v>598</v>
      </c>
      <c r="G689" t="s">
        <v>599</v>
      </c>
      <c r="H689" t="s">
        <v>600</v>
      </c>
      <c r="I689" t="s">
        <v>601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hidden="1">
      <c r="A690" t="s">
        <v>270</v>
      </c>
      <c r="B690" t="s">
        <v>1533</v>
      </c>
      <c r="C690" t="s">
        <v>1472</v>
      </c>
      <c r="D690" t="s">
        <v>1332</v>
      </c>
      <c r="E690" t="s">
        <v>750</v>
      </c>
      <c r="F690" t="s">
        <v>598</v>
      </c>
      <c r="G690" t="s">
        <v>599</v>
      </c>
      <c r="H690" t="s">
        <v>600</v>
      </c>
      <c r="I690" t="s">
        <v>601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</row>
    <row r="691" spans="1:25" hidden="1">
      <c r="A691" t="s">
        <v>270</v>
      </c>
      <c r="B691" t="s">
        <v>1534</v>
      </c>
      <c r="C691" t="s">
        <v>1472</v>
      </c>
      <c r="D691" t="s">
        <v>1332</v>
      </c>
      <c r="E691" t="s">
        <v>1402</v>
      </c>
      <c r="F691" t="s">
        <v>598</v>
      </c>
      <c r="G691" t="s">
        <v>599</v>
      </c>
      <c r="H691" t="s">
        <v>600</v>
      </c>
      <c r="I691" t="s">
        <v>601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</row>
    <row r="692" spans="1:25" hidden="1">
      <c r="A692" t="s">
        <v>270</v>
      </c>
      <c r="B692" t="s">
        <v>1535</v>
      </c>
      <c r="C692" t="s">
        <v>1472</v>
      </c>
      <c r="D692" t="s">
        <v>1332</v>
      </c>
      <c r="E692" t="s">
        <v>892</v>
      </c>
      <c r="F692" t="s">
        <v>598</v>
      </c>
      <c r="G692" t="s">
        <v>599</v>
      </c>
      <c r="H692" t="s">
        <v>600</v>
      </c>
      <c r="I692" t="s">
        <v>601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270</v>
      </c>
      <c r="B693" t="s">
        <v>1536</v>
      </c>
      <c r="C693" t="s">
        <v>1472</v>
      </c>
      <c r="D693" t="s">
        <v>1332</v>
      </c>
      <c r="E693" t="s">
        <v>669</v>
      </c>
      <c r="F693" t="s">
        <v>598</v>
      </c>
      <c r="G693" t="s">
        <v>599</v>
      </c>
      <c r="H693" t="s">
        <v>600</v>
      </c>
      <c r="I693" t="s">
        <v>601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</row>
    <row r="694" spans="1:25" hidden="1">
      <c r="A694" t="s">
        <v>270</v>
      </c>
      <c r="B694" t="s">
        <v>1537</v>
      </c>
      <c r="C694" t="s">
        <v>1472</v>
      </c>
      <c r="D694" t="s">
        <v>1332</v>
      </c>
      <c r="E694" t="s">
        <v>678</v>
      </c>
      <c r="F694" t="s">
        <v>598</v>
      </c>
      <c r="G694" t="s">
        <v>599</v>
      </c>
      <c r="H694" t="s">
        <v>600</v>
      </c>
      <c r="I694" t="s">
        <v>601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hidden="1">
      <c r="A695" t="s">
        <v>270</v>
      </c>
      <c r="B695" t="s">
        <v>1538</v>
      </c>
      <c r="C695" t="s">
        <v>1472</v>
      </c>
      <c r="D695" t="s">
        <v>1332</v>
      </c>
      <c r="E695" t="s">
        <v>1318</v>
      </c>
      <c r="F695" t="s">
        <v>598</v>
      </c>
      <c r="G695" t="s">
        <v>599</v>
      </c>
      <c r="H695" t="s">
        <v>600</v>
      </c>
      <c r="I695" t="s">
        <v>601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hidden="1">
      <c r="A696" t="s">
        <v>270</v>
      </c>
      <c r="B696" t="s">
        <v>1539</v>
      </c>
      <c r="C696" t="s">
        <v>1472</v>
      </c>
      <c r="D696" t="s">
        <v>1348</v>
      </c>
      <c r="E696" t="s">
        <v>688</v>
      </c>
      <c r="F696" t="s">
        <v>598</v>
      </c>
      <c r="G696" t="s">
        <v>599</v>
      </c>
      <c r="H696" t="s">
        <v>600</v>
      </c>
      <c r="I696" t="s">
        <v>601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25" hidden="1">
      <c r="A697" t="s">
        <v>270</v>
      </c>
      <c r="B697" t="s">
        <v>1540</v>
      </c>
      <c r="C697" t="s">
        <v>1472</v>
      </c>
      <c r="D697" t="s">
        <v>1348</v>
      </c>
      <c r="E697" t="s">
        <v>1334</v>
      </c>
      <c r="F697" t="s">
        <v>598</v>
      </c>
      <c r="G697" t="s">
        <v>599</v>
      </c>
      <c r="H697" t="s">
        <v>600</v>
      </c>
      <c r="I697" t="s">
        <v>601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hidden="1">
      <c r="A698" t="s">
        <v>270</v>
      </c>
      <c r="B698" t="s">
        <v>1541</v>
      </c>
      <c r="C698" t="s">
        <v>1472</v>
      </c>
      <c r="D698" t="s">
        <v>1348</v>
      </c>
      <c r="E698" t="s">
        <v>1399</v>
      </c>
      <c r="F698" t="s">
        <v>598</v>
      </c>
      <c r="G698" t="s">
        <v>599</v>
      </c>
      <c r="H698" t="s">
        <v>600</v>
      </c>
      <c r="I698" t="s">
        <v>601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hidden="1">
      <c r="A699" t="s">
        <v>270</v>
      </c>
      <c r="B699" t="s">
        <v>1542</v>
      </c>
      <c r="C699" t="s">
        <v>1472</v>
      </c>
      <c r="D699" t="s">
        <v>1348</v>
      </c>
      <c r="E699" t="s">
        <v>1417</v>
      </c>
      <c r="F699" t="s">
        <v>598</v>
      </c>
      <c r="G699" t="s">
        <v>599</v>
      </c>
      <c r="H699" t="s">
        <v>600</v>
      </c>
      <c r="I699" t="s">
        <v>601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</row>
    <row r="700" spans="1:25" hidden="1">
      <c r="A700" t="s">
        <v>270</v>
      </c>
      <c r="B700" t="s">
        <v>1543</v>
      </c>
      <c r="C700" t="s">
        <v>1472</v>
      </c>
      <c r="D700" t="s">
        <v>1348</v>
      </c>
      <c r="E700" t="s">
        <v>1544</v>
      </c>
      <c r="F700" t="s">
        <v>598</v>
      </c>
      <c r="G700" t="s">
        <v>599</v>
      </c>
      <c r="H700" t="s">
        <v>600</v>
      </c>
      <c r="I700" t="s">
        <v>601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hidden="1">
      <c r="A701" t="s">
        <v>270</v>
      </c>
      <c r="B701" t="s">
        <v>1545</v>
      </c>
      <c r="C701" t="s">
        <v>1472</v>
      </c>
      <c r="D701" t="s">
        <v>1348</v>
      </c>
      <c r="E701" t="s">
        <v>1326</v>
      </c>
      <c r="F701" t="s">
        <v>598</v>
      </c>
      <c r="G701" t="s">
        <v>599</v>
      </c>
      <c r="H701" t="s">
        <v>600</v>
      </c>
      <c r="I701" t="s">
        <v>601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hidden="1">
      <c r="A702" t="s">
        <v>270</v>
      </c>
      <c r="B702" t="s">
        <v>1546</v>
      </c>
      <c r="C702" t="s">
        <v>1472</v>
      </c>
      <c r="D702" t="s">
        <v>1348</v>
      </c>
      <c r="E702" t="s">
        <v>1402</v>
      </c>
      <c r="F702" t="s">
        <v>598</v>
      </c>
      <c r="G702" t="s">
        <v>599</v>
      </c>
      <c r="H702" t="s">
        <v>600</v>
      </c>
      <c r="I702" t="s">
        <v>601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hidden="1">
      <c r="A703" t="s">
        <v>270</v>
      </c>
      <c r="B703" t="s">
        <v>1547</v>
      </c>
      <c r="C703" t="s">
        <v>1472</v>
      </c>
      <c r="D703" t="s">
        <v>1348</v>
      </c>
      <c r="E703" t="s">
        <v>892</v>
      </c>
      <c r="F703" t="s">
        <v>598</v>
      </c>
      <c r="G703" t="s">
        <v>599</v>
      </c>
      <c r="H703" t="s">
        <v>600</v>
      </c>
      <c r="I703" t="s">
        <v>601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hidden="1">
      <c r="A704" t="s">
        <v>270</v>
      </c>
      <c r="B704" t="s">
        <v>1548</v>
      </c>
      <c r="C704" t="s">
        <v>1472</v>
      </c>
      <c r="D704" t="s">
        <v>1348</v>
      </c>
      <c r="E704" t="s">
        <v>1318</v>
      </c>
      <c r="F704" t="s">
        <v>598</v>
      </c>
      <c r="G704" t="s">
        <v>599</v>
      </c>
      <c r="H704" t="s">
        <v>600</v>
      </c>
      <c r="I704" t="s">
        <v>601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</row>
    <row r="705" spans="1:25" hidden="1">
      <c r="A705" t="s">
        <v>270</v>
      </c>
      <c r="B705" t="s">
        <v>1549</v>
      </c>
      <c r="C705" t="s">
        <v>1472</v>
      </c>
      <c r="D705" t="s">
        <v>1350</v>
      </c>
      <c r="E705" t="s">
        <v>688</v>
      </c>
      <c r="F705" t="s">
        <v>598</v>
      </c>
      <c r="G705" t="s">
        <v>599</v>
      </c>
      <c r="H705" t="s">
        <v>600</v>
      </c>
      <c r="I705" t="s">
        <v>601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270</v>
      </c>
      <c r="B706" t="s">
        <v>1550</v>
      </c>
      <c r="C706" t="s">
        <v>1472</v>
      </c>
      <c r="D706" t="s">
        <v>1354</v>
      </c>
      <c r="E706" t="s">
        <v>973</v>
      </c>
      <c r="F706" t="s">
        <v>598</v>
      </c>
      <c r="G706" t="s">
        <v>599</v>
      </c>
      <c r="H706" t="s">
        <v>600</v>
      </c>
      <c r="I706" t="s">
        <v>601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270</v>
      </c>
      <c r="B707" t="s">
        <v>1551</v>
      </c>
      <c r="C707" t="s">
        <v>1472</v>
      </c>
      <c r="D707" t="s">
        <v>1552</v>
      </c>
      <c r="E707" t="s">
        <v>626</v>
      </c>
      <c r="F707" t="s">
        <v>598</v>
      </c>
      <c r="G707" t="s">
        <v>599</v>
      </c>
      <c r="H707" t="s">
        <v>600</v>
      </c>
      <c r="I707" t="s">
        <v>601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270</v>
      </c>
      <c r="B708" t="s">
        <v>1553</v>
      </c>
      <c r="C708" t="s">
        <v>1472</v>
      </c>
      <c r="D708" t="s">
        <v>1552</v>
      </c>
      <c r="E708" t="s">
        <v>628</v>
      </c>
      <c r="F708" t="s">
        <v>598</v>
      </c>
      <c r="G708" t="s">
        <v>599</v>
      </c>
      <c r="H708" t="s">
        <v>600</v>
      </c>
      <c r="I708" t="s">
        <v>601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hidden="1">
      <c r="A709" t="s">
        <v>270</v>
      </c>
      <c r="B709" t="s">
        <v>1554</v>
      </c>
      <c r="C709" t="s">
        <v>1472</v>
      </c>
      <c r="D709" t="s">
        <v>1552</v>
      </c>
      <c r="E709" t="s">
        <v>888</v>
      </c>
      <c r="F709" t="s">
        <v>598</v>
      </c>
      <c r="G709" t="s">
        <v>599</v>
      </c>
      <c r="H709" t="s">
        <v>600</v>
      </c>
      <c r="I709" t="s">
        <v>601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 hidden="1">
      <c r="A710" t="s">
        <v>270</v>
      </c>
      <c r="B710" t="s">
        <v>1555</v>
      </c>
      <c r="C710" t="s">
        <v>1472</v>
      </c>
      <c r="D710" t="s">
        <v>1552</v>
      </c>
      <c r="E710" t="s">
        <v>781</v>
      </c>
      <c r="F710" t="s">
        <v>598</v>
      </c>
      <c r="G710" t="s">
        <v>599</v>
      </c>
      <c r="H710" t="s">
        <v>600</v>
      </c>
      <c r="I710" t="s">
        <v>601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270</v>
      </c>
      <c r="B711" t="s">
        <v>1556</v>
      </c>
      <c r="C711" t="s">
        <v>1472</v>
      </c>
      <c r="D711" t="s">
        <v>1552</v>
      </c>
      <c r="E711" t="s">
        <v>676</v>
      </c>
      <c r="F711" t="s">
        <v>598</v>
      </c>
      <c r="G711" t="s">
        <v>599</v>
      </c>
      <c r="H711" t="s">
        <v>600</v>
      </c>
      <c r="I711" t="s">
        <v>601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270</v>
      </c>
      <c r="B712" t="s">
        <v>1557</v>
      </c>
      <c r="C712" t="s">
        <v>1472</v>
      </c>
      <c r="D712" t="s">
        <v>1558</v>
      </c>
      <c r="E712" t="s">
        <v>688</v>
      </c>
      <c r="F712" t="s">
        <v>598</v>
      </c>
      <c r="G712" t="s">
        <v>599</v>
      </c>
      <c r="H712" t="s">
        <v>600</v>
      </c>
      <c r="I712" t="s">
        <v>601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270</v>
      </c>
      <c r="B713" t="s">
        <v>1559</v>
      </c>
      <c r="C713" t="s">
        <v>1472</v>
      </c>
      <c r="D713" t="s">
        <v>1558</v>
      </c>
      <c r="E713" t="s">
        <v>626</v>
      </c>
      <c r="F713" t="s">
        <v>598</v>
      </c>
      <c r="G713" t="s">
        <v>599</v>
      </c>
      <c r="H713" t="s">
        <v>600</v>
      </c>
      <c r="I713" t="s">
        <v>601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270</v>
      </c>
      <c r="B714" t="s">
        <v>1560</v>
      </c>
      <c r="C714" t="s">
        <v>1472</v>
      </c>
      <c r="D714" t="s">
        <v>1558</v>
      </c>
      <c r="E714" t="s">
        <v>628</v>
      </c>
      <c r="F714" t="s">
        <v>598</v>
      </c>
      <c r="G714" t="s">
        <v>599</v>
      </c>
      <c r="H714" t="s">
        <v>600</v>
      </c>
      <c r="I714" t="s">
        <v>601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270</v>
      </c>
      <c r="B715" t="s">
        <v>1561</v>
      </c>
      <c r="C715" t="s">
        <v>1472</v>
      </c>
      <c r="D715" t="s">
        <v>1562</v>
      </c>
      <c r="E715" t="s">
        <v>678</v>
      </c>
      <c r="F715" t="s">
        <v>598</v>
      </c>
      <c r="G715" t="s">
        <v>599</v>
      </c>
      <c r="H715" t="s">
        <v>600</v>
      </c>
      <c r="I715" t="s">
        <v>601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270</v>
      </c>
      <c r="B716" t="s">
        <v>1563</v>
      </c>
      <c r="C716" t="s">
        <v>1472</v>
      </c>
      <c r="D716" t="s">
        <v>1564</v>
      </c>
      <c r="E716" t="s">
        <v>626</v>
      </c>
      <c r="F716" t="s">
        <v>598</v>
      </c>
      <c r="G716" t="s">
        <v>599</v>
      </c>
      <c r="H716" t="s">
        <v>600</v>
      </c>
      <c r="I716" t="s">
        <v>601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270</v>
      </c>
      <c r="B717" t="s">
        <v>1565</v>
      </c>
      <c r="C717" t="s">
        <v>1472</v>
      </c>
      <c r="D717" t="s">
        <v>1564</v>
      </c>
      <c r="E717" t="s">
        <v>678</v>
      </c>
      <c r="F717" t="s">
        <v>598</v>
      </c>
      <c r="G717" t="s">
        <v>599</v>
      </c>
      <c r="H717" t="s">
        <v>600</v>
      </c>
      <c r="I717" t="s">
        <v>601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270</v>
      </c>
      <c r="B718" t="s">
        <v>1566</v>
      </c>
      <c r="C718" t="s">
        <v>1472</v>
      </c>
      <c r="D718" t="s">
        <v>1567</v>
      </c>
      <c r="E718" t="s">
        <v>626</v>
      </c>
      <c r="F718" t="s">
        <v>598</v>
      </c>
      <c r="G718" t="s">
        <v>599</v>
      </c>
      <c r="H718" t="s">
        <v>600</v>
      </c>
      <c r="I718" t="s">
        <v>601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270</v>
      </c>
      <c r="B719" t="s">
        <v>1568</v>
      </c>
      <c r="C719" t="s">
        <v>1472</v>
      </c>
      <c r="D719" t="s">
        <v>1569</v>
      </c>
      <c r="E719" t="s">
        <v>626</v>
      </c>
      <c r="F719" t="s">
        <v>598</v>
      </c>
      <c r="G719" t="s">
        <v>599</v>
      </c>
      <c r="H719" t="s">
        <v>600</v>
      </c>
      <c r="I719" t="s">
        <v>601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270</v>
      </c>
      <c r="B720" t="s">
        <v>1570</v>
      </c>
      <c r="C720" t="s">
        <v>1472</v>
      </c>
      <c r="D720" t="s">
        <v>1571</v>
      </c>
      <c r="E720" t="s">
        <v>626</v>
      </c>
      <c r="F720" t="s">
        <v>598</v>
      </c>
      <c r="G720" t="s">
        <v>599</v>
      </c>
      <c r="H720" t="s">
        <v>600</v>
      </c>
      <c r="I720" t="s">
        <v>601</v>
      </c>
      <c r="J720">
        <v>5.9999999999999995E-4</v>
      </c>
      <c r="K720">
        <v>5.9999999999999995E-4</v>
      </c>
      <c r="L720">
        <v>5.9999999999999995E-4</v>
      </c>
      <c r="M720">
        <v>5.9999999999999995E-4</v>
      </c>
      <c r="N720">
        <v>5.9999999999999995E-4</v>
      </c>
      <c r="O720">
        <v>5.9999999999999995E-4</v>
      </c>
      <c r="P720">
        <v>5.9999999999999995E-4</v>
      </c>
      <c r="Q720">
        <v>5.9999999999999995E-4</v>
      </c>
      <c r="R720">
        <v>5.9999999999999995E-4</v>
      </c>
      <c r="S720">
        <v>5.9999999999999995E-4</v>
      </c>
      <c r="T720">
        <v>5.9999999999999995E-4</v>
      </c>
      <c r="U720">
        <v>5.9999999999999995E-4</v>
      </c>
      <c r="V720">
        <v>5.9999999999999995E-4</v>
      </c>
      <c r="W720">
        <v>5.9999999999999995E-4</v>
      </c>
      <c r="X720">
        <v>5.9999999999999995E-4</v>
      </c>
      <c r="Y720">
        <v>5.9999999999999995E-4</v>
      </c>
    </row>
    <row r="721" spans="1:25" hidden="1">
      <c r="A721" t="s">
        <v>270</v>
      </c>
      <c r="B721" t="s">
        <v>1572</v>
      </c>
      <c r="C721" t="s">
        <v>1472</v>
      </c>
      <c r="D721" t="s">
        <v>1571</v>
      </c>
      <c r="E721" t="s">
        <v>692</v>
      </c>
      <c r="F721" t="s">
        <v>598</v>
      </c>
      <c r="G721" t="s">
        <v>599</v>
      </c>
      <c r="H721" t="s">
        <v>600</v>
      </c>
      <c r="I721" t="s">
        <v>601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270</v>
      </c>
      <c r="B722" t="s">
        <v>1573</v>
      </c>
      <c r="C722" t="s">
        <v>1472</v>
      </c>
      <c r="D722" t="s">
        <v>1574</v>
      </c>
      <c r="E722" t="s">
        <v>626</v>
      </c>
      <c r="F722" t="s">
        <v>598</v>
      </c>
      <c r="G722" t="s">
        <v>599</v>
      </c>
      <c r="H722" t="s">
        <v>600</v>
      </c>
      <c r="I722" t="s">
        <v>601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270</v>
      </c>
      <c r="B723" t="s">
        <v>1575</v>
      </c>
      <c r="C723" t="s">
        <v>1472</v>
      </c>
      <c r="D723" t="s">
        <v>1576</v>
      </c>
      <c r="E723" t="s">
        <v>626</v>
      </c>
      <c r="F723" t="s">
        <v>598</v>
      </c>
      <c r="G723" t="s">
        <v>599</v>
      </c>
      <c r="H723" t="s">
        <v>600</v>
      </c>
      <c r="I723" t="s">
        <v>601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270</v>
      </c>
      <c r="B724" t="s">
        <v>1577</v>
      </c>
      <c r="C724" t="s">
        <v>1472</v>
      </c>
      <c r="D724" t="s">
        <v>1578</v>
      </c>
      <c r="E724" t="s">
        <v>626</v>
      </c>
      <c r="F724" t="s">
        <v>598</v>
      </c>
      <c r="G724" t="s">
        <v>599</v>
      </c>
      <c r="H724" t="s">
        <v>600</v>
      </c>
      <c r="I724" t="s">
        <v>601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270</v>
      </c>
      <c r="B725" t="s">
        <v>1579</v>
      </c>
      <c r="C725" t="s">
        <v>1472</v>
      </c>
      <c r="D725" t="s">
        <v>1578</v>
      </c>
      <c r="E725" t="s">
        <v>1334</v>
      </c>
      <c r="F725" t="s">
        <v>598</v>
      </c>
      <c r="G725" t="s">
        <v>599</v>
      </c>
      <c r="H725" t="s">
        <v>600</v>
      </c>
      <c r="I725" t="s">
        <v>601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270</v>
      </c>
      <c r="B726" t="s">
        <v>1580</v>
      </c>
      <c r="C726" t="s">
        <v>1472</v>
      </c>
      <c r="D726" t="s">
        <v>1578</v>
      </c>
      <c r="E726" t="s">
        <v>1399</v>
      </c>
      <c r="F726" t="s">
        <v>598</v>
      </c>
      <c r="G726" t="s">
        <v>599</v>
      </c>
      <c r="H726" t="s">
        <v>600</v>
      </c>
      <c r="I726" t="s">
        <v>601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270</v>
      </c>
      <c r="B727" t="s">
        <v>1581</v>
      </c>
      <c r="C727" t="s">
        <v>1472</v>
      </c>
      <c r="D727" t="s">
        <v>1578</v>
      </c>
      <c r="E727" t="s">
        <v>1417</v>
      </c>
      <c r="F727" t="s">
        <v>598</v>
      </c>
      <c r="G727" t="s">
        <v>599</v>
      </c>
      <c r="H727" t="s">
        <v>600</v>
      </c>
      <c r="I727" t="s">
        <v>601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270</v>
      </c>
      <c r="B728" t="s">
        <v>1582</v>
      </c>
      <c r="C728" t="s">
        <v>1472</v>
      </c>
      <c r="D728" t="s">
        <v>1583</v>
      </c>
      <c r="E728" t="s">
        <v>626</v>
      </c>
      <c r="F728" t="s">
        <v>598</v>
      </c>
      <c r="G728" t="s">
        <v>599</v>
      </c>
      <c r="H728" t="s">
        <v>600</v>
      </c>
      <c r="I728" t="s">
        <v>601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270</v>
      </c>
      <c r="B729" t="s">
        <v>1584</v>
      </c>
      <c r="C729" t="s">
        <v>1472</v>
      </c>
      <c r="D729" t="s">
        <v>1583</v>
      </c>
      <c r="E729" t="s">
        <v>1334</v>
      </c>
      <c r="F729" t="s">
        <v>598</v>
      </c>
      <c r="G729" t="s">
        <v>599</v>
      </c>
      <c r="H729" t="s">
        <v>600</v>
      </c>
      <c r="I729" t="s">
        <v>601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270</v>
      </c>
      <c r="B730" t="s">
        <v>1585</v>
      </c>
      <c r="C730" t="s">
        <v>1472</v>
      </c>
      <c r="D730" t="s">
        <v>1583</v>
      </c>
      <c r="E730" t="s">
        <v>1399</v>
      </c>
      <c r="F730" t="s">
        <v>598</v>
      </c>
      <c r="G730" t="s">
        <v>599</v>
      </c>
      <c r="H730" t="s">
        <v>600</v>
      </c>
      <c r="I730" t="s">
        <v>601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270</v>
      </c>
      <c r="B731" t="s">
        <v>1586</v>
      </c>
      <c r="C731" t="s">
        <v>1472</v>
      </c>
      <c r="D731" t="s">
        <v>1583</v>
      </c>
      <c r="E731" t="s">
        <v>1417</v>
      </c>
      <c r="F731" t="s">
        <v>598</v>
      </c>
      <c r="G731" t="s">
        <v>599</v>
      </c>
      <c r="H731" t="s">
        <v>600</v>
      </c>
      <c r="I731" t="s">
        <v>601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270</v>
      </c>
      <c r="B732" t="s">
        <v>1587</v>
      </c>
      <c r="C732" t="s">
        <v>1472</v>
      </c>
      <c r="D732" t="s">
        <v>1588</v>
      </c>
      <c r="E732" t="s">
        <v>626</v>
      </c>
      <c r="F732" t="s">
        <v>598</v>
      </c>
      <c r="G732" t="s">
        <v>599</v>
      </c>
      <c r="H732" t="s">
        <v>600</v>
      </c>
      <c r="I732" t="s">
        <v>601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270</v>
      </c>
      <c r="B733" t="s">
        <v>1589</v>
      </c>
      <c r="C733" t="s">
        <v>1472</v>
      </c>
      <c r="D733" t="s">
        <v>1365</v>
      </c>
      <c r="E733" t="s">
        <v>973</v>
      </c>
      <c r="F733" t="s">
        <v>598</v>
      </c>
      <c r="G733" t="s">
        <v>599</v>
      </c>
      <c r="H733" t="s">
        <v>600</v>
      </c>
      <c r="I733" t="s">
        <v>601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270</v>
      </c>
      <c r="B734" t="s">
        <v>1590</v>
      </c>
      <c r="C734" t="s">
        <v>1472</v>
      </c>
      <c r="D734" t="s">
        <v>1365</v>
      </c>
      <c r="E734" t="s">
        <v>626</v>
      </c>
      <c r="F734" t="s">
        <v>598</v>
      </c>
      <c r="G734" t="s">
        <v>599</v>
      </c>
      <c r="H734" t="s">
        <v>600</v>
      </c>
      <c r="I734" t="s">
        <v>601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270</v>
      </c>
      <c r="B735" t="s">
        <v>1591</v>
      </c>
      <c r="C735" t="s">
        <v>1472</v>
      </c>
      <c r="D735" t="s">
        <v>1365</v>
      </c>
      <c r="E735" t="s">
        <v>628</v>
      </c>
      <c r="F735" t="s">
        <v>598</v>
      </c>
      <c r="G735" t="s">
        <v>599</v>
      </c>
      <c r="H735" t="s">
        <v>600</v>
      </c>
      <c r="I735" t="s">
        <v>601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270</v>
      </c>
      <c r="B736" t="s">
        <v>1592</v>
      </c>
      <c r="C736" t="s">
        <v>1472</v>
      </c>
      <c r="D736" t="s">
        <v>1365</v>
      </c>
      <c r="E736" t="s">
        <v>888</v>
      </c>
      <c r="F736" t="s">
        <v>598</v>
      </c>
      <c r="G736" t="s">
        <v>599</v>
      </c>
      <c r="H736" t="s">
        <v>600</v>
      </c>
      <c r="I736" t="s">
        <v>601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270</v>
      </c>
      <c r="B737" t="s">
        <v>1593</v>
      </c>
      <c r="C737" t="s">
        <v>1472</v>
      </c>
      <c r="D737" t="s">
        <v>1365</v>
      </c>
      <c r="E737" t="s">
        <v>781</v>
      </c>
      <c r="F737" t="s">
        <v>598</v>
      </c>
      <c r="G737" t="s">
        <v>599</v>
      </c>
      <c r="H737" t="s">
        <v>600</v>
      </c>
      <c r="I737" t="s">
        <v>601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270</v>
      </c>
      <c r="B738" t="s">
        <v>1594</v>
      </c>
      <c r="C738" t="s">
        <v>1472</v>
      </c>
      <c r="D738" t="s">
        <v>1365</v>
      </c>
      <c r="E738" t="s">
        <v>678</v>
      </c>
      <c r="F738" t="s">
        <v>598</v>
      </c>
      <c r="G738" t="s">
        <v>599</v>
      </c>
      <c r="H738" t="s">
        <v>600</v>
      </c>
      <c r="I738" t="s">
        <v>601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270</v>
      </c>
      <c r="B739" t="s">
        <v>1595</v>
      </c>
      <c r="C739" t="s">
        <v>1472</v>
      </c>
      <c r="D739" t="s">
        <v>1458</v>
      </c>
      <c r="E739" t="s">
        <v>626</v>
      </c>
      <c r="F739" t="s">
        <v>598</v>
      </c>
      <c r="G739" t="s">
        <v>599</v>
      </c>
      <c r="H739" t="s">
        <v>600</v>
      </c>
      <c r="I739" t="s">
        <v>601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270</v>
      </c>
      <c r="B740" t="s">
        <v>1596</v>
      </c>
      <c r="C740" t="s">
        <v>1472</v>
      </c>
      <c r="D740" t="s">
        <v>1458</v>
      </c>
      <c r="E740" t="s">
        <v>781</v>
      </c>
      <c r="F740" t="s">
        <v>598</v>
      </c>
      <c r="G740" t="s">
        <v>599</v>
      </c>
      <c r="H740" t="s">
        <v>600</v>
      </c>
      <c r="I740" t="s">
        <v>601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hidden="1">
      <c r="A741" t="s">
        <v>270</v>
      </c>
      <c r="B741" t="s">
        <v>1597</v>
      </c>
      <c r="C741" t="s">
        <v>1472</v>
      </c>
      <c r="D741" t="s">
        <v>1598</v>
      </c>
      <c r="E741" t="s">
        <v>626</v>
      </c>
      <c r="F741" t="s">
        <v>598</v>
      </c>
      <c r="G741" t="s">
        <v>599</v>
      </c>
      <c r="H741" t="s">
        <v>600</v>
      </c>
      <c r="I741" t="s">
        <v>601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270</v>
      </c>
      <c r="B742" t="s">
        <v>1599</v>
      </c>
      <c r="C742" t="s">
        <v>1472</v>
      </c>
      <c r="D742" t="s">
        <v>1598</v>
      </c>
      <c r="E742" t="s">
        <v>781</v>
      </c>
      <c r="F742" t="s">
        <v>598</v>
      </c>
      <c r="G742" t="s">
        <v>599</v>
      </c>
      <c r="H742" t="s">
        <v>600</v>
      </c>
      <c r="I742" t="s">
        <v>601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270</v>
      </c>
      <c r="B743" t="s">
        <v>1600</v>
      </c>
      <c r="C743" t="s">
        <v>1472</v>
      </c>
      <c r="D743" t="s">
        <v>1601</v>
      </c>
      <c r="E743" t="s">
        <v>626</v>
      </c>
      <c r="F743" t="s">
        <v>598</v>
      </c>
      <c r="G743" t="s">
        <v>599</v>
      </c>
      <c r="H743" t="s">
        <v>600</v>
      </c>
      <c r="I743" t="s">
        <v>601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270</v>
      </c>
      <c r="B744" t="s">
        <v>1602</v>
      </c>
      <c r="C744" t="s">
        <v>1472</v>
      </c>
      <c r="D744" t="s">
        <v>1603</v>
      </c>
      <c r="E744" t="s">
        <v>626</v>
      </c>
      <c r="F744" t="s">
        <v>598</v>
      </c>
      <c r="G744" t="s">
        <v>599</v>
      </c>
      <c r="H744" t="s">
        <v>600</v>
      </c>
      <c r="I744" t="s">
        <v>601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270</v>
      </c>
      <c r="B745" t="s">
        <v>1604</v>
      </c>
      <c r="C745" t="s">
        <v>1472</v>
      </c>
      <c r="D745" t="s">
        <v>1605</v>
      </c>
      <c r="E745" t="s">
        <v>626</v>
      </c>
      <c r="F745" t="s">
        <v>598</v>
      </c>
      <c r="G745" t="s">
        <v>599</v>
      </c>
      <c r="H745" t="s">
        <v>600</v>
      </c>
      <c r="I745" t="s">
        <v>601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270</v>
      </c>
      <c r="B746" t="s">
        <v>1606</v>
      </c>
      <c r="C746" t="s">
        <v>1472</v>
      </c>
      <c r="D746" t="s">
        <v>648</v>
      </c>
      <c r="E746" t="s">
        <v>973</v>
      </c>
      <c r="F746" t="s">
        <v>598</v>
      </c>
      <c r="G746" t="s">
        <v>599</v>
      </c>
      <c r="H746" t="s">
        <v>600</v>
      </c>
      <c r="I746" t="s">
        <v>601</v>
      </c>
      <c r="J746">
        <v>8.9999999999999998E-4</v>
      </c>
      <c r="K746">
        <v>8.9999999999999998E-4</v>
      </c>
      <c r="L746">
        <v>1E-3</v>
      </c>
      <c r="M746">
        <v>1E-3</v>
      </c>
      <c r="N746">
        <v>1.1000000000000001E-3</v>
      </c>
      <c r="O746">
        <v>1.1000000000000001E-3</v>
      </c>
      <c r="P746">
        <v>1.1000000000000001E-3</v>
      </c>
      <c r="Q746">
        <v>1.1999999999999999E-3</v>
      </c>
      <c r="R746">
        <v>1.1999999999999999E-3</v>
      </c>
      <c r="S746">
        <v>1.1999999999999999E-3</v>
      </c>
      <c r="T746">
        <v>1.2999999999999999E-3</v>
      </c>
      <c r="U746">
        <v>1.2999999999999999E-3</v>
      </c>
      <c r="V746">
        <v>1.4E-3</v>
      </c>
      <c r="W746">
        <v>1.4E-3</v>
      </c>
      <c r="X746">
        <v>1.4E-3</v>
      </c>
      <c r="Y746">
        <v>1.5E-3</v>
      </c>
    </row>
    <row r="747" spans="1:25" hidden="1">
      <c r="A747" t="s">
        <v>270</v>
      </c>
      <c r="B747" t="s">
        <v>1607</v>
      </c>
      <c r="C747" t="s">
        <v>1472</v>
      </c>
      <c r="D747" t="s">
        <v>648</v>
      </c>
      <c r="E747" t="s">
        <v>597</v>
      </c>
      <c r="F747" t="s">
        <v>598</v>
      </c>
      <c r="G747" t="s">
        <v>599</v>
      </c>
      <c r="H747" t="s">
        <v>600</v>
      </c>
      <c r="I747" t="s">
        <v>601</v>
      </c>
      <c r="J747">
        <v>6.9999999999999999E-4</v>
      </c>
      <c r="K747">
        <v>6.9999999999999999E-4</v>
      </c>
      <c r="L747">
        <v>6.9999999999999999E-4</v>
      </c>
      <c r="M747">
        <v>6.9999999999999999E-4</v>
      </c>
      <c r="N747">
        <v>6.9999999999999999E-4</v>
      </c>
      <c r="O747">
        <v>6.9999999999999999E-4</v>
      </c>
      <c r="P747">
        <v>6.9999999999999999E-4</v>
      </c>
      <c r="Q747">
        <v>6.9999999999999999E-4</v>
      </c>
      <c r="R747">
        <v>6.9999999999999999E-4</v>
      </c>
      <c r="S747">
        <v>6.9999999999999999E-4</v>
      </c>
      <c r="T747">
        <v>6.9999999999999999E-4</v>
      </c>
      <c r="U747">
        <v>6.9999999999999999E-4</v>
      </c>
      <c r="V747">
        <v>6.9999999999999999E-4</v>
      </c>
      <c r="W747">
        <v>8.0000000000000004E-4</v>
      </c>
      <c r="X747">
        <v>8.0000000000000004E-4</v>
      </c>
      <c r="Y747">
        <v>8.0000000000000004E-4</v>
      </c>
    </row>
    <row r="748" spans="1:25" hidden="1">
      <c r="A748" t="s">
        <v>270</v>
      </c>
      <c r="B748" t="s">
        <v>1608</v>
      </c>
      <c r="C748" t="s">
        <v>1472</v>
      </c>
      <c r="D748" t="s">
        <v>648</v>
      </c>
      <c r="E748" t="s">
        <v>611</v>
      </c>
      <c r="F748" t="s">
        <v>598</v>
      </c>
      <c r="G748" t="s">
        <v>599</v>
      </c>
      <c r="H748" t="s">
        <v>600</v>
      </c>
      <c r="I748" t="s">
        <v>601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270</v>
      </c>
      <c r="B749" t="s">
        <v>1609</v>
      </c>
      <c r="C749" t="s">
        <v>1472</v>
      </c>
      <c r="D749" t="s">
        <v>648</v>
      </c>
      <c r="E749" t="s">
        <v>626</v>
      </c>
      <c r="F749" t="s">
        <v>598</v>
      </c>
      <c r="G749" t="s">
        <v>599</v>
      </c>
      <c r="H749" t="s">
        <v>600</v>
      </c>
      <c r="I749" t="s">
        <v>601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270</v>
      </c>
      <c r="B750" t="s">
        <v>1610</v>
      </c>
      <c r="C750" t="s">
        <v>1611</v>
      </c>
      <c r="D750" t="s">
        <v>648</v>
      </c>
      <c r="E750" t="s">
        <v>920</v>
      </c>
      <c r="F750" t="s">
        <v>598</v>
      </c>
      <c r="G750" t="s">
        <v>599</v>
      </c>
      <c r="H750" t="s">
        <v>600</v>
      </c>
      <c r="I750" t="s">
        <v>601</v>
      </c>
      <c r="J750">
        <v>4.7999999999999996E-3</v>
      </c>
      <c r="K750">
        <v>4.7999999999999996E-3</v>
      </c>
      <c r="L750">
        <v>4.7999999999999996E-3</v>
      </c>
      <c r="M750">
        <v>4.7999999999999996E-3</v>
      </c>
      <c r="N750">
        <v>4.7999999999999996E-3</v>
      </c>
      <c r="O750">
        <v>4.7999999999999996E-3</v>
      </c>
      <c r="P750">
        <v>4.7999999999999996E-3</v>
      </c>
      <c r="Q750">
        <v>4.7999999999999996E-3</v>
      </c>
      <c r="R750">
        <v>4.7999999999999996E-3</v>
      </c>
      <c r="S750">
        <v>4.7999999999999996E-3</v>
      </c>
      <c r="T750">
        <v>4.7999999999999996E-3</v>
      </c>
      <c r="U750">
        <v>4.7999999999999996E-3</v>
      </c>
      <c r="V750">
        <v>4.7999999999999996E-3</v>
      </c>
      <c r="W750">
        <v>4.7999999999999996E-3</v>
      </c>
      <c r="X750">
        <v>4.7999999999999996E-3</v>
      </c>
      <c r="Y750">
        <v>4.7999999999999996E-3</v>
      </c>
    </row>
    <row r="751" spans="1:25" hidden="1">
      <c r="A751" t="s">
        <v>270</v>
      </c>
      <c r="B751" t="s">
        <v>1612</v>
      </c>
      <c r="C751" t="s">
        <v>1611</v>
      </c>
      <c r="D751" t="s">
        <v>648</v>
      </c>
      <c r="E751" t="s">
        <v>973</v>
      </c>
      <c r="F751" t="s">
        <v>598</v>
      </c>
      <c r="G751" t="s">
        <v>599</v>
      </c>
      <c r="H751" t="s">
        <v>600</v>
      </c>
      <c r="I751" t="s">
        <v>601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270</v>
      </c>
      <c r="B752" t="s">
        <v>1613</v>
      </c>
      <c r="C752" t="s">
        <v>1614</v>
      </c>
      <c r="D752" t="s">
        <v>1392</v>
      </c>
      <c r="E752" t="s">
        <v>1615</v>
      </c>
      <c r="F752" t="s">
        <v>598</v>
      </c>
      <c r="G752" t="s">
        <v>599</v>
      </c>
      <c r="H752" t="s">
        <v>600</v>
      </c>
      <c r="I752" t="s">
        <v>601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270</v>
      </c>
      <c r="B753" t="s">
        <v>1616</v>
      </c>
      <c r="C753" t="s">
        <v>1614</v>
      </c>
      <c r="D753" t="s">
        <v>1392</v>
      </c>
      <c r="E753" t="s">
        <v>1393</v>
      </c>
      <c r="F753" t="s">
        <v>598</v>
      </c>
      <c r="G753" t="s">
        <v>599</v>
      </c>
      <c r="H753" t="s">
        <v>600</v>
      </c>
      <c r="I753" t="s">
        <v>601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270</v>
      </c>
      <c r="B754" t="s">
        <v>1617</v>
      </c>
      <c r="C754" t="s">
        <v>1614</v>
      </c>
      <c r="D754" t="s">
        <v>1316</v>
      </c>
      <c r="E754" t="s">
        <v>954</v>
      </c>
      <c r="F754" t="s">
        <v>598</v>
      </c>
      <c r="G754" t="s">
        <v>599</v>
      </c>
      <c r="H754" t="s">
        <v>600</v>
      </c>
      <c r="I754" t="s">
        <v>601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270</v>
      </c>
      <c r="B755" t="s">
        <v>1618</v>
      </c>
      <c r="C755" t="s">
        <v>1614</v>
      </c>
      <c r="D755" t="s">
        <v>1316</v>
      </c>
      <c r="E755" t="s">
        <v>1020</v>
      </c>
      <c r="F755" t="s">
        <v>598</v>
      </c>
      <c r="G755" t="s">
        <v>599</v>
      </c>
      <c r="H755" t="s">
        <v>600</v>
      </c>
      <c r="I755" t="s">
        <v>601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270</v>
      </c>
      <c r="B756" t="s">
        <v>1619</v>
      </c>
      <c r="C756" t="s">
        <v>1614</v>
      </c>
      <c r="D756" t="s">
        <v>1316</v>
      </c>
      <c r="E756" t="s">
        <v>1198</v>
      </c>
      <c r="F756" t="s">
        <v>598</v>
      </c>
      <c r="G756" t="s">
        <v>599</v>
      </c>
      <c r="H756" t="s">
        <v>600</v>
      </c>
      <c r="I756" t="s">
        <v>601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270</v>
      </c>
      <c r="B757" t="s">
        <v>1620</v>
      </c>
      <c r="C757" t="s">
        <v>1614</v>
      </c>
      <c r="D757" t="s">
        <v>1316</v>
      </c>
      <c r="E757" t="s">
        <v>1393</v>
      </c>
      <c r="F757" t="s">
        <v>598</v>
      </c>
      <c r="G757" t="s">
        <v>599</v>
      </c>
      <c r="H757" t="s">
        <v>600</v>
      </c>
      <c r="I757" t="s">
        <v>601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270</v>
      </c>
      <c r="B758" t="s">
        <v>1621</v>
      </c>
      <c r="C758" t="s">
        <v>1614</v>
      </c>
      <c r="D758" t="s">
        <v>1320</v>
      </c>
      <c r="E758" t="s">
        <v>1020</v>
      </c>
      <c r="F758" t="s">
        <v>598</v>
      </c>
      <c r="G758" t="s">
        <v>599</v>
      </c>
      <c r="H758" t="s">
        <v>600</v>
      </c>
      <c r="I758" t="s">
        <v>601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270</v>
      </c>
      <c r="B759" t="s">
        <v>1622</v>
      </c>
      <c r="C759" t="s">
        <v>1614</v>
      </c>
      <c r="D759" t="s">
        <v>1320</v>
      </c>
      <c r="E759" t="s">
        <v>1198</v>
      </c>
      <c r="F759" t="s">
        <v>598</v>
      </c>
      <c r="G759" t="s">
        <v>599</v>
      </c>
      <c r="H759" t="s">
        <v>600</v>
      </c>
      <c r="I759" t="s">
        <v>601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270</v>
      </c>
      <c r="B760" t="s">
        <v>1623</v>
      </c>
      <c r="C760" t="s">
        <v>1614</v>
      </c>
      <c r="D760" t="s">
        <v>1324</v>
      </c>
      <c r="E760" t="s">
        <v>642</v>
      </c>
      <c r="F760" t="s">
        <v>598</v>
      </c>
      <c r="G760" t="s">
        <v>599</v>
      </c>
      <c r="H760" t="s">
        <v>600</v>
      </c>
      <c r="I760" t="s">
        <v>601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270</v>
      </c>
      <c r="B761" t="s">
        <v>1624</v>
      </c>
      <c r="C761" t="s">
        <v>1614</v>
      </c>
      <c r="D761" t="s">
        <v>1324</v>
      </c>
      <c r="E761" t="s">
        <v>1018</v>
      </c>
      <c r="F761" t="s">
        <v>598</v>
      </c>
      <c r="G761" t="s">
        <v>599</v>
      </c>
      <c r="H761" t="s">
        <v>600</v>
      </c>
      <c r="I761" t="s">
        <v>601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270</v>
      </c>
      <c r="B762" t="s">
        <v>1625</v>
      </c>
      <c r="C762" t="s">
        <v>1614</v>
      </c>
      <c r="D762" t="s">
        <v>1324</v>
      </c>
      <c r="E762" t="s">
        <v>678</v>
      </c>
      <c r="F762" t="s">
        <v>598</v>
      </c>
      <c r="G762" t="s">
        <v>599</v>
      </c>
      <c r="H762" t="s">
        <v>600</v>
      </c>
      <c r="I762" t="s">
        <v>601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270</v>
      </c>
      <c r="B763" t="s">
        <v>1626</v>
      </c>
      <c r="C763" t="s">
        <v>1614</v>
      </c>
      <c r="D763" t="s">
        <v>1324</v>
      </c>
      <c r="E763" t="s">
        <v>1340</v>
      </c>
      <c r="F763" t="s">
        <v>598</v>
      </c>
      <c r="G763" t="s">
        <v>599</v>
      </c>
      <c r="H763" t="s">
        <v>600</v>
      </c>
      <c r="I763" t="s">
        <v>601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270</v>
      </c>
      <c r="B764" t="s">
        <v>1627</v>
      </c>
      <c r="C764" t="s">
        <v>1614</v>
      </c>
      <c r="D764" t="s">
        <v>1324</v>
      </c>
      <c r="E764" t="s">
        <v>954</v>
      </c>
      <c r="F764" t="s">
        <v>598</v>
      </c>
      <c r="G764" t="s">
        <v>599</v>
      </c>
      <c r="H764" t="s">
        <v>600</v>
      </c>
      <c r="I764" t="s">
        <v>601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270</v>
      </c>
      <c r="B765" t="s">
        <v>1628</v>
      </c>
      <c r="C765" t="s">
        <v>1614</v>
      </c>
      <c r="D765" t="s">
        <v>1324</v>
      </c>
      <c r="E765" t="s">
        <v>1022</v>
      </c>
      <c r="F765" t="s">
        <v>598</v>
      </c>
      <c r="G765" t="s">
        <v>599</v>
      </c>
      <c r="H765" t="s">
        <v>600</v>
      </c>
      <c r="I765" t="s">
        <v>601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270</v>
      </c>
      <c r="B766" t="s">
        <v>1629</v>
      </c>
      <c r="C766" t="s">
        <v>1614</v>
      </c>
      <c r="D766" t="s">
        <v>1324</v>
      </c>
      <c r="E766" t="s">
        <v>1423</v>
      </c>
      <c r="F766" t="s">
        <v>598</v>
      </c>
      <c r="G766" t="s">
        <v>599</v>
      </c>
      <c r="H766" t="s">
        <v>600</v>
      </c>
      <c r="I766" t="s">
        <v>601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270</v>
      </c>
      <c r="B767" t="s">
        <v>1630</v>
      </c>
      <c r="C767" t="s">
        <v>1614</v>
      </c>
      <c r="D767" t="s">
        <v>1324</v>
      </c>
      <c r="E767" t="s">
        <v>1343</v>
      </c>
      <c r="F767" t="s">
        <v>598</v>
      </c>
      <c r="G767" t="s">
        <v>599</v>
      </c>
      <c r="H767" t="s">
        <v>600</v>
      </c>
      <c r="I767" t="s">
        <v>601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270</v>
      </c>
      <c r="B768" t="s">
        <v>1631</v>
      </c>
      <c r="C768" t="s">
        <v>1614</v>
      </c>
      <c r="D768" t="s">
        <v>1324</v>
      </c>
      <c r="E768" t="s">
        <v>1469</v>
      </c>
      <c r="F768" t="s">
        <v>598</v>
      </c>
      <c r="G768" t="s">
        <v>599</v>
      </c>
      <c r="H768" t="s">
        <v>600</v>
      </c>
      <c r="I768" t="s">
        <v>601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270</v>
      </c>
      <c r="B769" t="s">
        <v>1632</v>
      </c>
      <c r="C769" t="s">
        <v>1614</v>
      </c>
      <c r="D769" t="s">
        <v>1324</v>
      </c>
      <c r="E769" t="s">
        <v>1192</v>
      </c>
      <c r="F769" t="s">
        <v>598</v>
      </c>
      <c r="G769" t="s">
        <v>599</v>
      </c>
      <c r="H769" t="s">
        <v>600</v>
      </c>
      <c r="I769" t="s">
        <v>601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270</v>
      </c>
      <c r="B770" t="s">
        <v>1633</v>
      </c>
      <c r="C770" t="s">
        <v>1614</v>
      </c>
      <c r="D770" t="s">
        <v>1324</v>
      </c>
      <c r="E770" t="s">
        <v>1634</v>
      </c>
      <c r="F770" t="s">
        <v>598</v>
      </c>
      <c r="G770" t="s">
        <v>599</v>
      </c>
      <c r="H770" t="s">
        <v>600</v>
      </c>
      <c r="I770" t="s">
        <v>601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270</v>
      </c>
      <c r="B771" t="s">
        <v>1635</v>
      </c>
      <c r="C771" t="s">
        <v>1614</v>
      </c>
      <c r="D771" t="s">
        <v>1324</v>
      </c>
      <c r="E771" t="s">
        <v>1636</v>
      </c>
      <c r="F771" t="s">
        <v>598</v>
      </c>
      <c r="G771" t="s">
        <v>599</v>
      </c>
      <c r="H771" t="s">
        <v>600</v>
      </c>
      <c r="I771" t="s">
        <v>601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270</v>
      </c>
      <c r="B772" t="s">
        <v>1637</v>
      </c>
      <c r="C772" t="s">
        <v>1614</v>
      </c>
      <c r="D772" t="s">
        <v>1324</v>
      </c>
      <c r="E772" t="s">
        <v>1638</v>
      </c>
      <c r="F772" t="s">
        <v>598</v>
      </c>
      <c r="G772" t="s">
        <v>599</v>
      </c>
      <c r="H772" t="s">
        <v>600</v>
      </c>
      <c r="I772" t="s">
        <v>601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270</v>
      </c>
      <c r="B773" t="s">
        <v>1639</v>
      </c>
      <c r="C773" t="s">
        <v>1614</v>
      </c>
      <c r="D773" t="s">
        <v>1324</v>
      </c>
      <c r="E773" t="s">
        <v>1640</v>
      </c>
      <c r="F773" t="s">
        <v>598</v>
      </c>
      <c r="G773" t="s">
        <v>599</v>
      </c>
      <c r="H773" t="s">
        <v>600</v>
      </c>
      <c r="I773" t="s">
        <v>601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270</v>
      </c>
      <c r="B774" t="s">
        <v>1641</v>
      </c>
      <c r="C774" t="s">
        <v>1614</v>
      </c>
      <c r="D774" t="s">
        <v>1324</v>
      </c>
      <c r="E774" t="s">
        <v>1642</v>
      </c>
      <c r="F774" t="s">
        <v>598</v>
      </c>
      <c r="G774" t="s">
        <v>599</v>
      </c>
      <c r="H774" t="s">
        <v>600</v>
      </c>
      <c r="I774" t="s">
        <v>601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270</v>
      </c>
      <c r="B775" t="s">
        <v>1643</v>
      </c>
      <c r="C775" t="s">
        <v>1614</v>
      </c>
      <c r="D775" t="s">
        <v>1324</v>
      </c>
      <c r="E775" t="s">
        <v>1198</v>
      </c>
      <c r="F775" t="s">
        <v>598</v>
      </c>
      <c r="G775" t="s">
        <v>599</v>
      </c>
      <c r="H775" t="s">
        <v>600</v>
      </c>
      <c r="I775" t="s">
        <v>601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270</v>
      </c>
      <c r="B776" t="s">
        <v>1644</v>
      </c>
      <c r="C776" t="s">
        <v>1614</v>
      </c>
      <c r="D776" t="s">
        <v>1324</v>
      </c>
      <c r="E776" t="s">
        <v>1645</v>
      </c>
      <c r="F776" t="s">
        <v>598</v>
      </c>
      <c r="G776" t="s">
        <v>599</v>
      </c>
      <c r="H776" t="s">
        <v>600</v>
      </c>
      <c r="I776" t="s">
        <v>601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270</v>
      </c>
      <c r="B777" t="s">
        <v>1646</v>
      </c>
      <c r="C777" t="s">
        <v>1614</v>
      </c>
      <c r="D777" t="s">
        <v>1324</v>
      </c>
      <c r="E777" t="s">
        <v>1647</v>
      </c>
      <c r="F777" t="s">
        <v>598</v>
      </c>
      <c r="G777" t="s">
        <v>599</v>
      </c>
      <c r="H777" t="s">
        <v>600</v>
      </c>
      <c r="I777" t="s">
        <v>601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270</v>
      </c>
      <c r="B778" t="s">
        <v>1648</v>
      </c>
      <c r="C778" t="s">
        <v>1614</v>
      </c>
      <c r="D778" t="s">
        <v>1324</v>
      </c>
      <c r="E778" t="s">
        <v>1649</v>
      </c>
      <c r="F778" t="s">
        <v>598</v>
      </c>
      <c r="G778" t="s">
        <v>599</v>
      </c>
      <c r="H778" t="s">
        <v>600</v>
      </c>
      <c r="I778" t="s">
        <v>601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270</v>
      </c>
      <c r="B779" t="s">
        <v>1650</v>
      </c>
      <c r="C779" t="s">
        <v>1614</v>
      </c>
      <c r="D779" t="s">
        <v>1324</v>
      </c>
      <c r="E779" t="s">
        <v>1651</v>
      </c>
      <c r="F779" t="s">
        <v>598</v>
      </c>
      <c r="G779" t="s">
        <v>599</v>
      </c>
      <c r="H779" t="s">
        <v>600</v>
      </c>
      <c r="I779" t="s">
        <v>601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270</v>
      </c>
      <c r="B780" t="s">
        <v>1652</v>
      </c>
      <c r="C780" t="s">
        <v>1614</v>
      </c>
      <c r="D780" t="s">
        <v>1324</v>
      </c>
      <c r="E780" t="s">
        <v>1653</v>
      </c>
      <c r="F780" t="s">
        <v>598</v>
      </c>
      <c r="G780" t="s">
        <v>599</v>
      </c>
      <c r="H780" t="s">
        <v>600</v>
      </c>
      <c r="I780" t="s">
        <v>601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hidden="1">
      <c r="A781" t="s">
        <v>270</v>
      </c>
      <c r="B781" t="s">
        <v>1654</v>
      </c>
      <c r="C781" t="s">
        <v>1614</v>
      </c>
      <c r="D781" t="s">
        <v>1324</v>
      </c>
      <c r="E781" t="s">
        <v>1655</v>
      </c>
      <c r="F781" t="s">
        <v>598</v>
      </c>
      <c r="G781" t="s">
        <v>599</v>
      </c>
      <c r="H781" t="s">
        <v>600</v>
      </c>
      <c r="I781" t="s">
        <v>601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 hidden="1">
      <c r="A782" t="s">
        <v>270</v>
      </c>
      <c r="B782" t="s">
        <v>1656</v>
      </c>
      <c r="C782" t="s">
        <v>1614</v>
      </c>
      <c r="D782" t="s">
        <v>1324</v>
      </c>
      <c r="E782" t="s">
        <v>1202</v>
      </c>
      <c r="F782" t="s">
        <v>598</v>
      </c>
      <c r="G782" t="s">
        <v>599</v>
      </c>
      <c r="H782" t="s">
        <v>600</v>
      </c>
      <c r="I782" t="s">
        <v>601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270</v>
      </c>
      <c r="B783" t="s">
        <v>1657</v>
      </c>
      <c r="C783" t="s">
        <v>1614</v>
      </c>
      <c r="D783" t="s">
        <v>1324</v>
      </c>
      <c r="E783" t="s">
        <v>1028</v>
      </c>
      <c r="F783" t="s">
        <v>598</v>
      </c>
      <c r="G783" t="s">
        <v>599</v>
      </c>
      <c r="H783" t="s">
        <v>600</v>
      </c>
      <c r="I783" t="s">
        <v>601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270</v>
      </c>
      <c r="B784" t="s">
        <v>1658</v>
      </c>
      <c r="C784" t="s">
        <v>1614</v>
      </c>
      <c r="D784" t="s">
        <v>1324</v>
      </c>
      <c r="E784" t="s">
        <v>1030</v>
      </c>
      <c r="F784" t="s">
        <v>598</v>
      </c>
      <c r="G784" t="s">
        <v>599</v>
      </c>
      <c r="H784" t="s">
        <v>600</v>
      </c>
      <c r="I784" t="s">
        <v>601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270</v>
      </c>
      <c r="B785" t="s">
        <v>1659</v>
      </c>
      <c r="C785" t="s">
        <v>1614</v>
      </c>
      <c r="D785" t="s">
        <v>1324</v>
      </c>
      <c r="E785" t="s">
        <v>1660</v>
      </c>
      <c r="F785" t="s">
        <v>598</v>
      </c>
      <c r="G785" t="s">
        <v>599</v>
      </c>
      <c r="H785" t="s">
        <v>600</v>
      </c>
      <c r="I785" t="s">
        <v>601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270</v>
      </c>
      <c r="B786" t="s">
        <v>1661</v>
      </c>
      <c r="C786" t="s">
        <v>1614</v>
      </c>
      <c r="D786" t="s">
        <v>1324</v>
      </c>
      <c r="E786" t="s">
        <v>630</v>
      </c>
      <c r="F786" t="s">
        <v>598</v>
      </c>
      <c r="G786" t="s">
        <v>599</v>
      </c>
      <c r="H786" t="s">
        <v>600</v>
      </c>
      <c r="I786" t="s">
        <v>601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270</v>
      </c>
      <c r="B787" t="s">
        <v>1662</v>
      </c>
      <c r="C787" t="s">
        <v>1614</v>
      </c>
      <c r="D787" t="s">
        <v>1324</v>
      </c>
      <c r="E787" t="s">
        <v>1033</v>
      </c>
      <c r="F787" t="s">
        <v>598</v>
      </c>
      <c r="G787" t="s">
        <v>599</v>
      </c>
      <c r="H787" t="s">
        <v>600</v>
      </c>
      <c r="I787" t="s">
        <v>601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270</v>
      </c>
      <c r="B788" t="s">
        <v>1663</v>
      </c>
      <c r="C788" t="s">
        <v>1614</v>
      </c>
      <c r="D788" t="s">
        <v>1324</v>
      </c>
      <c r="E788" t="s">
        <v>1664</v>
      </c>
      <c r="F788" t="s">
        <v>598</v>
      </c>
      <c r="G788" t="s">
        <v>599</v>
      </c>
      <c r="H788" t="s">
        <v>600</v>
      </c>
      <c r="I788" t="s">
        <v>601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270</v>
      </c>
      <c r="B789" t="s">
        <v>1665</v>
      </c>
      <c r="C789" t="s">
        <v>1614</v>
      </c>
      <c r="D789" t="s">
        <v>1324</v>
      </c>
      <c r="E789" t="s">
        <v>1666</v>
      </c>
      <c r="F789" t="s">
        <v>598</v>
      </c>
      <c r="G789" t="s">
        <v>599</v>
      </c>
      <c r="H789" t="s">
        <v>600</v>
      </c>
      <c r="I789" t="s">
        <v>601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270</v>
      </c>
      <c r="B790" t="s">
        <v>1667</v>
      </c>
      <c r="C790" t="s">
        <v>1614</v>
      </c>
      <c r="D790" t="s">
        <v>1324</v>
      </c>
      <c r="E790" t="s">
        <v>1035</v>
      </c>
      <c r="F790" t="s">
        <v>598</v>
      </c>
      <c r="G790" t="s">
        <v>599</v>
      </c>
      <c r="H790" t="s">
        <v>600</v>
      </c>
      <c r="I790" t="s">
        <v>601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270</v>
      </c>
      <c r="B791" t="s">
        <v>1668</v>
      </c>
      <c r="C791" t="s">
        <v>1614</v>
      </c>
      <c r="D791" t="s">
        <v>1324</v>
      </c>
      <c r="E791" t="s">
        <v>1211</v>
      </c>
      <c r="F791" t="s">
        <v>598</v>
      </c>
      <c r="G791" t="s">
        <v>599</v>
      </c>
      <c r="H791" t="s">
        <v>600</v>
      </c>
      <c r="I791" t="s">
        <v>601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270</v>
      </c>
      <c r="B792" t="s">
        <v>1669</v>
      </c>
      <c r="C792" t="s">
        <v>1614</v>
      </c>
      <c r="D792" t="s">
        <v>1324</v>
      </c>
      <c r="E792" t="s">
        <v>1670</v>
      </c>
      <c r="F792" t="s">
        <v>598</v>
      </c>
      <c r="G792" t="s">
        <v>599</v>
      </c>
      <c r="H792" t="s">
        <v>600</v>
      </c>
      <c r="I792" t="s">
        <v>601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270</v>
      </c>
      <c r="B793" t="s">
        <v>1671</v>
      </c>
      <c r="C793" t="s">
        <v>1614</v>
      </c>
      <c r="D793" t="s">
        <v>1324</v>
      </c>
      <c r="E793" t="s">
        <v>1672</v>
      </c>
      <c r="F793" t="s">
        <v>598</v>
      </c>
      <c r="G793" t="s">
        <v>599</v>
      </c>
      <c r="H793" t="s">
        <v>600</v>
      </c>
      <c r="I793" t="s">
        <v>601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270</v>
      </c>
      <c r="B794" t="s">
        <v>1673</v>
      </c>
      <c r="C794" t="s">
        <v>1614</v>
      </c>
      <c r="D794" t="s">
        <v>1324</v>
      </c>
      <c r="E794" t="s">
        <v>1000</v>
      </c>
      <c r="F794" t="s">
        <v>598</v>
      </c>
      <c r="G794" t="s">
        <v>599</v>
      </c>
      <c r="H794" t="s">
        <v>600</v>
      </c>
      <c r="I794" t="s">
        <v>601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270</v>
      </c>
      <c r="B795" t="s">
        <v>1674</v>
      </c>
      <c r="C795" t="s">
        <v>1614</v>
      </c>
      <c r="D795" t="s">
        <v>1324</v>
      </c>
      <c r="E795" t="s">
        <v>1233</v>
      </c>
      <c r="F795" t="s">
        <v>598</v>
      </c>
      <c r="G795" t="s">
        <v>599</v>
      </c>
      <c r="H795" t="s">
        <v>600</v>
      </c>
      <c r="I795" t="s">
        <v>601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270</v>
      </c>
      <c r="B796" t="s">
        <v>1675</v>
      </c>
      <c r="C796" t="s">
        <v>1614</v>
      </c>
      <c r="D796" t="s">
        <v>1324</v>
      </c>
      <c r="E796" t="s">
        <v>1676</v>
      </c>
      <c r="F796" t="s">
        <v>598</v>
      </c>
      <c r="G796" t="s">
        <v>599</v>
      </c>
      <c r="H796" t="s">
        <v>600</v>
      </c>
      <c r="I796" t="s">
        <v>601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270</v>
      </c>
      <c r="B797" t="s">
        <v>1677</v>
      </c>
      <c r="C797" t="s">
        <v>1614</v>
      </c>
      <c r="D797" t="s">
        <v>1324</v>
      </c>
      <c r="E797" t="s">
        <v>1678</v>
      </c>
      <c r="F797" t="s">
        <v>598</v>
      </c>
      <c r="G797" t="s">
        <v>599</v>
      </c>
      <c r="H797" t="s">
        <v>600</v>
      </c>
      <c r="I797" t="s">
        <v>601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270</v>
      </c>
      <c r="B798" t="s">
        <v>1679</v>
      </c>
      <c r="C798" t="s">
        <v>1614</v>
      </c>
      <c r="D798" t="s">
        <v>1324</v>
      </c>
      <c r="E798" t="s">
        <v>1058</v>
      </c>
      <c r="F798" t="s">
        <v>598</v>
      </c>
      <c r="G798" t="s">
        <v>599</v>
      </c>
      <c r="H798" t="s">
        <v>600</v>
      </c>
      <c r="I798" t="s">
        <v>601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270</v>
      </c>
      <c r="B799" t="s">
        <v>1680</v>
      </c>
      <c r="C799" t="s">
        <v>1614</v>
      </c>
      <c r="D799" t="s">
        <v>1324</v>
      </c>
      <c r="E799" t="s">
        <v>1681</v>
      </c>
      <c r="F799" t="s">
        <v>598</v>
      </c>
      <c r="G799" t="s">
        <v>599</v>
      </c>
      <c r="H799" t="s">
        <v>600</v>
      </c>
      <c r="I799" t="s">
        <v>601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270</v>
      </c>
      <c r="B800" t="s">
        <v>1682</v>
      </c>
      <c r="C800" t="s">
        <v>1614</v>
      </c>
      <c r="D800" t="s">
        <v>1332</v>
      </c>
      <c r="E800" t="s">
        <v>1018</v>
      </c>
      <c r="F800" t="s">
        <v>598</v>
      </c>
      <c r="G800" t="s">
        <v>599</v>
      </c>
      <c r="H800" t="s">
        <v>600</v>
      </c>
      <c r="I800" t="s">
        <v>601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270</v>
      </c>
      <c r="B801" t="s">
        <v>1683</v>
      </c>
      <c r="C801" t="s">
        <v>1614</v>
      </c>
      <c r="D801" t="s">
        <v>1332</v>
      </c>
      <c r="E801" t="s">
        <v>1684</v>
      </c>
      <c r="F801" t="s">
        <v>598</v>
      </c>
      <c r="G801" t="s">
        <v>599</v>
      </c>
      <c r="H801" t="s">
        <v>600</v>
      </c>
      <c r="I801" t="s">
        <v>601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270</v>
      </c>
      <c r="B802" t="s">
        <v>1685</v>
      </c>
      <c r="C802" t="s">
        <v>1614</v>
      </c>
      <c r="D802" t="s">
        <v>1332</v>
      </c>
      <c r="E802" t="s">
        <v>954</v>
      </c>
      <c r="F802" t="s">
        <v>598</v>
      </c>
      <c r="G802" t="s">
        <v>599</v>
      </c>
      <c r="H802" t="s">
        <v>600</v>
      </c>
      <c r="I802" t="s">
        <v>601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270</v>
      </c>
      <c r="B803" t="s">
        <v>1686</v>
      </c>
      <c r="C803" t="s">
        <v>1614</v>
      </c>
      <c r="D803" t="s">
        <v>1332</v>
      </c>
      <c r="E803" t="s">
        <v>1687</v>
      </c>
      <c r="F803" t="s">
        <v>598</v>
      </c>
      <c r="G803" t="s">
        <v>599</v>
      </c>
      <c r="H803" t="s">
        <v>600</v>
      </c>
      <c r="I803" t="s">
        <v>601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270</v>
      </c>
      <c r="B804" t="s">
        <v>1688</v>
      </c>
      <c r="C804" t="s">
        <v>1614</v>
      </c>
      <c r="D804" t="s">
        <v>1332</v>
      </c>
      <c r="E804" t="s">
        <v>1423</v>
      </c>
      <c r="F804" t="s">
        <v>598</v>
      </c>
      <c r="G804" t="s">
        <v>599</v>
      </c>
      <c r="H804" t="s">
        <v>600</v>
      </c>
      <c r="I804" t="s">
        <v>601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270</v>
      </c>
      <c r="B805" t="s">
        <v>1689</v>
      </c>
      <c r="C805" t="s">
        <v>1614</v>
      </c>
      <c r="D805" t="s">
        <v>1332</v>
      </c>
      <c r="E805" t="s">
        <v>1343</v>
      </c>
      <c r="F805" t="s">
        <v>598</v>
      </c>
      <c r="G805" t="s">
        <v>599</v>
      </c>
      <c r="H805" t="s">
        <v>600</v>
      </c>
      <c r="I805" t="s">
        <v>601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270</v>
      </c>
      <c r="B806" t="s">
        <v>1690</v>
      </c>
      <c r="C806" t="s">
        <v>1614</v>
      </c>
      <c r="D806" t="s">
        <v>1332</v>
      </c>
      <c r="E806" t="s">
        <v>1638</v>
      </c>
      <c r="F806" t="s">
        <v>598</v>
      </c>
      <c r="G806" t="s">
        <v>599</v>
      </c>
      <c r="H806" t="s">
        <v>600</v>
      </c>
      <c r="I806" t="s">
        <v>601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270</v>
      </c>
      <c r="B807" t="s">
        <v>1691</v>
      </c>
      <c r="C807" t="s">
        <v>1614</v>
      </c>
      <c r="D807" t="s">
        <v>1332</v>
      </c>
      <c r="E807" t="s">
        <v>1198</v>
      </c>
      <c r="F807" t="s">
        <v>598</v>
      </c>
      <c r="G807" t="s">
        <v>599</v>
      </c>
      <c r="H807" t="s">
        <v>600</v>
      </c>
      <c r="I807" t="s">
        <v>601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hidden="1">
      <c r="A808" t="s">
        <v>270</v>
      </c>
      <c r="B808" t="s">
        <v>1692</v>
      </c>
      <c r="C808" t="s">
        <v>1614</v>
      </c>
      <c r="D808" t="s">
        <v>1332</v>
      </c>
      <c r="E808" t="s">
        <v>1645</v>
      </c>
      <c r="F808" t="s">
        <v>598</v>
      </c>
      <c r="G808" t="s">
        <v>599</v>
      </c>
      <c r="H808" t="s">
        <v>600</v>
      </c>
      <c r="I808" t="s">
        <v>601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270</v>
      </c>
      <c r="B809" t="s">
        <v>1693</v>
      </c>
      <c r="C809" t="s">
        <v>1614</v>
      </c>
      <c r="D809" t="s">
        <v>1332</v>
      </c>
      <c r="E809" t="s">
        <v>1647</v>
      </c>
      <c r="F809" t="s">
        <v>598</v>
      </c>
      <c r="G809" t="s">
        <v>599</v>
      </c>
      <c r="H809" t="s">
        <v>600</v>
      </c>
      <c r="I809" t="s">
        <v>601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270</v>
      </c>
      <c r="B810" t="s">
        <v>1694</v>
      </c>
      <c r="C810" t="s">
        <v>1614</v>
      </c>
      <c r="D810" t="s">
        <v>1332</v>
      </c>
      <c r="E810" t="s">
        <v>1649</v>
      </c>
      <c r="F810" t="s">
        <v>598</v>
      </c>
      <c r="G810" t="s">
        <v>599</v>
      </c>
      <c r="H810" t="s">
        <v>600</v>
      </c>
      <c r="I810" t="s">
        <v>601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270</v>
      </c>
      <c r="B811" t="s">
        <v>1695</v>
      </c>
      <c r="C811" t="s">
        <v>1614</v>
      </c>
      <c r="D811" t="s">
        <v>1332</v>
      </c>
      <c r="E811" t="s">
        <v>1028</v>
      </c>
      <c r="F811" t="s">
        <v>598</v>
      </c>
      <c r="G811" t="s">
        <v>599</v>
      </c>
      <c r="H811" t="s">
        <v>600</v>
      </c>
      <c r="I811" t="s">
        <v>601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hidden="1">
      <c r="A812" t="s">
        <v>270</v>
      </c>
      <c r="B812" t="s">
        <v>1696</v>
      </c>
      <c r="C812" t="s">
        <v>1614</v>
      </c>
      <c r="D812" t="s">
        <v>1332</v>
      </c>
      <c r="E812" t="s">
        <v>1030</v>
      </c>
      <c r="F812" t="s">
        <v>598</v>
      </c>
      <c r="G812" t="s">
        <v>599</v>
      </c>
      <c r="H812" t="s">
        <v>600</v>
      </c>
      <c r="I812" t="s">
        <v>601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hidden="1">
      <c r="A813" t="s">
        <v>270</v>
      </c>
      <c r="B813" t="s">
        <v>1697</v>
      </c>
      <c r="C813" t="s">
        <v>1614</v>
      </c>
      <c r="D813" t="s">
        <v>1332</v>
      </c>
      <c r="E813" t="s">
        <v>630</v>
      </c>
      <c r="F813" t="s">
        <v>598</v>
      </c>
      <c r="G813" t="s">
        <v>599</v>
      </c>
      <c r="H813" t="s">
        <v>600</v>
      </c>
      <c r="I813" t="s">
        <v>601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hidden="1">
      <c r="A814" t="s">
        <v>270</v>
      </c>
      <c r="B814" t="s">
        <v>1698</v>
      </c>
      <c r="C814" t="s">
        <v>1614</v>
      </c>
      <c r="D814" t="s">
        <v>1332</v>
      </c>
      <c r="E814" t="s">
        <v>1033</v>
      </c>
      <c r="F814" t="s">
        <v>598</v>
      </c>
      <c r="G814" t="s">
        <v>599</v>
      </c>
      <c r="H814" t="s">
        <v>600</v>
      </c>
      <c r="I814" t="s">
        <v>601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5" hidden="1">
      <c r="A815" t="s">
        <v>270</v>
      </c>
      <c r="B815" t="s">
        <v>1699</v>
      </c>
      <c r="C815" t="s">
        <v>1614</v>
      </c>
      <c r="D815" t="s">
        <v>1332</v>
      </c>
      <c r="E815" t="s">
        <v>1664</v>
      </c>
      <c r="F815" t="s">
        <v>598</v>
      </c>
      <c r="G815" t="s">
        <v>599</v>
      </c>
      <c r="H815" t="s">
        <v>600</v>
      </c>
      <c r="I815" t="s">
        <v>601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hidden="1">
      <c r="A816" t="s">
        <v>270</v>
      </c>
      <c r="B816" t="s">
        <v>1700</v>
      </c>
      <c r="C816" t="s">
        <v>1614</v>
      </c>
      <c r="D816" t="s">
        <v>1332</v>
      </c>
      <c r="E816" t="s">
        <v>1666</v>
      </c>
      <c r="F816" t="s">
        <v>598</v>
      </c>
      <c r="G816" t="s">
        <v>599</v>
      </c>
      <c r="H816" t="s">
        <v>600</v>
      </c>
      <c r="I816" t="s">
        <v>601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hidden="1">
      <c r="A817" t="s">
        <v>270</v>
      </c>
      <c r="B817" t="s">
        <v>1701</v>
      </c>
      <c r="C817" t="s">
        <v>1614</v>
      </c>
      <c r="D817" t="s">
        <v>1332</v>
      </c>
      <c r="E817" t="s">
        <v>1211</v>
      </c>
      <c r="F817" t="s">
        <v>598</v>
      </c>
      <c r="G817" t="s">
        <v>599</v>
      </c>
      <c r="H817" t="s">
        <v>600</v>
      </c>
      <c r="I817" t="s">
        <v>601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hidden="1">
      <c r="A818" t="s">
        <v>270</v>
      </c>
      <c r="B818" t="s">
        <v>1702</v>
      </c>
      <c r="C818" t="s">
        <v>1614</v>
      </c>
      <c r="D818" t="s">
        <v>1332</v>
      </c>
      <c r="E818" t="s">
        <v>1670</v>
      </c>
      <c r="F818" t="s">
        <v>598</v>
      </c>
      <c r="G818" t="s">
        <v>599</v>
      </c>
      <c r="H818" t="s">
        <v>600</v>
      </c>
      <c r="I818" t="s">
        <v>601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 hidden="1">
      <c r="A819" t="s">
        <v>270</v>
      </c>
      <c r="B819" t="s">
        <v>1703</v>
      </c>
      <c r="C819" t="s">
        <v>1614</v>
      </c>
      <c r="D819" t="s">
        <v>1332</v>
      </c>
      <c r="E819" t="s">
        <v>1672</v>
      </c>
      <c r="F819" t="s">
        <v>598</v>
      </c>
      <c r="G819" t="s">
        <v>599</v>
      </c>
      <c r="H819" t="s">
        <v>600</v>
      </c>
      <c r="I819" t="s">
        <v>601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270</v>
      </c>
      <c r="B820" t="s">
        <v>1704</v>
      </c>
      <c r="C820" t="s">
        <v>1614</v>
      </c>
      <c r="D820" t="s">
        <v>1332</v>
      </c>
      <c r="E820" t="s">
        <v>1676</v>
      </c>
      <c r="F820" t="s">
        <v>598</v>
      </c>
      <c r="G820" t="s">
        <v>599</v>
      </c>
      <c r="H820" t="s">
        <v>600</v>
      </c>
      <c r="I820" t="s">
        <v>601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hidden="1">
      <c r="A821" t="s">
        <v>270</v>
      </c>
      <c r="B821" t="s">
        <v>1705</v>
      </c>
      <c r="C821" t="s">
        <v>1614</v>
      </c>
      <c r="D821" t="s">
        <v>1332</v>
      </c>
      <c r="E821" t="s">
        <v>1678</v>
      </c>
      <c r="F821" t="s">
        <v>598</v>
      </c>
      <c r="G821" t="s">
        <v>599</v>
      </c>
      <c r="H821" t="s">
        <v>600</v>
      </c>
      <c r="I821" t="s">
        <v>601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 hidden="1">
      <c r="A822" t="s">
        <v>270</v>
      </c>
      <c r="B822" t="s">
        <v>1706</v>
      </c>
      <c r="C822" t="s">
        <v>1614</v>
      </c>
      <c r="D822" t="s">
        <v>1332</v>
      </c>
      <c r="E822" t="s">
        <v>1058</v>
      </c>
      <c r="F822" t="s">
        <v>598</v>
      </c>
      <c r="G822" t="s">
        <v>599</v>
      </c>
      <c r="H822" t="s">
        <v>600</v>
      </c>
      <c r="I822" t="s">
        <v>601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270</v>
      </c>
      <c r="B823" t="s">
        <v>1707</v>
      </c>
      <c r="C823" t="s">
        <v>1614</v>
      </c>
      <c r="D823" t="s">
        <v>1332</v>
      </c>
      <c r="E823" t="s">
        <v>1681</v>
      </c>
      <c r="F823" t="s">
        <v>598</v>
      </c>
      <c r="G823" t="s">
        <v>599</v>
      </c>
      <c r="H823" t="s">
        <v>600</v>
      </c>
      <c r="I823" t="s">
        <v>601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hidden="1">
      <c r="A824" t="s">
        <v>270</v>
      </c>
      <c r="B824" t="s">
        <v>1708</v>
      </c>
      <c r="C824" t="s">
        <v>1614</v>
      </c>
      <c r="D824" t="s">
        <v>1332</v>
      </c>
      <c r="E824" t="s">
        <v>1216</v>
      </c>
      <c r="F824" t="s">
        <v>598</v>
      </c>
      <c r="G824" t="s">
        <v>599</v>
      </c>
      <c r="H824" t="s">
        <v>600</v>
      </c>
      <c r="I824" t="s">
        <v>601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hidden="1">
      <c r="A825" t="s">
        <v>270</v>
      </c>
      <c r="B825" t="s">
        <v>1709</v>
      </c>
      <c r="C825" t="s">
        <v>1614</v>
      </c>
      <c r="D825" t="s">
        <v>1332</v>
      </c>
      <c r="E825" t="s">
        <v>1346</v>
      </c>
      <c r="F825" t="s">
        <v>598</v>
      </c>
      <c r="G825" t="s">
        <v>599</v>
      </c>
      <c r="H825" t="s">
        <v>600</v>
      </c>
      <c r="I825" t="s">
        <v>601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 hidden="1">
      <c r="A826" t="s">
        <v>270</v>
      </c>
      <c r="B826" t="s">
        <v>1710</v>
      </c>
      <c r="C826" t="s">
        <v>1614</v>
      </c>
      <c r="D826" t="s">
        <v>1332</v>
      </c>
      <c r="E826" t="s">
        <v>1393</v>
      </c>
      <c r="F826" t="s">
        <v>598</v>
      </c>
      <c r="G826" t="s">
        <v>599</v>
      </c>
      <c r="H826" t="s">
        <v>600</v>
      </c>
      <c r="I826" t="s">
        <v>601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hidden="1">
      <c r="A827" t="s">
        <v>270</v>
      </c>
      <c r="B827" t="s">
        <v>1711</v>
      </c>
      <c r="C827" t="s">
        <v>1614</v>
      </c>
      <c r="D827" t="s">
        <v>1350</v>
      </c>
      <c r="E827" t="s">
        <v>597</v>
      </c>
      <c r="F827" t="s">
        <v>598</v>
      </c>
      <c r="G827" t="s">
        <v>599</v>
      </c>
      <c r="H827" t="s">
        <v>600</v>
      </c>
      <c r="I827" t="s">
        <v>601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270</v>
      </c>
      <c r="B828" t="s">
        <v>1712</v>
      </c>
      <c r="C828" t="s">
        <v>1614</v>
      </c>
      <c r="D828" t="s">
        <v>1350</v>
      </c>
      <c r="E828" t="s">
        <v>1340</v>
      </c>
      <c r="F828" t="s">
        <v>598</v>
      </c>
      <c r="G828" t="s">
        <v>599</v>
      </c>
      <c r="H828" t="s">
        <v>600</v>
      </c>
      <c r="I828" t="s">
        <v>601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hidden="1">
      <c r="A829" t="s">
        <v>270</v>
      </c>
      <c r="B829" t="s">
        <v>1713</v>
      </c>
      <c r="C829" t="s">
        <v>1614</v>
      </c>
      <c r="D829" t="s">
        <v>1435</v>
      </c>
      <c r="E829" t="s">
        <v>973</v>
      </c>
      <c r="F829" t="s">
        <v>598</v>
      </c>
      <c r="G829" t="s">
        <v>599</v>
      </c>
      <c r="H829" t="s">
        <v>600</v>
      </c>
      <c r="I829" t="s">
        <v>601</v>
      </c>
      <c r="J829">
        <v>0.10050000000000001</v>
      </c>
      <c r="K829">
        <v>0.1038</v>
      </c>
      <c r="L829">
        <v>0.10730000000000001</v>
      </c>
      <c r="M829">
        <v>0.1109</v>
      </c>
      <c r="N829">
        <v>0.1147</v>
      </c>
      <c r="O829">
        <v>0.1187</v>
      </c>
      <c r="P829">
        <v>0.1227</v>
      </c>
      <c r="Q829">
        <v>0.1268</v>
      </c>
      <c r="R829">
        <v>0.1283</v>
      </c>
      <c r="S829">
        <v>0.12989999999999999</v>
      </c>
      <c r="T829">
        <v>0.13139999999999999</v>
      </c>
      <c r="U829">
        <v>0.13289999999999999</v>
      </c>
      <c r="V829">
        <v>0.1343</v>
      </c>
      <c r="W829">
        <v>0.13589999999999999</v>
      </c>
      <c r="X829">
        <v>0.13719999999999999</v>
      </c>
      <c r="Y829">
        <v>0.13900000000000001</v>
      </c>
    </row>
    <row r="830" spans="1:25" hidden="1">
      <c r="A830" t="s">
        <v>270</v>
      </c>
      <c r="B830" t="s">
        <v>1714</v>
      </c>
      <c r="C830" t="s">
        <v>1614</v>
      </c>
      <c r="D830" t="s">
        <v>1354</v>
      </c>
      <c r="E830" t="s">
        <v>954</v>
      </c>
      <c r="F830" t="s">
        <v>598</v>
      </c>
      <c r="G830" t="s">
        <v>599</v>
      </c>
      <c r="H830" t="s">
        <v>600</v>
      </c>
      <c r="I830" t="s">
        <v>601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hidden="1">
      <c r="A831" t="s">
        <v>270</v>
      </c>
      <c r="B831" t="s">
        <v>1715</v>
      </c>
      <c r="C831" t="s">
        <v>1614</v>
      </c>
      <c r="D831" t="s">
        <v>1354</v>
      </c>
      <c r="E831" t="s">
        <v>1716</v>
      </c>
      <c r="F831" t="s">
        <v>598</v>
      </c>
      <c r="G831" t="s">
        <v>599</v>
      </c>
      <c r="H831" t="s">
        <v>600</v>
      </c>
      <c r="I831" t="s">
        <v>601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 hidden="1">
      <c r="A832" t="s">
        <v>270</v>
      </c>
      <c r="B832" t="s">
        <v>1717</v>
      </c>
      <c r="C832" t="s">
        <v>1614</v>
      </c>
      <c r="D832" t="s">
        <v>1354</v>
      </c>
      <c r="E832" t="s">
        <v>1718</v>
      </c>
      <c r="F832" t="s">
        <v>598</v>
      </c>
      <c r="G832" t="s">
        <v>599</v>
      </c>
      <c r="H832" t="s">
        <v>600</v>
      </c>
      <c r="I832" t="s">
        <v>601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270</v>
      </c>
      <c r="B833" t="s">
        <v>1719</v>
      </c>
      <c r="C833" t="s">
        <v>1614</v>
      </c>
      <c r="D833" t="s">
        <v>1365</v>
      </c>
      <c r="E833" t="s">
        <v>954</v>
      </c>
      <c r="F833" t="s">
        <v>598</v>
      </c>
      <c r="G833" t="s">
        <v>599</v>
      </c>
      <c r="H833" t="s">
        <v>600</v>
      </c>
      <c r="I833" t="s">
        <v>601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hidden="1">
      <c r="A834" t="s">
        <v>270</v>
      </c>
      <c r="B834" t="s">
        <v>1720</v>
      </c>
      <c r="C834" t="s">
        <v>1614</v>
      </c>
      <c r="D834" t="s">
        <v>1365</v>
      </c>
      <c r="E834" t="s">
        <v>1393</v>
      </c>
      <c r="F834" t="s">
        <v>598</v>
      </c>
      <c r="G834" t="s">
        <v>599</v>
      </c>
      <c r="H834" t="s">
        <v>600</v>
      </c>
      <c r="I834" t="s">
        <v>601</v>
      </c>
      <c r="J834">
        <v>3.0999999999999999E-3</v>
      </c>
      <c r="K834">
        <v>3.2000000000000002E-3</v>
      </c>
      <c r="L834">
        <v>3.3E-3</v>
      </c>
      <c r="M834">
        <v>3.3999999999999998E-3</v>
      </c>
      <c r="N834">
        <v>3.5000000000000001E-3</v>
      </c>
      <c r="O834">
        <v>3.5999999999999999E-3</v>
      </c>
      <c r="P834">
        <v>3.7000000000000002E-3</v>
      </c>
      <c r="Q834">
        <v>3.8E-3</v>
      </c>
      <c r="R834">
        <v>3.8E-3</v>
      </c>
      <c r="S834">
        <v>3.8999999999999998E-3</v>
      </c>
      <c r="T834">
        <v>3.8999999999999998E-3</v>
      </c>
      <c r="U834">
        <v>3.8999999999999998E-3</v>
      </c>
      <c r="V834">
        <v>4.0000000000000001E-3</v>
      </c>
      <c r="W834">
        <v>4.0000000000000001E-3</v>
      </c>
      <c r="X834">
        <v>4.1000000000000003E-3</v>
      </c>
      <c r="Y834">
        <v>4.1000000000000003E-3</v>
      </c>
    </row>
    <row r="835" spans="1:25" hidden="1">
      <c r="A835" t="s">
        <v>270</v>
      </c>
      <c r="B835" t="s">
        <v>1721</v>
      </c>
      <c r="C835" t="s">
        <v>1614</v>
      </c>
      <c r="D835" t="s">
        <v>1722</v>
      </c>
      <c r="E835" t="s">
        <v>973</v>
      </c>
      <c r="F835" t="s">
        <v>598</v>
      </c>
      <c r="G835" t="s">
        <v>599</v>
      </c>
      <c r="H835" t="s">
        <v>600</v>
      </c>
      <c r="I835" t="s">
        <v>601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 hidden="1">
      <c r="A836" t="s">
        <v>270</v>
      </c>
      <c r="B836" t="s">
        <v>1723</v>
      </c>
      <c r="C836" t="s">
        <v>1614</v>
      </c>
      <c r="D836" t="s">
        <v>1722</v>
      </c>
      <c r="E836" t="s">
        <v>937</v>
      </c>
      <c r="F836" t="s">
        <v>598</v>
      </c>
      <c r="G836" t="s">
        <v>599</v>
      </c>
      <c r="H836" t="s">
        <v>600</v>
      </c>
      <c r="I836" t="s">
        <v>601</v>
      </c>
      <c r="J836">
        <v>2.0000000000000001E-4</v>
      </c>
      <c r="K836">
        <v>2.0000000000000001E-4</v>
      </c>
      <c r="L836">
        <v>2.0000000000000001E-4</v>
      </c>
      <c r="M836">
        <v>2.0000000000000001E-4</v>
      </c>
      <c r="N836">
        <v>2.0000000000000001E-4</v>
      </c>
      <c r="O836">
        <v>2.0000000000000001E-4</v>
      </c>
      <c r="P836">
        <v>2.0000000000000001E-4</v>
      </c>
      <c r="Q836">
        <v>2.0000000000000001E-4</v>
      </c>
      <c r="R836">
        <v>2.0000000000000001E-4</v>
      </c>
      <c r="S836">
        <v>2.0000000000000001E-4</v>
      </c>
      <c r="T836">
        <v>2.0000000000000001E-4</v>
      </c>
      <c r="U836">
        <v>2.0000000000000001E-4</v>
      </c>
      <c r="V836">
        <v>2.0000000000000001E-4</v>
      </c>
      <c r="W836">
        <v>2.0000000000000001E-4</v>
      </c>
      <c r="X836">
        <v>2.0000000000000001E-4</v>
      </c>
      <c r="Y836">
        <v>2.0000000000000001E-4</v>
      </c>
    </row>
    <row r="837" spans="1:25" hidden="1">
      <c r="A837" t="s">
        <v>270</v>
      </c>
      <c r="B837" t="s">
        <v>1724</v>
      </c>
      <c r="C837" t="s">
        <v>1614</v>
      </c>
      <c r="D837" t="s">
        <v>1722</v>
      </c>
      <c r="E837" t="s">
        <v>1340</v>
      </c>
      <c r="F837" t="s">
        <v>598</v>
      </c>
      <c r="G837" t="s">
        <v>599</v>
      </c>
      <c r="H837" t="s">
        <v>600</v>
      </c>
      <c r="I837" t="s">
        <v>601</v>
      </c>
      <c r="J837">
        <v>2.07E-2</v>
      </c>
      <c r="K837">
        <v>2.0899999999999998E-2</v>
      </c>
      <c r="L837">
        <v>2.12E-2</v>
      </c>
      <c r="M837">
        <v>2.1299999999999999E-2</v>
      </c>
      <c r="N837">
        <v>2.1600000000000001E-2</v>
      </c>
      <c r="O837">
        <v>2.18E-2</v>
      </c>
      <c r="P837">
        <v>2.1999999999999999E-2</v>
      </c>
      <c r="Q837">
        <v>2.24E-2</v>
      </c>
      <c r="R837">
        <v>2.2499999999999999E-2</v>
      </c>
      <c r="S837">
        <v>2.29E-2</v>
      </c>
      <c r="T837">
        <v>2.3099999999999999E-2</v>
      </c>
      <c r="U837">
        <v>2.3199999999999998E-2</v>
      </c>
      <c r="V837">
        <v>2.35E-2</v>
      </c>
      <c r="W837">
        <v>2.3900000000000001E-2</v>
      </c>
      <c r="X837">
        <v>2.4199999999999999E-2</v>
      </c>
      <c r="Y837">
        <v>2.4299999999999999E-2</v>
      </c>
    </row>
    <row r="838" spans="1:25" hidden="1">
      <c r="A838" t="s">
        <v>270</v>
      </c>
      <c r="B838" t="s">
        <v>1725</v>
      </c>
      <c r="C838" t="s">
        <v>1614</v>
      </c>
      <c r="D838" t="s">
        <v>1722</v>
      </c>
      <c r="E838" t="s">
        <v>1684</v>
      </c>
      <c r="F838" t="s">
        <v>598</v>
      </c>
      <c r="G838" t="s">
        <v>599</v>
      </c>
      <c r="H838" t="s">
        <v>600</v>
      </c>
      <c r="I838" t="s">
        <v>601</v>
      </c>
      <c r="J838">
        <v>8.9999999999999998E-4</v>
      </c>
      <c r="K838">
        <v>8.9999999999999998E-4</v>
      </c>
      <c r="L838">
        <v>8.9999999999999998E-4</v>
      </c>
      <c r="M838">
        <v>8.9999999999999998E-4</v>
      </c>
      <c r="N838">
        <v>8.9999999999999998E-4</v>
      </c>
      <c r="O838">
        <v>8.9999999999999998E-4</v>
      </c>
      <c r="P838">
        <v>1E-3</v>
      </c>
      <c r="Q838">
        <v>1E-3</v>
      </c>
      <c r="R838">
        <v>1E-3</v>
      </c>
      <c r="S838">
        <v>1E-3</v>
      </c>
      <c r="T838">
        <v>1E-3</v>
      </c>
      <c r="U838">
        <v>1.1000000000000001E-3</v>
      </c>
      <c r="V838">
        <v>1.1000000000000001E-3</v>
      </c>
      <c r="W838">
        <v>1.1000000000000001E-3</v>
      </c>
      <c r="X838">
        <v>1.1000000000000001E-3</v>
      </c>
      <c r="Y838">
        <v>1.1999999999999999E-3</v>
      </c>
    </row>
    <row r="839" spans="1:25" hidden="1">
      <c r="A839" t="s">
        <v>270</v>
      </c>
      <c r="B839" t="s">
        <v>1726</v>
      </c>
      <c r="C839" t="s">
        <v>1614</v>
      </c>
      <c r="D839" t="s">
        <v>1722</v>
      </c>
      <c r="E839" t="s">
        <v>1727</v>
      </c>
      <c r="F839" t="s">
        <v>598</v>
      </c>
      <c r="G839" t="s">
        <v>599</v>
      </c>
      <c r="H839" t="s">
        <v>600</v>
      </c>
      <c r="I839" t="s">
        <v>601</v>
      </c>
      <c r="J839">
        <v>1.3100000000000001E-2</v>
      </c>
      <c r="K839">
        <v>1.3299999999999999E-2</v>
      </c>
      <c r="L839">
        <v>1.35E-2</v>
      </c>
      <c r="M839">
        <v>1.3599999999999999E-2</v>
      </c>
      <c r="N839">
        <v>1.3899999999999999E-2</v>
      </c>
      <c r="O839">
        <v>1.4200000000000001E-2</v>
      </c>
      <c r="P839">
        <v>1.4500000000000001E-2</v>
      </c>
      <c r="Q839">
        <v>1.4800000000000001E-2</v>
      </c>
      <c r="R839">
        <v>1.52E-2</v>
      </c>
      <c r="S839">
        <v>1.55E-2</v>
      </c>
      <c r="T839">
        <v>1.5900000000000001E-2</v>
      </c>
      <c r="U839">
        <v>1.6199999999999999E-2</v>
      </c>
      <c r="V839">
        <v>1.67E-2</v>
      </c>
      <c r="W839">
        <v>1.7100000000000001E-2</v>
      </c>
      <c r="X839">
        <v>1.7600000000000001E-2</v>
      </c>
      <c r="Y839">
        <v>1.7899999999999999E-2</v>
      </c>
    </row>
    <row r="840" spans="1:25" hidden="1">
      <c r="A840" t="s">
        <v>270</v>
      </c>
      <c r="B840" t="s">
        <v>1728</v>
      </c>
      <c r="C840" t="s">
        <v>1614</v>
      </c>
      <c r="D840" t="s">
        <v>1722</v>
      </c>
      <c r="E840" t="s">
        <v>1729</v>
      </c>
      <c r="F840" t="s">
        <v>598</v>
      </c>
      <c r="G840" t="s">
        <v>599</v>
      </c>
      <c r="H840" t="s">
        <v>600</v>
      </c>
      <c r="I840" t="s">
        <v>601</v>
      </c>
      <c r="J840">
        <v>4.7999999999999996E-3</v>
      </c>
      <c r="K840">
        <v>4.8999999999999998E-3</v>
      </c>
      <c r="L840">
        <v>4.8999999999999998E-3</v>
      </c>
      <c r="M840">
        <v>4.8999999999999998E-3</v>
      </c>
      <c r="N840">
        <v>5.1999999999999998E-3</v>
      </c>
      <c r="O840">
        <v>5.3E-3</v>
      </c>
      <c r="P840">
        <v>5.4000000000000003E-3</v>
      </c>
      <c r="Q840">
        <v>5.4000000000000003E-3</v>
      </c>
      <c r="R840">
        <v>5.7000000000000002E-3</v>
      </c>
      <c r="S840">
        <v>5.7000000000000002E-3</v>
      </c>
      <c r="T840">
        <v>5.7999999999999996E-3</v>
      </c>
      <c r="U840">
        <v>6.0000000000000001E-3</v>
      </c>
      <c r="V840">
        <v>6.1000000000000004E-3</v>
      </c>
      <c r="W840">
        <v>6.1999999999999998E-3</v>
      </c>
      <c r="X840">
        <v>6.4000000000000003E-3</v>
      </c>
      <c r="Y840">
        <v>6.7000000000000002E-3</v>
      </c>
    </row>
    <row r="841" spans="1:25" hidden="1">
      <c r="A841" t="s">
        <v>270</v>
      </c>
      <c r="B841" t="s">
        <v>1730</v>
      </c>
      <c r="C841" t="s">
        <v>1614</v>
      </c>
      <c r="D841" t="s">
        <v>1722</v>
      </c>
      <c r="E841" t="s">
        <v>1731</v>
      </c>
      <c r="F841" t="s">
        <v>598</v>
      </c>
      <c r="G841" t="s">
        <v>599</v>
      </c>
      <c r="H841" t="s">
        <v>600</v>
      </c>
      <c r="I841" t="s">
        <v>601</v>
      </c>
      <c r="J841">
        <v>4.4000000000000003E-3</v>
      </c>
      <c r="K841">
        <v>4.4000000000000003E-3</v>
      </c>
      <c r="L841">
        <v>4.4000000000000003E-3</v>
      </c>
      <c r="M841">
        <v>4.5999999999999999E-3</v>
      </c>
      <c r="N841">
        <v>4.5999999999999999E-3</v>
      </c>
      <c r="O841">
        <v>4.7000000000000002E-3</v>
      </c>
      <c r="P841">
        <v>4.8999999999999998E-3</v>
      </c>
      <c r="Q841">
        <v>4.8999999999999998E-3</v>
      </c>
      <c r="R841">
        <v>5.1000000000000004E-3</v>
      </c>
      <c r="S841">
        <v>5.1999999999999998E-3</v>
      </c>
      <c r="T841">
        <v>5.1999999999999998E-3</v>
      </c>
      <c r="U841">
        <v>5.4000000000000003E-3</v>
      </c>
      <c r="V841">
        <v>5.4999999999999997E-3</v>
      </c>
      <c r="W841">
        <v>5.7000000000000002E-3</v>
      </c>
      <c r="X841">
        <v>5.8999999999999999E-3</v>
      </c>
      <c r="Y841">
        <v>6.1000000000000004E-3</v>
      </c>
    </row>
    <row r="842" spans="1:25" hidden="1">
      <c r="A842" t="s">
        <v>270</v>
      </c>
      <c r="B842" t="s">
        <v>1732</v>
      </c>
      <c r="C842" t="s">
        <v>1614</v>
      </c>
      <c r="D842" t="s">
        <v>1722</v>
      </c>
      <c r="E842" t="s">
        <v>1733</v>
      </c>
      <c r="F842" t="s">
        <v>598</v>
      </c>
      <c r="G842" t="s">
        <v>599</v>
      </c>
      <c r="H842" t="s">
        <v>600</v>
      </c>
      <c r="I842" t="s">
        <v>601</v>
      </c>
      <c r="J842">
        <v>5.0000000000000001E-4</v>
      </c>
      <c r="K842">
        <v>5.0000000000000001E-4</v>
      </c>
      <c r="L842">
        <v>5.0000000000000001E-4</v>
      </c>
      <c r="M842">
        <v>5.0000000000000001E-4</v>
      </c>
      <c r="N842">
        <v>5.0000000000000001E-4</v>
      </c>
      <c r="O842">
        <v>5.9999999999999995E-4</v>
      </c>
      <c r="P842">
        <v>5.9999999999999995E-4</v>
      </c>
      <c r="Q842">
        <v>5.9999999999999995E-4</v>
      </c>
      <c r="R842">
        <v>5.9999999999999995E-4</v>
      </c>
      <c r="S842">
        <v>6.9999999999999999E-4</v>
      </c>
      <c r="T842">
        <v>6.9999999999999999E-4</v>
      </c>
      <c r="U842">
        <v>6.9999999999999999E-4</v>
      </c>
      <c r="V842">
        <v>6.9999999999999999E-4</v>
      </c>
      <c r="W842">
        <v>6.9999999999999999E-4</v>
      </c>
      <c r="X842">
        <v>8.0000000000000004E-4</v>
      </c>
      <c r="Y842">
        <v>8.0000000000000004E-4</v>
      </c>
    </row>
    <row r="843" spans="1:25" hidden="1">
      <c r="A843" t="s">
        <v>270</v>
      </c>
      <c r="B843" t="s">
        <v>1734</v>
      </c>
      <c r="C843" t="s">
        <v>1614</v>
      </c>
      <c r="D843" t="s">
        <v>1722</v>
      </c>
      <c r="E843" t="s">
        <v>1735</v>
      </c>
      <c r="F843" t="s">
        <v>598</v>
      </c>
      <c r="G843" t="s">
        <v>599</v>
      </c>
      <c r="H843" t="s">
        <v>600</v>
      </c>
      <c r="I843" t="s">
        <v>601</v>
      </c>
      <c r="J843">
        <v>1E-4</v>
      </c>
      <c r="K843">
        <v>1E-4</v>
      </c>
      <c r="L843">
        <v>1E-4</v>
      </c>
      <c r="M843">
        <v>1E-4</v>
      </c>
      <c r="N843">
        <v>1E-4</v>
      </c>
      <c r="O843">
        <v>1E-4</v>
      </c>
      <c r="P843">
        <v>1E-4</v>
      </c>
      <c r="Q843">
        <v>1E-4</v>
      </c>
      <c r="R843">
        <v>1E-4</v>
      </c>
      <c r="S843">
        <v>1E-4</v>
      </c>
      <c r="T843">
        <v>1E-4</v>
      </c>
      <c r="U843">
        <v>1E-4</v>
      </c>
      <c r="V843">
        <v>1E-4</v>
      </c>
      <c r="W843">
        <v>1E-4</v>
      </c>
      <c r="X843">
        <v>1E-4</v>
      </c>
      <c r="Y843">
        <v>1E-4</v>
      </c>
    </row>
    <row r="844" spans="1:25" hidden="1">
      <c r="A844" t="s">
        <v>270</v>
      </c>
      <c r="B844" t="s">
        <v>1736</v>
      </c>
      <c r="C844" t="s">
        <v>1614</v>
      </c>
      <c r="D844" t="s">
        <v>1722</v>
      </c>
      <c r="E844" t="s">
        <v>1737</v>
      </c>
      <c r="F844" t="s">
        <v>598</v>
      </c>
      <c r="G844" t="s">
        <v>599</v>
      </c>
      <c r="H844" t="s">
        <v>600</v>
      </c>
      <c r="I844" t="s">
        <v>601</v>
      </c>
      <c r="J844">
        <v>5.8999999999999999E-3</v>
      </c>
      <c r="K844">
        <v>6.0000000000000001E-3</v>
      </c>
      <c r="L844">
        <v>6.0000000000000001E-3</v>
      </c>
      <c r="M844">
        <v>6.1000000000000004E-3</v>
      </c>
      <c r="N844">
        <v>6.1999999999999998E-3</v>
      </c>
      <c r="O844">
        <v>6.4000000000000003E-3</v>
      </c>
      <c r="P844">
        <v>6.4999999999999997E-3</v>
      </c>
      <c r="Q844">
        <v>6.7000000000000002E-3</v>
      </c>
      <c r="R844">
        <v>6.7999999999999996E-3</v>
      </c>
      <c r="S844">
        <v>7.0000000000000001E-3</v>
      </c>
      <c r="T844">
        <v>7.1000000000000004E-3</v>
      </c>
      <c r="U844">
        <v>7.3000000000000001E-3</v>
      </c>
      <c r="V844">
        <v>7.4999999999999997E-3</v>
      </c>
      <c r="W844">
        <v>7.7000000000000002E-3</v>
      </c>
      <c r="X844">
        <v>7.9000000000000008E-3</v>
      </c>
      <c r="Y844">
        <v>8.0999999999999996E-3</v>
      </c>
    </row>
    <row r="845" spans="1:25" hidden="1">
      <c r="A845" t="s">
        <v>270</v>
      </c>
      <c r="B845" t="s">
        <v>1738</v>
      </c>
      <c r="C845" t="s">
        <v>1614</v>
      </c>
      <c r="D845" t="s">
        <v>1722</v>
      </c>
      <c r="E845" t="s">
        <v>1739</v>
      </c>
      <c r="F845" t="s">
        <v>598</v>
      </c>
      <c r="G845" t="s">
        <v>599</v>
      </c>
      <c r="H845" t="s">
        <v>600</v>
      </c>
      <c r="I845" t="s">
        <v>601</v>
      </c>
      <c r="J845">
        <v>1E-4</v>
      </c>
      <c r="K845">
        <v>1E-4</v>
      </c>
      <c r="L845">
        <v>1E-4</v>
      </c>
      <c r="M845">
        <v>1E-4</v>
      </c>
      <c r="N845">
        <v>1E-4</v>
      </c>
      <c r="O845">
        <v>1E-4</v>
      </c>
      <c r="P845">
        <v>1E-4</v>
      </c>
      <c r="Q845">
        <v>1E-4</v>
      </c>
      <c r="R845">
        <v>1E-4</v>
      </c>
      <c r="S845">
        <v>1E-4</v>
      </c>
      <c r="T845">
        <v>1E-4</v>
      </c>
      <c r="U845">
        <v>1E-4</v>
      </c>
      <c r="V845">
        <v>1E-4</v>
      </c>
      <c r="W845">
        <v>1E-4</v>
      </c>
      <c r="X845">
        <v>1E-4</v>
      </c>
      <c r="Y845">
        <v>1E-4</v>
      </c>
    </row>
    <row r="846" spans="1:25" hidden="1">
      <c r="A846" t="s">
        <v>270</v>
      </c>
      <c r="B846" t="s">
        <v>1740</v>
      </c>
      <c r="C846" t="s">
        <v>1614</v>
      </c>
      <c r="D846" t="s">
        <v>1722</v>
      </c>
      <c r="E846" t="s">
        <v>1741</v>
      </c>
      <c r="F846" t="s">
        <v>598</v>
      </c>
      <c r="G846" t="s">
        <v>599</v>
      </c>
      <c r="H846" t="s">
        <v>600</v>
      </c>
      <c r="I846" t="s">
        <v>601</v>
      </c>
      <c r="J846">
        <v>1.7600000000000001E-2</v>
      </c>
      <c r="K846">
        <v>1.7100000000000001E-2</v>
      </c>
      <c r="L846">
        <v>1.67E-2</v>
      </c>
      <c r="M846">
        <v>1.5900000000000001E-2</v>
      </c>
      <c r="N846">
        <v>1.5599999999999999E-2</v>
      </c>
      <c r="O846">
        <v>1.5100000000000001E-2</v>
      </c>
      <c r="P846">
        <v>1.5299999999999999E-2</v>
      </c>
      <c r="Q846">
        <v>1.55E-2</v>
      </c>
      <c r="R846">
        <v>1.55E-2</v>
      </c>
      <c r="S846">
        <v>1.55E-2</v>
      </c>
      <c r="T846">
        <v>1.5599999999999999E-2</v>
      </c>
      <c r="U846">
        <v>1.5599999999999999E-2</v>
      </c>
      <c r="V846">
        <v>1.5699999999999999E-2</v>
      </c>
      <c r="W846">
        <v>1.5699999999999999E-2</v>
      </c>
      <c r="X846">
        <v>1.5800000000000002E-2</v>
      </c>
      <c r="Y846">
        <v>1.5800000000000002E-2</v>
      </c>
    </row>
    <row r="847" spans="1:25" hidden="1">
      <c r="A847" t="s">
        <v>270</v>
      </c>
      <c r="B847" t="s">
        <v>1742</v>
      </c>
      <c r="C847" t="s">
        <v>1614</v>
      </c>
      <c r="D847" t="s">
        <v>1722</v>
      </c>
      <c r="E847" t="s">
        <v>1743</v>
      </c>
      <c r="F847" t="s">
        <v>598</v>
      </c>
      <c r="G847" t="s">
        <v>599</v>
      </c>
      <c r="H847" t="s">
        <v>600</v>
      </c>
      <c r="I847" t="s">
        <v>601</v>
      </c>
      <c r="J847">
        <v>5.8400000000000001E-2</v>
      </c>
      <c r="K847">
        <v>5.67E-2</v>
      </c>
      <c r="L847">
        <v>5.5100000000000003E-2</v>
      </c>
      <c r="M847">
        <v>5.2600000000000001E-2</v>
      </c>
      <c r="N847">
        <v>5.1700000000000003E-2</v>
      </c>
      <c r="O847">
        <v>4.99E-2</v>
      </c>
      <c r="P847">
        <v>5.0599999999999999E-2</v>
      </c>
      <c r="Q847">
        <v>5.11E-2</v>
      </c>
      <c r="R847">
        <v>5.1200000000000002E-2</v>
      </c>
      <c r="S847">
        <v>5.1200000000000002E-2</v>
      </c>
      <c r="T847">
        <v>5.16E-2</v>
      </c>
      <c r="U847">
        <v>5.1700000000000003E-2</v>
      </c>
      <c r="V847">
        <v>5.1799999999999999E-2</v>
      </c>
      <c r="W847">
        <v>5.1999999999999998E-2</v>
      </c>
      <c r="X847">
        <v>5.2200000000000003E-2</v>
      </c>
      <c r="Y847">
        <v>5.2299999999999999E-2</v>
      </c>
    </row>
    <row r="848" spans="1:25" hidden="1">
      <c r="A848" t="s">
        <v>270</v>
      </c>
      <c r="B848" t="s">
        <v>1744</v>
      </c>
      <c r="C848" t="s">
        <v>1614</v>
      </c>
      <c r="D848" t="s">
        <v>1722</v>
      </c>
      <c r="E848" t="s">
        <v>1450</v>
      </c>
      <c r="F848" t="s">
        <v>598</v>
      </c>
      <c r="G848" t="s">
        <v>599</v>
      </c>
      <c r="H848" t="s">
        <v>600</v>
      </c>
      <c r="I848" t="s">
        <v>601</v>
      </c>
      <c r="J848">
        <v>2.3E-3</v>
      </c>
      <c r="K848">
        <v>2.3999999999999998E-3</v>
      </c>
      <c r="L848">
        <v>2.3999999999999998E-3</v>
      </c>
      <c r="M848">
        <v>2.3999999999999998E-3</v>
      </c>
      <c r="N848">
        <v>2.3999999999999998E-3</v>
      </c>
      <c r="O848">
        <v>2.3999999999999998E-3</v>
      </c>
      <c r="P848">
        <v>2.5000000000000001E-3</v>
      </c>
      <c r="Q848">
        <v>2.5999999999999999E-3</v>
      </c>
      <c r="R848">
        <v>2.7000000000000001E-3</v>
      </c>
      <c r="S848">
        <v>2.7000000000000001E-3</v>
      </c>
      <c r="T848">
        <v>2.8E-3</v>
      </c>
      <c r="U848">
        <v>2.8E-3</v>
      </c>
      <c r="V848">
        <v>2.8999999999999998E-3</v>
      </c>
      <c r="W848">
        <v>2.8999999999999998E-3</v>
      </c>
      <c r="X848">
        <v>3.0000000000000001E-3</v>
      </c>
      <c r="Y848">
        <v>3.3E-3</v>
      </c>
    </row>
    <row r="849" spans="1:25" hidden="1">
      <c r="A849" t="s">
        <v>270</v>
      </c>
      <c r="B849" t="s">
        <v>1745</v>
      </c>
      <c r="C849" t="s">
        <v>1614</v>
      </c>
      <c r="D849" t="s">
        <v>1722</v>
      </c>
      <c r="E849" t="s">
        <v>1615</v>
      </c>
      <c r="F849" t="s">
        <v>598</v>
      </c>
      <c r="G849" t="s">
        <v>599</v>
      </c>
      <c r="H849" t="s">
        <v>600</v>
      </c>
      <c r="I849" t="s">
        <v>601</v>
      </c>
      <c r="J849">
        <v>6.6100000000000006E-2</v>
      </c>
      <c r="K849">
        <v>6.6799999999999998E-2</v>
      </c>
      <c r="L849">
        <v>6.7500000000000004E-2</v>
      </c>
      <c r="M849">
        <v>6.8199999999999997E-2</v>
      </c>
      <c r="N849">
        <v>6.8900000000000003E-2</v>
      </c>
      <c r="O849">
        <v>6.9599999999999995E-2</v>
      </c>
      <c r="P849">
        <v>7.0300000000000001E-2</v>
      </c>
      <c r="Q849">
        <v>7.0999999999999994E-2</v>
      </c>
      <c r="R849">
        <v>7.17E-2</v>
      </c>
      <c r="S849">
        <v>7.2400000000000006E-2</v>
      </c>
      <c r="T849">
        <v>7.3099999999999998E-2</v>
      </c>
      <c r="U849">
        <v>7.3899999999999993E-2</v>
      </c>
      <c r="V849">
        <v>7.46E-2</v>
      </c>
      <c r="W849">
        <v>7.5300000000000006E-2</v>
      </c>
      <c r="X849">
        <v>7.6200000000000004E-2</v>
      </c>
      <c r="Y849">
        <v>7.6899999999999996E-2</v>
      </c>
    </row>
    <row r="850" spans="1:25" hidden="1">
      <c r="A850" t="s">
        <v>270</v>
      </c>
      <c r="B850" t="s">
        <v>1746</v>
      </c>
      <c r="C850" t="s">
        <v>1614</v>
      </c>
      <c r="D850" t="s">
        <v>1722</v>
      </c>
      <c r="E850" t="s">
        <v>954</v>
      </c>
      <c r="F850" t="s">
        <v>598</v>
      </c>
      <c r="G850" t="s">
        <v>599</v>
      </c>
      <c r="H850" t="s">
        <v>600</v>
      </c>
      <c r="I850" t="s">
        <v>601</v>
      </c>
      <c r="J850">
        <v>2.63E-2</v>
      </c>
      <c r="K850">
        <v>2.6800000000000001E-2</v>
      </c>
      <c r="L850">
        <v>2.75E-2</v>
      </c>
      <c r="M850">
        <v>2.8000000000000001E-2</v>
      </c>
      <c r="N850">
        <v>2.8799999999999999E-2</v>
      </c>
      <c r="O850">
        <v>2.9399999999999999E-2</v>
      </c>
      <c r="P850">
        <v>3.0099999999999998E-2</v>
      </c>
      <c r="Q850">
        <v>3.0800000000000001E-2</v>
      </c>
      <c r="R850">
        <v>3.1300000000000001E-2</v>
      </c>
      <c r="S850">
        <v>3.1800000000000002E-2</v>
      </c>
      <c r="T850">
        <v>3.2099999999999997E-2</v>
      </c>
      <c r="U850">
        <v>3.2599999999999997E-2</v>
      </c>
      <c r="V850">
        <v>3.3000000000000002E-2</v>
      </c>
      <c r="W850">
        <v>3.3500000000000002E-2</v>
      </c>
      <c r="X850">
        <v>3.4000000000000002E-2</v>
      </c>
      <c r="Y850">
        <v>3.44E-2</v>
      </c>
    </row>
    <row r="851" spans="1:25" hidden="1">
      <c r="A851" t="s">
        <v>270</v>
      </c>
      <c r="B851" t="s">
        <v>1747</v>
      </c>
      <c r="C851" t="s">
        <v>1614</v>
      </c>
      <c r="D851" t="s">
        <v>1722</v>
      </c>
      <c r="E851" t="s">
        <v>1748</v>
      </c>
      <c r="F851" t="s">
        <v>598</v>
      </c>
      <c r="G851" t="s">
        <v>599</v>
      </c>
      <c r="H851" t="s">
        <v>600</v>
      </c>
      <c r="I851" t="s">
        <v>601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hidden="1">
      <c r="A852" t="s">
        <v>270</v>
      </c>
      <c r="B852" t="s">
        <v>1749</v>
      </c>
      <c r="C852" t="s">
        <v>1614</v>
      </c>
      <c r="D852" t="s">
        <v>1722</v>
      </c>
      <c r="E852" t="s">
        <v>1750</v>
      </c>
      <c r="F852" t="s">
        <v>598</v>
      </c>
      <c r="G852" t="s">
        <v>599</v>
      </c>
      <c r="H852" t="s">
        <v>600</v>
      </c>
      <c r="I852" t="s">
        <v>601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hidden="1">
      <c r="A853" t="s">
        <v>270</v>
      </c>
      <c r="B853" t="s">
        <v>1751</v>
      </c>
      <c r="C853" t="s">
        <v>1614</v>
      </c>
      <c r="D853" t="s">
        <v>1722</v>
      </c>
      <c r="E853" t="s">
        <v>1022</v>
      </c>
      <c r="F853" t="s">
        <v>598</v>
      </c>
      <c r="G853" t="s">
        <v>599</v>
      </c>
      <c r="H853" t="s">
        <v>600</v>
      </c>
      <c r="I853" t="s">
        <v>601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25" hidden="1">
      <c r="A854" t="s">
        <v>270</v>
      </c>
      <c r="B854" t="s">
        <v>1752</v>
      </c>
      <c r="C854" t="s">
        <v>1614</v>
      </c>
      <c r="D854" t="s">
        <v>1722</v>
      </c>
      <c r="E854" t="s">
        <v>1198</v>
      </c>
      <c r="F854" t="s">
        <v>598</v>
      </c>
      <c r="G854" t="s">
        <v>599</v>
      </c>
      <c r="H854" t="s">
        <v>600</v>
      </c>
      <c r="I854" t="s">
        <v>601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25" hidden="1">
      <c r="A855" t="s">
        <v>270</v>
      </c>
      <c r="B855" t="s">
        <v>1753</v>
      </c>
      <c r="C855" t="s">
        <v>1614</v>
      </c>
      <c r="D855" t="s">
        <v>1722</v>
      </c>
      <c r="E855" t="s">
        <v>1754</v>
      </c>
      <c r="F855" t="s">
        <v>598</v>
      </c>
      <c r="G855" t="s">
        <v>599</v>
      </c>
      <c r="H855" t="s">
        <v>600</v>
      </c>
      <c r="I855" t="s">
        <v>601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hidden="1">
      <c r="A856" t="s">
        <v>270</v>
      </c>
      <c r="B856" t="s">
        <v>1755</v>
      </c>
      <c r="C856" t="s">
        <v>1614</v>
      </c>
      <c r="D856" t="s">
        <v>1722</v>
      </c>
      <c r="E856" t="s">
        <v>1756</v>
      </c>
      <c r="F856" t="s">
        <v>598</v>
      </c>
      <c r="G856" t="s">
        <v>599</v>
      </c>
      <c r="H856" t="s">
        <v>600</v>
      </c>
      <c r="I856" t="s">
        <v>601</v>
      </c>
      <c r="J856">
        <v>2.8999999999999998E-3</v>
      </c>
      <c r="K856">
        <v>3.0000000000000001E-3</v>
      </c>
      <c r="L856">
        <v>3.2000000000000002E-3</v>
      </c>
      <c r="M856">
        <v>3.3E-3</v>
      </c>
      <c r="N856">
        <v>3.3999999999999998E-3</v>
      </c>
      <c r="O856">
        <v>3.5000000000000001E-3</v>
      </c>
      <c r="P856">
        <v>3.5999999999999999E-3</v>
      </c>
      <c r="Q856">
        <v>3.7000000000000002E-3</v>
      </c>
      <c r="R856">
        <v>3.8999999999999998E-3</v>
      </c>
      <c r="S856">
        <v>4.0000000000000001E-3</v>
      </c>
      <c r="T856">
        <v>4.1000000000000003E-3</v>
      </c>
      <c r="U856">
        <v>4.3E-3</v>
      </c>
      <c r="V856">
        <v>4.4000000000000003E-3</v>
      </c>
      <c r="W856">
        <v>4.4999999999999997E-3</v>
      </c>
      <c r="X856">
        <v>4.7000000000000002E-3</v>
      </c>
      <c r="Y856">
        <v>4.7999999999999996E-3</v>
      </c>
    </row>
    <row r="857" spans="1:25" hidden="1">
      <c r="A857" t="s">
        <v>270</v>
      </c>
      <c r="B857" t="s">
        <v>1757</v>
      </c>
      <c r="C857" t="s">
        <v>1614</v>
      </c>
      <c r="D857" t="s">
        <v>1722</v>
      </c>
      <c r="E857" t="s">
        <v>1393</v>
      </c>
      <c r="F857" t="s">
        <v>598</v>
      </c>
      <c r="G857" t="s">
        <v>599</v>
      </c>
      <c r="H857" t="s">
        <v>600</v>
      </c>
      <c r="I857" t="s">
        <v>601</v>
      </c>
      <c r="J857">
        <v>1.44E-2</v>
      </c>
      <c r="K857">
        <v>1.4500000000000001E-2</v>
      </c>
      <c r="L857">
        <v>1.47E-2</v>
      </c>
      <c r="M857">
        <v>1.4800000000000001E-2</v>
      </c>
      <c r="N857">
        <v>1.4999999999999999E-2</v>
      </c>
      <c r="O857">
        <v>1.5100000000000001E-2</v>
      </c>
      <c r="P857">
        <v>1.5299999999999999E-2</v>
      </c>
      <c r="Q857">
        <v>1.54E-2</v>
      </c>
      <c r="R857">
        <v>1.5599999999999999E-2</v>
      </c>
      <c r="S857">
        <v>1.5699999999999999E-2</v>
      </c>
      <c r="T857">
        <v>1.5800000000000002E-2</v>
      </c>
      <c r="U857">
        <v>1.6E-2</v>
      </c>
      <c r="V857">
        <v>1.6199999999999999E-2</v>
      </c>
      <c r="W857">
        <v>1.6400000000000001E-2</v>
      </c>
      <c r="X857">
        <v>1.66E-2</v>
      </c>
      <c r="Y857">
        <v>1.67E-2</v>
      </c>
    </row>
    <row r="858" spans="1:25" hidden="1">
      <c r="A858" t="s">
        <v>270</v>
      </c>
      <c r="B858" t="s">
        <v>1758</v>
      </c>
      <c r="C858" t="s">
        <v>1614</v>
      </c>
      <c r="D858" t="s">
        <v>1722</v>
      </c>
      <c r="E858" t="s">
        <v>1759</v>
      </c>
      <c r="F858" t="s">
        <v>598</v>
      </c>
      <c r="G858" t="s">
        <v>599</v>
      </c>
      <c r="H858" t="s">
        <v>600</v>
      </c>
      <c r="I858" t="s">
        <v>601</v>
      </c>
      <c r="J858">
        <v>1E-4</v>
      </c>
      <c r="K858">
        <v>1E-4</v>
      </c>
      <c r="L858">
        <v>1E-4</v>
      </c>
      <c r="M858">
        <v>1E-4</v>
      </c>
      <c r="N858">
        <v>1E-4</v>
      </c>
      <c r="O858">
        <v>1E-4</v>
      </c>
      <c r="P858">
        <v>1E-4</v>
      </c>
      <c r="Q858">
        <v>1E-4</v>
      </c>
      <c r="R858">
        <v>1E-4</v>
      </c>
      <c r="S858">
        <v>1E-4</v>
      </c>
      <c r="T858">
        <v>1E-4</v>
      </c>
      <c r="U858">
        <v>1E-4</v>
      </c>
      <c r="V858">
        <v>1E-4</v>
      </c>
      <c r="W858">
        <v>1E-4</v>
      </c>
      <c r="X858">
        <v>1E-4</v>
      </c>
      <c r="Y858">
        <v>1E-4</v>
      </c>
    </row>
    <row r="859" spans="1:25" hidden="1">
      <c r="A859" t="s">
        <v>270</v>
      </c>
      <c r="B859" t="s">
        <v>1760</v>
      </c>
      <c r="C859" t="s">
        <v>1614</v>
      </c>
      <c r="D859" t="s">
        <v>1722</v>
      </c>
      <c r="E859" t="s">
        <v>1761</v>
      </c>
      <c r="F859" t="s">
        <v>598</v>
      </c>
      <c r="G859" t="s">
        <v>599</v>
      </c>
      <c r="H859" t="s">
        <v>600</v>
      </c>
      <c r="I859" t="s">
        <v>601</v>
      </c>
      <c r="J859">
        <v>5.4000000000000003E-3</v>
      </c>
      <c r="K859">
        <v>5.4000000000000003E-3</v>
      </c>
      <c r="L859">
        <v>5.4999999999999997E-3</v>
      </c>
      <c r="M859">
        <v>5.5999999999999999E-3</v>
      </c>
      <c r="N859">
        <v>5.7000000000000002E-3</v>
      </c>
      <c r="O859">
        <v>5.8999999999999999E-3</v>
      </c>
      <c r="P859">
        <v>6.0000000000000001E-3</v>
      </c>
      <c r="Q859">
        <v>6.1999999999999998E-3</v>
      </c>
      <c r="R859">
        <v>6.3E-3</v>
      </c>
      <c r="S859">
        <v>6.4000000000000003E-3</v>
      </c>
      <c r="T859">
        <v>6.6E-3</v>
      </c>
      <c r="U859">
        <v>6.7000000000000002E-3</v>
      </c>
      <c r="V859">
        <v>6.8999999999999999E-3</v>
      </c>
      <c r="W859">
        <v>7.1000000000000004E-3</v>
      </c>
      <c r="X859">
        <v>7.1999999999999998E-3</v>
      </c>
      <c r="Y859">
        <v>7.4000000000000003E-3</v>
      </c>
    </row>
    <row r="860" spans="1:25" hidden="1">
      <c r="A860" t="s">
        <v>270</v>
      </c>
      <c r="B860" t="s">
        <v>1762</v>
      </c>
      <c r="C860" t="s">
        <v>1614</v>
      </c>
      <c r="D860" t="s">
        <v>1722</v>
      </c>
      <c r="E860" t="s">
        <v>1763</v>
      </c>
      <c r="F860" t="s">
        <v>598</v>
      </c>
      <c r="G860" t="s">
        <v>599</v>
      </c>
      <c r="H860" t="s">
        <v>600</v>
      </c>
      <c r="I860" t="s">
        <v>601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</row>
    <row r="861" spans="1:25" hidden="1">
      <c r="A861" t="s">
        <v>270</v>
      </c>
      <c r="B861" t="s">
        <v>1764</v>
      </c>
      <c r="C861" t="s">
        <v>1614</v>
      </c>
      <c r="D861" t="s">
        <v>1722</v>
      </c>
      <c r="E861" t="s">
        <v>1765</v>
      </c>
      <c r="F861" t="s">
        <v>598</v>
      </c>
      <c r="G861" t="s">
        <v>599</v>
      </c>
      <c r="H861" t="s">
        <v>600</v>
      </c>
      <c r="I861" t="s">
        <v>601</v>
      </c>
      <c r="J861">
        <v>6.4600000000000005E-2</v>
      </c>
      <c r="K861">
        <v>6.5600000000000006E-2</v>
      </c>
      <c r="L861">
        <v>6.6600000000000006E-2</v>
      </c>
      <c r="M861">
        <v>6.7900000000000002E-2</v>
      </c>
      <c r="N861">
        <v>6.9400000000000003E-2</v>
      </c>
      <c r="O861">
        <v>7.1199999999999999E-2</v>
      </c>
      <c r="P861">
        <v>7.2900000000000006E-2</v>
      </c>
      <c r="Q861">
        <v>7.46E-2</v>
      </c>
      <c r="R861">
        <v>7.6499999999999999E-2</v>
      </c>
      <c r="S861">
        <v>7.8299999999999995E-2</v>
      </c>
      <c r="T861">
        <v>8.0199999999999994E-2</v>
      </c>
      <c r="U861">
        <v>8.2299999999999998E-2</v>
      </c>
      <c r="V861">
        <v>8.4599999999999995E-2</v>
      </c>
      <c r="W861">
        <v>8.6800000000000002E-2</v>
      </c>
      <c r="X861">
        <v>8.8900000000000007E-2</v>
      </c>
      <c r="Y861">
        <v>9.11E-2</v>
      </c>
    </row>
    <row r="862" spans="1:25" hidden="1">
      <c r="A862" t="s">
        <v>270</v>
      </c>
      <c r="B862" t="s">
        <v>1766</v>
      </c>
      <c r="C862" t="s">
        <v>1614</v>
      </c>
      <c r="D862" t="s">
        <v>1722</v>
      </c>
      <c r="E862" t="s">
        <v>1378</v>
      </c>
      <c r="F862" t="s">
        <v>598</v>
      </c>
      <c r="G862" t="s">
        <v>599</v>
      </c>
      <c r="H862" t="s">
        <v>600</v>
      </c>
      <c r="I862" t="s">
        <v>601</v>
      </c>
      <c r="J862">
        <v>2.1399999999999999E-2</v>
      </c>
      <c r="K862">
        <v>2.1600000000000001E-2</v>
      </c>
      <c r="L862">
        <v>2.18E-2</v>
      </c>
      <c r="M862">
        <v>2.2200000000000001E-2</v>
      </c>
      <c r="N862">
        <v>2.2499999999999999E-2</v>
      </c>
      <c r="O862">
        <v>2.2700000000000001E-2</v>
      </c>
      <c r="P862">
        <v>2.3E-2</v>
      </c>
      <c r="Q862">
        <v>2.3300000000000001E-2</v>
      </c>
      <c r="R862">
        <v>2.35E-2</v>
      </c>
      <c r="S862">
        <v>2.3699999999999999E-2</v>
      </c>
      <c r="T862">
        <v>2.4E-2</v>
      </c>
      <c r="U862">
        <v>2.4199999999999999E-2</v>
      </c>
      <c r="V862">
        <v>2.4500000000000001E-2</v>
      </c>
      <c r="W862">
        <v>2.47E-2</v>
      </c>
      <c r="X862">
        <v>2.5000000000000001E-2</v>
      </c>
      <c r="Y862">
        <v>2.52E-2</v>
      </c>
    </row>
    <row r="863" spans="1:25" hidden="1">
      <c r="A863" t="s">
        <v>270</v>
      </c>
      <c r="B863" t="s">
        <v>1767</v>
      </c>
      <c r="C863" t="s">
        <v>1614</v>
      </c>
      <c r="D863" t="s">
        <v>1768</v>
      </c>
      <c r="E863" t="s">
        <v>973</v>
      </c>
      <c r="F863" t="s">
        <v>598</v>
      </c>
      <c r="G863" t="s">
        <v>599</v>
      </c>
      <c r="H863" t="s">
        <v>600</v>
      </c>
      <c r="I863" t="s">
        <v>601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hidden="1">
      <c r="A864" t="s">
        <v>270</v>
      </c>
      <c r="B864" t="s">
        <v>1769</v>
      </c>
      <c r="C864" t="s">
        <v>1614</v>
      </c>
      <c r="D864" t="s">
        <v>1768</v>
      </c>
      <c r="E864" t="s">
        <v>1770</v>
      </c>
      <c r="F864" t="s">
        <v>598</v>
      </c>
      <c r="G864" t="s">
        <v>599</v>
      </c>
      <c r="H864" t="s">
        <v>600</v>
      </c>
      <c r="I864" t="s">
        <v>601</v>
      </c>
      <c r="J864">
        <v>4.7000000000000002E-3</v>
      </c>
      <c r="K864">
        <v>4.7999999999999996E-3</v>
      </c>
      <c r="L864">
        <v>4.8999999999999998E-3</v>
      </c>
      <c r="M864">
        <v>5.0000000000000001E-3</v>
      </c>
      <c r="N864">
        <v>5.1999999999999998E-3</v>
      </c>
      <c r="O864">
        <v>5.1999999999999998E-3</v>
      </c>
      <c r="P864">
        <v>5.4000000000000003E-3</v>
      </c>
      <c r="Q864">
        <v>5.4999999999999997E-3</v>
      </c>
      <c r="R864">
        <v>5.7000000000000002E-3</v>
      </c>
      <c r="S864">
        <v>6.0000000000000001E-3</v>
      </c>
      <c r="T864">
        <v>6.1000000000000004E-3</v>
      </c>
      <c r="U864">
        <v>6.3E-3</v>
      </c>
      <c r="V864">
        <v>6.4000000000000003E-3</v>
      </c>
      <c r="W864">
        <v>6.6E-3</v>
      </c>
      <c r="X864">
        <v>6.7999999999999996E-3</v>
      </c>
      <c r="Y864">
        <v>6.8999999999999999E-3</v>
      </c>
    </row>
    <row r="865" spans="1:25" hidden="1">
      <c r="A865" t="s">
        <v>270</v>
      </c>
      <c r="B865" t="s">
        <v>1771</v>
      </c>
      <c r="C865" t="s">
        <v>1614</v>
      </c>
      <c r="D865" t="s">
        <v>1768</v>
      </c>
      <c r="E865" t="s">
        <v>1772</v>
      </c>
      <c r="F865" t="s">
        <v>598</v>
      </c>
      <c r="G865" t="s">
        <v>599</v>
      </c>
      <c r="H865" t="s">
        <v>600</v>
      </c>
      <c r="I865" t="s">
        <v>601</v>
      </c>
      <c r="J865">
        <v>6.3799999999999996E-2</v>
      </c>
      <c r="K865">
        <v>6.5500000000000003E-2</v>
      </c>
      <c r="L865">
        <v>6.7299999999999999E-2</v>
      </c>
      <c r="M865">
        <v>6.9099999999999995E-2</v>
      </c>
      <c r="N865">
        <v>7.0800000000000002E-2</v>
      </c>
      <c r="O865">
        <v>7.3099999999999998E-2</v>
      </c>
      <c r="P865">
        <v>7.4899999999999994E-2</v>
      </c>
      <c r="Q865">
        <v>7.6999999999999999E-2</v>
      </c>
      <c r="R865">
        <v>7.7899999999999997E-2</v>
      </c>
      <c r="S865">
        <v>7.9000000000000001E-2</v>
      </c>
      <c r="T865">
        <v>0.08</v>
      </c>
      <c r="U865">
        <v>8.09E-2</v>
      </c>
      <c r="V865">
        <v>8.2199999999999995E-2</v>
      </c>
      <c r="W865">
        <v>8.3199999999999996E-2</v>
      </c>
      <c r="X865">
        <v>8.4199999999999997E-2</v>
      </c>
      <c r="Y865">
        <v>8.5400000000000004E-2</v>
      </c>
    </row>
    <row r="866" spans="1:25" hidden="1">
      <c r="A866" t="s">
        <v>270</v>
      </c>
      <c r="B866" t="s">
        <v>1773</v>
      </c>
      <c r="C866" t="s">
        <v>1614</v>
      </c>
      <c r="D866" t="s">
        <v>1768</v>
      </c>
      <c r="E866" t="s">
        <v>1774</v>
      </c>
      <c r="F866" t="s">
        <v>598</v>
      </c>
      <c r="G866" t="s">
        <v>599</v>
      </c>
      <c r="H866" t="s">
        <v>600</v>
      </c>
      <c r="I866" t="s">
        <v>601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270</v>
      </c>
      <c r="B867" t="s">
        <v>1775</v>
      </c>
      <c r="C867" t="s">
        <v>1614</v>
      </c>
      <c r="D867" t="s">
        <v>1776</v>
      </c>
      <c r="E867" t="s">
        <v>1777</v>
      </c>
      <c r="F867" t="s">
        <v>598</v>
      </c>
      <c r="G867" t="s">
        <v>599</v>
      </c>
      <c r="H867" t="s">
        <v>600</v>
      </c>
      <c r="I867" t="s">
        <v>601</v>
      </c>
      <c r="J867">
        <v>1.1599999999999999E-2</v>
      </c>
      <c r="K867">
        <v>1.2E-2</v>
      </c>
      <c r="L867">
        <v>1.2200000000000001E-2</v>
      </c>
      <c r="M867">
        <v>1.26E-2</v>
      </c>
      <c r="N867">
        <v>1.2800000000000001E-2</v>
      </c>
      <c r="O867">
        <v>1.3299999999999999E-2</v>
      </c>
      <c r="P867">
        <v>1.3599999999999999E-2</v>
      </c>
      <c r="Q867">
        <v>1.41E-2</v>
      </c>
      <c r="R867">
        <v>1.44E-2</v>
      </c>
      <c r="S867">
        <v>1.4999999999999999E-2</v>
      </c>
      <c r="T867">
        <v>1.5299999999999999E-2</v>
      </c>
      <c r="U867">
        <v>1.5699999999999999E-2</v>
      </c>
      <c r="V867">
        <v>1.61E-2</v>
      </c>
      <c r="W867">
        <v>1.6400000000000001E-2</v>
      </c>
      <c r="X867">
        <v>1.6899999999999998E-2</v>
      </c>
      <c r="Y867">
        <v>1.72E-2</v>
      </c>
    </row>
    <row r="868" spans="1:25" hidden="1">
      <c r="A868" t="s">
        <v>270</v>
      </c>
      <c r="B868" t="s">
        <v>1778</v>
      </c>
      <c r="C868" t="s">
        <v>1614</v>
      </c>
      <c r="D868" t="s">
        <v>1776</v>
      </c>
      <c r="E868" t="s">
        <v>1777</v>
      </c>
      <c r="F868" t="s">
        <v>1779</v>
      </c>
      <c r="G868" t="s">
        <v>599</v>
      </c>
      <c r="H868" t="s">
        <v>600</v>
      </c>
      <c r="I868" t="s">
        <v>601</v>
      </c>
      <c r="J868">
        <v>1.4500000000000001E-2</v>
      </c>
      <c r="K868">
        <v>1.47E-2</v>
      </c>
      <c r="L868">
        <v>1.49E-2</v>
      </c>
      <c r="M868">
        <v>1.4999999999999999E-2</v>
      </c>
      <c r="N868">
        <v>1.54E-2</v>
      </c>
      <c r="O868">
        <v>1.5800000000000002E-2</v>
      </c>
      <c r="P868">
        <v>1.6E-2</v>
      </c>
      <c r="Q868">
        <v>1.6400000000000001E-2</v>
      </c>
      <c r="R868">
        <v>1.6799999999999999E-2</v>
      </c>
      <c r="S868">
        <v>1.72E-2</v>
      </c>
      <c r="T868">
        <v>1.7600000000000001E-2</v>
      </c>
      <c r="U868">
        <v>1.7999999999999999E-2</v>
      </c>
      <c r="V868">
        <v>1.84E-2</v>
      </c>
      <c r="W868">
        <v>1.89E-2</v>
      </c>
      <c r="X868">
        <v>1.9300000000000001E-2</v>
      </c>
      <c r="Y868">
        <v>1.9800000000000002E-2</v>
      </c>
    </row>
    <row r="869" spans="1:25" hidden="1">
      <c r="A869" t="s">
        <v>270</v>
      </c>
      <c r="B869" t="s">
        <v>1780</v>
      </c>
      <c r="C869" t="s">
        <v>1614</v>
      </c>
      <c r="D869" t="s">
        <v>1781</v>
      </c>
      <c r="E869" t="s">
        <v>1716</v>
      </c>
      <c r="F869" t="s">
        <v>598</v>
      </c>
      <c r="G869" t="s">
        <v>599</v>
      </c>
      <c r="H869" t="s">
        <v>600</v>
      </c>
      <c r="I869" t="s">
        <v>601</v>
      </c>
      <c r="J869">
        <v>0.36630000000000001</v>
      </c>
      <c r="K869">
        <v>0.37719999999999998</v>
      </c>
      <c r="L869">
        <v>0.38879999999999998</v>
      </c>
      <c r="M869">
        <v>0.40089999999999998</v>
      </c>
      <c r="N869">
        <v>0.41199999999999998</v>
      </c>
      <c r="O869">
        <v>0.42459999999999998</v>
      </c>
      <c r="P869">
        <v>0.43719999999999998</v>
      </c>
      <c r="Q869">
        <v>0.44940000000000002</v>
      </c>
      <c r="R869">
        <v>0.45629999999999998</v>
      </c>
      <c r="S869">
        <v>0.46450000000000002</v>
      </c>
      <c r="T869">
        <v>0.47149999999999997</v>
      </c>
      <c r="U869">
        <v>0.4793</v>
      </c>
      <c r="V869">
        <v>0.48670000000000002</v>
      </c>
      <c r="W869">
        <v>0.495</v>
      </c>
      <c r="X869">
        <v>0.50249999999999995</v>
      </c>
      <c r="Y869">
        <v>0.51060000000000005</v>
      </c>
    </row>
    <row r="870" spans="1:25" hidden="1">
      <c r="A870" t="s">
        <v>270</v>
      </c>
      <c r="B870" t="s">
        <v>1782</v>
      </c>
      <c r="C870" t="s">
        <v>1614</v>
      </c>
      <c r="D870" t="s">
        <v>1781</v>
      </c>
      <c r="E870" t="s">
        <v>1783</v>
      </c>
      <c r="F870" t="s">
        <v>598</v>
      </c>
      <c r="G870" t="s">
        <v>599</v>
      </c>
      <c r="H870" t="s">
        <v>600</v>
      </c>
      <c r="I870" t="s">
        <v>601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270</v>
      </c>
      <c r="B871" t="s">
        <v>1784</v>
      </c>
      <c r="C871" t="s">
        <v>1614</v>
      </c>
      <c r="D871" t="s">
        <v>1781</v>
      </c>
      <c r="E871" t="s">
        <v>1785</v>
      </c>
      <c r="F871" t="s">
        <v>598</v>
      </c>
      <c r="G871" t="s">
        <v>599</v>
      </c>
      <c r="H871" t="s">
        <v>600</v>
      </c>
      <c r="I871" t="s">
        <v>601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270</v>
      </c>
      <c r="B872" t="s">
        <v>1786</v>
      </c>
      <c r="C872" t="s">
        <v>1614</v>
      </c>
      <c r="D872" t="s">
        <v>1781</v>
      </c>
      <c r="E872" t="s">
        <v>1787</v>
      </c>
      <c r="F872" t="s">
        <v>598</v>
      </c>
      <c r="G872" t="s">
        <v>599</v>
      </c>
      <c r="H872" t="s">
        <v>600</v>
      </c>
      <c r="I872" t="s">
        <v>601</v>
      </c>
      <c r="J872">
        <v>1.4E-3</v>
      </c>
      <c r="K872">
        <v>1.5E-3</v>
      </c>
      <c r="L872">
        <v>1.5E-3</v>
      </c>
      <c r="M872">
        <v>1.5E-3</v>
      </c>
      <c r="N872">
        <v>1.5E-3</v>
      </c>
      <c r="O872">
        <v>1.6000000000000001E-3</v>
      </c>
      <c r="P872">
        <v>1.6000000000000001E-3</v>
      </c>
      <c r="Q872">
        <v>1.6000000000000001E-3</v>
      </c>
      <c r="R872">
        <v>1.6999999999999999E-3</v>
      </c>
      <c r="S872">
        <v>1.6999999999999999E-3</v>
      </c>
      <c r="T872">
        <v>1.6999999999999999E-3</v>
      </c>
      <c r="U872">
        <v>1.8E-3</v>
      </c>
      <c r="V872">
        <v>1.8E-3</v>
      </c>
      <c r="W872">
        <v>1.9E-3</v>
      </c>
      <c r="X872">
        <v>1.9E-3</v>
      </c>
      <c r="Y872">
        <v>1.9E-3</v>
      </c>
    </row>
    <row r="873" spans="1:25" hidden="1">
      <c r="A873" t="s">
        <v>270</v>
      </c>
      <c r="B873" t="s">
        <v>1788</v>
      </c>
      <c r="C873" t="s">
        <v>1614</v>
      </c>
      <c r="D873" t="s">
        <v>1781</v>
      </c>
      <c r="E873" t="s">
        <v>1789</v>
      </c>
      <c r="F873" t="s">
        <v>598</v>
      </c>
      <c r="G873" t="s">
        <v>599</v>
      </c>
      <c r="H873" t="s">
        <v>600</v>
      </c>
      <c r="I873" t="s">
        <v>601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270</v>
      </c>
      <c r="B874" t="s">
        <v>1790</v>
      </c>
      <c r="C874" t="s">
        <v>1614</v>
      </c>
      <c r="D874" t="s">
        <v>1781</v>
      </c>
      <c r="E874" t="s">
        <v>1791</v>
      </c>
      <c r="F874" t="s">
        <v>598</v>
      </c>
      <c r="G874" t="s">
        <v>599</v>
      </c>
      <c r="H874" t="s">
        <v>600</v>
      </c>
      <c r="I874" t="s">
        <v>601</v>
      </c>
      <c r="J874">
        <v>1.12E-2</v>
      </c>
      <c r="K874">
        <v>1.1599999999999999E-2</v>
      </c>
      <c r="L874">
        <v>1.2E-2</v>
      </c>
      <c r="M874">
        <v>1.2500000000000001E-2</v>
      </c>
      <c r="N874">
        <v>1.2800000000000001E-2</v>
      </c>
      <c r="O874">
        <v>1.3299999999999999E-2</v>
      </c>
      <c r="P874">
        <v>1.38E-2</v>
      </c>
      <c r="Q874">
        <v>1.4200000000000001E-2</v>
      </c>
      <c r="R874">
        <v>1.47E-2</v>
      </c>
      <c r="S874">
        <v>1.52E-2</v>
      </c>
      <c r="T874">
        <v>1.5699999999999999E-2</v>
      </c>
      <c r="U874">
        <v>1.6199999999999999E-2</v>
      </c>
      <c r="V874">
        <v>1.6799999999999999E-2</v>
      </c>
      <c r="W874">
        <v>1.7299999999999999E-2</v>
      </c>
      <c r="X874">
        <v>1.78E-2</v>
      </c>
      <c r="Y874">
        <v>1.84E-2</v>
      </c>
    </row>
    <row r="875" spans="1:25" hidden="1">
      <c r="A875" t="s">
        <v>270</v>
      </c>
      <c r="B875" t="s">
        <v>1792</v>
      </c>
      <c r="C875" t="s">
        <v>1614</v>
      </c>
      <c r="D875" t="s">
        <v>1781</v>
      </c>
      <c r="E875" t="s">
        <v>1793</v>
      </c>
      <c r="F875" t="s">
        <v>598</v>
      </c>
      <c r="G875" t="s">
        <v>599</v>
      </c>
      <c r="H875" t="s">
        <v>600</v>
      </c>
      <c r="I875" t="s">
        <v>601</v>
      </c>
      <c r="J875">
        <v>7.0000000000000001E-3</v>
      </c>
      <c r="K875">
        <v>7.1999999999999998E-3</v>
      </c>
      <c r="L875">
        <v>7.1999999999999998E-3</v>
      </c>
      <c r="M875">
        <v>7.4000000000000003E-3</v>
      </c>
      <c r="N875">
        <v>7.7000000000000002E-3</v>
      </c>
      <c r="O875">
        <v>7.9000000000000008E-3</v>
      </c>
      <c r="P875">
        <v>8.0999999999999996E-3</v>
      </c>
      <c r="Q875">
        <v>8.2000000000000007E-3</v>
      </c>
      <c r="R875">
        <v>8.3000000000000001E-3</v>
      </c>
      <c r="S875">
        <v>8.6E-3</v>
      </c>
      <c r="T875">
        <v>8.6999999999999994E-3</v>
      </c>
      <c r="U875">
        <v>8.9999999999999993E-3</v>
      </c>
      <c r="V875">
        <v>9.1999999999999998E-3</v>
      </c>
      <c r="W875">
        <v>9.4000000000000004E-3</v>
      </c>
      <c r="X875">
        <v>9.4999999999999998E-3</v>
      </c>
      <c r="Y875">
        <v>9.7999999999999997E-3</v>
      </c>
    </row>
    <row r="876" spans="1:25" hidden="1">
      <c r="A876" t="s">
        <v>270</v>
      </c>
      <c r="B876" t="s">
        <v>1794</v>
      </c>
      <c r="C876" t="s">
        <v>1614</v>
      </c>
      <c r="D876" t="s">
        <v>1781</v>
      </c>
      <c r="E876" t="s">
        <v>1795</v>
      </c>
      <c r="F876" t="s">
        <v>598</v>
      </c>
      <c r="G876" t="s">
        <v>599</v>
      </c>
      <c r="H876" t="s">
        <v>600</v>
      </c>
      <c r="I876" t="s">
        <v>601</v>
      </c>
      <c r="J876">
        <v>2.8999999999999998E-3</v>
      </c>
      <c r="K876">
        <v>2.8999999999999998E-3</v>
      </c>
      <c r="L876">
        <v>2.8999999999999998E-3</v>
      </c>
      <c r="M876">
        <v>3.0000000000000001E-3</v>
      </c>
      <c r="N876">
        <v>3.0999999999999999E-3</v>
      </c>
      <c r="O876">
        <v>3.2000000000000002E-3</v>
      </c>
      <c r="P876">
        <v>3.2000000000000002E-3</v>
      </c>
      <c r="Q876">
        <v>3.3E-3</v>
      </c>
      <c r="R876">
        <v>3.3999999999999998E-3</v>
      </c>
      <c r="S876">
        <v>3.3999999999999998E-3</v>
      </c>
      <c r="T876">
        <v>3.5000000000000001E-3</v>
      </c>
      <c r="U876">
        <v>3.7000000000000002E-3</v>
      </c>
      <c r="V876">
        <v>3.7000000000000002E-3</v>
      </c>
      <c r="W876">
        <v>3.7000000000000002E-3</v>
      </c>
      <c r="X876">
        <v>3.8999999999999998E-3</v>
      </c>
      <c r="Y876">
        <v>4.0000000000000001E-3</v>
      </c>
    </row>
    <row r="877" spans="1:25" hidden="1">
      <c r="A877" t="s">
        <v>270</v>
      </c>
      <c r="B877" t="s">
        <v>1796</v>
      </c>
      <c r="C877" t="s">
        <v>1614</v>
      </c>
      <c r="D877" t="s">
        <v>1781</v>
      </c>
      <c r="E877" t="s">
        <v>1797</v>
      </c>
      <c r="F877" t="s">
        <v>598</v>
      </c>
      <c r="G877" t="s">
        <v>599</v>
      </c>
      <c r="H877" t="s">
        <v>600</v>
      </c>
      <c r="I877" t="s">
        <v>601</v>
      </c>
      <c r="J877">
        <v>5.5999999999999999E-3</v>
      </c>
      <c r="K877">
        <v>5.7000000000000002E-3</v>
      </c>
      <c r="L877">
        <v>5.7999999999999996E-3</v>
      </c>
      <c r="M877">
        <v>5.7999999999999996E-3</v>
      </c>
      <c r="N877">
        <v>6.0000000000000001E-3</v>
      </c>
      <c r="O877">
        <v>6.1000000000000004E-3</v>
      </c>
      <c r="P877">
        <v>6.1999999999999998E-3</v>
      </c>
      <c r="Q877">
        <v>6.3E-3</v>
      </c>
      <c r="R877">
        <v>6.4999999999999997E-3</v>
      </c>
      <c r="S877">
        <v>6.6E-3</v>
      </c>
      <c r="T877">
        <v>6.8999999999999999E-3</v>
      </c>
      <c r="U877">
        <v>7.0000000000000001E-3</v>
      </c>
      <c r="V877">
        <v>7.3000000000000001E-3</v>
      </c>
      <c r="W877">
        <v>7.4999999999999997E-3</v>
      </c>
      <c r="X877">
        <v>7.6E-3</v>
      </c>
      <c r="Y877">
        <v>7.7999999999999996E-3</v>
      </c>
    </row>
    <row r="878" spans="1:25" hidden="1">
      <c r="A878" t="s">
        <v>270</v>
      </c>
      <c r="B878" t="s">
        <v>1798</v>
      </c>
      <c r="C878" t="s">
        <v>1614</v>
      </c>
      <c r="D878" t="s">
        <v>1781</v>
      </c>
      <c r="E878" t="s">
        <v>1799</v>
      </c>
      <c r="F878" t="s">
        <v>598</v>
      </c>
      <c r="G878" t="s">
        <v>599</v>
      </c>
      <c r="H878" t="s">
        <v>600</v>
      </c>
      <c r="I878" t="s">
        <v>601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270</v>
      </c>
      <c r="B879" t="s">
        <v>1800</v>
      </c>
      <c r="C879" t="s">
        <v>1614</v>
      </c>
      <c r="D879" t="s">
        <v>1781</v>
      </c>
      <c r="E879" t="s">
        <v>1801</v>
      </c>
      <c r="F879" t="s">
        <v>598</v>
      </c>
      <c r="G879" t="s">
        <v>599</v>
      </c>
      <c r="H879" t="s">
        <v>600</v>
      </c>
      <c r="I879" t="s">
        <v>601</v>
      </c>
      <c r="J879">
        <v>5.0000000000000001E-4</v>
      </c>
      <c r="K879">
        <v>5.0000000000000001E-4</v>
      </c>
      <c r="L879">
        <v>5.0000000000000001E-4</v>
      </c>
      <c r="M879">
        <v>5.0000000000000001E-4</v>
      </c>
      <c r="N879">
        <v>5.0000000000000001E-4</v>
      </c>
      <c r="O879">
        <v>5.0000000000000001E-4</v>
      </c>
      <c r="P879">
        <v>5.0000000000000001E-4</v>
      </c>
      <c r="Q879">
        <v>5.0000000000000001E-4</v>
      </c>
      <c r="R879">
        <v>5.0000000000000001E-4</v>
      </c>
      <c r="S879">
        <v>5.0000000000000001E-4</v>
      </c>
      <c r="T879">
        <v>5.0000000000000001E-4</v>
      </c>
      <c r="U879">
        <v>6.9999999999999999E-4</v>
      </c>
      <c r="V879">
        <v>6.9999999999999999E-4</v>
      </c>
      <c r="W879">
        <v>6.9999999999999999E-4</v>
      </c>
      <c r="X879">
        <v>6.9999999999999999E-4</v>
      </c>
      <c r="Y879">
        <v>6.9999999999999999E-4</v>
      </c>
    </row>
    <row r="880" spans="1:25" hidden="1">
      <c r="A880" t="s">
        <v>270</v>
      </c>
      <c r="B880" t="s">
        <v>1802</v>
      </c>
      <c r="C880" t="s">
        <v>1614</v>
      </c>
      <c r="D880" t="s">
        <v>1781</v>
      </c>
      <c r="E880" t="s">
        <v>1803</v>
      </c>
      <c r="F880" t="s">
        <v>598</v>
      </c>
      <c r="G880" t="s">
        <v>599</v>
      </c>
      <c r="H880" t="s">
        <v>600</v>
      </c>
      <c r="I880" t="s">
        <v>601</v>
      </c>
      <c r="J880">
        <v>8.9999999999999998E-4</v>
      </c>
      <c r="K880">
        <v>1E-3</v>
      </c>
      <c r="L880">
        <v>1E-3</v>
      </c>
      <c r="M880">
        <v>1E-3</v>
      </c>
      <c r="N880">
        <v>1E-3</v>
      </c>
      <c r="O880">
        <v>1E-3</v>
      </c>
      <c r="P880">
        <v>1.1000000000000001E-3</v>
      </c>
      <c r="Q880">
        <v>1.1000000000000001E-3</v>
      </c>
      <c r="R880">
        <v>1.1000000000000001E-3</v>
      </c>
      <c r="S880">
        <v>1.1000000000000001E-3</v>
      </c>
      <c r="T880">
        <v>1.1000000000000001E-3</v>
      </c>
      <c r="U880">
        <v>1.1999999999999999E-3</v>
      </c>
      <c r="V880">
        <v>1.1999999999999999E-3</v>
      </c>
      <c r="W880">
        <v>1.1999999999999999E-3</v>
      </c>
      <c r="X880">
        <v>1.1999999999999999E-3</v>
      </c>
      <c r="Y880">
        <v>1.1999999999999999E-3</v>
      </c>
    </row>
    <row r="881" spans="1:25" hidden="1">
      <c r="A881" t="s">
        <v>270</v>
      </c>
      <c r="B881" t="s">
        <v>1804</v>
      </c>
      <c r="C881" t="s">
        <v>1614</v>
      </c>
      <c r="D881" t="s">
        <v>1781</v>
      </c>
      <c r="E881" t="s">
        <v>1805</v>
      </c>
      <c r="F881" t="s">
        <v>598</v>
      </c>
      <c r="G881" t="s">
        <v>599</v>
      </c>
      <c r="H881" t="s">
        <v>600</v>
      </c>
      <c r="I881" t="s">
        <v>601</v>
      </c>
      <c r="J881">
        <v>1.9099999999999999E-2</v>
      </c>
      <c r="K881">
        <v>1.9599999999999999E-2</v>
      </c>
      <c r="L881">
        <v>1.9900000000000001E-2</v>
      </c>
      <c r="M881">
        <v>2.01E-2</v>
      </c>
      <c r="N881">
        <v>2.0500000000000001E-2</v>
      </c>
      <c r="O881">
        <v>2.0899999999999998E-2</v>
      </c>
      <c r="P881">
        <v>2.1399999999999999E-2</v>
      </c>
      <c r="Q881">
        <v>2.1899999999999999E-2</v>
      </c>
      <c r="R881">
        <v>2.24E-2</v>
      </c>
      <c r="S881">
        <v>2.29E-2</v>
      </c>
      <c r="T881">
        <v>2.35E-2</v>
      </c>
      <c r="U881">
        <v>2.4199999999999999E-2</v>
      </c>
      <c r="V881">
        <v>2.4799999999999999E-2</v>
      </c>
      <c r="W881">
        <v>2.5399999999999999E-2</v>
      </c>
      <c r="X881">
        <v>2.6100000000000002E-2</v>
      </c>
      <c r="Y881">
        <v>2.6499999999999999E-2</v>
      </c>
    </row>
    <row r="882" spans="1:25" hidden="1">
      <c r="A882" t="s">
        <v>270</v>
      </c>
      <c r="B882" t="s">
        <v>1806</v>
      </c>
      <c r="C882" t="s">
        <v>1614</v>
      </c>
      <c r="D882" t="s">
        <v>1781</v>
      </c>
      <c r="E882" t="s">
        <v>1807</v>
      </c>
      <c r="F882" t="s">
        <v>598</v>
      </c>
      <c r="G882" t="s">
        <v>599</v>
      </c>
      <c r="H882" t="s">
        <v>600</v>
      </c>
      <c r="I882" t="s">
        <v>601</v>
      </c>
      <c r="J882">
        <v>3.5799999999999998E-2</v>
      </c>
      <c r="K882">
        <v>3.7100000000000001E-2</v>
      </c>
      <c r="L882">
        <v>3.85E-2</v>
      </c>
      <c r="M882">
        <v>3.9899999999999998E-2</v>
      </c>
      <c r="N882">
        <v>4.1000000000000002E-2</v>
      </c>
      <c r="O882">
        <v>4.2500000000000003E-2</v>
      </c>
      <c r="P882">
        <v>4.3999999999999997E-2</v>
      </c>
      <c r="Q882">
        <v>4.5499999999999999E-2</v>
      </c>
      <c r="R882">
        <v>4.7E-2</v>
      </c>
      <c r="S882">
        <v>4.8599999999999997E-2</v>
      </c>
      <c r="T882">
        <v>5.0099999999999999E-2</v>
      </c>
      <c r="U882">
        <v>5.1799999999999999E-2</v>
      </c>
      <c r="V882">
        <v>5.3499999999999999E-2</v>
      </c>
      <c r="W882">
        <v>5.5300000000000002E-2</v>
      </c>
      <c r="X882">
        <v>5.7000000000000002E-2</v>
      </c>
      <c r="Y882">
        <v>5.8700000000000002E-2</v>
      </c>
    </row>
    <row r="883" spans="1:25" hidden="1">
      <c r="A883" t="s">
        <v>270</v>
      </c>
      <c r="B883" t="s">
        <v>1808</v>
      </c>
      <c r="C883" t="s">
        <v>1614</v>
      </c>
      <c r="D883" t="s">
        <v>1781</v>
      </c>
      <c r="E883" t="s">
        <v>1809</v>
      </c>
      <c r="F883" t="s">
        <v>598</v>
      </c>
      <c r="G883" t="s">
        <v>599</v>
      </c>
      <c r="H883" t="s">
        <v>600</v>
      </c>
      <c r="I883" t="s">
        <v>601</v>
      </c>
      <c r="J883">
        <v>1E-4</v>
      </c>
      <c r="K883">
        <v>1E-4</v>
      </c>
      <c r="L883">
        <v>1E-4</v>
      </c>
      <c r="M883">
        <v>1E-4</v>
      </c>
      <c r="N883">
        <v>1E-4</v>
      </c>
      <c r="O883">
        <v>1E-4</v>
      </c>
      <c r="P883">
        <v>1E-4</v>
      </c>
      <c r="Q883">
        <v>1E-4</v>
      </c>
      <c r="R883">
        <v>1E-4</v>
      </c>
      <c r="S883">
        <v>1E-4</v>
      </c>
      <c r="T883">
        <v>1E-4</v>
      </c>
      <c r="U883">
        <v>1E-4</v>
      </c>
      <c r="V883">
        <v>1E-4</v>
      </c>
      <c r="W883">
        <v>1E-4</v>
      </c>
      <c r="X883">
        <v>1E-4</v>
      </c>
      <c r="Y883">
        <v>1E-4</v>
      </c>
    </row>
    <row r="884" spans="1:25" hidden="1">
      <c r="A884" t="s">
        <v>270</v>
      </c>
      <c r="B884" t="s">
        <v>1810</v>
      </c>
      <c r="C884" t="s">
        <v>1614</v>
      </c>
      <c r="D884" t="s">
        <v>1781</v>
      </c>
      <c r="E884" t="s">
        <v>1081</v>
      </c>
      <c r="F884" t="s">
        <v>598</v>
      </c>
      <c r="G884" t="s">
        <v>599</v>
      </c>
      <c r="H884" t="s">
        <v>600</v>
      </c>
      <c r="I884" t="s">
        <v>601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270</v>
      </c>
      <c r="B885" t="s">
        <v>1811</v>
      </c>
      <c r="C885" t="s">
        <v>1614</v>
      </c>
      <c r="D885" t="s">
        <v>1812</v>
      </c>
      <c r="E885" t="s">
        <v>954</v>
      </c>
      <c r="F885" t="s">
        <v>598</v>
      </c>
      <c r="G885" t="s">
        <v>599</v>
      </c>
      <c r="H885" t="s">
        <v>600</v>
      </c>
      <c r="I885" t="s">
        <v>601</v>
      </c>
      <c r="J885">
        <v>5.9999999999999995E-4</v>
      </c>
      <c r="K885">
        <v>5.9999999999999995E-4</v>
      </c>
      <c r="L885">
        <v>6.9999999999999999E-4</v>
      </c>
      <c r="M885">
        <v>6.9999999999999999E-4</v>
      </c>
      <c r="N885">
        <v>6.9999999999999999E-4</v>
      </c>
      <c r="O885">
        <v>6.9999999999999999E-4</v>
      </c>
      <c r="P885">
        <v>6.9999999999999999E-4</v>
      </c>
      <c r="Q885">
        <v>8.0000000000000004E-4</v>
      </c>
      <c r="R885">
        <v>8.0000000000000004E-4</v>
      </c>
      <c r="S885">
        <v>8.0000000000000004E-4</v>
      </c>
      <c r="T885">
        <v>8.0000000000000004E-4</v>
      </c>
      <c r="U885">
        <v>8.0000000000000004E-4</v>
      </c>
      <c r="V885">
        <v>8.0000000000000004E-4</v>
      </c>
      <c r="W885">
        <v>8.0000000000000004E-4</v>
      </c>
      <c r="X885">
        <v>8.0000000000000004E-4</v>
      </c>
      <c r="Y885">
        <v>8.0000000000000004E-4</v>
      </c>
    </row>
    <row r="886" spans="1:25" hidden="1">
      <c r="A886" t="s">
        <v>270</v>
      </c>
      <c r="B886" t="s">
        <v>1813</v>
      </c>
      <c r="C886" t="s">
        <v>1614</v>
      </c>
      <c r="D886" t="s">
        <v>1812</v>
      </c>
      <c r="E886" t="s">
        <v>1393</v>
      </c>
      <c r="F886" t="s">
        <v>598</v>
      </c>
      <c r="G886" t="s">
        <v>599</v>
      </c>
      <c r="H886" t="s">
        <v>600</v>
      </c>
      <c r="I886" t="s">
        <v>601</v>
      </c>
      <c r="J886">
        <v>2.8E-3</v>
      </c>
      <c r="K886">
        <v>2.8999999999999998E-3</v>
      </c>
      <c r="L886">
        <v>3.0999999999999999E-3</v>
      </c>
      <c r="M886">
        <v>3.2000000000000002E-3</v>
      </c>
      <c r="N886">
        <v>3.3E-3</v>
      </c>
      <c r="O886">
        <v>3.3999999999999998E-3</v>
      </c>
      <c r="P886">
        <v>3.5000000000000001E-3</v>
      </c>
      <c r="Q886">
        <v>3.7000000000000002E-3</v>
      </c>
      <c r="R886">
        <v>3.8E-3</v>
      </c>
      <c r="S886">
        <v>3.8999999999999998E-3</v>
      </c>
      <c r="T886">
        <v>4.0000000000000001E-3</v>
      </c>
      <c r="U886">
        <v>4.1999999999999997E-3</v>
      </c>
      <c r="V886">
        <v>4.3E-3</v>
      </c>
      <c r="W886">
        <v>4.4999999999999997E-3</v>
      </c>
      <c r="X886">
        <v>4.5999999999999999E-3</v>
      </c>
      <c r="Y886">
        <v>4.7999999999999996E-3</v>
      </c>
    </row>
    <row r="887" spans="1:25" hidden="1">
      <c r="A887" t="s">
        <v>270</v>
      </c>
      <c r="B887" t="s">
        <v>1814</v>
      </c>
      <c r="C887" t="s">
        <v>1614</v>
      </c>
      <c r="D887" t="s">
        <v>1812</v>
      </c>
      <c r="E887" t="s">
        <v>1081</v>
      </c>
      <c r="F887" t="s">
        <v>598</v>
      </c>
      <c r="G887" t="s">
        <v>599</v>
      </c>
      <c r="H887" t="s">
        <v>600</v>
      </c>
      <c r="I887" t="s">
        <v>601</v>
      </c>
      <c r="J887">
        <v>1.5900000000000001E-2</v>
      </c>
      <c r="K887">
        <v>1.6500000000000001E-2</v>
      </c>
      <c r="L887">
        <v>1.7000000000000001E-2</v>
      </c>
      <c r="M887">
        <v>1.7399999999999999E-2</v>
      </c>
      <c r="N887">
        <v>1.78E-2</v>
      </c>
      <c r="O887">
        <v>1.8599999999999998E-2</v>
      </c>
      <c r="P887">
        <v>1.9199999999999998E-2</v>
      </c>
      <c r="Q887">
        <v>1.9599999999999999E-2</v>
      </c>
      <c r="R887">
        <v>2.01E-2</v>
      </c>
      <c r="S887">
        <v>2.0500000000000001E-2</v>
      </c>
      <c r="T887">
        <v>2.0899999999999998E-2</v>
      </c>
      <c r="U887">
        <v>2.12E-2</v>
      </c>
      <c r="V887">
        <v>2.1999999999999999E-2</v>
      </c>
      <c r="W887">
        <v>2.24E-2</v>
      </c>
      <c r="X887">
        <v>2.2800000000000001E-2</v>
      </c>
      <c r="Y887">
        <v>2.3400000000000001E-2</v>
      </c>
    </row>
    <row r="888" spans="1:25" hidden="1">
      <c r="A888" t="s">
        <v>270</v>
      </c>
      <c r="B888" t="s">
        <v>1815</v>
      </c>
      <c r="C888" t="s">
        <v>1614</v>
      </c>
      <c r="D888" t="s">
        <v>1812</v>
      </c>
      <c r="E888" t="s">
        <v>1093</v>
      </c>
      <c r="F888" t="s">
        <v>598</v>
      </c>
      <c r="G888" t="s">
        <v>599</v>
      </c>
      <c r="H888" t="s">
        <v>600</v>
      </c>
      <c r="I888" t="s">
        <v>601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270</v>
      </c>
      <c r="B889" t="s">
        <v>1816</v>
      </c>
      <c r="C889" t="s">
        <v>1614</v>
      </c>
      <c r="D889" t="s">
        <v>1817</v>
      </c>
      <c r="E889" t="s">
        <v>1765</v>
      </c>
      <c r="F889" t="s">
        <v>598</v>
      </c>
      <c r="G889" t="s">
        <v>599</v>
      </c>
      <c r="H889" t="s">
        <v>600</v>
      </c>
      <c r="I889" t="s">
        <v>601</v>
      </c>
      <c r="J889">
        <v>1E-4</v>
      </c>
      <c r="K889">
        <v>1E-4</v>
      </c>
      <c r="L889">
        <v>1E-4</v>
      </c>
      <c r="M889">
        <v>1E-4</v>
      </c>
      <c r="N889">
        <v>1E-4</v>
      </c>
      <c r="O889">
        <v>1E-4</v>
      </c>
      <c r="P889">
        <v>1E-4</v>
      </c>
      <c r="Q889">
        <v>1E-4</v>
      </c>
      <c r="R889">
        <v>1E-4</v>
      </c>
      <c r="S889">
        <v>1E-4</v>
      </c>
      <c r="T889">
        <v>1E-4</v>
      </c>
      <c r="U889">
        <v>1E-4</v>
      </c>
      <c r="V889">
        <v>1E-4</v>
      </c>
      <c r="W889">
        <v>1E-4</v>
      </c>
      <c r="X889">
        <v>1E-4</v>
      </c>
      <c r="Y889">
        <v>2.0000000000000001E-4</v>
      </c>
    </row>
    <row r="890" spans="1:25" hidden="1">
      <c r="A890" t="s">
        <v>270</v>
      </c>
      <c r="B890" t="s">
        <v>1818</v>
      </c>
      <c r="C890" t="s">
        <v>1614</v>
      </c>
      <c r="D890" t="s">
        <v>648</v>
      </c>
      <c r="E890" t="s">
        <v>973</v>
      </c>
      <c r="F890" t="s">
        <v>598</v>
      </c>
      <c r="G890" t="s">
        <v>599</v>
      </c>
      <c r="H890" t="s">
        <v>600</v>
      </c>
      <c r="I890" t="s">
        <v>601</v>
      </c>
      <c r="J890">
        <v>5.9999999999999995E-4</v>
      </c>
      <c r="K890">
        <v>5.9999999999999995E-4</v>
      </c>
      <c r="L890">
        <v>6.9999999999999999E-4</v>
      </c>
      <c r="M890">
        <v>6.9999999999999999E-4</v>
      </c>
      <c r="N890">
        <v>6.9999999999999999E-4</v>
      </c>
      <c r="O890">
        <v>6.9999999999999999E-4</v>
      </c>
      <c r="P890">
        <v>6.9999999999999999E-4</v>
      </c>
      <c r="Q890">
        <v>8.0000000000000004E-4</v>
      </c>
      <c r="R890">
        <v>8.0000000000000004E-4</v>
      </c>
      <c r="S890">
        <v>8.0000000000000004E-4</v>
      </c>
      <c r="T890">
        <v>8.0000000000000004E-4</v>
      </c>
      <c r="U890">
        <v>8.9999999999999998E-4</v>
      </c>
      <c r="V890">
        <v>8.9999999999999998E-4</v>
      </c>
      <c r="W890">
        <v>8.9999999999999998E-4</v>
      </c>
      <c r="X890">
        <v>1E-3</v>
      </c>
      <c r="Y890">
        <v>1E-3</v>
      </c>
    </row>
    <row r="891" spans="1:25" hidden="1">
      <c r="A891" t="s">
        <v>270</v>
      </c>
      <c r="B891" t="s">
        <v>1819</v>
      </c>
      <c r="C891" t="s">
        <v>1614</v>
      </c>
      <c r="D891" t="s">
        <v>648</v>
      </c>
      <c r="E891" t="s">
        <v>1340</v>
      </c>
      <c r="F891" t="s">
        <v>598</v>
      </c>
      <c r="G891" t="s">
        <v>599</v>
      </c>
      <c r="H891" t="s">
        <v>600</v>
      </c>
      <c r="I891" t="s">
        <v>601</v>
      </c>
      <c r="J891">
        <v>2.2700000000000001E-2</v>
      </c>
      <c r="K891">
        <v>2.2499999999999999E-2</v>
      </c>
      <c r="L891">
        <v>2.24E-2</v>
      </c>
      <c r="M891">
        <v>2.2200000000000001E-2</v>
      </c>
      <c r="N891">
        <v>2.2200000000000001E-2</v>
      </c>
      <c r="O891">
        <v>2.1999999999999999E-2</v>
      </c>
      <c r="P891">
        <v>2.2499999999999999E-2</v>
      </c>
      <c r="Q891">
        <v>2.29E-2</v>
      </c>
      <c r="R891">
        <v>2.3300000000000001E-2</v>
      </c>
      <c r="S891">
        <v>2.35E-2</v>
      </c>
      <c r="T891">
        <v>2.3699999999999999E-2</v>
      </c>
      <c r="U891">
        <v>2.41E-2</v>
      </c>
      <c r="V891">
        <v>2.4500000000000001E-2</v>
      </c>
      <c r="W891">
        <v>2.4799999999999999E-2</v>
      </c>
      <c r="X891">
        <v>2.5000000000000001E-2</v>
      </c>
      <c r="Y891">
        <v>2.5399999999999999E-2</v>
      </c>
    </row>
    <row r="892" spans="1:25" hidden="1">
      <c r="A892" t="s">
        <v>270</v>
      </c>
      <c r="B892" t="s">
        <v>1820</v>
      </c>
      <c r="C892" t="s">
        <v>1614</v>
      </c>
      <c r="D892" t="s">
        <v>648</v>
      </c>
      <c r="E892" t="s">
        <v>1731</v>
      </c>
      <c r="F892" t="s">
        <v>598</v>
      </c>
      <c r="G892" t="s">
        <v>599</v>
      </c>
      <c r="H892" t="s">
        <v>600</v>
      </c>
      <c r="I892" t="s">
        <v>601</v>
      </c>
      <c r="J892">
        <v>3.0000000000000001E-3</v>
      </c>
      <c r="K892">
        <v>3.0000000000000001E-3</v>
      </c>
      <c r="L892">
        <v>3.0000000000000001E-3</v>
      </c>
      <c r="M892">
        <v>3.0999999999999999E-3</v>
      </c>
      <c r="N892">
        <v>3.0999999999999999E-3</v>
      </c>
      <c r="O892">
        <v>3.2000000000000002E-3</v>
      </c>
      <c r="P892">
        <v>3.3E-3</v>
      </c>
      <c r="Q892">
        <v>3.3E-3</v>
      </c>
      <c r="R892">
        <v>3.3999999999999998E-3</v>
      </c>
      <c r="S892">
        <v>3.5000000000000001E-3</v>
      </c>
      <c r="T892">
        <v>3.5999999999999999E-3</v>
      </c>
      <c r="U892">
        <v>3.7000000000000002E-3</v>
      </c>
      <c r="V892">
        <v>3.8E-3</v>
      </c>
      <c r="W892">
        <v>3.8999999999999998E-3</v>
      </c>
      <c r="X892">
        <v>4.0000000000000001E-3</v>
      </c>
      <c r="Y892">
        <v>4.0000000000000001E-3</v>
      </c>
    </row>
    <row r="893" spans="1:25" hidden="1">
      <c r="A893" t="s">
        <v>270</v>
      </c>
      <c r="B893" t="s">
        <v>1821</v>
      </c>
      <c r="C893" t="s">
        <v>1614</v>
      </c>
      <c r="D893" t="s">
        <v>648</v>
      </c>
      <c r="E893" t="s">
        <v>1822</v>
      </c>
      <c r="F893" t="s">
        <v>598</v>
      </c>
      <c r="G893" t="s">
        <v>599</v>
      </c>
      <c r="H893" t="s">
        <v>600</v>
      </c>
      <c r="I893" t="s">
        <v>601</v>
      </c>
      <c r="J893">
        <v>5.9999999999999995E-4</v>
      </c>
      <c r="K893">
        <v>5.0000000000000001E-4</v>
      </c>
      <c r="L893">
        <v>5.0000000000000001E-4</v>
      </c>
      <c r="M893">
        <v>5.0000000000000001E-4</v>
      </c>
      <c r="N893">
        <v>5.0000000000000001E-4</v>
      </c>
      <c r="O893">
        <v>5.0000000000000001E-4</v>
      </c>
      <c r="P893">
        <v>5.0000000000000001E-4</v>
      </c>
      <c r="Q893">
        <v>5.0000000000000001E-4</v>
      </c>
      <c r="R893">
        <v>5.0000000000000001E-4</v>
      </c>
      <c r="S893">
        <v>5.0000000000000001E-4</v>
      </c>
      <c r="T893">
        <v>5.0000000000000001E-4</v>
      </c>
      <c r="U893">
        <v>5.0000000000000001E-4</v>
      </c>
      <c r="V893">
        <v>5.0000000000000001E-4</v>
      </c>
      <c r="W893">
        <v>5.0000000000000001E-4</v>
      </c>
      <c r="X893">
        <v>5.0000000000000001E-4</v>
      </c>
      <c r="Y893">
        <v>5.0000000000000001E-4</v>
      </c>
    </row>
    <row r="894" spans="1:25" hidden="1">
      <c r="A894" t="s">
        <v>270</v>
      </c>
      <c r="B894" t="s">
        <v>1823</v>
      </c>
      <c r="C894" t="s">
        <v>1614</v>
      </c>
      <c r="D894" t="s">
        <v>648</v>
      </c>
      <c r="E894" t="s">
        <v>1743</v>
      </c>
      <c r="F894" t="s">
        <v>598</v>
      </c>
      <c r="G894" t="s">
        <v>599</v>
      </c>
      <c r="H894" t="s">
        <v>600</v>
      </c>
      <c r="I894" t="s">
        <v>601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270</v>
      </c>
      <c r="B895" t="s">
        <v>1824</v>
      </c>
      <c r="C895" t="s">
        <v>1614</v>
      </c>
      <c r="D895" t="s">
        <v>648</v>
      </c>
      <c r="E895" t="s">
        <v>1615</v>
      </c>
      <c r="F895" t="s">
        <v>598</v>
      </c>
      <c r="G895" t="s">
        <v>599</v>
      </c>
      <c r="H895" t="s">
        <v>600</v>
      </c>
      <c r="I895" t="s">
        <v>601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270</v>
      </c>
      <c r="B896" t="s">
        <v>1825</v>
      </c>
      <c r="C896" t="s">
        <v>1614</v>
      </c>
      <c r="D896" t="s">
        <v>648</v>
      </c>
      <c r="E896" t="s">
        <v>954</v>
      </c>
      <c r="F896" t="s">
        <v>598</v>
      </c>
      <c r="G896" t="s">
        <v>599</v>
      </c>
      <c r="H896" t="s">
        <v>600</v>
      </c>
      <c r="I896" t="s">
        <v>601</v>
      </c>
      <c r="J896">
        <v>0.55889999999999995</v>
      </c>
      <c r="K896">
        <v>0.56730000000000003</v>
      </c>
      <c r="L896">
        <v>0.57599999999999996</v>
      </c>
      <c r="M896">
        <v>0.58479999999999999</v>
      </c>
      <c r="N896">
        <v>0.59340000000000004</v>
      </c>
      <c r="O896">
        <v>0.60209999999999997</v>
      </c>
      <c r="P896">
        <v>0.6099</v>
      </c>
      <c r="Q896">
        <v>0.61839999999999995</v>
      </c>
      <c r="R896">
        <v>0.62570000000000003</v>
      </c>
      <c r="S896">
        <v>0.6331</v>
      </c>
      <c r="T896">
        <v>0.64059999999999995</v>
      </c>
      <c r="U896">
        <v>0.64849999999999997</v>
      </c>
      <c r="V896">
        <v>0.65669999999999995</v>
      </c>
      <c r="W896">
        <v>0.66469999999999996</v>
      </c>
      <c r="X896">
        <v>0.67300000000000004</v>
      </c>
      <c r="Y896">
        <v>0.68120000000000003</v>
      </c>
    </row>
    <row r="897" spans="1:25" hidden="1">
      <c r="A897" t="s">
        <v>270</v>
      </c>
      <c r="B897" t="s">
        <v>1826</v>
      </c>
      <c r="C897" t="s">
        <v>1614</v>
      </c>
      <c r="D897" t="s">
        <v>648</v>
      </c>
      <c r="E897" t="s">
        <v>1020</v>
      </c>
      <c r="F897" t="s">
        <v>598</v>
      </c>
      <c r="G897" t="s">
        <v>599</v>
      </c>
      <c r="H897" t="s">
        <v>600</v>
      </c>
      <c r="I897" t="s">
        <v>601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270</v>
      </c>
      <c r="B898" t="s">
        <v>1827</v>
      </c>
      <c r="C898" t="s">
        <v>1614</v>
      </c>
      <c r="D898" t="s">
        <v>648</v>
      </c>
      <c r="E898" t="s">
        <v>1828</v>
      </c>
      <c r="F898" t="s">
        <v>598</v>
      </c>
      <c r="G898" t="s">
        <v>599</v>
      </c>
      <c r="H898" t="s">
        <v>600</v>
      </c>
      <c r="I898" t="s">
        <v>601</v>
      </c>
      <c r="J898">
        <v>8.0000000000000004E-4</v>
      </c>
      <c r="K898">
        <v>8.0000000000000004E-4</v>
      </c>
      <c r="L898">
        <v>8.9999999999999998E-4</v>
      </c>
      <c r="M898">
        <v>8.9999999999999998E-4</v>
      </c>
      <c r="N898">
        <v>8.9999999999999998E-4</v>
      </c>
      <c r="O898">
        <v>1E-3</v>
      </c>
      <c r="P898">
        <v>1E-3</v>
      </c>
      <c r="Q898">
        <v>1E-3</v>
      </c>
      <c r="R898">
        <v>1.1000000000000001E-3</v>
      </c>
      <c r="S898">
        <v>1.1000000000000001E-3</v>
      </c>
      <c r="T898">
        <v>1.1000000000000001E-3</v>
      </c>
      <c r="U898">
        <v>1.1999999999999999E-3</v>
      </c>
      <c r="V898">
        <v>1.1999999999999999E-3</v>
      </c>
      <c r="W898">
        <v>1.1999999999999999E-3</v>
      </c>
      <c r="X898">
        <v>1.2999999999999999E-3</v>
      </c>
      <c r="Y898">
        <v>1.2999999999999999E-3</v>
      </c>
    </row>
    <row r="899" spans="1:25" hidden="1">
      <c r="A899" t="s">
        <v>270</v>
      </c>
      <c r="B899" t="s">
        <v>1829</v>
      </c>
      <c r="C899" t="s">
        <v>1614</v>
      </c>
      <c r="D899" t="s">
        <v>648</v>
      </c>
      <c r="E899" t="s">
        <v>1044</v>
      </c>
      <c r="F899" t="s">
        <v>598</v>
      </c>
      <c r="G899" t="s">
        <v>599</v>
      </c>
      <c r="H899" t="s">
        <v>600</v>
      </c>
      <c r="I899" t="s">
        <v>601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270</v>
      </c>
      <c r="B900" t="s">
        <v>1830</v>
      </c>
      <c r="C900" t="s">
        <v>1614</v>
      </c>
      <c r="D900" t="s">
        <v>648</v>
      </c>
      <c r="E900" t="s">
        <v>1831</v>
      </c>
      <c r="F900" t="s">
        <v>598</v>
      </c>
      <c r="G900" t="s">
        <v>599</v>
      </c>
      <c r="H900" t="s">
        <v>600</v>
      </c>
      <c r="I900" t="s">
        <v>601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270</v>
      </c>
      <c r="B901" t="s">
        <v>1832</v>
      </c>
      <c r="C901" t="s">
        <v>1614</v>
      </c>
      <c r="D901" t="s">
        <v>648</v>
      </c>
      <c r="E901" t="s">
        <v>1393</v>
      </c>
      <c r="F901" t="s">
        <v>598</v>
      </c>
      <c r="G901" t="s">
        <v>599</v>
      </c>
      <c r="H901" t="s">
        <v>600</v>
      </c>
      <c r="I901" t="s">
        <v>601</v>
      </c>
      <c r="J901">
        <v>5.0000000000000001E-4</v>
      </c>
      <c r="K901">
        <v>5.9999999999999995E-4</v>
      </c>
      <c r="L901">
        <v>5.9999999999999995E-4</v>
      </c>
      <c r="M901">
        <v>5.9999999999999995E-4</v>
      </c>
      <c r="N901">
        <v>5.9999999999999995E-4</v>
      </c>
      <c r="O901">
        <v>5.9999999999999995E-4</v>
      </c>
      <c r="P901">
        <v>5.9999999999999995E-4</v>
      </c>
      <c r="Q901">
        <v>5.9999999999999995E-4</v>
      </c>
      <c r="R901">
        <v>5.9999999999999995E-4</v>
      </c>
      <c r="S901">
        <v>5.9999999999999995E-4</v>
      </c>
      <c r="T901">
        <v>5.9999999999999995E-4</v>
      </c>
      <c r="U901">
        <v>5.9999999999999995E-4</v>
      </c>
      <c r="V901">
        <v>5.9999999999999995E-4</v>
      </c>
      <c r="W901">
        <v>5.9999999999999995E-4</v>
      </c>
      <c r="X901">
        <v>5.9999999999999995E-4</v>
      </c>
      <c r="Y901">
        <v>5.9999999999999995E-4</v>
      </c>
    </row>
    <row r="902" spans="1:25" hidden="1">
      <c r="A902" t="s">
        <v>270</v>
      </c>
      <c r="B902" t="s">
        <v>1833</v>
      </c>
      <c r="C902" t="s">
        <v>1614</v>
      </c>
      <c r="D902" t="s">
        <v>648</v>
      </c>
      <c r="E902" t="s">
        <v>1716</v>
      </c>
      <c r="F902" t="s">
        <v>598</v>
      </c>
      <c r="G902" t="s">
        <v>599</v>
      </c>
      <c r="H902" t="s">
        <v>600</v>
      </c>
      <c r="I902" t="s">
        <v>601</v>
      </c>
      <c r="J902">
        <v>4.1000000000000003E-3</v>
      </c>
      <c r="K902">
        <v>4.1999999999999997E-3</v>
      </c>
      <c r="L902">
        <v>4.4000000000000003E-3</v>
      </c>
      <c r="M902">
        <v>4.5999999999999999E-3</v>
      </c>
      <c r="N902">
        <v>4.7000000000000002E-3</v>
      </c>
      <c r="O902">
        <v>4.8999999999999998E-3</v>
      </c>
      <c r="P902">
        <v>5.0000000000000001E-3</v>
      </c>
      <c r="Q902">
        <v>5.1999999999999998E-3</v>
      </c>
      <c r="R902">
        <v>5.3E-3</v>
      </c>
      <c r="S902">
        <v>5.3E-3</v>
      </c>
      <c r="T902">
        <v>5.4000000000000003E-3</v>
      </c>
      <c r="U902">
        <v>5.4999999999999997E-3</v>
      </c>
      <c r="V902">
        <v>5.4999999999999997E-3</v>
      </c>
      <c r="W902">
        <v>5.5999999999999999E-3</v>
      </c>
      <c r="X902">
        <v>5.7000000000000002E-3</v>
      </c>
      <c r="Y902">
        <v>5.7000000000000002E-3</v>
      </c>
    </row>
    <row r="903" spans="1:25" hidden="1">
      <c r="A903" t="s">
        <v>270</v>
      </c>
      <c r="B903" t="s">
        <v>1834</v>
      </c>
      <c r="C903" t="s">
        <v>1614</v>
      </c>
      <c r="D903" t="s">
        <v>648</v>
      </c>
      <c r="E903" t="s">
        <v>1835</v>
      </c>
      <c r="F903" t="s">
        <v>598</v>
      </c>
      <c r="G903" t="s">
        <v>599</v>
      </c>
      <c r="H903" t="s">
        <v>600</v>
      </c>
      <c r="I903" t="s">
        <v>601</v>
      </c>
      <c r="J903">
        <v>2.0000000000000001E-4</v>
      </c>
      <c r="K903">
        <v>2.0000000000000001E-4</v>
      </c>
      <c r="L903">
        <v>2.0000000000000001E-4</v>
      </c>
      <c r="M903">
        <v>2.9999999999999997E-4</v>
      </c>
      <c r="N903">
        <v>2.9999999999999997E-4</v>
      </c>
      <c r="O903">
        <v>2.9999999999999997E-4</v>
      </c>
      <c r="P903">
        <v>2.9999999999999997E-4</v>
      </c>
      <c r="Q903">
        <v>2.9999999999999997E-4</v>
      </c>
      <c r="R903">
        <v>2.9999999999999997E-4</v>
      </c>
      <c r="S903">
        <v>2.9999999999999997E-4</v>
      </c>
      <c r="T903">
        <v>2.9999999999999997E-4</v>
      </c>
      <c r="U903">
        <v>2.9999999999999997E-4</v>
      </c>
      <c r="V903">
        <v>2.9999999999999997E-4</v>
      </c>
      <c r="W903">
        <v>2.9999999999999997E-4</v>
      </c>
      <c r="X903">
        <v>2.9999999999999997E-4</v>
      </c>
      <c r="Y903">
        <v>2.9999999999999997E-4</v>
      </c>
    </row>
    <row r="904" spans="1:25" hidden="1">
      <c r="A904" t="s">
        <v>270</v>
      </c>
      <c r="B904" t="s">
        <v>1836</v>
      </c>
      <c r="C904" t="s">
        <v>1614</v>
      </c>
      <c r="D904" t="s">
        <v>648</v>
      </c>
      <c r="E904" t="s">
        <v>1799</v>
      </c>
      <c r="F904" t="s">
        <v>598</v>
      </c>
      <c r="G904" t="s">
        <v>599</v>
      </c>
      <c r="H904" t="s">
        <v>600</v>
      </c>
      <c r="I904" t="s">
        <v>601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270</v>
      </c>
      <c r="B905" t="s">
        <v>1837</v>
      </c>
      <c r="C905" t="s">
        <v>1614</v>
      </c>
      <c r="D905" t="s">
        <v>648</v>
      </c>
      <c r="E905" t="s">
        <v>1759</v>
      </c>
      <c r="F905" t="s">
        <v>598</v>
      </c>
      <c r="G905" t="s">
        <v>599</v>
      </c>
      <c r="H905" t="s">
        <v>600</v>
      </c>
      <c r="I905" t="s">
        <v>601</v>
      </c>
      <c r="J905">
        <v>6.7000000000000002E-3</v>
      </c>
      <c r="K905">
        <v>7.0000000000000001E-3</v>
      </c>
      <c r="L905">
        <v>7.1999999999999998E-3</v>
      </c>
      <c r="M905">
        <v>7.4999999999999997E-3</v>
      </c>
      <c r="N905">
        <v>7.7000000000000002E-3</v>
      </c>
      <c r="O905">
        <v>8.0000000000000002E-3</v>
      </c>
      <c r="P905">
        <v>8.3000000000000001E-3</v>
      </c>
      <c r="Q905">
        <v>8.6E-3</v>
      </c>
      <c r="R905">
        <v>8.8999999999999999E-3</v>
      </c>
      <c r="S905">
        <v>9.1000000000000004E-3</v>
      </c>
      <c r="T905">
        <v>9.4000000000000004E-3</v>
      </c>
      <c r="U905">
        <v>9.7000000000000003E-3</v>
      </c>
      <c r="V905">
        <v>0.01</v>
      </c>
      <c r="W905">
        <v>1.03E-2</v>
      </c>
      <c r="X905">
        <v>1.06E-2</v>
      </c>
      <c r="Y905">
        <v>1.09E-2</v>
      </c>
    </row>
    <row r="906" spans="1:25" hidden="1">
      <c r="A906" t="s">
        <v>270</v>
      </c>
      <c r="B906" t="s">
        <v>1838</v>
      </c>
      <c r="C906" t="s">
        <v>1614</v>
      </c>
      <c r="D906" t="s">
        <v>648</v>
      </c>
      <c r="E906" t="s">
        <v>1718</v>
      </c>
      <c r="F906" t="s">
        <v>598</v>
      </c>
      <c r="G906" t="s">
        <v>599</v>
      </c>
      <c r="H906" t="s">
        <v>600</v>
      </c>
      <c r="I906" t="s">
        <v>601</v>
      </c>
      <c r="J906">
        <v>1.4E-2</v>
      </c>
      <c r="K906">
        <v>1.41E-2</v>
      </c>
      <c r="L906">
        <v>1.4200000000000001E-2</v>
      </c>
      <c r="M906">
        <v>1.44E-2</v>
      </c>
      <c r="N906">
        <v>1.4500000000000001E-2</v>
      </c>
      <c r="O906">
        <v>1.47E-2</v>
      </c>
      <c r="P906">
        <v>1.4800000000000001E-2</v>
      </c>
      <c r="Q906">
        <v>1.4999999999999999E-2</v>
      </c>
      <c r="R906">
        <v>1.5100000000000001E-2</v>
      </c>
      <c r="S906">
        <v>1.5299999999999999E-2</v>
      </c>
      <c r="T906">
        <v>1.54E-2</v>
      </c>
      <c r="U906">
        <v>1.5599999999999999E-2</v>
      </c>
      <c r="V906">
        <v>1.5699999999999999E-2</v>
      </c>
      <c r="W906">
        <v>1.5900000000000001E-2</v>
      </c>
      <c r="X906">
        <v>1.6E-2</v>
      </c>
      <c r="Y906">
        <v>1.6199999999999999E-2</v>
      </c>
    </row>
    <row r="907" spans="1:25" hidden="1">
      <c r="A907" t="s">
        <v>270</v>
      </c>
      <c r="B907" t="s">
        <v>1839</v>
      </c>
      <c r="C907" t="s">
        <v>1614</v>
      </c>
      <c r="D907" t="s">
        <v>648</v>
      </c>
      <c r="E907" t="s">
        <v>1765</v>
      </c>
      <c r="F907" t="s">
        <v>598</v>
      </c>
      <c r="G907" t="s">
        <v>599</v>
      </c>
      <c r="H907" t="s">
        <v>600</v>
      </c>
      <c r="I907" t="s">
        <v>601</v>
      </c>
      <c r="J907">
        <v>7.9000000000000008E-3</v>
      </c>
      <c r="K907">
        <v>8.0999999999999996E-3</v>
      </c>
      <c r="L907">
        <v>8.2000000000000007E-3</v>
      </c>
      <c r="M907">
        <v>8.2000000000000007E-3</v>
      </c>
      <c r="N907">
        <v>8.5000000000000006E-3</v>
      </c>
      <c r="O907">
        <v>8.5000000000000006E-3</v>
      </c>
      <c r="P907">
        <v>8.8999999999999999E-3</v>
      </c>
      <c r="Q907">
        <v>9.2999999999999992E-3</v>
      </c>
      <c r="R907">
        <v>9.4000000000000004E-3</v>
      </c>
      <c r="S907">
        <v>9.9000000000000008E-3</v>
      </c>
      <c r="T907">
        <v>1.01E-2</v>
      </c>
      <c r="U907">
        <v>1.0500000000000001E-2</v>
      </c>
      <c r="V907">
        <v>1.0699999999999999E-2</v>
      </c>
      <c r="W907">
        <v>1.09E-2</v>
      </c>
      <c r="X907">
        <v>1.12E-2</v>
      </c>
      <c r="Y907">
        <v>1.1299999999999999E-2</v>
      </c>
    </row>
    <row r="908" spans="1:25" hidden="1">
      <c r="A908" t="s">
        <v>270</v>
      </c>
      <c r="B908" t="s">
        <v>1840</v>
      </c>
      <c r="C908" t="s">
        <v>1614</v>
      </c>
      <c r="D908" t="s">
        <v>648</v>
      </c>
      <c r="E908" t="s">
        <v>1378</v>
      </c>
      <c r="F908" t="s">
        <v>598</v>
      </c>
      <c r="G908" t="s">
        <v>599</v>
      </c>
      <c r="H908" t="s">
        <v>600</v>
      </c>
      <c r="I908" t="s">
        <v>601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270</v>
      </c>
      <c r="B909" t="s">
        <v>1841</v>
      </c>
      <c r="C909" t="s">
        <v>1614</v>
      </c>
      <c r="D909" t="s">
        <v>648</v>
      </c>
      <c r="E909" t="s">
        <v>1380</v>
      </c>
      <c r="F909" t="s">
        <v>598</v>
      </c>
      <c r="G909" t="s">
        <v>599</v>
      </c>
      <c r="H909" t="s">
        <v>600</v>
      </c>
      <c r="I909" t="s">
        <v>601</v>
      </c>
      <c r="J909">
        <v>5.0000000000000001E-4</v>
      </c>
      <c r="K909">
        <v>5.0000000000000001E-4</v>
      </c>
      <c r="L909">
        <v>5.0000000000000001E-4</v>
      </c>
      <c r="M909">
        <v>5.9999999999999995E-4</v>
      </c>
      <c r="N909">
        <v>5.9999999999999995E-4</v>
      </c>
      <c r="O909">
        <v>5.9999999999999995E-4</v>
      </c>
      <c r="P909">
        <v>5.9999999999999995E-4</v>
      </c>
      <c r="Q909">
        <v>5.9999999999999995E-4</v>
      </c>
      <c r="R909">
        <v>5.9999999999999995E-4</v>
      </c>
      <c r="S909">
        <v>6.9999999999999999E-4</v>
      </c>
      <c r="T909">
        <v>6.9999999999999999E-4</v>
      </c>
      <c r="U909">
        <v>6.9999999999999999E-4</v>
      </c>
      <c r="V909">
        <v>6.9999999999999999E-4</v>
      </c>
      <c r="W909">
        <v>6.9999999999999999E-4</v>
      </c>
      <c r="X909">
        <v>6.9999999999999999E-4</v>
      </c>
      <c r="Y909">
        <v>8.0000000000000004E-4</v>
      </c>
    </row>
    <row r="910" spans="1:25" hidden="1">
      <c r="A910" t="s">
        <v>270</v>
      </c>
      <c r="B910" t="s">
        <v>1842</v>
      </c>
      <c r="C910" t="s">
        <v>1614</v>
      </c>
      <c r="D910" t="s">
        <v>648</v>
      </c>
      <c r="E910" t="s">
        <v>1239</v>
      </c>
      <c r="F910" t="s">
        <v>598</v>
      </c>
      <c r="G910" t="s">
        <v>599</v>
      </c>
      <c r="H910" t="s">
        <v>600</v>
      </c>
      <c r="I910" t="s">
        <v>601</v>
      </c>
      <c r="J910">
        <v>1E-4</v>
      </c>
      <c r="K910">
        <v>1E-4</v>
      </c>
      <c r="L910">
        <v>1E-4</v>
      </c>
      <c r="M910">
        <v>1E-4</v>
      </c>
      <c r="N910">
        <v>1E-4</v>
      </c>
      <c r="O910">
        <v>1E-4</v>
      </c>
      <c r="P910">
        <v>1E-4</v>
      </c>
      <c r="Q910">
        <v>2.0000000000000001E-4</v>
      </c>
      <c r="R910">
        <v>2.0000000000000001E-4</v>
      </c>
      <c r="S910">
        <v>2.0000000000000001E-4</v>
      </c>
      <c r="T910">
        <v>2.0000000000000001E-4</v>
      </c>
      <c r="U910">
        <v>2.0000000000000001E-4</v>
      </c>
      <c r="V910">
        <v>2.0000000000000001E-4</v>
      </c>
      <c r="W910">
        <v>2.0000000000000001E-4</v>
      </c>
      <c r="X910">
        <v>2.0000000000000001E-4</v>
      </c>
      <c r="Y910">
        <v>2.0000000000000001E-4</v>
      </c>
    </row>
    <row r="911" spans="1:25" hidden="1">
      <c r="A911" t="s">
        <v>270</v>
      </c>
      <c r="B911" t="s">
        <v>1843</v>
      </c>
      <c r="C911" t="s">
        <v>1614</v>
      </c>
      <c r="D911" t="s">
        <v>648</v>
      </c>
      <c r="E911" t="s">
        <v>1081</v>
      </c>
      <c r="F911" t="s">
        <v>598</v>
      </c>
      <c r="G911" t="s">
        <v>599</v>
      </c>
      <c r="H911" t="s">
        <v>600</v>
      </c>
      <c r="I911" t="s">
        <v>601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270</v>
      </c>
      <c r="B912" t="s">
        <v>1844</v>
      </c>
      <c r="C912" t="s">
        <v>1845</v>
      </c>
      <c r="D912" t="s">
        <v>1392</v>
      </c>
      <c r="E912" t="s">
        <v>1846</v>
      </c>
      <c r="F912" t="s">
        <v>598</v>
      </c>
      <c r="G912" t="s">
        <v>599</v>
      </c>
      <c r="H912" t="s">
        <v>600</v>
      </c>
      <c r="I912" t="s">
        <v>601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270</v>
      </c>
      <c r="B913" t="s">
        <v>1847</v>
      </c>
      <c r="C913" t="s">
        <v>1845</v>
      </c>
      <c r="D913" t="s">
        <v>1324</v>
      </c>
      <c r="E913" t="s">
        <v>1340</v>
      </c>
      <c r="F913" t="s">
        <v>598</v>
      </c>
      <c r="G913" t="s">
        <v>599</v>
      </c>
      <c r="H913" t="s">
        <v>600</v>
      </c>
      <c r="I913" t="s">
        <v>601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270</v>
      </c>
      <c r="B914" t="s">
        <v>1848</v>
      </c>
      <c r="C914" t="s">
        <v>1845</v>
      </c>
      <c r="D914" t="s">
        <v>1324</v>
      </c>
      <c r="E914" t="s">
        <v>954</v>
      </c>
      <c r="F914" t="s">
        <v>598</v>
      </c>
      <c r="G914" t="s">
        <v>599</v>
      </c>
      <c r="H914" t="s">
        <v>600</v>
      </c>
      <c r="I914" t="s">
        <v>601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270</v>
      </c>
      <c r="B915" t="s">
        <v>1849</v>
      </c>
      <c r="C915" t="s">
        <v>1845</v>
      </c>
      <c r="D915" t="s">
        <v>1324</v>
      </c>
      <c r="E915" t="s">
        <v>1198</v>
      </c>
      <c r="F915" t="s">
        <v>598</v>
      </c>
      <c r="G915" t="s">
        <v>599</v>
      </c>
      <c r="H915" t="s">
        <v>600</v>
      </c>
      <c r="I915" t="s">
        <v>601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270</v>
      </c>
      <c r="B916" t="s">
        <v>1850</v>
      </c>
      <c r="C916" t="s">
        <v>1845</v>
      </c>
      <c r="D916" t="s">
        <v>1324</v>
      </c>
      <c r="E916" t="s">
        <v>1851</v>
      </c>
      <c r="F916" t="s">
        <v>598</v>
      </c>
      <c r="G916" t="s">
        <v>599</v>
      </c>
      <c r="H916" t="s">
        <v>600</v>
      </c>
      <c r="I916" t="s">
        <v>601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270</v>
      </c>
      <c r="B917" t="s">
        <v>1852</v>
      </c>
      <c r="C917" t="s">
        <v>1845</v>
      </c>
      <c r="D917" t="s">
        <v>1332</v>
      </c>
      <c r="E917" t="s">
        <v>1340</v>
      </c>
      <c r="F917" t="s">
        <v>598</v>
      </c>
      <c r="G917" t="s">
        <v>599</v>
      </c>
      <c r="H917" t="s">
        <v>600</v>
      </c>
      <c r="I917" t="s">
        <v>601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270</v>
      </c>
      <c r="B918" t="s">
        <v>1853</v>
      </c>
      <c r="C918" t="s">
        <v>1845</v>
      </c>
      <c r="D918" t="s">
        <v>1332</v>
      </c>
      <c r="E918" t="s">
        <v>1733</v>
      </c>
      <c r="F918" t="s">
        <v>598</v>
      </c>
      <c r="G918" t="s">
        <v>599</v>
      </c>
      <c r="H918" t="s">
        <v>600</v>
      </c>
      <c r="I918" t="s">
        <v>601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270</v>
      </c>
      <c r="B919" t="s">
        <v>1854</v>
      </c>
      <c r="C919" t="s">
        <v>1845</v>
      </c>
      <c r="D919" t="s">
        <v>1332</v>
      </c>
      <c r="E919" t="s">
        <v>1198</v>
      </c>
      <c r="F919" t="s">
        <v>598</v>
      </c>
      <c r="G919" t="s">
        <v>599</v>
      </c>
      <c r="H919" t="s">
        <v>600</v>
      </c>
      <c r="I919" t="s">
        <v>601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270</v>
      </c>
      <c r="B920" t="s">
        <v>1855</v>
      </c>
      <c r="C920" t="s">
        <v>1845</v>
      </c>
      <c r="D920" t="s">
        <v>1350</v>
      </c>
      <c r="E920" t="s">
        <v>1684</v>
      </c>
      <c r="F920" t="s">
        <v>598</v>
      </c>
      <c r="G920" t="s">
        <v>599</v>
      </c>
      <c r="H920" t="s">
        <v>600</v>
      </c>
      <c r="I920" t="s">
        <v>601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270</v>
      </c>
      <c r="B921" t="s">
        <v>1856</v>
      </c>
      <c r="C921" t="s">
        <v>1845</v>
      </c>
      <c r="D921" t="s">
        <v>1435</v>
      </c>
      <c r="E921" t="s">
        <v>973</v>
      </c>
      <c r="F921" t="s">
        <v>598</v>
      </c>
      <c r="G921" t="s">
        <v>599</v>
      </c>
      <c r="H921" t="s">
        <v>600</v>
      </c>
      <c r="I921" t="s">
        <v>601</v>
      </c>
      <c r="J921">
        <v>5.0799999999999998E-2</v>
      </c>
      <c r="K921">
        <v>5.1499999999999997E-2</v>
      </c>
      <c r="L921">
        <v>5.21E-2</v>
      </c>
      <c r="M921">
        <v>5.2900000000000003E-2</v>
      </c>
      <c r="N921">
        <v>5.3400000000000003E-2</v>
      </c>
      <c r="O921">
        <v>5.4100000000000002E-2</v>
      </c>
      <c r="P921">
        <v>5.4699999999999999E-2</v>
      </c>
      <c r="Q921">
        <v>5.5199999999999999E-2</v>
      </c>
      <c r="R921">
        <v>5.5500000000000001E-2</v>
      </c>
      <c r="S921">
        <v>5.6099999999999997E-2</v>
      </c>
      <c r="T921">
        <v>5.6500000000000002E-2</v>
      </c>
      <c r="U921">
        <v>5.7000000000000002E-2</v>
      </c>
      <c r="V921">
        <v>5.7299999999999997E-2</v>
      </c>
      <c r="W921">
        <v>5.7799999999999997E-2</v>
      </c>
      <c r="X921">
        <v>5.8000000000000003E-2</v>
      </c>
      <c r="Y921">
        <v>5.8400000000000001E-2</v>
      </c>
    </row>
    <row r="922" spans="1:25" hidden="1">
      <c r="A922" t="s">
        <v>270</v>
      </c>
      <c r="B922" t="s">
        <v>1857</v>
      </c>
      <c r="C922" t="s">
        <v>1845</v>
      </c>
      <c r="D922" t="s">
        <v>1354</v>
      </c>
      <c r="E922" t="s">
        <v>973</v>
      </c>
      <c r="F922" t="s">
        <v>598</v>
      </c>
      <c r="G922" t="s">
        <v>599</v>
      </c>
      <c r="H922" t="s">
        <v>600</v>
      </c>
      <c r="I922" t="s">
        <v>601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270</v>
      </c>
      <c r="B923" t="s">
        <v>1858</v>
      </c>
      <c r="C923" t="s">
        <v>1845</v>
      </c>
      <c r="D923" t="s">
        <v>1859</v>
      </c>
      <c r="E923" t="s">
        <v>1860</v>
      </c>
      <c r="F923" t="s">
        <v>598</v>
      </c>
      <c r="G923" t="s">
        <v>599</v>
      </c>
      <c r="H923" t="s">
        <v>600</v>
      </c>
      <c r="I923" t="s">
        <v>601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270</v>
      </c>
      <c r="B924" t="s">
        <v>1861</v>
      </c>
      <c r="C924" t="s">
        <v>1845</v>
      </c>
      <c r="D924" t="s">
        <v>1862</v>
      </c>
      <c r="E924" t="s">
        <v>1860</v>
      </c>
      <c r="F924" t="s">
        <v>598</v>
      </c>
      <c r="G924" t="s">
        <v>599</v>
      </c>
      <c r="H924" t="s">
        <v>600</v>
      </c>
      <c r="I924" t="s">
        <v>601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270</v>
      </c>
      <c r="B925" t="s">
        <v>1863</v>
      </c>
      <c r="C925" t="s">
        <v>1845</v>
      </c>
      <c r="D925" t="s">
        <v>1864</v>
      </c>
      <c r="E925" t="s">
        <v>1865</v>
      </c>
      <c r="F925" t="s">
        <v>598</v>
      </c>
      <c r="G925" t="s">
        <v>599</v>
      </c>
      <c r="H925" t="s">
        <v>600</v>
      </c>
      <c r="I925" t="s">
        <v>601</v>
      </c>
      <c r="J925">
        <v>4.0800000000000003E-2</v>
      </c>
      <c r="K925">
        <v>4.2000000000000003E-2</v>
      </c>
      <c r="L925">
        <v>4.2799999999999998E-2</v>
      </c>
      <c r="M925">
        <v>4.3900000000000002E-2</v>
      </c>
      <c r="N925">
        <v>4.48E-2</v>
      </c>
      <c r="O925">
        <v>4.58E-2</v>
      </c>
      <c r="P925">
        <v>4.6600000000000003E-2</v>
      </c>
      <c r="Q925">
        <v>4.7500000000000001E-2</v>
      </c>
      <c r="R925">
        <v>4.7800000000000002E-2</v>
      </c>
      <c r="S925">
        <v>4.8099999999999997E-2</v>
      </c>
      <c r="T925">
        <v>4.8399999999999999E-2</v>
      </c>
      <c r="U925">
        <v>4.87E-2</v>
      </c>
      <c r="V925">
        <v>4.9000000000000002E-2</v>
      </c>
      <c r="W925">
        <v>4.9299999999999997E-2</v>
      </c>
      <c r="X925">
        <v>4.9500000000000002E-2</v>
      </c>
      <c r="Y925">
        <v>4.9799999999999997E-2</v>
      </c>
    </row>
    <row r="926" spans="1:25" hidden="1">
      <c r="A926" t="s">
        <v>270</v>
      </c>
      <c r="B926" t="s">
        <v>1866</v>
      </c>
      <c r="C926" t="s">
        <v>1845</v>
      </c>
      <c r="D926" t="s">
        <v>1864</v>
      </c>
      <c r="E926" t="s">
        <v>1867</v>
      </c>
      <c r="F926" t="s">
        <v>598</v>
      </c>
      <c r="G926" t="s">
        <v>599</v>
      </c>
      <c r="H926" t="s">
        <v>600</v>
      </c>
      <c r="I926" t="s">
        <v>601</v>
      </c>
      <c r="J926">
        <v>1E-4</v>
      </c>
      <c r="K926">
        <v>1E-4</v>
      </c>
      <c r="L926">
        <v>1E-4</v>
      </c>
      <c r="M926">
        <v>1E-4</v>
      </c>
      <c r="N926">
        <v>1E-4</v>
      </c>
      <c r="O926">
        <v>1E-4</v>
      </c>
      <c r="P926">
        <v>1E-4</v>
      </c>
      <c r="Q926">
        <v>1E-4</v>
      </c>
      <c r="R926">
        <v>1E-4</v>
      </c>
      <c r="S926">
        <v>1E-4</v>
      </c>
      <c r="T926">
        <v>1E-4</v>
      </c>
      <c r="U926">
        <v>1E-4</v>
      </c>
      <c r="V926">
        <v>1E-4</v>
      </c>
      <c r="W926">
        <v>2.0000000000000001E-4</v>
      </c>
      <c r="X926">
        <v>2.0000000000000001E-4</v>
      </c>
      <c r="Y926">
        <v>2.0000000000000001E-4</v>
      </c>
    </row>
    <row r="927" spans="1:25" hidden="1">
      <c r="A927" t="s">
        <v>270</v>
      </c>
      <c r="B927" t="s">
        <v>1868</v>
      </c>
      <c r="C927" t="s">
        <v>1845</v>
      </c>
      <c r="D927" t="s">
        <v>1864</v>
      </c>
      <c r="E927" t="s">
        <v>1869</v>
      </c>
      <c r="F927" t="s">
        <v>598</v>
      </c>
      <c r="G927" t="s">
        <v>599</v>
      </c>
      <c r="H927" t="s">
        <v>600</v>
      </c>
      <c r="I927" t="s">
        <v>601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270</v>
      </c>
      <c r="B928" t="s">
        <v>1870</v>
      </c>
      <c r="C928" t="s">
        <v>1845</v>
      </c>
      <c r="D928" t="s">
        <v>1871</v>
      </c>
      <c r="E928" t="s">
        <v>1872</v>
      </c>
      <c r="F928" t="s">
        <v>598</v>
      </c>
      <c r="G928" t="s">
        <v>599</v>
      </c>
      <c r="H928" t="s">
        <v>600</v>
      </c>
      <c r="I928" t="s">
        <v>601</v>
      </c>
      <c r="J928">
        <v>1.47E-2</v>
      </c>
      <c r="K928">
        <v>1.5100000000000001E-2</v>
      </c>
      <c r="L928">
        <v>1.55E-2</v>
      </c>
      <c r="M928">
        <v>1.5800000000000002E-2</v>
      </c>
      <c r="N928">
        <v>1.6199999999999999E-2</v>
      </c>
      <c r="O928">
        <v>1.6299999999999999E-2</v>
      </c>
      <c r="P928">
        <v>1.67E-2</v>
      </c>
      <c r="Q928">
        <v>1.6899999999999998E-2</v>
      </c>
      <c r="R928">
        <v>1.7100000000000001E-2</v>
      </c>
      <c r="S928">
        <v>1.7399999999999999E-2</v>
      </c>
      <c r="T928">
        <v>1.7600000000000001E-2</v>
      </c>
      <c r="U928">
        <v>1.77E-2</v>
      </c>
      <c r="V928">
        <v>1.7999999999999999E-2</v>
      </c>
      <c r="W928">
        <v>1.8200000000000001E-2</v>
      </c>
      <c r="X928">
        <v>1.8599999999999998E-2</v>
      </c>
      <c r="Y928">
        <v>1.8800000000000001E-2</v>
      </c>
    </row>
    <row r="929" spans="1:25" hidden="1">
      <c r="A929" t="s">
        <v>270</v>
      </c>
      <c r="B929" t="s">
        <v>1873</v>
      </c>
      <c r="C929" t="s">
        <v>1845</v>
      </c>
      <c r="D929" t="s">
        <v>1871</v>
      </c>
      <c r="E929" t="s">
        <v>1874</v>
      </c>
      <c r="F929" t="s">
        <v>598</v>
      </c>
      <c r="G929" t="s">
        <v>599</v>
      </c>
      <c r="H929" t="s">
        <v>600</v>
      </c>
      <c r="I929" t="s">
        <v>601</v>
      </c>
      <c r="J929">
        <v>1E-4</v>
      </c>
      <c r="K929">
        <v>1E-4</v>
      </c>
      <c r="L929">
        <v>1E-4</v>
      </c>
      <c r="M929">
        <v>1E-4</v>
      </c>
      <c r="N929">
        <v>1E-4</v>
      </c>
      <c r="O929">
        <v>1E-4</v>
      </c>
      <c r="P929">
        <v>1E-4</v>
      </c>
      <c r="Q929">
        <v>1E-4</v>
      </c>
      <c r="R929">
        <v>1E-4</v>
      </c>
      <c r="S929">
        <v>1E-4</v>
      </c>
      <c r="T929">
        <v>1E-4</v>
      </c>
      <c r="U929">
        <v>1E-4</v>
      </c>
      <c r="V929">
        <v>1E-4</v>
      </c>
      <c r="W929">
        <v>1E-4</v>
      </c>
      <c r="X929">
        <v>1E-4</v>
      </c>
      <c r="Y929">
        <v>1E-4</v>
      </c>
    </row>
    <row r="930" spans="1:25" hidden="1">
      <c r="A930" t="s">
        <v>270</v>
      </c>
      <c r="B930" t="s">
        <v>1875</v>
      </c>
      <c r="C930" t="s">
        <v>1845</v>
      </c>
      <c r="D930" t="s">
        <v>1876</v>
      </c>
      <c r="E930" t="s">
        <v>1872</v>
      </c>
      <c r="F930" t="s">
        <v>598</v>
      </c>
      <c r="G930" t="s">
        <v>599</v>
      </c>
      <c r="H930" t="s">
        <v>600</v>
      </c>
      <c r="I930" t="s">
        <v>601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270</v>
      </c>
      <c r="B931" t="s">
        <v>1877</v>
      </c>
      <c r="C931" t="s">
        <v>1845</v>
      </c>
      <c r="D931" t="s">
        <v>1878</v>
      </c>
      <c r="E931" t="s">
        <v>1872</v>
      </c>
      <c r="F931" t="s">
        <v>598</v>
      </c>
      <c r="G931" t="s">
        <v>599</v>
      </c>
      <c r="H931" t="s">
        <v>600</v>
      </c>
      <c r="I931" t="s">
        <v>601</v>
      </c>
      <c r="J931">
        <v>0.11260000000000001</v>
      </c>
      <c r="K931">
        <v>0.1152</v>
      </c>
      <c r="L931">
        <v>0.1174</v>
      </c>
      <c r="M931">
        <v>0.12</v>
      </c>
      <c r="N931">
        <v>0.12280000000000001</v>
      </c>
      <c r="O931">
        <v>0.1244</v>
      </c>
      <c r="P931">
        <v>0.1263</v>
      </c>
      <c r="Q931">
        <v>0.128</v>
      </c>
      <c r="R931">
        <v>0.13009999999999999</v>
      </c>
      <c r="S931">
        <v>0.13189999999999999</v>
      </c>
      <c r="T931">
        <v>0.13339999999999999</v>
      </c>
      <c r="U931">
        <v>0.1351</v>
      </c>
      <c r="V931">
        <v>0.1368</v>
      </c>
      <c r="W931">
        <v>0.13880000000000001</v>
      </c>
      <c r="X931">
        <v>0.14099999999999999</v>
      </c>
      <c r="Y931">
        <v>0.14280000000000001</v>
      </c>
    </row>
    <row r="932" spans="1:25" hidden="1">
      <c r="A932" t="s">
        <v>270</v>
      </c>
      <c r="B932" t="s">
        <v>1879</v>
      </c>
      <c r="C932" t="s">
        <v>1845</v>
      </c>
      <c r="D932" t="s">
        <v>1878</v>
      </c>
      <c r="E932" t="s">
        <v>1880</v>
      </c>
      <c r="F932" t="s">
        <v>598</v>
      </c>
      <c r="G932" t="s">
        <v>599</v>
      </c>
      <c r="H932" t="s">
        <v>600</v>
      </c>
      <c r="I932" t="s">
        <v>601</v>
      </c>
      <c r="J932">
        <v>0.51529999999999998</v>
      </c>
      <c r="K932">
        <v>0.52490000000000003</v>
      </c>
      <c r="L932">
        <v>0.53420000000000001</v>
      </c>
      <c r="M932">
        <v>0.54400000000000004</v>
      </c>
      <c r="N932">
        <v>0.55459999999999998</v>
      </c>
      <c r="O932">
        <v>0.56269999999999998</v>
      </c>
      <c r="P932">
        <v>0.57120000000000004</v>
      </c>
      <c r="Q932">
        <v>0.57930000000000004</v>
      </c>
      <c r="R932">
        <v>0.58709999999999996</v>
      </c>
      <c r="S932">
        <v>0.59489999999999998</v>
      </c>
      <c r="T932">
        <v>0.60299999999999998</v>
      </c>
      <c r="U932">
        <v>0.61050000000000004</v>
      </c>
      <c r="V932">
        <v>0.61899999999999999</v>
      </c>
      <c r="W932">
        <v>0.62709999999999999</v>
      </c>
      <c r="X932">
        <v>0.63629999999999998</v>
      </c>
      <c r="Y932">
        <v>0.64570000000000005</v>
      </c>
    </row>
    <row r="933" spans="1:25" hidden="1">
      <c r="A933" t="s">
        <v>270</v>
      </c>
      <c r="B933" t="s">
        <v>1881</v>
      </c>
      <c r="C933" t="s">
        <v>1845</v>
      </c>
      <c r="D933" t="s">
        <v>1878</v>
      </c>
      <c r="E933" t="s">
        <v>1882</v>
      </c>
      <c r="F933" t="s">
        <v>598</v>
      </c>
      <c r="G933" t="s">
        <v>599</v>
      </c>
      <c r="H933" t="s">
        <v>600</v>
      </c>
      <c r="I933" t="s">
        <v>601</v>
      </c>
      <c r="J933">
        <v>1E-3</v>
      </c>
      <c r="K933">
        <v>1.1000000000000001E-3</v>
      </c>
      <c r="L933">
        <v>1.1000000000000001E-3</v>
      </c>
      <c r="M933">
        <v>1.1000000000000001E-3</v>
      </c>
      <c r="N933">
        <v>1.1000000000000001E-3</v>
      </c>
      <c r="O933">
        <v>1.1000000000000001E-3</v>
      </c>
      <c r="P933">
        <v>1.1000000000000001E-3</v>
      </c>
      <c r="Q933">
        <v>1.1000000000000001E-3</v>
      </c>
      <c r="R933">
        <v>1.1999999999999999E-3</v>
      </c>
      <c r="S933">
        <v>1.1999999999999999E-3</v>
      </c>
      <c r="T933">
        <v>1.1999999999999999E-3</v>
      </c>
      <c r="U933">
        <v>1.1999999999999999E-3</v>
      </c>
      <c r="V933">
        <v>1.1999999999999999E-3</v>
      </c>
      <c r="W933">
        <v>1.1999999999999999E-3</v>
      </c>
      <c r="X933">
        <v>1.1999999999999999E-3</v>
      </c>
      <c r="Y933">
        <v>1.2999999999999999E-3</v>
      </c>
    </row>
    <row r="934" spans="1:25" hidden="1">
      <c r="A934" t="s">
        <v>270</v>
      </c>
      <c r="B934" t="s">
        <v>1883</v>
      </c>
      <c r="C934" t="s">
        <v>1845</v>
      </c>
      <c r="D934" t="s">
        <v>1878</v>
      </c>
      <c r="E934" t="s">
        <v>1884</v>
      </c>
      <c r="F934" t="s">
        <v>598</v>
      </c>
      <c r="G934" t="s">
        <v>599</v>
      </c>
      <c r="H934" t="s">
        <v>600</v>
      </c>
      <c r="I934" t="s">
        <v>601</v>
      </c>
      <c r="J934">
        <v>6.1999999999999998E-3</v>
      </c>
      <c r="K934">
        <v>6.4000000000000003E-3</v>
      </c>
      <c r="L934">
        <v>6.4999999999999997E-3</v>
      </c>
      <c r="M934">
        <v>6.6E-3</v>
      </c>
      <c r="N934">
        <v>6.7000000000000002E-3</v>
      </c>
      <c r="O934">
        <v>6.7999999999999996E-3</v>
      </c>
      <c r="P934">
        <v>7.0000000000000001E-3</v>
      </c>
      <c r="Q934">
        <v>7.1000000000000004E-3</v>
      </c>
      <c r="R934">
        <v>7.1000000000000004E-3</v>
      </c>
      <c r="S934">
        <v>7.3000000000000001E-3</v>
      </c>
      <c r="T934">
        <v>7.4000000000000003E-3</v>
      </c>
      <c r="U934">
        <v>7.4000000000000003E-3</v>
      </c>
      <c r="V934">
        <v>7.6E-3</v>
      </c>
      <c r="W934">
        <v>7.7000000000000002E-3</v>
      </c>
      <c r="X934">
        <v>7.7000000000000002E-3</v>
      </c>
      <c r="Y934">
        <v>7.9000000000000008E-3</v>
      </c>
    </row>
    <row r="935" spans="1:25" hidden="1">
      <c r="A935" t="s">
        <v>270</v>
      </c>
      <c r="B935" t="s">
        <v>1885</v>
      </c>
      <c r="C935" t="s">
        <v>1845</v>
      </c>
      <c r="D935" t="s">
        <v>1878</v>
      </c>
      <c r="E935" t="s">
        <v>1886</v>
      </c>
      <c r="F935" t="s">
        <v>598</v>
      </c>
      <c r="G935" t="s">
        <v>599</v>
      </c>
      <c r="H935" t="s">
        <v>600</v>
      </c>
      <c r="I935" t="s">
        <v>601</v>
      </c>
      <c r="J935">
        <v>7.9899999999999999E-2</v>
      </c>
      <c r="K935">
        <v>8.1199999999999994E-2</v>
      </c>
      <c r="L935">
        <v>8.2600000000000007E-2</v>
      </c>
      <c r="M935">
        <v>8.3699999999999997E-2</v>
      </c>
      <c r="N935">
        <v>8.5000000000000006E-2</v>
      </c>
      <c r="O935">
        <v>8.6499999999999994E-2</v>
      </c>
      <c r="P935">
        <v>8.72E-2</v>
      </c>
      <c r="Q935">
        <v>8.8400000000000006E-2</v>
      </c>
      <c r="R935">
        <v>8.9499999999999996E-2</v>
      </c>
      <c r="S935">
        <v>9.0300000000000005E-2</v>
      </c>
      <c r="T935">
        <v>9.1499999999999998E-2</v>
      </c>
      <c r="U935">
        <v>9.2600000000000002E-2</v>
      </c>
      <c r="V935">
        <v>9.3899999999999997E-2</v>
      </c>
      <c r="W935">
        <v>9.5299999999999996E-2</v>
      </c>
      <c r="X935">
        <v>9.64E-2</v>
      </c>
      <c r="Y935">
        <v>9.7699999999999995E-2</v>
      </c>
    </row>
    <row r="936" spans="1:25" hidden="1">
      <c r="A936" t="s">
        <v>270</v>
      </c>
      <c r="B936" t="s">
        <v>1887</v>
      </c>
      <c r="C936" t="s">
        <v>1845</v>
      </c>
      <c r="D936" t="s">
        <v>1878</v>
      </c>
      <c r="E936" t="s">
        <v>1888</v>
      </c>
      <c r="F936" t="s">
        <v>598</v>
      </c>
      <c r="G936" t="s">
        <v>599</v>
      </c>
      <c r="H936" t="s">
        <v>600</v>
      </c>
      <c r="I936" t="s">
        <v>601</v>
      </c>
      <c r="J936">
        <v>4.4999999999999997E-3</v>
      </c>
      <c r="K936">
        <v>4.7999999999999996E-3</v>
      </c>
      <c r="L936">
        <v>4.8999999999999998E-3</v>
      </c>
      <c r="M936">
        <v>5.0000000000000001E-3</v>
      </c>
      <c r="N936">
        <v>5.1999999999999998E-3</v>
      </c>
      <c r="O936">
        <v>5.3E-3</v>
      </c>
      <c r="P936">
        <v>5.4000000000000003E-3</v>
      </c>
      <c r="Q936">
        <v>5.4999999999999997E-3</v>
      </c>
      <c r="R936">
        <v>5.5999999999999999E-3</v>
      </c>
      <c r="S936">
        <v>5.7000000000000002E-3</v>
      </c>
      <c r="T936">
        <v>5.7999999999999996E-3</v>
      </c>
      <c r="U936">
        <v>5.7999999999999996E-3</v>
      </c>
      <c r="V936">
        <v>5.8999999999999999E-3</v>
      </c>
      <c r="W936">
        <v>6.0000000000000001E-3</v>
      </c>
      <c r="X936">
        <v>6.1000000000000004E-3</v>
      </c>
      <c r="Y936">
        <v>6.3E-3</v>
      </c>
    </row>
    <row r="937" spans="1:25" hidden="1">
      <c r="A937" t="s">
        <v>270</v>
      </c>
      <c r="B937" t="s">
        <v>1889</v>
      </c>
      <c r="C937" t="s">
        <v>1845</v>
      </c>
      <c r="D937" t="s">
        <v>1878</v>
      </c>
      <c r="E937" t="s">
        <v>1890</v>
      </c>
      <c r="F937" t="s">
        <v>598</v>
      </c>
      <c r="G937" t="s">
        <v>599</v>
      </c>
      <c r="H937" t="s">
        <v>600</v>
      </c>
      <c r="I937" t="s">
        <v>601</v>
      </c>
      <c r="J937">
        <v>7.1000000000000004E-3</v>
      </c>
      <c r="K937">
        <v>7.3000000000000001E-3</v>
      </c>
      <c r="L937">
        <v>7.4999999999999997E-3</v>
      </c>
      <c r="M937">
        <v>7.7000000000000002E-3</v>
      </c>
      <c r="N937">
        <v>7.9000000000000008E-3</v>
      </c>
      <c r="O937">
        <v>8.0000000000000002E-3</v>
      </c>
      <c r="P937">
        <v>8.0999999999999996E-3</v>
      </c>
      <c r="Q937">
        <v>8.3000000000000001E-3</v>
      </c>
      <c r="R937">
        <v>8.3999999999999995E-3</v>
      </c>
      <c r="S937">
        <v>8.5000000000000006E-3</v>
      </c>
      <c r="T937">
        <v>8.6E-3</v>
      </c>
      <c r="U937">
        <v>8.8000000000000005E-3</v>
      </c>
      <c r="V937">
        <v>8.9999999999999993E-3</v>
      </c>
      <c r="W937">
        <v>9.1000000000000004E-3</v>
      </c>
      <c r="X937">
        <v>9.1999999999999998E-3</v>
      </c>
      <c r="Y937">
        <v>9.2999999999999992E-3</v>
      </c>
    </row>
    <row r="938" spans="1:25" hidden="1">
      <c r="A938" t="s">
        <v>270</v>
      </c>
      <c r="B938" t="s">
        <v>1891</v>
      </c>
      <c r="C938" t="s">
        <v>1845</v>
      </c>
      <c r="D938" t="s">
        <v>1878</v>
      </c>
      <c r="E938" t="s">
        <v>1892</v>
      </c>
      <c r="F938" t="s">
        <v>598</v>
      </c>
      <c r="G938" t="s">
        <v>599</v>
      </c>
      <c r="H938" t="s">
        <v>600</v>
      </c>
      <c r="I938" t="s">
        <v>601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270</v>
      </c>
      <c r="B939" t="s">
        <v>1893</v>
      </c>
      <c r="C939" t="s">
        <v>1845</v>
      </c>
      <c r="D939" t="s">
        <v>1878</v>
      </c>
      <c r="E939" t="s">
        <v>1894</v>
      </c>
      <c r="F939" t="s">
        <v>598</v>
      </c>
      <c r="G939" t="s">
        <v>599</v>
      </c>
      <c r="H939" t="s">
        <v>600</v>
      </c>
      <c r="I939" t="s">
        <v>601</v>
      </c>
      <c r="J939">
        <v>5.3E-3</v>
      </c>
      <c r="K939">
        <v>5.3E-3</v>
      </c>
      <c r="L939">
        <v>5.4000000000000003E-3</v>
      </c>
      <c r="M939">
        <v>5.4999999999999997E-3</v>
      </c>
      <c r="N939">
        <v>5.4999999999999997E-3</v>
      </c>
      <c r="O939">
        <v>5.7000000000000002E-3</v>
      </c>
      <c r="P939">
        <v>5.7000000000000002E-3</v>
      </c>
      <c r="Q939">
        <v>5.7999999999999996E-3</v>
      </c>
      <c r="R939">
        <v>5.7999999999999996E-3</v>
      </c>
      <c r="S939">
        <v>5.8999999999999999E-3</v>
      </c>
      <c r="T939">
        <v>5.8999999999999999E-3</v>
      </c>
      <c r="U939">
        <v>6.1000000000000004E-3</v>
      </c>
      <c r="V939">
        <v>6.1000000000000004E-3</v>
      </c>
      <c r="W939">
        <v>6.1999999999999998E-3</v>
      </c>
      <c r="X939">
        <v>6.1999999999999998E-3</v>
      </c>
      <c r="Y939">
        <v>6.4000000000000003E-3</v>
      </c>
    </row>
    <row r="940" spans="1:25" hidden="1">
      <c r="A940" t="s">
        <v>270</v>
      </c>
      <c r="B940" t="s">
        <v>1895</v>
      </c>
      <c r="C940" t="s">
        <v>1845</v>
      </c>
      <c r="D940" t="s">
        <v>1878</v>
      </c>
      <c r="E940" t="s">
        <v>1896</v>
      </c>
      <c r="F940" t="s">
        <v>598</v>
      </c>
      <c r="G940" t="s">
        <v>599</v>
      </c>
      <c r="H940" t="s">
        <v>600</v>
      </c>
      <c r="I940" t="s">
        <v>601</v>
      </c>
      <c r="J940">
        <v>1.6000000000000001E-3</v>
      </c>
      <c r="K940">
        <v>1.6000000000000001E-3</v>
      </c>
      <c r="L940">
        <v>1.6000000000000001E-3</v>
      </c>
      <c r="M940">
        <v>1.6000000000000001E-3</v>
      </c>
      <c r="N940">
        <v>1.6000000000000001E-3</v>
      </c>
      <c r="O940">
        <v>1.6000000000000001E-3</v>
      </c>
      <c r="P940">
        <v>1.6000000000000001E-3</v>
      </c>
      <c r="Q940">
        <v>1.6999999999999999E-3</v>
      </c>
      <c r="R940">
        <v>1.6999999999999999E-3</v>
      </c>
      <c r="S940">
        <v>1.6999999999999999E-3</v>
      </c>
      <c r="T940">
        <v>1.6999999999999999E-3</v>
      </c>
      <c r="U940">
        <v>1.8E-3</v>
      </c>
      <c r="V940">
        <v>1.8E-3</v>
      </c>
      <c r="W940">
        <v>1.8E-3</v>
      </c>
      <c r="X940">
        <v>1.8E-3</v>
      </c>
      <c r="Y940">
        <v>1.9E-3</v>
      </c>
    </row>
    <row r="941" spans="1:25" hidden="1">
      <c r="A941" t="s">
        <v>270</v>
      </c>
      <c r="B941" t="s">
        <v>1897</v>
      </c>
      <c r="C941" t="s">
        <v>1845</v>
      </c>
      <c r="D941" t="s">
        <v>1878</v>
      </c>
      <c r="E941" t="s">
        <v>1898</v>
      </c>
      <c r="F941" t="s">
        <v>598</v>
      </c>
      <c r="G941" t="s">
        <v>599</v>
      </c>
      <c r="H941" t="s">
        <v>600</v>
      </c>
      <c r="I941" t="s">
        <v>601</v>
      </c>
      <c r="J941">
        <v>0.11</v>
      </c>
      <c r="K941">
        <v>0.1119</v>
      </c>
      <c r="L941">
        <v>0.11360000000000001</v>
      </c>
      <c r="M941">
        <v>0.11509999999999999</v>
      </c>
      <c r="N941">
        <v>0.1171</v>
      </c>
      <c r="O941">
        <v>0.11899999999999999</v>
      </c>
      <c r="P941">
        <v>0.1205</v>
      </c>
      <c r="Q941">
        <v>0.122</v>
      </c>
      <c r="R941">
        <v>0.1237</v>
      </c>
      <c r="S941">
        <v>0.12540000000000001</v>
      </c>
      <c r="T941">
        <v>0.12670000000000001</v>
      </c>
      <c r="U941">
        <v>0.12809999999999999</v>
      </c>
      <c r="V941">
        <v>0.12970000000000001</v>
      </c>
      <c r="W941">
        <v>0.13159999999999999</v>
      </c>
      <c r="X941">
        <v>0.13339999999999999</v>
      </c>
      <c r="Y941">
        <v>0.13519999999999999</v>
      </c>
    </row>
    <row r="942" spans="1:25" hidden="1">
      <c r="A942" t="s">
        <v>270</v>
      </c>
      <c r="B942" t="s">
        <v>1899</v>
      </c>
      <c r="C942" t="s">
        <v>1845</v>
      </c>
      <c r="D942" t="s">
        <v>1878</v>
      </c>
      <c r="E942" t="s">
        <v>1900</v>
      </c>
      <c r="F942" t="s">
        <v>598</v>
      </c>
      <c r="G942" t="s">
        <v>599</v>
      </c>
      <c r="H942" t="s">
        <v>600</v>
      </c>
      <c r="I942" t="s">
        <v>601</v>
      </c>
      <c r="J942">
        <v>5.3E-3</v>
      </c>
      <c r="K942">
        <v>5.4000000000000003E-3</v>
      </c>
      <c r="L942">
        <v>5.4000000000000003E-3</v>
      </c>
      <c r="M942">
        <v>5.5999999999999999E-3</v>
      </c>
      <c r="N942">
        <v>5.7999999999999996E-3</v>
      </c>
      <c r="O942">
        <v>5.7999999999999996E-3</v>
      </c>
      <c r="P942">
        <v>5.8999999999999999E-3</v>
      </c>
      <c r="Q942">
        <v>6.0000000000000001E-3</v>
      </c>
      <c r="R942">
        <v>6.1000000000000004E-3</v>
      </c>
      <c r="S942">
        <v>6.1000000000000004E-3</v>
      </c>
      <c r="T942">
        <v>6.1999999999999998E-3</v>
      </c>
      <c r="U942">
        <v>6.1999999999999998E-3</v>
      </c>
      <c r="V942">
        <v>6.4000000000000003E-3</v>
      </c>
      <c r="W942">
        <v>6.4999999999999997E-3</v>
      </c>
      <c r="X942">
        <v>6.6E-3</v>
      </c>
      <c r="Y942">
        <v>6.7000000000000002E-3</v>
      </c>
    </row>
    <row r="943" spans="1:25" hidden="1">
      <c r="A943" t="s">
        <v>270</v>
      </c>
      <c r="B943" t="s">
        <v>1901</v>
      </c>
      <c r="C943" t="s">
        <v>1845</v>
      </c>
      <c r="D943" t="s">
        <v>1878</v>
      </c>
      <c r="E943" t="s">
        <v>1902</v>
      </c>
      <c r="F943" t="s">
        <v>598</v>
      </c>
      <c r="G943" t="s">
        <v>599</v>
      </c>
      <c r="H943" t="s">
        <v>600</v>
      </c>
      <c r="I943" t="s">
        <v>601</v>
      </c>
      <c r="J943">
        <v>1.2800000000000001E-2</v>
      </c>
      <c r="K943">
        <v>1.3100000000000001E-2</v>
      </c>
      <c r="L943">
        <v>1.3299999999999999E-2</v>
      </c>
      <c r="M943">
        <v>1.35E-2</v>
      </c>
      <c r="N943">
        <v>1.38E-2</v>
      </c>
      <c r="O943">
        <v>1.4E-2</v>
      </c>
      <c r="P943">
        <v>1.43E-2</v>
      </c>
      <c r="Q943">
        <v>1.44E-2</v>
      </c>
      <c r="R943">
        <v>1.46E-2</v>
      </c>
      <c r="S943">
        <v>1.49E-2</v>
      </c>
      <c r="T943">
        <v>1.4999999999999999E-2</v>
      </c>
      <c r="U943">
        <v>1.52E-2</v>
      </c>
      <c r="V943">
        <v>1.55E-2</v>
      </c>
      <c r="W943">
        <v>1.5599999999999999E-2</v>
      </c>
      <c r="X943">
        <v>1.5900000000000001E-2</v>
      </c>
      <c r="Y943">
        <v>1.61E-2</v>
      </c>
    </row>
    <row r="944" spans="1:25" hidden="1">
      <c r="A944" t="s">
        <v>270</v>
      </c>
      <c r="B944" t="s">
        <v>1903</v>
      </c>
      <c r="C944" t="s">
        <v>1845</v>
      </c>
      <c r="D944" t="s">
        <v>1878</v>
      </c>
      <c r="E944" t="s">
        <v>1904</v>
      </c>
      <c r="F944" t="s">
        <v>598</v>
      </c>
      <c r="G944" t="s">
        <v>599</v>
      </c>
      <c r="H944" t="s">
        <v>600</v>
      </c>
      <c r="I944" t="s">
        <v>601</v>
      </c>
      <c r="J944">
        <v>3.0000000000000001E-3</v>
      </c>
      <c r="K944">
        <v>3.0000000000000001E-3</v>
      </c>
      <c r="L944">
        <v>3.0999999999999999E-3</v>
      </c>
      <c r="M944">
        <v>3.0999999999999999E-3</v>
      </c>
      <c r="N944">
        <v>3.2000000000000002E-3</v>
      </c>
      <c r="O944">
        <v>3.2000000000000002E-3</v>
      </c>
      <c r="P944">
        <v>3.3E-3</v>
      </c>
      <c r="Q944">
        <v>3.3E-3</v>
      </c>
      <c r="R944">
        <v>3.3E-3</v>
      </c>
      <c r="S944">
        <v>3.3999999999999998E-3</v>
      </c>
      <c r="T944">
        <v>3.3999999999999998E-3</v>
      </c>
      <c r="U944">
        <v>3.5000000000000001E-3</v>
      </c>
      <c r="V944">
        <v>3.5000000000000001E-3</v>
      </c>
      <c r="W944">
        <v>3.5999999999999999E-3</v>
      </c>
      <c r="X944">
        <v>3.5999999999999999E-3</v>
      </c>
      <c r="Y944">
        <v>3.7000000000000002E-3</v>
      </c>
    </row>
    <row r="945" spans="1:25" hidden="1">
      <c r="A945" t="s">
        <v>270</v>
      </c>
      <c r="B945" t="s">
        <v>1905</v>
      </c>
      <c r="C945" t="s">
        <v>1845</v>
      </c>
      <c r="D945" t="s">
        <v>1878</v>
      </c>
      <c r="E945" t="s">
        <v>1906</v>
      </c>
      <c r="F945" t="s">
        <v>598</v>
      </c>
      <c r="G945" t="s">
        <v>599</v>
      </c>
      <c r="H945" t="s">
        <v>600</v>
      </c>
      <c r="I945" t="s">
        <v>601</v>
      </c>
      <c r="J945">
        <v>4.0000000000000002E-4</v>
      </c>
      <c r="K945">
        <v>4.0000000000000002E-4</v>
      </c>
      <c r="L945">
        <v>4.0000000000000002E-4</v>
      </c>
      <c r="M945">
        <v>4.0000000000000002E-4</v>
      </c>
      <c r="N945">
        <v>4.0000000000000002E-4</v>
      </c>
      <c r="O945">
        <v>4.0000000000000002E-4</v>
      </c>
      <c r="P945">
        <v>4.0000000000000002E-4</v>
      </c>
      <c r="Q945">
        <v>4.0000000000000002E-4</v>
      </c>
      <c r="R945">
        <v>4.0000000000000002E-4</v>
      </c>
      <c r="S945">
        <v>4.0000000000000002E-4</v>
      </c>
      <c r="T945">
        <v>4.0000000000000002E-4</v>
      </c>
      <c r="U945">
        <v>4.0000000000000002E-4</v>
      </c>
      <c r="V945">
        <v>4.0000000000000002E-4</v>
      </c>
      <c r="W945">
        <v>4.0000000000000002E-4</v>
      </c>
      <c r="X945">
        <v>4.0000000000000002E-4</v>
      </c>
      <c r="Y945">
        <v>4.0000000000000002E-4</v>
      </c>
    </row>
    <row r="946" spans="1:25" hidden="1">
      <c r="A946" t="s">
        <v>270</v>
      </c>
      <c r="B946" t="s">
        <v>1907</v>
      </c>
      <c r="C946" t="s">
        <v>1845</v>
      </c>
      <c r="D946" t="s">
        <v>1878</v>
      </c>
      <c r="E946" t="s">
        <v>1908</v>
      </c>
      <c r="F946" t="s">
        <v>598</v>
      </c>
      <c r="G946" t="s">
        <v>599</v>
      </c>
      <c r="H946" t="s">
        <v>600</v>
      </c>
      <c r="I946" t="s">
        <v>601</v>
      </c>
      <c r="J946">
        <v>5.8999999999999999E-3</v>
      </c>
      <c r="K946">
        <v>5.8999999999999999E-3</v>
      </c>
      <c r="L946">
        <v>6.0000000000000001E-3</v>
      </c>
      <c r="M946">
        <v>6.1000000000000004E-3</v>
      </c>
      <c r="N946">
        <v>6.3E-3</v>
      </c>
      <c r="O946">
        <v>6.3E-3</v>
      </c>
      <c r="P946">
        <v>6.4000000000000003E-3</v>
      </c>
      <c r="Q946">
        <v>6.4999999999999997E-3</v>
      </c>
      <c r="R946">
        <v>6.6E-3</v>
      </c>
      <c r="S946">
        <v>6.7000000000000002E-3</v>
      </c>
      <c r="T946">
        <v>6.7000000000000002E-3</v>
      </c>
      <c r="U946">
        <v>6.8999999999999999E-3</v>
      </c>
      <c r="V946">
        <v>7.0000000000000001E-3</v>
      </c>
      <c r="W946">
        <v>7.1000000000000004E-3</v>
      </c>
      <c r="X946">
        <v>7.1999999999999998E-3</v>
      </c>
      <c r="Y946">
        <v>7.3000000000000001E-3</v>
      </c>
    </row>
    <row r="947" spans="1:25" hidden="1">
      <c r="A947" t="s">
        <v>270</v>
      </c>
      <c r="B947" t="s">
        <v>1909</v>
      </c>
      <c r="C947" t="s">
        <v>1845</v>
      </c>
      <c r="D947" t="s">
        <v>1878</v>
      </c>
      <c r="E947" t="s">
        <v>1910</v>
      </c>
      <c r="F947" t="s">
        <v>598</v>
      </c>
      <c r="G947" t="s">
        <v>599</v>
      </c>
      <c r="H947" t="s">
        <v>600</v>
      </c>
      <c r="I947" t="s">
        <v>601</v>
      </c>
      <c r="J947">
        <v>3.7000000000000002E-3</v>
      </c>
      <c r="K947">
        <v>3.7000000000000002E-3</v>
      </c>
      <c r="L947">
        <v>3.8999999999999998E-3</v>
      </c>
      <c r="M947">
        <v>3.8999999999999998E-3</v>
      </c>
      <c r="N947">
        <v>4.0000000000000001E-3</v>
      </c>
      <c r="O947">
        <v>4.0000000000000001E-3</v>
      </c>
      <c r="P947">
        <v>4.1000000000000003E-3</v>
      </c>
      <c r="Q947">
        <v>4.1000000000000003E-3</v>
      </c>
      <c r="R947">
        <v>4.3E-3</v>
      </c>
      <c r="S947">
        <v>4.3E-3</v>
      </c>
      <c r="T947">
        <v>4.3E-3</v>
      </c>
      <c r="U947">
        <v>4.4000000000000003E-3</v>
      </c>
      <c r="V947">
        <v>4.4000000000000003E-3</v>
      </c>
      <c r="W947">
        <v>4.4999999999999997E-3</v>
      </c>
      <c r="X947">
        <v>4.5999999999999999E-3</v>
      </c>
      <c r="Y947">
        <v>4.7000000000000002E-3</v>
      </c>
    </row>
    <row r="948" spans="1:25" hidden="1">
      <c r="A948" t="s">
        <v>270</v>
      </c>
      <c r="B948" t="s">
        <v>1911</v>
      </c>
      <c r="C948" t="s">
        <v>1845</v>
      </c>
      <c r="D948" t="s">
        <v>1878</v>
      </c>
      <c r="E948" t="s">
        <v>1912</v>
      </c>
      <c r="F948" t="s">
        <v>598</v>
      </c>
      <c r="G948" t="s">
        <v>599</v>
      </c>
      <c r="H948" t="s">
        <v>600</v>
      </c>
      <c r="I948" t="s">
        <v>601</v>
      </c>
      <c r="J948">
        <v>2.2000000000000001E-3</v>
      </c>
      <c r="K948">
        <v>2.2000000000000001E-3</v>
      </c>
      <c r="L948">
        <v>2.3999999999999998E-3</v>
      </c>
      <c r="M948">
        <v>2.3999999999999998E-3</v>
      </c>
      <c r="N948">
        <v>2.5000000000000001E-3</v>
      </c>
      <c r="O948">
        <v>2.5000000000000001E-3</v>
      </c>
      <c r="P948">
        <v>2.5999999999999999E-3</v>
      </c>
      <c r="Q948">
        <v>2.5999999999999999E-3</v>
      </c>
      <c r="R948">
        <v>2.5999999999999999E-3</v>
      </c>
      <c r="S948">
        <v>2.7000000000000001E-3</v>
      </c>
      <c r="T948">
        <v>2.7000000000000001E-3</v>
      </c>
      <c r="U948">
        <v>2.7000000000000001E-3</v>
      </c>
      <c r="V948">
        <v>2.8E-3</v>
      </c>
      <c r="W948">
        <v>2.8E-3</v>
      </c>
      <c r="X948">
        <v>2.8E-3</v>
      </c>
      <c r="Y948">
        <v>2.8999999999999998E-3</v>
      </c>
    </row>
    <row r="949" spans="1:25" hidden="1">
      <c r="A949" t="s">
        <v>270</v>
      </c>
      <c r="B949" t="s">
        <v>1913</v>
      </c>
      <c r="C949" t="s">
        <v>1845</v>
      </c>
      <c r="D949" t="s">
        <v>1878</v>
      </c>
      <c r="E949" t="s">
        <v>1914</v>
      </c>
      <c r="F949" t="s">
        <v>598</v>
      </c>
      <c r="G949" t="s">
        <v>599</v>
      </c>
      <c r="H949" t="s">
        <v>600</v>
      </c>
      <c r="I949" t="s">
        <v>601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</row>
    <row r="950" spans="1:25" hidden="1">
      <c r="A950" t="s">
        <v>270</v>
      </c>
      <c r="B950" t="s">
        <v>1915</v>
      </c>
      <c r="C950" t="s">
        <v>1845</v>
      </c>
      <c r="D950" t="s">
        <v>1878</v>
      </c>
      <c r="E950" t="s">
        <v>1846</v>
      </c>
      <c r="F950" t="s">
        <v>598</v>
      </c>
      <c r="G950" t="s">
        <v>599</v>
      </c>
      <c r="H950" t="s">
        <v>600</v>
      </c>
      <c r="I950" t="s">
        <v>601</v>
      </c>
      <c r="J950">
        <v>3.0999999999999999E-3</v>
      </c>
      <c r="K950">
        <v>3.0999999999999999E-3</v>
      </c>
      <c r="L950">
        <v>3.2000000000000002E-3</v>
      </c>
      <c r="M950">
        <v>3.2000000000000002E-3</v>
      </c>
      <c r="N950">
        <v>3.3E-3</v>
      </c>
      <c r="O950">
        <v>3.3E-3</v>
      </c>
      <c r="P950">
        <v>3.3E-3</v>
      </c>
      <c r="Q950">
        <v>3.5000000000000001E-3</v>
      </c>
      <c r="R950">
        <v>3.5000000000000001E-3</v>
      </c>
      <c r="S950">
        <v>3.5000000000000001E-3</v>
      </c>
      <c r="T950">
        <v>3.5999999999999999E-3</v>
      </c>
      <c r="U950">
        <v>3.5999999999999999E-3</v>
      </c>
      <c r="V950">
        <v>3.7000000000000002E-3</v>
      </c>
      <c r="W950">
        <v>3.7000000000000002E-3</v>
      </c>
      <c r="X950">
        <v>3.7000000000000002E-3</v>
      </c>
      <c r="Y950">
        <v>3.8E-3</v>
      </c>
    </row>
    <row r="951" spans="1:25" hidden="1">
      <c r="A951" t="s">
        <v>270</v>
      </c>
      <c r="B951" t="s">
        <v>1916</v>
      </c>
      <c r="C951" t="s">
        <v>1845</v>
      </c>
      <c r="D951" t="s">
        <v>1878</v>
      </c>
      <c r="E951" t="s">
        <v>1869</v>
      </c>
      <c r="F951" t="s">
        <v>598</v>
      </c>
      <c r="G951" t="s">
        <v>599</v>
      </c>
      <c r="H951" t="s">
        <v>600</v>
      </c>
      <c r="I951" t="s">
        <v>601</v>
      </c>
      <c r="J951">
        <v>1.8E-3</v>
      </c>
      <c r="K951">
        <v>1.8E-3</v>
      </c>
      <c r="L951">
        <v>1.9E-3</v>
      </c>
      <c r="M951">
        <v>1.9E-3</v>
      </c>
      <c r="N951">
        <v>2E-3</v>
      </c>
      <c r="O951">
        <v>2E-3</v>
      </c>
      <c r="P951">
        <v>2E-3</v>
      </c>
      <c r="Q951">
        <v>2.0999999999999999E-3</v>
      </c>
      <c r="R951">
        <v>2.0999999999999999E-3</v>
      </c>
      <c r="S951">
        <v>2.0999999999999999E-3</v>
      </c>
      <c r="T951">
        <v>2.2000000000000001E-3</v>
      </c>
      <c r="U951">
        <v>2.2000000000000001E-3</v>
      </c>
      <c r="V951">
        <v>2.2000000000000001E-3</v>
      </c>
      <c r="W951">
        <v>2.2000000000000001E-3</v>
      </c>
      <c r="X951">
        <v>2.2000000000000001E-3</v>
      </c>
      <c r="Y951">
        <v>2.2000000000000001E-3</v>
      </c>
    </row>
    <row r="952" spans="1:25" hidden="1">
      <c r="A952" t="s">
        <v>270</v>
      </c>
      <c r="B952" t="s">
        <v>1917</v>
      </c>
      <c r="C952" t="s">
        <v>1845</v>
      </c>
      <c r="D952" t="s">
        <v>1918</v>
      </c>
      <c r="E952" t="s">
        <v>1872</v>
      </c>
      <c r="F952" t="s">
        <v>598</v>
      </c>
      <c r="G952" t="s">
        <v>599</v>
      </c>
      <c r="H952" t="s">
        <v>600</v>
      </c>
      <c r="I952" t="s">
        <v>601</v>
      </c>
      <c r="J952">
        <v>1.3826000000000001</v>
      </c>
      <c r="K952">
        <v>1.4111</v>
      </c>
      <c r="L952">
        <v>1.4396</v>
      </c>
      <c r="M952">
        <v>1.4684999999999999</v>
      </c>
      <c r="N952">
        <v>1.4982</v>
      </c>
      <c r="O952">
        <v>1.5222</v>
      </c>
      <c r="P952">
        <v>1.5457000000000001</v>
      </c>
      <c r="Q952">
        <v>1.5674999999999999</v>
      </c>
      <c r="R952">
        <v>1.5896999999999999</v>
      </c>
      <c r="S952">
        <v>1.6115999999999999</v>
      </c>
      <c r="T952">
        <v>1.6331</v>
      </c>
      <c r="U952">
        <v>1.6555</v>
      </c>
      <c r="V952">
        <v>1.6786000000000001</v>
      </c>
      <c r="W952">
        <v>1.7022999999999999</v>
      </c>
      <c r="X952">
        <v>1.7272000000000001</v>
      </c>
      <c r="Y952">
        <v>1.7526999999999999</v>
      </c>
    </row>
    <row r="953" spans="1:25" hidden="1">
      <c r="A953" t="s">
        <v>270</v>
      </c>
      <c r="B953" t="s">
        <v>1919</v>
      </c>
      <c r="C953" t="s">
        <v>1845</v>
      </c>
      <c r="D953" t="s">
        <v>1918</v>
      </c>
      <c r="E953" t="s">
        <v>1920</v>
      </c>
      <c r="F953" t="s">
        <v>598</v>
      </c>
      <c r="G953" t="s">
        <v>599</v>
      </c>
      <c r="H953" t="s">
        <v>600</v>
      </c>
      <c r="I953" t="s">
        <v>601</v>
      </c>
      <c r="J953">
        <v>1.4E-3</v>
      </c>
      <c r="K953">
        <v>1.4E-3</v>
      </c>
      <c r="L953">
        <v>1.4E-3</v>
      </c>
      <c r="M953">
        <v>1.4E-3</v>
      </c>
      <c r="N953">
        <v>1.5E-3</v>
      </c>
      <c r="O953">
        <v>1.5E-3</v>
      </c>
      <c r="P953">
        <v>1.5E-3</v>
      </c>
      <c r="Q953">
        <v>1.5E-3</v>
      </c>
      <c r="R953">
        <v>1.5E-3</v>
      </c>
      <c r="S953">
        <v>1.5E-3</v>
      </c>
      <c r="T953">
        <v>1.5E-3</v>
      </c>
      <c r="U953">
        <v>1.6000000000000001E-3</v>
      </c>
      <c r="V953">
        <v>1.6000000000000001E-3</v>
      </c>
      <c r="W953">
        <v>1.6000000000000001E-3</v>
      </c>
      <c r="X953">
        <v>1.6999999999999999E-3</v>
      </c>
      <c r="Y953">
        <v>1.6999999999999999E-3</v>
      </c>
    </row>
    <row r="954" spans="1:25" hidden="1">
      <c r="A954" t="s">
        <v>270</v>
      </c>
      <c r="B954" t="s">
        <v>1921</v>
      </c>
      <c r="C954" t="s">
        <v>1845</v>
      </c>
      <c r="D954" t="s">
        <v>1918</v>
      </c>
      <c r="E954" t="s">
        <v>1880</v>
      </c>
      <c r="F954" t="s">
        <v>598</v>
      </c>
      <c r="G954" t="s">
        <v>599</v>
      </c>
      <c r="H954" t="s">
        <v>600</v>
      </c>
      <c r="I954" t="s">
        <v>601</v>
      </c>
      <c r="J954">
        <v>5.9999999999999995E-4</v>
      </c>
      <c r="K954">
        <v>5.9999999999999995E-4</v>
      </c>
      <c r="L954">
        <v>6.9999999999999999E-4</v>
      </c>
      <c r="M954">
        <v>6.9999999999999999E-4</v>
      </c>
      <c r="N954">
        <v>6.9999999999999999E-4</v>
      </c>
      <c r="O954">
        <v>6.9999999999999999E-4</v>
      </c>
      <c r="P954">
        <v>6.9999999999999999E-4</v>
      </c>
      <c r="Q954">
        <v>6.9999999999999999E-4</v>
      </c>
      <c r="R954">
        <v>6.9999999999999999E-4</v>
      </c>
      <c r="S954">
        <v>6.9999999999999999E-4</v>
      </c>
      <c r="T954">
        <v>6.9999999999999999E-4</v>
      </c>
      <c r="U954">
        <v>8.0000000000000004E-4</v>
      </c>
      <c r="V954">
        <v>8.0000000000000004E-4</v>
      </c>
      <c r="W954">
        <v>8.0000000000000004E-4</v>
      </c>
      <c r="X954">
        <v>8.0000000000000004E-4</v>
      </c>
      <c r="Y954">
        <v>8.0000000000000004E-4</v>
      </c>
    </row>
    <row r="955" spans="1:25" hidden="1">
      <c r="A955" t="s">
        <v>270</v>
      </c>
      <c r="B955" t="s">
        <v>1922</v>
      </c>
      <c r="C955" t="s">
        <v>1845</v>
      </c>
      <c r="D955" t="s">
        <v>1918</v>
      </c>
      <c r="E955" t="s">
        <v>1923</v>
      </c>
      <c r="F955" t="s">
        <v>598</v>
      </c>
      <c r="G955" t="s">
        <v>599</v>
      </c>
      <c r="H955" t="s">
        <v>600</v>
      </c>
      <c r="I955" t="s">
        <v>601</v>
      </c>
      <c r="J955">
        <v>5.0000000000000001E-4</v>
      </c>
      <c r="K955">
        <v>5.0000000000000001E-4</v>
      </c>
      <c r="L955">
        <v>5.0000000000000001E-4</v>
      </c>
      <c r="M955">
        <v>5.0000000000000001E-4</v>
      </c>
      <c r="N955">
        <v>5.0000000000000001E-4</v>
      </c>
      <c r="O955">
        <v>5.0000000000000001E-4</v>
      </c>
      <c r="P955">
        <v>5.0000000000000001E-4</v>
      </c>
      <c r="Q955">
        <v>5.0000000000000001E-4</v>
      </c>
      <c r="R955">
        <v>5.0000000000000001E-4</v>
      </c>
      <c r="S955">
        <v>5.0000000000000001E-4</v>
      </c>
      <c r="T955">
        <v>5.0000000000000001E-4</v>
      </c>
      <c r="U955">
        <v>5.0000000000000001E-4</v>
      </c>
      <c r="V955">
        <v>5.0000000000000001E-4</v>
      </c>
      <c r="W955">
        <v>5.0000000000000001E-4</v>
      </c>
      <c r="X955">
        <v>5.0000000000000001E-4</v>
      </c>
      <c r="Y955">
        <v>5.0000000000000001E-4</v>
      </c>
    </row>
    <row r="956" spans="1:25" hidden="1">
      <c r="A956" t="s">
        <v>270</v>
      </c>
      <c r="B956" t="s">
        <v>1924</v>
      </c>
      <c r="C956" t="s">
        <v>1845</v>
      </c>
      <c r="D956" t="s">
        <v>1918</v>
      </c>
      <c r="E956" t="s">
        <v>1865</v>
      </c>
      <c r="F956" t="s">
        <v>598</v>
      </c>
      <c r="G956" t="s">
        <v>599</v>
      </c>
      <c r="H956" t="s">
        <v>600</v>
      </c>
      <c r="I956" t="s">
        <v>601</v>
      </c>
      <c r="J956">
        <v>1.47E-2</v>
      </c>
      <c r="K956">
        <v>1.47E-2</v>
      </c>
      <c r="L956">
        <v>1.4800000000000001E-2</v>
      </c>
      <c r="M956">
        <v>1.4999999999999999E-2</v>
      </c>
      <c r="N956">
        <v>1.5100000000000001E-2</v>
      </c>
      <c r="O956">
        <v>1.52E-2</v>
      </c>
      <c r="P956">
        <v>1.54E-2</v>
      </c>
      <c r="Q956">
        <v>1.5599999999999999E-2</v>
      </c>
      <c r="R956">
        <v>1.5699999999999999E-2</v>
      </c>
      <c r="S956">
        <v>1.5699999999999999E-2</v>
      </c>
      <c r="T956">
        <v>1.5900000000000001E-2</v>
      </c>
      <c r="U956">
        <v>1.6E-2</v>
      </c>
      <c r="V956">
        <v>1.6E-2</v>
      </c>
      <c r="W956">
        <v>1.61E-2</v>
      </c>
      <c r="X956">
        <v>1.6199999999999999E-2</v>
      </c>
      <c r="Y956">
        <v>1.6199999999999999E-2</v>
      </c>
    </row>
    <row r="957" spans="1:25" hidden="1">
      <c r="A957" t="s">
        <v>270</v>
      </c>
      <c r="B957" t="s">
        <v>1925</v>
      </c>
      <c r="C957" t="s">
        <v>1845</v>
      </c>
      <c r="D957" t="s">
        <v>1918</v>
      </c>
      <c r="E957" t="s">
        <v>1888</v>
      </c>
      <c r="F957" t="s">
        <v>598</v>
      </c>
      <c r="G957" t="s">
        <v>599</v>
      </c>
      <c r="H957" t="s">
        <v>600</v>
      </c>
      <c r="I957" t="s">
        <v>601</v>
      </c>
      <c r="J957">
        <v>2.3E-3</v>
      </c>
      <c r="K957">
        <v>2.3E-3</v>
      </c>
      <c r="L957">
        <v>2.3999999999999998E-3</v>
      </c>
      <c r="M957">
        <v>2.5000000000000001E-3</v>
      </c>
      <c r="N957">
        <v>2.5999999999999999E-3</v>
      </c>
      <c r="O957">
        <v>2.5999999999999999E-3</v>
      </c>
      <c r="P957">
        <v>2.7000000000000001E-3</v>
      </c>
      <c r="Q957">
        <v>2.8E-3</v>
      </c>
      <c r="R957">
        <v>2.8999999999999998E-3</v>
      </c>
      <c r="S957">
        <v>2.8999999999999998E-3</v>
      </c>
      <c r="T957">
        <v>2.8999999999999998E-3</v>
      </c>
      <c r="U957">
        <v>3.0000000000000001E-3</v>
      </c>
      <c r="V957">
        <v>3.0000000000000001E-3</v>
      </c>
      <c r="W957">
        <v>3.0999999999999999E-3</v>
      </c>
      <c r="X957">
        <v>3.2000000000000002E-3</v>
      </c>
      <c r="Y957">
        <v>3.2000000000000002E-3</v>
      </c>
    </row>
    <row r="958" spans="1:25" hidden="1">
      <c r="A958" t="s">
        <v>270</v>
      </c>
      <c r="B958" t="s">
        <v>1926</v>
      </c>
      <c r="C958" t="s">
        <v>1845</v>
      </c>
      <c r="D958" t="s">
        <v>1918</v>
      </c>
      <c r="E958" t="s">
        <v>1890</v>
      </c>
      <c r="F958" t="s">
        <v>598</v>
      </c>
      <c r="G958" t="s">
        <v>599</v>
      </c>
      <c r="H958" t="s">
        <v>600</v>
      </c>
      <c r="I958" t="s">
        <v>601</v>
      </c>
      <c r="J958">
        <v>2.5999999999999999E-3</v>
      </c>
      <c r="K958">
        <v>2.5999999999999999E-3</v>
      </c>
      <c r="L958">
        <v>2.7000000000000001E-3</v>
      </c>
      <c r="M958">
        <v>2.7000000000000001E-3</v>
      </c>
      <c r="N958">
        <v>2.8E-3</v>
      </c>
      <c r="O958">
        <v>2.8E-3</v>
      </c>
      <c r="P958">
        <v>2.8999999999999998E-3</v>
      </c>
      <c r="Q958">
        <v>2.8999999999999998E-3</v>
      </c>
      <c r="R958">
        <v>2.8999999999999998E-3</v>
      </c>
      <c r="S958">
        <v>2.8999999999999998E-3</v>
      </c>
      <c r="T958">
        <v>2.8999999999999998E-3</v>
      </c>
      <c r="U958">
        <v>3.0999999999999999E-3</v>
      </c>
      <c r="V958">
        <v>3.0999999999999999E-3</v>
      </c>
      <c r="W958">
        <v>3.0999999999999999E-3</v>
      </c>
      <c r="X958">
        <v>3.0999999999999999E-3</v>
      </c>
      <c r="Y958">
        <v>3.3E-3</v>
      </c>
    </row>
    <row r="959" spans="1:25" hidden="1">
      <c r="A959" t="s">
        <v>270</v>
      </c>
      <c r="B959" t="s">
        <v>1927</v>
      </c>
      <c r="C959" t="s">
        <v>1845</v>
      </c>
      <c r="D959" t="s">
        <v>1918</v>
      </c>
      <c r="E959" t="s">
        <v>1892</v>
      </c>
      <c r="F959" t="s">
        <v>598</v>
      </c>
      <c r="G959" t="s">
        <v>599</v>
      </c>
      <c r="H959" t="s">
        <v>600</v>
      </c>
      <c r="I959" t="s">
        <v>601</v>
      </c>
      <c r="J959">
        <v>0.22720000000000001</v>
      </c>
      <c r="K959">
        <v>0.23100000000000001</v>
      </c>
      <c r="L959">
        <v>0.2349</v>
      </c>
      <c r="M959">
        <v>0.23880000000000001</v>
      </c>
      <c r="N959">
        <v>0.2432</v>
      </c>
      <c r="O959">
        <v>0.2467</v>
      </c>
      <c r="P959">
        <v>0.25040000000000001</v>
      </c>
      <c r="Q959">
        <v>0.25390000000000001</v>
      </c>
      <c r="R959">
        <v>0.2571</v>
      </c>
      <c r="S959">
        <v>0.26040000000000002</v>
      </c>
      <c r="T959">
        <v>0.2636</v>
      </c>
      <c r="U959">
        <v>0.26669999999999999</v>
      </c>
      <c r="V959">
        <v>0.27050000000000002</v>
      </c>
      <c r="W959">
        <v>0.27410000000000001</v>
      </c>
      <c r="X959">
        <v>0.27789999999999998</v>
      </c>
      <c r="Y959">
        <v>0.28199999999999997</v>
      </c>
    </row>
    <row r="960" spans="1:25" hidden="1">
      <c r="A960" t="s">
        <v>270</v>
      </c>
      <c r="B960" t="s">
        <v>1928</v>
      </c>
      <c r="C960" t="s">
        <v>1845</v>
      </c>
      <c r="D960" t="s">
        <v>1918</v>
      </c>
      <c r="E960" t="s">
        <v>1929</v>
      </c>
      <c r="F960" t="s">
        <v>598</v>
      </c>
      <c r="G960" t="s">
        <v>599</v>
      </c>
      <c r="H960" t="s">
        <v>600</v>
      </c>
      <c r="I960" t="s">
        <v>601</v>
      </c>
      <c r="J960">
        <v>8.0000000000000004E-4</v>
      </c>
      <c r="K960">
        <v>8.9999999999999998E-4</v>
      </c>
      <c r="L960">
        <v>8.9999999999999998E-4</v>
      </c>
      <c r="M960">
        <v>8.9999999999999998E-4</v>
      </c>
      <c r="N960">
        <v>8.9999999999999998E-4</v>
      </c>
      <c r="O960">
        <v>8.9999999999999998E-4</v>
      </c>
      <c r="P960">
        <v>8.9999999999999998E-4</v>
      </c>
      <c r="Q960">
        <v>8.9999999999999998E-4</v>
      </c>
      <c r="R960">
        <v>8.9999999999999998E-4</v>
      </c>
      <c r="S960">
        <v>1E-3</v>
      </c>
      <c r="T960">
        <v>1E-3</v>
      </c>
      <c r="U960">
        <v>1E-3</v>
      </c>
      <c r="V960">
        <v>1E-3</v>
      </c>
      <c r="W960">
        <v>1E-3</v>
      </c>
      <c r="X960">
        <v>1E-3</v>
      </c>
      <c r="Y960">
        <v>1.1000000000000001E-3</v>
      </c>
    </row>
    <row r="961" spans="1:25" hidden="1">
      <c r="A961" t="s">
        <v>270</v>
      </c>
      <c r="B961" t="s">
        <v>1930</v>
      </c>
      <c r="C961" t="s">
        <v>1845</v>
      </c>
      <c r="D961" t="s">
        <v>1918</v>
      </c>
      <c r="E961" t="s">
        <v>1894</v>
      </c>
      <c r="F961" t="s">
        <v>598</v>
      </c>
      <c r="G961" t="s">
        <v>599</v>
      </c>
      <c r="H961" t="s">
        <v>600</v>
      </c>
      <c r="I961" t="s">
        <v>601</v>
      </c>
      <c r="J961">
        <v>3.4500000000000003E-2</v>
      </c>
      <c r="K961">
        <v>3.5200000000000002E-2</v>
      </c>
      <c r="L961">
        <v>3.5900000000000001E-2</v>
      </c>
      <c r="M961">
        <v>3.6600000000000001E-2</v>
      </c>
      <c r="N961">
        <v>3.7499999999999999E-2</v>
      </c>
      <c r="O961">
        <v>3.7900000000000003E-2</v>
      </c>
      <c r="P961">
        <v>3.8600000000000002E-2</v>
      </c>
      <c r="Q961">
        <v>3.9199999999999999E-2</v>
      </c>
      <c r="R961">
        <v>3.9600000000000003E-2</v>
      </c>
      <c r="S961">
        <v>0.04</v>
      </c>
      <c r="T961">
        <v>4.1000000000000002E-2</v>
      </c>
      <c r="U961">
        <v>4.1599999999999998E-2</v>
      </c>
      <c r="V961">
        <v>4.2099999999999999E-2</v>
      </c>
      <c r="W961">
        <v>4.2700000000000002E-2</v>
      </c>
      <c r="X961">
        <v>4.3299999999999998E-2</v>
      </c>
      <c r="Y961">
        <v>4.3999999999999997E-2</v>
      </c>
    </row>
    <row r="962" spans="1:25" hidden="1">
      <c r="A962" t="s">
        <v>270</v>
      </c>
      <c r="B962" t="s">
        <v>1931</v>
      </c>
      <c r="C962" t="s">
        <v>1845</v>
      </c>
      <c r="D962" t="s">
        <v>1918</v>
      </c>
      <c r="E962" t="s">
        <v>1896</v>
      </c>
      <c r="F962" t="s">
        <v>598</v>
      </c>
      <c r="G962" t="s">
        <v>599</v>
      </c>
      <c r="H962" t="s">
        <v>600</v>
      </c>
      <c r="I962" t="s">
        <v>601</v>
      </c>
      <c r="J962">
        <v>2.58E-2</v>
      </c>
      <c r="K962">
        <v>2.64E-2</v>
      </c>
      <c r="L962">
        <v>2.7099999999999999E-2</v>
      </c>
      <c r="M962">
        <v>2.7400000000000001E-2</v>
      </c>
      <c r="N962">
        <v>2.7799999999999998E-2</v>
      </c>
      <c r="O962">
        <v>2.8299999999999999E-2</v>
      </c>
      <c r="P962">
        <v>2.86E-2</v>
      </c>
      <c r="Q962">
        <v>2.92E-2</v>
      </c>
      <c r="R962">
        <v>2.9600000000000001E-2</v>
      </c>
      <c r="S962">
        <v>2.9899999999999999E-2</v>
      </c>
      <c r="T962">
        <v>3.0200000000000001E-2</v>
      </c>
      <c r="U962">
        <v>3.0599999999999999E-2</v>
      </c>
      <c r="V962">
        <v>3.1099999999999999E-2</v>
      </c>
      <c r="W962">
        <v>3.1600000000000003E-2</v>
      </c>
      <c r="X962">
        <v>3.1899999999999998E-2</v>
      </c>
      <c r="Y962">
        <v>3.2099999999999997E-2</v>
      </c>
    </row>
    <row r="963" spans="1:25" hidden="1">
      <c r="A963" t="s">
        <v>270</v>
      </c>
      <c r="B963" t="s">
        <v>1932</v>
      </c>
      <c r="C963" t="s">
        <v>1845</v>
      </c>
      <c r="D963" t="s">
        <v>1918</v>
      </c>
      <c r="E963" t="s">
        <v>1933</v>
      </c>
      <c r="F963" t="s">
        <v>598</v>
      </c>
      <c r="G963" t="s">
        <v>599</v>
      </c>
      <c r="H963" t="s">
        <v>600</v>
      </c>
      <c r="I963" t="s">
        <v>601</v>
      </c>
      <c r="J963">
        <v>1E-3</v>
      </c>
      <c r="K963">
        <v>1E-3</v>
      </c>
      <c r="L963">
        <v>1.1000000000000001E-3</v>
      </c>
      <c r="M963">
        <v>1.1000000000000001E-3</v>
      </c>
      <c r="N963">
        <v>1.1000000000000001E-3</v>
      </c>
      <c r="O963">
        <v>1.1000000000000001E-3</v>
      </c>
      <c r="P963">
        <v>1.1000000000000001E-3</v>
      </c>
      <c r="Q963">
        <v>1.1999999999999999E-3</v>
      </c>
      <c r="R963">
        <v>1.1999999999999999E-3</v>
      </c>
      <c r="S963">
        <v>1.1999999999999999E-3</v>
      </c>
      <c r="T963">
        <v>1.1999999999999999E-3</v>
      </c>
      <c r="U963">
        <v>1.1999999999999999E-3</v>
      </c>
      <c r="V963">
        <v>1.1999999999999999E-3</v>
      </c>
      <c r="W963">
        <v>1.2999999999999999E-3</v>
      </c>
      <c r="X963">
        <v>1.2999999999999999E-3</v>
      </c>
      <c r="Y963">
        <v>1.2999999999999999E-3</v>
      </c>
    </row>
    <row r="964" spans="1:25" hidden="1">
      <c r="A964" t="s">
        <v>270</v>
      </c>
      <c r="B964" t="s">
        <v>1934</v>
      </c>
      <c r="C964" t="s">
        <v>1845</v>
      </c>
      <c r="D964" t="s">
        <v>1918</v>
      </c>
      <c r="E964" t="s">
        <v>1900</v>
      </c>
      <c r="F964" t="s">
        <v>598</v>
      </c>
      <c r="G964" t="s">
        <v>599</v>
      </c>
      <c r="H964" t="s">
        <v>600</v>
      </c>
      <c r="I964" t="s">
        <v>601</v>
      </c>
      <c r="J964">
        <v>1E-3</v>
      </c>
      <c r="K964">
        <v>1E-3</v>
      </c>
      <c r="L964">
        <v>1E-3</v>
      </c>
      <c r="M964">
        <v>1.1000000000000001E-3</v>
      </c>
      <c r="N964">
        <v>1.1000000000000001E-3</v>
      </c>
      <c r="O964">
        <v>1.1000000000000001E-3</v>
      </c>
      <c r="P964">
        <v>1.1999999999999999E-3</v>
      </c>
      <c r="Q964">
        <v>1.1999999999999999E-3</v>
      </c>
      <c r="R964">
        <v>1.1999999999999999E-3</v>
      </c>
      <c r="S964">
        <v>1.1999999999999999E-3</v>
      </c>
      <c r="T964">
        <v>1.1999999999999999E-3</v>
      </c>
      <c r="U964">
        <v>1.2999999999999999E-3</v>
      </c>
      <c r="V964">
        <v>1.2999999999999999E-3</v>
      </c>
      <c r="W964">
        <v>1.2999999999999999E-3</v>
      </c>
      <c r="X964">
        <v>1.2999999999999999E-3</v>
      </c>
      <c r="Y964">
        <v>1.2999999999999999E-3</v>
      </c>
    </row>
    <row r="965" spans="1:25" hidden="1">
      <c r="A965" t="s">
        <v>270</v>
      </c>
      <c r="B965" t="s">
        <v>1935</v>
      </c>
      <c r="C965" t="s">
        <v>1845</v>
      </c>
      <c r="D965" t="s">
        <v>1918</v>
      </c>
      <c r="E965" t="s">
        <v>1936</v>
      </c>
      <c r="F965" t="s">
        <v>598</v>
      </c>
      <c r="G965" t="s">
        <v>599</v>
      </c>
      <c r="H965" t="s">
        <v>600</v>
      </c>
      <c r="I965" t="s">
        <v>601</v>
      </c>
      <c r="J965">
        <v>0.4012</v>
      </c>
      <c r="K965">
        <v>0.40960000000000002</v>
      </c>
      <c r="L965">
        <v>0.41770000000000002</v>
      </c>
      <c r="M965">
        <v>0.42630000000000001</v>
      </c>
      <c r="N965">
        <v>0.43530000000000002</v>
      </c>
      <c r="O965">
        <v>0.44219999999999998</v>
      </c>
      <c r="P965">
        <v>0.4491</v>
      </c>
      <c r="Q965">
        <v>0.45550000000000002</v>
      </c>
      <c r="R965">
        <v>0.46200000000000002</v>
      </c>
      <c r="S965">
        <v>0.46810000000000002</v>
      </c>
      <c r="T965">
        <v>0.47439999999999999</v>
      </c>
      <c r="U965">
        <v>0.48089999999999999</v>
      </c>
      <c r="V965">
        <v>0.48749999999999999</v>
      </c>
      <c r="W965">
        <v>0.49430000000000002</v>
      </c>
      <c r="X965">
        <v>0.502</v>
      </c>
      <c r="Y965">
        <v>0.50900000000000001</v>
      </c>
    </row>
    <row r="966" spans="1:25" hidden="1">
      <c r="A966" t="s">
        <v>270</v>
      </c>
      <c r="B966" t="s">
        <v>1937</v>
      </c>
      <c r="C966" t="s">
        <v>1845</v>
      </c>
      <c r="D966" t="s">
        <v>1918</v>
      </c>
      <c r="E966" t="s">
        <v>1904</v>
      </c>
      <c r="F966" t="s">
        <v>598</v>
      </c>
      <c r="G966" t="s">
        <v>599</v>
      </c>
      <c r="H966" t="s">
        <v>600</v>
      </c>
      <c r="I966" t="s">
        <v>601</v>
      </c>
      <c r="J966">
        <v>2.2000000000000001E-3</v>
      </c>
      <c r="K966">
        <v>2.3E-3</v>
      </c>
      <c r="L966">
        <v>2.3E-3</v>
      </c>
      <c r="M966">
        <v>2.3E-3</v>
      </c>
      <c r="N966">
        <v>2.3999999999999998E-3</v>
      </c>
      <c r="O966">
        <v>2.5000000000000001E-3</v>
      </c>
      <c r="P966">
        <v>2.5000000000000001E-3</v>
      </c>
      <c r="Q966">
        <v>2.5000000000000001E-3</v>
      </c>
      <c r="R966">
        <v>2.7000000000000001E-3</v>
      </c>
      <c r="S966">
        <v>2.7000000000000001E-3</v>
      </c>
      <c r="T966">
        <v>2.7000000000000001E-3</v>
      </c>
      <c r="U966">
        <v>2.7000000000000001E-3</v>
      </c>
      <c r="V966">
        <v>2.7000000000000001E-3</v>
      </c>
      <c r="W966">
        <v>2.7000000000000001E-3</v>
      </c>
      <c r="X966">
        <v>2.8E-3</v>
      </c>
      <c r="Y966">
        <v>2.8E-3</v>
      </c>
    </row>
    <row r="967" spans="1:25" hidden="1">
      <c r="A967" t="s">
        <v>270</v>
      </c>
      <c r="B967" t="s">
        <v>1938</v>
      </c>
      <c r="C967" t="s">
        <v>1845</v>
      </c>
      <c r="D967" t="s">
        <v>1918</v>
      </c>
      <c r="E967" t="s">
        <v>1939</v>
      </c>
      <c r="F967" t="s">
        <v>598</v>
      </c>
      <c r="G967" t="s">
        <v>599</v>
      </c>
      <c r="H967" t="s">
        <v>600</v>
      </c>
      <c r="I967" t="s">
        <v>601</v>
      </c>
      <c r="J967">
        <v>1.5E-3</v>
      </c>
      <c r="K967">
        <v>1.5E-3</v>
      </c>
      <c r="L967">
        <v>1.5E-3</v>
      </c>
      <c r="M967">
        <v>1.5E-3</v>
      </c>
      <c r="N967">
        <v>1.6000000000000001E-3</v>
      </c>
      <c r="O967">
        <v>1.6000000000000001E-3</v>
      </c>
      <c r="P967">
        <v>1.6000000000000001E-3</v>
      </c>
      <c r="Q967">
        <v>1.6999999999999999E-3</v>
      </c>
      <c r="R967">
        <v>1.6999999999999999E-3</v>
      </c>
      <c r="S967">
        <v>1.6999999999999999E-3</v>
      </c>
      <c r="T967">
        <v>1.8E-3</v>
      </c>
      <c r="U967">
        <v>1.8E-3</v>
      </c>
      <c r="V967">
        <v>1.8E-3</v>
      </c>
      <c r="W967">
        <v>1.8E-3</v>
      </c>
      <c r="X967">
        <v>1.8E-3</v>
      </c>
      <c r="Y967">
        <v>1.8E-3</v>
      </c>
    </row>
    <row r="968" spans="1:25" hidden="1">
      <c r="A968" t="s">
        <v>270</v>
      </c>
      <c r="B968" t="s">
        <v>1940</v>
      </c>
      <c r="C968" t="s">
        <v>1845</v>
      </c>
      <c r="D968" t="s">
        <v>1918</v>
      </c>
      <c r="E968" t="s">
        <v>1910</v>
      </c>
      <c r="F968" t="s">
        <v>598</v>
      </c>
      <c r="G968" t="s">
        <v>599</v>
      </c>
      <c r="H968" t="s">
        <v>600</v>
      </c>
      <c r="I968" t="s">
        <v>601</v>
      </c>
      <c r="J968">
        <v>9.9000000000000008E-3</v>
      </c>
      <c r="K968">
        <v>1.01E-2</v>
      </c>
      <c r="L968">
        <v>1.03E-2</v>
      </c>
      <c r="M968">
        <v>1.04E-2</v>
      </c>
      <c r="N968">
        <v>1.06E-2</v>
      </c>
      <c r="O968">
        <v>1.0800000000000001E-2</v>
      </c>
      <c r="P968">
        <v>1.0999999999999999E-2</v>
      </c>
      <c r="Q968">
        <v>1.12E-2</v>
      </c>
      <c r="R968">
        <v>1.14E-2</v>
      </c>
      <c r="S968">
        <v>1.1599999999999999E-2</v>
      </c>
      <c r="T968">
        <v>1.17E-2</v>
      </c>
      <c r="U968">
        <v>1.18E-2</v>
      </c>
      <c r="V968">
        <v>1.2E-2</v>
      </c>
      <c r="W968">
        <v>1.21E-2</v>
      </c>
      <c r="X968">
        <v>1.2200000000000001E-2</v>
      </c>
      <c r="Y968">
        <v>1.24E-2</v>
      </c>
    </row>
    <row r="969" spans="1:25" hidden="1">
      <c r="A969" t="s">
        <v>270</v>
      </c>
      <c r="B969" t="s">
        <v>1941</v>
      </c>
      <c r="C969" t="s">
        <v>1845</v>
      </c>
      <c r="D969" t="s">
        <v>1918</v>
      </c>
      <c r="E969" t="s">
        <v>1912</v>
      </c>
      <c r="F969" t="s">
        <v>598</v>
      </c>
      <c r="G969" t="s">
        <v>599</v>
      </c>
      <c r="H969" t="s">
        <v>600</v>
      </c>
      <c r="I969" t="s">
        <v>601</v>
      </c>
      <c r="J969">
        <v>5.0000000000000001E-4</v>
      </c>
      <c r="K969">
        <v>5.0000000000000001E-4</v>
      </c>
      <c r="L969">
        <v>5.0000000000000001E-4</v>
      </c>
      <c r="M969">
        <v>5.0000000000000001E-4</v>
      </c>
      <c r="N969">
        <v>5.0000000000000001E-4</v>
      </c>
      <c r="O969">
        <v>5.0000000000000001E-4</v>
      </c>
      <c r="P969">
        <v>5.0000000000000001E-4</v>
      </c>
      <c r="Q969">
        <v>5.0000000000000001E-4</v>
      </c>
      <c r="R969">
        <v>5.9999999999999995E-4</v>
      </c>
      <c r="S969">
        <v>5.9999999999999995E-4</v>
      </c>
      <c r="T969">
        <v>5.9999999999999995E-4</v>
      </c>
      <c r="U969">
        <v>5.9999999999999995E-4</v>
      </c>
      <c r="V969">
        <v>5.9999999999999995E-4</v>
      </c>
      <c r="W969">
        <v>5.9999999999999995E-4</v>
      </c>
      <c r="X969">
        <v>5.9999999999999995E-4</v>
      </c>
      <c r="Y969">
        <v>5.9999999999999995E-4</v>
      </c>
    </row>
    <row r="970" spans="1:25" hidden="1">
      <c r="A970" t="s">
        <v>270</v>
      </c>
      <c r="B970" t="s">
        <v>1942</v>
      </c>
      <c r="C970" t="s">
        <v>1845</v>
      </c>
      <c r="D970" t="s">
        <v>1918</v>
      </c>
      <c r="E970" t="s">
        <v>1914</v>
      </c>
      <c r="F970" t="s">
        <v>598</v>
      </c>
      <c r="G970" t="s">
        <v>599</v>
      </c>
      <c r="H970" t="s">
        <v>600</v>
      </c>
      <c r="I970" t="s">
        <v>601</v>
      </c>
      <c r="J970">
        <v>1.32E-2</v>
      </c>
      <c r="K970">
        <v>1.34E-2</v>
      </c>
      <c r="L970">
        <v>1.3599999999999999E-2</v>
      </c>
      <c r="M970">
        <v>1.38E-2</v>
      </c>
      <c r="N970">
        <v>1.4E-2</v>
      </c>
      <c r="O970">
        <v>1.4200000000000001E-2</v>
      </c>
      <c r="P970">
        <v>1.44E-2</v>
      </c>
      <c r="Q970">
        <v>1.46E-2</v>
      </c>
      <c r="R970">
        <v>1.47E-2</v>
      </c>
      <c r="S970">
        <v>1.49E-2</v>
      </c>
      <c r="T970">
        <v>1.4999999999999999E-2</v>
      </c>
      <c r="U970">
        <v>1.52E-2</v>
      </c>
      <c r="V970">
        <v>1.54E-2</v>
      </c>
      <c r="W970">
        <v>1.5599999999999999E-2</v>
      </c>
      <c r="X970">
        <v>1.5800000000000002E-2</v>
      </c>
      <c r="Y970">
        <v>1.6E-2</v>
      </c>
    </row>
    <row r="971" spans="1:25" hidden="1">
      <c r="A971" t="s">
        <v>270</v>
      </c>
      <c r="B971" t="s">
        <v>1943</v>
      </c>
      <c r="C971" t="s">
        <v>1845</v>
      </c>
      <c r="D971" t="s">
        <v>1918</v>
      </c>
      <c r="E971" t="s">
        <v>1846</v>
      </c>
      <c r="F971" t="s">
        <v>598</v>
      </c>
      <c r="G971" t="s">
        <v>599</v>
      </c>
      <c r="H971" t="s">
        <v>600</v>
      </c>
      <c r="I971" t="s">
        <v>601</v>
      </c>
      <c r="J971">
        <v>4.5999999999999999E-3</v>
      </c>
      <c r="K971">
        <v>4.7000000000000002E-3</v>
      </c>
      <c r="L971">
        <v>4.8999999999999998E-3</v>
      </c>
      <c r="M971">
        <v>5.0000000000000001E-3</v>
      </c>
      <c r="N971">
        <v>5.1000000000000004E-3</v>
      </c>
      <c r="O971">
        <v>5.1000000000000004E-3</v>
      </c>
      <c r="P971">
        <v>5.1999999999999998E-3</v>
      </c>
      <c r="Q971">
        <v>5.3E-3</v>
      </c>
      <c r="R971">
        <v>5.4000000000000003E-3</v>
      </c>
      <c r="S971">
        <v>5.4000000000000003E-3</v>
      </c>
      <c r="T971">
        <v>5.4999999999999997E-3</v>
      </c>
      <c r="U971">
        <v>5.5999999999999999E-3</v>
      </c>
      <c r="V971">
        <v>5.5999999999999999E-3</v>
      </c>
      <c r="W971">
        <v>5.7000000000000002E-3</v>
      </c>
      <c r="X971">
        <v>5.7999999999999996E-3</v>
      </c>
      <c r="Y971">
        <v>5.8999999999999999E-3</v>
      </c>
    </row>
    <row r="972" spans="1:25" hidden="1">
      <c r="A972" t="s">
        <v>270</v>
      </c>
      <c r="B972" t="s">
        <v>1944</v>
      </c>
      <c r="C972" t="s">
        <v>1845</v>
      </c>
      <c r="D972" t="s">
        <v>1918</v>
      </c>
      <c r="E972" t="s">
        <v>1945</v>
      </c>
      <c r="F972" t="s">
        <v>598</v>
      </c>
      <c r="G972" t="s">
        <v>599</v>
      </c>
      <c r="H972" t="s">
        <v>600</v>
      </c>
      <c r="I972" t="s">
        <v>601</v>
      </c>
      <c r="J972">
        <v>8.0000000000000004E-4</v>
      </c>
      <c r="K972">
        <v>8.0000000000000004E-4</v>
      </c>
      <c r="L972">
        <v>8.0000000000000004E-4</v>
      </c>
      <c r="M972">
        <v>8.0000000000000004E-4</v>
      </c>
      <c r="N972">
        <v>8.0000000000000004E-4</v>
      </c>
      <c r="O972">
        <v>8.0000000000000004E-4</v>
      </c>
      <c r="P972">
        <v>8.0000000000000004E-4</v>
      </c>
      <c r="Q972">
        <v>8.9999999999999998E-4</v>
      </c>
      <c r="R972">
        <v>8.9999999999999998E-4</v>
      </c>
      <c r="S972">
        <v>8.9999999999999998E-4</v>
      </c>
      <c r="T972">
        <v>8.9999999999999998E-4</v>
      </c>
      <c r="U972">
        <v>8.9999999999999998E-4</v>
      </c>
      <c r="V972">
        <v>8.9999999999999998E-4</v>
      </c>
      <c r="W972">
        <v>8.9999999999999998E-4</v>
      </c>
      <c r="X972">
        <v>8.9999999999999998E-4</v>
      </c>
      <c r="Y972">
        <v>8.9999999999999998E-4</v>
      </c>
    </row>
    <row r="973" spans="1:25" hidden="1">
      <c r="A973" t="s">
        <v>270</v>
      </c>
      <c r="B973" t="s">
        <v>1946</v>
      </c>
      <c r="C973" t="s">
        <v>1845</v>
      </c>
      <c r="D973" t="s">
        <v>1918</v>
      </c>
      <c r="E973" t="s">
        <v>1869</v>
      </c>
      <c r="F973" t="s">
        <v>598</v>
      </c>
      <c r="G973" t="s">
        <v>599</v>
      </c>
      <c r="H973" t="s">
        <v>600</v>
      </c>
      <c r="I973" t="s">
        <v>601</v>
      </c>
      <c r="J973">
        <v>1E-4</v>
      </c>
      <c r="K973">
        <v>1E-4</v>
      </c>
      <c r="L973">
        <v>1E-4</v>
      </c>
      <c r="M973">
        <v>1E-4</v>
      </c>
      <c r="N973">
        <v>1E-4</v>
      </c>
      <c r="O973">
        <v>1E-4</v>
      </c>
      <c r="P973">
        <v>1E-4</v>
      </c>
      <c r="Q973">
        <v>1E-4</v>
      </c>
      <c r="R973">
        <v>1E-4</v>
      </c>
      <c r="S973">
        <v>1E-4</v>
      </c>
      <c r="T973">
        <v>1E-4</v>
      </c>
      <c r="U973">
        <v>1E-4</v>
      </c>
      <c r="V973">
        <v>1E-4</v>
      </c>
      <c r="W973">
        <v>1E-4</v>
      </c>
      <c r="X973">
        <v>1E-4</v>
      </c>
      <c r="Y973">
        <v>1E-4</v>
      </c>
    </row>
    <row r="974" spans="1:25" hidden="1">
      <c r="A974" t="s">
        <v>270</v>
      </c>
      <c r="B974" t="s">
        <v>1947</v>
      </c>
      <c r="C974" t="s">
        <v>1845</v>
      </c>
      <c r="D974" t="s">
        <v>648</v>
      </c>
      <c r="E974" t="s">
        <v>1684</v>
      </c>
      <c r="F974" t="s">
        <v>598</v>
      </c>
      <c r="G974" t="s">
        <v>599</v>
      </c>
      <c r="H974" t="s">
        <v>600</v>
      </c>
      <c r="I974" t="s">
        <v>601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270</v>
      </c>
      <c r="B975" t="s">
        <v>1948</v>
      </c>
      <c r="C975" t="s">
        <v>1845</v>
      </c>
      <c r="D975" t="s">
        <v>648</v>
      </c>
      <c r="E975" t="s">
        <v>1393</v>
      </c>
      <c r="F975" t="s">
        <v>598</v>
      </c>
      <c r="G975" t="s">
        <v>599</v>
      </c>
      <c r="H975" t="s">
        <v>600</v>
      </c>
      <c r="I975" t="s">
        <v>601</v>
      </c>
      <c r="J975">
        <v>8.9999999999999998E-4</v>
      </c>
      <c r="K975">
        <v>8.9999999999999998E-4</v>
      </c>
      <c r="L975">
        <v>8.9999999999999998E-4</v>
      </c>
      <c r="M975">
        <v>8.9999999999999998E-4</v>
      </c>
      <c r="N975">
        <v>8.9999999999999998E-4</v>
      </c>
      <c r="O975">
        <v>8.9999999999999998E-4</v>
      </c>
      <c r="P975">
        <v>8.9999999999999998E-4</v>
      </c>
      <c r="Q975">
        <v>8.9999999999999998E-4</v>
      </c>
      <c r="R975">
        <v>8.9999999999999998E-4</v>
      </c>
      <c r="S975">
        <v>1E-3</v>
      </c>
      <c r="T975">
        <v>1E-3</v>
      </c>
      <c r="U975">
        <v>1.1000000000000001E-3</v>
      </c>
      <c r="V975">
        <v>1.1000000000000001E-3</v>
      </c>
      <c r="W975">
        <v>1.1000000000000001E-3</v>
      </c>
      <c r="X975">
        <v>1.1000000000000001E-3</v>
      </c>
      <c r="Y975">
        <v>1.1000000000000001E-3</v>
      </c>
    </row>
    <row r="976" spans="1:25" hidden="1">
      <c r="A976" t="s">
        <v>270</v>
      </c>
      <c r="B976" t="s">
        <v>1949</v>
      </c>
      <c r="C976" t="s">
        <v>1845</v>
      </c>
      <c r="D976" t="s">
        <v>648</v>
      </c>
      <c r="E976" t="s">
        <v>1872</v>
      </c>
      <c r="F976" t="s">
        <v>598</v>
      </c>
      <c r="G976" t="s">
        <v>599</v>
      </c>
      <c r="H976" t="s">
        <v>600</v>
      </c>
      <c r="I976" t="s">
        <v>601</v>
      </c>
      <c r="J976">
        <v>5.79E-2</v>
      </c>
      <c r="K976">
        <v>6.08E-2</v>
      </c>
      <c r="L976">
        <v>6.4199999999999993E-2</v>
      </c>
      <c r="M976">
        <v>6.7799999999999999E-2</v>
      </c>
      <c r="N976">
        <v>7.0999999999999994E-2</v>
      </c>
      <c r="O976">
        <v>7.4300000000000005E-2</v>
      </c>
      <c r="P976">
        <v>7.5999999999999998E-2</v>
      </c>
      <c r="Q976">
        <v>7.7600000000000002E-2</v>
      </c>
      <c r="R976">
        <v>7.8700000000000006E-2</v>
      </c>
      <c r="S976">
        <v>7.9399999999999998E-2</v>
      </c>
      <c r="T976">
        <v>8.0199999999999994E-2</v>
      </c>
      <c r="U976">
        <v>8.1000000000000003E-2</v>
      </c>
      <c r="V976">
        <v>8.2000000000000003E-2</v>
      </c>
      <c r="W976">
        <v>8.2799999999999999E-2</v>
      </c>
      <c r="X976">
        <v>8.3699999999999997E-2</v>
      </c>
      <c r="Y976">
        <v>8.4599999999999995E-2</v>
      </c>
    </row>
    <row r="977" spans="1:25" hidden="1">
      <c r="A977" t="s">
        <v>270</v>
      </c>
      <c r="B977" t="s">
        <v>1950</v>
      </c>
      <c r="C977" t="s">
        <v>1845</v>
      </c>
      <c r="D977" t="s">
        <v>648</v>
      </c>
      <c r="E977" t="s">
        <v>1951</v>
      </c>
      <c r="F977" t="s">
        <v>598</v>
      </c>
      <c r="G977" t="s">
        <v>599</v>
      </c>
      <c r="H977" t="s">
        <v>600</v>
      </c>
      <c r="I977" t="s">
        <v>601</v>
      </c>
      <c r="J977">
        <v>3.1699999999999999E-2</v>
      </c>
      <c r="K977">
        <v>3.2099999999999997E-2</v>
      </c>
      <c r="L977">
        <v>3.27E-2</v>
      </c>
      <c r="M977">
        <v>3.32E-2</v>
      </c>
      <c r="N977">
        <v>3.3700000000000001E-2</v>
      </c>
      <c r="O977">
        <v>3.4099999999999998E-2</v>
      </c>
      <c r="P977">
        <v>3.4599999999999999E-2</v>
      </c>
      <c r="Q977">
        <v>3.5099999999999999E-2</v>
      </c>
      <c r="R977">
        <v>3.5499999999999997E-2</v>
      </c>
      <c r="S977">
        <v>3.5799999999999998E-2</v>
      </c>
      <c r="T977">
        <v>3.6200000000000003E-2</v>
      </c>
      <c r="U977">
        <v>3.6600000000000001E-2</v>
      </c>
      <c r="V977">
        <v>3.7199999999999997E-2</v>
      </c>
      <c r="W977">
        <v>3.7600000000000001E-2</v>
      </c>
      <c r="X977">
        <v>3.7999999999999999E-2</v>
      </c>
      <c r="Y977">
        <v>3.85E-2</v>
      </c>
    </row>
    <row r="978" spans="1:25" hidden="1">
      <c r="A978" t="s">
        <v>270</v>
      </c>
      <c r="B978" t="s">
        <v>1952</v>
      </c>
      <c r="C978" t="s">
        <v>1845</v>
      </c>
      <c r="D978" t="s">
        <v>648</v>
      </c>
      <c r="E978" t="s">
        <v>1953</v>
      </c>
      <c r="F978" t="s">
        <v>598</v>
      </c>
      <c r="G978" t="s">
        <v>599</v>
      </c>
      <c r="H978" t="s">
        <v>600</v>
      </c>
      <c r="I978" t="s">
        <v>601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270</v>
      </c>
      <c r="B979" t="s">
        <v>1954</v>
      </c>
      <c r="C979" t="s">
        <v>1845</v>
      </c>
      <c r="D979" t="s">
        <v>648</v>
      </c>
      <c r="E979" t="s">
        <v>1896</v>
      </c>
      <c r="F979" t="s">
        <v>598</v>
      </c>
      <c r="G979" t="s">
        <v>599</v>
      </c>
      <c r="H979" t="s">
        <v>600</v>
      </c>
      <c r="I979" t="s">
        <v>601</v>
      </c>
      <c r="J979">
        <v>1E-4</v>
      </c>
      <c r="K979">
        <v>1E-4</v>
      </c>
      <c r="L979">
        <v>1E-4</v>
      </c>
      <c r="M979">
        <v>1E-4</v>
      </c>
      <c r="N979">
        <v>1E-4</v>
      </c>
      <c r="O979">
        <v>1E-4</v>
      </c>
      <c r="P979">
        <v>1E-4</v>
      </c>
      <c r="Q979">
        <v>1E-4</v>
      </c>
      <c r="R979">
        <v>1E-4</v>
      </c>
      <c r="S979">
        <v>1E-4</v>
      </c>
      <c r="T979">
        <v>1E-4</v>
      </c>
      <c r="U979">
        <v>1E-4</v>
      </c>
      <c r="V979">
        <v>1E-4</v>
      </c>
      <c r="W979">
        <v>1E-4</v>
      </c>
      <c r="X979">
        <v>1E-4</v>
      </c>
      <c r="Y979">
        <v>1E-4</v>
      </c>
    </row>
    <row r="980" spans="1:25" hidden="1">
      <c r="A980" t="s">
        <v>270</v>
      </c>
      <c r="B980" t="s">
        <v>1955</v>
      </c>
      <c r="C980" t="s">
        <v>1845</v>
      </c>
      <c r="D980" t="s">
        <v>648</v>
      </c>
      <c r="E980" t="s">
        <v>1914</v>
      </c>
      <c r="F980" t="s">
        <v>598</v>
      </c>
      <c r="G980" t="s">
        <v>599</v>
      </c>
      <c r="H980" t="s">
        <v>600</v>
      </c>
      <c r="I980" t="s">
        <v>601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270</v>
      </c>
      <c r="B981" t="s">
        <v>1956</v>
      </c>
      <c r="C981" t="s">
        <v>1845</v>
      </c>
      <c r="D981" t="s">
        <v>648</v>
      </c>
      <c r="E981" t="s">
        <v>1957</v>
      </c>
      <c r="F981" t="s">
        <v>598</v>
      </c>
      <c r="G981" t="s">
        <v>599</v>
      </c>
      <c r="H981" t="s">
        <v>600</v>
      </c>
      <c r="I981" t="s">
        <v>601</v>
      </c>
      <c r="J981">
        <v>2.3E-3</v>
      </c>
      <c r="K981">
        <v>2.3E-3</v>
      </c>
      <c r="L981">
        <v>2.3999999999999998E-3</v>
      </c>
      <c r="M981">
        <v>2.3999999999999998E-3</v>
      </c>
      <c r="N981">
        <v>2.5000000000000001E-3</v>
      </c>
      <c r="O981">
        <v>2.5000000000000001E-3</v>
      </c>
      <c r="P981">
        <v>2.5000000000000001E-3</v>
      </c>
      <c r="Q981">
        <v>2.5999999999999999E-3</v>
      </c>
      <c r="R981">
        <v>2.5999999999999999E-3</v>
      </c>
      <c r="S981">
        <v>2.5999999999999999E-3</v>
      </c>
      <c r="T981">
        <v>2.7000000000000001E-3</v>
      </c>
      <c r="U981">
        <v>2.7000000000000001E-3</v>
      </c>
      <c r="V981">
        <v>2.7000000000000001E-3</v>
      </c>
      <c r="W981">
        <v>2.8E-3</v>
      </c>
      <c r="X981">
        <v>2.8E-3</v>
      </c>
      <c r="Y981">
        <v>2.8E-3</v>
      </c>
    </row>
    <row r="982" spans="1:25" hidden="1">
      <c r="A982" t="s">
        <v>270</v>
      </c>
      <c r="B982" t="s">
        <v>1958</v>
      </c>
      <c r="C982" t="s">
        <v>1959</v>
      </c>
      <c r="D982" t="s">
        <v>1324</v>
      </c>
      <c r="E982" t="s">
        <v>954</v>
      </c>
      <c r="F982" t="s">
        <v>598</v>
      </c>
      <c r="G982" t="s">
        <v>599</v>
      </c>
      <c r="H982" t="s">
        <v>600</v>
      </c>
      <c r="I982" t="s">
        <v>601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270</v>
      </c>
      <c r="B983" t="s">
        <v>1960</v>
      </c>
      <c r="C983" t="s">
        <v>1959</v>
      </c>
      <c r="D983" t="s">
        <v>1332</v>
      </c>
      <c r="E983" t="s">
        <v>954</v>
      </c>
      <c r="F983" t="s">
        <v>598</v>
      </c>
      <c r="G983" t="s">
        <v>599</v>
      </c>
      <c r="H983" t="s">
        <v>600</v>
      </c>
      <c r="I983" t="s">
        <v>601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270</v>
      </c>
      <c r="B984" t="s">
        <v>1961</v>
      </c>
      <c r="C984" t="s">
        <v>1959</v>
      </c>
      <c r="D984" t="s">
        <v>1332</v>
      </c>
      <c r="E984" t="s">
        <v>1962</v>
      </c>
      <c r="F984" t="s">
        <v>598</v>
      </c>
      <c r="G984" t="s">
        <v>599</v>
      </c>
      <c r="H984" t="s">
        <v>600</v>
      </c>
      <c r="I984" t="s">
        <v>601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270</v>
      </c>
      <c r="B985" t="s">
        <v>1963</v>
      </c>
      <c r="C985" t="s">
        <v>1959</v>
      </c>
      <c r="D985" t="s">
        <v>1435</v>
      </c>
      <c r="E985" t="s">
        <v>973</v>
      </c>
      <c r="F985" t="s">
        <v>598</v>
      </c>
      <c r="G985" t="s">
        <v>599</v>
      </c>
      <c r="H985" t="s">
        <v>600</v>
      </c>
      <c r="I985" t="s">
        <v>601</v>
      </c>
      <c r="J985">
        <v>1E-4</v>
      </c>
      <c r="K985">
        <v>1E-4</v>
      </c>
      <c r="L985">
        <v>1E-4</v>
      </c>
      <c r="M985">
        <v>1E-4</v>
      </c>
      <c r="N985">
        <v>1E-4</v>
      </c>
      <c r="O985">
        <v>1E-4</v>
      </c>
      <c r="P985">
        <v>1E-4</v>
      </c>
      <c r="Q985">
        <v>1E-4</v>
      </c>
      <c r="R985">
        <v>1E-4</v>
      </c>
      <c r="S985">
        <v>1E-4</v>
      </c>
      <c r="T985">
        <v>1E-4</v>
      </c>
      <c r="U985">
        <v>1E-4</v>
      </c>
      <c r="V985">
        <v>1E-4</v>
      </c>
      <c r="W985">
        <v>1E-4</v>
      </c>
      <c r="X985">
        <v>1E-4</v>
      </c>
      <c r="Y985">
        <v>1E-4</v>
      </c>
    </row>
    <row r="986" spans="1:25" hidden="1">
      <c r="A986" t="s">
        <v>270</v>
      </c>
      <c r="B986" t="s">
        <v>1964</v>
      </c>
      <c r="C986" t="s">
        <v>1959</v>
      </c>
      <c r="D986" t="s">
        <v>1965</v>
      </c>
      <c r="E986" t="s">
        <v>1966</v>
      </c>
      <c r="F986" t="s">
        <v>598</v>
      </c>
      <c r="G986" t="s">
        <v>599</v>
      </c>
      <c r="H986" t="s">
        <v>600</v>
      </c>
      <c r="I986" t="s">
        <v>601</v>
      </c>
      <c r="J986">
        <v>1.2174</v>
      </c>
      <c r="K986">
        <v>1.2516</v>
      </c>
      <c r="L986">
        <v>1.2846</v>
      </c>
      <c r="M986">
        <v>1.3201000000000001</v>
      </c>
      <c r="N986">
        <v>1.3438000000000001</v>
      </c>
      <c r="O986">
        <v>1.3576999999999999</v>
      </c>
      <c r="P986">
        <v>1.3887</v>
      </c>
      <c r="Q986">
        <v>1.4096</v>
      </c>
      <c r="R986">
        <v>1.4288000000000001</v>
      </c>
      <c r="S986">
        <v>1.4502999999999999</v>
      </c>
      <c r="T986">
        <v>1.4805999999999999</v>
      </c>
      <c r="U986">
        <v>1.5038</v>
      </c>
      <c r="V986">
        <v>1.5288999999999999</v>
      </c>
      <c r="W986">
        <v>1.5569</v>
      </c>
      <c r="X986">
        <v>1.5805</v>
      </c>
      <c r="Y986">
        <v>1.6127</v>
      </c>
    </row>
    <row r="987" spans="1:25" hidden="1">
      <c r="A987" t="s">
        <v>270</v>
      </c>
      <c r="B987" t="s">
        <v>1967</v>
      </c>
      <c r="C987" t="s">
        <v>1959</v>
      </c>
      <c r="D987" t="s">
        <v>1968</v>
      </c>
      <c r="E987" t="s">
        <v>1962</v>
      </c>
      <c r="F987" t="s">
        <v>598</v>
      </c>
      <c r="G987" t="s">
        <v>599</v>
      </c>
      <c r="H987" t="s">
        <v>600</v>
      </c>
      <c r="I987" t="s">
        <v>601</v>
      </c>
      <c r="J987">
        <v>2.044</v>
      </c>
      <c r="K987">
        <v>2.1069</v>
      </c>
      <c r="L987">
        <v>2.1701000000000001</v>
      </c>
      <c r="M987">
        <v>2.2381000000000002</v>
      </c>
      <c r="N987">
        <v>2.2776999999999998</v>
      </c>
      <c r="O987">
        <v>2.3167</v>
      </c>
      <c r="P987">
        <v>2.3889999999999998</v>
      </c>
      <c r="Q987">
        <v>2.4285999999999999</v>
      </c>
      <c r="R987">
        <v>2.4674999999999998</v>
      </c>
      <c r="S987">
        <v>2.5091000000000001</v>
      </c>
      <c r="T987">
        <v>2.5537000000000001</v>
      </c>
      <c r="U987">
        <v>2.5981999999999998</v>
      </c>
      <c r="V987">
        <v>2.6478999999999999</v>
      </c>
      <c r="W987">
        <v>2.6985999999999999</v>
      </c>
      <c r="X987">
        <v>2.7425999999999999</v>
      </c>
      <c r="Y987">
        <v>2.7909999999999999</v>
      </c>
    </row>
    <row r="988" spans="1:25" hidden="1">
      <c r="A988" t="s">
        <v>270</v>
      </c>
      <c r="B988" t="s">
        <v>1969</v>
      </c>
      <c r="C988" t="s">
        <v>1959</v>
      </c>
      <c r="D988" t="s">
        <v>1968</v>
      </c>
      <c r="E988" t="s">
        <v>1970</v>
      </c>
      <c r="F988" t="s">
        <v>598</v>
      </c>
      <c r="G988" t="s">
        <v>599</v>
      </c>
      <c r="H988" t="s">
        <v>600</v>
      </c>
      <c r="I988" t="s">
        <v>601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270</v>
      </c>
      <c r="B989" t="s">
        <v>1971</v>
      </c>
      <c r="C989" t="s">
        <v>1959</v>
      </c>
      <c r="D989" t="s">
        <v>1972</v>
      </c>
      <c r="E989" t="s">
        <v>1973</v>
      </c>
      <c r="F989" t="s">
        <v>598</v>
      </c>
      <c r="G989" t="s">
        <v>599</v>
      </c>
      <c r="H989" t="s">
        <v>600</v>
      </c>
      <c r="I989" t="s">
        <v>601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270</v>
      </c>
      <c r="B990" t="s">
        <v>1974</v>
      </c>
      <c r="C990" t="s">
        <v>1959</v>
      </c>
      <c r="D990" t="s">
        <v>1972</v>
      </c>
      <c r="E990" t="s">
        <v>1962</v>
      </c>
      <c r="F990" t="s">
        <v>598</v>
      </c>
      <c r="G990" t="s">
        <v>599</v>
      </c>
      <c r="H990" t="s">
        <v>600</v>
      </c>
      <c r="I990" t="s">
        <v>601</v>
      </c>
      <c r="J990">
        <v>5.9999999999999995E-4</v>
      </c>
      <c r="K990">
        <v>6.9999999999999999E-4</v>
      </c>
      <c r="L990">
        <v>6.9999999999999999E-4</v>
      </c>
      <c r="M990">
        <v>6.9999999999999999E-4</v>
      </c>
      <c r="N990">
        <v>8.0000000000000004E-4</v>
      </c>
      <c r="O990">
        <v>8.0000000000000004E-4</v>
      </c>
      <c r="P990">
        <v>8.0000000000000004E-4</v>
      </c>
      <c r="Q990">
        <v>8.9999999999999998E-4</v>
      </c>
      <c r="R990">
        <v>8.9999999999999998E-4</v>
      </c>
      <c r="S990">
        <v>8.9999999999999998E-4</v>
      </c>
      <c r="T990">
        <v>8.9999999999999998E-4</v>
      </c>
      <c r="U990">
        <v>8.9999999999999998E-4</v>
      </c>
      <c r="V990">
        <v>8.9999999999999998E-4</v>
      </c>
      <c r="W990">
        <v>8.9999999999999998E-4</v>
      </c>
      <c r="X990">
        <v>8.9999999999999998E-4</v>
      </c>
      <c r="Y990">
        <v>1E-3</v>
      </c>
    </row>
    <row r="991" spans="1:25" hidden="1">
      <c r="A991" t="s">
        <v>270</v>
      </c>
      <c r="B991" t="s">
        <v>1975</v>
      </c>
      <c r="C991" t="s">
        <v>1959</v>
      </c>
      <c r="D991" t="s">
        <v>1972</v>
      </c>
      <c r="E991" t="s">
        <v>1976</v>
      </c>
      <c r="F991" t="s">
        <v>598</v>
      </c>
      <c r="G991" t="s">
        <v>599</v>
      </c>
      <c r="H991" t="s">
        <v>600</v>
      </c>
      <c r="I991" t="s">
        <v>601</v>
      </c>
      <c r="J991">
        <v>3.0999999999999999E-3</v>
      </c>
      <c r="K991">
        <v>3.0999999999999999E-3</v>
      </c>
      <c r="L991">
        <v>3.0999999999999999E-3</v>
      </c>
      <c r="M991">
        <v>3.2000000000000002E-3</v>
      </c>
      <c r="N991">
        <v>3.2000000000000002E-3</v>
      </c>
      <c r="O991">
        <v>3.2000000000000002E-3</v>
      </c>
      <c r="P991">
        <v>3.2000000000000002E-3</v>
      </c>
      <c r="Q991">
        <v>3.2000000000000002E-3</v>
      </c>
      <c r="R991">
        <v>3.2000000000000002E-3</v>
      </c>
      <c r="S991">
        <v>3.3E-3</v>
      </c>
      <c r="T991">
        <v>3.3E-3</v>
      </c>
      <c r="U991">
        <v>3.3E-3</v>
      </c>
      <c r="V991">
        <v>3.3E-3</v>
      </c>
      <c r="W991">
        <v>3.3E-3</v>
      </c>
      <c r="X991">
        <v>3.3E-3</v>
      </c>
      <c r="Y991">
        <v>3.3E-3</v>
      </c>
    </row>
    <row r="992" spans="1:25" hidden="1">
      <c r="A992" t="s">
        <v>270</v>
      </c>
      <c r="B992" t="s">
        <v>1977</v>
      </c>
      <c r="C992" t="s">
        <v>1959</v>
      </c>
      <c r="D992" t="s">
        <v>1972</v>
      </c>
      <c r="E992" t="s">
        <v>1966</v>
      </c>
      <c r="F992" t="s">
        <v>598</v>
      </c>
      <c r="G992" t="s">
        <v>599</v>
      </c>
      <c r="H992" t="s">
        <v>600</v>
      </c>
      <c r="I992" t="s">
        <v>601</v>
      </c>
      <c r="J992">
        <v>0.81799999999999995</v>
      </c>
      <c r="K992">
        <v>0.84699999999999998</v>
      </c>
      <c r="L992">
        <v>0.87609999999999999</v>
      </c>
      <c r="M992">
        <v>0.90859999999999996</v>
      </c>
      <c r="N992">
        <v>0.92589999999999995</v>
      </c>
      <c r="O992">
        <v>0.93879999999999997</v>
      </c>
      <c r="P992">
        <v>0.96030000000000004</v>
      </c>
      <c r="Q992">
        <v>0.97519999999999996</v>
      </c>
      <c r="R992">
        <v>0.99009999999999998</v>
      </c>
      <c r="S992">
        <v>1.0065</v>
      </c>
      <c r="T992">
        <v>1.0275000000000001</v>
      </c>
      <c r="U992">
        <v>1.0452999999999999</v>
      </c>
      <c r="V992">
        <v>1.0666</v>
      </c>
      <c r="W992">
        <v>1.0864</v>
      </c>
      <c r="X992">
        <v>1.1049</v>
      </c>
      <c r="Y992">
        <v>1.1266</v>
      </c>
    </row>
    <row r="993" spans="1:25" hidden="1">
      <c r="A993" t="s">
        <v>270</v>
      </c>
      <c r="B993" t="s">
        <v>1978</v>
      </c>
      <c r="C993" t="s">
        <v>1959</v>
      </c>
      <c r="D993" t="s">
        <v>1972</v>
      </c>
      <c r="E993" t="s">
        <v>1979</v>
      </c>
      <c r="F993" t="s">
        <v>598</v>
      </c>
      <c r="G993" t="s">
        <v>599</v>
      </c>
      <c r="H993" t="s">
        <v>600</v>
      </c>
      <c r="I993" t="s">
        <v>601</v>
      </c>
      <c r="J993">
        <v>0.27360000000000001</v>
      </c>
      <c r="K993">
        <v>0.28050000000000003</v>
      </c>
      <c r="L993">
        <v>0.28799999999999998</v>
      </c>
      <c r="M993">
        <v>0.2949</v>
      </c>
      <c r="N993">
        <v>0.30030000000000001</v>
      </c>
      <c r="O993">
        <v>0.30409999999999998</v>
      </c>
      <c r="P993">
        <v>0.30859999999999999</v>
      </c>
      <c r="Q993">
        <v>0.31269999999999998</v>
      </c>
      <c r="R993">
        <v>0.31730000000000003</v>
      </c>
      <c r="S993">
        <v>0.3216</v>
      </c>
      <c r="T993">
        <v>0.32829999999999998</v>
      </c>
      <c r="U993">
        <v>0.3337</v>
      </c>
      <c r="V993">
        <v>0.33960000000000001</v>
      </c>
      <c r="W993">
        <v>0.34570000000000001</v>
      </c>
      <c r="X993">
        <v>0.35149999999999998</v>
      </c>
      <c r="Y993">
        <v>0.3584</v>
      </c>
    </row>
    <row r="994" spans="1:25" hidden="1">
      <c r="A994" t="s">
        <v>270</v>
      </c>
      <c r="B994" t="s">
        <v>1980</v>
      </c>
      <c r="C994" t="s">
        <v>1959</v>
      </c>
      <c r="D994" t="s">
        <v>1972</v>
      </c>
      <c r="E994" t="s">
        <v>1981</v>
      </c>
      <c r="F994" t="s">
        <v>598</v>
      </c>
      <c r="G994" t="s">
        <v>599</v>
      </c>
      <c r="H994" t="s">
        <v>600</v>
      </c>
      <c r="I994" t="s">
        <v>601</v>
      </c>
      <c r="J994">
        <v>4.7699999999999999E-2</v>
      </c>
      <c r="K994">
        <v>4.9700000000000001E-2</v>
      </c>
      <c r="L994">
        <v>5.16E-2</v>
      </c>
      <c r="M994">
        <v>5.3800000000000001E-2</v>
      </c>
      <c r="N994">
        <v>5.4699999999999999E-2</v>
      </c>
      <c r="O994">
        <v>5.5500000000000001E-2</v>
      </c>
      <c r="P994">
        <v>5.67E-2</v>
      </c>
      <c r="Q994">
        <v>5.7700000000000001E-2</v>
      </c>
      <c r="R994">
        <v>5.8799999999999998E-2</v>
      </c>
      <c r="S994">
        <v>0.06</v>
      </c>
      <c r="T994">
        <v>6.13E-2</v>
      </c>
      <c r="U994">
        <v>6.25E-2</v>
      </c>
      <c r="V994">
        <v>6.4100000000000004E-2</v>
      </c>
      <c r="W994">
        <v>6.54E-2</v>
      </c>
      <c r="X994">
        <v>6.6699999999999995E-2</v>
      </c>
      <c r="Y994">
        <v>6.8000000000000005E-2</v>
      </c>
    </row>
    <row r="995" spans="1:25" hidden="1">
      <c r="A995" t="s">
        <v>270</v>
      </c>
      <c r="B995" t="s">
        <v>1982</v>
      </c>
      <c r="C995" t="s">
        <v>1959</v>
      </c>
      <c r="D995" t="s">
        <v>1983</v>
      </c>
      <c r="E995" t="s">
        <v>1984</v>
      </c>
      <c r="F995" t="s">
        <v>598</v>
      </c>
      <c r="G995" t="s">
        <v>599</v>
      </c>
      <c r="H995" t="s">
        <v>600</v>
      </c>
      <c r="I995" t="s">
        <v>601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270</v>
      </c>
      <c r="B996" t="s">
        <v>1985</v>
      </c>
      <c r="C996" t="s">
        <v>1959</v>
      </c>
      <c r="D996" t="s">
        <v>1983</v>
      </c>
      <c r="E996" t="s">
        <v>1378</v>
      </c>
      <c r="F996" t="s">
        <v>598</v>
      </c>
      <c r="G996" t="s">
        <v>599</v>
      </c>
      <c r="H996" t="s">
        <v>600</v>
      </c>
      <c r="I996" t="s">
        <v>601</v>
      </c>
      <c r="J996">
        <v>0.33889999999999998</v>
      </c>
      <c r="K996">
        <v>0.34660000000000002</v>
      </c>
      <c r="L996">
        <v>0.35420000000000001</v>
      </c>
      <c r="M996">
        <v>0.36280000000000001</v>
      </c>
      <c r="N996">
        <v>0.36870000000000003</v>
      </c>
      <c r="O996">
        <v>0.37419999999999998</v>
      </c>
      <c r="P996">
        <v>0.38059999999999999</v>
      </c>
      <c r="Q996">
        <v>0.38729999999999998</v>
      </c>
      <c r="R996">
        <v>0.39250000000000002</v>
      </c>
      <c r="S996">
        <v>0.3977</v>
      </c>
      <c r="T996">
        <v>0.40310000000000001</v>
      </c>
      <c r="U996">
        <v>0.4088</v>
      </c>
      <c r="V996">
        <v>0.4153</v>
      </c>
      <c r="W996">
        <v>0.42209999999999998</v>
      </c>
      <c r="X996">
        <v>0.42859999999999998</v>
      </c>
      <c r="Y996">
        <v>0.43419999999999997</v>
      </c>
    </row>
    <row r="997" spans="1:25" hidden="1">
      <c r="A997" t="s">
        <v>270</v>
      </c>
      <c r="B997" t="s">
        <v>1986</v>
      </c>
      <c r="C997" t="s">
        <v>1959</v>
      </c>
      <c r="D997" t="s">
        <v>1983</v>
      </c>
      <c r="E997" t="s">
        <v>1987</v>
      </c>
      <c r="F997" t="s">
        <v>598</v>
      </c>
      <c r="G997" t="s">
        <v>599</v>
      </c>
      <c r="H997" t="s">
        <v>600</v>
      </c>
      <c r="I997" t="s">
        <v>601</v>
      </c>
      <c r="J997">
        <v>5.1999999999999998E-3</v>
      </c>
      <c r="K997">
        <v>5.3E-3</v>
      </c>
      <c r="L997">
        <v>5.4999999999999997E-3</v>
      </c>
      <c r="M997">
        <v>5.7000000000000002E-3</v>
      </c>
      <c r="N997">
        <v>5.8999999999999999E-3</v>
      </c>
      <c r="O997">
        <v>6.1000000000000004E-3</v>
      </c>
      <c r="P997">
        <v>6.1999999999999998E-3</v>
      </c>
      <c r="Q997">
        <v>6.3E-3</v>
      </c>
      <c r="R997">
        <v>6.4000000000000003E-3</v>
      </c>
      <c r="S997">
        <v>6.4999999999999997E-3</v>
      </c>
      <c r="T997">
        <v>6.4999999999999997E-3</v>
      </c>
      <c r="U997">
        <v>6.6E-3</v>
      </c>
      <c r="V997">
        <v>6.8999999999999999E-3</v>
      </c>
      <c r="W997">
        <v>7.0000000000000001E-3</v>
      </c>
      <c r="X997">
        <v>7.1999999999999998E-3</v>
      </c>
      <c r="Y997">
        <v>7.1999999999999998E-3</v>
      </c>
    </row>
    <row r="998" spans="1:25" hidden="1">
      <c r="A998" t="s">
        <v>270</v>
      </c>
      <c r="B998" t="s">
        <v>1988</v>
      </c>
      <c r="C998" t="s">
        <v>1959</v>
      </c>
      <c r="D998" t="s">
        <v>1983</v>
      </c>
      <c r="E998" t="s">
        <v>1966</v>
      </c>
      <c r="F998" t="s">
        <v>598</v>
      </c>
      <c r="G998" t="s">
        <v>599</v>
      </c>
      <c r="H998" t="s">
        <v>600</v>
      </c>
      <c r="I998" t="s">
        <v>601</v>
      </c>
      <c r="J998">
        <v>0.27860000000000001</v>
      </c>
      <c r="K998">
        <v>0.2873</v>
      </c>
      <c r="L998">
        <v>0.29670000000000002</v>
      </c>
      <c r="M998">
        <v>0.30690000000000001</v>
      </c>
      <c r="N998">
        <v>0.31390000000000001</v>
      </c>
      <c r="O998">
        <v>0.32119999999999999</v>
      </c>
      <c r="P998">
        <v>0.32690000000000002</v>
      </c>
      <c r="Q998">
        <v>0.33350000000000002</v>
      </c>
      <c r="R998">
        <v>0.33929999999999999</v>
      </c>
      <c r="S998">
        <v>0.3448</v>
      </c>
      <c r="T998">
        <v>0.35089999999999999</v>
      </c>
      <c r="U998">
        <v>0.35730000000000001</v>
      </c>
      <c r="V998">
        <v>0.3644</v>
      </c>
      <c r="W998">
        <v>0.37130000000000002</v>
      </c>
      <c r="X998">
        <v>0.37809999999999999</v>
      </c>
      <c r="Y998">
        <v>0.38469999999999999</v>
      </c>
    </row>
    <row r="999" spans="1:25" hidden="1">
      <c r="A999" t="s">
        <v>270</v>
      </c>
      <c r="B999" t="s">
        <v>1989</v>
      </c>
      <c r="C999" t="s">
        <v>1959</v>
      </c>
      <c r="D999" t="s">
        <v>1983</v>
      </c>
      <c r="E999" t="s">
        <v>1990</v>
      </c>
      <c r="F999" t="s">
        <v>598</v>
      </c>
      <c r="G999" t="s">
        <v>599</v>
      </c>
      <c r="H999" t="s">
        <v>600</v>
      </c>
      <c r="I999" t="s">
        <v>601</v>
      </c>
      <c r="J999">
        <v>1.2699999999999999E-2</v>
      </c>
      <c r="K999">
        <v>1.32E-2</v>
      </c>
      <c r="L999">
        <v>1.3599999999999999E-2</v>
      </c>
      <c r="M999">
        <v>1.4E-2</v>
      </c>
      <c r="N999">
        <v>1.4200000000000001E-2</v>
      </c>
      <c r="O999">
        <v>1.44E-2</v>
      </c>
      <c r="P999">
        <v>1.4800000000000001E-2</v>
      </c>
      <c r="Q999">
        <v>1.4999999999999999E-2</v>
      </c>
      <c r="R999">
        <v>1.5299999999999999E-2</v>
      </c>
      <c r="S999">
        <v>1.55E-2</v>
      </c>
      <c r="T999">
        <v>1.5900000000000001E-2</v>
      </c>
      <c r="U999">
        <v>1.61E-2</v>
      </c>
      <c r="V999">
        <v>1.6500000000000001E-2</v>
      </c>
      <c r="W999">
        <v>1.6899999999999998E-2</v>
      </c>
      <c r="X999">
        <v>1.72E-2</v>
      </c>
      <c r="Y999">
        <v>1.7500000000000002E-2</v>
      </c>
    </row>
    <row r="1000" spans="1:25" hidden="1">
      <c r="A1000" t="s">
        <v>270</v>
      </c>
      <c r="B1000" t="s">
        <v>1991</v>
      </c>
      <c r="C1000" t="s">
        <v>1959</v>
      </c>
      <c r="D1000" t="s">
        <v>1983</v>
      </c>
      <c r="E1000" t="s">
        <v>1992</v>
      </c>
      <c r="F1000" t="s">
        <v>598</v>
      </c>
      <c r="G1000" t="s">
        <v>599</v>
      </c>
      <c r="H1000" t="s">
        <v>600</v>
      </c>
      <c r="I1000" t="s">
        <v>601</v>
      </c>
      <c r="J1000">
        <v>1.1900000000000001E-2</v>
      </c>
      <c r="K1000">
        <v>1.24E-2</v>
      </c>
      <c r="L1000">
        <v>1.3100000000000001E-2</v>
      </c>
      <c r="M1000">
        <v>1.3599999999999999E-2</v>
      </c>
      <c r="N1000">
        <v>1.4E-2</v>
      </c>
      <c r="O1000">
        <v>1.4500000000000001E-2</v>
      </c>
      <c r="P1000">
        <v>1.4800000000000001E-2</v>
      </c>
      <c r="Q1000">
        <v>1.5100000000000001E-2</v>
      </c>
      <c r="R1000">
        <v>1.5299999999999999E-2</v>
      </c>
      <c r="S1000">
        <v>1.55E-2</v>
      </c>
      <c r="T1000">
        <v>1.5800000000000002E-2</v>
      </c>
      <c r="U1000">
        <v>1.5800000000000002E-2</v>
      </c>
      <c r="V1000">
        <v>1.6400000000000001E-2</v>
      </c>
      <c r="W1000">
        <v>1.6500000000000001E-2</v>
      </c>
      <c r="X1000">
        <v>1.66E-2</v>
      </c>
      <c r="Y1000">
        <v>1.7000000000000001E-2</v>
      </c>
    </row>
    <row r="1001" spans="1:25" hidden="1">
      <c r="A1001" t="s">
        <v>270</v>
      </c>
      <c r="B1001" t="s">
        <v>1993</v>
      </c>
      <c r="C1001" t="s">
        <v>1959</v>
      </c>
      <c r="D1001" t="s">
        <v>1983</v>
      </c>
      <c r="E1001" t="s">
        <v>1994</v>
      </c>
      <c r="F1001" t="s">
        <v>598</v>
      </c>
      <c r="G1001" t="s">
        <v>599</v>
      </c>
      <c r="H1001" t="s">
        <v>600</v>
      </c>
      <c r="I1001" t="s">
        <v>601</v>
      </c>
      <c r="J1001">
        <v>2.6499999999999999E-2</v>
      </c>
      <c r="K1001">
        <v>2.7400000000000001E-2</v>
      </c>
      <c r="L1001">
        <v>2.8299999999999999E-2</v>
      </c>
      <c r="M1001">
        <v>2.93E-2</v>
      </c>
      <c r="N1001">
        <v>2.9700000000000001E-2</v>
      </c>
      <c r="O1001">
        <v>3.0300000000000001E-2</v>
      </c>
      <c r="P1001">
        <v>3.0700000000000002E-2</v>
      </c>
      <c r="Q1001">
        <v>3.1099999999999999E-2</v>
      </c>
      <c r="R1001">
        <v>3.1699999999999999E-2</v>
      </c>
      <c r="S1001">
        <v>3.2199999999999999E-2</v>
      </c>
      <c r="T1001">
        <v>3.27E-2</v>
      </c>
      <c r="U1001">
        <v>3.3300000000000003E-2</v>
      </c>
      <c r="V1001">
        <v>3.4000000000000002E-2</v>
      </c>
      <c r="W1001">
        <v>3.4599999999999999E-2</v>
      </c>
      <c r="X1001">
        <v>3.5099999999999999E-2</v>
      </c>
      <c r="Y1001">
        <v>3.5799999999999998E-2</v>
      </c>
    </row>
    <row r="1002" spans="1:25" hidden="1">
      <c r="A1002" t="s">
        <v>270</v>
      </c>
      <c r="B1002" t="s">
        <v>1995</v>
      </c>
      <c r="C1002" t="s">
        <v>1959</v>
      </c>
      <c r="D1002" t="s">
        <v>1996</v>
      </c>
      <c r="E1002" t="s">
        <v>1973</v>
      </c>
      <c r="F1002" t="s">
        <v>598</v>
      </c>
      <c r="G1002" t="s">
        <v>599</v>
      </c>
      <c r="H1002" t="s">
        <v>600</v>
      </c>
      <c r="I1002" t="s">
        <v>601</v>
      </c>
      <c r="J1002">
        <v>0.13170000000000001</v>
      </c>
      <c r="K1002">
        <v>0.1386</v>
      </c>
      <c r="L1002">
        <v>0.1469</v>
      </c>
      <c r="M1002">
        <v>0.156</v>
      </c>
      <c r="N1002">
        <v>0.1636</v>
      </c>
      <c r="O1002">
        <v>0.17199999999999999</v>
      </c>
      <c r="P1002">
        <v>0.17649999999999999</v>
      </c>
      <c r="Q1002">
        <v>0.18129999999999999</v>
      </c>
      <c r="R1002">
        <v>0.1837</v>
      </c>
      <c r="S1002">
        <v>0.18590000000000001</v>
      </c>
      <c r="T1002">
        <v>0.18790000000000001</v>
      </c>
      <c r="U1002">
        <v>0.1903</v>
      </c>
      <c r="V1002">
        <v>0.19309999999999999</v>
      </c>
      <c r="W1002">
        <v>0.1956</v>
      </c>
      <c r="X1002">
        <v>0.1983</v>
      </c>
      <c r="Y1002">
        <v>0.20069999999999999</v>
      </c>
    </row>
    <row r="1003" spans="1:25" hidden="1">
      <c r="A1003" t="s">
        <v>270</v>
      </c>
      <c r="B1003" t="s">
        <v>1997</v>
      </c>
      <c r="C1003" t="s">
        <v>1959</v>
      </c>
      <c r="D1003" t="s">
        <v>1996</v>
      </c>
      <c r="E1003" t="s">
        <v>1380</v>
      </c>
      <c r="F1003" t="s">
        <v>598</v>
      </c>
      <c r="G1003" t="s">
        <v>599</v>
      </c>
      <c r="H1003" t="s">
        <v>600</v>
      </c>
      <c r="I1003" t="s">
        <v>601</v>
      </c>
      <c r="J1003">
        <v>2.6193</v>
      </c>
      <c r="K1003">
        <v>2.7286999999999999</v>
      </c>
      <c r="L1003">
        <v>2.8519999999999999</v>
      </c>
      <c r="M1003">
        <v>2.9830999999999999</v>
      </c>
      <c r="N1003">
        <v>3.0804</v>
      </c>
      <c r="O1003">
        <v>3.1878000000000002</v>
      </c>
      <c r="P1003">
        <v>3.2530999999999999</v>
      </c>
      <c r="Q1003">
        <v>3.3237000000000001</v>
      </c>
      <c r="R1003">
        <v>3.3675000000000002</v>
      </c>
      <c r="S1003">
        <v>3.4083000000000001</v>
      </c>
      <c r="T1003">
        <v>3.4518</v>
      </c>
      <c r="U1003">
        <v>3.5011000000000001</v>
      </c>
      <c r="V1003">
        <v>3.5545</v>
      </c>
      <c r="W1003">
        <v>3.6063999999999998</v>
      </c>
      <c r="X1003">
        <v>3.6551</v>
      </c>
      <c r="Y1003">
        <v>3.7029999999999998</v>
      </c>
    </row>
    <row r="1004" spans="1:25" hidden="1">
      <c r="A1004" t="s">
        <v>270</v>
      </c>
      <c r="B1004" t="s">
        <v>1998</v>
      </c>
      <c r="C1004" t="s">
        <v>1959</v>
      </c>
      <c r="D1004" t="s">
        <v>1996</v>
      </c>
      <c r="E1004" t="s">
        <v>1999</v>
      </c>
      <c r="F1004" t="s">
        <v>598</v>
      </c>
      <c r="G1004" t="s">
        <v>599</v>
      </c>
      <c r="H1004" t="s">
        <v>600</v>
      </c>
      <c r="I1004" t="s">
        <v>601</v>
      </c>
      <c r="J1004">
        <v>0.83299999999999996</v>
      </c>
      <c r="K1004">
        <v>0.86380000000000001</v>
      </c>
      <c r="L1004">
        <v>0.89759999999999995</v>
      </c>
      <c r="M1004">
        <v>0.93420000000000003</v>
      </c>
      <c r="N1004">
        <v>0.96</v>
      </c>
      <c r="O1004">
        <v>0.98740000000000006</v>
      </c>
      <c r="P1004">
        <v>1.0063</v>
      </c>
      <c r="Q1004">
        <v>1.026</v>
      </c>
      <c r="R1004">
        <v>1.0408999999999999</v>
      </c>
      <c r="S1004">
        <v>1.0558000000000001</v>
      </c>
      <c r="T1004">
        <v>1.0710999999999999</v>
      </c>
      <c r="U1004">
        <v>1.0891</v>
      </c>
      <c r="V1004">
        <v>1.1085</v>
      </c>
      <c r="W1004">
        <v>1.1276999999999999</v>
      </c>
      <c r="X1004">
        <v>1.1458999999999999</v>
      </c>
      <c r="Y1004">
        <v>1.1646000000000001</v>
      </c>
    </row>
    <row r="1005" spans="1:25" hidden="1">
      <c r="A1005" t="s">
        <v>270</v>
      </c>
      <c r="B1005" t="s">
        <v>2000</v>
      </c>
      <c r="C1005" t="s">
        <v>1959</v>
      </c>
      <c r="D1005" t="s">
        <v>2001</v>
      </c>
      <c r="E1005" t="s">
        <v>1731</v>
      </c>
      <c r="F1005" t="s">
        <v>598</v>
      </c>
      <c r="G1005" t="s">
        <v>599</v>
      </c>
      <c r="H1005" t="s">
        <v>600</v>
      </c>
      <c r="I1005" t="s">
        <v>601</v>
      </c>
      <c r="J1005">
        <v>1.5E-3</v>
      </c>
      <c r="K1005">
        <v>1.5E-3</v>
      </c>
      <c r="L1005">
        <v>1.5E-3</v>
      </c>
      <c r="M1005">
        <v>1.6000000000000001E-3</v>
      </c>
      <c r="N1005">
        <v>1.6000000000000001E-3</v>
      </c>
      <c r="O1005">
        <v>1.6000000000000001E-3</v>
      </c>
      <c r="P1005">
        <v>1.6999999999999999E-3</v>
      </c>
      <c r="Q1005">
        <v>1.6999999999999999E-3</v>
      </c>
      <c r="R1005">
        <v>1.6999999999999999E-3</v>
      </c>
      <c r="S1005">
        <v>1.8E-3</v>
      </c>
      <c r="T1005">
        <v>1.8E-3</v>
      </c>
      <c r="U1005">
        <v>1.8E-3</v>
      </c>
      <c r="V1005">
        <v>1.9E-3</v>
      </c>
      <c r="W1005">
        <v>1.9E-3</v>
      </c>
      <c r="X1005">
        <v>1.9E-3</v>
      </c>
      <c r="Y1005">
        <v>2E-3</v>
      </c>
    </row>
    <row r="1006" spans="1:25" hidden="1">
      <c r="A1006" t="s">
        <v>270</v>
      </c>
      <c r="B1006" t="s">
        <v>2002</v>
      </c>
      <c r="C1006" t="s">
        <v>1959</v>
      </c>
      <c r="D1006" t="s">
        <v>2001</v>
      </c>
      <c r="E1006" t="s">
        <v>2003</v>
      </c>
      <c r="F1006" t="s">
        <v>598</v>
      </c>
      <c r="G1006" t="s">
        <v>599</v>
      </c>
      <c r="H1006" t="s">
        <v>600</v>
      </c>
      <c r="I1006" t="s">
        <v>601</v>
      </c>
      <c r="J1006">
        <v>5.9999999999999995E-4</v>
      </c>
      <c r="K1006">
        <v>6.9999999999999999E-4</v>
      </c>
      <c r="L1006">
        <v>6.9999999999999999E-4</v>
      </c>
      <c r="M1006">
        <v>6.9999999999999999E-4</v>
      </c>
      <c r="N1006">
        <v>6.9999999999999999E-4</v>
      </c>
      <c r="O1006">
        <v>6.9999999999999999E-4</v>
      </c>
      <c r="P1006">
        <v>6.9999999999999999E-4</v>
      </c>
      <c r="Q1006">
        <v>8.0000000000000004E-4</v>
      </c>
      <c r="R1006">
        <v>8.0000000000000004E-4</v>
      </c>
      <c r="S1006">
        <v>8.0000000000000004E-4</v>
      </c>
      <c r="T1006">
        <v>8.0000000000000004E-4</v>
      </c>
      <c r="U1006">
        <v>8.0000000000000004E-4</v>
      </c>
      <c r="V1006">
        <v>8.0000000000000004E-4</v>
      </c>
      <c r="W1006">
        <v>8.9999999999999998E-4</v>
      </c>
      <c r="X1006">
        <v>8.9999999999999998E-4</v>
      </c>
      <c r="Y1006">
        <v>8.9999999999999998E-4</v>
      </c>
    </row>
    <row r="1007" spans="1:25" hidden="1">
      <c r="A1007" t="s">
        <v>270</v>
      </c>
      <c r="B1007" t="s">
        <v>2004</v>
      </c>
      <c r="C1007" t="s">
        <v>1959</v>
      </c>
      <c r="D1007" t="s">
        <v>2001</v>
      </c>
      <c r="E1007" t="s">
        <v>1380</v>
      </c>
      <c r="F1007" t="s">
        <v>598</v>
      </c>
      <c r="G1007" t="s">
        <v>599</v>
      </c>
      <c r="H1007" t="s">
        <v>600</v>
      </c>
      <c r="I1007" t="s">
        <v>601</v>
      </c>
      <c r="J1007">
        <v>4.3499999999999997E-2</v>
      </c>
      <c r="K1007">
        <v>4.41E-2</v>
      </c>
      <c r="L1007">
        <v>4.5100000000000001E-2</v>
      </c>
      <c r="M1007">
        <v>4.6100000000000002E-2</v>
      </c>
      <c r="N1007">
        <v>4.6699999999999998E-2</v>
      </c>
      <c r="O1007">
        <v>4.7300000000000002E-2</v>
      </c>
      <c r="P1007">
        <v>4.8000000000000001E-2</v>
      </c>
      <c r="Q1007">
        <v>4.8599999999999997E-2</v>
      </c>
      <c r="R1007">
        <v>4.9299999999999997E-2</v>
      </c>
      <c r="S1007">
        <v>4.9799999999999997E-2</v>
      </c>
      <c r="T1007">
        <v>5.0299999999999997E-2</v>
      </c>
      <c r="U1007">
        <v>5.0900000000000001E-2</v>
      </c>
      <c r="V1007">
        <v>5.1700000000000003E-2</v>
      </c>
      <c r="W1007">
        <v>5.2299999999999999E-2</v>
      </c>
      <c r="X1007">
        <v>5.2999999999999999E-2</v>
      </c>
      <c r="Y1007">
        <v>5.3699999999999998E-2</v>
      </c>
    </row>
    <row r="1008" spans="1:25" hidden="1">
      <c r="A1008" t="s">
        <v>270</v>
      </c>
      <c r="B1008" t="s">
        <v>2005</v>
      </c>
      <c r="C1008" t="s">
        <v>1959</v>
      </c>
      <c r="D1008" t="s">
        <v>2001</v>
      </c>
      <c r="E1008" t="s">
        <v>1976</v>
      </c>
      <c r="F1008" t="s">
        <v>598</v>
      </c>
      <c r="G1008" t="s">
        <v>599</v>
      </c>
      <c r="H1008" t="s">
        <v>600</v>
      </c>
      <c r="I1008" t="s">
        <v>601</v>
      </c>
      <c r="J1008">
        <v>1.3008</v>
      </c>
      <c r="K1008">
        <v>1.3428</v>
      </c>
      <c r="L1008">
        <v>1.3877999999999999</v>
      </c>
      <c r="M1008">
        <v>1.4372</v>
      </c>
      <c r="N1008">
        <v>1.4702</v>
      </c>
      <c r="O1008">
        <v>1.5032000000000001</v>
      </c>
      <c r="P1008">
        <v>1.5389999999999999</v>
      </c>
      <c r="Q1008">
        <v>1.5718000000000001</v>
      </c>
      <c r="R1008">
        <v>1.597</v>
      </c>
      <c r="S1008">
        <v>1.6236999999999999</v>
      </c>
      <c r="T1008">
        <v>1.6498999999999999</v>
      </c>
      <c r="U1008">
        <v>1.6769000000000001</v>
      </c>
      <c r="V1008">
        <v>1.7058</v>
      </c>
      <c r="W1008">
        <v>1.7341</v>
      </c>
      <c r="X1008">
        <v>1.7605</v>
      </c>
      <c r="Y1008">
        <v>1.7877000000000001</v>
      </c>
    </row>
    <row r="1009" spans="1:25" hidden="1">
      <c r="A1009" t="s">
        <v>270</v>
      </c>
      <c r="B1009" t="s">
        <v>2006</v>
      </c>
      <c r="C1009" t="s">
        <v>1959</v>
      </c>
      <c r="D1009" t="s">
        <v>2001</v>
      </c>
      <c r="E1009" t="s">
        <v>1970</v>
      </c>
      <c r="F1009" t="s">
        <v>598</v>
      </c>
      <c r="G1009" t="s">
        <v>599</v>
      </c>
      <c r="H1009" t="s">
        <v>600</v>
      </c>
      <c r="I1009" t="s">
        <v>601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hidden="1">
      <c r="A1010" t="s">
        <v>270</v>
      </c>
      <c r="B1010" t="s">
        <v>2007</v>
      </c>
      <c r="C1010" t="s">
        <v>1959</v>
      </c>
      <c r="D1010" t="s">
        <v>2001</v>
      </c>
      <c r="E1010" t="s">
        <v>1966</v>
      </c>
      <c r="F1010" t="s">
        <v>598</v>
      </c>
      <c r="G1010" t="s">
        <v>599</v>
      </c>
      <c r="H1010" t="s">
        <v>600</v>
      </c>
      <c r="I1010" t="s">
        <v>601</v>
      </c>
      <c r="J1010">
        <v>4.0399999999999998E-2</v>
      </c>
      <c r="K1010">
        <v>4.0399999999999998E-2</v>
      </c>
      <c r="L1010">
        <v>4.0500000000000001E-2</v>
      </c>
      <c r="M1010">
        <v>4.0800000000000003E-2</v>
      </c>
      <c r="N1010">
        <v>4.0899999999999999E-2</v>
      </c>
      <c r="O1010">
        <v>4.1000000000000002E-2</v>
      </c>
      <c r="P1010">
        <v>4.1000000000000002E-2</v>
      </c>
      <c r="Q1010">
        <v>4.1099999999999998E-2</v>
      </c>
      <c r="R1010">
        <v>4.1200000000000001E-2</v>
      </c>
      <c r="S1010">
        <v>4.1300000000000003E-2</v>
      </c>
      <c r="T1010">
        <v>4.1399999999999999E-2</v>
      </c>
      <c r="U1010">
        <v>4.1500000000000002E-2</v>
      </c>
      <c r="V1010">
        <v>4.1599999999999998E-2</v>
      </c>
      <c r="W1010">
        <v>4.1700000000000001E-2</v>
      </c>
      <c r="X1010">
        <v>4.1799999999999997E-2</v>
      </c>
      <c r="Y1010">
        <v>4.19E-2</v>
      </c>
    </row>
    <row r="1011" spans="1:25" hidden="1">
      <c r="A1011" t="s">
        <v>270</v>
      </c>
      <c r="B1011" t="s">
        <v>2008</v>
      </c>
      <c r="C1011" t="s">
        <v>1959</v>
      </c>
      <c r="D1011" t="s">
        <v>2009</v>
      </c>
      <c r="E1011" t="s">
        <v>2010</v>
      </c>
      <c r="F1011" t="s">
        <v>598</v>
      </c>
      <c r="G1011" t="s">
        <v>599</v>
      </c>
      <c r="H1011" t="s">
        <v>600</v>
      </c>
      <c r="I1011" t="s">
        <v>601</v>
      </c>
      <c r="J1011">
        <v>6.0100000000000001E-2</v>
      </c>
      <c r="K1011">
        <v>6.2199999999999998E-2</v>
      </c>
      <c r="L1011">
        <v>6.3899999999999998E-2</v>
      </c>
      <c r="M1011">
        <v>6.5299999999999997E-2</v>
      </c>
      <c r="N1011">
        <v>6.7000000000000004E-2</v>
      </c>
      <c r="O1011">
        <v>6.88E-2</v>
      </c>
      <c r="P1011">
        <v>7.0199999999999999E-2</v>
      </c>
      <c r="Q1011">
        <v>7.17E-2</v>
      </c>
      <c r="R1011">
        <v>7.3099999999999998E-2</v>
      </c>
      <c r="S1011">
        <v>7.4700000000000003E-2</v>
      </c>
      <c r="T1011">
        <v>7.5999999999999998E-2</v>
      </c>
      <c r="U1011">
        <v>7.7799999999999994E-2</v>
      </c>
      <c r="V1011">
        <v>7.9399999999999998E-2</v>
      </c>
      <c r="W1011">
        <v>8.1100000000000005E-2</v>
      </c>
      <c r="X1011">
        <v>8.2799999999999999E-2</v>
      </c>
      <c r="Y1011">
        <v>8.4599999999999995E-2</v>
      </c>
    </row>
    <row r="1012" spans="1:25" hidden="1">
      <c r="A1012" t="s">
        <v>270</v>
      </c>
      <c r="B1012" t="s">
        <v>2011</v>
      </c>
      <c r="C1012" t="s">
        <v>1959</v>
      </c>
      <c r="D1012" t="s">
        <v>2012</v>
      </c>
      <c r="E1012" t="s">
        <v>2013</v>
      </c>
      <c r="F1012" t="s">
        <v>598</v>
      </c>
      <c r="G1012" t="s">
        <v>599</v>
      </c>
      <c r="H1012" t="s">
        <v>600</v>
      </c>
      <c r="I1012" t="s">
        <v>601</v>
      </c>
      <c r="J1012">
        <v>4.9000000000000002E-2</v>
      </c>
      <c r="K1012">
        <v>5.0799999999999998E-2</v>
      </c>
      <c r="L1012">
        <v>5.2900000000000003E-2</v>
      </c>
      <c r="M1012">
        <v>5.5100000000000003E-2</v>
      </c>
      <c r="N1012">
        <v>5.6000000000000001E-2</v>
      </c>
      <c r="O1012">
        <v>5.6899999999999999E-2</v>
      </c>
      <c r="P1012">
        <v>5.8099999999999999E-2</v>
      </c>
      <c r="Q1012">
        <v>5.9700000000000003E-2</v>
      </c>
      <c r="R1012">
        <v>6.08E-2</v>
      </c>
      <c r="S1012">
        <v>6.1899999999999997E-2</v>
      </c>
      <c r="T1012">
        <v>6.3500000000000001E-2</v>
      </c>
      <c r="U1012">
        <v>6.4600000000000005E-2</v>
      </c>
      <c r="V1012">
        <v>6.6299999999999998E-2</v>
      </c>
      <c r="W1012">
        <v>6.7799999999999999E-2</v>
      </c>
      <c r="X1012">
        <v>6.9400000000000003E-2</v>
      </c>
      <c r="Y1012">
        <v>7.0400000000000004E-2</v>
      </c>
    </row>
    <row r="1013" spans="1:25" hidden="1">
      <c r="A1013" t="s">
        <v>270</v>
      </c>
      <c r="B1013" t="s">
        <v>2014</v>
      </c>
      <c r="C1013" t="s">
        <v>1959</v>
      </c>
      <c r="D1013" t="s">
        <v>2012</v>
      </c>
      <c r="E1013" t="s">
        <v>1970</v>
      </c>
      <c r="F1013" t="s">
        <v>598</v>
      </c>
      <c r="G1013" t="s">
        <v>599</v>
      </c>
      <c r="H1013" t="s">
        <v>600</v>
      </c>
      <c r="I1013" t="s">
        <v>601</v>
      </c>
      <c r="J1013">
        <v>0.20930000000000001</v>
      </c>
      <c r="K1013">
        <v>0.20660000000000001</v>
      </c>
      <c r="L1013">
        <v>0.20419999999999999</v>
      </c>
      <c r="M1013">
        <v>0.19980000000000001</v>
      </c>
      <c r="N1013">
        <v>0.19789999999999999</v>
      </c>
      <c r="O1013">
        <v>0.19470000000000001</v>
      </c>
      <c r="P1013">
        <v>0.1981</v>
      </c>
      <c r="Q1013">
        <v>0.20030000000000001</v>
      </c>
      <c r="R1013">
        <v>0.20130000000000001</v>
      </c>
      <c r="S1013">
        <v>0.20230000000000001</v>
      </c>
      <c r="T1013">
        <v>0.20330000000000001</v>
      </c>
      <c r="U1013">
        <v>0.20449999999999999</v>
      </c>
      <c r="V1013">
        <v>0.20619999999999999</v>
      </c>
      <c r="W1013">
        <v>0.20730000000000001</v>
      </c>
      <c r="X1013">
        <v>0.20880000000000001</v>
      </c>
      <c r="Y1013">
        <v>0.2102</v>
      </c>
    </row>
    <row r="1014" spans="1:25" hidden="1">
      <c r="A1014" t="s">
        <v>270</v>
      </c>
      <c r="B1014" t="s">
        <v>2015</v>
      </c>
      <c r="C1014" t="s">
        <v>1959</v>
      </c>
      <c r="D1014" t="s">
        <v>1817</v>
      </c>
      <c r="E1014" t="s">
        <v>1973</v>
      </c>
      <c r="F1014" t="s">
        <v>598</v>
      </c>
      <c r="G1014" t="s">
        <v>599</v>
      </c>
      <c r="H1014" t="s">
        <v>600</v>
      </c>
      <c r="I1014" t="s">
        <v>601</v>
      </c>
      <c r="J1014">
        <v>0.15970000000000001</v>
      </c>
      <c r="K1014">
        <v>0.15970000000000001</v>
      </c>
      <c r="L1014">
        <v>0.15970000000000001</v>
      </c>
      <c r="M1014">
        <v>0.15970000000000001</v>
      </c>
      <c r="N1014">
        <v>0.15970000000000001</v>
      </c>
      <c r="O1014">
        <v>0.15970000000000001</v>
      </c>
      <c r="P1014">
        <v>0.15970000000000001</v>
      </c>
      <c r="Q1014">
        <v>0.15970000000000001</v>
      </c>
      <c r="R1014">
        <v>0.15970000000000001</v>
      </c>
      <c r="S1014">
        <v>0.15970000000000001</v>
      </c>
      <c r="T1014">
        <v>0.15970000000000001</v>
      </c>
      <c r="U1014">
        <v>0.15970000000000001</v>
      </c>
      <c r="V1014">
        <v>0.15970000000000001</v>
      </c>
      <c r="W1014">
        <v>0.15970000000000001</v>
      </c>
      <c r="X1014">
        <v>0.15970000000000001</v>
      </c>
      <c r="Y1014">
        <v>0.15970000000000001</v>
      </c>
    </row>
    <row r="1015" spans="1:25" hidden="1">
      <c r="A1015" t="s">
        <v>270</v>
      </c>
      <c r="B1015" t="s">
        <v>2016</v>
      </c>
      <c r="C1015" t="s">
        <v>1959</v>
      </c>
      <c r="D1015" t="s">
        <v>1817</v>
      </c>
      <c r="E1015" t="s">
        <v>1378</v>
      </c>
      <c r="F1015" t="s">
        <v>598</v>
      </c>
      <c r="G1015" t="s">
        <v>599</v>
      </c>
      <c r="H1015" t="s">
        <v>600</v>
      </c>
      <c r="I1015" t="s">
        <v>601</v>
      </c>
      <c r="J1015">
        <v>1.843</v>
      </c>
      <c r="K1015">
        <v>1.843</v>
      </c>
      <c r="L1015">
        <v>1.8431</v>
      </c>
      <c r="M1015">
        <v>1.8431</v>
      </c>
      <c r="N1015">
        <v>1.8431</v>
      </c>
      <c r="O1015">
        <v>1.8431</v>
      </c>
      <c r="P1015">
        <v>1.8431</v>
      </c>
      <c r="Q1015">
        <v>1.8431</v>
      </c>
      <c r="R1015">
        <v>1.8431</v>
      </c>
      <c r="S1015">
        <v>1.8431</v>
      </c>
      <c r="T1015">
        <v>1.8431</v>
      </c>
      <c r="U1015">
        <v>1.8431</v>
      </c>
      <c r="V1015">
        <v>1.8431</v>
      </c>
      <c r="W1015">
        <v>1.8431</v>
      </c>
      <c r="X1015">
        <v>1.8431</v>
      </c>
      <c r="Y1015">
        <v>1.8431</v>
      </c>
    </row>
    <row r="1016" spans="1:25" hidden="1">
      <c r="A1016" t="s">
        <v>270</v>
      </c>
      <c r="B1016" t="s">
        <v>2017</v>
      </c>
      <c r="C1016" t="s">
        <v>1959</v>
      </c>
      <c r="D1016" t="s">
        <v>1817</v>
      </c>
      <c r="E1016" t="s">
        <v>1962</v>
      </c>
      <c r="F1016" t="s">
        <v>598</v>
      </c>
      <c r="G1016" t="s">
        <v>599</v>
      </c>
      <c r="H1016" t="s">
        <v>600</v>
      </c>
      <c r="I1016" t="s">
        <v>601</v>
      </c>
      <c r="J1016">
        <v>5.79E-2</v>
      </c>
      <c r="K1016">
        <v>5.8200000000000002E-2</v>
      </c>
      <c r="L1016">
        <v>5.8799999999999998E-2</v>
      </c>
      <c r="M1016">
        <v>5.91E-2</v>
      </c>
      <c r="N1016">
        <v>5.9299999999999999E-2</v>
      </c>
      <c r="O1016">
        <v>5.9700000000000003E-2</v>
      </c>
      <c r="P1016">
        <v>5.9799999999999999E-2</v>
      </c>
      <c r="Q1016">
        <v>6.0100000000000001E-2</v>
      </c>
      <c r="R1016">
        <v>6.0400000000000002E-2</v>
      </c>
      <c r="S1016">
        <v>6.08E-2</v>
      </c>
      <c r="T1016">
        <v>6.0999999999999999E-2</v>
      </c>
      <c r="U1016">
        <v>6.13E-2</v>
      </c>
      <c r="V1016">
        <v>6.1699999999999998E-2</v>
      </c>
      <c r="W1016">
        <v>6.1899999999999997E-2</v>
      </c>
      <c r="X1016">
        <v>6.2399999999999997E-2</v>
      </c>
      <c r="Y1016">
        <v>6.2700000000000006E-2</v>
      </c>
    </row>
    <row r="1017" spans="1:25" hidden="1">
      <c r="A1017" t="s">
        <v>270</v>
      </c>
      <c r="B1017" t="s">
        <v>2018</v>
      </c>
      <c r="C1017" t="s">
        <v>1959</v>
      </c>
      <c r="D1017" t="s">
        <v>1817</v>
      </c>
      <c r="E1017" t="s">
        <v>1380</v>
      </c>
      <c r="F1017" t="s">
        <v>598</v>
      </c>
      <c r="G1017" t="s">
        <v>599</v>
      </c>
      <c r="H1017" t="s">
        <v>600</v>
      </c>
      <c r="I1017" t="s">
        <v>601</v>
      </c>
      <c r="J1017">
        <v>4.3799999999999999E-2</v>
      </c>
      <c r="K1017">
        <v>4.6100000000000002E-2</v>
      </c>
      <c r="L1017">
        <v>4.8800000000000003E-2</v>
      </c>
      <c r="M1017">
        <v>5.1799999999999999E-2</v>
      </c>
      <c r="N1017">
        <v>5.4100000000000002E-2</v>
      </c>
      <c r="O1017">
        <v>5.6800000000000003E-2</v>
      </c>
      <c r="P1017">
        <v>5.8299999999999998E-2</v>
      </c>
      <c r="Q1017">
        <v>5.9799999999999999E-2</v>
      </c>
      <c r="R1017">
        <v>6.0600000000000001E-2</v>
      </c>
      <c r="S1017">
        <v>6.13E-2</v>
      </c>
      <c r="T1017">
        <v>6.2E-2</v>
      </c>
      <c r="U1017">
        <v>6.2899999999999998E-2</v>
      </c>
      <c r="V1017">
        <v>6.3700000000000007E-2</v>
      </c>
      <c r="W1017">
        <v>6.4699999999999994E-2</v>
      </c>
      <c r="X1017">
        <v>6.5600000000000006E-2</v>
      </c>
      <c r="Y1017">
        <v>6.6400000000000001E-2</v>
      </c>
    </row>
    <row r="1018" spans="1:25" hidden="1">
      <c r="A1018" t="s">
        <v>270</v>
      </c>
      <c r="B1018" t="s">
        <v>2019</v>
      </c>
      <c r="C1018" t="s">
        <v>1959</v>
      </c>
      <c r="D1018" t="s">
        <v>1817</v>
      </c>
      <c r="E1018" t="s">
        <v>1976</v>
      </c>
      <c r="F1018" t="s">
        <v>598</v>
      </c>
      <c r="G1018" t="s">
        <v>599</v>
      </c>
      <c r="H1018" t="s">
        <v>600</v>
      </c>
      <c r="I1018" t="s">
        <v>601</v>
      </c>
      <c r="J1018">
        <v>0.98480000000000001</v>
      </c>
      <c r="K1018">
        <v>0.98509999999999998</v>
      </c>
      <c r="L1018">
        <v>0.98529999999999995</v>
      </c>
      <c r="M1018">
        <v>0.98540000000000005</v>
      </c>
      <c r="N1018">
        <v>0.98540000000000005</v>
      </c>
      <c r="O1018">
        <v>0.98550000000000004</v>
      </c>
      <c r="P1018">
        <v>0.98550000000000004</v>
      </c>
      <c r="Q1018">
        <v>0.98570000000000002</v>
      </c>
      <c r="R1018">
        <v>0.98570000000000002</v>
      </c>
      <c r="S1018">
        <v>0.9859</v>
      </c>
      <c r="T1018">
        <v>0.98619999999999997</v>
      </c>
      <c r="U1018">
        <v>0.98619999999999997</v>
      </c>
      <c r="V1018">
        <v>0.98629999999999995</v>
      </c>
      <c r="W1018">
        <v>0.98640000000000005</v>
      </c>
      <c r="X1018">
        <v>0.98650000000000004</v>
      </c>
      <c r="Y1018">
        <v>0.98680000000000001</v>
      </c>
    </row>
    <row r="1019" spans="1:25" hidden="1">
      <c r="A1019" t="s">
        <v>270</v>
      </c>
      <c r="B1019" t="s">
        <v>2020</v>
      </c>
      <c r="C1019" t="s">
        <v>1959</v>
      </c>
      <c r="D1019" t="s">
        <v>1817</v>
      </c>
      <c r="E1019" t="s">
        <v>1999</v>
      </c>
      <c r="F1019" t="s">
        <v>598</v>
      </c>
      <c r="G1019" t="s">
        <v>599</v>
      </c>
      <c r="H1019" t="s">
        <v>600</v>
      </c>
      <c r="I1019" t="s">
        <v>601</v>
      </c>
      <c r="J1019">
        <v>4.3E-3</v>
      </c>
      <c r="K1019">
        <v>4.4000000000000003E-3</v>
      </c>
      <c r="L1019">
        <v>4.4999999999999997E-3</v>
      </c>
      <c r="M1019">
        <v>4.7000000000000002E-3</v>
      </c>
      <c r="N1019">
        <v>4.7999999999999996E-3</v>
      </c>
      <c r="O1019">
        <v>4.7999999999999996E-3</v>
      </c>
      <c r="P1019">
        <v>4.8999999999999998E-3</v>
      </c>
      <c r="Q1019">
        <v>5.0000000000000001E-3</v>
      </c>
      <c r="R1019">
        <v>5.0000000000000001E-3</v>
      </c>
      <c r="S1019">
        <v>5.1000000000000004E-3</v>
      </c>
      <c r="T1019">
        <v>5.1999999999999998E-3</v>
      </c>
      <c r="U1019">
        <v>5.3E-3</v>
      </c>
      <c r="V1019">
        <v>5.4000000000000003E-3</v>
      </c>
      <c r="W1019">
        <v>5.4999999999999997E-3</v>
      </c>
      <c r="X1019">
        <v>5.5999999999999999E-3</v>
      </c>
      <c r="Y1019">
        <v>5.7000000000000002E-3</v>
      </c>
    </row>
    <row r="1020" spans="1:25" hidden="1">
      <c r="A1020" t="s">
        <v>270</v>
      </c>
      <c r="B1020" t="s">
        <v>2021</v>
      </c>
      <c r="C1020" t="s">
        <v>1959</v>
      </c>
      <c r="D1020" t="s">
        <v>1817</v>
      </c>
      <c r="E1020" t="s">
        <v>2022</v>
      </c>
      <c r="F1020" t="s">
        <v>598</v>
      </c>
      <c r="G1020" t="s">
        <v>599</v>
      </c>
      <c r="H1020" t="s">
        <v>600</v>
      </c>
      <c r="I1020" t="s">
        <v>601</v>
      </c>
      <c r="J1020">
        <v>1.47E-2</v>
      </c>
      <c r="K1020">
        <v>1.43E-2</v>
      </c>
      <c r="L1020">
        <v>1.3899999999999999E-2</v>
      </c>
      <c r="M1020">
        <v>1.3299999999999999E-2</v>
      </c>
      <c r="N1020">
        <v>1.2999999999999999E-2</v>
      </c>
      <c r="O1020">
        <v>1.26E-2</v>
      </c>
      <c r="P1020">
        <v>1.2699999999999999E-2</v>
      </c>
      <c r="Q1020">
        <v>1.29E-2</v>
      </c>
      <c r="R1020">
        <v>1.29E-2</v>
      </c>
      <c r="S1020">
        <v>1.2999999999999999E-2</v>
      </c>
      <c r="T1020">
        <v>1.2999999999999999E-2</v>
      </c>
      <c r="U1020">
        <v>1.2999999999999999E-2</v>
      </c>
      <c r="V1020">
        <v>1.3100000000000001E-2</v>
      </c>
      <c r="W1020">
        <v>1.3100000000000001E-2</v>
      </c>
      <c r="X1020">
        <v>1.32E-2</v>
      </c>
      <c r="Y1020">
        <v>1.32E-2</v>
      </c>
    </row>
    <row r="1021" spans="1:25" hidden="1">
      <c r="A1021" t="s">
        <v>270</v>
      </c>
      <c r="B1021" t="s">
        <v>2023</v>
      </c>
      <c r="C1021" t="s">
        <v>1959</v>
      </c>
      <c r="D1021" t="s">
        <v>1817</v>
      </c>
      <c r="E1021" t="s">
        <v>1970</v>
      </c>
      <c r="F1021" t="s">
        <v>598</v>
      </c>
      <c r="G1021" t="s">
        <v>599</v>
      </c>
      <c r="H1021" t="s">
        <v>600</v>
      </c>
      <c r="I1021" t="s">
        <v>601</v>
      </c>
      <c r="J1021">
        <v>8.3000000000000001E-3</v>
      </c>
      <c r="K1021">
        <v>8.3000000000000001E-3</v>
      </c>
      <c r="L1021">
        <v>8.3000000000000001E-3</v>
      </c>
      <c r="M1021">
        <v>8.3000000000000001E-3</v>
      </c>
      <c r="N1021">
        <v>8.3999999999999995E-3</v>
      </c>
      <c r="O1021">
        <v>8.3999999999999995E-3</v>
      </c>
      <c r="P1021">
        <v>1.23E-2</v>
      </c>
      <c r="Q1021">
        <v>1.23E-2</v>
      </c>
      <c r="R1021">
        <v>1.23E-2</v>
      </c>
      <c r="S1021">
        <v>1.23E-2</v>
      </c>
      <c r="T1021">
        <v>1.23E-2</v>
      </c>
      <c r="U1021">
        <v>1.23E-2</v>
      </c>
      <c r="V1021">
        <v>1.23E-2</v>
      </c>
      <c r="W1021">
        <v>1.23E-2</v>
      </c>
      <c r="X1021">
        <v>1.23E-2</v>
      </c>
      <c r="Y1021">
        <v>1.23E-2</v>
      </c>
    </row>
    <row r="1022" spans="1:25" hidden="1">
      <c r="A1022" t="s">
        <v>270</v>
      </c>
      <c r="B1022" t="s">
        <v>2024</v>
      </c>
      <c r="C1022" t="s">
        <v>1959</v>
      </c>
      <c r="D1022" t="s">
        <v>1817</v>
      </c>
      <c r="E1022" t="s">
        <v>2025</v>
      </c>
      <c r="F1022" t="s">
        <v>598</v>
      </c>
      <c r="G1022" t="s">
        <v>599</v>
      </c>
      <c r="H1022" t="s">
        <v>600</v>
      </c>
      <c r="I1022" t="s">
        <v>601</v>
      </c>
      <c r="J1022">
        <v>2.0000000000000001E-4</v>
      </c>
      <c r="K1022">
        <v>2.0000000000000001E-4</v>
      </c>
      <c r="L1022">
        <v>2.0000000000000001E-4</v>
      </c>
      <c r="M1022">
        <v>2.0000000000000001E-4</v>
      </c>
      <c r="N1022">
        <v>2.0000000000000001E-4</v>
      </c>
      <c r="O1022">
        <v>2.0000000000000001E-4</v>
      </c>
      <c r="P1022">
        <v>2.9999999999999997E-4</v>
      </c>
      <c r="Q1022">
        <v>2.9999999999999997E-4</v>
      </c>
      <c r="R1022">
        <v>2.9999999999999997E-4</v>
      </c>
      <c r="S1022">
        <v>2.9999999999999997E-4</v>
      </c>
      <c r="T1022">
        <v>2.9999999999999997E-4</v>
      </c>
      <c r="U1022">
        <v>2.9999999999999997E-4</v>
      </c>
      <c r="V1022">
        <v>2.9999999999999997E-4</v>
      </c>
      <c r="W1022">
        <v>2.9999999999999997E-4</v>
      </c>
      <c r="X1022">
        <v>2.9999999999999997E-4</v>
      </c>
      <c r="Y1022">
        <v>2.9999999999999997E-4</v>
      </c>
    </row>
    <row r="1023" spans="1:25" hidden="1">
      <c r="A1023" t="s">
        <v>270</v>
      </c>
      <c r="B1023" t="s">
        <v>2026</v>
      </c>
      <c r="C1023" t="s">
        <v>1959</v>
      </c>
      <c r="D1023" t="s">
        <v>1817</v>
      </c>
      <c r="E1023" t="s">
        <v>2027</v>
      </c>
      <c r="F1023" t="s">
        <v>598</v>
      </c>
      <c r="G1023" t="s">
        <v>599</v>
      </c>
      <c r="H1023" t="s">
        <v>600</v>
      </c>
      <c r="I1023" t="s">
        <v>601</v>
      </c>
      <c r="J1023">
        <v>1.1999999999999999E-3</v>
      </c>
      <c r="K1023">
        <v>1.2999999999999999E-3</v>
      </c>
      <c r="L1023">
        <v>1.2999999999999999E-3</v>
      </c>
      <c r="M1023">
        <v>1.2999999999999999E-3</v>
      </c>
      <c r="N1023">
        <v>1.2999999999999999E-3</v>
      </c>
      <c r="O1023">
        <v>1.4E-3</v>
      </c>
      <c r="P1023">
        <v>1.5E-3</v>
      </c>
      <c r="Q1023">
        <v>1.5E-3</v>
      </c>
      <c r="R1023">
        <v>1.5E-3</v>
      </c>
      <c r="S1023">
        <v>1.5E-3</v>
      </c>
      <c r="T1023">
        <v>1.5E-3</v>
      </c>
      <c r="U1023">
        <v>1.6000000000000001E-3</v>
      </c>
      <c r="V1023">
        <v>1.6000000000000001E-3</v>
      </c>
      <c r="W1023">
        <v>1.6000000000000001E-3</v>
      </c>
      <c r="X1023">
        <v>1.6000000000000001E-3</v>
      </c>
      <c r="Y1023">
        <v>1.6999999999999999E-3</v>
      </c>
    </row>
    <row r="1024" spans="1:25" hidden="1">
      <c r="A1024" t="s">
        <v>270</v>
      </c>
      <c r="B1024" t="s">
        <v>2028</v>
      </c>
      <c r="C1024" t="s">
        <v>1959</v>
      </c>
      <c r="D1024" t="s">
        <v>1817</v>
      </c>
      <c r="E1024" t="s">
        <v>1966</v>
      </c>
      <c r="F1024" t="s">
        <v>598</v>
      </c>
      <c r="G1024" t="s">
        <v>599</v>
      </c>
      <c r="H1024" t="s">
        <v>600</v>
      </c>
      <c r="I1024" t="s">
        <v>601</v>
      </c>
      <c r="J1024">
        <v>3.6619000000000002</v>
      </c>
      <c r="K1024">
        <v>3.7574999999999998</v>
      </c>
      <c r="L1024">
        <v>3.8464999999999998</v>
      </c>
      <c r="M1024">
        <v>3.9485000000000001</v>
      </c>
      <c r="N1024">
        <v>4.0636000000000001</v>
      </c>
      <c r="O1024">
        <v>4.1657000000000002</v>
      </c>
      <c r="P1024">
        <v>4.3124000000000002</v>
      </c>
      <c r="Q1024">
        <v>4.4420999999999999</v>
      </c>
      <c r="R1024">
        <v>4.4988999999999999</v>
      </c>
      <c r="S1024">
        <v>4.5522999999999998</v>
      </c>
      <c r="T1024">
        <v>4.6022999999999996</v>
      </c>
      <c r="U1024">
        <v>4.6589999999999998</v>
      </c>
      <c r="V1024">
        <v>4.7161</v>
      </c>
      <c r="W1024">
        <v>4.7725</v>
      </c>
      <c r="X1024">
        <v>4.8259999999999996</v>
      </c>
      <c r="Y1024">
        <v>4.8829000000000002</v>
      </c>
    </row>
    <row r="1025" spans="1:25" hidden="1">
      <c r="A1025" t="s">
        <v>270</v>
      </c>
      <c r="B1025" t="s">
        <v>2029</v>
      </c>
      <c r="C1025" t="s">
        <v>1959</v>
      </c>
      <c r="D1025" t="s">
        <v>1817</v>
      </c>
      <c r="E1025" t="s">
        <v>1979</v>
      </c>
      <c r="F1025" t="s">
        <v>598</v>
      </c>
      <c r="G1025" t="s">
        <v>599</v>
      </c>
      <c r="H1025" t="s">
        <v>600</v>
      </c>
      <c r="I1025" t="s">
        <v>601</v>
      </c>
      <c r="J1025">
        <v>3.7000000000000002E-3</v>
      </c>
      <c r="K1025">
        <v>3.7000000000000002E-3</v>
      </c>
      <c r="L1025">
        <v>3.8E-3</v>
      </c>
      <c r="M1025">
        <v>3.8E-3</v>
      </c>
      <c r="N1025">
        <v>3.8E-3</v>
      </c>
      <c r="O1025">
        <v>3.8999999999999998E-3</v>
      </c>
      <c r="P1025">
        <v>3.8999999999999998E-3</v>
      </c>
      <c r="Q1025">
        <v>4.0000000000000001E-3</v>
      </c>
      <c r="R1025">
        <v>4.0000000000000001E-3</v>
      </c>
      <c r="S1025">
        <v>4.1000000000000003E-3</v>
      </c>
      <c r="T1025">
        <v>4.1999999999999997E-3</v>
      </c>
      <c r="U1025">
        <v>4.1999999999999997E-3</v>
      </c>
      <c r="V1025">
        <v>4.1999999999999997E-3</v>
      </c>
      <c r="W1025">
        <v>4.4000000000000003E-3</v>
      </c>
      <c r="X1025">
        <v>4.4000000000000003E-3</v>
      </c>
      <c r="Y1025">
        <v>4.4000000000000003E-3</v>
      </c>
    </row>
    <row r="1026" spans="1:25" hidden="1">
      <c r="A1026" t="s">
        <v>270</v>
      </c>
      <c r="B1026" t="s">
        <v>2030</v>
      </c>
      <c r="C1026" t="s">
        <v>1959</v>
      </c>
      <c r="D1026" t="s">
        <v>2031</v>
      </c>
      <c r="E1026" t="s">
        <v>2032</v>
      </c>
      <c r="F1026" t="s">
        <v>598</v>
      </c>
      <c r="G1026" t="s">
        <v>599</v>
      </c>
      <c r="H1026" t="s">
        <v>600</v>
      </c>
      <c r="I1026" t="s">
        <v>601</v>
      </c>
      <c r="J1026">
        <v>8.3500000000000005E-2</v>
      </c>
      <c r="K1026">
        <v>8.5599999999999996E-2</v>
      </c>
      <c r="L1026">
        <v>8.7499999999999994E-2</v>
      </c>
      <c r="M1026">
        <v>8.9899999999999994E-2</v>
      </c>
      <c r="N1026">
        <v>9.0700000000000003E-2</v>
      </c>
      <c r="O1026">
        <v>9.1700000000000004E-2</v>
      </c>
      <c r="P1026">
        <v>9.2700000000000005E-2</v>
      </c>
      <c r="Q1026">
        <v>9.35E-2</v>
      </c>
      <c r="R1026">
        <v>9.4799999999999995E-2</v>
      </c>
      <c r="S1026">
        <v>9.6199999999999994E-2</v>
      </c>
      <c r="T1026">
        <v>9.7600000000000006E-2</v>
      </c>
      <c r="U1026">
        <v>9.9199999999999997E-2</v>
      </c>
      <c r="V1026">
        <v>0.1011</v>
      </c>
      <c r="W1026">
        <v>0.10299999999999999</v>
      </c>
      <c r="X1026">
        <v>0.1046</v>
      </c>
      <c r="Y1026">
        <v>0.1065</v>
      </c>
    </row>
    <row r="1027" spans="1:25" hidden="1">
      <c r="A1027" t="s">
        <v>270</v>
      </c>
      <c r="B1027" t="s">
        <v>2033</v>
      </c>
      <c r="C1027" t="s">
        <v>1959</v>
      </c>
      <c r="D1027" t="s">
        <v>648</v>
      </c>
      <c r="E1027" t="s">
        <v>973</v>
      </c>
      <c r="F1027" t="s">
        <v>598</v>
      </c>
      <c r="G1027" t="s">
        <v>599</v>
      </c>
      <c r="H1027" t="s">
        <v>600</v>
      </c>
      <c r="I1027" t="s">
        <v>601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</row>
    <row r="1028" spans="1:25" hidden="1">
      <c r="A1028" t="s">
        <v>270</v>
      </c>
      <c r="B1028" t="s">
        <v>2034</v>
      </c>
      <c r="C1028" t="s">
        <v>1959</v>
      </c>
      <c r="D1028" t="s">
        <v>648</v>
      </c>
      <c r="E1028" t="s">
        <v>1973</v>
      </c>
      <c r="F1028" t="s">
        <v>598</v>
      </c>
      <c r="G1028" t="s">
        <v>599</v>
      </c>
      <c r="H1028" t="s">
        <v>600</v>
      </c>
      <c r="I1028" t="s">
        <v>601</v>
      </c>
      <c r="J1028">
        <v>0.2676</v>
      </c>
      <c r="K1028">
        <v>0.26950000000000002</v>
      </c>
      <c r="L1028">
        <v>0.27189999999999998</v>
      </c>
      <c r="M1028">
        <v>0.27650000000000002</v>
      </c>
      <c r="N1028">
        <v>0.27739999999999998</v>
      </c>
      <c r="O1028">
        <v>0.27929999999999999</v>
      </c>
      <c r="P1028">
        <v>0.28349999999999997</v>
      </c>
      <c r="Q1028">
        <v>0.2893</v>
      </c>
      <c r="R1028">
        <v>0.29189999999999999</v>
      </c>
      <c r="S1028">
        <v>0.2964</v>
      </c>
      <c r="T1028">
        <v>0.30070000000000002</v>
      </c>
      <c r="U1028">
        <v>0.30399999999999999</v>
      </c>
      <c r="V1028">
        <v>0.3075</v>
      </c>
      <c r="W1028">
        <v>0.31090000000000001</v>
      </c>
      <c r="X1028">
        <v>0.3145</v>
      </c>
      <c r="Y1028">
        <v>0.31780000000000003</v>
      </c>
    </row>
    <row r="1029" spans="1:25" hidden="1">
      <c r="A1029" t="s">
        <v>270</v>
      </c>
      <c r="B1029" t="s">
        <v>2035</v>
      </c>
      <c r="C1029" t="s">
        <v>1959</v>
      </c>
      <c r="D1029" t="s">
        <v>648</v>
      </c>
      <c r="E1029" t="s">
        <v>607</v>
      </c>
      <c r="F1029" t="s">
        <v>598</v>
      </c>
      <c r="G1029" t="s">
        <v>599</v>
      </c>
      <c r="H1029" t="s">
        <v>600</v>
      </c>
      <c r="I1029" t="s">
        <v>601</v>
      </c>
      <c r="J1029">
        <v>1E-4</v>
      </c>
      <c r="K1029">
        <v>1E-4</v>
      </c>
      <c r="L1029">
        <v>1E-4</v>
      </c>
      <c r="M1029">
        <v>1E-4</v>
      </c>
      <c r="N1029">
        <v>1E-4</v>
      </c>
      <c r="O1029">
        <v>1E-4</v>
      </c>
      <c r="P1029">
        <v>1E-4</v>
      </c>
      <c r="Q1029">
        <v>1E-4</v>
      </c>
      <c r="R1029">
        <v>1E-4</v>
      </c>
      <c r="S1029">
        <v>1E-4</v>
      </c>
      <c r="T1029">
        <v>1E-4</v>
      </c>
      <c r="U1029">
        <v>1E-4</v>
      </c>
      <c r="V1029">
        <v>1E-4</v>
      </c>
      <c r="W1029">
        <v>1E-4</v>
      </c>
      <c r="X1029">
        <v>1E-4</v>
      </c>
      <c r="Y1029">
        <v>1E-4</v>
      </c>
    </row>
    <row r="1030" spans="1:25" hidden="1">
      <c r="A1030" t="s">
        <v>270</v>
      </c>
      <c r="B1030" t="s">
        <v>2036</v>
      </c>
      <c r="C1030" t="s">
        <v>1959</v>
      </c>
      <c r="D1030" t="s">
        <v>648</v>
      </c>
      <c r="E1030" t="s">
        <v>611</v>
      </c>
      <c r="F1030" t="s">
        <v>598</v>
      </c>
      <c r="G1030" t="s">
        <v>599</v>
      </c>
      <c r="H1030" t="s">
        <v>600</v>
      </c>
      <c r="I1030" t="s">
        <v>601</v>
      </c>
      <c r="J1030">
        <v>1.1999999999999999E-3</v>
      </c>
      <c r="K1030">
        <v>1.1999999999999999E-3</v>
      </c>
      <c r="L1030">
        <v>1.1999999999999999E-3</v>
      </c>
      <c r="M1030">
        <v>1.2999999999999999E-3</v>
      </c>
      <c r="N1030">
        <v>1.4E-3</v>
      </c>
      <c r="O1030">
        <v>1.4E-3</v>
      </c>
      <c r="P1030">
        <v>1.4E-3</v>
      </c>
      <c r="Q1030">
        <v>1.4E-3</v>
      </c>
      <c r="R1030">
        <v>1.4E-3</v>
      </c>
      <c r="S1030">
        <v>1.4E-3</v>
      </c>
      <c r="T1030">
        <v>1.4E-3</v>
      </c>
      <c r="U1030">
        <v>1.5E-3</v>
      </c>
      <c r="V1030">
        <v>1.5E-3</v>
      </c>
      <c r="W1030">
        <v>1.5E-3</v>
      </c>
      <c r="X1030">
        <v>1.5E-3</v>
      </c>
      <c r="Y1030">
        <v>1.5E-3</v>
      </c>
    </row>
    <row r="1031" spans="1:25" hidden="1">
      <c r="A1031" t="s">
        <v>270</v>
      </c>
      <c r="B1031" t="s">
        <v>2037</v>
      </c>
      <c r="C1031" t="s">
        <v>1959</v>
      </c>
      <c r="D1031" t="s">
        <v>648</v>
      </c>
      <c r="E1031" t="s">
        <v>646</v>
      </c>
      <c r="F1031" t="s">
        <v>598</v>
      </c>
      <c r="G1031" t="s">
        <v>599</v>
      </c>
      <c r="H1031" t="s">
        <v>600</v>
      </c>
      <c r="I1031" t="s">
        <v>601</v>
      </c>
      <c r="J1031">
        <v>0.28149999999999997</v>
      </c>
      <c r="K1031">
        <v>0.29260000000000003</v>
      </c>
      <c r="L1031">
        <v>0.30599999999999999</v>
      </c>
      <c r="M1031">
        <v>0.32069999999999999</v>
      </c>
      <c r="N1031">
        <v>0.34310000000000002</v>
      </c>
      <c r="O1031">
        <v>0.35659999999999997</v>
      </c>
      <c r="P1031">
        <v>0.3639</v>
      </c>
      <c r="Q1031">
        <v>0.37130000000000002</v>
      </c>
      <c r="R1031">
        <v>0.375</v>
      </c>
      <c r="S1031">
        <v>0.37830000000000003</v>
      </c>
      <c r="T1031">
        <v>0.39150000000000001</v>
      </c>
      <c r="U1031">
        <v>0.39539999999999997</v>
      </c>
      <c r="V1031">
        <v>0.39939999999999998</v>
      </c>
      <c r="W1031">
        <v>0.40329999999999999</v>
      </c>
      <c r="X1031">
        <v>0.40739999999999998</v>
      </c>
      <c r="Y1031">
        <v>0.42130000000000001</v>
      </c>
    </row>
    <row r="1032" spans="1:25" hidden="1">
      <c r="A1032" t="s">
        <v>270</v>
      </c>
      <c r="B1032" t="s">
        <v>2038</v>
      </c>
      <c r="C1032" t="s">
        <v>1959</v>
      </c>
      <c r="D1032" t="s">
        <v>648</v>
      </c>
      <c r="E1032" t="s">
        <v>1765</v>
      </c>
      <c r="F1032" t="s">
        <v>598</v>
      </c>
      <c r="G1032" t="s">
        <v>599</v>
      </c>
      <c r="H1032" t="s">
        <v>600</v>
      </c>
      <c r="I1032" t="s">
        <v>601</v>
      </c>
      <c r="J1032">
        <v>4.0000000000000002E-4</v>
      </c>
      <c r="K1032">
        <v>4.0000000000000002E-4</v>
      </c>
      <c r="L1032">
        <v>4.0000000000000002E-4</v>
      </c>
      <c r="M1032">
        <v>4.0000000000000002E-4</v>
      </c>
      <c r="N1032">
        <v>4.0000000000000002E-4</v>
      </c>
      <c r="O1032">
        <v>4.0000000000000002E-4</v>
      </c>
      <c r="P1032">
        <v>5.0000000000000001E-4</v>
      </c>
      <c r="Q1032">
        <v>5.0000000000000001E-4</v>
      </c>
      <c r="R1032">
        <v>5.0000000000000001E-4</v>
      </c>
      <c r="S1032">
        <v>5.0000000000000001E-4</v>
      </c>
      <c r="T1032">
        <v>5.0000000000000001E-4</v>
      </c>
      <c r="U1032">
        <v>5.0000000000000001E-4</v>
      </c>
      <c r="V1032">
        <v>5.0000000000000001E-4</v>
      </c>
      <c r="W1032">
        <v>5.0000000000000001E-4</v>
      </c>
      <c r="X1032">
        <v>5.0000000000000001E-4</v>
      </c>
      <c r="Y1032">
        <v>5.0000000000000001E-4</v>
      </c>
    </row>
    <row r="1033" spans="1:25" hidden="1">
      <c r="A1033" t="s">
        <v>270</v>
      </c>
      <c r="B1033" t="s">
        <v>2039</v>
      </c>
      <c r="C1033" t="s">
        <v>1959</v>
      </c>
      <c r="D1033" t="s">
        <v>648</v>
      </c>
      <c r="E1033" t="s">
        <v>1378</v>
      </c>
      <c r="F1033" t="s">
        <v>598</v>
      </c>
      <c r="G1033" t="s">
        <v>599</v>
      </c>
      <c r="H1033" t="s">
        <v>600</v>
      </c>
      <c r="I1033" t="s">
        <v>601</v>
      </c>
      <c r="J1033">
        <v>3.5348999999999999</v>
      </c>
      <c r="K1033">
        <v>3.6595</v>
      </c>
      <c r="L1033">
        <v>3.7934000000000001</v>
      </c>
      <c r="M1033">
        <v>3.9352999999999998</v>
      </c>
      <c r="N1033">
        <v>4.0434000000000001</v>
      </c>
      <c r="O1033">
        <v>4.1544999999999996</v>
      </c>
      <c r="P1033">
        <v>4.2469999999999999</v>
      </c>
      <c r="Q1033">
        <v>4.3387000000000002</v>
      </c>
      <c r="R1033">
        <v>4.4058999999999999</v>
      </c>
      <c r="S1033">
        <v>4.4725000000000001</v>
      </c>
      <c r="T1033">
        <v>4.5420999999999996</v>
      </c>
      <c r="U1033">
        <v>4.6154000000000002</v>
      </c>
      <c r="V1033">
        <v>4.6959999999999997</v>
      </c>
      <c r="W1033">
        <v>4.7751999999999999</v>
      </c>
      <c r="X1033">
        <v>4.8529</v>
      </c>
      <c r="Y1033">
        <v>4.9311999999999996</v>
      </c>
    </row>
    <row r="1034" spans="1:25" hidden="1">
      <c r="A1034" t="s">
        <v>270</v>
      </c>
      <c r="B1034" t="s">
        <v>2040</v>
      </c>
      <c r="C1034" t="s">
        <v>1959</v>
      </c>
      <c r="D1034" t="s">
        <v>648</v>
      </c>
      <c r="E1034" t="s">
        <v>1962</v>
      </c>
      <c r="F1034" t="s">
        <v>598</v>
      </c>
      <c r="G1034" t="s">
        <v>599</v>
      </c>
      <c r="H1034" t="s">
        <v>600</v>
      </c>
      <c r="I1034" t="s">
        <v>601</v>
      </c>
      <c r="J1034">
        <v>0.14000000000000001</v>
      </c>
      <c r="K1034">
        <v>0.14349999999999999</v>
      </c>
      <c r="L1034">
        <v>0.1467</v>
      </c>
      <c r="M1034">
        <v>0.15010000000000001</v>
      </c>
      <c r="N1034">
        <v>0.15359999999999999</v>
      </c>
      <c r="O1034">
        <v>0.15620000000000001</v>
      </c>
      <c r="P1034">
        <v>0.15790000000000001</v>
      </c>
      <c r="Q1034">
        <v>0.15970000000000001</v>
      </c>
      <c r="R1034">
        <v>0.16139999999999999</v>
      </c>
      <c r="S1034">
        <v>0.16320000000000001</v>
      </c>
      <c r="T1034">
        <v>0.1658</v>
      </c>
      <c r="U1034">
        <v>0.16769999999999999</v>
      </c>
      <c r="V1034">
        <v>0.1696</v>
      </c>
      <c r="W1034">
        <v>0.1716</v>
      </c>
      <c r="X1034">
        <v>0.17319999999999999</v>
      </c>
      <c r="Y1034">
        <v>0.17580000000000001</v>
      </c>
    </row>
    <row r="1035" spans="1:25" hidden="1">
      <c r="A1035" t="s">
        <v>270</v>
      </c>
      <c r="B1035" t="s">
        <v>2041</v>
      </c>
      <c r="C1035" t="s">
        <v>1959</v>
      </c>
      <c r="D1035" t="s">
        <v>648</v>
      </c>
      <c r="E1035" t="s">
        <v>2003</v>
      </c>
      <c r="F1035" t="s">
        <v>598</v>
      </c>
      <c r="G1035" t="s">
        <v>599</v>
      </c>
      <c r="H1035" t="s">
        <v>600</v>
      </c>
      <c r="I1035" t="s">
        <v>601</v>
      </c>
      <c r="J1035">
        <v>1.01E-2</v>
      </c>
      <c r="K1035">
        <v>1.04E-2</v>
      </c>
      <c r="L1035">
        <v>1.0699999999999999E-2</v>
      </c>
      <c r="M1035">
        <v>1.11E-2</v>
      </c>
      <c r="N1035">
        <v>1.14E-2</v>
      </c>
      <c r="O1035">
        <v>1.14E-2</v>
      </c>
      <c r="P1035">
        <v>1.15E-2</v>
      </c>
      <c r="Q1035">
        <v>1.18E-2</v>
      </c>
      <c r="R1035">
        <v>1.2E-2</v>
      </c>
      <c r="S1035">
        <v>1.2E-2</v>
      </c>
      <c r="T1035">
        <v>1.24E-2</v>
      </c>
      <c r="U1035">
        <v>1.2500000000000001E-2</v>
      </c>
      <c r="V1035">
        <v>1.2800000000000001E-2</v>
      </c>
      <c r="W1035">
        <v>1.32E-2</v>
      </c>
      <c r="X1035">
        <v>1.34E-2</v>
      </c>
      <c r="Y1035">
        <v>1.3599999999999999E-2</v>
      </c>
    </row>
    <row r="1036" spans="1:25" hidden="1">
      <c r="A1036" t="s">
        <v>270</v>
      </c>
      <c r="B1036" t="s">
        <v>2042</v>
      </c>
      <c r="C1036" t="s">
        <v>1959</v>
      </c>
      <c r="D1036" t="s">
        <v>648</v>
      </c>
      <c r="E1036" t="s">
        <v>1380</v>
      </c>
      <c r="F1036" t="s">
        <v>598</v>
      </c>
      <c r="G1036" t="s">
        <v>599</v>
      </c>
      <c r="H1036" t="s">
        <v>600</v>
      </c>
      <c r="I1036" t="s">
        <v>601</v>
      </c>
      <c r="J1036">
        <v>0.40410000000000001</v>
      </c>
      <c r="K1036">
        <v>0.42420000000000002</v>
      </c>
      <c r="L1036">
        <v>0.4476</v>
      </c>
      <c r="M1036">
        <v>0.47320000000000001</v>
      </c>
      <c r="N1036">
        <v>0.49320000000000003</v>
      </c>
      <c r="O1036">
        <v>0.5151</v>
      </c>
      <c r="P1036">
        <v>0.52780000000000005</v>
      </c>
      <c r="Q1036">
        <v>0.54079999999999995</v>
      </c>
      <c r="R1036">
        <v>0.54810000000000003</v>
      </c>
      <c r="S1036">
        <v>0.55530000000000002</v>
      </c>
      <c r="T1036">
        <v>0.56230000000000002</v>
      </c>
      <c r="U1036">
        <v>0.5706</v>
      </c>
      <c r="V1036">
        <v>0.57940000000000003</v>
      </c>
      <c r="W1036">
        <v>0.58789999999999998</v>
      </c>
      <c r="X1036">
        <v>0.59650000000000003</v>
      </c>
      <c r="Y1036">
        <v>0.60499999999999998</v>
      </c>
    </row>
    <row r="1037" spans="1:25" hidden="1">
      <c r="A1037" t="s">
        <v>270</v>
      </c>
      <c r="B1037" t="s">
        <v>2043</v>
      </c>
      <c r="C1037" t="s">
        <v>1959</v>
      </c>
      <c r="D1037" t="s">
        <v>648</v>
      </c>
      <c r="E1037" t="s">
        <v>1976</v>
      </c>
      <c r="F1037" t="s">
        <v>598</v>
      </c>
      <c r="G1037" t="s">
        <v>599</v>
      </c>
      <c r="H1037" t="s">
        <v>600</v>
      </c>
      <c r="I1037" t="s">
        <v>601</v>
      </c>
      <c r="J1037">
        <v>4.4999999999999997E-3</v>
      </c>
      <c r="K1037">
        <v>4.7000000000000002E-3</v>
      </c>
      <c r="L1037">
        <v>4.8999999999999998E-3</v>
      </c>
      <c r="M1037">
        <v>5.0000000000000001E-3</v>
      </c>
      <c r="N1037">
        <v>5.1000000000000004E-3</v>
      </c>
      <c r="O1037">
        <v>5.1999999999999998E-3</v>
      </c>
      <c r="P1037">
        <v>5.1999999999999998E-3</v>
      </c>
      <c r="Q1037">
        <v>5.4999999999999997E-3</v>
      </c>
      <c r="R1037">
        <v>5.4999999999999997E-3</v>
      </c>
      <c r="S1037">
        <v>5.5999999999999999E-3</v>
      </c>
      <c r="T1037">
        <v>5.5999999999999999E-3</v>
      </c>
      <c r="U1037">
        <v>5.8999999999999999E-3</v>
      </c>
      <c r="V1037">
        <v>5.8999999999999999E-3</v>
      </c>
      <c r="W1037">
        <v>6.0000000000000001E-3</v>
      </c>
      <c r="X1037">
        <v>6.0000000000000001E-3</v>
      </c>
      <c r="Y1037">
        <v>6.1999999999999998E-3</v>
      </c>
    </row>
    <row r="1038" spans="1:25" hidden="1">
      <c r="A1038" t="s">
        <v>270</v>
      </c>
      <c r="B1038" t="s">
        <v>2044</v>
      </c>
      <c r="C1038" t="s">
        <v>1959</v>
      </c>
      <c r="D1038" t="s">
        <v>648</v>
      </c>
      <c r="E1038" t="s">
        <v>2045</v>
      </c>
      <c r="F1038" t="s">
        <v>598</v>
      </c>
      <c r="G1038" t="s">
        <v>599</v>
      </c>
      <c r="H1038" t="s">
        <v>600</v>
      </c>
      <c r="I1038" t="s">
        <v>601</v>
      </c>
      <c r="J1038">
        <v>5.9799999999999999E-2</v>
      </c>
      <c r="K1038">
        <v>6.0900000000000003E-2</v>
      </c>
      <c r="L1038">
        <v>6.2E-2</v>
      </c>
      <c r="M1038">
        <v>6.3299999999999995E-2</v>
      </c>
      <c r="N1038">
        <v>6.4000000000000001E-2</v>
      </c>
      <c r="O1038">
        <v>6.4899999999999999E-2</v>
      </c>
      <c r="P1038">
        <v>7.7499999999999999E-2</v>
      </c>
      <c r="Q1038">
        <v>7.8200000000000006E-2</v>
      </c>
      <c r="R1038">
        <v>7.8899999999999998E-2</v>
      </c>
      <c r="S1038">
        <v>7.9799999999999996E-2</v>
      </c>
      <c r="T1038">
        <v>8.0500000000000002E-2</v>
      </c>
      <c r="U1038">
        <v>8.1299999999999997E-2</v>
      </c>
      <c r="V1038">
        <v>8.2400000000000001E-2</v>
      </c>
      <c r="W1038">
        <v>8.3299999999999999E-2</v>
      </c>
      <c r="X1038">
        <v>8.4199999999999997E-2</v>
      </c>
      <c r="Y1038">
        <v>8.5099999999999995E-2</v>
      </c>
    </row>
    <row r="1039" spans="1:25" hidden="1">
      <c r="A1039" t="s">
        <v>270</v>
      </c>
      <c r="B1039" t="s">
        <v>2046</v>
      </c>
      <c r="C1039" t="s">
        <v>1959</v>
      </c>
      <c r="D1039" t="s">
        <v>648</v>
      </c>
      <c r="E1039" t="s">
        <v>2047</v>
      </c>
      <c r="F1039" t="s">
        <v>598</v>
      </c>
      <c r="G1039" t="s">
        <v>599</v>
      </c>
      <c r="H1039" t="s">
        <v>600</v>
      </c>
      <c r="I1039" t="s">
        <v>601</v>
      </c>
      <c r="J1039">
        <v>0.20050000000000001</v>
      </c>
      <c r="K1039">
        <v>0.20810000000000001</v>
      </c>
      <c r="L1039">
        <v>0.2157</v>
      </c>
      <c r="M1039">
        <v>0.22450000000000001</v>
      </c>
      <c r="N1039">
        <v>0.2286</v>
      </c>
      <c r="O1039">
        <v>0.23300000000000001</v>
      </c>
      <c r="P1039">
        <v>0.23649999999999999</v>
      </c>
      <c r="Q1039">
        <v>0.2402</v>
      </c>
      <c r="R1039">
        <v>0.24390000000000001</v>
      </c>
      <c r="S1039">
        <v>0.24779999999999999</v>
      </c>
      <c r="T1039">
        <v>0.252</v>
      </c>
      <c r="U1039">
        <v>0.25650000000000001</v>
      </c>
      <c r="V1039">
        <v>0.26090000000000002</v>
      </c>
      <c r="W1039">
        <v>0.2661</v>
      </c>
      <c r="X1039">
        <v>0.2707</v>
      </c>
      <c r="Y1039">
        <v>0.27539999999999998</v>
      </c>
    </row>
    <row r="1040" spans="1:25" hidden="1">
      <c r="A1040" t="s">
        <v>270</v>
      </c>
      <c r="B1040" t="s">
        <v>2048</v>
      </c>
      <c r="C1040" t="s">
        <v>1959</v>
      </c>
      <c r="D1040" t="s">
        <v>648</v>
      </c>
      <c r="E1040" t="s">
        <v>2049</v>
      </c>
      <c r="F1040" t="s">
        <v>598</v>
      </c>
      <c r="G1040" t="s">
        <v>599</v>
      </c>
      <c r="H1040" t="s">
        <v>600</v>
      </c>
      <c r="I1040" t="s">
        <v>601</v>
      </c>
      <c r="J1040">
        <v>4.1999999999999997E-3</v>
      </c>
      <c r="K1040">
        <v>4.4000000000000003E-3</v>
      </c>
      <c r="L1040">
        <v>4.4999999999999997E-3</v>
      </c>
      <c r="M1040">
        <v>4.7000000000000002E-3</v>
      </c>
      <c r="N1040">
        <v>4.7999999999999996E-3</v>
      </c>
      <c r="O1040">
        <v>4.8999999999999998E-3</v>
      </c>
      <c r="P1040">
        <v>4.8999999999999998E-3</v>
      </c>
      <c r="Q1040">
        <v>5.0000000000000001E-3</v>
      </c>
      <c r="R1040">
        <v>5.1000000000000004E-3</v>
      </c>
      <c r="S1040">
        <v>5.1999999999999998E-3</v>
      </c>
      <c r="T1040">
        <v>5.3E-3</v>
      </c>
      <c r="U1040">
        <v>5.4000000000000003E-3</v>
      </c>
      <c r="V1040">
        <v>5.4999999999999997E-3</v>
      </c>
      <c r="W1040">
        <v>5.7000000000000002E-3</v>
      </c>
      <c r="X1040">
        <v>5.7000000000000002E-3</v>
      </c>
      <c r="Y1040">
        <v>5.8999999999999999E-3</v>
      </c>
    </row>
    <row r="1041" spans="1:25" hidden="1">
      <c r="A1041" t="s">
        <v>270</v>
      </c>
      <c r="B1041" t="s">
        <v>2050</v>
      </c>
      <c r="C1041" t="s">
        <v>1959</v>
      </c>
      <c r="D1041" t="s">
        <v>648</v>
      </c>
      <c r="E1041" t="s">
        <v>2051</v>
      </c>
      <c r="F1041" t="s">
        <v>598</v>
      </c>
      <c r="G1041" t="s">
        <v>599</v>
      </c>
      <c r="H1041" t="s">
        <v>600</v>
      </c>
      <c r="I1041" t="s">
        <v>601</v>
      </c>
      <c r="J1041">
        <v>0.1085</v>
      </c>
      <c r="K1041">
        <v>0.10920000000000001</v>
      </c>
      <c r="L1041">
        <v>0.1095</v>
      </c>
      <c r="M1041">
        <v>0.1094</v>
      </c>
      <c r="N1041">
        <v>0.1116</v>
      </c>
      <c r="O1041">
        <v>0.1118</v>
      </c>
      <c r="P1041">
        <v>0.112</v>
      </c>
      <c r="Q1041">
        <v>0.1123</v>
      </c>
      <c r="R1041">
        <v>0.1139</v>
      </c>
      <c r="S1041">
        <v>0.1154</v>
      </c>
      <c r="T1041">
        <v>0.11899999999999999</v>
      </c>
      <c r="U1041">
        <v>0.1206</v>
      </c>
      <c r="V1041">
        <v>0.1221</v>
      </c>
      <c r="W1041">
        <v>0.1236</v>
      </c>
      <c r="X1041">
        <v>0.12509999999999999</v>
      </c>
      <c r="Y1041">
        <v>0.12870000000000001</v>
      </c>
    </row>
    <row r="1042" spans="1:25" hidden="1">
      <c r="A1042" t="s">
        <v>270</v>
      </c>
      <c r="B1042" t="s">
        <v>2052</v>
      </c>
      <c r="C1042" t="s">
        <v>1959</v>
      </c>
      <c r="D1042" t="s">
        <v>648</v>
      </c>
      <c r="E1042" t="s">
        <v>2010</v>
      </c>
      <c r="F1042" t="s">
        <v>598</v>
      </c>
      <c r="G1042" t="s">
        <v>599</v>
      </c>
      <c r="H1042" t="s">
        <v>600</v>
      </c>
      <c r="I1042" t="s">
        <v>601</v>
      </c>
      <c r="J1042">
        <v>1E-4</v>
      </c>
      <c r="K1042">
        <v>1E-4</v>
      </c>
      <c r="L1042">
        <v>1E-4</v>
      </c>
      <c r="M1042">
        <v>2.0000000000000001E-4</v>
      </c>
      <c r="N1042">
        <v>2.0000000000000001E-4</v>
      </c>
      <c r="O1042">
        <v>2.0000000000000001E-4</v>
      </c>
      <c r="P1042">
        <v>2.0000000000000001E-4</v>
      </c>
      <c r="Q1042">
        <v>2.0000000000000001E-4</v>
      </c>
      <c r="R1042">
        <v>2.0000000000000001E-4</v>
      </c>
      <c r="S1042">
        <v>2.0000000000000001E-4</v>
      </c>
      <c r="T1042">
        <v>2.0000000000000001E-4</v>
      </c>
      <c r="U1042">
        <v>2.0000000000000001E-4</v>
      </c>
      <c r="V1042">
        <v>2.0000000000000001E-4</v>
      </c>
      <c r="W1042">
        <v>2.0000000000000001E-4</v>
      </c>
      <c r="X1042">
        <v>2.0000000000000001E-4</v>
      </c>
      <c r="Y1042">
        <v>2.0000000000000001E-4</v>
      </c>
    </row>
    <row r="1043" spans="1:25" hidden="1">
      <c r="A1043" t="s">
        <v>270</v>
      </c>
      <c r="B1043" t="s">
        <v>2053</v>
      </c>
      <c r="C1043" t="s">
        <v>1959</v>
      </c>
      <c r="D1043" t="s">
        <v>648</v>
      </c>
      <c r="E1043" t="s">
        <v>2022</v>
      </c>
      <c r="F1043" t="s">
        <v>598</v>
      </c>
      <c r="G1043" t="s">
        <v>599</v>
      </c>
      <c r="H1043" t="s">
        <v>600</v>
      </c>
      <c r="I1043" t="s">
        <v>601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hidden="1">
      <c r="A1044" t="s">
        <v>270</v>
      </c>
      <c r="B1044" t="s">
        <v>2054</v>
      </c>
      <c r="C1044" t="s">
        <v>1959</v>
      </c>
      <c r="D1044" t="s">
        <v>648</v>
      </c>
      <c r="E1044" t="s">
        <v>2013</v>
      </c>
      <c r="F1044" t="s">
        <v>598</v>
      </c>
      <c r="G1044" t="s">
        <v>599</v>
      </c>
      <c r="H1044" t="s">
        <v>600</v>
      </c>
      <c r="I1044" t="s">
        <v>601</v>
      </c>
      <c r="J1044">
        <v>1.84E-2</v>
      </c>
      <c r="K1044">
        <v>1.8700000000000001E-2</v>
      </c>
      <c r="L1044">
        <v>1.9300000000000001E-2</v>
      </c>
      <c r="M1044">
        <v>1.9699999999999999E-2</v>
      </c>
      <c r="N1044">
        <v>0.02</v>
      </c>
      <c r="O1044">
        <v>2.0400000000000001E-2</v>
      </c>
      <c r="P1044">
        <v>2.06E-2</v>
      </c>
      <c r="Q1044">
        <v>2.0899999999999998E-2</v>
      </c>
      <c r="R1044">
        <v>2.12E-2</v>
      </c>
      <c r="S1044">
        <v>2.1600000000000001E-2</v>
      </c>
      <c r="T1044">
        <v>2.1899999999999999E-2</v>
      </c>
      <c r="U1044">
        <v>2.2200000000000001E-2</v>
      </c>
      <c r="V1044">
        <v>2.2499999999999999E-2</v>
      </c>
      <c r="W1044">
        <v>2.2800000000000001E-2</v>
      </c>
      <c r="X1044">
        <v>2.3E-2</v>
      </c>
      <c r="Y1044">
        <v>2.3300000000000001E-2</v>
      </c>
    </row>
    <row r="1045" spans="1:25" hidden="1">
      <c r="A1045" t="s">
        <v>270</v>
      </c>
      <c r="B1045" t="s">
        <v>2055</v>
      </c>
      <c r="C1045" t="s">
        <v>1959</v>
      </c>
      <c r="D1045" t="s">
        <v>648</v>
      </c>
      <c r="E1045" t="s">
        <v>1970</v>
      </c>
      <c r="F1045" t="s">
        <v>598</v>
      </c>
      <c r="G1045" t="s">
        <v>599</v>
      </c>
      <c r="H1045" t="s">
        <v>600</v>
      </c>
      <c r="I1045" t="s">
        <v>601</v>
      </c>
      <c r="J1045">
        <v>1.5E-3</v>
      </c>
      <c r="K1045">
        <v>1.5E-3</v>
      </c>
      <c r="L1045">
        <v>1.6000000000000001E-3</v>
      </c>
      <c r="M1045">
        <v>1.6000000000000001E-3</v>
      </c>
      <c r="N1045">
        <v>1.8E-3</v>
      </c>
      <c r="O1045">
        <v>1.8E-3</v>
      </c>
      <c r="P1045">
        <v>1.8E-3</v>
      </c>
      <c r="Q1045">
        <v>1.8E-3</v>
      </c>
      <c r="R1045">
        <v>1.9E-3</v>
      </c>
      <c r="S1045">
        <v>1.9E-3</v>
      </c>
      <c r="T1045">
        <v>1.9E-3</v>
      </c>
      <c r="U1045">
        <v>1.9E-3</v>
      </c>
      <c r="V1045">
        <v>2E-3</v>
      </c>
      <c r="W1045">
        <v>2E-3</v>
      </c>
      <c r="X1045">
        <v>2.0999999999999999E-3</v>
      </c>
      <c r="Y1045">
        <v>2.0999999999999999E-3</v>
      </c>
    </row>
    <row r="1046" spans="1:25" hidden="1">
      <c r="A1046" t="s">
        <v>270</v>
      </c>
      <c r="B1046" t="s">
        <v>2056</v>
      </c>
      <c r="C1046" t="s">
        <v>1959</v>
      </c>
      <c r="D1046" t="s">
        <v>648</v>
      </c>
      <c r="E1046" t="s">
        <v>2057</v>
      </c>
      <c r="F1046" t="s">
        <v>598</v>
      </c>
      <c r="G1046" t="s">
        <v>599</v>
      </c>
      <c r="H1046" t="s">
        <v>600</v>
      </c>
      <c r="I1046" t="s">
        <v>601</v>
      </c>
      <c r="J1046">
        <v>0.15229999999999999</v>
      </c>
      <c r="K1046">
        <v>0.15670000000000001</v>
      </c>
      <c r="L1046">
        <v>0.1613</v>
      </c>
      <c r="M1046">
        <v>0.16650000000000001</v>
      </c>
      <c r="N1046">
        <v>0.1696</v>
      </c>
      <c r="O1046">
        <v>0.17249999999999999</v>
      </c>
      <c r="P1046">
        <v>0.1754</v>
      </c>
      <c r="Q1046">
        <v>0.1787</v>
      </c>
      <c r="R1046">
        <v>0.18149999999999999</v>
      </c>
      <c r="S1046">
        <v>0.18429999999999999</v>
      </c>
      <c r="T1046">
        <v>0.1875</v>
      </c>
      <c r="U1046">
        <v>0.191</v>
      </c>
      <c r="V1046">
        <v>0.1948</v>
      </c>
      <c r="W1046">
        <v>0.19839999999999999</v>
      </c>
      <c r="X1046">
        <v>0.2016</v>
      </c>
      <c r="Y1046">
        <v>0.20499999999999999</v>
      </c>
    </row>
    <row r="1047" spans="1:25" hidden="1">
      <c r="A1047" t="s">
        <v>270</v>
      </c>
      <c r="B1047" t="s">
        <v>2058</v>
      </c>
      <c r="C1047" t="s">
        <v>1959</v>
      </c>
      <c r="D1047" t="s">
        <v>648</v>
      </c>
      <c r="E1047" t="s">
        <v>2025</v>
      </c>
      <c r="F1047" t="s">
        <v>598</v>
      </c>
      <c r="G1047" t="s">
        <v>599</v>
      </c>
      <c r="H1047" t="s">
        <v>600</v>
      </c>
      <c r="I1047" t="s">
        <v>601</v>
      </c>
      <c r="J1047">
        <v>7.7499999999999999E-2</v>
      </c>
      <c r="K1047">
        <v>7.8700000000000006E-2</v>
      </c>
      <c r="L1047">
        <v>7.9899999999999999E-2</v>
      </c>
      <c r="M1047">
        <v>8.1000000000000003E-2</v>
      </c>
      <c r="N1047">
        <v>8.1799999999999998E-2</v>
      </c>
      <c r="O1047">
        <v>8.2500000000000004E-2</v>
      </c>
      <c r="P1047">
        <v>9.2399999999999996E-2</v>
      </c>
      <c r="Q1047">
        <v>9.35E-2</v>
      </c>
      <c r="R1047">
        <v>9.4500000000000001E-2</v>
      </c>
      <c r="S1047">
        <v>9.5399999999999999E-2</v>
      </c>
      <c r="T1047">
        <v>9.6600000000000005E-2</v>
      </c>
      <c r="U1047">
        <v>9.8000000000000004E-2</v>
      </c>
      <c r="V1047">
        <v>9.9199999999999997E-2</v>
      </c>
      <c r="W1047">
        <v>0.1007</v>
      </c>
      <c r="X1047">
        <v>0.10199999999999999</v>
      </c>
      <c r="Y1047">
        <v>0.10340000000000001</v>
      </c>
    </row>
    <row r="1048" spans="1:25" hidden="1">
      <c r="A1048" t="s">
        <v>270</v>
      </c>
      <c r="B1048" t="s">
        <v>2059</v>
      </c>
      <c r="C1048" t="s">
        <v>1959</v>
      </c>
      <c r="D1048" t="s">
        <v>648</v>
      </c>
      <c r="E1048" t="s">
        <v>2060</v>
      </c>
      <c r="F1048" t="s">
        <v>598</v>
      </c>
      <c r="G1048" t="s">
        <v>599</v>
      </c>
      <c r="H1048" t="s">
        <v>600</v>
      </c>
      <c r="I1048" t="s">
        <v>601</v>
      </c>
      <c r="J1048">
        <v>7.6E-3</v>
      </c>
      <c r="K1048">
        <v>7.4000000000000003E-3</v>
      </c>
      <c r="L1048">
        <v>7.1000000000000004E-3</v>
      </c>
      <c r="M1048">
        <v>6.7999999999999996E-3</v>
      </c>
      <c r="N1048">
        <v>6.7000000000000002E-3</v>
      </c>
      <c r="O1048">
        <v>6.6E-3</v>
      </c>
      <c r="P1048">
        <v>6.7000000000000002E-3</v>
      </c>
      <c r="Q1048">
        <v>6.7000000000000002E-3</v>
      </c>
      <c r="R1048">
        <v>6.7999999999999996E-3</v>
      </c>
      <c r="S1048">
        <v>6.7999999999999996E-3</v>
      </c>
      <c r="T1048">
        <v>6.7999999999999996E-3</v>
      </c>
      <c r="U1048">
        <v>6.7999999999999996E-3</v>
      </c>
      <c r="V1048">
        <v>6.7999999999999996E-3</v>
      </c>
      <c r="W1048">
        <v>6.7999999999999996E-3</v>
      </c>
      <c r="X1048">
        <v>6.8999999999999999E-3</v>
      </c>
      <c r="Y1048">
        <v>6.8999999999999999E-3</v>
      </c>
    </row>
    <row r="1049" spans="1:25" hidden="1">
      <c r="A1049" t="s">
        <v>270</v>
      </c>
      <c r="B1049" t="s">
        <v>2061</v>
      </c>
      <c r="C1049" t="s">
        <v>1959</v>
      </c>
      <c r="D1049" t="s">
        <v>648</v>
      </c>
      <c r="E1049" t="s">
        <v>2062</v>
      </c>
      <c r="F1049" t="s">
        <v>598</v>
      </c>
      <c r="G1049" t="s">
        <v>599</v>
      </c>
      <c r="H1049" t="s">
        <v>600</v>
      </c>
      <c r="I1049" t="s">
        <v>601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</row>
    <row r="1050" spans="1:25" hidden="1">
      <c r="A1050" t="s">
        <v>270</v>
      </c>
      <c r="B1050" t="s">
        <v>2063</v>
      </c>
      <c r="C1050" t="s">
        <v>1959</v>
      </c>
      <c r="D1050" t="s">
        <v>648</v>
      </c>
      <c r="E1050" t="s">
        <v>2064</v>
      </c>
      <c r="F1050" t="s">
        <v>598</v>
      </c>
      <c r="G1050" t="s">
        <v>599</v>
      </c>
      <c r="H1050" t="s">
        <v>600</v>
      </c>
      <c r="I1050" t="s">
        <v>601</v>
      </c>
      <c r="J1050">
        <v>1.9099999999999999E-2</v>
      </c>
      <c r="K1050">
        <v>1.9099999999999999E-2</v>
      </c>
      <c r="L1050">
        <v>1.9099999999999999E-2</v>
      </c>
      <c r="M1050">
        <v>1.9099999999999999E-2</v>
      </c>
      <c r="N1050">
        <v>1.9099999999999999E-2</v>
      </c>
      <c r="O1050">
        <v>1.9099999999999999E-2</v>
      </c>
      <c r="P1050">
        <v>2.86E-2</v>
      </c>
      <c r="Q1050">
        <v>2.86E-2</v>
      </c>
      <c r="R1050">
        <v>2.86E-2</v>
      </c>
      <c r="S1050">
        <v>2.86E-2</v>
      </c>
      <c r="T1050">
        <v>2.86E-2</v>
      </c>
      <c r="U1050">
        <v>2.86E-2</v>
      </c>
      <c r="V1050">
        <v>2.86E-2</v>
      </c>
      <c r="W1050">
        <v>2.86E-2</v>
      </c>
      <c r="X1050">
        <v>2.86E-2</v>
      </c>
      <c r="Y1050">
        <v>2.86E-2</v>
      </c>
    </row>
    <row r="1051" spans="1:25" hidden="1">
      <c r="A1051" t="s">
        <v>270</v>
      </c>
      <c r="B1051" t="s">
        <v>2065</v>
      </c>
      <c r="C1051" t="s">
        <v>1959</v>
      </c>
      <c r="D1051" t="s">
        <v>648</v>
      </c>
      <c r="E1051" t="s">
        <v>2066</v>
      </c>
      <c r="F1051" t="s">
        <v>598</v>
      </c>
      <c r="G1051" t="s">
        <v>599</v>
      </c>
      <c r="H1051" t="s">
        <v>600</v>
      </c>
      <c r="I1051" t="s">
        <v>601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</row>
    <row r="1052" spans="1:25" hidden="1">
      <c r="A1052" t="s">
        <v>270</v>
      </c>
      <c r="B1052" t="s">
        <v>2067</v>
      </c>
      <c r="C1052" t="s">
        <v>1959</v>
      </c>
      <c r="D1052" t="s">
        <v>648</v>
      </c>
      <c r="E1052" t="s">
        <v>2027</v>
      </c>
      <c r="F1052" t="s">
        <v>598</v>
      </c>
      <c r="G1052" t="s">
        <v>599</v>
      </c>
      <c r="H1052" t="s">
        <v>600</v>
      </c>
      <c r="I1052" t="s">
        <v>601</v>
      </c>
      <c r="J1052">
        <v>4.8999999999999998E-3</v>
      </c>
      <c r="K1052">
        <v>4.7999999999999996E-3</v>
      </c>
      <c r="L1052">
        <v>4.8999999999999998E-3</v>
      </c>
      <c r="M1052">
        <v>5.0000000000000001E-3</v>
      </c>
      <c r="N1052">
        <v>5.0000000000000001E-3</v>
      </c>
      <c r="O1052">
        <v>5.1000000000000004E-3</v>
      </c>
      <c r="P1052">
        <v>5.4000000000000003E-3</v>
      </c>
      <c r="Q1052">
        <v>5.4000000000000003E-3</v>
      </c>
      <c r="R1052">
        <v>5.4999999999999997E-3</v>
      </c>
      <c r="S1052">
        <v>5.4999999999999997E-3</v>
      </c>
      <c r="T1052">
        <v>5.7000000000000002E-3</v>
      </c>
      <c r="U1052">
        <v>5.7999999999999996E-3</v>
      </c>
      <c r="V1052">
        <v>5.7999999999999996E-3</v>
      </c>
      <c r="W1052">
        <v>5.8999999999999999E-3</v>
      </c>
      <c r="X1052">
        <v>6.0000000000000001E-3</v>
      </c>
      <c r="Y1052">
        <v>6.0000000000000001E-3</v>
      </c>
    </row>
    <row r="1053" spans="1:25" hidden="1">
      <c r="A1053" t="s">
        <v>270</v>
      </c>
      <c r="B1053" t="s">
        <v>2068</v>
      </c>
      <c r="C1053" t="s">
        <v>1959</v>
      </c>
      <c r="D1053" t="s">
        <v>648</v>
      </c>
      <c r="E1053" t="s">
        <v>2069</v>
      </c>
      <c r="F1053" t="s">
        <v>598</v>
      </c>
      <c r="G1053" t="s">
        <v>599</v>
      </c>
      <c r="H1053" t="s">
        <v>600</v>
      </c>
      <c r="I1053" t="s">
        <v>601</v>
      </c>
      <c r="J1053">
        <v>1E-4</v>
      </c>
      <c r="K1053">
        <v>1E-4</v>
      </c>
      <c r="L1053">
        <v>1E-4</v>
      </c>
      <c r="M1053">
        <v>1E-4</v>
      </c>
      <c r="N1053">
        <v>1E-4</v>
      </c>
      <c r="O1053">
        <v>1E-4</v>
      </c>
      <c r="P1053">
        <v>1E-4</v>
      </c>
      <c r="Q1053">
        <v>1E-4</v>
      </c>
      <c r="R1053">
        <v>1E-4</v>
      </c>
      <c r="S1053">
        <v>1E-4</v>
      </c>
      <c r="T1053">
        <v>2.0000000000000001E-4</v>
      </c>
      <c r="U1053">
        <v>2.0000000000000001E-4</v>
      </c>
      <c r="V1053">
        <v>2.0000000000000001E-4</v>
      </c>
      <c r="W1053">
        <v>2.0000000000000001E-4</v>
      </c>
      <c r="X1053">
        <v>2.0000000000000001E-4</v>
      </c>
      <c r="Y1053">
        <v>2.0000000000000001E-4</v>
      </c>
    </row>
    <row r="1054" spans="1:25" hidden="1">
      <c r="A1054" t="s">
        <v>270</v>
      </c>
      <c r="B1054" t="s">
        <v>2070</v>
      </c>
      <c r="C1054" t="s">
        <v>1959</v>
      </c>
      <c r="D1054" t="s">
        <v>648</v>
      </c>
      <c r="E1054" t="s">
        <v>2071</v>
      </c>
      <c r="F1054" t="s">
        <v>598</v>
      </c>
      <c r="G1054" t="s">
        <v>599</v>
      </c>
      <c r="H1054" t="s">
        <v>600</v>
      </c>
      <c r="I1054" t="s">
        <v>601</v>
      </c>
      <c r="J1054">
        <v>8.6999999999999994E-3</v>
      </c>
      <c r="K1054">
        <v>8.6999999999999994E-3</v>
      </c>
      <c r="L1054">
        <v>8.9999999999999993E-3</v>
      </c>
      <c r="M1054">
        <v>8.9999999999999993E-3</v>
      </c>
      <c r="N1054">
        <v>9.1000000000000004E-3</v>
      </c>
      <c r="O1054">
        <v>9.1000000000000004E-3</v>
      </c>
      <c r="P1054">
        <v>9.2999999999999992E-3</v>
      </c>
      <c r="Q1054">
        <v>9.4000000000000004E-3</v>
      </c>
      <c r="R1054">
        <v>9.4000000000000004E-3</v>
      </c>
      <c r="S1054">
        <v>9.7000000000000003E-3</v>
      </c>
      <c r="T1054">
        <v>9.7000000000000003E-3</v>
      </c>
      <c r="U1054">
        <v>9.7999999999999997E-3</v>
      </c>
      <c r="V1054">
        <v>9.9000000000000008E-3</v>
      </c>
      <c r="W1054">
        <v>0.01</v>
      </c>
      <c r="X1054">
        <v>0.01</v>
      </c>
      <c r="Y1054">
        <v>1.03E-2</v>
      </c>
    </row>
    <row r="1055" spans="1:25" hidden="1">
      <c r="A1055" t="s">
        <v>270</v>
      </c>
      <c r="B1055" t="s">
        <v>2072</v>
      </c>
      <c r="C1055" t="s">
        <v>1959</v>
      </c>
      <c r="D1055" t="s">
        <v>648</v>
      </c>
      <c r="E1055" t="s">
        <v>1966</v>
      </c>
      <c r="F1055" t="s">
        <v>598</v>
      </c>
      <c r="G1055" t="s">
        <v>599</v>
      </c>
      <c r="H1055" t="s">
        <v>600</v>
      </c>
      <c r="I1055" t="s">
        <v>601</v>
      </c>
      <c r="J1055">
        <v>7.4499999999999997E-2</v>
      </c>
      <c r="K1055">
        <v>7.6399999999999996E-2</v>
      </c>
      <c r="L1055">
        <v>7.8299999999999995E-2</v>
      </c>
      <c r="M1055">
        <v>8.0500000000000002E-2</v>
      </c>
      <c r="N1055">
        <v>8.2199999999999995E-2</v>
      </c>
      <c r="O1055">
        <v>8.4199999999999997E-2</v>
      </c>
      <c r="P1055">
        <v>8.6599999999999996E-2</v>
      </c>
      <c r="Q1055">
        <v>8.8999999999999996E-2</v>
      </c>
      <c r="R1055">
        <v>9.0200000000000002E-2</v>
      </c>
      <c r="S1055">
        <v>9.1300000000000006E-2</v>
      </c>
      <c r="T1055">
        <v>9.2100000000000001E-2</v>
      </c>
      <c r="U1055">
        <v>9.3600000000000003E-2</v>
      </c>
      <c r="V1055">
        <v>9.4799999999999995E-2</v>
      </c>
      <c r="W1055">
        <v>9.5899999999999999E-2</v>
      </c>
      <c r="X1055">
        <v>9.74E-2</v>
      </c>
      <c r="Y1055">
        <v>9.8400000000000001E-2</v>
      </c>
    </row>
    <row r="1056" spans="1:25" hidden="1">
      <c r="A1056" t="s">
        <v>270</v>
      </c>
      <c r="B1056" t="s">
        <v>2073</v>
      </c>
      <c r="C1056" t="s">
        <v>1959</v>
      </c>
      <c r="D1056" t="s">
        <v>648</v>
      </c>
      <c r="E1056" t="s">
        <v>1979</v>
      </c>
      <c r="F1056" t="s">
        <v>598</v>
      </c>
      <c r="G1056" t="s">
        <v>599</v>
      </c>
      <c r="H1056" t="s">
        <v>600</v>
      </c>
      <c r="I1056" t="s">
        <v>601</v>
      </c>
      <c r="J1056">
        <v>6.3899999999999998E-2</v>
      </c>
      <c r="K1056">
        <v>6.5500000000000003E-2</v>
      </c>
      <c r="L1056">
        <v>6.7100000000000007E-2</v>
      </c>
      <c r="M1056">
        <v>6.8900000000000003E-2</v>
      </c>
      <c r="N1056">
        <v>6.9800000000000001E-2</v>
      </c>
      <c r="O1056">
        <v>7.0599999999999996E-2</v>
      </c>
      <c r="P1056">
        <v>7.3599999999999999E-2</v>
      </c>
      <c r="Q1056">
        <v>7.46E-2</v>
      </c>
      <c r="R1056">
        <v>7.5800000000000006E-2</v>
      </c>
      <c r="S1056">
        <v>7.6799999999999993E-2</v>
      </c>
      <c r="T1056">
        <v>7.8100000000000003E-2</v>
      </c>
      <c r="U1056">
        <v>7.9399999999999998E-2</v>
      </c>
      <c r="V1056">
        <v>8.09E-2</v>
      </c>
      <c r="W1056">
        <v>8.2400000000000001E-2</v>
      </c>
      <c r="X1056">
        <v>8.3799999999999999E-2</v>
      </c>
      <c r="Y1056">
        <v>8.5199999999999998E-2</v>
      </c>
    </row>
    <row r="1057" spans="1:25" hidden="1">
      <c r="A1057" t="s">
        <v>270</v>
      </c>
      <c r="B1057" t="s">
        <v>2074</v>
      </c>
      <c r="C1057" t="s">
        <v>2075</v>
      </c>
      <c r="D1057" t="s">
        <v>1332</v>
      </c>
      <c r="E1057" t="s">
        <v>1684</v>
      </c>
      <c r="F1057" t="s">
        <v>598</v>
      </c>
      <c r="G1057" t="s">
        <v>599</v>
      </c>
      <c r="H1057" t="s">
        <v>600</v>
      </c>
      <c r="I1057" t="s">
        <v>601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hidden="1">
      <c r="A1058" t="s">
        <v>270</v>
      </c>
      <c r="B1058" t="s">
        <v>2076</v>
      </c>
      <c r="C1058" t="s">
        <v>2075</v>
      </c>
      <c r="D1058" t="s">
        <v>1435</v>
      </c>
      <c r="E1058" t="s">
        <v>973</v>
      </c>
      <c r="F1058" t="s">
        <v>598</v>
      </c>
      <c r="G1058" t="s">
        <v>599</v>
      </c>
      <c r="H1058" t="s">
        <v>600</v>
      </c>
      <c r="I1058" t="s">
        <v>601</v>
      </c>
      <c r="J1058">
        <v>7.0099999999999996E-2</v>
      </c>
      <c r="K1058">
        <v>7.1999999999999995E-2</v>
      </c>
      <c r="L1058">
        <v>7.3499999999999996E-2</v>
      </c>
      <c r="M1058">
        <v>7.4499999999999997E-2</v>
      </c>
      <c r="N1058">
        <v>7.5999999999999998E-2</v>
      </c>
      <c r="O1058">
        <v>7.7399999999999997E-2</v>
      </c>
      <c r="P1058">
        <v>7.9000000000000001E-2</v>
      </c>
      <c r="Q1058">
        <v>8.0500000000000002E-2</v>
      </c>
      <c r="R1058">
        <v>8.1199999999999994E-2</v>
      </c>
      <c r="S1058">
        <v>8.2199999999999995E-2</v>
      </c>
      <c r="T1058">
        <v>8.3000000000000004E-2</v>
      </c>
      <c r="U1058">
        <v>8.3699999999999997E-2</v>
      </c>
      <c r="V1058">
        <v>8.4500000000000006E-2</v>
      </c>
      <c r="W1058">
        <v>8.5099999999999995E-2</v>
      </c>
      <c r="X1058">
        <v>8.5699999999999998E-2</v>
      </c>
      <c r="Y1058">
        <v>8.6499999999999994E-2</v>
      </c>
    </row>
    <row r="1059" spans="1:25" hidden="1">
      <c r="A1059" t="s">
        <v>270</v>
      </c>
      <c r="B1059" t="s">
        <v>2077</v>
      </c>
      <c r="C1059" t="s">
        <v>2075</v>
      </c>
      <c r="D1059" t="s">
        <v>1354</v>
      </c>
      <c r="E1059" t="s">
        <v>973</v>
      </c>
      <c r="F1059" t="s">
        <v>598</v>
      </c>
      <c r="G1059" t="s">
        <v>599</v>
      </c>
      <c r="H1059" t="s">
        <v>600</v>
      </c>
      <c r="I1059" t="s">
        <v>601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hidden="1">
      <c r="A1060" t="s">
        <v>270</v>
      </c>
      <c r="B1060" t="s">
        <v>2078</v>
      </c>
      <c r="C1060" t="s">
        <v>2075</v>
      </c>
      <c r="D1060" t="s">
        <v>2079</v>
      </c>
      <c r="E1060" t="s">
        <v>1378</v>
      </c>
      <c r="F1060" t="s">
        <v>598</v>
      </c>
      <c r="G1060" t="s">
        <v>599</v>
      </c>
      <c r="H1060" t="s">
        <v>600</v>
      </c>
      <c r="I1060" t="s">
        <v>601</v>
      </c>
      <c r="J1060">
        <v>0.43880000000000002</v>
      </c>
      <c r="K1060">
        <v>0.44450000000000001</v>
      </c>
      <c r="L1060">
        <v>0.44979999999999998</v>
      </c>
      <c r="M1060">
        <v>0.45500000000000002</v>
      </c>
      <c r="N1060">
        <v>0.45989999999999998</v>
      </c>
      <c r="O1060">
        <v>0.46560000000000001</v>
      </c>
      <c r="P1060">
        <v>0.47060000000000002</v>
      </c>
      <c r="Q1060">
        <v>0.4758</v>
      </c>
      <c r="R1060">
        <v>0.48070000000000002</v>
      </c>
      <c r="S1060">
        <v>0.48520000000000002</v>
      </c>
      <c r="T1060">
        <v>0.49030000000000001</v>
      </c>
      <c r="U1060">
        <v>0.49580000000000002</v>
      </c>
      <c r="V1060">
        <v>0.50119999999999998</v>
      </c>
      <c r="W1060">
        <v>0.50690000000000002</v>
      </c>
      <c r="X1060">
        <v>0.51300000000000001</v>
      </c>
      <c r="Y1060">
        <v>0.51839999999999997</v>
      </c>
    </row>
    <row r="1061" spans="1:25" hidden="1">
      <c r="A1061" t="s">
        <v>270</v>
      </c>
      <c r="B1061" t="s">
        <v>2080</v>
      </c>
      <c r="C1061" t="s">
        <v>2075</v>
      </c>
      <c r="D1061" t="s">
        <v>2079</v>
      </c>
      <c r="E1061" t="s">
        <v>2081</v>
      </c>
      <c r="F1061" t="s">
        <v>598</v>
      </c>
      <c r="G1061" t="s">
        <v>599</v>
      </c>
      <c r="H1061" t="s">
        <v>600</v>
      </c>
      <c r="I1061" t="s">
        <v>601</v>
      </c>
      <c r="J1061">
        <v>1.6E-2</v>
      </c>
      <c r="K1061">
        <v>1.6E-2</v>
      </c>
      <c r="L1061">
        <v>1.6E-2</v>
      </c>
      <c r="M1061">
        <v>1.6E-2</v>
      </c>
      <c r="N1061">
        <v>1.5900000000000001E-2</v>
      </c>
      <c r="O1061">
        <v>1.5800000000000002E-2</v>
      </c>
      <c r="P1061">
        <v>1.5900000000000001E-2</v>
      </c>
      <c r="Q1061">
        <v>1.5900000000000001E-2</v>
      </c>
      <c r="R1061">
        <v>1.5900000000000001E-2</v>
      </c>
      <c r="S1061">
        <v>1.5900000000000001E-2</v>
      </c>
      <c r="T1061">
        <v>1.5900000000000001E-2</v>
      </c>
      <c r="U1061">
        <v>1.6E-2</v>
      </c>
      <c r="V1061">
        <v>1.61E-2</v>
      </c>
      <c r="W1061">
        <v>1.61E-2</v>
      </c>
      <c r="X1061">
        <v>1.61E-2</v>
      </c>
      <c r="Y1061">
        <v>1.61E-2</v>
      </c>
    </row>
    <row r="1062" spans="1:25" hidden="1">
      <c r="A1062" t="s">
        <v>270</v>
      </c>
      <c r="B1062" t="s">
        <v>2082</v>
      </c>
      <c r="C1062" t="s">
        <v>2075</v>
      </c>
      <c r="D1062" t="s">
        <v>2079</v>
      </c>
      <c r="E1062" t="s">
        <v>2083</v>
      </c>
      <c r="F1062" t="s">
        <v>598</v>
      </c>
      <c r="G1062" t="s">
        <v>599</v>
      </c>
      <c r="H1062" t="s">
        <v>600</v>
      </c>
      <c r="I1062" t="s">
        <v>601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1E-4</v>
      </c>
      <c r="Q1062">
        <v>1E-4</v>
      </c>
      <c r="R1062">
        <v>1E-4</v>
      </c>
      <c r="S1062">
        <v>1E-4</v>
      </c>
      <c r="T1062">
        <v>1E-4</v>
      </c>
      <c r="U1062">
        <v>1E-4</v>
      </c>
      <c r="V1062">
        <v>1E-4</v>
      </c>
      <c r="W1062">
        <v>1E-4</v>
      </c>
      <c r="X1062">
        <v>1E-4</v>
      </c>
      <c r="Y1062">
        <v>1E-4</v>
      </c>
    </row>
    <row r="1063" spans="1:25" hidden="1">
      <c r="A1063" t="s">
        <v>270</v>
      </c>
      <c r="B1063" t="s">
        <v>2084</v>
      </c>
      <c r="C1063" t="s">
        <v>2075</v>
      </c>
      <c r="D1063" t="s">
        <v>2079</v>
      </c>
      <c r="E1063" t="s">
        <v>2022</v>
      </c>
      <c r="F1063" t="s">
        <v>598</v>
      </c>
      <c r="G1063" t="s">
        <v>599</v>
      </c>
      <c r="H1063" t="s">
        <v>600</v>
      </c>
      <c r="I1063" t="s">
        <v>601</v>
      </c>
      <c r="J1063">
        <v>1.4200000000000001E-2</v>
      </c>
      <c r="K1063">
        <v>1.44E-2</v>
      </c>
      <c r="L1063">
        <v>1.46E-2</v>
      </c>
      <c r="M1063">
        <v>1.4800000000000001E-2</v>
      </c>
      <c r="N1063">
        <v>1.4999999999999999E-2</v>
      </c>
      <c r="O1063">
        <v>1.52E-2</v>
      </c>
      <c r="P1063">
        <v>1.54E-2</v>
      </c>
      <c r="Q1063">
        <v>1.5599999999999999E-2</v>
      </c>
      <c r="R1063">
        <v>1.5699999999999999E-2</v>
      </c>
      <c r="S1063">
        <v>1.5900000000000001E-2</v>
      </c>
      <c r="T1063">
        <v>1.61E-2</v>
      </c>
      <c r="U1063">
        <v>1.6299999999999999E-2</v>
      </c>
      <c r="V1063">
        <v>1.6500000000000001E-2</v>
      </c>
      <c r="W1063">
        <v>1.67E-2</v>
      </c>
      <c r="X1063">
        <v>1.6899999999999998E-2</v>
      </c>
      <c r="Y1063">
        <v>1.7100000000000001E-2</v>
      </c>
    </row>
    <row r="1064" spans="1:25" hidden="1">
      <c r="A1064" t="s">
        <v>270</v>
      </c>
      <c r="B1064" t="s">
        <v>2085</v>
      </c>
      <c r="C1064" t="s">
        <v>2075</v>
      </c>
      <c r="D1064" t="s">
        <v>2079</v>
      </c>
      <c r="E1064" t="s">
        <v>2086</v>
      </c>
      <c r="F1064" t="s">
        <v>598</v>
      </c>
      <c r="G1064" t="s">
        <v>599</v>
      </c>
      <c r="H1064" t="s">
        <v>600</v>
      </c>
      <c r="I1064" t="s">
        <v>601</v>
      </c>
      <c r="J1064">
        <v>8.0000000000000004E-4</v>
      </c>
      <c r="K1064">
        <v>8.0000000000000004E-4</v>
      </c>
      <c r="L1064">
        <v>8.9999999999999998E-4</v>
      </c>
      <c r="M1064">
        <v>8.9999999999999998E-4</v>
      </c>
      <c r="N1064">
        <v>1E-3</v>
      </c>
      <c r="O1064">
        <v>1E-3</v>
      </c>
      <c r="P1064">
        <v>1E-3</v>
      </c>
      <c r="Q1064">
        <v>1.1000000000000001E-3</v>
      </c>
      <c r="R1064">
        <v>1.1000000000000001E-3</v>
      </c>
      <c r="S1064">
        <v>1.1000000000000001E-3</v>
      </c>
      <c r="T1064">
        <v>1.1000000000000001E-3</v>
      </c>
      <c r="U1064">
        <v>1.1000000000000001E-3</v>
      </c>
      <c r="V1064">
        <v>1.1999999999999999E-3</v>
      </c>
      <c r="W1064">
        <v>1.1999999999999999E-3</v>
      </c>
      <c r="X1064">
        <v>1.1999999999999999E-3</v>
      </c>
      <c r="Y1064">
        <v>1.1999999999999999E-3</v>
      </c>
    </row>
    <row r="1065" spans="1:25" hidden="1">
      <c r="A1065" t="s">
        <v>270</v>
      </c>
      <c r="B1065" t="s">
        <v>2087</v>
      </c>
      <c r="C1065" t="s">
        <v>2075</v>
      </c>
      <c r="D1065" t="s">
        <v>2079</v>
      </c>
      <c r="E1065" t="s">
        <v>2088</v>
      </c>
      <c r="F1065" t="s">
        <v>598</v>
      </c>
      <c r="G1065" t="s">
        <v>599</v>
      </c>
      <c r="H1065" t="s">
        <v>600</v>
      </c>
      <c r="I1065" t="s">
        <v>601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hidden="1">
      <c r="A1066" t="s">
        <v>270</v>
      </c>
      <c r="B1066" t="s">
        <v>2089</v>
      </c>
      <c r="C1066" t="s">
        <v>2075</v>
      </c>
      <c r="D1066" t="s">
        <v>2090</v>
      </c>
      <c r="E1066" t="s">
        <v>2091</v>
      </c>
      <c r="F1066" t="s">
        <v>598</v>
      </c>
      <c r="G1066" t="s">
        <v>599</v>
      </c>
      <c r="H1066" t="s">
        <v>600</v>
      </c>
      <c r="I1066" t="s">
        <v>601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hidden="1">
      <c r="A1067" t="s">
        <v>270</v>
      </c>
      <c r="B1067" t="s">
        <v>2092</v>
      </c>
      <c r="C1067" t="s">
        <v>2075</v>
      </c>
      <c r="D1067" t="s">
        <v>2090</v>
      </c>
      <c r="E1067" t="s">
        <v>1378</v>
      </c>
      <c r="F1067" t="s">
        <v>598</v>
      </c>
      <c r="G1067" t="s">
        <v>599</v>
      </c>
      <c r="H1067" t="s">
        <v>600</v>
      </c>
      <c r="I1067" t="s">
        <v>601</v>
      </c>
      <c r="J1067">
        <v>1.89E-2</v>
      </c>
      <c r="K1067">
        <v>1.9199999999999998E-2</v>
      </c>
      <c r="L1067">
        <v>1.9300000000000001E-2</v>
      </c>
      <c r="M1067">
        <v>1.9800000000000002E-2</v>
      </c>
      <c r="N1067">
        <v>0.02</v>
      </c>
      <c r="O1067">
        <v>2.0400000000000001E-2</v>
      </c>
      <c r="P1067">
        <v>2.0799999999999999E-2</v>
      </c>
      <c r="Q1067">
        <v>2.1100000000000001E-2</v>
      </c>
      <c r="R1067">
        <v>2.1299999999999999E-2</v>
      </c>
      <c r="S1067">
        <v>2.1499999999999998E-2</v>
      </c>
      <c r="T1067">
        <v>2.1700000000000001E-2</v>
      </c>
      <c r="U1067">
        <v>2.2100000000000002E-2</v>
      </c>
      <c r="V1067">
        <v>2.2200000000000001E-2</v>
      </c>
      <c r="W1067">
        <v>2.2499999999999999E-2</v>
      </c>
      <c r="X1067">
        <v>2.2800000000000001E-2</v>
      </c>
      <c r="Y1067">
        <v>2.3199999999999998E-2</v>
      </c>
    </row>
    <row r="1068" spans="1:25" hidden="1">
      <c r="A1068" t="s">
        <v>270</v>
      </c>
      <c r="B1068" t="s">
        <v>2093</v>
      </c>
      <c r="C1068" t="s">
        <v>2075</v>
      </c>
      <c r="D1068" t="s">
        <v>2090</v>
      </c>
      <c r="E1068" t="s">
        <v>2086</v>
      </c>
      <c r="F1068" t="s">
        <v>598</v>
      </c>
      <c r="G1068" t="s">
        <v>599</v>
      </c>
      <c r="H1068" t="s">
        <v>600</v>
      </c>
      <c r="I1068" t="s">
        <v>601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hidden="1">
      <c r="A1069" t="s">
        <v>270</v>
      </c>
      <c r="B1069" t="s">
        <v>2094</v>
      </c>
      <c r="C1069" t="s">
        <v>2075</v>
      </c>
      <c r="D1069" t="s">
        <v>2090</v>
      </c>
      <c r="E1069" t="s">
        <v>2095</v>
      </c>
      <c r="F1069" t="s">
        <v>598</v>
      </c>
      <c r="G1069" t="s">
        <v>599</v>
      </c>
      <c r="H1069" t="s">
        <v>600</v>
      </c>
      <c r="I1069" t="s">
        <v>601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</row>
    <row r="1070" spans="1:25" hidden="1">
      <c r="A1070" t="s">
        <v>270</v>
      </c>
      <c r="B1070" t="s">
        <v>2096</v>
      </c>
      <c r="C1070" t="s">
        <v>2075</v>
      </c>
      <c r="D1070" t="s">
        <v>2090</v>
      </c>
      <c r="E1070" t="s">
        <v>2097</v>
      </c>
      <c r="F1070" t="s">
        <v>598</v>
      </c>
      <c r="G1070" t="s">
        <v>599</v>
      </c>
      <c r="H1070" t="s">
        <v>600</v>
      </c>
      <c r="I1070" t="s">
        <v>601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hidden="1">
      <c r="A1071" t="s">
        <v>270</v>
      </c>
      <c r="B1071" t="s">
        <v>2098</v>
      </c>
      <c r="C1071" t="s">
        <v>2075</v>
      </c>
      <c r="D1071" t="s">
        <v>2090</v>
      </c>
      <c r="E1071" t="s">
        <v>2099</v>
      </c>
      <c r="F1071" t="s">
        <v>598</v>
      </c>
      <c r="G1071" t="s">
        <v>599</v>
      </c>
      <c r="H1071" t="s">
        <v>600</v>
      </c>
      <c r="I1071" t="s">
        <v>601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hidden="1">
      <c r="A1072" t="s">
        <v>270</v>
      </c>
      <c r="B1072" t="s">
        <v>2100</v>
      </c>
      <c r="C1072" t="s">
        <v>2075</v>
      </c>
      <c r="D1072" t="s">
        <v>2090</v>
      </c>
      <c r="E1072" t="s">
        <v>2088</v>
      </c>
      <c r="F1072" t="s">
        <v>598</v>
      </c>
      <c r="G1072" t="s">
        <v>599</v>
      </c>
      <c r="H1072" t="s">
        <v>600</v>
      </c>
      <c r="I1072" t="s">
        <v>601</v>
      </c>
      <c r="J1072">
        <v>2E-3</v>
      </c>
      <c r="K1072">
        <v>2.0999999999999999E-3</v>
      </c>
      <c r="L1072">
        <v>2.0999999999999999E-3</v>
      </c>
      <c r="M1072">
        <v>2.0999999999999999E-3</v>
      </c>
      <c r="N1072">
        <v>2.0999999999999999E-3</v>
      </c>
      <c r="O1072">
        <v>2.2000000000000001E-3</v>
      </c>
      <c r="P1072">
        <v>2.2000000000000001E-3</v>
      </c>
      <c r="Q1072">
        <v>2.3E-3</v>
      </c>
      <c r="R1072">
        <v>2.3E-3</v>
      </c>
      <c r="S1072">
        <v>2.3E-3</v>
      </c>
      <c r="T1072">
        <v>2.3999999999999998E-3</v>
      </c>
      <c r="U1072">
        <v>2.3999999999999998E-3</v>
      </c>
      <c r="V1072">
        <v>2.5000000000000001E-3</v>
      </c>
      <c r="W1072">
        <v>2.5000000000000001E-3</v>
      </c>
      <c r="X1072">
        <v>2.5999999999999999E-3</v>
      </c>
      <c r="Y1072">
        <v>2.7000000000000001E-3</v>
      </c>
    </row>
    <row r="1073" spans="1:25" hidden="1">
      <c r="A1073" t="s">
        <v>270</v>
      </c>
      <c r="B1073" t="s">
        <v>2101</v>
      </c>
      <c r="C1073" t="s">
        <v>2075</v>
      </c>
      <c r="D1073" t="s">
        <v>2090</v>
      </c>
      <c r="E1073" t="s">
        <v>2102</v>
      </c>
      <c r="F1073" t="s">
        <v>598</v>
      </c>
      <c r="G1073" t="s">
        <v>599</v>
      </c>
      <c r="H1073" t="s">
        <v>600</v>
      </c>
      <c r="I1073" t="s">
        <v>601</v>
      </c>
      <c r="J1073">
        <v>6.6E-3</v>
      </c>
      <c r="K1073">
        <v>6.8999999999999999E-3</v>
      </c>
      <c r="L1073">
        <v>7.4000000000000003E-3</v>
      </c>
      <c r="M1073">
        <v>8.0000000000000002E-3</v>
      </c>
      <c r="N1073">
        <v>8.3999999999999995E-3</v>
      </c>
      <c r="O1073">
        <v>8.8000000000000005E-3</v>
      </c>
      <c r="P1073">
        <v>9.2999999999999992E-3</v>
      </c>
      <c r="Q1073">
        <v>9.9000000000000008E-3</v>
      </c>
      <c r="R1073">
        <v>1.0200000000000001E-2</v>
      </c>
      <c r="S1073">
        <v>1.0699999999999999E-2</v>
      </c>
      <c r="T1073">
        <v>1.11E-2</v>
      </c>
      <c r="U1073">
        <v>1.14E-2</v>
      </c>
      <c r="V1073">
        <v>1.18E-2</v>
      </c>
      <c r="W1073">
        <v>1.2200000000000001E-2</v>
      </c>
      <c r="X1073">
        <v>1.26E-2</v>
      </c>
      <c r="Y1073">
        <v>1.3100000000000001E-2</v>
      </c>
    </row>
    <row r="1074" spans="1:25" hidden="1">
      <c r="A1074" t="s">
        <v>270</v>
      </c>
      <c r="B1074" t="s">
        <v>2103</v>
      </c>
      <c r="C1074" t="s">
        <v>2075</v>
      </c>
      <c r="D1074" t="s">
        <v>648</v>
      </c>
      <c r="E1074" t="s">
        <v>973</v>
      </c>
      <c r="F1074" t="s">
        <v>598</v>
      </c>
      <c r="G1074" t="s">
        <v>599</v>
      </c>
      <c r="H1074" t="s">
        <v>600</v>
      </c>
      <c r="I1074" t="s">
        <v>601</v>
      </c>
      <c r="J1074">
        <v>4.0000000000000002E-4</v>
      </c>
      <c r="K1074">
        <v>4.0000000000000002E-4</v>
      </c>
      <c r="L1074">
        <v>5.0000000000000001E-4</v>
      </c>
      <c r="M1074">
        <v>5.0000000000000001E-4</v>
      </c>
      <c r="N1074">
        <v>5.0000000000000001E-4</v>
      </c>
      <c r="O1074">
        <v>4.0000000000000002E-4</v>
      </c>
      <c r="P1074">
        <v>4.0000000000000002E-4</v>
      </c>
      <c r="Q1074">
        <v>5.0000000000000001E-4</v>
      </c>
      <c r="R1074">
        <v>5.0000000000000001E-4</v>
      </c>
      <c r="S1074">
        <v>5.0000000000000001E-4</v>
      </c>
      <c r="T1074">
        <v>5.9999999999999995E-4</v>
      </c>
      <c r="U1074">
        <v>5.9999999999999995E-4</v>
      </c>
      <c r="V1074">
        <v>5.9999999999999995E-4</v>
      </c>
      <c r="W1074">
        <v>5.9999999999999995E-4</v>
      </c>
      <c r="X1074">
        <v>5.9999999999999995E-4</v>
      </c>
      <c r="Y1074">
        <v>5.9999999999999995E-4</v>
      </c>
    </row>
    <row r="1075" spans="1:25" hidden="1">
      <c r="A1075" t="s">
        <v>270</v>
      </c>
      <c r="B1075" t="s">
        <v>2104</v>
      </c>
      <c r="C1075" t="s">
        <v>2075</v>
      </c>
      <c r="D1075" t="s">
        <v>648</v>
      </c>
      <c r="E1075" t="s">
        <v>605</v>
      </c>
      <c r="F1075" t="s">
        <v>598</v>
      </c>
      <c r="G1075" t="s">
        <v>599</v>
      </c>
      <c r="H1075" t="s">
        <v>600</v>
      </c>
      <c r="I1075" t="s">
        <v>601</v>
      </c>
      <c r="J1075">
        <v>1.1000000000000001E-3</v>
      </c>
      <c r="K1075">
        <v>1.1000000000000001E-3</v>
      </c>
      <c r="L1075">
        <v>1.1000000000000001E-3</v>
      </c>
      <c r="M1075">
        <v>1.1000000000000001E-3</v>
      </c>
      <c r="N1075">
        <v>1.1000000000000001E-3</v>
      </c>
      <c r="O1075">
        <v>1.1000000000000001E-3</v>
      </c>
      <c r="P1075">
        <v>1.1000000000000001E-3</v>
      </c>
      <c r="Q1075">
        <v>1.1000000000000001E-3</v>
      </c>
      <c r="R1075">
        <v>1.1000000000000001E-3</v>
      </c>
      <c r="S1075">
        <v>1.1000000000000001E-3</v>
      </c>
      <c r="T1075">
        <v>1.1000000000000001E-3</v>
      </c>
      <c r="U1075">
        <v>1.1000000000000001E-3</v>
      </c>
      <c r="V1075">
        <v>1.1000000000000001E-3</v>
      </c>
      <c r="W1075">
        <v>1.1000000000000001E-3</v>
      </c>
      <c r="X1075">
        <v>1.1000000000000001E-3</v>
      </c>
      <c r="Y1075">
        <v>1.1999999999999999E-3</v>
      </c>
    </row>
    <row r="1076" spans="1:25" hidden="1">
      <c r="A1076" t="s">
        <v>270</v>
      </c>
      <c r="B1076" t="s">
        <v>2105</v>
      </c>
      <c r="C1076" t="s">
        <v>2075</v>
      </c>
      <c r="D1076" t="s">
        <v>648</v>
      </c>
      <c r="E1076" t="s">
        <v>1393</v>
      </c>
      <c r="F1076" t="s">
        <v>598</v>
      </c>
      <c r="G1076" t="s">
        <v>599</v>
      </c>
      <c r="H1076" t="s">
        <v>600</v>
      </c>
      <c r="I1076" t="s">
        <v>601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hidden="1">
      <c r="A1077" t="s">
        <v>270</v>
      </c>
      <c r="B1077" t="s">
        <v>2106</v>
      </c>
      <c r="C1077" t="s">
        <v>2075</v>
      </c>
      <c r="D1077" t="s">
        <v>648</v>
      </c>
      <c r="E1077" t="s">
        <v>1378</v>
      </c>
      <c r="F1077" t="s">
        <v>598</v>
      </c>
      <c r="G1077" t="s">
        <v>599</v>
      </c>
      <c r="H1077" t="s">
        <v>600</v>
      </c>
      <c r="I1077" t="s">
        <v>601</v>
      </c>
      <c r="J1077">
        <v>5.3999999999999999E-2</v>
      </c>
      <c r="K1077">
        <v>5.5199999999999999E-2</v>
      </c>
      <c r="L1077">
        <v>5.62E-2</v>
      </c>
      <c r="M1077">
        <v>5.74E-2</v>
      </c>
      <c r="N1077">
        <v>5.8500000000000003E-2</v>
      </c>
      <c r="O1077">
        <v>0.06</v>
      </c>
      <c r="P1077">
        <v>6.1400000000000003E-2</v>
      </c>
      <c r="Q1077">
        <v>6.3100000000000003E-2</v>
      </c>
      <c r="R1077">
        <v>6.4500000000000002E-2</v>
      </c>
      <c r="S1077">
        <v>6.6100000000000006E-2</v>
      </c>
      <c r="T1077">
        <v>6.7799999999999999E-2</v>
      </c>
      <c r="U1077">
        <v>6.9199999999999998E-2</v>
      </c>
      <c r="V1077">
        <v>7.1099999999999997E-2</v>
      </c>
      <c r="W1077">
        <v>7.2800000000000004E-2</v>
      </c>
      <c r="X1077">
        <v>7.4800000000000005E-2</v>
      </c>
      <c r="Y1077">
        <v>7.6999999999999999E-2</v>
      </c>
    </row>
    <row r="1078" spans="1:25" hidden="1">
      <c r="A1078" t="s">
        <v>270</v>
      </c>
      <c r="B1078" t="s">
        <v>2107</v>
      </c>
      <c r="C1078" t="s">
        <v>2075</v>
      </c>
      <c r="D1078" t="s">
        <v>648</v>
      </c>
      <c r="E1078" t="s">
        <v>2081</v>
      </c>
      <c r="F1078" t="s">
        <v>598</v>
      </c>
      <c r="G1078" t="s">
        <v>599</v>
      </c>
      <c r="H1078" t="s">
        <v>600</v>
      </c>
      <c r="I1078" t="s">
        <v>601</v>
      </c>
      <c r="J1078">
        <v>2.0999999999999999E-3</v>
      </c>
      <c r="K1078">
        <v>2.0999999999999999E-3</v>
      </c>
      <c r="L1078">
        <v>2E-3</v>
      </c>
      <c r="M1078">
        <v>2.0999999999999999E-3</v>
      </c>
      <c r="N1078">
        <v>2.0999999999999999E-3</v>
      </c>
      <c r="O1078">
        <v>2.0999999999999999E-3</v>
      </c>
      <c r="P1078">
        <v>2.0999999999999999E-3</v>
      </c>
      <c r="Q1078">
        <v>2.0999999999999999E-3</v>
      </c>
      <c r="R1078">
        <v>2.0999999999999999E-3</v>
      </c>
      <c r="S1078">
        <v>2.0999999999999999E-3</v>
      </c>
      <c r="T1078">
        <v>2.0999999999999999E-3</v>
      </c>
      <c r="U1078">
        <v>2.2000000000000001E-3</v>
      </c>
      <c r="V1078">
        <v>2.2000000000000001E-3</v>
      </c>
      <c r="W1078">
        <v>2.2000000000000001E-3</v>
      </c>
      <c r="X1078">
        <v>2.2000000000000001E-3</v>
      </c>
      <c r="Y1078">
        <v>2.3999999999999998E-3</v>
      </c>
    </row>
    <row r="1079" spans="1:25" hidden="1">
      <c r="A1079" t="s">
        <v>270</v>
      </c>
      <c r="B1079" t="s">
        <v>2108</v>
      </c>
      <c r="C1079" t="s">
        <v>2075</v>
      </c>
      <c r="D1079" t="s">
        <v>648</v>
      </c>
      <c r="E1079" t="s">
        <v>2083</v>
      </c>
      <c r="F1079" t="s">
        <v>598</v>
      </c>
      <c r="G1079" t="s">
        <v>599</v>
      </c>
      <c r="H1079" t="s">
        <v>600</v>
      </c>
      <c r="I1079" t="s">
        <v>601</v>
      </c>
      <c r="J1079">
        <v>1.2200000000000001E-2</v>
      </c>
      <c r="K1079">
        <v>1.2200000000000001E-2</v>
      </c>
      <c r="L1079">
        <v>1.2200000000000001E-2</v>
      </c>
      <c r="M1079">
        <v>1.2200000000000001E-2</v>
      </c>
      <c r="N1079">
        <v>1.2200000000000001E-2</v>
      </c>
      <c r="O1079">
        <v>1.2200000000000001E-2</v>
      </c>
      <c r="P1079">
        <v>1.2200000000000001E-2</v>
      </c>
      <c r="Q1079">
        <v>1.2200000000000001E-2</v>
      </c>
      <c r="R1079">
        <v>1.2200000000000001E-2</v>
      </c>
      <c r="S1079">
        <v>1.2200000000000001E-2</v>
      </c>
      <c r="T1079">
        <v>1.2200000000000001E-2</v>
      </c>
      <c r="U1079">
        <v>1.2200000000000001E-2</v>
      </c>
      <c r="V1079">
        <v>1.2200000000000001E-2</v>
      </c>
      <c r="W1079">
        <v>1.2200000000000001E-2</v>
      </c>
      <c r="X1079">
        <v>1.2200000000000001E-2</v>
      </c>
      <c r="Y1079">
        <v>1.2200000000000001E-2</v>
      </c>
    </row>
    <row r="1080" spans="1:25" hidden="1">
      <c r="A1080" t="s">
        <v>270</v>
      </c>
      <c r="B1080" t="s">
        <v>2109</v>
      </c>
      <c r="C1080" t="s">
        <v>2075</v>
      </c>
      <c r="D1080" t="s">
        <v>648</v>
      </c>
      <c r="E1080" t="s">
        <v>2022</v>
      </c>
      <c r="F1080" t="s">
        <v>598</v>
      </c>
      <c r="G1080" t="s">
        <v>599</v>
      </c>
      <c r="H1080" t="s">
        <v>600</v>
      </c>
      <c r="I1080" t="s">
        <v>601</v>
      </c>
      <c r="J1080">
        <v>8.0199999999999994E-2</v>
      </c>
      <c r="K1080">
        <v>8.1500000000000003E-2</v>
      </c>
      <c r="L1080">
        <v>8.2500000000000004E-2</v>
      </c>
      <c r="M1080">
        <v>8.3599999999999994E-2</v>
      </c>
      <c r="N1080">
        <v>8.48E-2</v>
      </c>
      <c r="O1080">
        <v>8.5800000000000001E-2</v>
      </c>
      <c r="P1080">
        <v>8.7499999999999994E-2</v>
      </c>
      <c r="Q1080">
        <v>8.8900000000000007E-2</v>
      </c>
      <c r="R1080">
        <v>8.9599999999999999E-2</v>
      </c>
      <c r="S1080">
        <v>9.0800000000000006E-2</v>
      </c>
      <c r="T1080">
        <v>9.1700000000000004E-2</v>
      </c>
      <c r="U1080">
        <v>9.2700000000000005E-2</v>
      </c>
      <c r="V1080">
        <v>9.3700000000000006E-2</v>
      </c>
      <c r="W1080">
        <v>9.5000000000000001E-2</v>
      </c>
      <c r="X1080">
        <v>9.6000000000000002E-2</v>
      </c>
      <c r="Y1080">
        <v>9.7199999999999995E-2</v>
      </c>
    </row>
    <row r="1081" spans="1:25" hidden="1">
      <c r="A1081" t="s">
        <v>270</v>
      </c>
      <c r="B1081" t="s">
        <v>2110</v>
      </c>
      <c r="C1081" t="s">
        <v>2075</v>
      </c>
      <c r="D1081" t="s">
        <v>648</v>
      </c>
      <c r="E1081" t="s">
        <v>1966</v>
      </c>
      <c r="F1081" t="s">
        <v>598</v>
      </c>
      <c r="G1081" t="s">
        <v>599</v>
      </c>
      <c r="H1081" t="s">
        <v>600</v>
      </c>
      <c r="I1081" t="s">
        <v>601</v>
      </c>
      <c r="J1081">
        <v>5.28E-2</v>
      </c>
      <c r="K1081">
        <v>5.3499999999999999E-2</v>
      </c>
      <c r="L1081">
        <v>5.4399999999999997E-2</v>
      </c>
      <c r="M1081">
        <v>5.5199999999999999E-2</v>
      </c>
      <c r="N1081">
        <v>5.6000000000000001E-2</v>
      </c>
      <c r="O1081">
        <v>5.6800000000000003E-2</v>
      </c>
      <c r="P1081">
        <v>5.7500000000000002E-2</v>
      </c>
      <c r="Q1081">
        <v>5.8200000000000002E-2</v>
      </c>
      <c r="R1081">
        <v>5.8799999999999998E-2</v>
      </c>
      <c r="S1081">
        <v>5.96E-2</v>
      </c>
      <c r="T1081">
        <v>6.0299999999999999E-2</v>
      </c>
      <c r="U1081">
        <v>6.1100000000000002E-2</v>
      </c>
      <c r="V1081">
        <v>6.1800000000000001E-2</v>
      </c>
      <c r="W1081">
        <v>6.2600000000000003E-2</v>
      </c>
      <c r="X1081">
        <v>6.3600000000000004E-2</v>
      </c>
      <c r="Y1081">
        <v>6.4299999999999996E-2</v>
      </c>
    </row>
    <row r="1082" spans="1:25" hidden="1">
      <c r="A1082" t="s">
        <v>270</v>
      </c>
      <c r="B1082" t="s">
        <v>2111</v>
      </c>
      <c r="C1082" t="s">
        <v>2075</v>
      </c>
      <c r="D1082" t="s">
        <v>648</v>
      </c>
      <c r="E1082" t="s">
        <v>2099</v>
      </c>
      <c r="F1082" t="s">
        <v>598</v>
      </c>
      <c r="G1082" t="s">
        <v>599</v>
      </c>
      <c r="H1082" t="s">
        <v>600</v>
      </c>
      <c r="I1082" t="s">
        <v>601</v>
      </c>
      <c r="J1082">
        <v>0.1404</v>
      </c>
      <c r="K1082">
        <v>0.1426</v>
      </c>
      <c r="L1082">
        <v>0.14499999999999999</v>
      </c>
      <c r="M1082">
        <v>0.1472</v>
      </c>
      <c r="N1082">
        <v>0.14940000000000001</v>
      </c>
      <c r="O1082">
        <v>0.1517</v>
      </c>
      <c r="P1082">
        <v>0.15379999999999999</v>
      </c>
      <c r="Q1082">
        <v>0.15559999999999999</v>
      </c>
      <c r="R1082">
        <v>0.1575</v>
      </c>
      <c r="S1082">
        <v>0.159</v>
      </c>
      <c r="T1082">
        <v>0.16089999999999999</v>
      </c>
      <c r="U1082">
        <v>0.16309999999999999</v>
      </c>
      <c r="V1082">
        <v>0.16470000000000001</v>
      </c>
      <c r="W1082">
        <v>0.1666</v>
      </c>
      <c r="X1082">
        <v>0.16869999999999999</v>
      </c>
      <c r="Y1082">
        <v>0.17050000000000001</v>
      </c>
    </row>
    <row r="1083" spans="1:25" hidden="1">
      <c r="A1083" t="s">
        <v>270</v>
      </c>
      <c r="B1083" t="s">
        <v>2112</v>
      </c>
      <c r="C1083" t="s">
        <v>2075</v>
      </c>
      <c r="D1083" t="s">
        <v>648</v>
      </c>
      <c r="E1083" t="s">
        <v>2113</v>
      </c>
      <c r="F1083" t="s">
        <v>598</v>
      </c>
      <c r="G1083" t="s">
        <v>599</v>
      </c>
      <c r="H1083" t="s">
        <v>600</v>
      </c>
      <c r="I1083" t="s">
        <v>601</v>
      </c>
      <c r="J1083">
        <v>6.9999999999999999E-4</v>
      </c>
      <c r="K1083">
        <v>6.9999999999999999E-4</v>
      </c>
      <c r="L1083">
        <v>5.9999999999999995E-4</v>
      </c>
      <c r="M1083">
        <v>5.9999999999999995E-4</v>
      </c>
      <c r="N1083">
        <v>5.9999999999999995E-4</v>
      </c>
      <c r="O1083">
        <v>5.9999999999999995E-4</v>
      </c>
      <c r="P1083">
        <v>5.9999999999999995E-4</v>
      </c>
      <c r="Q1083">
        <v>5.9999999999999995E-4</v>
      </c>
      <c r="R1083">
        <v>5.9999999999999995E-4</v>
      </c>
      <c r="S1083">
        <v>5.9999999999999995E-4</v>
      </c>
      <c r="T1083">
        <v>5.9999999999999995E-4</v>
      </c>
      <c r="U1083">
        <v>5.9999999999999995E-4</v>
      </c>
      <c r="V1083">
        <v>5.9999999999999995E-4</v>
      </c>
      <c r="W1083">
        <v>5.9999999999999995E-4</v>
      </c>
      <c r="X1083">
        <v>5.9999999999999995E-4</v>
      </c>
      <c r="Y1083">
        <v>5.9999999999999995E-4</v>
      </c>
    </row>
    <row r="1084" spans="1:25" hidden="1">
      <c r="A1084" t="s">
        <v>270</v>
      </c>
      <c r="B1084" t="s">
        <v>2114</v>
      </c>
      <c r="C1084" t="s">
        <v>2075</v>
      </c>
      <c r="D1084" t="s">
        <v>648</v>
      </c>
      <c r="E1084" t="s">
        <v>1004</v>
      </c>
      <c r="F1084" t="s">
        <v>598</v>
      </c>
      <c r="G1084" t="s">
        <v>599</v>
      </c>
      <c r="H1084" t="s">
        <v>600</v>
      </c>
      <c r="I1084" t="s">
        <v>601</v>
      </c>
      <c r="J1084">
        <v>4.0000000000000002E-4</v>
      </c>
      <c r="K1084">
        <v>4.0000000000000002E-4</v>
      </c>
      <c r="L1084">
        <v>4.0000000000000002E-4</v>
      </c>
      <c r="M1084">
        <v>4.0000000000000002E-4</v>
      </c>
      <c r="N1084">
        <v>4.0000000000000002E-4</v>
      </c>
      <c r="O1084">
        <v>4.0000000000000002E-4</v>
      </c>
      <c r="P1084">
        <v>4.0000000000000002E-4</v>
      </c>
      <c r="Q1084">
        <v>4.0000000000000002E-4</v>
      </c>
      <c r="R1084">
        <v>4.0000000000000002E-4</v>
      </c>
      <c r="S1084">
        <v>4.0000000000000002E-4</v>
      </c>
      <c r="T1084">
        <v>4.0000000000000002E-4</v>
      </c>
      <c r="U1084">
        <v>5.0000000000000001E-4</v>
      </c>
      <c r="V1084">
        <v>5.0000000000000001E-4</v>
      </c>
      <c r="W1084">
        <v>5.0000000000000001E-4</v>
      </c>
      <c r="X1084">
        <v>5.0000000000000001E-4</v>
      </c>
      <c r="Y1084">
        <v>5.0000000000000001E-4</v>
      </c>
    </row>
    <row r="1085" spans="1:25" hidden="1">
      <c r="A1085" t="s">
        <v>270</v>
      </c>
      <c r="B1085" t="s">
        <v>2115</v>
      </c>
      <c r="C1085" t="s">
        <v>2116</v>
      </c>
      <c r="D1085" t="s">
        <v>1435</v>
      </c>
      <c r="E1085" t="s">
        <v>973</v>
      </c>
      <c r="F1085" t="s">
        <v>598</v>
      </c>
      <c r="G1085" t="s">
        <v>599</v>
      </c>
      <c r="H1085" t="s">
        <v>600</v>
      </c>
      <c r="I1085" t="s">
        <v>601</v>
      </c>
      <c r="J1085">
        <v>4.5999999999999999E-3</v>
      </c>
      <c r="K1085">
        <v>4.7999999999999996E-3</v>
      </c>
      <c r="L1085">
        <v>4.8999999999999998E-3</v>
      </c>
      <c r="M1085">
        <v>5.0000000000000001E-3</v>
      </c>
      <c r="N1085">
        <v>5.1000000000000004E-3</v>
      </c>
      <c r="O1085">
        <v>5.1999999999999998E-3</v>
      </c>
      <c r="P1085">
        <v>5.3E-3</v>
      </c>
      <c r="Q1085">
        <v>5.4999999999999997E-3</v>
      </c>
      <c r="R1085">
        <v>5.4999999999999997E-3</v>
      </c>
      <c r="S1085">
        <v>5.5999999999999999E-3</v>
      </c>
      <c r="T1085">
        <v>5.5999999999999999E-3</v>
      </c>
      <c r="U1085">
        <v>5.5999999999999999E-3</v>
      </c>
      <c r="V1085">
        <v>5.5999999999999999E-3</v>
      </c>
      <c r="W1085">
        <v>5.5999999999999999E-3</v>
      </c>
      <c r="X1085">
        <v>5.7000000000000002E-3</v>
      </c>
      <c r="Y1085">
        <v>5.7000000000000002E-3</v>
      </c>
    </row>
    <row r="1086" spans="1:25" hidden="1">
      <c r="A1086" t="s">
        <v>270</v>
      </c>
      <c r="B1086" t="s">
        <v>2117</v>
      </c>
      <c r="C1086" t="s">
        <v>2116</v>
      </c>
      <c r="D1086" t="s">
        <v>2118</v>
      </c>
      <c r="E1086" t="s">
        <v>2119</v>
      </c>
      <c r="F1086" t="s">
        <v>598</v>
      </c>
      <c r="G1086" t="s">
        <v>599</v>
      </c>
      <c r="H1086" t="s">
        <v>600</v>
      </c>
      <c r="I1086" t="s">
        <v>601</v>
      </c>
      <c r="J1086">
        <v>0.14399999999999999</v>
      </c>
      <c r="K1086">
        <v>0.14899999999999999</v>
      </c>
      <c r="L1086">
        <v>0.1532</v>
      </c>
      <c r="M1086">
        <v>0.15740000000000001</v>
      </c>
      <c r="N1086">
        <v>0.16139999999999999</v>
      </c>
      <c r="O1086">
        <v>0.16539999999999999</v>
      </c>
      <c r="P1086">
        <v>0.1691</v>
      </c>
      <c r="Q1086">
        <v>0.1724</v>
      </c>
      <c r="R1086">
        <v>0.17530000000000001</v>
      </c>
      <c r="S1086">
        <v>0.17849999999999999</v>
      </c>
      <c r="T1086">
        <v>0.18140000000000001</v>
      </c>
      <c r="U1086">
        <v>0.1842</v>
      </c>
      <c r="V1086">
        <v>0.18720000000000001</v>
      </c>
      <c r="W1086">
        <v>0.1908</v>
      </c>
      <c r="X1086">
        <v>0.19389999999999999</v>
      </c>
      <c r="Y1086">
        <v>0.1973</v>
      </c>
    </row>
    <row r="1087" spans="1:25" hidden="1">
      <c r="A1087" t="s">
        <v>270</v>
      </c>
      <c r="B1087" t="s">
        <v>2120</v>
      </c>
      <c r="C1087" t="s">
        <v>2116</v>
      </c>
      <c r="D1087" t="s">
        <v>2121</v>
      </c>
      <c r="E1087" t="s">
        <v>2119</v>
      </c>
      <c r="F1087" t="s">
        <v>598</v>
      </c>
      <c r="G1087" t="s">
        <v>599</v>
      </c>
      <c r="H1087" t="s">
        <v>600</v>
      </c>
      <c r="I1087" t="s">
        <v>601</v>
      </c>
      <c r="J1087">
        <v>5.0500000000000003E-2</v>
      </c>
      <c r="K1087">
        <v>5.1900000000000002E-2</v>
      </c>
      <c r="L1087">
        <v>5.3400000000000003E-2</v>
      </c>
      <c r="M1087">
        <v>5.4800000000000001E-2</v>
      </c>
      <c r="N1087">
        <v>5.6399999999999999E-2</v>
      </c>
      <c r="O1087">
        <v>5.79E-2</v>
      </c>
      <c r="P1087">
        <v>5.8900000000000001E-2</v>
      </c>
      <c r="Q1087">
        <v>5.9700000000000003E-2</v>
      </c>
      <c r="R1087">
        <v>6.0299999999999999E-2</v>
      </c>
      <c r="S1087">
        <v>6.08E-2</v>
      </c>
      <c r="T1087">
        <v>6.13E-2</v>
      </c>
      <c r="U1087">
        <v>6.1899999999999997E-2</v>
      </c>
      <c r="V1087">
        <v>6.2399999999999997E-2</v>
      </c>
      <c r="W1087">
        <v>6.3E-2</v>
      </c>
      <c r="X1087">
        <v>6.3700000000000007E-2</v>
      </c>
      <c r="Y1087">
        <v>6.4199999999999993E-2</v>
      </c>
    </row>
    <row r="1088" spans="1:25" hidden="1">
      <c r="A1088" t="s">
        <v>270</v>
      </c>
      <c r="B1088" t="s">
        <v>2122</v>
      </c>
      <c r="C1088" t="s">
        <v>2116</v>
      </c>
      <c r="D1088" t="s">
        <v>2121</v>
      </c>
      <c r="E1088" t="s">
        <v>1910</v>
      </c>
      <c r="F1088" t="s">
        <v>598</v>
      </c>
      <c r="G1088" t="s">
        <v>599</v>
      </c>
      <c r="H1088" t="s">
        <v>600</v>
      </c>
      <c r="I1088" t="s">
        <v>601</v>
      </c>
      <c r="J1088">
        <v>2.9999999999999997E-4</v>
      </c>
      <c r="K1088">
        <v>2.9999999999999997E-4</v>
      </c>
      <c r="L1088">
        <v>2.9999999999999997E-4</v>
      </c>
      <c r="M1088">
        <v>2.9999999999999997E-4</v>
      </c>
      <c r="N1088">
        <v>2.9999999999999997E-4</v>
      </c>
      <c r="O1088">
        <v>2.9999999999999997E-4</v>
      </c>
      <c r="P1088">
        <v>2.9999999999999997E-4</v>
      </c>
      <c r="Q1088">
        <v>2.9999999999999997E-4</v>
      </c>
      <c r="R1088">
        <v>2.9999999999999997E-4</v>
      </c>
      <c r="S1088">
        <v>2.9999999999999997E-4</v>
      </c>
      <c r="T1088">
        <v>2.9999999999999997E-4</v>
      </c>
      <c r="U1088">
        <v>2.9999999999999997E-4</v>
      </c>
      <c r="V1088">
        <v>2.9999999999999997E-4</v>
      </c>
      <c r="W1088">
        <v>2.9999999999999997E-4</v>
      </c>
      <c r="X1088">
        <v>2.9999999999999997E-4</v>
      </c>
      <c r="Y1088">
        <v>2.9999999999999997E-4</v>
      </c>
    </row>
    <row r="1089" spans="1:25" hidden="1">
      <c r="A1089" t="s">
        <v>270</v>
      </c>
      <c r="B1089" t="s">
        <v>2123</v>
      </c>
      <c r="C1089" t="s">
        <v>2116</v>
      </c>
      <c r="D1089" t="s">
        <v>2124</v>
      </c>
      <c r="E1089" t="s">
        <v>2125</v>
      </c>
      <c r="F1089" t="s">
        <v>598</v>
      </c>
      <c r="G1089" t="s">
        <v>599</v>
      </c>
      <c r="H1089" t="s">
        <v>600</v>
      </c>
      <c r="I1089" t="s">
        <v>601</v>
      </c>
      <c r="J1089">
        <v>1.0988</v>
      </c>
      <c r="K1089">
        <v>1.1157999999999999</v>
      </c>
      <c r="L1089">
        <v>1.1306</v>
      </c>
      <c r="M1089">
        <v>1.1476</v>
      </c>
      <c r="N1089">
        <v>1.1476</v>
      </c>
      <c r="O1089">
        <v>1.1427</v>
      </c>
      <c r="P1089">
        <v>1.1353</v>
      </c>
      <c r="Q1089">
        <v>1.1326000000000001</v>
      </c>
      <c r="R1089">
        <v>1.1299999999999999</v>
      </c>
      <c r="S1089">
        <v>1.1297999999999999</v>
      </c>
      <c r="T1089">
        <v>1.1324000000000001</v>
      </c>
      <c r="U1089">
        <v>1.1371</v>
      </c>
      <c r="V1089">
        <v>1.147</v>
      </c>
      <c r="W1089">
        <v>1.1568000000000001</v>
      </c>
      <c r="X1089">
        <v>1.1639999999999999</v>
      </c>
      <c r="Y1089">
        <v>1.1763999999999999</v>
      </c>
    </row>
    <row r="1090" spans="1:25" hidden="1">
      <c r="A1090" t="s">
        <v>270</v>
      </c>
      <c r="B1090" t="s">
        <v>2126</v>
      </c>
      <c r="C1090" t="s">
        <v>2116</v>
      </c>
      <c r="D1090" t="s">
        <v>2127</v>
      </c>
      <c r="E1090" t="s">
        <v>656</v>
      </c>
      <c r="F1090" t="s">
        <v>598</v>
      </c>
      <c r="G1090" t="s">
        <v>599</v>
      </c>
      <c r="H1090" t="s">
        <v>600</v>
      </c>
      <c r="I1090" t="s">
        <v>601</v>
      </c>
      <c r="J1090">
        <v>0.70569999999999999</v>
      </c>
      <c r="K1090">
        <v>0.71650000000000003</v>
      </c>
      <c r="L1090">
        <v>0.72540000000000004</v>
      </c>
      <c r="M1090">
        <v>0.73519999999999996</v>
      </c>
      <c r="N1090">
        <v>0.7389</v>
      </c>
      <c r="O1090">
        <v>0.74029999999999996</v>
      </c>
      <c r="P1090">
        <v>0.74139999999999995</v>
      </c>
      <c r="Q1090">
        <v>0.74429999999999996</v>
      </c>
      <c r="R1090">
        <v>0.74680000000000002</v>
      </c>
      <c r="S1090">
        <v>0.75109999999999999</v>
      </c>
      <c r="T1090">
        <v>0.75580000000000003</v>
      </c>
      <c r="U1090">
        <v>0.76160000000000005</v>
      </c>
      <c r="V1090">
        <v>0.77010000000000001</v>
      </c>
      <c r="W1090">
        <v>0.7782</v>
      </c>
      <c r="X1090">
        <v>0.78480000000000005</v>
      </c>
      <c r="Y1090">
        <v>0.79459999999999997</v>
      </c>
    </row>
    <row r="1091" spans="1:25" hidden="1">
      <c r="A1091" t="s">
        <v>270</v>
      </c>
      <c r="B1091" t="s">
        <v>2128</v>
      </c>
      <c r="C1091" t="s">
        <v>2116</v>
      </c>
      <c r="D1091" t="s">
        <v>648</v>
      </c>
      <c r="E1091" t="s">
        <v>656</v>
      </c>
      <c r="F1091" t="s">
        <v>598</v>
      </c>
      <c r="G1091" t="s">
        <v>599</v>
      </c>
      <c r="H1091" t="s">
        <v>600</v>
      </c>
      <c r="I1091" t="s">
        <v>601</v>
      </c>
      <c r="J1091">
        <v>5.4101999999999997</v>
      </c>
      <c r="K1091">
        <v>5.5403000000000002</v>
      </c>
      <c r="L1091">
        <v>5.6719999999999997</v>
      </c>
      <c r="M1091">
        <v>5.8167</v>
      </c>
      <c r="N1091">
        <v>5.9230999999999998</v>
      </c>
      <c r="O1091">
        <v>6.024</v>
      </c>
      <c r="P1091">
        <v>6.1204000000000001</v>
      </c>
      <c r="Q1091">
        <v>6.2290000000000001</v>
      </c>
      <c r="R1091">
        <v>6.2765000000000004</v>
      </c>
      <c r="S1091">
        <v>6.3326000000000002</v>
      </c>
      <c r="T1091">
        <v>6.3933</v>
      </c>
      <c r="U1091">
        <v>6.4565999999999999</v>
      </c>
      <c r="V1091">
        <v>6.5321999999999996</v>
      </c>
      <c r="W1091">
        <v>6.6056999999999997</v>
      </c>
      <c r="X1091">
        <v>6.6725000000000003</v>
      </c>
      <c r="Y1091">
        <v>6.7521000000000004</v>
      </c>
    </row>
    <row r="1092" spans="1:25" hidden="1">
      <c r="A1092" t="s">
        <v>270</v>
      </c>
      <c r="B1092" t="s">
        <v>2129</v>
      </c>
      <c r="C1092" t="s">
        <v>2116</v>
      </c>
      <c r="D1092" t="s">
        <v>648</v>
      </c>
      <c r="E1092" t="s">
        <v>2119</v>
      </c>
      <c r="F1092" t="s">
        <v>598</v>
      </c>
      <c r="G1092" t="s">
        <v>599</v>
      </c>
      <c r="H1092" t="s">
        <v>600</v>
      </c>
      <c r="I1092" t="s">
        <v>601</v>
      </c>
      <c r="J1092">
        <v>1.1299999999999999E-2</v>
      </c>
      <c r="K1092">
        <v>1.15E-2</v>
      </c>
      <c r="L1092">
        <v>1.1599999999999999E-2</v>
      </c>
      <c r="M1092">
        <v>1.18E-2</v>
      </c>
      <c r="N1092">
        <v>1.1900000000000001E-2</v>
      </c>
      <c r="O1092">
        <v>1.2E-2</v>
      </c>
      <c r="P1092">
        <v>1.21E-2</v>
      </c>
      <c r="Q1092">
        <v>1.21E-2</v>
      </c>
      <c r="R1092">
        <v>1.21E-2</v>
      </c>
      <c r="S1092">
        <v>1.21E-2</v>
      </c>
      <c r="T1092">
        <v>1.21E-2</v>
      </c>
      <c r="U1092">
        <v>1.23E-2</v>
      </c>
      <c r="V1092">
        <v>1.24E-2</v>
      </c>
      <c r="W1092">
        <v>1.24E-2</v>
      </c>
      <c r="X1092">
        <v>1.2500000000000001E-2</v>
      </c>
      <c r="Y1092">
        <v>1.2500000000000001E-2</v>
      </c>
    </row>
    <row r="1093" spans="1:25" hidden="1">
      <c r="A1093" t="s">
        <v>270</v>
      </c>
      <c r="B1093" t="s">
        <v>2130</v>
      </c>
      <c r="C1093" t="s">
        <v>2131</v>
      </c>
      <c r="D1093" t="s">
        <v>1350</v>
      </c>
      <c r="E1093" t="s">
        <v>1684</v>
      </c>
      <c r="F1093" t="s">
        <v>598</v>
      </c>
      <c r="G1093" t="s">
        <v>599</v>
      </c>
      <c r="H1093" t="s">
        <v>600</v>
      </c>
      <c r="I1093" t="s">
        <v>601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hidden="1">
      <c r="A1094" t="s">
        <v>270</v>
      </c>
      <c r="B1094" t="s">
        <v>2132</v>
      </c>
      <c r="C1094" t="s">
        <v>2131</v>
      </c>
      <c r="D1094" t="s">
        <v>1435</v>
      </c>
      <c r="E1094" t="s">
        <v>973</v>
      </c>
      <c r="F1094" t="s">
        <v>598</v>
      </c>
      <c r="G1094" t="s">
        <v>599</v>
      </c>
      <c r="H1094" t="s">
        <v>600</v>
      </c>
      <c r="I1094" t="s">
        <v>601</v>
      </c>
      <c r="J1094">
        <v>1.23E-2</v>
      </c>
      <c r="K1094">
        <v>1.2500000000000001E-2</v>
      </c>
      <c r="L1094">
        <v>1.2800000000000001E-2</v>
      </c>
      <c r="M1094">
        <v>1.3100000000000001E-2</v>
      </c>
      <c r="N1094">
        <v>1.34E-2</v>
      </c>
      <c r="O1094">
        <v>1.37E-2</v>
      </c>
      <c r="P1094">
        <v>1.3899999999999999E-2</v>
      </c>
      <c r="Q1094">
        <v>1.4200000000000001E-2</v>
      </c>
      <c r="R1094">
        <v>1.43E-2</v>
      </c>
      <c r="S1094">
        <v>1.44E-2</v>
      </c>
      <c r="T1094">
        <v>1.4500000000000001E-2</v>
      </c>
      <c r="U1094">
        <v>1.46E-2</v>
      </c>
      <c r="V1094">
        <v>1.47E-2</v>
      </c>
      <c r="W1094">
        <v>1.4800000000000001E-2</v>
      </c>
      <c r="X1094">
        <v>1.49E-2</v>
      </c>
      <c r="Y1094">
        <v>1.4999999999999999E-2</v>
      </c>
    </row>
    <row r="1095" spans="1:25" hidden="1">
      <c r="A1095" t="s">
        <v>270</v>
      </c>
      <c r="B1095" t="s">
        <v>2133</v>
      </c>
      <c r="C1095" t="s">
        <v>2131</v>
      </c>
      <c r="D1095" t="s">
        <v>2134</v>
      </c>
      <c r="E1095" t="s">
        <v>2135</v>
      </c>
      <c r="F1095" t="s">
        <v>598</v>
      </c>
      <c r="G1095" t="s">
        <v>599</v>
      </c>
      <c r="H1095" t="s">
        <v>600</v>
      </c>
      <c r="I1095" t="s">
        <v>601</v>
      </c>
      <c r="J1095">
        <v>8.9999999999999998E-4</v>
      </c>
      <c r="K1095">
        <v>8.9999999999999998E-4</v>
      </c>
      <c r="L1095">
        <v>8.9999999999999998E-4</v>
      </c>
      <c r="M1095">
        <v>8.9999999999999998E-4</v>
      </c>
      <c r="N1095">
        <v>8.9999999999999998E-4</v>
      </c>
      <c r="O1095">
        <v>8.9999999999999998E-4</v>
      </c>
      <c r="P1095">
        <v>8.9999999999999998E-4</v>
      </c>
      <c r="Q1095">
        <v>8.9999999999999998E-4</v>
      </c>
      <c r="R1095">
        <v>8.9999999999999998E-4</v>
      </c>
      <c r="S1095">
        <v>8.9999999999999998E-4</v>
      </c>
      <c r="T1095">
        <v>8.9999999999999998E-4</v>
      </c>
      <c r="U1095">
        <v>8.9999999999999998E-4</v>
      </c>
      <c r="V1095">
        <v>8.9999999999999998E-4</v>
      </c>
      <c r="W1095">
        <v>8.9999999999999998E-4</v>
      </c>
      <c r="X1095">
        <v>8.9999999999999998E-4</v>
      </c>
      <c r="Y1095">
        <v>8.9999999999999998E-4</v>
      </c>
    </row>
    <row r="1096" spans="1:25" hidden="1">
      <c r="A1096" t="s">
        <v>270</v>
      </c>
      <c r="B1096" t="s">
        <v>2136</v>
      </c>
      <c r="C1096" t="s">
        <v>2131</v>
      </c>
      <c r="D1096" t="s">
        <v>2134</v>
      </c>
      <c r="E1096" t="s">
        <v>2137</v>
      </c>
      <c r="F1096" t="s">
        <v>598</v>
      </c>
      <c r="G1096" t="s">
        <v>599</v>
      </c>
      <c r="H1096" t="s">
        <v>600</v>
      </c>
      <c r="I1096" t="s">
        <v>601</v>
      </c>
      <c r="J1096">
        <v>0.16980000000000001</v>
      </c>
      <c r="K1096">
        <v>0.1719</v>
      </c>
      <c r="L1096">
        <v>0.1739</v>
      </c>
      <c r="M1096">
        <v>0.1762</v>
      </c>
      <c r="N1096">
        <v>0.17849999999999999</v>
      </c>
      <c r="O1096">
        <v>0.18079999999999999</v>
      </c>
      <c r="P1096">
        <v>0.18290000000000001</v>
      </c>
      <c r="Q1096">
        <v>0.18509999999999999</v>
      </c>
      <c r="R1096">
        <v>0.18579999999999999</v>
      </c>
      <c r="S1096">
        <v>0.1867</v>
      </c>
      <c r="T1096">
        <v>0.18740000000000001</v>
      </c>
      <c r="U1096">
        <v>0.18809999999999999</v>
      </c>
      <c r="V1096">
        <v>0.1888</v>
      </c>
      <c r="W1096">
        <v>0.18959999999999999</v>
      </c>
      <c r="X1096">
        <v>0.19040000000000001</v>
      </c>
      <c r="Y1096">
        <v>0.19109999999999999</v>
      </c>
    </row>
    <row r="1097" spans="1:25" hidden="1">
      <c r="A1097" t="s">
        <v>270</v>
      </c>
      <c r="B1097" t="s">
        <v>2138</v>
      </c>
      <c r="C1097" t="s">
        <v>2131</v>
      </c>
      <c r="D1097" t="s">
        <v>2134</v>
      </c>
      <c r="E1097" t="s">
        <v>2139</v>
      </c>
      <c r="F1097" t="s">
        <v>598</v>
      </c>
      <c r="G1097" t="s">
        <v>599</v>
      </c>
      <c r="H1097" t="s">
        <v>600</v>
      </c>
      <c r="I1097" t="s">
        <v>601</v>
      </c>
      <c r="J1097">
        <v>3.61E-2</v>
      </c>
      <c r="K1097">
        <v>3.6600000000000001E-2</v>
      </c>
      <c r="L1097">
        <v>3.7100000000000001E-2</v>
      </c>
      <c r="M1097">
        <v>3.7600000000000001E-2</v>
      </c>
      <c r="N1097">
        <v>3.8100000000000002E-2</v>
      </c>
      <c r="O1097">
        <v>3.8600000000000002E-2</v>
      </c>
      <c r="P1097">
        <v>3.9E-2</v>
      </c>
      <c r="Q1097">
        <v>3.9399999999999998E-2</v>
      </c>
      <c r="R1097">
        <v>3.9800000000000002E-2</v>
      </c>
      <c r="S1097">
        <v>4.02E-2</v>
      </c>
      <c r="T1097">
        <v>4.0599999999999997E-2</v>
      </c>
      <c r="U1097">
        <v>4.1099999999999998E-2</v>
      </c>
      <c r="V1097">
        <v>4.1599999999999998E-2</v>
      </c>
      <c r="W1097">
        <v>4.2099999999999999E-2</v>
      </c>
      <c r="X1097">
        <v>4.2599999999999999E-2</v>
      </c>
      <c r="Y1097">
        <v>4.2999999999999997E-2</v>
      </c>
    </row>
    <row r="1098" spans="1:25" hidden="1">
      <c r="A1098" t="s">
        <v>270</v>
      </c>
      <c r="B1098" t="s">
        <v>2140</v>
      </c>
      <c r="C1098" t="s">
        <v>2131</v>
      </c>
      <c r="D1098" t="s">
        <v>2134</v>
      </c>
      <c r="E1098" t="s">
        <v>2141</v>
      </c>
      <c r="F1098" t="s">
        <v>598</v>
      </c>
      <c r="G1098" t="s">
        <v>599</v>
      </c>
      <c r="H1098" t="s">
        <v>600</v>
      </c>
      <c r="I1098" t="s">
        <v>601</v>
      </c>
      <c r="J1098">
        <v>9.3399999999999997E-2</v>
      </c>
      <c r="K1098">
        <v>9.7199999999999995E-2</v>
      </c>
      <c r="L1098">
        <v>0.1011</v>
      </c>
      <c r="M1098">
        <v>0.1027</v>
      </c>
      <c r="N1098">
        <v>0.1042</v>
      </c>
      <c r="O1098">
        <v>0.10580000000000001</v>
      </c>
      <c r="P1098">
        <v>0.11210000000000001</v>
      </c>
      <c r="Q1098">
        <v>0.1183</v>
      </c>
      <c r="R1098">
        <v>0.1183</v>
      </c>
      <c r="S1098">
        <v>0.1183</v>
      </c>
      <c r="T1098">
        <v>0.1183</v>
      </c>
      <c r="U1098">
        <v>0.1183</v>
      </c>
      <c r="V1098">
        <v>0.1183</v>
      </c>
      <c r="W1098">
        <v>0.1183</v>
      </c>
      <c r="X1098">
        <v>0.1183</v>
      </c>
      <c r="Y1098">
        <v>0.1183</v>
      </c>
    </row>
    <row r="1099" spans="1:25" hidden="1">
      <c r="A1099" t="s">
        <v>270</v>
      </c>
      <c r="B1099" t="s">
        <v>2142</v>
      </c>
      <c r="C1099" t="s">
        <v>2131</v>
      </c>
      <c r="D1099" t="s">
        <v>2134</v>
      </c>
      <c r="E1099" t="s">
        <v>2057</v>
      </c>
      <c r="F1099" t="s">
        <v>598</v>
      </c>
      <c r="G1099" t="s">
        <v>599</v>
      </c>
      <c r="H1099" t="s">
        <v>600</v>
      </c>
      <c r="I1099" t="s">
        <v>601</v>
      </c>
      <c r="J1099">
        <v>4.0000000000000002E-4</v>
      </c>
      <c r="K1099">
        <v>5.0000000000000001E-4</v>
      </c>
      <c r="L1099">
        <v>5.0000000000000001E-4</v>
      </c>
      <c r="M1099">
        <v>5.0000000000000001E-4</v>
      </c>
      <c r="N1099">
        <v>5.0000000000000001E-4</v>
      </c>
      <c r="O1099">
        <v>5.0000000000000001E-4</v>
      </c>
      <c r="P1099">
        <v>5.0000000000000001E-4</v>
      </c>
      <c r="Q1099">
        <v>5.0000000000000001E-4</v>
      </c>
      <c r="R1099">
        <v>5.0000000000000001E-4</v>
      </c>
      <c r="S1099">
        <v>5.0000000000000001E-4</v>
      </c>
      <c r="T1099">
        <v>5.0000000000000001E-4</v>
      </c>
      <c r="U1099">
        <v>5.0000000000000001E-4</v>
      </c>
      <c r="V1099">
        <v>5.0000000000000001E-4</v>
      </c>
      <c r="W1099">
        <v>5.0000000000000001E-4</v>
      </c>
      <c r="X1099">
        <v>5.0000000000000001E-4</v>
      </c>
      <c r="Y1099">
        <v>5.0000000000000001E-4</v>
      </c>
    </row>
    <row r="1100" spans="1:25" hidden="1">
      <c r="A1100" t="s">
        <v>270</v>
      </c>
      <c r="B1100" t="s">
        <v>2143</v>
      </c>
      <c r="C1100" t="s">
        <v>2144</v>
      </c>
      <c r="D1100" t="s">
        <v>1324</v>
      </c>
      <c r="E1100" t="s">
        <v>954</v>
      </c>
      <c r="F1100" t="s">
        <v>598</v>
      </c>
      <c r="G1100" t="s">
        <v>599</v>
      </c>
      <c r="H1100" t="s">
        <v>600</v>
      </c>
      <c r="I1100" t="s">
        <v>601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hidden="1">
      <c r="A1101" t="s">
        <v>270</v>
      </c>
      <c r="B1101" t="s">
        <v>2145</v>
      </c>
      <c r="C1101" t="s">
        <v>2144</v>
      </c>
      <c r="D1101" t="s">
        <v>1435</v>
      </c>
      <c r="E1101" t="s">
        <v>973</v>
      </c>
      <c r="F1101" t="s">
        <v>598</v>
      </c>
      <c r="G1101" t="s">
        <v>599</v>
      </c>
      <c r="H1101" t="s">
        <v>600</v>
      </c>
      <c r="I1101" t="s">
        <v>601</v>
      </c>
      <c r="J1101">
        <v>7.7999999999999996E-3</v>
      </c>
      <c r="K1101">
        <v>7.6E-3</v>
      </c>
      <c r="L1101">
        <v>7.4999999999999997E-3</v>
      </c>
      <c r="M1101">
        <v>7.3000000000000001E-3</v>
      </c>
      <c r="N1101">
        <v>7.1000000000000004E-3</v>
      </c>
      <c r="O1101">
        <v>7.0000000000000001E-3</v>
      </c>
      <c r="P1101">
        <v>6.8999999999999999E-3</v>
      </c>
      <c r="Q1101">
        <v>6.7999999999999996E-3</v>
      </c>
      <c r="R1101">
        <v>6.6E-3</v>
      </c>
      <c r="S1101">
        <v>6.4999999999999997E-3</v>
      </c>
      <c r="T1101">
        <v>6.4000000000000003E-3</v>
      </c>
      <c r="U1101">
        <v>6.1000000000000004E-3</v>
      </c>
      <c r="V1101">
        <v>6.1000000000000004E-3</v>
      </c>
      <c r="W1101">
        <v>5.8999999999999999E-3</v>
      </c>
      <c r="X1101">
        <v>5.7999999999999996E-3</v>
      </c>
      <c r="Y1101">
        <v>5.7000000000000002E-3</v>
      </c>
    </row>
    <row r="1102" spans="1:25" hidden="1">
      <c r="A1102" t="s">
        <v>270</v>
      </c>
      <c r="B1102" t="s">
        <v>2146</v>
      </c>
      <c r="C1102" t="s">
        <v>2144</v>
      </c>
      <c r="D1102" t="s">
        <v>2147</v>
      </c>
      <c r="E1102" t="s">
        <v>973</v>
      </c>
      <c r="F1102" t="s">
        <v>598</v>
      </c>
      <c r="G1102" t="s">
        <v>599</v>
      </c>
      <c r="H1102" t="s">
        <v>600</v>
      </c>
      <c r="I1102" t="s">
        <v>601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hidden="1">
      <c r="A1103" t="s">
        <v>270</v>
      </c>
      <c r="B1103" t="s">
        <v>2148</v>
      </c>
      <c r="C1103" t="s">
        <v>2144</v>
      </c>
      <c r="D1103" t="s">
        <v>2147</v>
      </c>
      <c r="E1103" t="s">
        <v>1393</v>
      </c>
      <c r="F1103" t="s">
        <v>598</v>
      </c>
      <c r="G1103" t="s">
        <v>599</v>
      </c>
      <c r="H1103" t="s">
        <v>600</v>
      </c>
      <c r="I1103" t="s">
        <v>601</v>
      </c>
      <c r="J1103">
        <v>2.12E-2</v>
      </c>
      <c r="K1103">
        <v>2.2499999999999999E-2</v>
      </c>
      <c r="L1103">
        <v>2.3800000000000002E-2</v>
      </c>
      <c r="M1103">
        <v>2.53E-2</v>
      </c>
      <c r="N1103">
        <v>2.6800000000000001E-2</v>
      </c>
      <c r="O1103">
        <v>2.8400000000000002E-2</v>
      </c>
      <c r="P1103">
        <v>3.0200000000000001E-2</v>
      </c>
      <c r="Q1103">
        <v>3.2099999999999997E-2</v>
      </c>
      <c r="R1103">
        <v>3.3099999999999997E-2</v>
      </c>
      <c r="S1103">
        <v>3.44E-2</v>
      </c>
      <c r="T1103">
        <v>3.5700000000000003E-2</v>
      </c>
      <c r="U1103">
        <v>3.6799999999999999E-2</v>
      </c>
      <c r="V1103">
        <v>3.8399999999999997E-2</v>
      </c>
      <c r="W1103">
        <v>3.9800000000000002E-2</v>
      </c>
      <c r="X1103">
        <v>4.1099999999999998E-2</v>
      </c>
      <c r="Y1103">
        <v>4.2599999999999999E-2</v>
      </c>
    </row>
    <row r="1104" spans="1:25" hidden="1">
      <c r="A1104" t="s">
        <v>270</v>
      </c>
      <c r="B1104" t="s">
        <v>2149</v>
      </c>
      <c r="C1104" t="s">
        <v>2144</v>
      </c>
      <c r="D1104" t="s">
        <v>2147</v>
      </c>
      <c r="E1104" t="s">
        <v>1004</v>
      </c>
      <c r="F1104" t="s">
        <v>598</v>
      </c>
      <c r="G1104" t="s">
        <v>599</v>
      </c>
      <c r="H1104" t="s">
        <v>600</v>
      </c>
      <c r="I1104" t="s">
        <v>601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hidden="1">
      <c r="A1105" t="s">
        <v>270</v>
      </c>
      <c r="B1105" t="s">
        <v>2150</v>
      </c>
      <c r="C1105" t="s">
        <v>2144</v>
      </c>
      <c r="D1105" t="s">
        <v>648</v>
      </c>
      <c r="E1105" t="s">
        <v>1393</v>
      </c>
      <c r="F1105" t="s">
        <v>598</v>
      </c>
      <c r="G1105" t="s">
        <v>599</v>
      </c>
      <c r="H1105" t="s">
        <v>600</v>
      </c>
      <c r="I1105" t="s">
        <v>601</v>
      </c>
      <c r="J1105">
        <v>2.9999999999999997E-4</v>
      </c>
      <c r="K1105">
        <v>2.9999999999999997E-4</v>
      </c>
      <c r="L1105">
        <v>2.9999999999999997E-4</v>
      </c>
      <c r="M1105">
        <v>2.9999999999999997E-4</v>
      </c>
      <c r="N1105">
        <v>4.0000000000000002E-4</v>
      </c>
      <c r="O1105">
        <v>4.0000000000000002E-4</v>
      </c>
      <c r="P1105">
        <v>4.0000000000000002E-4</v>
      </c>
      <c r="Q1105">
        <v>4.0000000000000002E-4</v>
      </c>
      <c r="R1105">
        <v>4.0000000000000002E-4</v>
      </c>
      <c r="S1105">
        <v>4.0000000000000002E-4</v>
      </c>
      <c r="T1105">
        <v>4.0000000000000002E-4</v>
      </c>
      <c r="U1105">
        <v>4.0000000000000002E-4</v>
      </c>
      <c r="V1105">
        <v>4.0000000000000002E-4</v>
      </c>
      <c r="W1105">
        <v>4.0000000000000002E-4</v>
      </c>
      <c r="X1105">
        <v>4.0000000000000002E-4</v>
      </c>
      <c r="Y1105">
        <v>4.0000000000000002E-4</v>
      </c>
    </row>
    <row r="1106" spans="1:25" hidden="1">
      <c r="A1106" t="s">
        <v>270</v>
      </c>
      <c r="B1106" t="s">
        <v>2151</v>
      </c>
      <c r="C1106" t="s">
        <v>2144</v>
      </c>
      <c r="D1106" t="s">
        <v>648</v>
      </c>
      <c r="E1106" t="s">
        <v>1799</v>
      </c>
      <c r="F1106" t="s">
        <v>598</v>
      </c>
      <c r="G1106" t="s">
        <v>599</v>
      </c>
      <c r="H1106" t="s">
        <v>600</v>
      </c>
      <c r="I1106" t="s">
        <v>601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</row>
    <row r="1107" spans="1:25" hidden="1">
      <c r="A1107" t="s">
        <v>270</v>
      </c>
      <c r="B1107" t="s">
        <v>2152</v>
      </c>
      <c r="C1107" t="s">
        <v>2144</v>
      </c>
      <c r="D1107" t="s">
        <v>648</v>
      </c>
      <c r="E1107" t="s">
        <v>1378</v>
      </c>
      <c r="F1107" t="s">
        <v>598</v>
      </c>
      <c r="G1107" t="s">
        <v>599</v>
      </c>
      <c r="H1107" t="s">
        <v>600</v>
      </c>
      <c r="I1107" t="s">
        <v>601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1E-4</v>
      </c>
      <c r="P1107">
        <v>1E-4</v>
      </c>
      <c r="Q1107">
        <v>1E-4</v>
      </c>
      <c r="R1107">
        <v>1E-4</v>
      </c>
      <c r="S1107">
        <v>1E-4</v>
      </c>
      <c r="T1107">
        <v>1E-4</v>
      </c>
      <c r="U1107">
        <v>1E-4</v>
      </c>
      <c r="V1107">
        <v>1E-4</v>
      </c>
      <c r="W1107">
        <v>1E-4</v>
      </c>
      <c r="X1107">
        <v>1E-4</v>
      </c>
      <c r="Y1107">
        <v>1E-4</v>
      </c>
    </row>
    <row r="1108" spans="1:25" hidden="1">
      <c r="A1108" t="s">
        <v>270</v>
      </c>
      <c r="B1108" t="s">
        <v>2153</v>
      </c>
      <c r="C1108" t="s">
        <v>2154</v>
      </c>
      <c r="D1108" t="s">
        <v>1392</v>
      </c>
      <c r="E1108" t="s">
        <v>1393</v>
      </c>
      <c r="F1108" t="s">
        <v>598</v>
      </c>
      <c r="G1108" t="s">
        <v>599</v>
      </c>
      <c r="H1108" t="s">
        <v>600</v>
      </c>
      <c r="I1108" t="s">
        <v>601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hidden="1">
      <c r="A1109" t="s">
        <v>270</v>
      </c>
      <c r="B1109" t="s">
        <v>2155</v>
      </c>
      <c r="C1109" t="s">
        <v>2154</v>
      </c>
      <c r="D1109" t="s">
        <v>1316</v>
      </c>
      <c r="E1109" t="s">
        <v>1393</v>
      </c>
      <c r="F1109" t="s">
        <v>598</v>
      </c>
      <c r="G1109" t="s">
        <v>599</v>
      </c>
      <c r="H1109" t="s">
        <v>600</v>
      </c>
      <c r="I1109" t="s">
        <v>601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</row>
    <row r="1110" spans="1:25" hidden="1">
      <c r="A1110" t="s">
        <v>270</v>
      </c>
      <c r="B1110" t="s">
        <v>2156</v>
      </c>
      <c r="C1110" t="s">
        <v>2154</v>
      </c>
      <c r="D1110" t="s">
        <v>1320</v>
      </c>
      <c r="E1110" t="s">
        <v>973</v>
      </c>
      <c r="F1110" t="s">
        <v>598</v>
      </c>
      <c r="G1110" t="s">
        <v>599</v>
      </c>
      <c r="H1110" t="s">
        <v>600</v>
      </c>
      <c r="I1110" t="s">
        <v>601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hidden="1">
      <c r="A1111" t="s">
        <v>270</v>
      </c>
      <c r="B1111" t="s">
        <v>2157</v>
      </c>
      <c r="C1111" t="s">
        <v>2154</v>
      </c>
      <c r="D1111" t="s">
        <v>1320</v>
      </c>
      <c r="E1111" t="s">
        <v>688</v>
      </c>
      <c r="F1111" t="s">
        <v>598</v>
      </c>
      <c r="G1111" t="s">
        <v>599</v>
      </c>
      <c r="H1111" t="s">
        <v>600</v>
      </c>
      <c r="I1111" t="s">
        <v>601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</row>
    <row r="1112" spans="1:25" hidden="1">
      <c r="A1112" t="s">
        <v>270</v>
      </c>
      <c r="B1112" t="s">
        <v>2158</v>
      </c>
      <c r="C1112" t="s">
        <v>2154</v>
      </c>
      <c r="D1112" t="s">
        <v>1320</v>
      </c>
      <c r="E1112" t="s">
        <v>626</v>
      </c>
      <c r="F1112" t="s">
        <v>598</v>
      </c>
      <c r="G1112" t="s">
        <v>599</v>
      </c>
      <c r="H1112" t="s">
        <v>600</v>
      </c>
      <c r="I1112" t="s">
        <v>601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</row>
    <row r="1113" spans="1:25" hidden="1">
      <c r="A1113" t="s">
        <v>270</v>
      </c>
      <c r="B1113" t="s">
        <v>2159</v>
      </c>
      <c r="C1113" t="s">
        <v>2154</v>
      </c>
      <c r="D1113" t="s">
        <v>1320</v>
      </c>
      <c r="E1113" t="s">
        <v>1393</v>
      </c>
      <c r="F1113" t="s">
        <v>598</v>
      </c>
      <c r="G1113" t="s">
        <v>599</v>
      </c>
      <c r="H1113" t="s">
        <v>600</v>
      </c>
      <c r="I1113" t="s">
        <v>601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hidden="1">
      <c r="A1114" t="s">
        <v>270</v>
      </c>
      <c r="B1114" t="s">
        <v>2160</v>
      </c>
      <c r="C1114" t="s">
        <v>2154</v>
      </c>
      <c r="D1114" t="s">
        <v>1324</v>
      </c>
      <c r="E1114" t="s">
        <v>1340</v>
      </c>
      <c r="F1114" t="s">
        <v>598</v>
      </c>
      <c r="G1114" t="s">
        <v>599</v>
      </c>
      <c r="H1114" t="s">
        <v>600</v>
      </c>
      <c r="I1114" t="s">
        <v>601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270</v>
      </c>
      <c r="B1115" t="s">
        <v>2161</v>
      </c>
      <c r="C1115" t="s">
        <v>2154</v>
      </c>
      <c r="D1115" t="s">
        <v>1324</v>
      </c>
      <c r="E1115" t="s">
        <v>1684</v>
      </c>
      <c r="F1115" t="s">
        <v>598</v>
      </c>
      <c r="G1115" t="s">
        <v>599</v>
      </c>
      <c r="H1115" t="s">
        <v>600</v>
      </c>
      <c r="I1115" t="s">
        <v>601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</row>
    <row r="1116" spans="1:25" hidden="1">
      <c r="A1116" t="s">
        <v>270</v>
      </c>
      <c r="B1116" t="s">
        <v>2162</v>
      </c>
      <c r="C1116" t="s">
        <v>2154</v>
      </c>
      <c r="D1116" t="s">
        <v>1324</v>
      </c>
      <c r="E1116" t="s">
        <v>1733</v>
      </c>
      <c r="F1116" t="s">
        <v>598</v>
      </c>
      <c r="G1116" t="s">
        <v>599</v>
      </c>
      <c r="H1116" t="s">
        <v>600</v>
      </c>
      <c r="I1116" t="s">
        <v>601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hidden="1">
      <c r="A1117" t="s">
        <v>270</v>
      </c>
      <c r="B1117" t="s">
        <v>2163</v>
      </c>
      <c r="C1117" t="s">
        <v>2154</v>
      </c>
      <c r="D1117" t="s">
        <v>1324</v>
      </c>
      <c r="E1117" t="s">
        <v>954</v>
      </c>
      <c r="F1117" t="s">
        <v>598</v>
      </c>
      <c r="G1117" t="s">
        <v>599</v>
      </c>
      <c r="H1117" t="s">
        <v>600</v>
      </c>
      <c r="I1117" t="s">
        <v>601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</row>
    <row r="1118" spans="1:25" hidden="1">
      <c r="A1118" t="s">
        <v>270</v>
      </c>
      <c r="B1118" t="s">
        <v>2164</v>
      </c>
      <c r="C1118" t="s">
        <v>2154</v>
      </c>
      <c r="D1118" t="s">
        <v>1324</v>
      </c>
      <c r="E1118" t="s">
        <v>1020</v>
      </c>
      <c r="F1118" t="s">
        <v>598</v>
      </c>
      <c r="G1118" t="s">
        <v>599</v>
      </c>
      <c r="H1118" t="s">
        <v>600</v>
      </c>
      <c r="I1118" t="s">
        <v>601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</row>
    <row r="1119" spans="1:25" hidden="1">
      <c r="A1119" t="s">
        <v>270</v>
      </c>
      <c r="B1119" t="s">
        <v>2165</v>
      </c>
      <c r="C1119" t="s">
        <v>2154</v>
      </c>
      <c r="D1119" t="s">
        <v>1324</v>
      </c>
      <c r="E1119" t="s">
        <v>630</v>
      </c>
      <c r="F1119" t="s">
        <v>598</v>
      </c>
      <c r="G1119" t="s">
        <v>599</v>
      </c>
      <c r="H1119" t="s">
        <v>600</v>
      </c>
      <c r="I1119" t="s">
        <v>601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hidden="1">
      <c r="A1120" t="s">
        <v>270</v>
      </c>
      <c r="B1120" t="s">
        <v>2166</v>
      </c>
      <c r="C1120" t="s">
        <v>2154</v>
      </c>
      <c r="D1120" t="s">
        <v>1332</v>
      </c>
      <c r="E1120" t="s">
        <v>1340</v>
      </c>
      <c r="F1120" t="s">
        <v>598</v>
      </c>
      <c r="G1120" t="s">
        <v>599</v>
      </c>
      <c r="H1120" t="s">
        <v>600</v>
      </c>
      <c r="I1120" t="s">
        <v>601</v>
      </c>
      <c r="J1120">
        <v>2.0000000000000001E-4</v>
      </c>
      <c r="K1120">
        <v>2.0000000000000001E-4</v>
      </c>
      <c r="L1120">
        <v>2.0000000000000001E-4</v>
      </c>
      <c r="M1120">
        <v>2.0000000000000001E-4</v>
      </c>
      <c r="N1120">
        <v>2.0000000000000001E-4</v>
      </c>
      <c r="O1120">
        <v>2.0000000000000001E-4</v>
      </c>
      <c r="P1120">
        <v>2.0000000000000001E-4</v>
      </c>
      <c r="Q1120">
        <v>2.0000000000000001E-4</v>
      </c>
      <c r="R1120">
        <v>2.0000000000000001E-4</v>
      </c>
      <c r="S1120">
        <v>2.0000000000000001E-4</v>
      </c>
      <c r="T1120">
        <v>2.0000000000000001E-4</v>
      </c>
      <c r="U1120">
        <v>2.0000000000000001E-4</v>
      </c>
      <c r="V1120">
        <v>2.0000000000000001E-4</v>
      </c>
      <c r="W1120">
        <v>2.0000000000000001E-4</v>
      </c>
      <c r="X1120">
        <v>2.0000000000000001E-4</v>
      </c>
      <c r="Y1120">
        <v>2.0000000000000001E-4</v>
      </c>
    </row>
    <row r="1121" spans="1:25" hidden="1">
      <c r="A1121" t="s">
        <v>270</v>
      </c>
      <c r="B1121" t="s">
        <v>2167</v>
      </c>
      <c r="C1121" t="s">
        <v>2154</v>
      </c>
      <c r="D1121" t="s">
        <v>1332</v>
      </c>
      <c r="E1121" t="s">
        <v>1684</v>
      </c>
      <c r="F1121" t="s">
        <v>598</v>
      </c>
      <c r="G1121" t="s">
        <v>599</v>
      </c>
      <c r="H1121" t="s">
        <v>600</v>
      </c>
      <c r="I1121" t="s">
        <v>601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25" hidden="1">
      <c r="A1122" t="s">
        <v>270</v>
      </c>
      <c r="B1122" t="s">
        <v>2168</v>
      </c>
      <c r="C1122" t="s">
        <v>2154</v>
      </c>
      <c r="D1122" t="s">
        <v>1332</v>
      </c>
      <c r="E1122" t="s">
        <v>954</v>
      </c>
      <c r="F1122" t="s">
        <v>598</v>
      </c>
      <c r="G1122" t="s">
        <v>599</v>
      </c>
      <c r="H1122" t="s">
        <v>600</v>
      </c>
      <c r="I1122" t="s">
        <v>601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hidden="1">
      <c r="A1123" t="s">
        <v>270</v>
      </c>
      <c r="B1123" t="s">
        <v>2169</v>
      </c>
      <c r="C1123" t="s">
        <v>2154</v>
      </c>
      <c r="D1123" t="s">
        <v>1332</v>
      </c>
      <c r="E1123" t="s">
        <v>630</v>
      </c>
      <c r="F1123" t="s">
        <v>598</v>
      </c>
      <c r="G1123" t="s">
        <v>599</v>
      </c>
      <c r="H1123" t="s">
        <v>600</v>
      </c>
      <c r="I1123" t="s">
        <v>601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270</v>
      </c>
      <c r="B1124" t="s">
        <v>2170</v>
      </c>
      <c r="C1124" t="s">
        <v>2154</v>
      </c>
      <c r="D1124" t="s">
        <v>1332</v>
      </c>
      <c r="E1124" t="s">
        <v>1000</v>
      </c>
      <c r="F1124" t="s">
        <v>598</v>
      </c>
      <c r="G1124" t="s">
        <v>599</v>
      </c>
      <c r="H1124" t="s">
        <v>600</v>
      </c>
      <c r="I1124" t="s">
        <v>601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25" hidden="1">
      <c r="A1125" t="s">
        <v>270</v>
      </c>
      <c r="B1125" t="s">
        <v>2171</v>
      </c>
      <c r="C1125" t="s">
        <v>2154</v>
      </c>
      <c r="D1125" t="s">
        <v>1350</v>
      </c>
      <c r="E1125" t="s">
        <v>1684</v>
      </c>
      <c r="F1125" t="s">
        <v>598</v>
      </c>
      <c r="G1125" t="s">
        <v>599</v>
      </c>
      <c r="H1125" t="s">
        <v>600</v>
      </c>
      <c r="I1125" t="s">
        <v>601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</row>
    <row r="1126" spans="1:25" hidden="1">
      <c r="A1126" t="s">
        <v>270</v>
      </c>
      <c r="B1126" t="s">
        <v>2172</v>
      </c>
      <c r="C1126" t="s">
        <v>2154</v>
      </c>
      <c r="D1126" t="s">
        <v>1435</v>
      </c>
      <c r="E1126" t="s">
        <v>973</v>
      </c>
      <c r="F1126" t="s">
        <v>598</v>
      </c>
      <c r="G1126" t="s">
        <v>599</v>
      </c>
      <c r="H1126" t="s">
        <v>600</v>
      </c>
      <c r="I1126" t="s">
        <v>601</v>
      </c>
      <c r="J1126">
        <v>0.55589999999999995</v>
      </c>
      <c r="K1126">
        <v>0.56240000000000001</v>
      </c>
      <c r="L1126">
        <v>0.56440000000000001</v>
      </c>
      <c r="M1126">
        <v>0.57540000000000002</v>
      </c>
      <c r="N1126">
        <v>0.58220000000000005</v>
      </c>
      <c r="O1126">
        <v>0.59009999999999996</v>
      </c>
      <c r="P1126">
        <v>0.60570000000000002</v>
      </c>
      <c r="Q1126">
        <v>0.61870000000000003</v>
      </c>
      <c r="R1126">
        <v>0.62760000000000005</v>
      </c>
      <c r="S1126">
        <v>0.63539999999999996</v>
      </c>
      <c r="T1126">
        <v>0.64259999999999995</v>
      </c>
      <c r="U1126">
        <v>0.64729999999999999</v>
      </c>
      <c r="V1126">
        <v>0.65229999999999999</v>
      </c>
      <c r="W1126">
        <v>0.65680000000000005</v>
      </c>
      <c r="X1126">
        <v>0.66169999999999995</v>
      </c>
      <c r="Y1126">
        <v>0.66569999999999996</v>
      </c>
    </row>
    <row r="1127" spans="1:25" hidden="1">
      <c r="A1127" t="s">
        <v>270</v>
      </c>
      <c r="B1127" t="s">
        <v>2173</v>
      </c>
      <c r="C1127" t="s">
        <v>2154</v>
      </c>
      <c r="D1127" t="s">
        <v>1354</v>
      </c>
      <c r="E1127" t="s">
        <v>973</v>
      </c>
      <c r="F1127" t="s">
        <v>598</v>
      </c>
      <c r="G1127" t="s">
        <v>599</v>
      </c>
      <c r="H1127" t="s">
        <v>600</v>
      </c>
      <c r="I1127" t="s">
        <v>601</v>
      </c>
      <c r="J1127">
        <v>1E-4</v>
      </c>
      <c r="K1127">
        <v>1E-4</v>
      </c>
      <c r="L1127">
        <v>1E-4</v>
      </c>
      <c r="M1127">
        <v>1E-4</v>
      </c>
      <c r="N1127">
        <v>1E-4</v>
      </c>
      <c r="O1127">
        <v>1E-4</v>
      </c>
      <c r="P1127">
        <v>1E-4</v>
      </c>
      <c r="Q1127">
        <v>1E-4</v>
      </c>
      <c r="R1127">
        <v>1E-4</v>
      </c>
      <c r="S1127">
        <v>1E-4</v>
      </c>
      <c r="T1127">
        <v>1E-4</v>
      </c>
      <c r="U1127">
        <v>1E-4</v>
      </c>
      <c r="V1127">
        <v>1E-4</v>
      </c>
      <c r="W1127">
        <v>1E-4</v>
      </c>
      <c r="X1127">
        <v>1E-4</v>
      </c>
      <c r="Y1127">
        <v>1E-4</v>
      </c>
    </row>
    <row r="1128" spans="1:25" hidden="1">
      <c r="A1128" t="s">
        <v>270</v>
      </c>
      <c r="B1128" t="s">
        <v>2174</v>
      </c>
      <c r="C1128" t="s">
        <v>2154</v>
      </c>
      <c r="D1128" t="s">
        <v>1354</v>
      </c>
      <c r="E1128" t="s">
        <v>927</v>
      </c>
      <c r="F1128" t="s">
        <v>598</v>
      </c>
      <c r="G1128" t="s">
        <v>599</v>
      </c>
      <c r="H1128" t="s">
        <v>600</v>
      </c>
      <c r="I1128" t="s">
        <v>601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hidden="1">
      <c r="A1129" t="s">
        <v>270</v>
      </c>
      <c r="B1129" t="s">
        <v>2175</v>
      </c>
      <c r="C1129" t="s">
        <v>2154</v>
      </c>
      <c r="D1129" t="s">
        <v>1354</v>
      </c>
      <c r="E1129" t="s">
        <v>954</v>
      </c>
      <c r="F1129" t="s">
        <v>598</v>
      </c>
      <c r="G1129" t="s">
        <v>599</v>
      </c>
      <c r="H1129" t="s">
        <v>600</v>
      </c>
      <c r="I1129" t="s">
        <v>601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270</v>
      </c>
      <c r="B1130" t="s">
        <v>2176</v>
      </c>
      <c r="C1130" t="s">
        <v>2154</v>
      </c>
      <c r="D1130" t="s">
        <v>1365</v>
      </c>
      <c r="E1130" t="s">
        <v>1393</v>
      </c>
      <c r="F1130" t="s">
        <v>598</v>
      </c>
      <c r="G1130" t="s">
        <v>599</v>
      </c>
      <c r="H1130" t="s">
        <v>600</v>
      </c>
      <c r="I1130" t="s">
        <v>601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270</v>
      </c>
      <c r="B1131" t="s">
        <v>2177</v>
      </c>
      <c r="C1131" t="s">
        <v>2154</v>
      </c>
      <c r="D1131" t="s">
        <v>1817</v>
      </c>
      <c r="E1131" t="s">
        <v>611</v>
      </c>
      <c r="F1131" t="s">
        <v>598</v>
      </c>
      <c r="G1131" t="s">
        <v>599</v>
      </c>
      <c r="H1131" t="s">
        <v>600</v>
      </c>
      <c r="I1131" t="s">
        <v>601</v>
      </c>
      <c r="J1131">
        <v>1E-4</v>
      </c>
      <c r="K1131">
        <v>1E-4</v>
      </c>
      <c r="L1131">
        <v>1E-4</v>
      </c>
      <c r="M1131">
        <v>1E-4</v>
      </c>
      <c r="N1131">
        <v>1E-4</v>
      </c>
      <c r="O1131">
        <v>1E-4</v>
      </c>
      <c r="P1131">
        <v>1E-4</v>
      </c>
      <c r="Q1131">
        <v>1E-4</v>
      </c>
      <c r="R1131">
        <v>1E-4</v>
      </c>
      <c r="S1131">
        <v>1E-4</v>
      </c>
      <c r="T1131">
        <v>1E-4</v>
      </c>
      <c r="U1131">
        <v>1E-4</v>
      </c>
      <c r="V1131">
        <v>1E-4</v>
      </c>
      <c r="W1131">
        <v>1E-4</v>
      </c>
      <c r="X1131">
        <v>1E-4</v>
      </c>
      <c r="Y1131">
        <v>1E-4</v>
      </c>
    </row>
    <row r="1132" spans="1:25" hidden="1">
      <c r="A1132" t="s">
        <v>270</v>
      </c>
      <c r="B1132" t="s">
        <v>2178</v>
      </c>
      <c r="C1132" t="s">
        <v>2154</v>
      </c>
      <c r="D1132" t="s">
        <v>2179</v>
      </c>
      <c r="E1132" t="s">
        <v>2180</v>
      </c>
      <c r="F1132" t="s">
        <v>598</v>
      </c>
      <c r="G1132" t="s">
        <v>599</v>
      </c>
      <c r="H1132" t="s">
        <v>600</v>
      </c>
      <c r="I1132" t="s">
        <v>601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270</v>
      </c>
      <c r="B1133" t="s">
        <v>2181</v>
      </c>
      <c r="C1133" t="s">
        <v>2154</v>
      </c>
      <c r="D1133" t="s">
        <v>2179</v>
      </c>
      <c r="E1133" t="s">
        <v>2139</v>
      </c>
      <c r="F1133" t="s">
        <v>598</v>
      </c>
      <c r="G1133" t="s">
        <v>599</v>
      </c>
      <c r="H1133" t="s">
        <v>600</v>
      </c>
      <c r="I1133" t="s">
        <v>601</v>
      </c>
      <c r="J1133">
        <v>6.9999999999999999E-4</v>
      </c>
      <c r="K1133">
        <v>8.0000000000000004E-4</v>
      </c>
      <c r="L1133">
        <v>8.9999999999999998E-4</v>
      </c>
      <c r="M1133">
        <v>8.9999999999999998E-4</v>
      </c>
      <c r="N1133">
        <v>8.9999999999999998E-4</v>
      </c>
      <c r="O1133">
        <v>8.9999999999999998E-4</v>
      </c>
      <c r="P1133">
        <v>8.9999999999999998E-4</v>
      </c>
      <c r="Q1133">
        <v>8.9999999999999998E-4</v>
      </c>
      <c r="R1133">
        <v>8.9999999999999998E-4</v>
      </c>
      <c r="S1133">
        <v>1E-3</v>
      </c>
      <c r="T1133">
        <v>1E-3</v>
      </c>
      <c r="U1133">
        <v>1E-3</v>
      </c>
      <c r="V1133">
        <v>1E-3</v>
      </c>
      <c r="W1133">
        <v>1E-3</v>
      </c>
      <c r="X1133">
        <v>1E-3</v>
      </c>
      <c r="Y1133">
        <v>1E-3</v>
      </c>
    </row>
    <row r="1134" spans="1:25" hidden="1">
      <c r="A1134" t="s">
        <v>270</v>
      </c>
      <c r="B1134" t="s">
        <v>2182</v>
      </c>
      <c r="C1134" t="s">
        <v>2154</v>
      </c>
      <c r="D1134" t="s">
        <v>2183</v>
      </c>
      <c r="E1134" t="s">
        <v>649</v>
      </c>
      <c r="F1134" t="s">
        <v>598</v>
      </c>
      <c r="G1134" t="s">
        <v>599</v>
      </c>
      <c r="H1134" t="s">
        <v>600</v>
      </c>
      <c r="I1134" t="s">
        <v>601</v>
      </c>
      <c r="J1134">
        <v>5.7999999999999996E-3</v>
      </c>
      <c r="K1134">
        <v>6.4999999999999997E-3</v>
      </c>
      <c r="L1134">
        <v>7.4000000000000003E-3</v>
      </c>
      <c r="M1134">
        <v>8.3999999999999995E-3</v>
      </c>
      <c r="N1134">
        <v>8.8000000000000005E-3</v>
      </c>
      <c r="O1134">
        <v>9.1000000000000004E-3</v>
      </c>
      <c r="P1134">
        <v>9.4000000000000004E-3</v>
      </c>
      <c r="Q1134">
        <v>9.7000000000000003E-3</v>
      </c>
      <c r="R1134">
        <v>0.01</v>
      </c>
      <c r="S1134">
        <v>1.03E-2</v>
      </c>
      <c r="T1134">
        <v>1.06E-2</v>
      </c>
      <c r="U1134">
        <v>1.09E-2</v>
      </c>
      <c r="V1134">
        <v>1.1299999999999999E-2</v>
      </c>
      <c r="W1134">
        <v>1.1599999999999999E-2</v>
      </c>
      <c r="X1134">
        <v>1.2E-2</v>
      </c>
      <c r="Y1134">
        <v>1.23E-2</v>
      </c>
    </row>
    <row r="1135" spans="1:25" hidden="1">
      <c r="A1135" t="s">
        <v>270</v>
      </c>
      <c r="B1135" t="s">
        <v>2184</v>
      </c>
      <c r="C1135" t="s">
        <v>2154</v>
      </c>
      <c r="D1135" t="s">
        <v>2185</v>
      </c>
      <c r="E1135" t="s">
        <v>2186</v>
      </c>
      <c r="F1135" t="s">
        <v>598</v>
      </c>
      <c r="G1135" t="s">
        <v>599</v>
      </c>
      <c r="H1135" t="s">
        <v>600</v>
      </c>
      <c r="I1135" t="s">
        <v>601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hidden="1">
      <c r="A1136" t="s">
        <v>270</v>
      </c>
      <c r="B1136" t="s">
        <v>2187</v>
      </c>
      <c r="C1136" t="s">
        <v>2154</v>
      </c>
      <c r="D1136" t="s">
        <v>648</v>
      </c>
      <c r="E1136" t="s">
        <v>920</v>
      </c>
      <c r="F1136" t="s">
        <v>598</v>
      </c>
      <c r="G1136" t="s">
        <v>599</v>
      </c>
      <c r="H1136" t="s">
        <v>600</v>
      </c>
      <c r="I1136" t="s">
        <v>601</v>
      </c>
      <c r="J1136">
        <v>0.59660000000000002</v>
      </c>
      <c r="K1136">
        <v>0.62080000000000002</v>
      </c>
      <c r="L1136">
        <v>0.64659999999999995</v>
      </c>
      <c r="M1136">
        <v>0.67600000000000005</v>
      </c>
      <c r="N1136">
        <v>0.69199999999999995</v>
      </c>
      <c r="O1136">
        <v>0.70520000000000005</v>
      </c>
      <c r="P1136">
        <v>0.72</v>
      </c>
      <c r="Q1136">
        <v>0.73360000000000003</v>
      </c>
      <c r="R1136">
        <v>0.74829999999999997</v>
      </c>
      <c r="S1136">
        <v>0.76280000000000003</v>
      </c>
      <c r="T1136">
        <v>0.77729999999999999</v>
      </c>
      <c r="U1136">
        <v>0.79310000000000003</v>
      </c>
      <c r="V1136">
        <v>0.81</v>
      </c>
      <c r="W1136">
        <v>0.82689999999999997</v>
      </c>
      <c r="X1136">
        <v>0.84389999999999998</v>
      </c>
      <c r="Y1136">
        <v>0.86080000000000001</v>
      </c>
    </row>
    <row r="1137" spans="1:25" hidden="1">
      <c r="A1137" t="s">
        <v>270</v>
      </c>
      <c r="B1137" t="s">
        <v>2188</v>
      </c>
      <c r="C1137" t="s">
        <v>2154</v>
      </c>
      <c r="D1137" t="s">
        <v>648</v>
      </c>
      <c r="E1137" t="s">
        <v>973</v>
      </c>
      <c r="F1137" t="s">
        <v>598</v>
      </c>
      <c r="G1137" t="s">
        <v>599</v>
      </c>
      <c r="H1137" t="s">
        <v>600</v>
      </c>
      <c r="I1137" t="s">
        <v>601</v>
      </c>
      <c r="J1137">
        <v>0.4073</v>
      </c>
      <c r="K1137">
        <v>0.39979999999999999</v>
      </c>
      <c r="L1137">
        <v>0.39229999999999998</v>
      </c>
      <c r="M1137">
        <v>0.3846</v>
      </c>
      <c r="N1137">
        <v>0.37809999999999999</v>
      </c>
      <c r="O1137">
        <v>0.36980000000000002</v>
      </c>
      <c r="P1137">
        <v>0.37540000000000001</v>
      </c>
      <c r="Q1137">
        <v>0.38279999999999997</v>
      </c>
      <c r="R1137">
        <v>0.3861</v>
      </c>
      <c r="S1137">
        <v>0.39219999999999999</v>
      </c>
      <c r="T1137">
        <v>0.39760000000000001</v>
      </c>
      <c r="U1137">
        <v>0.40139999999999998</v>
      </c>
      <c r="V1137">
        <v>0.40589999999999998</v>
      </c>
      <c r="W1137">
        <v>0.41020000000000001</v>
      </c>
      <c r="X1137">
        <v>0.4148</v>
      </c>
      <c r="Y1137">
        <v>0.41899999999999998</v>
      </c>
    </row>
    <row r="1138" spans="1:25" hidden="1">
      <c r="A1138" t="s">
        <v>270</v>
      </c>
      <c r="B1138" t="s">
        <v>2189</v>
      </c>
      <c r="C1138" t="s">
        <v>2154</v>
      </c>
      <c r="D1138" t="s">
        <v>648</v>
      </c>
      <c r="E1138" t="s">
        <v>611</v>
      </c>
      <c r="F1138" t="s">
        <v>598</v>
      </c>
      <c r="G1138" t="s">
        <v>599</v>
      </c>
      <c r="H1138" t="s">
        <v>600</v>
      </c>
      <c r="I1138" t="s">
        <v>601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270</v>
      </c>
      <c r="B1139" t="s">
        <v>2190</v>
      </c>
      <c r="C1139" t="s">
        <v>2154</v>
      </c>
      <c r="D1139" t="s">
        <v>648</v>
      </c>
      <c r="E1139" t="s">
        <v>656</v>
      </c>
      <c r="F1139" t="s">
        <v>598</v>
      </c>
      <c r="G1139" t="s">
        <v>599</v>
      </c>
      <c r="H1139" t="s">
        <v>600</v>
      </c>
      <c r="I1139" t="s">
        <v>601</v>
      </c>
      <c r="J1139">
        <v>1E-4</v>
      </c>
      <c r="K1139">
        <v>1E-4</v>
      </c>
      <c r="L1139">
        <v>1E-4</v>
      </c>
      <c r="M1139">
        <v>1E-4</v>
      </c>
      <c r="N1139">
        <v>1E-4</v>
      </c>
      <c r="O1139">
        <v>1E-4</v>
      </c>
      <c r="P1139">
        <v>1E-4</v>
      </c>
      <c r="Q1139">
        <v>1E-4</v>
      </c>
      <c r="R1139">
        <v>1E-4</v>
      </c>
      <c r="S1139">
        <v>1E-4</v>
      </c>
      <c r="T1139">
        <v>1E-4</v>
      </c>
      <c r="U1139">
        <v>1E-4</v>
      </c>
      <c r="V1139">
        <v>1E-4</v>
      </c>
      <c r="W1139">
        <v>1E-4</v>
      </c>
      <c r="X1139">
        <v>1E-4</v>
      </c>
      <c r="Y1139">
        <v>1E-4</v>
      </c>
    </row>
    <row r="1140" spans="1:25" hidden="1">
      <c r="A1140" t="s">
        <v>270</v>
      </c>
      <c r="B1140" t="s">
        <v>2191</v>
      </c>
      <c r="C1140" t="s">
        <v>2154</v>
      </c>
      <c r="D1140" t="s">
        <v>648</v>
      </c>
      <c r="E1140" t="s">
        <v>1340</v>
      </c>
      <c r="F1140" t="s">
        <v>598</v>
      </c>
      <c r="G1140" t="s">
        <v>599</v>
      </c>
      <c r="H1140" t="s">
        <v>600</v>
      </c>
      <c r="I1140" t="s">
        <v>601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270</v>
      </c>
      <c r="B1141" t="s">
        <v>2192</v>
      </c>
      <c r="C1141" t="s">
        <v>2154</v>
      </c>
      <c r="D1141" t="s">
        <v>648</v>
      </c>
      <c r="E1141" t="s">
        <v>2193</v>
      </c>
      <c r="F1141" t="s">
        <v>598</v>
      </c>
      <c r="G1141" t="s">
        <v>599</v>
      </c>
      <c r="H1141" t="s">
        <v>600</v>
      </c>
      <c r="I1141" t="s">
        <v>601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270</v>
      </c>
      <c r="B1142" t="s">
        <v>2194</v>
      </c>
      <c r="C1142" t="s">
        <v>2154</v>
      </c>
      <c r="D1142" t="s">
        <v>648</v>
      </c>
      <c r="E1142" t="s">
        <v>2195</v>
      </c>
      <c r="F1142" t="s">
        <v>598</v>
      </c>
      <c r="G1142" t="s">
        <v>599</v>
      </c>
      <c r="H1142" t="s">
        <v>600</v>
      </c>
      <c r="I1142" t="s">
        <v>601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270</v>
      </c>
      <c r="B1143" t="s">
        <v>2196</v>
      </c>
      <c r="C1143" t="s">
        <v>2154</v>
      </c>
      <c r="D1143" t="s">
        <v>648</v>
      </c>
      <c r="E1143" t="s">
        <v>1393</v>
      </c>
      <c r="F1143" t="s">
        <v>598</v>
      </c>
      <c r="G1143" t="s">
        <v>599</v>
      </c>
      <c r="H1143" t="s">
        <v>600</v>
      </c>
      <c r="I1143" t="s">
        <v>601</v>
      </c>
      <c r="J1143">
        <v>1.9036</v>
      </c>
      <c r="K1143">
        <v>1.9242999999999999</v>
      </c>
      <c r="L1143">
        <v>1.9471000000000001</v>
      </c>
      <c r="M1143">
        <v>1.9702</v>
      </c>
      <c r="N1143">
        <v>1.9897</v>
      </c>
      <c r="O1143">
        <v>2.0110999999999999</v>
      </c>
      <c r="P1143">
        <v>2.0304000000000002</v>
      </c>
      <c r="Q1143">
        <v>2.0497999999999998</v>
      </c>
      <c r="R1143">
        <v>2.0695999999999999</v>
      </c>
      <c r="S1143">
        <v>2.0903999999999998</v>
      </c>
      <c r="T1143">
        <v>2.11</v>
      </c>
      <c r="U1143">
        <v>2.1316999999999999</v>
      </c>
      <c r="V1143">
        <v>2.1536</v>
      </c>
      <c r="W1143">
        <v>2.1753</v>
      </c>
      <c r="X1143">
        <v>2.1949999999999998</v>
      </c>
      <c r="Y1143">
        <v>2.2170000000000001</v>
      </c>
    </row>
    <row r="1144" spans="1:25" hidden="1">
      <c r="A1144" t="s">
        <v>270</v>
      </c>
      <c r="B1144" t="s">
        <v>2197</v>
      </c>
      <c r="C1144" t="s">
        <v>2154</v>
      </c>
      <c r="D1144" t="s">
        <v>648</v>
      </c>
      <c r="E1144" t="s">
        <v>646</v>
      </c>
      <c r="F1144" t="s">
        <v>598</v>
      </c>
      <c r="G1144" t="s">
        <v>599</v>
      </c>
      <c r="H1144" t="s">
        <v>600</v>
      </c>
      <c r="I1144" t="s">
        <v>601</v>
      </c>
      <c r="J1144">
        <v>2.3699999999999999E-2</v>
      </c>
      <c r="K1144">
        <v>2.3199999999999998E-2</v>
      </c>
      <c r="L1144">
        <v>2.29E-2</v>
      </c>
      <c r="M1144">
        <v>2.2200000000000001E-2</v>
      </c>
      <c r="N1144">
        <v>2.1899999999999999E-2</v>
      </c>
      <c r="O1144">
        <v>2.1499999999999998E-2</v>
      </c>
      <c r="P1144">
        <v>2.18E-2</v>
      </c>
      <c r="Q1144">
        <v>2.1999999999999999E-2</v>
      </c>
      <c r="R1144">
        <v>2.1999999999999999E-2</v>
      </c>
      <c r="S1144">
        <v>2.2100000000000002E-2</v>
      </c>
      <c r="T1144">
        <v>2.2100000000000002E-2</v>
      </c>
      <c r="U1144">
        <v>2.23E-2</v>
      </c>
      <c r="V1144">
        <v>2.24E-2</v>
      </c>
      <c r="W1144">
        <v>2.24E-2</v>
      </c>
      <c r="X1144">
        <v>2.2499999999999999E-2</v>
      </c>
      <c r="Y1144">
        <v>2.2599999999999999E-2</v>
      </c>
    </row>
    <row r="1145" spans="1:25" hidden="1">
      <c r="A1145" t="s">
        <v>270</v>
      </c>
      <c r="B1145" t="s">
        <v>2198</v>
      </c>
      <c r="C1145" t="s">
        <v>2154</v>
      </c>
      <c r="D1145" t="s">
        <v>648</v>
      </c>
      <c r="E1145" t="s">
        <v>2119</v>
      </c>
      <c r="F1145" t="s">
        <v>598</v>
      </c>
      <c r="G1145" t="s">
        <v>599</v>
      </c>
      <c r="H1145" t="s">
        <v>600</v>
      </c>
      <c r="I1145" t="s">
        <v>601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270</v>
      </c>
      <c r="B1146" t="s">
        <v>2199</v>
      </c>
      <c r="C1146" t="s">
        <v>2154</v>
      </c>
      <c r="D1146" t="s">
        <v>648</v>
      </c>
      <c r="E1146" t="s">
        <v>1014</v>
      </c>
      <c r="F1146" t="s">
        <v>598</v>
      </c>
      <c r="G1146" t="s">
        <v>599</v>
      </c>
      <c r="H1146" t="s">
        <v>600</v>
      </c>
      <c r="I1146" t="s">
        <v>601</v>
      </c>
      <c r="J1146">
        <v>8.9300000000000004E-2</v>
      </c>
      <c r="K1146">
        <v>9.4700000000000006E-2</v>
      </c>
      <c r="L1146">
        <v>0.10059999999999999</v>
      </c>
      <c r="M1146">
        <v>0.1074</v>
      </c>
      <c r="N1146">
        <v>0.1101</v>
      </c>
      <c r="O1146">
        <v>0.1129</v>
      </c>
      <c r="P1146">
        <v>0.11600000000000001</v>
      </c>
      <c r="Q1146">
        <v>0.11899999999999999</v>
      </c>
      <c r="R1146">
        <v>0.1222</v>
      </c>
      <c r="S1146">
        <v>0.12529999999999999</v>
      </c>
      <c r="T1146">
        <v>0.12870000000000001</v>
      </c>
      <c r="U1146">
        <v>0.1323</v>
      </c>
      <c r="V1146">
        <v>0.1363</v>
      </c>
      <c r="W1146">
        <v>0.14000000000000001</v>
      </c>
      <c r="X1146">
        <v>0.1439</v>
      </c>
      <c r="Y1146">
        <v>0.14779999999999999</v>
      </c>
    </row>
    <row r="1147" spans="1:25" hidden="1">
      <c r="A1147" t="s">
        <v>270</v>
      </c>
      <c r="B1147" t="s">
        <v>2200</v>
      </c>
      <c r="C1147" t="s">
        <v>2154</v>
      </c>
      <c r="D1147" t="s">
        <v>648</v>
      </c>
      <c r="E1147" t="s">
        <v>1774</v>
      </c>
      <c r="F1147" t="s">
        <v>598</v>
      </c>
      <c r="G1147" t="s">
        <v>599</v>
      </c>
      <c r="H1147" t="s">
        <v>600</v>
      </c>
      <c r="I1147" t="s">
        <v>601</v>
      </c>
      <c r="J1147">
        <v>8.9999999999999998E-4</v>
      </c>
      <c r="K1147">
        <v>1E-3</v>
      </c>
      <c r="L1147">
        <v>1E-3</v>
      </c>
      <c r="M1147">
        <v>1.1000000000000001E-3</v>
      </c>
      <c r="N1147">
        <v>1.1000000000000001E-3</v>
      </c>
      <c r="O1147">
        <v>1.1999999999999999E-3</v>
      </c>
      <c r="P1147">
        <v>1.2999999999999999E-3</v>
      </c>
      <c r="Q1147">
        <v>1.2999999999999999E-3</v>
      </c>
      <c r="R1147">
        <v>1.4E-3</v>
      </c>
      <c r="S1147">
        <v>1.4E-3</v>
      </c>
      <c r="T1147">
        <v>1.4E-3</v>
      </c>
      <c r="U1147">
        <v>1.4E-3</v>
      </c>
      <c r="V1147">
        <v>1.4E-3</v>
      </c>
      <c r="W1147">
        <v>1.5E-3</v>
      </c>
      <c r="X1147">
        <v>1.5E-3</v>
      </c>
      <c r="Y1147">
        <v>1.5E-3</v>
      </c>
    </row>
    <row r="1148" spans="1:25" hidden="1">
      <c r="A1148" t="s">
        <v>270</v>
      </c>
      <c r="B1148" t="s">
        <v>2201</v>
      </c>
      <c r="C1148" t="s">
        <v>2154</v>
      </c>
      <c r="D1148" t="s">
        <v>648</v>
      </c>
      <c r="E1148" t="s">
        <v>1872</v>
      </c>
      <c r="F1148" t="s">
        <v>598</v>
      </c>
      <c r="G1148" t="s">
        <v>599</v>
      </c>
      <c r="H1148" t="s">
        <v>600</v>
      </c>
      <c r="I1148" t="s">
        <v>601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1E-4</v>
      </c>
      <c r="P1148">
        <v>1E-4</v>
      </c>
      <c r="Q1148">
        <v>1E-4</v>
      </c>
      <c r="R1148">
        <v>1E-4</v>
      </c>
      <c r="S1148">
        <v>1E-4</v>
      </c>
      <c r="T1148">
        <v>1E-4</v>
      </c>
      <c r="U1148">
        <v>1E-4</v>
      </c>
      <c r="V1148">
        <v>1E-4</v>
      </c>
      <c r="W1148">
        <v>1E-4</v>
      </c>
      <c r="X1148">
        <v>1E-4</v>
      </c>
      <c r="Y1148">
        <v>1E-4</v>
      </c>
    </row>
    <row r="1149" spans="1:25" hidden="1">
      <c r="A1149" t="s">
        <v>270</v>
      </c>
      <c r="B1149" t="s">
        <v>2202</v>
      </c>
      <c r="C1149" t="s">
        <v>2154</v>
      </c>
      <c r="D1149" t="s">
        <v>648</v>
      </c>
      <c r="E1149" t="s">
        <v>1896</v>
      </c>
      <c r="F1149" t="s">
        <v>598</v>
      </c>
      <c r="G1149" t="s">
        <v>599</v>
      </c>
      <c r="H1149" t="s">
        <v>600</v>
      </c>
      <c r="I1149" t="s">
        <v>601</v>
      </c>
      <c r="J1149">
        <v>2.0000000000000001E-4</v>
      </c>
      <c r="K1149">
        <v>2.0000000000000001E-4</v>
      </c>
      <c r="L1149">
        <v>2.0000000000000001E-4</v>
      </c>
      <c r="M1149">
        <v>2.0000000000000001E-4</v>
      </c>
      <c r="N1149">
        <v>2.0000000000000001E-4</v>
      </c>
      <c r="O1149">
        <v>2.0000000000000001E-4</v>
      </c>
      <c r="P1149">
        <v>2.0000000000000001E-4</v>
      </c>
      <c r="Q1149">
        <v>2.0000000000000001E-4</v>
      </c>
      <c r="R1149">
        <v>2.9999999999999997E-4</v>
      </c>
      <c r="S1149">
        <v>2.9999999999999997E-4</v>
      </c>
      <c r="T1149">
        <v>2.9999999999999997E-4</v>
      </c>
      <c r="U1149">
        <v>2.9999999999999997E-4</v>
      </c>
      <c r="V1149">
        <v>2.9999999999999997E-4</v>
      </c>
      <c r="W1149">
        <v>2.9999999999999997E-4</v>
      </c>
      <c r="X1149">
        <v>2.9999999999999997E-4</v>
      </c>
      <c r="Y1149">
        <v>2.9999999999999997E-4</v>
      </c>
    </row>
    <row r="1150" spans="1:25" hidden="1">
      <c r="A1150" t="s">
        <v>270</v>
      </c>
      <c r="B1150" t="s">
        <v>2203</v>
      </c>
      <c r="C1150" t="s">
        <v>2154</v>
      </c>
      <c r="D1150" t="s">
        <v>648</v>
      </c>
      <c r="E1150" t="s">
        <v>2204</v>
      </c>
      <c r="F1150" t="s">
        <v>598</v>
      </c>
      <c r="G1150" t="s">
        <v>599</v>
      </c>
      <c r="H1150" t="s">
        <v>600</v>
      </c>
      <c r="I1150" t="s">
        <v>601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270</v>
      </c>
      <c r="B1151" t="s">
        <v>2205</v>
      </c>
      <c r="C1151" t="s">
        <v>2154</v>
      </c>
      <c r="D1151" t="s">
        <v>648</v>
      </c>
      <c r="E1151" t="s">
        <v>1936</v>
      </c>
      <c r="F1151" t="s">
        <v>598</v>
      </c>
      <c r="G1151" t="s">
        <v>599</v>
      </c>
      <c r="H1151" t="s">
        <v>600</v>
      </c>
      <c r="I1151" t="s">
        <v>601</v>
      </c>
      <c r="J1151">
        <v>2.9999999999999997E-4</v>
      </c>
      <c r="K1151">
        <v>2.9999999999999997E-4</v>
      </c>
      <c r="L1151">
        <v>2.9999999999999997E-4</v>
      </c>
      <c r="M1151">
        <v>4.0000000000000002E-4</v>
      </c>
      <c r="N1151">
        <v>4.0000000000000002E-4</v>
      </c>
      <c r="O1151">
        <v>4.0000000000000002E-4</v>
      </c>
      <c r="P1151">
        <v>4.0000000000000002E-4</v>
      </c>
      <c r="Q1151">
        <v>4.0000000000000002E-4</v>
      </c>
      <c r="R1151">
        <v>4.0000000000000002E-4</v>
      </c>
      <c r="S1151">
        <v>5.0000000000000001E-4</v>
      </c>
      <c r="T1151">
        <v>5.0000000000000001E-4</v>
      </c>
      <c r="U1151">
        <v>5.0000000000000001E-4</v>
      </c>
      <c r="V1151">
        <v>5.0000000000000001E-4</v>
      </c>
      <c r="W1151">
        <v>5.0000000000000001E-4</v>
      </c>
      <c r="X1151">
        <v>5.0000000000000001E-4</v>
      </c>
      <c r="Y1151">
        <v>5.9999999999999995E-4</v>
      </c>
    </row>
    <row r="1152" spans="1:25" hidden="1">
      <c r="A1152" t="s">
        <v>270</v>
      </c>
      <c r="B1152" t="s">
        <v>2206</v>
      </c>
      <c r="C1152" t="s">
        <v>2154</v>
      </c>
      <c r="D1152" t="s">
        <v>648</v>
      </c>
      <c r="E1152" t="s">
        <v>1910</v>
      </c>
      <c r="F1152" t="s">
        <v>598</v>
      </c>
      <c r="G1152" t="s">
        <v>599</v>
      </c>
      <c r="H1152" t="s">
        <v>600</v>
      </c>
      <c r="I1152" t="s">
        <v>601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270</v>
      </c>
      <c r="B1153" t="s">
        <v>2207</v>
      </c>
      <c r="C1153" t="s">
        <v>2154</v>
      </c>
      <c r="D1153" t="s">
        <v>648</v>
      </c>
      <c r="E1153" t="s">
        <v>1378</v>
      </c>
      <c r="F1153" t="s">
        <v>598</v>
      </c>
      <c r="G1153" t="s">
        <v>599</v>
      </c>
      <c r="H1153" t="s">
        <v>600</v>
      </c>
      <c r="I1153" t="s">
        <v>601</v>
      </c>
      <c r="J1153">
        <v>1.5E-3</v>
      </c>
      <c r="K1153">
        <v>1.5E-3</v>
      </c>
      <c r="L1153">
        <v>1.6999999999999999E-3</v>
      </c>
      <c r="M1153">
        <v>1.8E-3</v>
      </c>
      <c r="N1153">
        <v>1.8E-3</v>
      </c>
      <c r="O1153">
        <v>1.8E-3</v>
      </c>
      <c r="P1153">
        <v>1.8E-3</v>
      </c>
      <c r="Q1153">
        <v>1.8E-3</v>
      </c>
      <c r="R1153">
        <v>1.8E-3</v>
      </c>
      <c r="S1153">
        <v>1.8E-3</v>
      </c>
      <c r="T1153">
        <v>1.8E-3</v>
      </c>
      <c r="U1153">
        <v>1.8E-3</v>
      </c>
      <c r="V1153">
        <v>1.8E-3</v>
      </c>
      <c r="W1153">
        <v>1.9E-3</v>
      </c>
      <c r="X1153">
        <v>1.9E-3</v>
      </c>
      <c r="Y1153">
        <v>1.9E-3</v>
      </c>
    </row>
    <row r="1154" spans="1:25" hidden="1">
      <c r="A1154" t="s">
        <v>270</v>
      </c>
      <c r="B1154" t="s">
        <v>2208</v>
      </c>
      <c r="C1154" t="s">
        <v>2154</v>
      </c>
      <c r="D1154" t="s">
        <v>648</v>
      </c>
      <c r="E1154" t="s">
        <v>2060</v>
      </c>
      <c r="F1154" t="s">
        <v>598</v>
      </c>
      <c r="G1154" t="s">
        <v>599</v>
      </c>
      <c r="H1154" t="s">
        <v>600</v>
      </c>
      <c r="I1154" t="s">
        <v>601</v>
      </c>
      <c r="J1154">
        <v>1E-3</v>
      </c>
      <c r="K1154">
        <v>1E-3</v>
      </c>
      <c r="L1154">
        <v>1E-3</v>
      </c>
      <c r="M1154">
        <v>1E-3</v>
      </c>
      <c r="N1154">
        <v>1E-3</v>
      </c>
      <c r="O1154">
        <v>1E-3</v>
      </c>
      <c r="P1154">
        <v>1E-3</v>
      </c>
      <c r="Q1154">
        <v>1E-3</v>
      </c>
      <c r="R1154">
        <v>1E-3</v>
      </c>
      <c r="S1154">
        <v>1E-3</v>
      </c>
      <c r="T1154">
        <v>1E-3</v>
      </c>
      <c r="U1154">
        <v>1E-3</v>
      </c>
      <c r="V1154">
        <v>1E-3</v>
      </c>
      <c r="W1154">
        <v>1E-3</v>
      </c>
      <c r="X1154">
        <v>1E-3</v>
      </c>
      <c r="Y1154">
        <v>1E-3</v>
      </c>
    </row>
    <row r="1155" spans="1:25" hidden="1">
      <c r="A1155" t="s">
        <v>270</v>
      </c>
      <c r="B1155" t="s">
        <v>2209</v>
      </c>
      <c r="C1155" t="s">
        <v>2154</v>
      </c>
      <c r="D1155" t="s">
        <v>648</v>
      </c>
      <c r="E1155" t="s">
        <v>1004</v>
      </c>
      <c r="F1155" t="s">
        <v>598</v>
      </c>
      <c r="G1155" t="s">
        <v>599</v>
      </c>
      <c r="H1155" t="s">
        <v>600</v>
      </c>
      <c r="I1155" t="s">
        <v>601</v>
      </c>
      <c r="J1155">
        <v>0.1235</v>
      </c>
      <c r="K1155">
        <v>0.12509999999999999</v>
      </c>
      <c r="L1155">
        <v>0.1265</v>
      </c>
      <c r="M1155">
        <v>0.128</v>
      </c>
      <c r="N1155">
        <v>0.12970000000000001</v>
      </c>
      <c r="O1155">
        <v>0.13120000000000001</v>
      </c>
      <c r="P1155">
        <v>0.1328</v>
      </c>
      <c r="Q1155">
        <v>0.1343</v>
      </c>
      <c r="R1155">
        <v>0.1356</v>
      </c>
      <c r="S1155">
        <v>0.13700000000000001</v>
      </c>
      <c r="T1155">
        <v>0.13830000000000001</v>
      </c>
      <c r="U1155">
        <v>0.1396</v>
      </c>
      <c r="V1155">
        <v>0.14099999999999999</v>
      </c>
      <c r="W1155">
        <v>0.1424</v>
      </c>
      <c r="X1155">
        <v>0.14360000000000001</v>
      </c>
      <c r="Y1155">
        <v>0.14530000000000001</v>
      </c>
    </row>
    <row r="1156" spans="1:25">
      <c r="J1156">
        <f t="shared" ref="J1156:Y1156" si="0">SUM(J3:J28)</f>
        <v>5.261099999999999</v>
      </c>
      <c r="K1156">
        <f t="shared" si="0"/>
        <v>5.3474999999999993</v>
      </c>
      <c r="L1156">
        <f t="shared" si="0"/>
        <v>5.3616999999999999</v>
      </c>
      <c r="M1156">
        <f t="shared" si="0"/>
        <v>5.3959999999999999</v>
      </c>
      <c r="N1156">
        <f t="shared" si="0"/>
        <v>5.4196</v>
      </c>
      <c r="O1156">
        <f t="shared" si="0"/>
        <v>5.3761000000000001</v>
      </c>
      <c r="P1156">
        <f t="shared" si="0"/>
        <v>5.4511000000000003</v>
      </c>
      <c r="Q1156">
        <f t="shared" si="0"/>
        <v>5.5225</v>
      </c>
      <c r="R1156">
        <f t="shared" si="0"/>
        <v>5.5728999999999997</v>
      </c>
      <c r="S1156">
        <f t="shared" si="0"/>
        <v>5.6380999999999997</v>
      </c>
      <c r="T1156">
        <f t="shared" si="0"/>
        <v>5.7022999999999984</v>
      </c>
      <c r="U1156">
        <f t="shared" si="0"/>
        <v>5.7419999999999991</v>
      </c>
      <c r="V1156">
        <f t="shared" si="0"/>
        <v>5.7633999999999999</v>
      </c>
      <c r="W1156">
        <f t="shared" si="0"/>
        <v>5.8044999999999991</v>
      </c>
      <c r="X1156">
        <f t="shared" si="0"/>
        <v>5.8486999999999991</v>
      </c>
      <c r="Y1156">
        <f t="shared" si="0"/>
        <v>5.8780000000000001</v>
      </c>
    </row>
    <row r="1157" spans="1:25">
      <c r="A1157" s="2" t="s">
        <v>568</v>
      </c>
    </row>
    <row r="1158" spans="1:25">
      <c r="A1158" t="s">
        <v>569</v>
      </c>
      <c r="B1158" t="s">
        <v>570</v>
      </c>
      <c r="C1158" t="s">
        <v>571</v>
      </c>
      <c r="D1158" t="s">
        <v>572</v>
      </c>
      <c r="E1158" t="s">
        <v>573</v>
      </c>
      <c r="F1158" t="s">
        <v>574</v>
      </c>
      <c r="G1158" t="s">
        <v>575</v>
      </c>
      <c r="H1158" t="s">
        <v>576</v>
      </c>
      <c r="I1158" t="s">
        <v>577</v>
      </c>
      <c r="J1158" t="s">
        <v>578</v>
      </c>
      <c r="K1158" t="s">
        <v>579</v>
      </c>
      <c r="L1158" t="s">
        <v>580</v>
      </c>
      <c r="M1158" t="s">
        <v>581</v>
      </c>
      <c r="N1158" t="s">
        <v>582</v>
      </c>
      <c r="O1158" t="s">
        <v>583</v>
      </c>
      <c r="P1158" t="s">
        <v>584</v>
      </c>
      <c r="Q1158" t="s">
        <v>585</v>
      </c>
      <c r="R1158" t="s">
        <v>586</v>
      </c>
      <c r="S1158" t="s">
        <v>587</v>
      </c>
      <c r="T1158" t="s">
        <v>588</v>
      </c>
      <c r="U1158" t="s">
        <v>589</v>
      </c>
      <c r="V1158" t="s">
        <v>590</v>
      </c>
      <c r="W1158" t="s">
        <v>591</v>
      </c>
      <c r="X1158" t="s">
        <v>592</v>
      </c>
      <c r="Y1158" t="s">
        <v>593</v>
      </c>
    </row>
    <row r="1159" spans="1:25">
      <c r="A1159" t="s">
        <v>270</v>
      </c>
      <c r="B1159" t="s">
        <v>594</v>
      </c>
      <c r="C1159" t="s">
        <v>595</v>
      </c>
      <c r="D1159" t="s">
        <v>596</v>
      </c>
      <c r="E1159" t="s">
        <v>597</v>
      </c>
      <c r="F1159" t="s">
        <v>598</v>
      </c>
      <c r="G1159" t="s">
        <v>478</v>
      </c>
      <c r="H1159" t="s">
        <v>600</v>
      </c>
      <c r="I1159" t="s">
        <v>601</v>
      </c>
      <c r="J1159">
        <v>4.4321000000000002</v>
      </c>
      <c r="K1159">
        <v>4.1544999999999996</v>
      </c>
      <c r="L1159">
        <v>4.1470000000000002</v>
      </c>
      <c r="M1159">
        <v>4.0034999999999998</v>
      </c>
      <c r="N1159">
        <v>3.8654000000000002</v>
      </c>
      <c r="O1159">
        <v>3.5707</v>
      </c>
      <c r="P1159">
        <v>3.3022999999999998</v>
      </c>
      <c r="Q1159">
        <v>2.7446000000000002</v>
      </c>
      <c r="R1159">
        <v>2.7523</v>
      </c>
      <c r="S1159">
        <v>2.7578</v>
      </c>
      <c r="T1159">
        <v>2.7614999999999998</v>
      </c>
      <c r="U1159">
        <v>2.7618</v>
      </c>
      <c r="V1159">
        <v>2.762</v>
      </c>
      <c r="W1159">
        <v>2.762</v>
      </c>
      <c r="X1159">
        <v>2.7622</v>
      </c>
      <c r="Y1159">
        <v>2.7625000000000002</v>
      </c>
    </row>
    <row r="1160" spans="1:25">
      <c r="A1160" t="s">
        <v>270</v>
      </c>
      <c r="B1160" t="s">
        <v>602</v>
      </c>
      <c r="C1160" t="s">
        <v>595</v>
      </c>
      <c r="D1160" t="s">
        <v>596</v>
      </c>
      <c r="E1160" t="s">
        <v>603</v>
      </c>
      <c r="F1160" t="s">
        <v>598</v>
      </c>
      <c r="G1160" t="s">
        <v>478</v>
      </c>
      <c r="H1160" t="s">
        <v>600</v>
      </c>
      <c r="I1160" t="s">
        <v>601</v>
      </c>
      <c r="J1160">
        <v>1.5E-3</v>
      </c>
      <c r="K1160">
        <v>1.5E-3</v>
      </c>
      <c r="L1160">
        <v>1.5E-3</v>
      </c>
      <c r="M1160">
        <v>1.4E-3</v>
      </c>
      <c r="N1160">
        <v>1.2999999999999999E-3</v>
      </c>
      <c r="O1160">
        <v>1.2999999999999999E-3</v>
      </c>
      <c r="P1160">
        <v>1.2999999999999999E-3</v>
      </c>
      <c r="Q1160">
        <v>1.2999999999999999E-3</v>
      </c>
      <c r="R1160">
        <v>1.2999999999999999E-3</v>
      </c>
      <c r="S1160">
        <v>1.2999999999999999E-3</v>
      </c>
      <c r="T1160">
        <v>1.2999999999999999E-3</v>
      </c>
      <c r="U1160">
        <v>1.2999999999999999E-3</v>
      </c>
      <c r="V1160">
        <v>1.2999999999999999E-3</v>
      </c>
      <c r="W1160">
        <v>1.2999999999999999E-3</v>
      </c>
      <c r="X1160">
        <v>1.1000000000000001E-3</v>
      </c>
      <c r="Y1160">
        <v>1.1000000000000001E-3</v>
      </c>
    </row>
    <row r="1161" spans="1:25">
      <c r="A1161" t="s">
        <v>270</v>
      </c>
      <c r="B1161" t="s">
        <v>604</v>
      </c>
      <c r="C1161" t="s">
        <v>595</v>
      </c>
      <c r="D1161" t="s">
        <v>596</v>
      </c>
      <c r="E1161" t="s">
        <v>605</v>
      </c>
      <c r="F1161" t="s">
        <v>598</v>
      </c>
      <c r="G1161" t="s">
        <v>478</v>
      </c>
      <c r="H1161" t="s">
        <v>600</v>
      </c>
      <c r="I1161" t="s">
        <v>601</v>
      </c>
      <c r="J1161">
        <v>2.6100000000000002E-2</v>
      </c>
      <c r="K1161">
        <v>2.4199999999999999E-2</v>
      </c>
      <c r="L1161">
        <v>2.4199999999999999E-2</v>
      </c>
      <c r="M1161">
        <v>2.3199999999999998E-2</v>
      </c>
      <c r="N1161">
        <v>2.2200000000000001E-2</v>
      </c>
      <c r="O1161">
        <v>2.0299999999999999E-2</v>
      </c>
      <c r="P1161">
        <v>1.84E-2</v>
      </c>
      <c r="Q1161">
        <v>1.4500000000000001E-2</v>
      </c>
      <c r="R1161">
        <v>1.44E-2</v>
      </c>
      <c r="S1161">
        <v>1.44E-2</v>
      </c>
      <c r="T1161">
        <v>1.44E-2</v>
      </c>
      <c r="U1161">
        <v>1.44E-2</v>
      </c>
      <c r="V1161">
        <v>1.44E-2</v>
      </c>
      <c r="W1161">
        <v>1.44E-2</v>
      </c>
      <c r="X1161">
        <v>1.44E-2</v>
      </c>
      <c r="Y1161">
        <v>1.44E-2</v>
      </c>
    </row>
    <row r="1162" spans="1:25">
      <c r="A1162" t="s">
        <v>270</v>
      </c>
      <c r="B1162" t="s">
        <v>606</v>
      </c>
      <c r="C1162" t="s">
        <v>595</v>
      </c>
      <c r="D1162" t="s">
        <v>596</v>
      </c>
      <c r="E1162" t="s">
        <v>607</v>
      </c>
      <c r="F1162" t="s">
        <v>598</v>
      </c>
      <c r="G1162" t="s">
        <v>478</v>
      </c>
      <c r="H1162" t="s">
        <v>600</v>
      </c>
      <c r="I1162" t="s">
        <v>601</v>
      </c>
      <c r="J1162">
        <v>0.87390000000000001</v>
      </c>
      <c r="K1162">
        <v>0.87629999999999997</v>
      </c>
      <c r="L1162">
        <v>0.86780000000000002</v>
      </c>
      <c r="M1162">
        <v>0.87350000000000005</v>
      </c>
      <c r="N1162">
        <v>0.87280000000000002</v>
      </c>
      <c r="O1162">
        <v>0.87209999999999999</v>
      </c>
      <c r="P1162">
        <v>0.89559999999999995</v>
      </c>
      <c r="Q1162">
        <v>0.91149999999999998</v>
      </c>
      <c r="R1162">
        <v>0.92290000000000005</v>
      </c>
      <c r="S1162">
        <v>0.93049999999999999</v>
      </c>
      <c r="T1162">
        <v>0.93579999999999997</v>
      </c>
      <c r="U1162">
        <v>0.93579999999999997</v>
      </c>
      <c r="V1162">
        <v>0.93579999999999997</v>
      </c>
      <c r="W1162">
        <v>0.93579999999999997</v>
      </c>
      <c r="X1162">
        <v>0.94040000000000001</v>
      </c>
      <c r="Y1162">
        <v>0.94040000000000001</v>
      </c>
    </row>
    <row r="1163" spans="1:25">
      <c r="A1163" t="s">
        <v>270</v>
      </c>
      <c r="B1163" t="s">
        <v>608</v>
      </c>
      <c r="C1163" t="s">
        <v>595</v>
      </c>
      <c r="D1163" t="s">
        <v>596</v>
      </c>
      <c r="E1163" t="s">
        <v>609</v>
      </c>
      <c r="F1163" t="s">
        <v>598</v>
      </c>
      <c r="G1163" t="s">
        <v>478</v>
      </c>
      <c r="H1163" t="s">
        <v>600</v>
      </c>
      <c r="I1163" t="s">
        <v>601</v>
      </c>
      <c r="J1163">
        <v>0.22259999999999999</v>
      </c>
      <c r="K1163">
        <v>0.22800000000000001</v>
      </c>
      <c r="L1163">
        <v>0.23519999999999999</v>
      </c>
      <c r="M1163">
        <v>0.23619999999999999</v>
      </c>
      <c r="N1163">
        <v>0.2369</v>
      </c>
      <c r="O1163">
        <v>0.2369</v>
      </c>
      <c r="P1163">
        <v>0.2369</v>
      </c>
      <c r="Q1163">
        <v>0.2369</v>
      </c>
      <c r="R1163">
        <v>0.2369</v>
      </c>
      <c r="S1163">
        <v>0.2369</v>
      </c>
      <c r="T1163">
        <v>0.2369</v>
      </c>
      <c r="U1163">
        <v>0.2369</v>
      </c>
      <c r="V1163">
        <v>0.2369</v>
      </c>
      <c r="W1163">
        <v>0.2369</v>
      </c>
      <c r="X1163">
        <v>0.24079999999999999</v>
      </c>
      <c r="Y1163">
        <v>0.24079999999999999</v>
      </c>
    </row>
    <row r="1164" spans="1:25">
      <c r="A1164" t="s">
        <v>270</v>
      </c>
      <c r="B1164" t="s">
        <v>610</v>
      </c>
      <c r="C1164" t="s">
        <v>595</v>
      </c>
      <c r="D1164" t="s">
        <v>596</v>
      </c>
      <c r="E1164" t="s">
        <v>611</v>
      </c>
      <c r="F1164" t="s">
        <v>598</v>
      </c>
      <c r="G1164" t="s">
        <v>478</v>
      </c>
      <c r="H1164" t="s">
        <v>600</v>
      </c>
      <c r="I1164" t="s">
        <v>601</v>
      </c>
      <c r="J1164">
        <v>0.65700000000000003</v>
      </c>
      <c r="K1164">
        <v>0.66500000000000004</v>
      </c>
      <c r="L1164">
        <v>0.6724</v>
      </c>
      <c r="M1164">
        <v>0.6804</v>
      </c>
      <c r="N1164">
        <v>0.68840000000000001</v>
      </c>
      <c r="O1164">
        <v>0.69640000000000002</v>
      </c>
      <c r="P1164">
        <v>0.70499999999999996</v>
      </c>
      <c r="Q1164">
        <v>0.71299999999999997</v>
      </c>
      <c r="R1164">
        <v>0.72170000000000001</v>
      </c>
      <c r="S1164">
        <v>0.73029999999999995</v>
      </c>
      <c r="T1164">
        <v>0.7389</v>
      </c>
      <c r="U1164">
        <v>0.74750000000000005</v>
      </c>
      <c r="V1164">
        <v>0.75609999999999999</v>
      </c>
      <c r="W1164">
        <v>0.76539999999999997</v>
      </c>
      <c r="X1164">
        <v>0.77459999999999996</v>
      </c>
      <c r="Y1164">
        <v>0.78320000000000001</v>
      </c>
    </row>
    <row r="1165" spans="1:25">
      <c r="A1165" t="s">
        <v>270</v>
      </c>
      <c r="B1165" t="s">
        <v>612</v>
      </c>
      <c r="C1165" t="s">
        <v>595</v>
      </c>
      <c r="D1165" t="s">
        <v>596</v>
      </c>
      <c r="E1165" t="s">
        <v>613</v>
      </c>
      <c r="F1165" t="s">
        <v>598</v>
      </c>
      <c r="G1165" t="s">
        <v>478</v>
      </c>
      <c r="H1165" t="s">
        <v>600</v>
      </c>
      <c r="I1165" t="s">
        <v>601</v>
      </c>
      <c r="J1165">
        <v>1.8499999999999999E-2</v>
      </c>
      <c r="K1165">
        <v>1.9099999999999999E-2</v>
      </c>
      <c r="L1165">
        <v>1.9199999999999998E-2</v>
      </c>
      <c r="M1165">
        <v>1.9599999999999999E-2</v>
      </c>
      <c r="N1165">
        <v>1.9800000000000002E-2</v>
      </c>
      <c r="O1165">
        <v>2.06E-2</v>
      </c>
      <c r="P1165">
        <v>2.07E-2</v>
      </c>
      <c r="Q1165">
        <v>2.1100000000000001E-2</v>
      </c>
      <c r="R1165">
        <v>2.1299999999999999E-2</v>
      </c>
      <c r="S1165">
        <v>2.18E-2</v>
      </c>
      <c r="T1165">
        <v>2.2499999999999999E-2</v>
      </c>
      <c r="U1165">
        <v>2.29E-2</v>
      </c>
      <c r="V1165">
        <v>2.3099999999999999E-2</v>
      </c>
      <c r="W1165">
        <v>2.3599999999999999E-2</v>
      </c>
      <c r="X1165">
        <v>2.41E-2</v>
      </c>
      <c r="Y1165">
        <v>2.4400000000000002E-2</v>
      </c>
    </row>
    <row r="1166" spans="1:25">
      <c r="A1166" t="s">
        <v>270</v>
      </c>
      <c r="B1166" t="s">
        <v>614</v>
      </c>
      <c r="C1166" t="s">
        <v>595</v>
      </c>
      <c r="D1166" t="s">
        <v>596</v>
      </c>
      <c r="E1166" t="s">
        <v>615</v>
      </c>
      <c r="F1166" t="s">
        <v>598</v>
      </c>
      <c r="G1166" t="s">
        <v>478</v>
      </c>
      <c r="H1166" t="s">
        <v>600</v>
      </c>
      <c r="I1166" t="s">
        <v>601</v>
      </c>
      <c r="J1166">
        <v>0.50239999999999996</v>
      </c>
      <c r="K1166">
        <v>0.51780000000000004</v>
      </c>
      <c r="L1166">
        <v>0.51929999999999998</v>
      </c>
      <c r="M1166">
        <v>0.52880000000000005</v>
      </c>
      <c r="N1166">
        <v>0.53449999999999998</v>
      </c>
      <c r="O1166">
        <v>0.55379999999999996</v>
      </c>
      <c r="P1166">
        <v>0.55859999999999999</v>
      </c>
      <c r="Q1166">
        <v>0.56799999999999995</v>
      </c>
      <c r="R1166">
        <v>0.57440000000000002</v>
      </c>
      <c r="S1166">
        <v>0.58860000000000001</v>
      </c>
      <c r="T1166">
        <v>0.60460000000000003</v>
      </c>
      <c r="U1166">
        <v>0.6159</v>
      </c>
      <c r="V1166">
        <v>0.62080000000000002</v>
      </c>
      <c r="W1166">
        <v>0.6331</v>
      </c>
      <c r="X1166">
        <v>0.64559999999999995</v>
      </c>
      <c r="Y1166">
        <v>0.65329999999999999</v>
      </c>
    </row>
    <row r="1167" spans="1:25">
      <c r="A1167" t="s">
        <v>270</v>
      </c>
      <c r="B1167" t="s">
        <v>616</v>
      </c>
      <c r="C1167" t="s">
        <v>595</v>
      </c>
      <c r="D1167" t="s">
        <v>596</v>
      </c>
      <c r="E1167" t="s">
        <v>617</v>
      </c>
      <c r="F1167" t="s">
        <v>598</v>
      </c>
      <c r="G1167" t="s">
        <v>478</v>
      </c>
      <c r="H1167" t="s">
        <v>600</v>
      </c>
      <c r="I1167" t="s">
        <v>601</v>
      </c>
      <c r="J1167">
        <v>4.4824000000000002</v>
      </c>
      <c r="K1167">
        <v>4.633</v>
      </c>
      <c r="L1167">
        <v>4.6563999999999997</v>
      </c>
      <c r="M1167">
        <v>4.7454000000000001</v>
      </c>
      <c r="N1167">
        <v>4.8014000000000001</v>
      </c>
      <c r="O1167">
        <v>4.9885999999999999</v>
      </c>
      <c r="P1167">
        <v>5.0206999999999997</v>
      </c>
      <c r="Q1167">
        <v>5.1014999999999997</v>
      </c>
      <c r="R1167">
        <v>5.1565000000000003</v>
      </c>
      <c r="S1167">
        <v>5.29</v>
      </c>
      <c r="T1167">
        <v>5.4397000000000002</v>
      </c>
      <c r="U1167">
        <v>5.5484999999999998</v>
      </c>
      <c r="V1167">
        <v>5.5961999999999996</v>
      </c>
      <c r="W1167">
        <v>5.7150999999999996</v>
      </c>
      <c r="X1167">
        <v>5.8353000000000002</v>
      </c>
      <c r="Y1167">
        <v>5.9097999999999997</v>
      </c>
    </row>
    <row r="1168" spans="1:25">
      <c r="A1168" t="s">
        <v>270</v>
      </c>
      <c r="B1168" t="s">
        <v>618</v>
      </c>
      <c r="C1168" t="s">
        <v>595</v>
      </c>
      <c r="D1168" t="s">
        <v>596</v>
      </c>
      <c r="E1168" t="s">
        <v>619</v>
      </c>
      <c r="F1168" t="s">
        <v>598</v>
      </c>
      <c r="G1168" t="s">
        <v>478</v>
      </c>
      <c r="H1168" t="s">
        <v>600</v>
      </c>
      <c r="I1168" t="s">
        <v>601</v>
      </c>
      <c r="J1168">
        <v>1E-4</v>
      </c>
      <c r="K1168">
        <v>1E-4</v>
      </c>
      <c r="L1168">
        <v>1E-4</v>
      </c>
      <c r="M1168">
        <v>1E-4</v>
      </c>
      <c r="N1168">
        <v>1E-4</v>
      </c>
      <c r="O1168">
        <v>1E-4</v>
      </c>
      <c r="P1168">
        <v>1E-4</v>
      </c>
      <c r="Q1168">
        <v>1E-4</v>
      </c>
      <c r="R1168">
        <v>1E-4</v>
      </c>
      <c r="S1168">
        <v>1E-4</v>
      </c>
      <c r="T1168">
        <v>1E-4</v>
      </c>
      <c r="U1168">
        <v>1E-4</v>
      </c>
      <c r="V1168">
        <v>1E-4</v>
      </c>
      <c r="W1168">
        <v>1E-4</v>
      </c>
      <c r="X1168">
        <v>1E-4</v>
      </c>
      <c r="Y1168">
        <v>1E-4</v>
      </c>
    </row>
    <row r="1169" spans="1:25">
      <c r="A1169" t="s">
        <v>270</v>
      </c>
      <c r="B1169" t="s">
        <v>620</v>
      </c>
      <c r="C1169" t="s">
        <v>595</v>
      </c>
      <c r="D1169" t="s">
        <v>621</v>
      </c>
      <c r="E1169" t="s">
        <v>597</v>
      </c>
      <c r="F1169" t="s">
        <v>598</v>
      </c>
      <c r="G1169" t="s">
        <v>478</v>
      </c>
      <c r="H1169" t="s">
        <v>600</v>
      </c>
      <c r="I1169" t="s">
        <v>601</v>
      </c>
      <c r="J1169">
        <v>0.1216</v>
      </c>
      <c r="K1169">
        <v>0.121</v>
      </c>
      <c r="L1169">
        <v>0.12330000000000001</v>
      </c>
      <c r="M1169">
        <v>0.1222</v>
      </c>
      <c r="N1169">
        <v>0.1206</v>
      </c>
      <c r="O1169">
        <v>0.113</v>
      </c>
      <c r="P1169">
        <v>0.11070000000000001</v>
      </c>
      <c r="Q1169">
        <v>0.1056</v>
      </c>
      <c r="R1169">
        <v>0.10580000000000001</v>
      </c>
      <c r="S1169">
        <v>0.1061</v>
      </c>
      <c r="T1169">
        <v>0.10639999999999999</v>
      </c>
      <c r="U1169">
        <v>0.1067</v>
      </c>
      <c r="V1169">
        <v>0.1071</v>
      </c>
      <c r="W1169">
        <v>0.1071</v>
      </c>
      <c r="X1169">
        <v>0.10730000000000001</v>
      </c>
      <c r="Y1169">
        <v>0.108</v>
      </c>
    </row>
    <row r="1170" spans="1:25">
      <c r="A1170" t="s">
        <v>270</v>
      </c>
      <c r="B1170" t="s">
        <v>622</v>
      </c>
      <c r="C1170" t="s">
        <v>595</v>
      </c>
      <c r="D1170" t="s">
        <v>621</v>
      </c>
      <c r="E1170" t="s">
        <v>605</v>
      </c>
      <c r="F1170" t="s">
        <v>598</v>
      </c>
      <c r="G1170" t="s">
        <v>478</v>
      </c>
      <c r="H1170" t="s">
        <v>600</v>
      </c>
      <c r="I1170" t="s">
        <v>601</v>
      </c>
      <c r="J1170">
        <v>3.4599999999999999E-2</v>
      </c>
      <c r="K1170">
        <v>3.5099999999999999E-2</v>
      </c>
      <c r="L1170">
        <v>3.56E-2</v>
      </c>
      <c r="M1170">
        <v>3.6200000000000003E-2</v>
      </c>
      <c r="N1170">
        <v>3.6700000000000003E-2</v>
      </c>
      <c r="O1170">
        <v>3.7199999999999997E-2</v>
      </c>
      <c r="P1170">
        <v>3.7400000000000003E-2</v>
      </c>
      <c r="Q1170">
        <v>3.7699999999999997E-2</v>
      </c>
      <c r="R1170">
        <v>3.7900000000000003E-2</v>
      </c>
      <c r="S1170">
        <v>3.8100000000000002E-2</v>
      </c>
      <c r="T1170">
        <v>3.8399999999999997E-2</v>
      </c>
      <c r="U1170">
        <v>3.8600000000000002E-2</v>
      </c>
      <c r="V1170">
        <v>3.8800000000000001E-2</v>
      </c>
      <c r="W1170">
        <v>3.9E-2</v>
      </c>
      <c r="X1170">
        <v>3.9300000000000002E-2</v>
      </c>
      <c r="Y1170">
        <v>3.95E-2</v>
      </c>
    </row>
    <row r="1171" spans="1:25">
      <c r="A1171" t="s">
        <v>270</v>
      </c>
      <c r="B1171" t="s">
        <v>623</v>
      </c>
      <c r="C1171" t="s">
        <v>595</v>
      </c>
      <c r="D1171" t="s">
        <v>621</v>
      </c>
      <c r="E1171" t="s">
        <v>624</v>
      </c>
      <c r="F1171" t="s">
        <v>598</v>
      </c>
      <c r="G1171" t="s">
        <v>478</v>
      </c>
      <c r="H1171" t="s">
        <v>600</v>
      </c>
      <c r="I1171" t="s">
        <v>601</v>
      </c>
      <c r="J1171">
        <v>0.89780000000000004</v>
      </c>
      <c r="K1171">
        <v>0.74729999999999996</v>
      </c>
      <c r="L1171">
        <v>0.75139999999999996</v>
      </c>
      <c r="M1171">
        <v>0.76380000000000003</v>
      </c>
      <c r="N1171">
        <v>0.77210000000000001</v>
      </c>
      <c r="O1171">
        <v>0.79630000000000001</v>
      </c>
      <c r="P1171">
        <v>0.80259999999999998</v>
      </c>
      <c r="Q1171">
        <v>0.81459999999999999</v>
      </c>
      <c r="R1171">
        <v>0.82330000000000003</v>
      </c>
      <c r="S1171">
        <v>0.84099999999999997</v>
      </c>
      <c r="T1171">
        <v>0.86099999999999999</v>
      </c>
      <c r="U1171">
        <v>0.87570000000000003</v>
      </c>
      <c r="V1171">
        <v>0.88339999999999996</v>
      </c>
      <c r="W1171">
        <v>0.89939999999999998</v>
      </c>
      <c r="X1171">
        <v>0.91569999999999996</v>
      </c>
      <c r="Y1171">
        <v>0.92649999999999999</v>
      </c>
    </row>
    <row r="1172" spans="1:25">
      <c r="A1172" t="s">
        <v>270</v>
      </c>
      <c r="B1172" t="s">
        <v>625</v>
      </c>
      <c r="C1172" t="s">
        <v>595</v>
      </c>
      <c r="D1172" t="s">
        <v>621</v>
      </c>
      <c r="E1172" t="s">
        <v>626</v>
      </c>
      <c r="F1172" t="s">
        <v>598</v>
      </c>
      <c r="G1172" t="s">
        <v>478</v>
      </c>
      <c r="H1172" t="s">
        <v>600</v>
      </c>
      <c r="I1172" t="s">
        <v>601</v>
      </c>
      <c r="J1172">
        <v>4.5999999999999999E-3</v>
      </c>
      <c r="K1172">
        <v>4.1000000000000003E-3</v>
      </c>
      <c r="L1172">
        <v>4.1000000000000003E-3</v>
      </c>
      <c r="M1172">
        <v>3.8999999999999998E-3</v>
      </c>
      <c r="N1172">
        <v>3.8E-3</v>
      </c>
      <c r="O1172">
        <v>3.3999999999999998E-3</v>
      </c>
      <c r="P1172">
        <v>3.0999999999999999E-3</v>
      </c>
      <c r="Q1172">
        <v>2.3999999999999998E-3</v>
      </c>
      <c r="R1172">
        <v>2.3999999999999998E-3</v>
      </c>
      <c r="S1172">
        <v>2.3999999999999998E-3</v>
      </c>
      <c r="T1172">
        <v>2.3999999999999998E-3</v>
      </c>
      <c r="U1172">
        <v>2.3999999999999998E-3</v>
      </c>
      <c r="V1172">
        <v>2.3999999999999998E-3</v>
      </c>
      <c r="W1172">
        <v>2.3999999999999998E-3</v>
      </c>
      <c r="X1172">
        <v>2.3999999999999998E-3</v>
      </c>
      <c r="Y1172">
        <v>2.3999999999999998E-3</v>
      </c>
    </row>
    <row r="1173" spans="1:25">
      <c r="A1173" t="s">
        <v>270</v>
      </c>
      <c r="B1173" t="s">
        <v>627</v>
      </c>
      <c r="C1173" t="s">
        <v>595</v>
      </c>
      <c r="D1173" t="s">
        <v>621</v>
      </c>
      <c r="E1173" t="s">
        <v>628</v>
      </c>
      <c r="F1173" t="s">
        <v>598</v>
      </c>
      <c r="G1173" t="s">
        <v>478</v>
      </c>
      <c r="H1173" t="s">
        <v>600</v>
      </c>
      <c r="I1173" t="s">
        <v>601</v>
      </c>
      <c r="J1173">
        <v>0.70109999999999995</v>
      </c>
      <c r="K1173">
        <v>0.68559999999999999</v>
      </c>
      <c r="L1173">
        <v>0.68189999999999995</v>
      </c>
      <c r="M1173">
        <v>0.67269999999999996</v>
      </c>
      <c r="N1173">
        <v>0.66339999999999999</v>
      </c>
      <c r="O1173">
        <v>0.6472</v>
      </c>
      <c r="P1173">
        <v>0.63800000000000001</v>
      </c>
      <c r="Q1173">
        <v>0.61609999999999998</v>
      </c>
      <c r="R1173">
        <v>0.61890000000000001</v>
      </c>
      <c r="S1173">
        <v>0.62180000000000002</v>
      </c>
      <c r="T1173">
        <v>0.62529999999999997</v>
      </c>
      <c r="U1173">
        <v>0.62880000000000003</v>
      </c>
      <c r="V1173">
        <v>0.63149999999999995</v>
      </c>
      <c r="W1173">
        <v>0.63470000000000004</v>
      </c>
      <c r="X1173">
        <v>0.63770000000000004</v>
      </c>
      <c r="Y1173">
        <v>0.64070000000000005</v>
      </c>
    </row>
    <row r="1174" spans="1:25">
      <c r="A1174" t="s">
        <v>270</v>
      </c>
      <c r="B1174" t="s">
        <v>629</v>
      </c>
      <c r="C1174" t="s">
        <v>595</v>
      </c>
      <c r="D1174" t="s">
        <v>621</v>
      </c>
      <c r="E1174" t="s">
        <v>630</v>
      </c>
      <c r="F1174" t="s">
        <v>598</v>
      </c>
      <c r="G1174" t="s">
        <v>478</v>
      </c>
      <c r="H1174" t="s">
        <v>600</v>
      </c>
      <c r="I1174" t="s">
        <v>601</v>
      </c>
      <c r="J1174">
        <v>1.5900000000000001E-2</v>
      </c>
      <c r="K1174">
        <v>1.5900000000000001E-2</v>
      </c>
      <c r="L1174">
        <v>1.5900000000000001E-2</v>
      </c>
      <c r="M1174">
        <v>1.5900000000000001E-2</v>
      </c>
      <c r="N1174">
        <v>1.5900000000000001E-2</v>
      </c>
      <c r="O1174">
        <v>1.5900000000000001E-2</v>
      </c>
      <c r="P1174">
        <v>1.5900000000000001E-2</v>
      </c>
      <c r="Q1174">
        <v>1.5900000000000001E-2</v>
      </c>
      <c r="R1174">
        <v>1.5900000000000001E-2</v>
      </c>
      <c r="S1174">
        <v>1.5900000000000001E-2</v>
      </c>
      <c r="T1174">
        <v>1.5900000000000001E-2</v>
      </c>
      <c r="U1174">
        <v>1.5900000000000001E-2</v>
      </c>
      <c r="V1174">
        <v>1.5900000000000001E-2</v>
      </c>
      <c r="W1174">
        <v>1.5900000000000001E-2</v>
      </c>
      <c r="X1174">
        <v>1.5900000000000001E-2</v>
      </c>
      <c r="Y1174">
        <v>1.5900000000000001E-2</v>
      </c>
    </row>
    <row r="1175" spans="1:25">
      <c r="A1175" t="s">
        <v>270</v>
      </c>
      <c r="B1175" t="s">
        <v>631</v>
      </c>
      <c r="C1175" t="s">
        <v>595</v>
      </c>
      <c r="D1175" t="s">
        <v>632</v>
      </c>
      <c r="E1175" t="s">
        <v>597</v>
      </c>
      <c r="F1175" t="s">
        <v>598</v>
      </c>
      <c r="G1175" t="s">
        <v>478</v>
      </c>
      <c r="H1175" t="s">
        <v>600</v>
      </c>
      <c r="I1175" t="s">
        <v>601</v>
      </c>
      <c r="J1175">
        <v>7.8659999999999997</v>
      </c>
      <c r="K1175">
        <v>7.8220999999999998</v>
      </c>
      <c r="L1175">
        <v>7.9039000000000001</v>
      </c>
      <c r="M1175">
        <v>7.8489000000000004</v>
      </c>
      <c r="N1175">
        <v>7.7919999999999998</v>
      </c>
      <c r="O1175">
        <v>7.4260000000000002</v>
      </c>
      <c r="P1175">
        <v>7.3445999999999998</v>
      </c>
      <c r="Q1175">
        <v>7.0938999999999997</v>
      </c>
      <c r="R1175">
        <v>7.1391</v>
      </c>
      <c r="S1175">
        <v>7.1801000000000004</v>
      </c>
      <c r="T1175">
        <v>7.2164999999999999</v>
      </c>
      <c r="U1175">
        <v>7.2416</v>
      </c>
      <c r="V1175">
        <v>7.2675000000000001</v>
      </c>
      <c r="W1175">
        <v>7.29</v>
      </c>
      <c r="X1175">
        <v>7.3166000000000002</v>
      </c>
      <c r="Y1175">
        <v>7.3430999999999997</v>
      </c>
    </row>
    <row r="1176" spans="1:25">
      <c r="A1176" t="s">
        <v>270</v>
      </c>
      <c r="B1176" t="s">
        <v>633</v>
      </c>
      <c r="C1176" t="s">
        <v>595</v>
      </c>
      <c r="D1176" t="s">
        <v>632</v>
      </c>
      <c r="E1176" t="s">
        <v>634</v>
      </c>
      <c r="F1176" t="s">
        <v>598</v>
      </c>
      <c r="G1176" t="s">
        <v>478</v>
      </c>
      <c r="H1176" t="s">
        <v>600</v>
      </c>
      <c r="I1176" t="s">
        <v>601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>
      <c r="A1177" t="s">
        <v>270</v>
      </c>
      <c r="B1177" t="s">
        <v>635</v>
      </c>
      <c r="C1177" t="s">
        <v>595</v>
      </c>
      <c r="D1177" t="s">
        <v>632</v>
      </c>
      <c r="E1177" t="s">
        <v>624</v>
      </c>
      <c r="F1177" t="s">
        <v>598</v>
      </c>
      <c r="G1177" t="s">
        <v>478</v>
      </c>
      <c r="H1177" t="s">
        <v>600</v>
      </c>
      <c r="I1177" t="s">
        <v>601</v>
      </c>
      <c r="J1177">
        <v>0.155</v>
      </c>
      <c r="K1177">
        <v>9.0800000000000006E-2</v>
      </c>
      <c r="L1177">
        <v>9.06E-2</v>
      </c>
      <c r="M1177">
        <v>9.0700000000000003E-2</v>
      </c>
      <c r="N1177">
        <v>9.0700000000000003E-2</v>
      </c>
      <c r="O1177">
        <v>9.0800000000000006E-2</v>
      </c>
      <c r="P1177">
        <v>9.0999999999999998E-2</v>
      </c>
      <c r="Q1177">
        <v>9.1200000000000003E-2</v>
      </c>
      <c r="R1177">
        <v>9.1399999999999995E-2</v>
      </c>
      <c r="S1177">
        <v>9.1399999999999995E-2</v>
      </c>
      <c r="T1177">
        <v>9.1399999999999995E-2</v>
      </c>
      <c r="U1177">
        <v>9.1499999999999998E-2</v>
      </c>
      <c r="V1177">
        <v>9.1499999999999998E-2</v>
      </c>
      <c r="W1177">
        <v>9.1600000000000001E-2</v>
      </c>
      <c r="X1177">
        <v>9.1600000000000001E-2</v>
      </c>
      <c r="Y1177">
        <v>9.1700000000000004E-2</v>
      </c>
    </row>
    <row r="1178" spans="1:25">
      <c r="A1178" t="s">
        <v>270</v>
      </c>
      <c r="B1178" t="s">
        <v>636</v>
      </c>
      <c r="C1178" t="s">
        <v>595</v>
      </c>
      <c r="D1178" t="s">
        <v>632</v>
      </c>
      <c r="E1178" t="s">
        <v>628</v>
      </c>
      <c r="F1178" t="s">
        <v>598</v>
      </c>
      <c r="G1178" t="s">
        <v>478</v>
      </c>
      <c r="H1178" t="s">
        <v>600</v>
      </c>
      <c r="I1178" t="s">
        <v>601</v>
      </c>
      <c r="J1178">
        <v>7.5200000000000003E-2</v>
      </c>
      <c r="K1178">
        <v>7.5600000000000001E-2</v>
      </c>
      <c r="L1178">
        <v>7.5800000000000006E-2</v>
      </c>
      <c r="M1178">
        <v>7.6200000000000004E-2</v>
      </c>
      <c r="N1178">
        <v>7.6600000000000001E-2</v>
      </c>
      <c r="O1178">
        <v>7.6999999999999999E-2</v>
      </c>
      <c r="P1178">
        <v>7.7700000000000005E-2</v>
      </c>
      <c r="Q1178">
        <v>7.8200000000000006E-2</v>
      </c>
      <c r="R1178">
        <v>7.8799999999999995E-2</v>
      </c>
      <c r="S1178">
        <v>7.9500000000000001E-2</v>
      </c>
      <c r="T1178">
        <v>7.9899999999999999E-2</v>
      </c>
      <c r="U1178">
        <v>8.0399999999999999E-2</v>
      </c>
      <c r="V1178">
        <v>8.0799999999999997E-2</v>
      </c>
      <c r="W1178">
        <v>8.1299999999999997E-2</v>
      </c>
      <c r="X1178">
        <v>8.1799999999999998E-2</v>
      </c>
      <c r="Y1178">
        <v>8.2299999999999998E-2</v>
      </c>
    </row>
    <row r="1179" spans="1:25">
      <c r="A1179" t="s">
        <v>270</v>
      </c>
      <c r="B1179" t="s">
        <v>637</v>
      </c>
      <c r="C1179" t="s">
        <v>595</v>
      </c>
      <c r="D1179" t="s">
        <v>632</v>
      </c>
      <c r="E1179" t="s">
        <v>638</v>
      </c>
      <c r="F1179" t="s">
        <v>598</v>
      </c>
      <c r="G1179" t="s">
        <v>478</v>
      </c>
      <c r="H1179" t="s">
        <v>600</v>
      </c>
      <c r="I1179" t="s">
        <v>601</v>
      </c>
      <c r="J1179">
        <v>2.9999999999999997E-4</v>
      </c>
      <c r="K1179">
        <v>2.9999999999999997E-4</v>
      </c>
      <c r="L1179">
        <v>2.9999999999999997E-4</v>
      </c>
      <c r="M1179">
        <v>2.9999999999999997E-4</v>
      </c>
      <c r="N1179">
        <v>2.9999999999999997E-4</v>
      </c>
      <c r="O1179">
        <v>2.9999999999999997E-4</v>
      </c>
      <c r="P1179">
        <v>2.9999999999999997E-4</v>
      </c>
      <c r="Q1179">
        <v>2.9999999999999997E-4</v>
      </c>
      <c r="R1179">
        <v>2.9999999999999997E-4</v>
      </c>
      <c r="S1179">
        <v>2.9999999999999997E-4</v>
      </c>
      <c r="T1179">
        <v>2.9999999999999997E-4</v>
      </c>
      <c r="U1179">
        <v>2.9999999999999997E-4</v>
      </c>
      <c r="V1179">
        <v>2.9999999999999997E-4</v>
      </c>
      <c r="W1179">
        <v>2.9999999999999997E-4</v>
      </c>
      <c r="X1179">
        <v>2.9999999999999997E-4</v>
      </c>
      <c r="Y1179">
        <v>2.9999999999999997E-4</v>
      </c>
    </row>
    <row r="1180" spans="1:25">
      <c r="A1180" t="s">
        <v>270</v>
      </c>
      <c r="B1180" t="s">
        <v>639</v>
      </c>
      <c r="C1180" t="s">
        <v>595</v>
      </c>
      <c r="D1180" t="s">
        <v>640</v>
      </c>
      <c r="E1180" t="s">
        <v>597</v>
      </c>
      <c r="F1180" t="s">
        <v>598</v>
      </c>
      <c r="G1180" t="s">
        <v>478</v>
      </c>
      <c r="H1180" t="s">
        <v>600</v>
      </c>
      <c r="I1180" t="s">
        <v>601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>
      <c r="A1181" t="s">
        <v>270</v>
      </c>
      <c r="B1181" t="s">
        <v>641</v>
      </c>
      <c r="C1181" t="s">
        <v>595</v>
      </c>
      <c r="D1181" t="s">
        <v>640</v>
      </c>
      <c r="E1181" t="s">
        <v>642</v>
      </c>
      <c r="F1181" t="s">
        <v>598</v>
      </c>
      <c r="G1181" t="s">
        <v>478</v>
      </c>
      <c r="H1181" t="s">
        <v>600</v>
      </c>
      <c r="I1181" t="s">
        <v>601</v>
      </c>
      <c r="J1181">
        <v>1E-4</v>
      </c>
      <c r="K1181">
        <v>1E-4</v>
      </c>
      <c r="L1181">
        <v>1E-4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>
      <c r="A1182" t="s">
        <v>270</v>
      </c>
      <c r="B1182" t="s">
        <v>643</v>
      </c>
      <c r="C1182" t="s">
        <v>595</v>
      </c>
      <c r="D1182" t="s">
        <v>640</v>
      </c>
      <c r="E1182" t="s">
        <v>613</v>
      </c>
      <c r="F1182" t="s">
        <v>598</v>
      </c>
      <c r="G1182" t="s">
        <v>478</v>
      </c>
      <c r="H1182" t="s">
        <v>600</v>
      </c>
      <c r="I1182" t="s">
        <v>601</v>
      </c>
      <c r="J1182">
        <v>9.8199999999999996E-2</v>
      </c>
      <c r="K1182">
        <v>9.9099999999999994E-2</v>
      </c>
      <c r="L1182">
        <v>0.1</v>
      </c>
      <c r="M1182">
        <v>0.1008</v>
      </c>
      <c r="N1182">
        <v>0.1018</v>
      </c>
      <c r="O1182">
        <v>0.1026</v>
      </c>
      <c r="P1182">
        <v>0.1037</v>
      </c>
      <c r="Q1182">
        <v>0.1046</v>
      </c>
      <c r="R1182">
        <v>0.1055</v>
      </c>
      <c r="S1182">
        <v>0.10639999999999999</v>
      </c>
      <c r="T1182">
        <v>0.1076</v>
      </c>
      <c r="U1182">
        <v>0.10829999999999999</v>
      </c>
      <c r="V1182">
        <v>0.10929999999999999</v>
      </c>
      <c r="W1182">
        <v>0.1104</v>
      </c>
      <c r="X1182">
        <v>0.1113</v>
      </c>
      <c r="Y1182">
        <v>0.1123</v>
      </c>
    </row>
    <row r="1183" spans="1:25">
      <c r="A1183" t="s">
        <v>270</v>
      </c>
      <c r="B1183" t="s">
        <v>644</v>
      </c>
      <c r="C1183" t="s">
        <v>595</v>
      </c>
      <c r="D1183" t="s">
        <v>645</v>
      </c>
      <c r="E1183" t="s">
        <v>646</v>
      </c>
      <c r="F1183" t="s">
        <v>598</v>
      </c>
      <c r="G1183" t="s">
        <v>478</v>
      </c>
      <c r="H1183" t="s">
        <v>600</v>
      </c>
      <c r="I1183" t="s">
        <v>601</v>
      </c>
      <c r="J1183">
        <v>2.2000000000000001E-3</v>
      </c>
      <c r="K1183">
        <v>2.2000000000000001E-3</v>
      </c>
      <c r="L1183">
        <v>2.0999999999999999E-3</v>
      </c>
      <c r="M1183">
        <v>2.0999999999999999E-3</v>
      </c>
      <c r="N1183">
        <v>2.0999999999999999E-3</v>
      </c>
      <c r="O1183">
        <v>2.0999999999999999E-3</v>
      </c>
      <c r="P1183">
        <v>2.2000000000000001E-3</v>
      </c>
      <c r="Q1183">
        <v>2.2000000000000001E-3</v>
      </c>
      <c r="R1183">
        <v>2.3E-3</v>
      </c>
      <c r="S1183">
        <v>2.3E-3</v>
      </c>
      <c r="T1183">
        <v>2.3E-3</v>
      </c>
      <c r="U1183">
        <v>2.3E-3</v>
      </c>
      <c r="V1183">
        <v>2.3E-3</v>
      </c>
      <c r="W1183">
        <v>2.3E-3</v>
      </c>
      <c r="X1183">
        <v>2.3E-3</v>
      </c>
      <c r="Y1183">
        <v>2.3E-3</v>
      </c>
    </row>
    <row r="1184" spans="1:25">
      <c r="A1184" t="s">
        <v>270</v>
      </c>
      <c r="B1184" t="s">
        <v>647</v>
      </c>
      <c r="C1184" t="s">
        <v>595</v>
      </c>
      <c r="D1184" t="s">
        <v>648</v>
      </c>
      <c r="E1184" t="s">
        <v>649</v>
      </c>
      <c r="F1184" t="s">
        <v>598</v>
      </c>
      <c r="G1184" t="s">
        <v>478</v>
      </c>
      <c r="H1184" t="s">
        <v>600</v>
      </c>
      <c r="I1184" t="s">
        <v>601</v>
      </c>
      <c r="J1184">
        <v>3.6499999999999998E-2</v>
      </c>
      <c r="K1184">
        <v>3.6499999999999998E-2</v>
      </c>
      <c r="L1184">
        <v>3.6499999999999998E-2</v>
      </c>
      <c r="M1184">
        <v>3.6499999999999998E-2</v>
      </c>
      <c r="N1184">
        <v>3.6499999999999998E-2</v>
      </c>
      <c r="O1184">
        <v>3.6499999999999998E-2</v>
      </c>
      <c r="P1184">
        <v>3.6499999999999998E-2</v>
      </c>
      <c r="Q1184">
        <v>3.6499999999999998E-2</v>
      </c>
      <c r="R1184">
        <v>3.6499999999999998E-2</v>
      </c>
      <c r="S1184">
        <v>3.6499999999999998E-2</v>
      </c>
      <c r="T1184">
        <v>3.6499999999999998E-2</v>
      </c>
      <c r="U1184">
        <v>3.6499999999999998E-2</v>
      </c>
      <c r="V1184">
        <v>3.6499999999999998E-2</v>
      </c>
      <c r="W1184">
        <v>3.6499999999999998E-2</v>
      </c>
      <c r="X1184">
        <v>3.6499999999999998E-2</v>
      </c>
      <c r="Y1184">
        <v>3.6499999999999998E-2</v>
      </c>
    </row>
    <row r="1185" spans="3:45">
      <c r="J1185">
        <f>SUM(Table1[2015])</f>
        <v>21.225699999999996</v>
      </c>
      <c r="K1185">
        <f>SUM(Table1[2016])</f>
        <v>20.8552</v>
      </c>
      <c r="L1185">
        <f>SUM(Table1[2017])</f>
        <v>20.964600000000001</v>
      </c>
      <c r="M1185">
        <f>SUM(Table1[2018])</f>
        <v>20.882299999999994</v>
      </c>
      <c r="N1185">
        <f>SUM(Table1[2019])</f>
        <v>20.755299999999995</v>
      </c>
      <c r="O1185">
        <f>SUM(Table1[2020])</f>
        <v>20.309100000000001</v>
      </c>
      <c r="P1185">
        <f>SUM(Table1[2021])</f>
        <v>20.023299999999999</v>
      </c>
      <c r="Q1185">
        <f>SUM(Table1[2022])</f>
        <v>19.311699999999998</v>
      </c>
      <c r="R1185">
        <f>SUM(Table1[2023])</f>
        <v>19.459900000000001</v>
      </c>
      <c r="S1185">
        <f>SUM(Table1[2024])</f>
        <v>19.6935</v>
      </c>
      <c r="T1185">
        <f>SUM(Table1[2025])</f>
        <v>19.939600000000002</v>
      </c>
      <c r="U1185">
        <f>SUM(Table1[2026])</f>
        <v>20.114100000000004</v>
      </c>
      <c r="V1185">
        <f>SUM(Table1[2027])</f>
        <v>20.214000000000002</v>
      </c>
      <c r="W1185">
        <f>SUM(Table1[2028])</f>
        <v>20.398599999999998</v>
      </c>
      <c r="X1185">
        <f>SUM(Table1[2029])</f>
        <v>20.597300000000004</v>
      </c>
      <c r="Y1185">
        <f>SUM(Table1[2030])</f>
        <v>20.731500000000004</v>
      </c>
    </row>
    <row r="1186" spans="3:45" ht="18.75">
      <c r="C1186" s="1" t="s">
        <v>2210</v>
      </c>
      <c r="H1186" s="2" t="s">
        <v>2211</v>
      </c>
    </row>
    <row r="1187" spans="3:45" ht="15.75" thickBot="1">
      <c r="J1187" s="33">
        <v>2015</v>
      </c>
      <c r="K1187" s="33">
        <f>+J1187+1</f>
        <v>2016</v>
      </c>
      <c r="L1187" s="33">
        <f t="shared" ref="L1187:Y1187" si="1">+K1187+1</f>
        <v>2017</v>
      </c>
      <c r="M1187" s="33">
        <f t="shared" si="1"/>
        <v>2018</v>
      </c>
      <c r="N1187" s="33">
        <f t="shared" si="1"/>
        <v>2019</v>
      </c>
      <c r="O1187" s="33">
        <f t="shared" si="1"/>
        <v>2020</v>
      </c>
      <c r="P1187" s="33">
        <f t="shared" si="1"/>
        <v>2021</v>
      </c>
      <c r="Q1187" s="33">
        <f t="shared" si="1"/>
        <v>2022</v>
      </c>
      <c r="R1187" s="33">
        <f t="shared" si="1"/>
        <v>2023</v>
      </c>
      <c r="S1187" s="33">
        <f t="shared" si="1"/>
        <v>2024</v>
      </c>
      <c r="T1187" s="33">
        <f t="shared" si="1"/>
        <v>2025</v>
      </c>
      <c r="U1187" s="33">
        <f t="shared" si="1"/>
        <v>2026</v>
      </c>
      <c r="V1187" s="33">
        <f t="shared" si="1"/>
        <v>2027</v>
      </c>
      <c r="W1187" s="33">
        <f t="shared" si="1"/>
        <v>2028</v>
      </c>
      <c r="X1187" s="33">
        <f t="shared" si="1"/>
        <v>2029</v>
      </c>
      <c r="Y1187" s="33">
        <f t="shared" si="1"/>
        <v>2030</v>
      </c>
      <c r="Z1187" s="47"/>
      <c r="AA1187" s="47"/>
      <c r="AB1187" s="47"/>
      <c r="AC1187" s="47"/>
      <c r="AD1187" s="47"/>
      <c r="AE1187" s="47"/>
      <c r="AF1187" s="47"/>
      <c r="AG1187" s="47"/>
      <c r="AH1187" s="47"/>
      <c r="AI1187" s="47"/>
      <c r="AJ1187" s="47"/>
      <c r="AK1187" s="47"/>
      <c r="AL1187" s="47"/>
      <c r="AM1187" s="47"/>
      <c r="AN1187" s="47"/>
      <c r="AO1187" s="47"/>
      <c r="AP1187" s="47"/>
      <c r="AQ1187" s="47"/>
      <c r="AR1187" s="47"/>
      <c r="AS1187" s="47"/>
    </row>
    <row r="1188" spans="3:45">
      <c r="H1188" s="34" t="s">
        <v>2212</v>
      </c>
      <c r="J1188" s="35">
        <v>40.797853120405698</v>
      </c>
      <c r="K1188" s="36">
        <v>41.146382840035699</v>
      </c>
      <c r="L1188" s="36">
        <v>41.501316070137399</v>
      </c>
      <c r="M1188" s="36">
        <v>41.868494325493501</v>
      </c>
      <c r="N1188" s="36">
        <v>42.217084635150904</v>
      </c>
      <c r="O1188" s="36">
        <v>42.542258802709199</v>
      </c>
      <c r="P1188" s="36">
        <v>42.757872289506899</v>
      </c>
      <c r="Q1188" s="36">
        <v>42.958230769555499</v>
      </c>
      <c r="R1188" s="36">
        <v>43.1511584207596</v>
      </c>
      <c r="S1188" s="36">
        <v>43.327595126690497</v>
      </c>
      <c r="T1188" s="36">
        <v>43.755506043335203</v>
      </c>
      <c r="U1188" s="36">
        <v>43.991870095699902</v>
      </c>
      <c r="V1188" s="36">
        <v>44.220974055046703</v>
      </c>
      <c r="W1188" s="36">
        <v>44.556392433061504</v>
      </c>
      <c r="X1188" s="36">
        <v>44.797085618440498</v>
      </c>
      <c r="Y1188" s="44">
        <v>45.040467583895001</v>
      </c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</row>
    <row r="1189" spans="3:45">
      <c r="H1189" s="37" t="s">
        <v>2213</v>
      </c>
      <c r="J1189" s="38">
        <v>18.3445135825989</v>
      </c>
      <c r="K1189" s="39">
        <v>18.337841653925299</v>
      </c>
      <c r="L1189" s="39">
        <v>18.331458477877799</v>
      </c>
      <c r="M1189" s="39">
        <v>18.3340939226552</v>
      </c>
      <c r="N1189" s="39">
        <v>18.331292818895299</v>
      </c>
      <c r="O1189" s="39">
        <v>18.321512198859502</v>
      </c>
      <c r="P1189" s="39">
        <v>18.307895079476598</v>
      </c>
      <c r="Q1189" s="39">
        <v>18.287587297200201</v>
      </c>
      <c r="R1189" s="39">
        <v>18.263503858481101</v>
      </c>
      <c r="S1189" s="39">
        <v>18.232304714636001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45">
        <v>0</v>
      </c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</row>
    <row r="1190" spans="3:45">
      <c r="H1190" s="37" t="s">
        <v>2214</v>
      </c>
      <c r="J1190" s="38">
        <v>0.51307972770129895</v>
      </c>
      <c r="K1190" s="39">
        <v>0.50426860657429795</v>
      </c>
      <c r="L1190" s="39">
        <v>0.49232880107941701</v>
      </c>
      <c r="M1190" s="39">
        <v>0.511408025713328</v>
      </c>
      <c r="N1190" s="39">
        <v>0.51344474700572895</v>
      </c>
      <c r="O1190" s="39">
        <v>0.50739940683546703</v>
      </c>
      <c r="P1190" s="39">
        <v>0.50110834927725001</v>
      </c>
      <c r="Q1190" s="39">
        <v>0.491652067634261</v>
      </c>
      <c r="R1190" s="39">
        <v>0.480211190684316</v>
      </c>
      <c r="S1190" s="39">
        <v>0.46677895054739599</v>
      </c>
      <c r="T1190" s="39">
        <v>0.47232242093556098</v>
      </c>
      <c r="U1190" s="39">
        <v>0.46026498463118404</v>
      </c>
      <c r="V1190" s="39">
        <v>0.44364409178103698</v>
      </c>
      <c r="W1190" s="39">
        <v>0.124075263645545</v>
      </c>
      <c r="X1190" s="39">
        <v>0.119169580766985</v>
      </c>
      <c r="Y1190" s="45">
        <v>0</v>
      </c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</row>
    <row r="1191" spans="3:45">
      <c r="H1191" s="37" t="s">
        <v>2215</v>
      </c>
      <c r="J1191" s="38">
        <v>44.4988539233659</v>
      </c>
      <c r="K1191" s="39">
        <v>40.8675773332155</v>
      </c>
      <c r="L1191" s="39">
        <v>38.257847388678002</v>
      </c>
      <c r="M1191" s="39">
        <v>37.638311856114498</v>
      </c>
      <c r="N1191" s="39">
        <v>37.992526324999602</v>
      </c>
      <c r="O1191" s="39">
        <v>36.631849379403896</v>
      </c>
      <c r="P1191" s="39">
        <v>34.7067212872863</v>
      </c>
      <c r="Q1191" s="39">
        <v>31.9419785163449</v>
      </c>
      <c r="R1191" s="39">
        <v>29.314072069535399</v>
      </c>
      <c r="S1191" s="39">
        <v>26.752687959655699</v>
      </c>
      <c r="T1191" s="39">
        <v>32.903476312063702</v>
      </c>
      <c r="U1191" s="39">
        <v>30.3509662656278</v>
      </c>
      <c r="V1191" s="39">
        <v>27.848215205352197</v>
      </c>
      <c r="W1191" s="39">
        <v>26.494698957824301</v>
      </c>
      <c r="X1191" s="39">
        <v>23.603785671308</v>
      </c>
      <c r="Y1191" s="45">
        <v>21.415867234810598</v>
      </c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</row>
    <row r="1192" spans="3:45">
      <c r="H1192" s="37" t="s">
        <v>2216</v>
      </c>
      <c r="J1192" s="38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45">
        <v>0</v>
      </c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</row>
    <row r="1193" spans="3:45">
      <c r="H1193" s="37" t="s">
        <v>2217</v>
      </c>
      <c r="J1193" s="38">
        <v>31.5069805184412</v>
      </c>
      <c r="K1193" s="39">
        <v>31.615976214716902</v>
      </c>
      <c r="L1193" s="39">
        <v>31.6512971444992</v>
      </c>
      <c r="M1193" s="39">
        <v>31.653567494015299</v>
      </c>
      <c r="N1193" s="39">
        <v>31.650958910553999</v>
      </c>
      <c r="O1193" s="39">
        <v>31.641818104383699</v>
      </c>
      <c r="P1193" s="39">
        <v>31.629325656491801</v>
      </c>
      <c r="Q1193" s="39">
        <v>31.6095080784918</v>
      </c>
      <c r="R1193" s="39">
        <v>31.585511774188802</v>
      </c>
      <c r="S1193" s="39">
        <v>31.5196499983726</v>
      </c>
      <c r="T1193" s="39">
        <v>31.586731741122001</v>
      </c>
      <c r="U1193" s="39">
        <v>31.571076333719997</v>
      </c>
      <c r="V1193" s="39">
        <v>31.551161856333898</v>
      </c>
      <c r="W1193" s="39">
        <v>31.5713659608552</v>
      </c>
      <c r="X1193" s="39">
        <v>31.553153242240601</v>
      </c>
      <c r="Y1193" s="45">
        <v>31.535359727763002</v>
      </c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</row>
    <row r="1194" spans="3:45">
      <c r="H1194" s="37" t="s">
        <v>2218</v>
      </c>
      <c r="J1194" s="38">
        <v>6.6606740558712403</v>
      </c>
      <c r="K1194" s="39">
        <v>6.9093836486069806</v>
      </c>
      <c r="L1194" s="39">
        <v>6.8688217655795194</v>
      </c>
      <c r="M1194" s="39">
        <v>6.8688695577354499</v>
      </c>
      <c r="N1194" s="39">
        <v>6.8687019320746998</v>
      </c>
      <c r="O1194" s="39">
        <v>6.8680732036468699</v>
      </c>
      <c r="P1194" s="39">
        <v>7.0172710643532206</v>
      </c>
      <c r="Q1194" s="39">
        <v>6.6993575472448299</v>
      </c>
      <c r="R1194" s="39">
        <v>6.6973277003783496</v>
      </c>
      <c r="S1194" s="39">
        <v>6.69428894340827</v>
      </c>
      <c r="T1194" s="39">
        <v>6.70116660910546</v>
      </c>
      <c r="U1194" s="39">
        <v>6.7003390666469906</v>
      </c>
      <c r="V1194" s="39">
        <v>6.69919253452729</v>
      </c>
      <c r="W1194" s="39">
        <v>6.6999255021860202</v>
      </c>
      <c r="X1194" s="39">
        <v>6.6986826851177996</v>
      </c>
      <c r="Y1194" s="45">
        <v>6.6974242787012805</v>
      </c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</row>
    <row r="1195" spans="3:45">
      <c r="H1195" s="37" t="s">
        <v>2219</v>
      </c>
      <c r="J1195" s="38">
        <v>12.415691684676901</v>
      </c>
      <c r="K1195" s="39">
        <v>11.7910535505812</v>
      </c>
      <c r="L1195" s="39">
        <v>11.649918711743998</v>
      </c>
      <c r="M1195" s="39">
        <v>12.014252107755299</v>
      </c>
      <c r="N1195" s="39">
        <v>11.476429115821899</v>
      </c>
      <c r="O1195" s="39">
        <v>11.361693820417401</v>
      </c>
      <c r="P1195" s="39">
        <v>11.2905577063951</v>
      </c>
      <c r="Q1195" s="39">
        <v>11.7278316935733</v>
      </c>
      <c r="R1195" s="39">
        <v>11.961945610866099</v>
      </c>
      <c r="S1195" s="39">
        <v>12.1408171318937</v>
      </c>
      <c r="T1195" s="39">
        <v>12.1844860674952</v>
      </c>
      <c r="U1195" s="39">
        <v>11.723648330784499</v>
      </c>
      <c r="V1195" s="39">
        <v>11.6078848905561</v>
      </c>
      <c r="W1195" s="39">
        <v>11.621661117825999</v>
      </c>
      <c r="X1195" s="39">
        <v>11.6101138220486</v>
      </c>
      <c r="Y1195" s="45">
        <v>11.599074534423201</v>
      </c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</row>
    <row r="1196" spans="3:45">
      <c r="H1196" s="37" t="s">
        <v>2220</v>
      </c>
      <c r="J1196" s="38">
        <v>19.387323543778901</v>
      </c>
      <c r="K1196" s="39">
        <v>24.142995104922001</v>
      </c>
      <c r="L1196" s="39">
        <v>28.748222424642101</v>
      </c>
      <c r="M1196" s="39">
        <v>29.066170743958999</v>
      </c>
      <c r="N1196" s="39">
        <v>30.324829406352901</v>
      </c>
      <c r="O1196" s="39">
        <v>33.627859628565801</v>
      </c>
      <c r="P1196" s="39">
        <v>34.888379083886498</v>
      </c>
      <c r="Q1196" s="39">
        <v>35.813499512729798</v>
      </c>
      <c r="R1196" s="39">
        <v>36.651088047619204</v>
      </c>
      <c r="S1196" s="39">
        <v>37.455043094953801</v>
      </c>
      <c r="T1196" s="39">
        <v>38.8796888057934</v>
      </c>
      <c r="U1196" s="39">
        <v>39.748510816642799</v>
      </c>
      <c r="V1196" s="39">
        <v>40.455499256474198</v>
      </c>
      <c r="W1196" s="39">
        <v>41.316462978994103</v>
      </c>
      <c r="X1196" s="39">
        <v>41.797434451044502</v>
      </c>
      <c r="Y1196" s="45">
        <v>42.143513867851098</v>
      </c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</row>
    <row r="1197" spans="3:45">
      <c r="H1197" s="37" t="s">
        <v>2221</v>
      </c>
      <c r="J1197" s="38">
        <v>35.385761380712999</v>
      </c>
      <c r="K1197" s="39">
        <v>36.485392931478998</v>
      </c>
      <c r="L1197" s="39">
        <v>37.583974491076098</v>
      </c>
      <c r="M1197" s="39">
        <v>37.888744186457004</v>
      </c>
      <c r="N1197" s="39">
        <v>38.411760755576097</v>
      </c>
      <c r="O1197" s="39">
        <v>38.3767794038801</v>
      </c>
      <c r="P1197" s="39">
        <v>40.874065876077303</v>
      </c>
      <c r="Q1197" s="39">
        <v>44.182884753247301</v>
      </c>
      <c r="R1197" s="39">
        <v>47.262926868691302</v>
      </c>
      <c r="S1197" s="39">
        <v>50.2013764967352</v>
      </c>
      <c r="T1197" s="39">
        <v>53.898467185099804</v>
      </c>
      <c r="U1197" s="39">
        <v>57.375070399323597</v>
      </c>
      <c r="V1197" s="39">
        <v>60.349287862862901</v>
      </c>
      <c r="W1197" s="39">
        <v>63.351179687744697</v>
      </c>
      <c r="X1197" s="39">
        <v>66.0056405403258</v>
      </c>
      <c r="Y1197" s="45">
        <v>68.525578674741098</v>
      </c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</row>
    <row r="1198" spans="3:45">
      <c r="H1198" s="37" t="s">
        <v>2222</v>
      </c>
      <c r="J1198" s="38">
        <v>6.4220951448814603</v>
      </c>
      <c r="K1198" s="39">
        <v>7.8396200437373098</v>
      </c>
      <c r="L1198" s="39">
        <v>8.7681486986825714</v>
      </c>
      <c r="M1198" s="39">
        <v>9.6902155994261712</v>
      </c>
      <c r="N1198" s="39">
        <v>10.6291842671409</v>
      </c>
      <c r="O1198" s="39">
        <v>11.597138385654601</v>
      </c>
      <c r="P1198" s="39">
        <v>12.7658154478548</v>
      </c>
      <c r="Q1198" s="39">
        <v>14.1125211262422</v>
      </c>
      <c r="R1198" s="39">
        <v>15.629458531544801</v>
      </c>
      <c r="S1198" s="39">
        <v>17.268590468780303</v>
      </c>
      <c r="T1198" s="39">
        <v>19.3102421531778</v>
      </c>
      <c r="U1198" s="39">
        <v>21.2743918209075</v>
      </c>
      <c r="V1198" s="39">
        <v>23.425443988512999</v>
      </c>
      <c r="W1198" s="39">
        <v>25.974978231434701</v>
      </c>
      <c r="X1198" s="39">
        <v>28.615213945869101</v>
      </c>
      <c r="Y1198" s="45">
        <v>31.526198839550599</v>
      </c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</row>
    <row r="1199" spans="3:45" ht="15.75" thickBot="1">
      <c r="H1199" s="40" t="s">
        <v>2223</v>
      </c>
      <c r="J1199" s="41">
        <v>91.331266151097893</v>
      </c>
      <c r="K1199" s="42">
        <v>89.610608460024196</v>
      </c>
      <c r="L1199" s="42">
        <v>87.569750297391693</v>
      </c>
      <c r="M1199" s="42">
        <v>87.752589018830406</v>
      </c>
      <c r="N1199" s="42">
        <v>87.190793631784501</v>
      </c>
      <c r="O1199" s="42">
        <v>85.675825400682996</v>
      </c>
      <c r="P1199" s="42">
        <v>82.438499536594094</v>
      </c>
      <c r="Q1199" s="42">
        <v>79.515397539325292</v>
      </c>
      <c r="R1199" s="42">
        <v>76.554662305659605</v>
      </c>
      <c r="S1199" s="42">
        <v>73.698846463271195</v>
      </c>
      <c r="T1199" s="42">
        <v>78.929019580517689</v>
      </c>
      <c r="U1199" s="42">
        <v>76.116252019044396</v>
      </c>
      <c r="V1199" s="42">
        <v>73.379690908289589</v>
      </c>
      <c r="W1199" s="42">
        <v>68.932997705908505</v>
      </c>
      <c r="X1199" s="42">
        <v>66.830962205069596</v>
      </c>
      <c r="Y1199" s="46">
        <v>64.423708459551904</v>
      </c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</row>
    <row r="1200" spans="3:45" ht="15.75" thickBot="1">
      <c r="H1200" s="43" t="s">
        <v>2224</v>
      </c>
      <c r="J1200" s="41">
        <v>307.2640928335324</v>
      </c>
      <c r="K1200" s="42">
        <v>309.25110038781838</v>
      </c>
      <c r="L1200" s="42">
        <v>311.42308427138784</v>
      </c>
      <c r="M1200" s="42">
        <v>313.28671683815514</v>
      </c>
      <c r="N1200" s="42">
        <v>315.60700654535657</v>
      </c>
      <c r="O1200" s="42">
        <v>317.15220773503955</v>
      </c>
      <c r="P1200" s="42">
        <v>317.17751137719989</v>
      </c>
      <c r="Q1200" s="42">
        <v>317.34044890158941</v>
      </c>
      <c r="R1200" s="42">
        <v>317.55186637840859</v>
      </c>
      <c r="S1200" s="42">
        <v>317.75797934894467</v>
      </c>
      <c r="T1200" s="42">
        <v>318.62110691864586</v>
      </c>
      <c r="U1200" s="42">
        <v>319.31239013302866</v>
      </c>
      <c r="V1200" s="42">
        <v>319.98099464973689</v>
      </c>
      <c r="W1200" s="42">
        <v>320.64373783948059</v>
      </c>
      <c r="X1200" s="42">
        <v>321.63124176223153</v>
      </c>
      <c r="Y1200" s="46">
        <v>322.90719320128778</v>
      </c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</row>
    <row r="1202" spans="8:25">
      <c r="H1202" s="48" t="s">
        <v>287</v>
      </c>
      <c r="I1202" s="2" t="s">
        <v>2225</v>
      </c>
      <c r="J1202" s="62">
        <f>Table5[[#Totals],[2015]]*365/SUM(J1189:J1198)</f>
        <v>10.964694606356694</v>
      </c>
      <c r="K1202" s="62">
        <f>Table5[[#Totals],[2016]]*365/SUM(K1189:K1198)</f>
        <v>10.935024746617035</v>
      </c>
      <c r="L1202" s="62">
        <f>Table5[[#Totals],[2017]]*365/SUM(L1189:L1198)</f>
        <v>10.73210224101714</v>
      </c>
      <c r="M1202" s="62">
        <f>Table5[[#Totals],[2018]]*365/SUM(M1189:M1198)</f>
        <v>10.723508598390838</v>
      </c>
      <c r="N1202" s="62">
        <f>Table5[[#Totals],[2019]]*365/SUM(N1189:N1198)</f>
        <v>10.623862841302307</v>
      </c>
      <c r="O1202" s="62">
        <f>Table5[[#Totals],[2020]]*365/SUM(O1189:O1198)</f>
        <v>10.386035425047554</v>
      </c>
      <c r="P1202" s="62">
        <f>Table5[[#Totals],[2021]]*365/SUM(P1189:P1198)</f>
        <v>10.36378627948722</v>
      </c>
      <c r="Q1202" s="62">
        <f>Table5[[#Totals],[2022]]*365/SUM(Q1189:Q1198)</f>
        <v>10.344051870241387</v>
      </c>
      <c r="R1202" s="62">
        <f>Table5[[#Totals],[2023]]*365/SUM(R1189:R1198)</f>
        <v>10.281269424904206</v>
      </c>
      <c r="S1202" s="62">
        <f>Table5[[#Totals],[2024]]*365/SUM(S1189:S1198)</f>
        <v>10.252033751023792</v>
      </c>
      <c r="T1202" s="62">
        <f>Table5[[#Totals],[2025]]*365/SUM(T1189:T1198)</f>
        <v>10.622516154186426</v>
      </c>
      <c r="U1202" s="62">
        <f>Table5[[#Totals],[2026]]*365/SUM(U1189:U1198)</f>
        <v>10.521009518770096</v>
      </c>
      <c r="V1202" s="62">
        <f>Table5[[#Totals],[2027]]*365/SUM(V1189:V1198)</f>
        <v>10.394493393995884</v>
      </c>
      <c r="W1202" s="62">
        <f>Table5[[#Totals],[2028]]*365/SUM(W1189:W1198)</f>
        <v>10.227361981622449</v>
      </c>
      <c r="X1202" s="62">
        <f>Table5[[#Totals],[2029]]*365/SUM(X1189:X1198)</f>
        <v>10.165443010466422</v>
      </c>
      <c r="Y1202" s="62">
        <f>Table5[[#Totals],[2030]]*365/SUM(Y1189:Y1198)</f>
        <v>10.051722602915735</v>
      </c>
    </row>
    <row r="1203" spans="8:25">
      <c r="H1203" s="48" t="s">
        <v>2226</v>
      </c>
      <c r="I1203" s="2" t="s">
        <v>2225</v>
      </c>
      <c r="J1203" s="63">
        <f>Table1[[#Totals],[2015]]*365/SUM(J1189:J1198)</f>
        <v>44.236626999324336</v>
      </c>
      <c r="K1203" s="63">
        <f>Table1[[#Totals],[2016]]*365/SUM(K1189:K1198)</f>
        <v>42.646494267535786</v>
      </c>
      <c r="L1203" s="63">
        <f>Table1[[#Totals],[2017]]*365/SUM(L1189:L1198)</f>
        <v>41.963226335309315</v>
      </c>
      <c r="M1203" s="63">
        <f>Table1[[#Totals],[2018]]*365/SUM(M1189:M1198)</f>
        <v>41.499541068231458</v>
      </c>
      <c r="N1203" s="63">
        <f>Table1[[#Totals],[2019]]*365/SUM(N1189:N1198)</f>
        <v>40.685928930194429</v>
      </c>
      <c r="O1203" s="63">
        <f>Table1[[#Totals],[2020]]*365/SUM(O1189:O1198)</f>
        <v>39.234953228331555</v>
      </c>
      <c r="P1203" s="63">
        <f>Table1[[#Totals],[2021]]*365/SUM(P1189:P1198)</f>
        <v>38.06886716627038</v>
      </c>
      <c r="Q1203" s="63">
        <f>Table1[[#Totals],[2022]]*365/SUM(Q1189:Q1198)</f>
        <v>36.172245631967506</v>
      </c>
      <c r="R1203" s="63">
        <f>Table1[[#Totals],[2023]]*365/SUM(R1189:R1198)</f>
        <v>35.900962673238958</v>
      </c>
      <c r="S1203" s="63">
        <f>Table1[[#Totals],[2024]]*365/SUM(S1189:S1198)</f>
        <v>35.809656919137133</v>
      </c>
      <c r="T1203" s="63">
        <f>Table1[[#Totals],[2025]]*365/SUM(T1189:T1198)</f>
        <v>37.144437000511324</v>
      </c>
      <c r="U1203" s="63">
        <f>Table1[[#Totals],[2026]]*365/SUM(U1189:U1198)</f>
        <v>36.85486547570423</v>
      </c>
      <c r="V1203" s="63">
        <f>Table1[[#Totals],[2027]]*365/SUM(V1189:V1198)</f>
        <v>36.456655700841999</v>
      </c>
      <c r="W1203" s="63">
        <f>Table1[[#Totals],[2028]]*365/SUM(W1189:W1198)</f>
        <v>35.941746251757039</v>
      </c>
      <c r="X1203" s="63">
        <f>Table1[[#Totals],[2029]]*365/SUM(X1189:X1198)</f>
        <v>35.799524564344232</v>
      </c>
      <c r="Y1203" s="63">
        <f>Table1[[#Totals],[2030]]*365/SUM(Y1189:Y1198)</f>
        <v>35.452073348476965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>
    <tabColor theme="5" tint="0.79998168889431442"/>
  </sheetPr>
  <dimension ref="A2:J62"/>
  <sheetViews>
    <sheetView tabSelected="1" workbookViewId="0">
      <selection activeCell="G67" sqref="G67"/>
    </sheetView>
  </sheetViews>
  <sheetFormatPr defaultRowHeight="15"/>
  <cols>
    <col min="1" max="1" width="36.42578125" customWidth="1"/>
    <col min="2" max="2" width="21.5703125" customWidth="1"/>
    <col min="3" max="3" width="43.28515625" customWidth="1"/>
    <col min="4" max="4" width="22" customWidth="1"/>
    <col min="5" max="5" width="19.5703125" customWidth="1"/>
  </cols>
  <sheetData>
    <row r="2" spans="1:10">
      <c r="A2" s="56" t="s">
        <v>2227</v>
      </c>
      <c r="B2" t="s">
        <v>2228</v>
      </c>
      <c r="C2" s="28">
        <v>637</v>
      </c>
      <c r="E2" s="4" t="s">
        <v>2229</v>
      </c>
    </row>
    <row r="3" spans="1:10">
      <c r="A3" s="56" t="s">
        <v>2230</v>
      </c>
      <c r="B3" t="s">
        <v>2228</v>
      </c>
      <c r="C3">
        <v>170</v>
      </c>
      <c r="E3" s="4" t="s">
        <v>2231</v>
      </c>
    </row>
    <row r="4" spans="1:10" ht="30">
      <c r="A4" s="56" t="s">
        <v>2232</v>
      </c>
      <c r="B4" t="s">
        <v>2228</v>
      </c>
      <c r="C4">
        <v>467</v>
      </c>
      <c r="E4" s="4" t="s">
        <v>2233</v>
      </c>
    </row>
    <row r="5" spans="1:10">
      <c r="A5" s="56"/>
    </row>
    <row r="6" spans="1:10" ht="45">
      <c r="A6" s="56" t="s">
        <v>2234</v>
      </c>
      <c r="B6" t="s">
        <v>2235</v>
      </c>
      <c r="C6">
        <v>35</v>
      </c>
      <c r="E6" s="4" t="s">
        <v>2236</v>
      </c>
    </row>
    <row r="8" spans="1:10">
      <c r="A8" s="2" t="s">
        <v>2237</v>
      </c>
    </row>
    <row r="9" spans="1:10">
      <c r="A9" s="2"/>
    </row>
    <row r="10" spans="1:10">
      <c r="A10" s="32" t="s">
        <v>270</v>
      </c>
      <c r="B10" s="32" t="s">
        <v>663</v>
      </c>
      <c r="C10" s="32" t="s">
        <v>664</v>
      </c>
      <c r="D10" s="32" t="s">
        <v>596</v>
      </c>
      <c r="E10" s="32" t="s">
        <v>597</v>
      </c>
      <c r="F10" s="32" t="s">
        <v>598</v>
      </c>
      <c r="G10" s="32" t="s">
        <v>599</v>
      </c>
      <c r="H10" s="32" t="s">
        <v>600</v>
      </c>
      <c r="I10" s="32" t="s">
        <v>601</v>
      </c>
      <c r="J10" s="32">
        <v>3.7400000000000003E-2</v>
      </c>
    </row>
    <row r="11" spans="1:10">
      <c r="A11" t="s">
        <v>270</v>
      </c>
      <c r="B11" t="s">
        <v>666</v>
      </c>
      <c r="C11" t="s">
        <v>664</v>
      </c>
      <c r="D11" t="s">
        <v>596</v>
      </c>
      <c r="E11" t="s">
        <v>605</v>
      </c>
      <c r="F11" t="s">
        <v>598</v>
      </c>
      <c r="G11" t="s">
        <v>599</v>
      </c>
      <c r="H11" t="s">
        <v>600</v>
      </c>
      <c r="I11" t="s">
        <v>601</v>
      </c>
      <c r="J11">
        <v>7.4999999999999997E-3</v>
      </c>
    </row>
    <row r="12" spans="1:10">
      <c r="A12" s="32" t="s">
        <v>270</v>
      </c>
      <c r="B12" s="32" t="s">
        <v>679</v>
      </c>
      <c r="C12" s="32" t="s">
        <v>664</v>
      </c>
      <c r="D12" s="32" t="s">
        <v>680</v>
      </c>
      <c r="E12" s="32" t="s">
        <v>597</v>
      </c>
      <c r="F12" s="32" t="s">
        <v>598</v>
      </c>
      <c r="G12" s="32" t="s">
        <v>599</v>
      </c>
      <c r="H12" s="32" t="s">
        <v>600</v>
      </c>
      <c r="I12" s="32" t="s">
        <v>601</v>
      </c>
      <c r="J12" s="32">
        <v>1.4826999999999999</v>
      </c>
    </row>
    <row r="13" spans="1:10">
      <c r="A13" s="57" t="s">
        <v>270</v>
      </c>
      <c r="B13" s="57" t="s">
        <v>681</v>
      </c>
      <c r="C13" s="57" t="s">
        <v>664</v>
      </c>
      <c r="D13" s="57" t="s">
        <v>680</v>
      </c>
      <c r="E13" s="57" t="s">
        <v>605</v>
      </c>
      <c r="F13" s="57" t="s">
        <v>598</v>
      </c>
      <c r="G13" s="57" t="s">
        <v>599</v>
      </c>
      <c r="H13" s="57" t="s">
        <v>600</v>
      </c>
      <c r="I13" s="57" t="s">
        <v>601</v>
      </c>
      <c r="J13" s="57">
        <v>0.15989999999999999</v>
      </c>
    </row>
    <row r="14" spans="1:10">
      <c r="J14">
        <f>SUM(J10:J13)</f>
        <v>1.6874999999999998</v>
      </c>
    </row>
    <row r="16" spans="1:10">
      <c r="A16" s="31" t="s">
        <v>569</v>
      </c>
      <c r="B16" s="31" t="s">
        <v>570</v>
      </c>
      <c r="C16" s="31" t="s">
        <v>571</v>
      </c>
      <c r="D16" s="31" t="s">
        <v>572</v>
      </c>
      <c r="E16" s="31" t="s">
        <v>573</v>
      </c>
      <c r="F16" s="31" t="s">
        <v>574</v>
      </c>
      <c r="G16" s="31" t="s">
        <v>575</v>
      </c>
      <c r="H16" s="31" t="s">
        <v>576</v>
      </c>
      <c r="I16" s="31" t="s">
        <v>577</v>
      </c>
      <c r="J16" s="31" t="s">
        <v>578</v>
      </c>
    </row>
    <row r="17" spans="1:10">
      <c r="A17" s="32" t="s">
        <v>270</v>
      </c>
      <c r="B17" s="32" t="s">
        <v>663</v>
      </c>
      <c r="C17" s="32" t="s">
        <v>664</v>
      </c>
      <c r="D17" s="32" t="s">
        <v>596</v>
      </c>
      <c r="E17" s="32" t="s">
        <v>597</v>
      </c>
      <c r="F17" s="32" t="s">
        <v>598</v>
      </c>
      <c r="G17" s="32" t="s">
        <v>478</v>
      </c>
      <c r="H17" s="32" t="s">
        <v>600</v>
      </c>
      <c r="I17" s="32" t="s">
        <v>601</v>
      </c>
      <c r="J17" s="32">
        <v>0.21529999999999999</v>
      </c>
    </row>
    <row r="18" spans="1:10">
      <c r="A18" t="s">
        <v>270</v>
      </c>
      <c r="B18" t="s">
        <v>666</v>
      </c>
      <c r="C18" t="s">
        <v>664</v>
      </c>
      <c r="D18" t="s">
        <v>596</v>
      </c>
      <c r="E18" t="s">
        <v>605</v>
      </c>
      <c r="F18" t="s">
        <v>598</v>
      </c>
      <c r="G18" t="s">
        <v>478</v>
      </c>
      <c r="H18" t="s">
        <v>600</v>
      </c>
      <c r="I18" t="s">
        <v>601</v>
      </c>
      <c r="J18">
        <v>6.5500000000000003E-2</v>
      </c>
    </row>
    <row r="19" spans="1:10">
      <c r="A19" s="32" t="s">
        <v>270</v>
      </c>
      <c r="B19" s="32" t="s">
        <v>679</v>
      </c>
      <c r="C19" s="32" t="s">
        <v>664</v>
      </c>
      <c r="D19" s="32" t="s">
        <v>680</v>
      </c>
      <c r="E19" s="32" t="s">
        <v>597</v>
      </c>
      <c r="F19" s="32" t="s">
        <v>598</v>
      </c>
      <c r="G19" s="32" t="s">
        <v>478</v>
      </c>
      <c r="H19" s="32" t="s">
        <v>600</v>
      </c>
      <c r="I19" s="32" t="s">
        <v>601</v>
      </c>
      <c r="J19" s="32">
        <v>1.5450999999999999</v>
      </c>
    </row>
    <row r="20" spans="1:10">
      <c r="A20" s="57" t="s">
        <v>270</v>
      </c>
      <c r="B20" s="57" t="s">
        <v>681</v>
      </c>
      <c r="C20" s="57" t="s">
        <v>664</v>
      </c>
      <c r="D20" s="57" t="s">
        <v>680</v>
      </c>
      <c r="E20" s="57" t="s">
        <v>605</v>
      </c>
      <c r="F20" s="57" t="s">
        <v>598</v>
      </c>
      <c r="G20" s="57" t="s">
        <v>478</v>
      </c>
      <c r="H20" s="57" t="s">
        <v>600</v>
      </c>
      <c r="I20" s="57" t="s">
        <v>601</v>
      </c>
      <c r="J20" s="57">
        <v>0.17080000000000001</v>
      </c>
    </row>
    <row r="21" spans="1:10">
      <c r="J21">
        <f>SUM(J17:J20)</f>
        <v>1.9966999999999999</v>
      </c>
    </row>
    <row r="23" spans="1:10">
      <c r="A23" t="s">
        <v>270</v>
      </c>
      <c r="B23" t="s">
        <v>663</v>
      </c>
      <c r="C23" t="s">
        <v>664</v>
      </c>
      <c r="D23" t="s">
        <v>596</v>
      </c>
      <c r="E23" t="s">
        <v>597</v>
      </c>
      <c r="F23" t="s">
        <v>598</v>
      </c>
      <c r="G23" t="s">
        <v>343</v>
      </c>
      <c r="H23" t="s">
        <v>600</v>
      </c>
      <c r="I23" t="s">
        <v>601</v>
      </c>
      <c r="J23">
        <v>9.4899999999999998E-2</v>
      </c>
    </row>
    <row r="24" spans="1:10">
      <c r="A24" t="s">
        <v>270</v>
      </c>
      <c r="B24" t="s">
        <v>666</v>
      </c>
      <c r="C24" t="s">
        <v>664</v>
      </c>
      <c r="D24" t="s">
        <v>596</v>
      </c>
      <c r="E24" t="s">
        <v>605</v>
      </c>
      <c r="F24" t="s">
        <v>598</v>
      </c>
      <c r="G24" t="s">
        <v>343</v>
      </c>
      <c r="H24" t="s">
        <v>600</v>
      </c>
      <c r="I24" t="s">
        <v>601</v>
      </c>
      <c r="J24">
        <v>8.2000000000000007E-3</v>
      </c>
    </row>
    <row r="25" spans="1:10">
      <c r="A25" t="s">
        <v>270</v>
      </c>
      <c r="B25" t="s">
        <v>679</v>
      </c>
      <c r="C25" t="s">
        <v>664</v>
      </c>
      <c r="D25" t="s">
        <v>680</v>
      </c>
      <c r="E25" t="s">
        <v>597</v>
      </c>
      <c r="F25" t="s">
        <v>598</v>
      </c>
      <c r="G25" t="s">
        <v>343</v>
      </c>
      <c r="H25" t="s">
        <v>600</v>
      </c>
      <c r="I25" t="s">
        <v>601</v>
      </c>
      <c r="J25">
        <v>1.5634999999999999</v>
      </c>
    </row>
    <row r="26" spans="1:10">
      <c r="A26" t="s">
        <v>270</v>
      </c>
      <c r="B26" t="s">
        <v>681</v>
      </c>
      <c r="C26" t="s">
        <v>664</v>
      </c>
      <c r="D26" t="s">
        <v>680</v>
      </c>
      <c r="E26" t="s">
        <v>605</v>
      </c>
      <c r="F26" t="s">
        <v>598</v>
      </c>
      <c r="G26" t="s">
        <v>343</v>
      </c>
      <c r="H26" t="s">
        <v>600</v>
      </c>
      <c r="I26" t="s">
        <v>601</v>
      </c>
      <c r="J26">
        <v>4.2900000000000001E-2</v>
      </c>
    </row>
    <row r="28" spans="1:10">
      <c r="A28" t="s">
        <v>270</v>
      </c>
      <c r="B28" t="s">
        <v>663</v>
      </c>
      <c r="C28" t="s">
        <v>664</v>
      </c>
      <c r="D28" t="s">
        <v>596</v>
      </c>
      <c r="E28" t="s">
        <v>597</v>
      </c>
      <c r="F28" t="s">
        <v>598</v>
      </c>
      <c r="G28" t="s">
        <v>345</v>
      </c>
      <c r="H28" t="s">
        <v>600</v>
      </c>
      <c r="I28" t="s">
        <v>601</v>
      </c>
      <c r="J28">
        <v>0.04</v>
      </c>
    </row>
    <row r="29" spans="1:10">
      <c r="A29" t="s">
        <v>270</v>
      </c>
      <c r="B29" t="s">
        <v>666</v>
      </c>
      <c r="C29" t="s">
        <v>664</v>
      </c>
      <c r="D29" t="s">
        <v>596</v>
      </c>
      <c r="E29" t="s">
        <v>605</v>
      </c>
      <c r="F29" t="s">
        <v>598</v>
      </c>
      <c r="G29" t="s">
        <v>345</v>
      </c>
      <c r="H29" t="s">
        <v>600</v>
      </c>
      <c r="I29" t="s">
        <v>601</v>
      </c>
      <c r="J29">
        <v>5.4000000000000003E-3</v>
      </c>
    </row>
    <row r="30" spans="1:10">
      <c r="A30" t="s">
        <v>270</v>
      </c>
      <c r="B30" t="s">
        <v>679</v>
      </c>
      <c r="C30" t="s">
        <v>664</v>
      </c>
      <c r="D30" t="s">
        <v>680</v>
      </c>
      <c r="E30" t="s">
        <v>597</v>
      </c>
      <c r="F30" t="s">
        <v>598</v>
      </c>
      <c r="G30" t="s">
        <v>345</v>
      </c>
      <c r="H30" t="s">
        <v>600</v>
      </c>
      <c r="I30" t="s">
        <v>601</v>
      </c>
      <c r="J30">
        <v>0.66010000000000002</v>
      </c>
    </row>
    <row r="31" spans="1:10">
      <c r="A31" t="s">
        <v>270</v>
      </c>
      <c r="B31" t="s">
        <v>681</v>
      </c>
      <c r="C31" t="s">
        <v>664</v>
      </c>
      <c r="D31" t="s">
        <v>680</v>
      </c>
      <c r="E31" t="s">
        <v>605</v>
      </c>
      <c r="F31" t="s">
        <v>598</v>
      </c>
      <c r="G31" t="s">
        <v>345</v>
      </c>
      <c r="H31" t="s">
        <v>600</v>
      </c>
      <c r="I31" t="s">
        <v>601</v>
      </c>
      <c r="J31">
        <v>2.86E-2</v>
      </c>
    </row>
    <row r="33" spans="1:10">
      <c r="A33" t="s">
        <v>270</v>
      </c>
      <c r="B33" t="s">
        <v>663</v>
      </c>
      <c r="C33" t="s">
        <v>664</v>
      </c>
      <c r="D33" t="s">
        <v>596</v>
      </c>
      <c r="E33" t="s">
        <v>597</v>
      </c>
      <c r="F33" t="s">
        <v>598</v>
      </c>
      <c r="G33" t="s">
        <v>346</v>
      </c>
      <c r="H33" t="s">
        <v>600</v>
      </c>
      <c r="I33" t="s">
        <v>601</v>
      </c>
      <c r="J33">
        <v>0.2082</v>
      </c>
    </row>
    <row r="34" spans="1:10">
      <c r="A34" t="s">
        <v>270</v>
      </c>
      <c r="B34" t="s">
        <v>666</v>
      </c>
      <c r="C34" t="s">
        <v>664</v>
      </c>
      <c r="D34" t="s">
        <v>596</v>
      </c>
      <c r="E34" t="s">
        <v>605</v>
      </c>
      <c r="F34" t="s">
        <v>598</v>
      </c>
      <c r="G34" t="s">
        <v>346</v>
      </c>
      <c r="H34" t="s">
        <v>600</v>
      </c>
      <c r="I34" t="s">
        <v>601</v>
      </c>
      <c r="J34">
        <v>8.3099999999999993E-2</v>
      </c>
    </row>
    <row r="35" spans="1:10">
      <c r="A35" t="s">
        <v>270</v>
      </c>
      <c r="B35" t="s">
        <v>679</v>
      </c>
      <c r="C35" t="s">
        <v>664</v>
      </c>
      <c r="D35" t="s">
        <v>680</v>
      </c>
      <c r="E35" t="s">
        <v>597</v>
      </c>
      <c r="F35" t="s">
        <v>598</v>
      </c>
      <c r="G35" t="s">
        <v>346</v>
      </c>
      <c r="H35" t="s">
        <v>600</v>
      </c>
      <c r="I35" t="s">
        <v>601</v>
      </c>
      <c r="J35">
        <v>0.29039999999999999</v>
      </c>
    </row>
    <row r="36" spans="1:10">
      <c r="A36" t="s">
        <v>270</v>
      </c>
      <c r="B36" t="s">
        <v>681</v>
      </c>
      <c r="C36" t="s">
        <v>664</v>
      </c>
      <c r="D36" t="s">
        <v>680</v>
      </c>
      <c r="E36" t="s">
        <v>605</v>
      </c>
      <c r="F36" t="s">
        <v>598</v>
      </c>
      <c r="G36" t="s">
        <v>346</v>
      </c>
      <c r="H36" t="s">
        <v>600</v>
      </c>
      <c r="I36" t="s">
        <v>601</v>
      </c>
      <c r="J36">
        <v>2.4799999999999999E-2</v>
      </c>
    </row>
    <row r="38" spans="1:10">
      <c r="A38" t="s">
        <v>270</v>
      </c>
      <c r="B38" t="s">
        <v>663</v>
      </c>
      <c r="C38" t="s">
        <v>664</v>
      </c>
      <c r="D38" t="s">
        <v>596</v>
      </c>
      <c r="E38" t="s">
        <v>597</v>
      </c>
      <c r="F38" t="s">
        <v>598</v>
      </c>
      <c r="G38" t="s">
        <v>2238</v>
      </c>
      <c r="H38" t="s">
        <v>600</v>
      </c>
      <c r="I38" t="s">
        <v>601</v>
      </c>
      <c r="J38">
        <v>4.0399999999999998E-2</v>
      </c>
    </row>
    <row r="39" spans="1:10">
      <c r="A39" t="s">
        <v>270</v>
      </c>
      <c r="B39" t="s">
        <v>666</v>
      </c>
      <c r="C39" t="s">
        <v>664</v>
      </c>
      <c r="D39" t="s">
        <v>596</v>
      </c>
      <c r="E39" t="s">
        <v>605</v>
      </c>
      <c r="F39" t="s">
        <v>598</v>
      </c>
      <c r="G39" t="s">
        <v>2238</v>
      </c>
      <c r="H39" t="s">
        <v>600</v>
      </c>
      <c r="I39" t="s">
        <v>601</v>
      </c>
      <c r="J39">
        <v>1.15E-2</v>
      </c>
    </row>
    <row r="40" spans="1:10">
      <c r="A40" t="s">
        <v>270</v>
      </c>
      <c r="B40" t="s">
        <v>679</v>
      </c>
      <c r="C40" t="s">
        <v>664</v>
      </c>
      <c r="D40" t="s">
        <v>680</v>
      </c>
      <c r="E40" t="s">
        <v>597</v>
      </c>
      <c r="F40" t="s">
        <v>598</v>
      </c>
      <c r="G40" t="s">
        <v>2238</v>
      </c>
      <c r="H40" t="s">
        <v>600</v>
      </c>
      <c r="I40" t="s">
        <v>601</v>
      </c>
      <c r="J40">
        <v>0.19700000000000001</v>
      </c>
    </row>
    <row r="41" spans="1:10">
      <c r="A41" t="s">
        <v>270</v>
      </c>
      <c r="B41" t="s">
        <v>681</v>
      </c>
      <c r="C41" t="s">
        <v>664</v>
      </c>
      <c r="D41" t="s">
        <v>680</v>
      </c>
      <c r="E41" t="s">
        <v>605</v>
      </c>
      <c r="F41" t="s">
        <v>598</v>
      </c>
      <c r="G41" t="s">
        <v>2238</v>
      </c>
      <c r="H41" t="s">
        <v>600</v>
      </c>
      <c r="I41" t="s">
        <v>601</v>
      </c>
      <c r="J41">
        <v>9.2399999999999996E-2</v>
      </c>
    </row>
    <row r="43" spans="1:10">
      <c r="A43" t="s">
        <v>270</v>
      </c>
      <c r="B43" t="s">
        <v>663</v>
      </c>
      <c r="C43" t="s">
        <v>664</v>
      </c>
      <c r="D43" t="s">
        <v>596</v>
      </c>
      <c r="E43" t="s">
        <v>597</v>
      </c>
      <c r="F43" t="s">
        <v>598</v>
      </c>
      <c r="G43" t="s">
        <v>348</v>
      </c>
      <c r="H43" t="s">
        <v>600</v>
      </c>
      <c r="I43" t="s">
        <v>601</v>
      </c>
      <c r="J43">
        <v>3.7400000000000003E-2</v>
      </c>
    </row>
    <row r="44" spans="1:10">
      <c r="A44" t="s">
        <v>270</v>
      </c>
      <c r="B44" t="s">
        <v>666</v>
      </c>
      <c r="C44" t="s">
        <v>664</v>
      </c>
      <c r="D44" t="s">
        <v>596</v>
      </c>
      <c r="E44" t="s">
        <v>605</v>
      </c>
      <c r="F44" t="s">
        <v>598</v>
      </c>
      <c r="G44" t="s">
        <v>348</v>
      </c>
      <c r="H44" t="s">
        <v>600</v>
      </c>
      <c r="I44" t="s">
        <v>601</v>
      </c>
      <c r="J44">
        <v>7.4999999999999997E-3</v>
      </c>
    </row>
    <row r="45" spans="1:10">
      <c r="A45" t="s">
        <v>270</v>
      </c>
      <c r="B45" t="s">
        <v>679</v>
      </c>
      <c r="C45" t="s">
        <v>664</v>
      </c>
      <c r="D45" t="s">
        <v>680</v>
      </c>
      <c r="E45" t="s">
        <v>597</v>
      </c>
      <c r="F45" t="s">
        <v>598</v>
      </c>
      <c r="G45" t="s">
        <v>348</v>
      </c>
      <c r="H45" t="s">
        <v>600</v>
      </c>
      <c r="I45" t="s">
        <v>601</v>
      </c>
      <c r="J45">
        <v>1.4826999999999999</v>
      </c>
    </row>
    <row r="46" spans="1:10">
      <c r="A46" t="s">
        <v>270</v>
      </c>
      <c r="B46" t="s">
        <v>681</v>
      </c>
      <c r="C46" t="s">
        <v>664</v>
      </c>
      <c r="D46" t="s">
        <v>680</v>
      </c>
      <c r="E46" t="s">
        <v>605</v>
      </c>
      <c r="F46" t="s">
        <v>598</v>
      </c>
      <c r="G46" t="s">
        <v>348</v>
      </c>
      <c r="H46" t="s">
        <v>600</v>
      </c>
      <c r="I46" t="s">
        <v>601</v>
      </c>
      <c r="J46">
        <v>0.15989999999999999</v>
      </c>
    </row>
    <row r="48" spans="1:10">
      <c r="A48" t="s">
        <v>270</v>
      </c>
      <c r="B48" t="s">
        <v>663</v>
      </c>
      <c r="C48" t="s">
        <v>664</v>
      </c>
      <c r="D48" t="s">
        <v>596</v>
      </c>
      <c r="E48" t="s">
        <v>597</v>
      </c>
      <c r="F48" t="s">
        <v>598</v>
      </c>
      <c r="G48" t="s">
        <v>349</v>
      </c>
      <c r="H48" t="s">
        <v>600</v>
      </c>
      <c r="I48" t="s">
        <v>601</v>
      </c>
      <c r="J48">
        <v>3.7400000000000003E-2</v>
      </c>
    </row>
    <row r="49" spans="1:10">
      <c r="A49" t="s">
        <v>270</v>
      </c>
      <c r="B49" t="s">
        <v>666</v>
      </c>
      <c r="C49" t="s">
        <v>664</v>
      </c>
      <c r="D49" t="s">
        <v>596</v>
      </c>
      <c r="E49" t="s">
        <v>605</v>
      </c>
      <c r="F49" t="s">
        <v>598</v>
      </c>
      <c r="G49" t="s">
        <v>349</v>
      </c>
      <c r="H49" t="s">
        <v>600</v>
      </c>
      <c r="I49" t="s">
        <v>601</v>
      </c>
      <c r="J49">
        <v>7.4999999999999997E-3</v>
      </c>
    </row>
    <row r="50" spans="1:10">
      <c r="A50" t="s">
        <v>270</v>
      </c>
      <c r="B50" t="s">
        <v>679</v>
      </c>
      <c r="C50" t="s">
        <v>664</v>
      </c>
      <c r="D50" t="s">
        <v>680</v>
      </c>
      <c r="E50" t="s">
        <v>597</v>
      </c>
      <c r="F50" t="s">
        <v>598</v>
      </c>
      <c r="G50" t="s">
        <v>349</v>
      </c>
      <c r="H50" t="s">
        <v>600</v>
      </c>
      <c r="I50" t="s">
        <v>601</v>
      </c>
      <c r="J50">
        <v>1.4826999999999999</v>
      </c>
    </row>
    <row r="51" spans="1:10">
      <c r="A51" t="s">
        <v>270</v>
      </c>
      <c r="B51" t="s">
        <v>681</v>
      </c>
      <c r="C51" t="s">
        <v>664</v>
      </c>
      <c r="D51" t="s">
        <v>680</v>
      </c>
      <c r="E51" t="s">
        <v>605</v>
      </c>
      <c r="F51" t="s">
        <v>598</v>
      </c>
      <c r="G51" t="s">
        <v>349</v>
      </c>
      <c r="H51" t="s">
        <v>600</v>
      </c>
      <c r="I51" t="s">
        <v>601</v>
      </c>
      <c r="J51">
        <v>0.15989999999999999</v>
      </c>
    </row>
    <row r="55" spans="1:10">
      <c r="A55" s="2" t="s">
        <v>2239</v>
      </c>
      <c r="B55" t="s">
        <v>2240</v>
      </c>
      <c r="C55">
        <f>-J21/C4*365</f>
        <v>-1.5605899357601711</v>
      </c>
    </row>
    <row r="56" spans="1:10">
      <c r="A56" s="2" t="s">
        <v>2241</v>
      </c>
      <c r="B56" t="s">
        <v>2240</v>
      </c>
      <c r="C56">
        <f>-SUM(J23:J26)/C4*365</f>
        <v>-1.3361188436830833</v>
      </c>
    </row>
    <row r="57" spans="1:10">
      <c r="A57" s="2" t="s">
        <v>2242</v>
      </c>
      <c r="B57" t="s">
        <v>2240</v>
      </c>
      <c r="C57">
        <f>-SUM(J28:J31)/C4*365</f>
        <v>-0.57376124197002143</v>
      </c>
    </row>
    <row r="58" spans="1:10">
      <c r="A58" s="2" t="s">
        <v>2243</v>
      </c>
      <c r="B58" t="s">
        <v>2240</v>
      </c>
      <c r="C58">
        <f>-SUM(J33:J36)/C4*365</f>
        <v>-0.47403104925053535</v>
      </c>
    </row>
    <row r="59" spans="1:10">
      <c r="A59" s="2" t="s">
        <v>2244</v>
      </c>
      <c r="B59" t="s">
        <v>2240</v>
      </c>
      <c r="C59">
        <f>-SUM(J38:J41)/C4*365</f>
        <v>-0.26675481798715206</v>
      </c>
    </row>
    <row r="60" spans="1:10">
      <c r="A60" s="2" t="s">
        <v>2245</v>
      </c>
      <c r="B60" t="s">
        <v>2240</v>
      </c>
      <c r="C60">
        <f>-SUM(J43:J46)/C4*365</f>
        <v>-1.3189239828693788</v>
      </c>
    </row>
    <row r="61" spans="1:10">
      <c r="A61" s="2" t="s">
        <v>2246</v>
      </c>
      <c r="B61" t="s">
        <v>2240</v>
      </c>
      <c r="C61">
        <f>-J14/C4*365</f>
        <v>-1.3189239828693788</v>
      </c>
    </row>
    <row r="62" spans="1:10">
      <c r="A62" s="2" t="s">
        <v>2247</v>
      </c>
      <c r="B62" t="s">
        <v>2240</v>
      </c>
      <c r="C62">
        <f>-SUM(J48:J51)/C4*365</f>
        <v>-1.3189239828693788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F971D-B4D1-4ACA-8C3F-813DEA0C93C6}">
  <sheetPr>
    <tabColor rgb="FFFFC000"/>
  </sheetPr>
  <dimension ref="A1:XFD338"/>
  <sheetViews>
    <sheetView topLeftCell="A316" workbookViewId="0">
      <selection activeCell="H334" sqref="H334:H337"/>
    </sheetView>
  </sheetViews>
  <sheetFormatPr defaultRowHeight="15"/>
  <cols>
    <col min="3" max="3" width="39.140625" bestFit="1" customWidth="1"/>
    <col min="4" max="4" width="9.28515625" customWidth="1"/>
    <col min="5" max="5" width="9.42578125" customWidth="1"/>
    <col min="6" max="6" width="8.7109375" customWidth="1"/>
    <col min="7" max="7" width="12.7109375" customWidth="1"/>
    <col min="8" max="8" width="9.5703125" customWidth="1"/>
    <col min="9" max="9" width="15.7109375" customWidth="1"/>
    <col min="10" max="10" width="10.7109375" bestFit="1" customWidth="1"/>
    <col min="33" max="33" width="10.7109375" bestFit="1" customWidth="1"/>
    <col min="34" max="42" width="9.7109375" customWidth="1"/>
    <col min="43" max="132" width="10.7109375" customWidth="1"/>
    <col min="133" max="1032" width="11.7109375" customWidth="1"/>
    <col min="1033" max="10032" width="12.7109375" customWidth="1"/>
    <col min="10033" max="16384" width="13.7109375" customWidth="1"/>
  </cols>
  <sheetData>
    <row r="1" spans="1:33">
      <c r="A1" t="s">
        <v>569</v>
      </c>
      <c r="B1" t="s">
        <v>570</v>
      </c>
      <c r="C1" t="s">
        <v>571</v>
      </c>
      <c r="D1" t="s">
        <v>572</v>
      </c>
      <c r="E1" t="s">
        <v>573</v>
      </c>
      <c r="F1" t="s">
        <v>574</v>
      </c>
      <c r="G1" t="s">
        <v>575</v>
      </c>
      <c r="H1" t="s">
        <v>576</v>
      </c>
      <c r="I1" t="s">
        <v>577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592</v>
      </c>
      <c r="Q1" t="s">
        <v>593</v>
      </c>
      <c r="R1" t="s">
        <v>2248</v>
      </c>
      <c r="S1" t="s">
        <v>2249</v>
      </c>
      <c r="T1" t="s">
        <v>2250</v>
      </c>
      <c r="U1" t="s">
        <v>2251</v>
      </c>
      <c r="V1" t="s">
        <v>2252</v>
      </c>
      <c r="W1" t="s">
        <v>2253</v>
      </c>
      <c r="X1" t="s">
        <v>2254</v>
      </c>
      <c r="Y1" t="s">
        <v>2255</v>
      </c>
      <c r="Z1" t="s">
        <v>2256</v>
      </c>
      <c r="AA1" t="s">
        <v>2257</v>
      </c>
      <c r="AB1" t="s">
        <v>2258</v>
      </c>
      <c r="AC1" t="s">
        <v>2259</v>
      </c>
      <c r="AD1" t="s">
        <v>2260</v>
      </c>
      <c r="AE1" t="s">
        <v>2261</v>
      </c>
      <c r="AF1" t="s">
        <v>2262</v>
      </c>
      <c r="AG1" t="s">
        <v>2263</v>
      </c>
    </row>
    <row r="2" spans="1:33">
      <c r="A2" t="s">
        <v>2264</v>
      </c>
      <c r="B2" t="s">
        <v>2265</v>
      </c>
      <c r="C2" t="s">
        <v>1382</v>
      </c>
      <c r="D2" t="s">
        <v>1311</v>
      </c>
      <c r="E2" t="s">
        <v>597</v>
      </c>
      <c r="F2" t="s">
        <v>598</v>
      </c>
      <c r="G2" t="s">
        <v>478</v>
      </c>
      <c r="H2" t="s">
        <v>2266</v>
      </c>
      <c r="I2" t="s">
        <v>2267</v>
      </c>
      <c r="J2">
        <v>5.4790000000000002E-5</v>
      </c>
      <c r="K2">
        <v>5.4790000000000002E-5</v>
      </c>
      <c r="L2">
        <v>5.4790000000000002E-5</v>
      </c>
      <c r="M2">
        <v>5.4790000000000002E-5</v>
      </c>
      <c r="N2">
        <v>5.4790000000000002E-5</v>
      </c>
      <c r="O2">
        <v>5.4790000000000002E-5</v>
      </c>
      <c r="P2">
        <v>5.4790000000000002E-5</v>
      </c>
      <c r="Q2">
        <v>5.4790000000000002E-5</v>
      </c>
      <c r="R2">
        <v>5.4790000000000002E-5</v>
      </c>
      <c r="S2">
        <v>5.4790000000000002E-5</v>
      </c>
      <c r="T2">
        <v>5.4790000000000002E-5</v>
      </c>
      <c r="U2">
        <v>5.4790000000000002E-5</v>
      </c>
      <c r="V2">
        <v>5.4790000000000002E-5</v>
      </c>
      <c r="W2">
        <v>5.4790000000000002E-5</v>
      </c>
      <c r="X2">
        <v>5.4790000000000002E-5</v>
      </c>
      <c r="Y2">
        <v>5.4790000000000002E-5</v>
      </c>
      <c r="Z2">
        <v>5.4790000000000002E-5</v>
      </c>
      <c r="AA2">
        <v>5.4790000000000002E-5</v>
      </c>
      <c r="AB2">
        <v>5.4790000000000002E-5</v>
      </c>
      <c r="AC2">
        <v>5.4790000000000002E-5</v>
      </c>
      <c r="AD2">
        <v>5.4790000000000002E-5</v>
      </c>
      <c r="AE2">
        <v>5.4790000000000002E-5</v>
      </c>
      <c r="AF2">
        <v>5.4790000000000002E-5</v>
      </c>
      <c r="AG2">
        <v>5.4790000000000002E-5</v>
      </c>
    </row>
    <row r="3" spans="1:33">
      <c r="A3" t="s">
        <v>2264</v>
      </c>
      <c r="B3" t="s">
        <v>2268</v>
      </c>
      <c r="C3" t="s">
        <v>1382</v>
      </c>
      <c r="D3" t="s">
        <v>648</v>
      </c>
      <c r="E3" t="s">
        <v>920</v>
      </c>
      <c r="F3" t="s">
        <v>598</v>
      </c>
      <c r="G3" t="s">
        <v>478</v>
      </c>
      <c r="H3" t="s">
        <v>2266</v>
      </c>
      <c r="I3" t="s">
        <v>2267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</row>
    <row r="4" spans="1:33">
      <c r="J4">
        <f>SUBTOTAL(109,Table2[2023])</f>
        <v>5.4790000000000002E-5</v>
      </c>
      <c r="K4">
        <f>SUBTOTAL(109,Table2[2024])</f>
        <v>5.4790000000000002E-5</v>
      </c>
      <c r="L4">
        <f>SUBTOTAL(109,Table2[2025])</f>
        <v>5.4790000000000002E-5</v>
      </c>
      <c r="M4">
        <f>SUBTOTAL(109,Table2[2026])</f>
        <v>5.4790000000000002E-5</v>
      </c>
      <c r="N4">
        <f>SUBTOTAL(109,Table2[2027])</f>
        <v>5.4790000000000002E-5</v>
      </c>
      <c r="O4">
        <f>SUBTOTAL(109,Table2[2028])</f>
        <v>5.4790000000000002E-5</v>
      </c>
      <c r="P4">
        <f>SUBTOTAL(109,Table2[2029])</f>
        <v>5.4790000000000002E-5</v>
      </c>
      <c r="Q4">
        <f>SUBTOTAL(109,Table2[2030])</f>
        <v>5.4790000000000002E-5</v>
      </c>
      <c r="R4">
        <f>SUBTOTAL(109,Table2[2031])</f>
        <v>5.4790000000000002E-5</v>
      </c>
      <c r="S4">
        <f>SUBTOTAL(109,Table2[2032])</f>
        <v>5.4790000000000002E-5</v>
      </c>
      <c r="T4">
        <f>SUBTOTAL(109,Table2[2033])</f>
        <v>5.4790000000000002E-5</v>
      </c>
      <c r="U4">
        <f>SUBTOTAL(109,Table2[2034])</f>
        <v>5.4790000000000002E-5</v>
      </c>
      <c r="V4">
        <f>SUBTOTAL(109,Table2[2035])</f>
        <v>5.4790000000000002E-5</v>
      </c>
      <c r="W4">
        <f>SUBTOTAL(109,Table2[2036])</f>
        <v>5.4790000000000002E-5</v>
      </c>
      <c r="X4">
        <f>SUBTOTAL(109,Table2[2037])</f>
        <v>5.4790000000000002E-5</v>
      </c>
      <c r="Y4">
        <f>SUBTOTAL(109,Table2[2038])</f>
        <v>5.4790000000000002E-5</v>
      </c>
      <c r="Z4">
        <f>SUBTOTAL(109,Table2[2039])</f>
        <v>5.4790000000000002E-5</v>
      </c>
      <c r="AA4">
        <f>SUBTOTAL(109,Table2[2040])</f>
        <v>5.4790000000000002E-5</v>
      </c>
      <c r="AB4">
        <f>SUBTOTAL(109,Table2[2041])</f>
        <v>5.4790000000000002E-5</v>
      </c>
      <c r="AC4">
        <f>SUBTOTAL(109,Table2[2042])</f>
        <v>5.4790000000000002E-5</v>
      </c>
      <c r="AD4">
        <f>SUBTOTAL(109,Table2[2043])</f>
        <v>5.4790000000000002E-5</v>
      </c>
      <c r="AE4">
        <f>SUBTOTAL(109,Table2[2044])</f>
        <v>5.4790000000000002E-5</v>
      </c>
      <c r="AF4">
        <f>SUBTOTAL(109,Table2[2045])</f>
        <v>5.4790000000000002E-5</v>
      </c>
      <c r="AG4">
        <f>SUBTOTAL(109,Table2[2046])</f>
        <v>5.4790000000000002E-5</v>
      </c>
    </row>
    <row r="6" spans="1:33">
      <c r="A6" t="s">
        <v>569</v>
      </c>
      <c r="B6" t="s">
        <v>570</v>
      </c>
      <c r="C6" t="s">
        <v>571</v>
      </c>
      <c r="D6" t="s">
        <v>572</v>
      </c>
      <c r="E6" t="s">
        <v>573</v>
      </c>
      <c r="F6" t="s">
        <v>574</v>
      </c>
      <c r="G6" t="s">
        <v>575</v>
      </c>
      <c r="H6" t="s">
        <v>576</v>
      </c>
      <c r="I6" t="s">
        <v>577</v>
      </c>
      <c r="J6" t="s">
        <v>586</v>
      </c>
      <c r="K6" t="s">
        <v>587</v>
      </c>
      <c r="L6" t="s">
        <v>588</v>
      </c>
      <c r="M6" t="s">
        <v>589</v>
      </c>
      <c r="N6" t="s">
        <v>590</v>
      </c>
      <c r="O6" t="s">
        <v>591</v>
      </c>
      <c r="P6" t="s">
        <v>592</v>
      </c>
      <c r="Q6" t="s">
        <v>593</v>
      </c>
      <c r="R6" t="s">
        <v>2248</v>
      </c>
      <c r="S6" t="s">
        <v>2249</v>
      </c>
      <c r="T6" t="s">
        <v>2250</v>
      </c>
      <c r="U6" t="s">
        <v>2251</v>
      </c>
      <c r="V6" t="s">
        <v>2252</v>
      </c>
      <c r="W6" t="s">
        <v>2253</v>
      </c>
      <c r="X6" t="s">
        <v>2254</v>
      </c>
      <c r="Y6" t="s">
        <v>2255</v>
      </c>
      <c r="Z6" t="s">
        <v>2256</v>
      </c>
      <c r="AA6" t="s">
        <v>2257</v>
      </c>
      <c r="AB6" t="s">
        <v>2258</v>
      </c>
      <c r="AC6" t="s">
        <v>2259</v>
      </c>
      <c r="AD6" t="s">
        <v>2260</v>
      </c>
      <c r="AE6" t="s">
        <v>2261</v>
      </c>
      <c r="AF6" t="s">
        <v>2262</v>
      </c>
      <c r="AG6" t="s">
        <v>2263</v>
      </c>
    </row>
    <row r="7" spans="1:33">
      <c r="A7" t="s">
        <v>2269</v>
      </c>
      <c r="B7" t="s">
        <v>2270</v>
      </c>
      <c r="C7" t="s">
        <v>710</v>
      </c>
      <c r="D7" t="s">
        <v>596</v>
      </c>
      <c r="E7" t="s">
        <v>597</v>
      </c>
      <c r="F7" t="s">
        <v>598</v>
      </c>
      <c r="G7" t="s">
        <v>478</v>
      </c>
      <c r="H7" t="s">
        <v>2266</v>
      </c>
      <c r="I7" t="s">
        <v>2267</v>
      </c>
      <c r="J7">
        <v>7.0380800000000004E-3</v>
      </c>
      <c r="K7">
        <v>7.0637900000000003E-3</v>
      </c>
      <c r="L7">
        <v>7.08737E-3</v>
      </c>
      <c r="M7">
        <v>7.1109500000000004E-3</v>
      </c>
      <c r="N7">
        <v>7.1366700000000003E-3</v>
      </c>
      <c r="O7">
        <v>7.1623900000000002E-3</v>
      </c>
      <c r="P7">
        <v>7.1859699999999999E-3</v>
      </c>
      <c r="Q7">
        <v>7.21384E-3</v>
      </c>
      <c r="R7">
        <v>7.21384E-3</v>
      </c>
      <c r="S7">
        <v>7.21384E-3</v>
      </c>
      <c r="T7">
        <v>7.21384E-3</v>
      </c>
      <c r="U7">
        <v>7.21384E-3</v>
      </c>
      <c r="V7">
        <v>7.21384E-3</v>
      </c>
      <c r="W7">
        <v>7.21384E-3</v>
      </c>
      <c r="X7">
        <v>7.21384E-3</v>
      </c>
      <c r="Y7">
        <v>7.21384E-3</v>
      </c>
      <c r="Z7">
        <v>7.21384E-3</v>
      </c>
      <c r="AA7">
        <v>7.21384E-3</v>
      </c>
      <c r="AB7">
        <v>7.21384E-3</v>
      </c>
      <c r="AC7">
        <v>7.21384E-3</v>
      </c>
      <c r="AD7">
        <v>7.21384E-3</v>
      </c>
      <c r="AE7">
        <v>7.21384E-3</v>
      </c>
      <c r="AF7">
        <v>7.21384E-3</v>
      </c>
      <c r="AG7">
        <v>7.21384E-3</v>
      </c>
    </row>
    <row r="8" spans="1:33">
      <c r="A8" t="s">
        <v>2269</v>
      </c>
      <c r="B8" t="s">
        <v>2271</v>
      </c>
      <c r="C8" t="s">
        <v>710</v>
      </c>
      <c r="D8" t="s">
        <v>596</v>
      </c>
      <c r="E8" t="s">
        <v>605</v>
      </c>
      <c r="F8" t="s">
        <v>598</v>
      </c>
      <c r="G8" t="s">
        <v>478</v>
      </c>
      <c r="H8" t="s">
        <v>2266</v>
      </c>
      <c r="I8" t="s">
        <v>2267</v>
      </c>
      <c r="J8">
        <v>1.73782229</v>
      </c>
      <c r="K8">
        <v>1.75632626</v>
      </c>
      <c r="L8">
        <v>1.77328804</v>
      </c>
      <c r="M8">
        <v>1.79024998</v>
      </c>
      <c r="N8">
        <v>1.80875374</v>
      </c>
      <c r="O8">
        <v>1.8272575</v>
      </c>
      <c r="P8">
        <v>1.84421949</v>
      </c>
      <c r="Q8">
        <v>1.86426545</v>
      </c>
      <c r="R8">
        <v>1.86426545</v>
      </c>
      <c r="S8">
        <v>1.86426545</v>
      </c>
      <c r="T8">
        <v>1.86426545</v>
      </c>
      <c r="U8">
        <v>1.86426545</v>
      </c>
      <c r="V8">
        <v>1.86426545</v>
      </c>
      <c r="W8">
        <v>1.86426545</v>
      </c>
      <c r="X8">
        <v>1.86426545</v>
      </c>
      <c r="Y8">
        <v>1.86426545</v>
      </c>
      <c r="Z8">
        <v>1.86426545</v>
      </c>
      <c r="AA8">
        <v>1.86426545</v>
      </c>
      <c r="AB8">
        <v>1.86426545</v>
      </c>
      <c r="AC8">
        <v>1.86426545</v>
      </c>
      <c r="AD8">
        <v>1.86426545</v>
      </c>
      <c r="AE8">
        <v>1.86426545</v>
      </c>
      <c r="AF8">
        <v>1.86426545</v>
      </c>
      <c r="AG8">
        <v>1.86426545</v>
      </c>
    </row>
    <row r="9" spans="1:33">
      <c r="A9" t="s">
        <v>2269</v>
      </c>
      <c r="B9" t="s">
        <v>2272</v>
      </c>
      <c r="C9" t="s">
        <v>710</v>
      </c>
      <c r="D9" t="s">
        <v>596</v>
      </c>
      <c r="E9" t="s">
        <v>611</v>
      </c>
      <c r="F9" t="s">
        <v>598</v>
      </c>
      <c r="G9" t="s">
        <v>478</v>
      </c>
      <c r="H9" t="s">
        <v>2266</v>
      </c>
      <c r="I9" t="s">
        <v>2267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</row>
    <row r="10" spans="1:33">
      <c r="A10" t="s">
        <v>2269</v>
      </c>
      <c r="B10" t="s">
        <v>2273</v>
      </c>
      <c r="C10" t="s">
        <v>710</v>
      </c>
      <c r="D10" t="s">
        <v>596</v>
      </c>
      <c r="E10" t="s">
        <v>713</v>
      </c>
      <c r="F10" t="s">
        <v>598</v>
      </c>
      <c r="G10" t="s">
        <v>478</v>
      </c>
      <c r="H10" t="s">
        <v>2266</v>
      </c>
      <c r="I10" t="s">
        <v>2267</v>
      </c>
      <c r="J10">
        <v>5.0186019999999998E-2</v>
      </c>
      <c r="K10">
        <v>5.0720389999999997E-2</v>
      </c>
      <c r="L10">
        <v>5.1210230000000002E-2</v>
      </c>
      <c r="M10">
        <v>5.1700070000000001E-2</v>
      </c>
      <c r="N10">
        <v>5.2234429999999998E-2</v>
      </c>
      <c r="O10">
        <v>5.2768790000000003E-2</v>
      </c>
      <c r="P10">
        <v>5.3258640000000003E-2</v>
      </c>
      <c r="Q10">
        <v>5.3837530000000001E-2</v>
      </c>
      <c r="R10">
        <v>5.3837530000000001E-2</v>
      </c>
      <c r="S10">
        <v>5.3837530000000001E-2</v>
      </c>
      <c r="T10">
        <v>5.3837530000000001E-2</v>
      </c>
      <c r="U10">
        <v>5.3837530000000001E-2</v>
      </c>
      <c r="V10">
        <v>5.3837530000000001E-2</v>
      </c>
      <c r="W10">
        <v>5.3837530000000001E-2</v>
      </c>
      <c r="X10">
        <v>5.3837530000000001E-2</v>
      </c>
      <c r="Y10">
        <v>5.3837530000000001E-2</v>
      </c>
      <c r="Z10">
        <v>5.3837530000000001E-2</v>
      </c>
      <c r="AA10">
        <v>5.3837530000000001E-2</v>
      </c>
      <c r="AB10">
        <v>5.3837530000000001E-2</v>
      </c>
      <c r="AC10">
        <v>5.3837530000000001E-2</v>
      </c>
      <c r="AD10">
        <v>5.3837530000000001E-2</v>
      </c>
      <c r="AE10">
        <v>5.3837530000000001E-2</v>
      </c>
      <c r="AF10">
        <v>5.3837530000000001E-2</v>
      </c>
      <c r="AG10">
        <v>5.3837530000000001E-2</v>
      </c>
    </row>
    <row r="11" spans="1:33">
      <c r="A11" t="s">
        <v>2269</v>
      </c>
      <c r="B11" t="s">
        <v>2274</v>
      </c>
      <c r="C11" t="s">
        <v>710</v>
      </c>
      <c r="D11" t="s">
        <v>596</v>
      </c>
      <c r="E11" t="s">
        <v>669</v>
      </c>
      <c r="F11" t="s">
        <v>598</v>
      </c>
      <c r="G11" t="s">
        <v>478</v>
      </c>
      <c r="H11" t="s">
        <v>2266</v>
      </c>
      <c r="I11" t="s">
        <v>2267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</row>
    <row r="12" spans="1:33">
      <c r="A12" t="s">
        <v>2269</v>
      </c>
      <c r="B12" t="s">
        <v>2275</v>
      </c>
      <c r="C12" t="s">
        <v>710</v>
      </c>
      <c r="D12" t="s">
        <v>671</v>
      </c>
      <c r="E12" t="s">
        <v>672</v>
      </c>
      <c r="F12" t="s">
        <v>598</v>
      </c>
      <c r="G12" t="s">
        <v>478</v>
      </c>
      <c r="H12" t="s">
        <v>2266</v>
      </c>
      <c r="I12" t="s">
        <v>2267</v>
      </c>
      <c r="J12">
        <v>1.7196389999999999E-2</v>
      </c>
      <c r="K12">
        <v>1.7196389999999999E-2</v>
      </c>
      <c r="L12">
        <v>1.7196389999999999E-2</v>
      </c>
      <c r="M12">
        <v>1.7196389999999999E-2</v>
      </c>
      <c r="N12">
        <v>1.7196389999999999E-2</v>
      </c>
      <c r="O12">
        <v>1.7196389999999999E-2</v>
      </c>
      <c r="P12">
        <v>1.7196389999999999E-2</v>
      </c>
      <c r="Q12">
        <v>1.7196389999999999E-2</v>
      </c>
      <c r="R12">
        <v>1.7196389999999999E-2</v>
      </c>
      <c r="S12">
        <v>1.7196389999999999E-2</v>
      </c>
      <c r="T12">
        <v>1.7196389999999999E-2</v>
      </c>
      <c r="U12">
        <v>1.7196389999999999E-2</v>
      </c>
      <c r="V12">
        <v>1.7196389999999999E-2</v>
      </c>
      <c r="W12">
        <v>1.7196389999999999E-2</v>
      </c>
      <c r="X12">
        <v>1.7196389999999999E-2</v>
      </c>
      <c r="Y12">
        <v>1.7196389999999999E-2</v>
      </c>
      <c r="Z12">
        <v>1.7196389999999999E-2</v>
      </c>
      <c r="AA12">
        <v>1.7196389999999999E-2</v>
      </c>
      <c r="AB12">
        <v>1.7196389999999999E-2</v>
      </c>
      <c r="AC12">
        <v>1.7196389999999999E-2</v>
      </c>
      <c r="AD12">
        <v>1.7196389999999999E-2</v>
      </c>
      <c r="AE12">
        <v>1.7196389999999999E-2</v>
      </c>
      <c r="AF12">
        <v>1.7196389999999999E-2</v>
      </c>
      <c r="AG12">
        <v>1.7196389999999999E-2</v>
      </c>
    </row>
    <row r="13" spans="1:33">
      <c r="A13" t="s">
        <v>2269</v>
      </c>
      <c r="B13" t="s">
        <v>2276</v>
      </c>
      <c r="C13" t="s">
        <v>710</v>
      </c>
      <c r="D13" t="s">
        <v>671</v>
      </c>
      <c r="E13" t="s">
        <v>597</v>
      </c>
      <c r="F13" t="s">
        <v>598</v>
      </c>
      <c r="G13" t="s">
        <v>478</v>
      </c>
      <c r="H13" t="s">
        <v>2266</v>
      </c>
      <c r="I13" t="s">
        <v>2267</v>
      </c>
      <c r="J13">
        <v>0.16486376</v>
      </c>
      <c r="K13">
        <v>0.16661919</v>
      </c>
      <c r="L13">
        <v>0.16822830999999999</v>
      </c>
      <c r="M13">
        <v>0.16983746</v>
      </c>
      <c r="N13">
        <v>0.17159288</v>
      </c>
      <c r="O13">
        <v>0.17334830000000001</v>
      </c>
      <c r="P13">
        <v>0.17495743999999999</v>
      </c>
      <c r="Q13">
        <v>0.17685914999999999</v>
      </c>
      <c r="R13">
        <v>0.17685914999999999</v>
      </c>
      <c r="S13">
        <v>0.17685914999999999</v>
      </c>
      <c r="T13">
        <v>0.17685914999999999</v>
      </c>
      <c r="U13">
        <v>0.17685914999999999</v>
      </c>
      <c r="V13">
        <v>0.17685914999999999</v>
      </c>
      <c r="W13">
        <v>0.17685914999999999</v>
      </c>
      <c r="X13">
        <v>0.17685914999999999</v>
      </c>
      <c r="Y13">
        <v>0.17685914999999999</v>
      </c>
      <c r="Z13">
        <v>0.17685914999999999</v>
      </c>
      <c r="AA13">
        <v>0.17685914999999999</v>
      </c>
      <c r="AB13">
        <v>0.17685914999999999</v>
      </c>
      <c r="AC13">
        <v>0.17685914999999999</v>
      </c>
      <c r="AD13">
        <v>0.17685914999999999</v>
      </c>
      <c r="AE13">
        <v>0.17685914999999999</v>
      </c>
      <c r="AF13">
        <v>0.17685914999999999</v>
      </c>
      <c r="AG13">
        <v>0.17685914999999999</v>
      </c>
    </row>
    <row r="14" spans="1:33">
      <c r="A14" t="s">
        <v>2269</v>
      </c>
      <c r="B14" t="s">
        <v>2277</v>
      </c>
      <c r="C14" t="s">
        <v>710</v>
      </c>
      <c r="D14" t="s">
        <v>671</v>
      </c>
      <c r="E14" t="s">
        <v>605</v>
      </c>
      <c r="F14" t="s">
        <v>598</v>
      </c>
      <c r="G14" t="s">
        <v>478</v>
      </c>
      <c r="H14" t="s">
        <v>2266</v>
      </c>
      <c r="I14" t="s">
        <v>2267</v>
      </c>
      <c r="J14">
        <v>4.3403976399999999</v>
      </c>
      <c r="K14">
        <v>4.3866132699999998</v>
      </c>
      <c r="L14">
        <v>4.42897696</v>
      </c>
      <c r="M14">
        <v>4.4713414299999998</v>
      </c>
      <c r="N14">
        <v>4.5175564499999998</v>
      </c>
      <c r="O14">
        <v>4.5637714799999998</v>
      </c>
      <c r="P14">
        <v>4.6061359499999996</v>
      </c>
      <c r="Q14">
        <v>4.6562029899999997</v>
      </c>
      <c r="R14">
        <v>4.6562029899999997</v>
      </c>
      <c r="S14">
        <v>4.6562029899999997</v>
      </c>
      <c r="T14">
        <v>4.6562029899999997</v>
      </c>
      <c r="U14">
        <v>4.6562029899999997</v>
      </c>
      <c r="V14">
        <v>4.6562029899999997</v>
      </c>
      <c r="W14">
        <v>4.6562029899999997</v>
      </c>
      <c r="X14">
        <v>4.6562029899999997</v>
      </c>
      <c r="Y14">
        <v>4.6562029899999997</v>
      </c>
      <c r="Z14">
        <v>4.6562029899999997</v>
      </c>
      <c r="AA14">
        <v>4.6562029899999997</v>
      </c>
      <c r="AB14">
        <v>4.6562029899999997</v>
      </c>
      <c r="AC14">
        <v>4.6562029899999997</v>
      </c>
      <c r="AD14">
        <v>4.6562029899999997</v>
      </c>
      <c r="AE14">
        <v>4.6562029899999997</v>
      </c>
      <c r="AF14">
        <v>4.6562029899999997</v>
      </c>
      <c r="AG14">
        <v>4.6562029899999997</v>
      </c>
    </row>
    <row r="15" spans="1:33">
      <c r="A15" t="s">
        <v>2269</v>
      </c>
      <c r="B15" t="s">
        <v>2278</v>
      </c>
      <c r="C15" t="s">
        <v>710</v>
      </c>
      <c r="D15" t="s">
        <v>671</v>
      </c>
      <c r="E15" t="s">
        <v>688</v>
      </c>
      <c r="F15" t="s">
        <v>598</v>
      </c>
      <c r="G15" t="s">
        <v>478</v>
      </c>
      <c r="H15" t="s">
        <v>2266</v>
      </c>
      <c r="I15" t="s">
        <v>2267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</row>
    <row r="16" spans="1:33">
      <c r="A16" t="s">
        <v>2269</v>
      </c>
      <c r="B16" t="s">
        <v>2279</v>
      </c>
      <c r="C16" t="s">
        <v>710</v>
      </c>
      <c r="D16" t="s">
        <v>621</v>
      </c>
      <c r="E16" t="s">
        <v>597</v>
      </c>
      <c r="F16" t="s">
        <v>598</v>
      </c>
      <c r="G16" t="s">
        <v>478</v>
      </c>
      <c r="H16" t="s">
        <v>2266</v>
      </c>
      <c r="I16" t="s">
        <v>2267</v>
      </c>
      <c r="J16">
        <v>5.7118000000000004E-3</v>
      </c>
      <c r="K16">
        <v>5.7675499999999998E-3</v>
      </c>
      <c r="L16">
        <v>5.8283600000000003E-3</v>
      </c>
      <c r="M16">
        <v>5.8841099999999997E-3</v>
      </c>
      <c r="N16">
        <v>5.9449300000000002E-3</v>
      </c>
      <c r="O16">
        <v>6.0006800000000004E-3</v>
      </c>
      <c r="P16">
        <v>6.0615E-3</v>
      </c>
      <c r="Q16">
        <v>6.1223199999999997E-3</v>
      </c>
      <c r="R16">
        <v>6.1223199999999997E-3</v>
      </c>
      <c r="S16">
        <v>6.1223199999999997E-3</v>
      </c>
      <c r="T16">
        <v>6.1223199999999997E-3</v>
      </c>
      <c r="U16">
        <v>6.1223199999999997E-3</v>
      </c>
      <c r="V16">
        <v>6.1223199999999997E-3</v>
      </c>
      <c r="W16">
        <v>6.1223199999999997E-3</v>
      </c>
      <c r="X16">
        <v>6.1223199999999997E-3</v>
      </c>
      <c r="Y16">
        <v>6.1223199999999997E-3</v>
      </c>
      <c r="Z16">
        <v>6.1223199999999997E-3</v>
      </c>
      <c r="AA16">
        <v>6.1223199999999997E-3</v>
      </c>
      <c r="AB16">
        <v>6.1223199999999997E-3</v>
      </c>
      <c r="AC16">
        <v>6.1223199999999997E-3</v>
      </c>
      <c r="AD16">
        <v>6.1223199999999997E-3</v>
      </c>
      <c r="AE16">
        <v>6.1223199999999997E-3</v>
      </c>
      <c r="AF16">
        <v>6.1223199999999997E-3</v>
      </c>
      <c r="AG16">
        <v>6.1223199999999997E-3</v>
      </c>
    </row>
    <row r="17" spans="1:16384">
      <c r="A17" t="s">
        <v>2269</v>
      </c>
      <c r="B17" t="s">
        <v>2280</v>
      </c>
      <c r="C17" t="s">
        <v>710</v>
      </c>
      <c r="D17" t="s">
        <v>621</v>
      </c>
      <c r="E17" t="s">
        <v>692</v>
      </c>
      <c r="F17" t="s">
        <v>598</v>
      </c>
      <c r="G17" t="s">
        <v>478</v>
      </c>
      <c r="H17" t="s">
        <v>2266</v>
      </c>
      <c r="I17" t="s">
        <v>2267</v>
      </c>
      <c r="J17">
        <v>2.04222E-3</v>
      </c>
      <c r="K17">
        <v>2.0627699999999998E-3</v>
      </c>
      <c r="L17">
        <v>2.0850500000000002E-3</v>
      </c>
      <c r="M17">
        <v>2.1072700000000001E-3</v>
      </c>
      <c r="N17">
        <v>2.1268200000000002E-3</v>
      </c>
      <c r="O17">
        <v>2.1488800000000001E-3</v>
      </c>
      <c r="P17">
        <v>2.1682200000000002E-3</v>
      </c>
      <c r="Q17">
        <v>2.1901300000000002E-3</v>
      </c>
      <c r="R17">
        <v>2.1901300000000002E-3</v>
      </c>
      <c r="S17">
        <v>2.1901300000000002E-3</v>
      </c>
      <c r="T17">
        <v>2.1901300000000002E-3</v>
      </c>
      <c r="U17">
        <v>2.1901300000000002E-3</v>
      </c>
      <c r="V17">
        <v>2.1901300000000002E-3</v>
      </c>
      <c r="W17">
        <v>2.1901300000000002E-3</v>
      </c>
      <c r="X17">
        <v>2.1901300000000002E-3</v>
      </c>
      <c r="Y17">
        <v>2.1901300000000002E-3</v>
      </c>
      <c r="Z17">
        <v>2.1901300000000002E-3</v>
      </c>
      <c r="AA17">
        <v>2.1901300000000002E-3</v>
      </c>
      <c r="AB17">
        <v>2.1901300000000002E-3</v>
      </c>
      <c r="AC17">
        <v>2.1901300000000002E-3</v>
      </c>
      <c r="AD17">
        <v>2.1901300000000002E-3</v>
      </c>
      <c r="AE17">
        <v>2.1901300000000002E-3</v>
      </c>
      <c r="AF17">
        <v>2.1901300000000002E-3</v>
      </c>
      <c r="AG17">
        <v>2.1901300000000002E-3</v>
      </c>
    </row>
    <row r="18" spans="1:16384">
      <c r="A18" t="s">
        <v>2269</v>
      </c>
      <c r="B18" t="s">
        <v>2281</v>
      </c>
      <c r="C18" t="s">
        <v>710</v>
      </c>
      <c r="D18" t="s">
        <v>621</v>
      </c>
      <c r="E18" t="s">
        <v>638</v>
      </c>
      <c r="F18" t="s">
        <v>598</v>
      </c>
      <c r="G18" t="s">
        <v>478</v>
      </c>
      <c r="H18" t="s">
        <v>2266</v>
      </c>
      <c r="I18" t="s">
        <v>2267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</row>
    <row r="19" spans="1:16384">
      <c r="A19" t="s">
        <v>2269</v>
      </c>
      <c r="B19" t="s">
        <v>2282</v>
      </c>
      <c r="C19" t="s">
        <v>710</v>
      </c>
      <c r="D19" t="s">
        <v>632</v>
      </c>
      <c r="E19" t="s">
        <v>597</v>
      </c>
      <c r="F19" t="s">
        <v>598</v>
      </c>
      <c r="G19" t="s">
        <v>478</v>
      </c>
      <c r="H19" t="s">
        <v>2266</v>
      </c>
      <c r="I19" t="s">
        <v>2267</v>
      </c>
      <c r="J19">
        <v>1.22985637</v>
      </c>
      <c r="K19">
        <v>1.2447765200000001</v>
      </c>
      <c r="L19">
        <v>1.2596969</v>
      </c>
      <c r="M19">
        <v>1.27461717</v>
      </c>
      <c r="N19">
        <v>1.28953743</v>
      </c>
      <c r="O19">
        <v>1.3055233900000001</v>
      </c>
      <c r="P19">
        <v>1.32150934</v>
      </c>
      <c r="Q19">
        <v>1.3364297199999999</v>
      </c>
      <c r="R19">
        <v>1.3364297199999999</v>
      </c>
      <c r="S19">
        <v>1.3364297199999999</v>
      </c>
      <c r="T19">
        <v>1.3364297199999999</v>
      </c>
      <c r="U19">
        <v>1.3364297199999999</v>
      </c>
      <c r="V19">
        <v>1.3364297199999999</v>
      </c>
      <c r="W19">
        <v>1.3364297199999999</v>
      </c>
      <c r="X19">
        <v>1.3364297199999999</v>
      </c>
      <c r="Y19">
        <v>1.3364297199999999</v>
      </c>
      <c r="Z19">
        <v>1.3364297199999999</v>
      </c>
      <c r="AA19">
        <v>1.3364297199999999</v>
      </c>
      <c r="AB19">
        <v>1.3364297199999999</v>
      </c>
      <c r="AC19">
        <v>1.3364297199999999</v>
      </c>
      <c r="AD19">
        <v>1.3364297199999999</v>
      </c>
      <c r="AE19">
        <v>1.3364297199999999</v>
      </c>
      <c r="AF19">
        <v>1.3364297199999999</v>
      </c>
      <c r="AG19">
        <v>1.3364297199999999</v>
      </c>
    </row>
    <row r="20" spans="1:16384">
      <c r="A20" t="s">
        <v>2269</v>
      </c>
      <c r="B20" t="s">
        <v>2283</v>
      </c>
      <c r="C20" t="s">
        <v>710</v>
      </c>
      <c r="D20" t="s">
        <v>632</v>
      </c>
      <c r="E20" t="s">
        <v>642</v>
      </c>
      <c r="F20" t="s">
        <v>598</v>
      </c>
      <c r="G20" t="s">
        <v>478</v>
      </c>
      <c r="H20" t="s">
        <v>2266</v>
      </c>
      <c r="I20" t="s">
        <v>2267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</row>
    <row r="21" spans="1:16384">
      <c r="A21" t="s">
        <v>2269</v>
      </c>
      <c r="B21" t="s">
        <v>2284</v>
      </c>
      <c r="C21" t="s">
        <v>710</v>
      </c>
      <c r="D21" t="s">
        <v>632</v>
      </c>
      <c r="E21" t="s">
        <v>723</v>
      </c>
      <c r="F21" t="s">
        <v>598</v>
      </c>
      <c r="G21" t="s">
        <v>478</v>
      </c>
      <c r="H21" t="s">
        <v>2266</v>
      </c>
      <c r="I21" t="s">
        <v>2267</v>
      </c>
      <c r="J21">
        <v>0.14458646</v>
      </c>
      <c r="K21">
        <v>0.14634053</v>
      </c>
      <c r="L21">
        <v>0.14809460999999999</v>
      </c>
      <c r="M21">
        <v>0.1498487</v>
      </c>
      <c r="N21">
        <v>0.15160277999999999</v>
      </c>
      <c r="O21">
        <v>0.15348215000000001</v>
      </c>
      <c r="P21">
        <v>0.15536152</v>
      </c>
      <c r="Q21">
        <v>0.15711560999999999</v>
      </c>
      <c r="R21">
        <v>0.15711560999999999</v>
      </c>
      <c r="S21">
        <v>0.15711560999999999</v>
      </c>
      <c r="T21">
        <v>0.15711560999999999</v>
      </c>
      <c r="U21">
        <v>0.15711560999999999</v>
      </c>
      <c r="V21">
        <v>0.15711560999999999</v>
      </c>
      <c r="W21">
        <v>0.15711560999999999</v>
      </c>
      <c r="X21">
        <v>0.15711560999999999</v>
      </c>
      <c r="Y21">
        <v>0.15711560999999999</v>
      </c>
      <c r="Z21">
        <v>0.15711560999999999</v>
      </c>
      <c r="AA21">
        <v>0.15711560999999999</v>
      </c>
      <c r="AB21">
        <v>0.15711560999999999</v>
      </c>
      <c r="AC21">
        <v>0.15711560999999999</v>
      </c>
      <c r="AD21">
        <v>0.15711560999999999</v>
      </c>
      <c r="AE21">
        <v>0.15711560999999999</v>
      </c>
      <c r="AF21">
        <v>0.15711560999999999</v>
      </c>
      <c r="AG21">
        <v>0.15711560999999999</v>
      </c>
    </row>
    <row r="22" spans="1:16384">
      <c r="A22" t="s">
        <v>2269</v>
      </c>
      <c r="B22" t="s">
        <v>2285</v>
      </c>
      <c r="C22" t="s">
        <v>710</v>
      </c>
      <c r="D22" t="s">
        <v>640</v>
      </c>
      <c r="E22" t="s">
        <v>597</v>
      </c>
      <c r="F22" t="s">
        <v>598</v>
      </c>
      <c r="G22" t="s">
        <v>478</v>
      </c>
      <c r="H22" t="s">
        <v>2266</v>
      </c>
      <c r="I22" t="s">
        <v>2267</v>
      </c>
      <c r="J22">
        <v>6.1047589999999999E-2</v>
      </c>
      <c r="K22">
        <v>6.159063E-2</v>
      </c>
      <c r="L22">
        <v>6.2079740000000001E-2</v>
      </c>
      <c r="M22">
        <v>6.2568840000000001E-2</v>
      </c>
      <c r="N22">
        <v>6.3111879999999995E-2</v>
      </c>
      <c r="O22">
        <v>6.4123849999999996E-2</v>
      </c>
      <c r="P22">
        <v>6.4612950000000002E-2</v>
      </c>
      <c r="Q22">
        <v>6.5157809999999997E-2</v>
      </c>
      <c r="R22">
        <v>6.5157809999999997E-2</v>
      </c>
      <c r="S22">
        <v>6.5157809999999997E-2</v>
      </c>
      <c r="T22">
        <v>6.5157809999999997E-2</v>
      </c>
      <c r="U22">
        <v>6.5157809999999997E-2</v>
      </c>
      <c r="V22">
        <v>6.5157809999999997E-2</v>
      </c>
      <c r="W22">
        <v>6.5157809999999997E-2</v>
      </c>
      <c r="X22">
        <v>6.5157809999999997E-2</v>
      </c>
      <c r="Y22">
        <v>6.5157809999999997E-2</v>
      </c>
      <c r="Z22">
        <v>6.5157809999999997E-2</v>
      </c>
      <c r="AA22">
        <v>6.5157809999999997E-2</v>
      </c>
      <c r="AB22">
        <v>6.5157809999999997E-2</v>
      </c>
      <c r="AC22">
        <v>6.5157809999999997E-2</v>
      </c>
      <c r="AD22">
        <v>6.5157809999999997E-2</v>
      </c>
      <c r="AE22">
        <v>6.5157809999999997E-2</v>
      </c>
      <c r="AF22">
        <v>6.5157809999999997E-2</v>
      </c>
      <c r="AG22">
        <v>6.5157809999999997E-2</v>
      </c>
    </row>
    <row r="23" spans="1:16384">
      <c r="A23" t="s">
        <v>2269</v>
      </c>
      <c r="B23" t="s">
        <v>2286</v>
      </c>
      <c r="C23" t="s">
        <v>710</v>
      </c>
      <c r="D23" t="s">
        <v>640</v>
      </c>
      <c r="E23" t="s">
        <v>642</v>
      </c>
      <c r="F23" t="s">
        <v>598</v>
      </c>
      <c r="G23" t="s">
        <v>478</v>
      </c>
      <c r="H23" t="s">
        <v>2266</v>
      </c>
      <c r="I23" t="s">
        <v>2267</v>
      </c>
      <c r="J23">
        <v>6.5087699999999997E-3</v>
      </c>
      <c r="K23">
        <v>6.5780999999999999E-3</v>
      </c>
      <c r="L23">
        <v>6.6416399999999999E-3</v>
      </c>
      <c r="M23">
        <v>6.7051899999999998E-3</v>
      </c>
      <c r="N23">
        <v>6.7745100000000001E-3</v>
      </c>
      <c r="O23">
        <v>6.8438300000000004E-3</v>
      </c>
      <c r="P23">
        <v>6.9073800000000003E-3</v>
      </c>
      <c r="Q23">
        <v>6.9824700000000002E-3</v>
      </c>
      <c r="R23">
        <v>6.9824700000000002E-3</v>
      </c>
      <c r="S23">
        <v>6.9824700000000002E-3</v>
      </c>
      <c r="T23">
        <v>6.9824700000000002E-3</v>
      </c>
      <c r="U23">
        <v>6.9824700000000002E-3</v>
      </c>
      <c r="V23">
        <v>6.9824700000000002E-3</v>
      </c>
      <c r="W23">
        <v>6.9824700000000002E-3</v>
      </c>
      <c r="X23">
        <v>6.9824700000000002E-3</v>
      </c>
      <c r="Y23">
        <v>6.9824700000000002E-3</v>
      </c>
      <c r="Z23">
        <v>6.9824700000000002E-3</v>
      </c>
      <c r="AA23">
        <v>6.9824700000000002E-3</v>
      </c>
      <c r="AB23">
        <v>6.9824700000000002E-3</v>
      </c>
      <c r="AC23">
        <v>6.9824700000000002E-3</v>
      </c>
      <c r="AD23">
        <v>6.9824700000000002E-3</v>
      </c>
      <c r="AE23">
        <v>6.9824700000000002E-3</v>
      </c>
      <c r="AF23">
        <v>6.9824700000000002E-3</v>
      </c>
      <c r="AG23">
        <v>6.9824700000000002E-3</v>
      </c>
    </row>
    <row r="24" spans="1:16384">
      <c r="A24" t="s">
        <v>2269</v>
      </c>
      <c r="B24" t="s">
        <v>2287</v>
      </c>
      <c r="C24" t="s">
        <v>710</v>
      </c>
      <c r="D24" t="s">
        <v>640</v>
      </c>
      <c r="E24" t="s">
        <v>605</v>
      </c>
      <c r="F24" t="s">
        <v>598</v>
      </c>
      <c r="G24" t="s">
        <v>478</v>
      </c>
      <c r="H24" t="s">
        <v>2266</v>
      </c>
      <c r="I24" t="s">
        <v>2267</v>
      </c>
      <c r="J24">
        <v>3.9128879999999998E-2</v>
      </c>
      <c r="K24">
        <v>3.9474549999999997E-2</v>
      </c>
      <c r="L24">
        <v>3.9785639999999997E-2</v>
      </c>
      <c r="M24">
        <v>4.0096739999999999E-2</v>
      </c>
      <c r="N24">
        <v>4.0442409999999998E-2</v>
      </c>
      <c r="O24">
        <v>4.1099160000000003E-2</v>
      </c>
      <c r="P24">
        <v>4.1410250000000003E-2</v>
      </c>
      <c r="Q24">
        <v>4.1755920000000002E-2</v>
      </c>
      <c r="R24">
        <v>4.1755920000000002E-2</v>
      </c>
      <c r="S24">
        <v>4.1755920000000002E-2</v>
      </c>
      <c r="T24">
        <v>4.1755920000000002E-2</v>
      </c>
      <c r="U24">
        <v>4.1755920000000002E-2</v>
      </c>
      <c r="V24">
        <v>4.1755920000000002E-2</v>
      </c>
      <c r="W24">
        <v>4.1755920000000002E-2</v>
      </c>
      <c r="X24">
        <v>4.1755920000000002E-2</v>
      </c>
      <c r="Y24">
        <v>4.1755920000000002E-2</v>
      </c>
      <c r="Z24">
        <v>4.1755920000000002E-2</v>
      </c>
      <c r="AA24">
        <v>4.1755920000000002E-2</v>
      </c>
      <c r="AB24">
        <v>4.1755920000000002E-2</v>
      </c>
      <c r="AC24">
        <v>4.1755920000000002E-2</v>
      </c>
      <c r="AD24">
        <v>4.1755920000000002E-2</v>
      </c>
      <c r="AE24">
        <v>4.1755920000000002E-2</v>
      </c>
      <c r="AF24">
        <v>4.1755920000000002E-2</v>
      </c>
      <c r="AG24">
        <v>4.1755920000000002E-2</v>
      </c>
    </row>
    <row r="25" spans="1:16384">
      <c r="A25" t="s">
        <v>2269</v>
      </c>
      <c r="B25" t="s">
        <v>2288</v>
      </c>
      <c r="C25" t="s">
        <v>710</v>
      </c>
      <c r="D25" t="s">
        <v>640</v>
      </c>
      <c r="E25" t="s">
        <v>613</v>
      </c>
      <c r="F25" t="s">
        <v>598</v>
      </c>
      <c r="G25" t="s">
        <v>478</v>
      </c>
      <c r="H25" t="s">
        <v>2266</v>
      </c>
      <c r="I25" t="s">
        <v>2267</v>
      </c>
      <c r="J25">
        <v>0.31416722000000002</v>
      </c>
      <c r="K25">
        <v>0.31697725999999998</v>
      </c>
      <c r="L25">
        <v>0.32006831000000002</v>
      </c>
      <c r="M25">
        <v>0.32287840000000001</v>
      </c>
      <c r="N25">
        <v>0.32596942000000001</v>
      </c>
      <c r="O25">
        <v>0.32906052000000002</v>
      </c>
      <c r="P25">
        <v>0.33215157000000001</v>
      </c>
      <c r="Q25">
        <v>0.33524263999999998</v>
      </c>
      <c r="R25">
        <v>0.33524263999999998</v>
      </c>
      <c r="S25">
        <v>0.33524263999999998</v>
      </c>
      <c r="T25">
        <v>0.33524263999999998</v>
      </c>
      <c r="U25">
        <v>0.33524263999999998</v>
      </c>
      <c r="V25">
        <v>0.33524263999999998</v>
      </c>
      <c r="W25">
        <v>0.33524263999999998</v>
      </c>
      <c r="X25">
        <v>0.33524263999999998</v>
      </c>
      <c r="Y25">
        <v>0.33524263999999998</v>
      </c>
      <c r="Z25">
        <v>0.33524263999999998</v>
      </c>
      <c r="AA25">
        <v>0.33524263999999998</v>
      </c>
      <c r="AB25">
        <v>0.33524263999999998</v>
      </c>
      <c r="AC25">
        <v>0.33524263999999998</v>
      </c>
      <c r="AD25">
        <v>0.33524263999999998</v>
      </c>
      <c r="AE25">
        <v>0.33524263999999998</v>
      </c>
      <c r="AF25">
        <v>0.33524263999999998</v>
      </c>
      <c r="AG25">
        <v>0.33524263999999998</v>
      </c>
    </row>
    <row r="26" spans="1:16384">
      <c r="J26">
        <f>SUBTOTAL(109,Table10[2023])</f>
        <v>8.1205534900000007</v>
      </c>
      <c r="K26">
        <f>SUBTOTAL(109,Table10[2024])</f>
        <v>8.2081071999999988</v>
      </c>
      <c r="L26">
        <f>SUBTOTAL(109,Table10[2025])</f>
        <v>8.2902675499999994</v>
      </c>
      <c r="M26">
        <f>SUBTOTAL(109,Table10[2026])</f>
        <v>8.3721426999999995</v>
      </c>
      <c r="N26">
        <f>SUBTOTAL(109,Table10[2027])</f>
        <v>8.4599807399999989</v>
      </c>
      <c r="O26">
        <f>SUBTOTAL(109,Table10[2028])</f>
        <v>8.5497873099999993</v>
      </c>
      <c r="P26">
        <f>SUBTOTAL(109,Table10[2029])</f>
        <v>8.6331366099999993</v>
      </c>
      <c r="Q26">
        <f>SUBTOTAL(109,Table10[2030])</f>
        <v>8.726571970000002</v>
      </c>
      <c r="R26">
        <f>SUBTOTAL(109,Table10[2031])</f>
        <v>8.726571970000002</v>
      </c>
      <c r="S26">
        <f>SUBTOTAL(109,Table10[2032])</f>
        <v>8.726571970000002</v>
      </c>
      <c r="T26">
        <f>SUBTOTAL(109,Table10[2033])</f>
        <v>8.726571970000002</v>
      </c>
      <c r="U26">
        <f>SUBTOTAL(109,Table10[2034])</f>
        <v>8.726571970000002</v>
      </c>
      <c r="V26">
        <f>SUBTOTAL(109,Table10[2035])</f>
        <v>8.726571970000002</v>
      </c>
      <c r="W26">
        <f>SUBTOTAL(109,Table10[2036])</f>
        <v>8.726571970000002</v>
      </c>
      <c r="X26">
        <f>SUBTOTAL(109,Table10[2037])</f>
        <v>8.726571970000002</v>
      </c>
      <c r="Y26">
        <f>SUBTOTAL(109,Table10[2038])</f>
        <v>8.726571970000002</v>
      </c>
      <c r="Z26">
        <f>SUBTOTAL(109,Table10[2039])</f>
        <v>8.726571970000002</v>
      </c>
      <c r="AA26">
        <f>SUBTOTAL(109,Table10[2040])</f>
        <v>8.726571970000002</v>
      </c>
      <c r="AB26">
        <f>SUBTOTAL(109,Table10[2041])</f>
        <v>8.726571970000002</v>
      </c>
      <c r="AC26">
        <f>SUBTOTAL(109,Table10[2042])</f>
        <v>8.726571970000002</v>
      </c>
      <c r="AD26">
        <f>SUBTOTAL(109,Table10[2043])</f>
        <v>8.726571970000002</v>
      </c>
      <c r="AE26">
        <f>SUBTOTAL(109,Table10[2044])</f>
        <v>8.726571970000002</v>
      </c>
      <c r="AF26">
        <f>SUBTOTAL(109,Table10[2045])</f>
        <v>8.726571970000002</v>
      </c>
      <c r="AG26">
        <f>SUBTOTAL(109,Table10[2046])</f>
        <v>8.726571970000002</v>
      </c>
    </row>
    <row r="29" spans="1:16384">
      <c r="A29" t="s">
        <v>569</v>
      </c>
      <c r="B29" t="s">
        <v>570</v>
      </c>
      <c r="C29" t="s">
        <v>571</v>
      </c>
      <c r="D29" t="s">
        <v>572</v>
      </c>
      <c r="E29" t="s">
        <v>573</v>
      </c>
      <c r="F29" t="s">
        <v>574</v>
      </c>
      <c r="G29" t="s">
        <v>575</v>
      </c>
      <c r="H29" t="s">
        <v>576</v>
      </c>
      <c r="I29" t="s">
        <v>577</v>
      </c>
      <c r="J29" t="s">
        <v>586</v>
      </c>
      <c r="K29" t="s">
        <v>587</v>
      </c>
      <c r="L29" t="s">
        <v>588</v>
      </c>
      <c r="M29" t="s">
        <v>589</v>
      </c>
      <c r="N29" t="s">
        <v>590</v>
      </c>
      <c r="O29" t="s">
        <v>591</v>
      </c>
      <c r="P29" t="s">
        <v>592</v>
      </c>
      <c r="Q29" t="s">
        <v>593</v>
      </c>
      <c r="R29" t="s">
        <v>2248</v>
      </c>
      <c r="S29" t="s">
        <v>2249</v>
      </c>
      <c r="T29" t="s">
        <v>2250</v>
      </c>
      <c r="U29" t="s">
        <v>2251</v>
      </c>
      <c r="V29" t="s">
        <v>2252</v>
      </c>
      <c r="W29" t="s">
        <v>2253</v>
      </c>
      <c r="X29" t="s">
        <v>2254</v>
      </c>
      <c r="Y29" t="s">
        <v>2255</v>
      </c>
      <c r="Z29" t="s">
        <v>2256</v>
      </c>
      <c r="AA29" t="s">
        <v>2257</v>
      </c>
      <c r="AB29" t="s">
        <v>2258</v>
      </c>
      <c r="AC29" t="s">
        <v>2259</v>
      </c>
      <c r="AD29" t="s">
        <v>2260</v>
      </c>
      <c r="AE29" t="s">
        <v>2261</v>
      </c>
      <c r="AF29" t="s">
        <v>2262</v>
      </c>
      <c r="AG29" t="s">
        <v>2263</v>
      </c>
      <c r="AH29" t="s">
        <v>2289</v>
      </c>
      <c r="AI29" t="s">
        <v>2290</v>
      </c>
      <c r="AJ29" t="s">
        <v>2291</v>
      </c>
      <c r="AK29" t="s">
        <v>2292</v>
      </c>
      <c r="AL29" t="s">
        <v>2293</v>
      </c>
      <c r="AM29" t="s">
        <v>2294</v>
      </c>
      <c r="AN29" t="s">
        <v>2295</v>
      </c>
      <c r="AO29" t="s">
        <v>2296</v>
      </c>
      <c r="AP29" t="s">
        <v>2297</v>
      </c>
      <c r="AQ29" t="s">
        <v>2298</v>
      </c>
      <c r="AR29" t="s">
        <v>2299</v>
      </c>
      <c r="AS29" t="s">
        <v>2300</v>
      </c>
      <c r="AT29" t="s">
        <v>2301</v>
      </c>
      <c r="AU29" t="s">
        <v>2302</v>
      </c>
      <c r="AV29" t="s">
        <v>2303</v>
      </c>
      <c r="AW29" t="s">
        <v>2304</v>
      </c>
      <c r="AX29" t="s">
        <v>2305</v>
      </c>
      <c r="AY29" t="s">
        <v>2306</v>
      </c>
      <c r="AZ29" t="s">
        <v>2307</v>
      </c>
      <c r="BA29" t="s">
        <v>2308</v>
      </c>
      <c r="BB29" t="s">
        <v>2309</v>
      </c>
      <c r="BC29" t="s">
        <v>2310</v>
      </c>
      <c r="BD29" t="s">
        <v>2311</v>
      </c>
      <c r="BE29" t="s">
        <v>2312</v>
      </c>
      <c r="BF29" t="s">
        <v>2313</v>
      </c>
      <c r="BG29" t="s">
        <v>2314</v>
      </c>
      <c r="BH29" t="s">
        <v>2315</v>
      </c>
      <c r="BI29" t="s">
        <v>2316</v>
      </c>
      <c r="BJ29" t="s">
        <v>2317</v>
      </c>
      <c r="BK29" t="s">
        <v>2318</v>
      </c>
      <c r="BL29" t="s">
        <v>2319</v>
      </c>
      <c r="BM29" t="s">
        <v>2320</v>
      </c>
      <c r="BN29" t="s">
        <v>2321</v>
      </c>
      <c r="BO29" t="s">
        <v>2322</v>
      </c>
      <c r="BP29" t="s">
        <v>2323</v>
      </c>
      <c r="BQ29" t="s">
        <v>2324</v>
      </c>
      <c r="BR29" t="s">
        <v>2325</v>
      </c>
      <c r="BS29" t="s">
        <v>2326</v>
      </c>
      <c r="BT29" t="s">
        <v>2327</v>
      </c>
      <c r="BU29" t="s">
        <v>2328</v>
      </c>
      <c r="BV29" t="s">
        <v>2329</v>
      </c>
      <c r="BW29" t="s">
        <v>2330</v>
      </c>
      <c r="BX29" t="s">
        <v>2331</v>
      </c>
      <c r="BY29" t="s">
        <v>2332</v>
      </c>
      <c r="BZ29" t="s">
        <v>2333</v>
      </c>
      <c r="CA29" t="s">
        <v>2334</v>
      </c>
      <c r="CB29" t="s">
        <v>2335</v>
      </c>
      <c r="CC29" t="s">
        <v>2336</v>
      </c>
      <c r="CD29" t="s">
        <v>2337</v>
      </c>
      <c r="CE29" t="s">
        <v>2338</v>
      </c>
      <c r="CF29" t="s">
        <v>2339</v>
      </c>
      <c r="CG29" t="s">
        <v>2340</v>
      </c>
      <c r="CH29" t="s">
        <v>2341</v>
      </c>
      <c r="CI29" t="s">
        <v>2342</v>
      </c>
      <c r="CJ29" t="s">
        <v>2343</v>
      </c>
      <c r="CK29" t="s">
        <v>2344</v>
      </c>
      <c r="CL29" t="s">
        <v>2345</v>
      </c>
      <c r="CM29" t="s">
        <v>2346</v>
      </c>
      <c r="CN29" t="s">
        <v>2347</v>
      </c>
      <c r="CO29" t="s">
        <v>2348</v>
      </c>
      <c r="CP29" t="s">
        <v>2349</v>
      </c>
      <c r="CQ29" t="s">
        <v>2350</v>
      </c>
      <c r="CR29" t="s">
        <v>2351</v>
      </c>
      <c r="CS29" t="s">
        <v>2352</v>
      </c>
      <c r="CT29" t="s">
        <v>2353</v>
      </c>
      <c r="CU29" t="s">
        <v>2354</v>
      </c>
      <c r="CV29" t="s">
        <v>2355</v>
      </c>
      <c r="CW29" t="s">
        <v>2356</v>
      </c>
      <c r="CX29" t="s">
        <v>2357</v>
      </c>
      <c r="CY29" t="s">
        <v>2358</v>
      </c>
      <c r="CZ29" t="s">
        <v>2359</v>
      </c>
      <c r="DA29" t="s">
        <v>2360</v>
      </c>
      <c r="DB29" t="s">
        <v>2361</v>
      </c>
      <c r="DC29" t="s">
        <v>2362</v>
      </c>
      <c r="DD29" t="s">
        <v>2363</v>
      </c>
      <c r="DE29" t="s">
        <v>2364</v>
      </c>
      <c r="DF29" t="s">
        <v>2365</v>
      </c>
      <c r="DG29" t="s">
        <v>2366</v>
      </c>
      <c r="DH29" t="s">
        <v>2367</v>
      </c>
      <c r="DI29" t="s">
        <v>2368</v>
      </c>
      <c r="DJ29" t="s">
        <v>2369</v>
      </c>
      <c r="DK29" t="s">
        <v>2370</v>
      </c>
      <c r="DL29" t="s">
        <v>2371</v>
      </c>
      <c r="DM29" t="s">
        <v>2372</v>
      </c>
      <c r="DN29" t="s">
        <v>2373</v>
      </c>
      <c r="DO29" t="s">
        <v>2374</v>
      </c>
      <c r="DP29" t="s">
        <v>2375</v>
      </c>
      <c r="DQ29" t="s">
        <v>2376</v>
      </c>
      <c r="DR29" t="s">
        <v>2377</v>
      </c>
      <c r="DS29" t="s">
        <v>2378</v>
      </c>
      <c r="DT29" t="s">
        <v>2379</v>
      </c>
      <c r="DU29" t="s">
        <v>2380</v>
      </c>
      <c r="DV29" t="s">
        <v>2381</v>
      </c>
      <c r="DW29" t="s">
        <v>2382</v>
      </c>
      <c r="DX29" t="s">
        <v>2383</v>
      </c>
      <c r="DY29" t="s">
        <v>2384</v>
      </c>
      <c r="DZ29" t="s">
        <v>2385</v>
      </c>
      <c r="EA29" t="s">
        <v>2386</v>
      </c>
      <c r="EB29" t="s">
        <v>2387</v>
      </c>
      <c r="EC29" t="s">
        <v>2388</v>
      </c>
      <c r="ED29" t="s">
        <v>2389</v>
      </c>
      <c r="EE29" t="s">
        <v>2390</v>
      </c>
      <c r="EF29" t="s">
        <v>2391</v>
      </c>
      <c r="EG29" t="s">
        <v>2392</v>
      </c>
      <c r="EH29" t="s">
        <v>2393</v>
      </c>
      <c r="EI29" t="s">
        <v>2394</v>
      </c>
      <c r="EJ29" t="s">
        <v>2395</v>
      </c>
      <c r="EK29" t="s">
        <v>2396</v>
      </c>
      <c r="EL29" t="s">
        <v>2397</v>
      </c>
      <c r="EM29" t="s">
        <v>2398</v>
      </c>
      <c r="EN29" t="s">
        <v>2399</v>
      </c>
      <c r="EO29" t="s">
        <v>2400</v>
      </c>
      <c r="EP29" t="s">
        <v>2401</v>
      </c>
      <c r="EQ29" t="s">
        <v>2402</v>
      </c>
      <c r="ER29" t="s">
        <v>2403</v>
      </c>
      <c r="ES29" t="s">
        <v>2404</v>
      </c>
      <c r="ET29" t="s">
        <v>2405</v>
      </c>
      <c r="EU29" t="s">
        <v>2406</v>
      </c>
      <c r="EV29" t="s">
        <v>2407</v>
      </c>
      <c r="EW29" t="s">
        <v>2408</v>
      </c>
      <c r="EX29" t="s">
        <v>2409</v>
      </c>
      <c r="EY29" t="s">
        <v>2410</v>
      </c>
      <c r="EZ29" t="s">
        <v>2411</v>
      </c>
      <c r="FA29" t="s">
        <v>2412</v>
      </c>
      <c r="FB29" t="s">
        <v>2413</v>
      </c>
      <c r="FC29" t="s">
        <v>2414</v>
      </c>
      <c r="FD29" t="s">
        <v>2415</v>
      </c>
      <c r="FE29" t="s">
        <v>2416</v>
      </c>
      <c r="FF29" t="s">
        <v>2417</v>
      </c>
      <c r="FG29" t="s">
        <v>2418</v>
      </c>
      <c r="FH29" t="s">
        <v>2419</v>
      </c>
      <c r="FI29" t="s">
        <v>2420</v>
      </c>
      <c r="FJ29" t="s">
        <v>2421</v>
      </c>
      <c r="FK29" t="s">
        <v>2422</v>
      </c>
      <c r="FL29" t="s">
        <v>2423</v>
      </c>
      <c r="FM29" t="s">
        <v>2424</v>
      </c>
      <c r="FN29" t="s">
        <v>2425</v>
      </c>
      <c r="FO29" t="s">
        <v>2426</v>
      </c>
      <c r="FP29" t="s">
        <v>2427</v>
      </c>
      <c r="FQ29" t="s">
        <v>2428</v>
      </c>
      <c r="FR29" t="s">
        <v>2429</v>
      </c>
      <c r="FS29" t="s">
        <v>2430</v>
      </c>
      <c r="FT29" t="s">
        <v>2431</v>
      </c>
      <c r="FU29" t="s">
        <v>2432</v>
      </c>
      <c r="FV29" t="s">
        <v>2433</v>
      </c>
      <c r="FW29" t="s">
        <v>2434</v>
      </c>
      <c r="FX29" t="s">
        <v>2435</v>
      </c>
      <c r="FY29" t="s">
        <v>2436</v>
      </c>
      <c r="FZ29" t="s">
        <v>2437</v>
      </c>
      <c r="GA29" t="s">
        <v>2438</v>
      </c>
      <c r="GB29" t="s">
        <v>2439</v>
      </c>
      <c r="GC29" t="s">
        <v>2440</v>
      </c>
      <c r="GD29" t="s">
        <v>2441</v>
      </c>
      <c r="GE29" t="s">
        <v>2442</v>
      </c>
      <c r="GF29" t="s">
        <v>2443</v>
      </c>
      <c r="GG29" t="s">
        <v>2444</v>
      </c>
      <c r="GH29" t="s">
        <v>2445</v>
      </c>
      <c r="GI29" t="s">
        <v>2446</v>
      </c>
      <c r="GJ29" t="s">
        <v>2447</v>
      </c>
      <c r="GK29" t="s">
        <v>2448</v>
      </c>
      <c r="GL29" t="s">
        <v>2449</v>
      </c>
      <c r="GM29" t="s">
        <v>2450</v>
      </c>
      <c r="GN29" t="s">
        <v>2451</v>
      </c>
      <c r="GO29" t="s">
        <v>2452</v>
      </c>
      <c r="GP29" t="s">
        <v>2453</v>
      </c>
      <c r="GQ29" t="s">
        <v>2454</v>
      </c>
      <c r="GR29" t="s">
        <v>2455</v>
      </c>
      <c r="GS29" t="s">
        <v>2456</v>
      </c>
      <c r="GT29" t="s">
        <v>2457</v>
      </c>
      <c r="GU29" t="s">
        <v>2458</v>
      </c>
      <c r="GV29" t="s">
        <v>2459</v>
      </c>
      <c r="GW29" t="s">
        <v>2460</v>
      </c>
      <c r="GX29" t="s">
        <v>2461</v>
      </c>
      <c r="GY29" t="s">
        <v>2462</v>
      </c>
      <c r="GZ29" t="s">
        <v>2463</v>
      </c>
      <c r="HA29" t="s">
        <v>2464</v>
      </c>
      <c r="HB29" t="s">
        <v>2465</v>
      </c>
      <c r="HC29" t="s">
        <v>2466</v>
      </c>
      <c r="HD29" t="s">
        <v>2467</v>
      </c>
      <c r="HE29" t="s">
        <v>2468</v>
      </c>
      <c r="HF29" t="s">
        <v>2469</v>
      </c>
      <c r="HG29" t="s">
        <v>2470</v>
      </c>
      <c r="HH29" t="s">
        <v>2471</v>
      </c>
      <c r="HI29" t="s">
        <v>2472</v>
      </c>
      <c r="HJ29" t="s">
        <v>2473</v>
      </c>
      <c r="HK29" t="s">
        <v>2474</v>
      </c>
      <c r="HL29" t="s">
        <v>2475</v>
      </c>
      <c r="HM29" t="s">
        <v>2476</v>
      </c>
      <c r="HN29" t="s">
        <v>2477</v>
      </c>
      <c r="HO29" t="s">
        <v>2478</v>
      </c>
      <c r="HP29" t="s">
        <v>2479</v>
      </c>
      <c r="HQ29" t="s">
        <v>2480</v>
      </c>
      <c r="HR29" t="s">
        <v>2481</v>
      </c>
      <c r="HS29" t="s">
        <v>2482</v>
      </c>
      <c r="HT29" t="s">
        <v>2483</v>
      </c>
      <c r="HU29" t="s">
        <v>2484</v>
      </c>
      <c r="HV29" t="s">
        <v>2485</v>
      </c>
      <c r="HW29" t="s">
        <v>2486</v>
      </c>
      <c r="HX29" t="s">
        <v>2487</v>
      </c>
      <c r="HY29" t="s">
        <v>2488</v>
      </c>
      <c r="HZ29" t="s">
        <v>2489</v>
      </c>
      <c r="IA29" t="s">
        <v>2490</v>
      </c>
      <c r="IB29" t="s">
        <v>2491</v>
      </c>
      <c r="IC29" t="s">
        <v>2492</v>
      </c>
      <c r="ID29" t="s">
        <v>2493</v>
      </c>
      <c r="IE29" t="s">
        <v>2494</v>
      </c>
      <c r="IF29" t="s">
        <v>2495</v>
      </c>
      <c r="IG29" t="s">
        <v>2496</v>
      </c>
      <c r="IH29" t="s">
        <v>2497</v>
      </c>
      <c r="II29" t="s">
        <v>2498</v>
      </c>
      <c r="IJ29" t="s">
        <v>2499</v>
      </c>
      <c r="IK29" t="s">
        <v>2500</v>
      </c>
      <c r="IL29" t="s">
        <v>2501</v>
      </c>
      <c r="IM29" t="s">
        <v>2502</v>
      </c>
      <c r="IN29" t="s">
        <v>2503</v>
      </c>
      <c r="IO29" t="s">
        <v>2504</v>
      </c>
      <c r="IP29" t="s">
        <v>2505</v>
      </c>
      <c r="IQ29" t="s">
        <v>2506</v>
      </c>
      <c r="IR29" t="s">
        <v>2507</v>
      </c>
      <c r="IS29" t="s">
        <v>2508</v>
      </c>
      <c r="IT29" t="s">
        <v>2509</v>
      </c>
      <c r="IU29" t="s">
        <v>2510</v>
      </c>
      <c r="IV29" t="s">
        <v>2511</v>
      </c>
      <c r="IW29" t="s">
        <v>2512</v>
      </c>
      <c r="IX29" t="s">
        <v>2513</v>
      </c>
      <c r="IY29" t="s">
        <v>2514</v>
      </c>
      <c r="IZ29" t="s">
        <v>2515</v>
      </c>
      <c r="JA29" t="s">
        <v>2516</v>
      </c>
      <c r="JB29" t="s">
        <v>2517</v>
      </c>
      <c r="JC29" t="s">
        <v>2518</v>
      </c>
      <c r="JD29" t="s">
        <v>2519</v>
      </c>
      <c r="JE29" t="s">
        <v>2520</v>
      </c>
      <c r="JF29" t="s">
        <v>2521</v>
      </c>
      <c r="JG29" t="s">
        <v>2522</v>
      </c>
      <c r="JH29" t="s">
        <v>2523</v>
      </c>
      <c r="JI29" t="s">
        <v>2524</v>
      </c>
      <c r="JJ29" t="s">
        <v>2525</v>
      </c>
      <c r="JK29" t="s">
        <v>2526</v>
      </c>
      <c r="JL29" t="s">
        <v>2527</v>
      </c>
      <c r="JM29" t="s">
        <v>2528</v>
      </c>
      <c r="JN29" t="s">
        <v>2529</v>
      </c>
      <c r="JO29" t="s">
        <v>2530</v>
      </c>
      <c r="JP29" t="s">
        <v>2531</v>
      </c>
      <c r="JQ29" t="s">
        <v>2532</v>
      </c>
      <c r="JR29" t="s">
        <v>2533</v>
      </c>
      <c r="JS29" t="s">
        <v>2534</v>
      </c>
      <c r="JT29" t="s">
        <v>2535</v>
      </c>
      <c r="JU29" t="s">
        <v>2536</v>
      </c>
      <c r="JV29" t="s">
        <v>2537</v>
      </c>
      <c r="JW29" t="s">
        <v>2538</v>
      </c>
      <c r="JX29" t="s">
        <v>2539</v>
      </c>
      <c r="JY29" t="s">
        <v>2540</v>
      </c>
      <c r="JZ29" t="s">
        <v>2541</v>
      </c>
      <c r="KA29" t="s">
        <v>2542</v>
      </c>
      <c r="KB29" t="s">
        <v>2543</v>
      </c>
      <c r="KC29" t="s">
        <v>2544</v>
      </c>
      <c r="KD29" t="s">
        <v>2545</v>
      </c>
      <c r="KE29" t="s">
        <v>2546</v>
      </c>
      <c r="KF29" t="s">
        <v>2547</v>
      </c>
      <c r="KG29" t="s">
        <v>2548</v>
      </c>
      <c r="KH29" t="s">
        <v>2549</v>
      </c>
      <c r="KI29" t="s">
        <v>2550</v>
      </c>
      <c r="KJ29" t="s">
        <v>2551</v>
      </c>
      <c r="KK29" t="s">
        <v>2552</v>
      </c>
      <c r="KL29" t="s">
        <v>2553</v>
      </c>
      <c r="KM29" t="s">
        <v>2554</v>
      </c>
      <c r="KN29" t="s">
        <v>2555</v>
      </c>
      <c r="KO29" t="s">
        <v>2556</v>
      </c>
      <c r="KP29" t="s">
        <v>2557</v>
      </c>
      <c r="KQ29" t="s">
        <v>2558</v>
      </c>
      <c r="KR29" t="s">
        <v>2559</v>
      </c>
      <c r="KS29" t="s">
        <v>2560</v>
      </c>
      <c r="KT29" t="s">
        <v>2561</v>
      </c>
      <c r="KU29" t="s">
        <v>2562</v>
      </c>
      <c r="KV29" t="s">
        <v>2563</v>
      </c>
      <c r="KW29" t="s">
        <v>2564</v>
      </c>
      <c r="KX29" t="s">
        <v>2565</v>
      </c>
      <c r="KY29" t="s">
        <v>2566</v>
      </c>
      <c r="KZ29" t="s">
        <v>2567</v>
      </c>
      <c r="LA29" t="s">
        <v>2568</v>
      </c>
      <c r="LB29" t="s">
        <v>2569</v>
      </c>
      <c r="LC29" t="s">
        <v>2570</v>
      </c>
      <c r="LD29" t="s">
        <v>2571</v>
      </c>
      <c r="LE29" t="s">
        <v>2572</v>
      </c>
      <c r="LF29" t="s">
        <v>2573</v>
      </c>
      <c r="LG29" t="s">
        <v>2574</v>
      </c>
      <c r="LH29" t="s">
        <v>2575</v>
      </c>
      <c r="LI29" t="s">
        <v>2576</v>
      </c>
      <c r="LJ29" t="s">
        <v>2577</v>
      </c>
      <c r="LK29" t="s">
        <v>2578</v>
      </c>
      <c r="LL29" t="s">
        <v>2579</v>
      </c>
      <c r="LM29" t="s">
        <v>2580</v>
      </c>
      <c r="LN29" t="s">
        <v>2581</v>
      </c>
      <c r="LO29" t="s">
        <v>2582</v>
      </c>
      <c r="LP29" t="s">
        <v>2583</v>
      </c>
      <c r="LQ29" t="s">
        <v>2584</v>
      </c>
      <c r="LR29" t="s">
        <v>2585</v>
      </c>
      <c r="LS29" t="s">
        <v>2586</v>
      </c>
      <c r="LT29" t="s">
        <v>2587</v>
      </c>
      <c r="LU29" t="s">
        <v>2588</v>
      </c>
      <c r="LV29" t="s">
        <v>2589</v>
      </c>
      <c r="LW29" t="s">
        <v>2590</v>
      </c>
      <c r="LX29" t="s">
        <v>2591</v>
      </c>
      <c r="LY29" t="s">
        <v>2592</v>
      </c>
      <c r="LZ29" t="s">
        <v>2593</v>
      </c>
      <c r="MA29" t="s">
        <v>2594</v>
      </c>
      <c r="MB29" t="s">
        <v>2595</v>
      </c>
      <c r="MC29" t="s">
        <v>2596</v>
      </c>
      <c r="MD29" t="s">
        <v>2597</v>
      </c>
      <c r="ME29" t="s">
        <v>2598</v>
      </c>
      <c r="MF29" t="s">
        <v>2599</v>
      </c>
      <c r="MG29" t="s">
        <v>2600</v>
      </c>
      <c r="MH29" t="s">
        <v>2601</v>
      </c>
      <c r="MI29" t="s">
        <v>2602</v>
      </c>
      <c r="MJ29" t="s">
        <v>2603</v>
      </c>
      <c r="MK29" t="s">
        <v>2604</v>
      </c>
      <c r="ML29" t="s">
        <v>2605</v>
      </c>
      <c r="MM29" t="s">
        <v>2606</v>
      </c>
      <c r="MN29" t="s">
        <v>2607</v>
      </c>
      <c r="MO29" t="s">
        <v>2608</v>
      </c>
      <c r="MP29" t="s">
        <v>2609</v>
      </c>
      <c r="MQ29" t="s">
        <v>2610</v>
      </c>
      <c r="MR29" t="s">
        <v>2611</v>
      </c>
      <c r="MS29" t="s">
        <v>2612</v>
      </c>
      <c r="MT29" t="s">
        <v>2613</v>
      </c>
      <c r="MU29" t="s">
        <v>2614</v>
      </c>
      <c r="MV29" t="s">
        <v>2615</v>
      </c>
      <c r="MW29" t="s">
        <v>2616</v>
      </c>
      <c r="MX29" t="s">
        <v>2617</v>
      </c>
      <c r="MY29" t="s">
        <v>2618</v>
      </c>
      <c r="MZ29" t="s">
        <v>2619</v>
      </c>
      <c r="NA29" t="s">
        <v>2620</v>
      </c>
      <c r="NB29" t="s">
        <v>2621</v>
      </c>
      <c r="NC29" t="s">
        <v>2622</v>
      </c>
      <c r="ND29" t="s">
        <v>2623</v>
      </c>
      <c r="NE29" t="s">
        <v>2624</v>
      </c>
      <c r="NF29" t="s">
        <v>2625</v>
      </c>
      <c r="NG29" t="s">
        <v>2626</v>
      </c>
      <c r="NH29" t="s">
        <v>2627</v>
      </c>
      <c r="NI29" t="s">
        <v>2628</v>
      </c>
      <c r="NJ29" t="s">
        <v>2629</v>
      </c>
      <c r="NK29" t="s">
        <v>2630</v>
      </c>
      <c r="NL29" t="s">
        <v>2631</v>
      </c>
      <c r="NM29" t="s">
        <v>2632</v>
      </c>
      <c r="NN29" t="s">
        <v>2633</v>
      </c>
      <c r="NO29" t="s">
        <v>2634</v>
      </c>
      <c r="NP29" t="s">
        <v>2635</v>
      </c>
      <c r="NQ29" t="s">
        <v>2636</v>
      </c>
      <c r="NR29" t="s">
        <v>2637</v>
      </c>
      <c r="NS29" t="s">
        <v>2638</v>
      </c>
      <c r="NT29" t="s">
        <v>2639</v>
      </c>
      <c r="NU29" t="s">
        <v>2640</v>
      </c>
      <c r="NV29" t="s">
        <v>2641</v>
      </c>
      <c r="NW29" t="s">
        <v>2642</v>
      </c>
      <c r="NX29" t="s">
        <v>2643</v>
      </c>
      <c r="NY29" t="s">
        <v>2644</v>
      </c>
      <c r="NZ29" t="s">
        <v>2645</v>
      </c>
      <c r="OA29" t="s">
        <v>2646</v>
      </c>
      <c r="OB29" t="s">
        <v>2647</v>
      </c>
      <c r="OC29" t="s">
        <v>2648</v>
      </c>
      <c r="OD29" t="s">
        <v>2649</v>
      </c>
      <c r="OE29" t="s">
        <v>2650</v>
      </c>
      <c r="OF29" t="s">
        <v>2651</v>
      </c>
      <c r="OG29" t="s">
        <v>2652</v>
      </c>
      <c r="OH29" t="s">
        <v>2653</v>
      </c>
      <c r="OI29" t="s">
        <v>2654</v>
      </c>
      <c r="OJ29" t="s">
        <v>2655</v>
      </c>
      <c r="OK29" t="s">
        <v>2656</v>
      </c>
      <c r="OL29" t="s">
        <v>2657</v>
      </c>
      <c r="OM29" t="s">
        <v>2658</v>
      </c>
      <c r="ON29" t="s">
        <v>2659</v>
      </c>
      <c r="OO29" t="s">
        <v>2660</v>
      </c>
      <c r="OP29" t="s">
        <v>2661</v>
      </c>
      <c r="OQ29" t="s">
        <v>2662</v>
      </c>
      <c r="OR29" t="s">
        <v>2663</v>
      </c>
      <c r="OS29" t="s">
        <v>2664</v>
      </c>
      <c r="OT29" t="s">
        <v>2665</v>
      </c>
      <c r="OU29" t="s">
        <v>2666</v>
      </c>
      <c r="OV29" t="s">
        <v>2667</v>
      </c>
      <c r="OW29" t="s">
        <v>2668</v>
      </c>
      <c r="OX29" t="s">
        <v>2669</v>
      </c>
      <c r="OY29" t="s">
        <v>2670</v>
      </c>
      <c r="OZ29" t="s">
        <v>2671</v>
      </c>
      <c r="PA29" t="s">
        <v>2672</v>
      </c>
      <c r="PB29" t="s">
        <v>2673</v>
      </c>
      <c r="PC29" t="s">
        <v>2674</v>
      </c>
      <c r="PD29" t="s">
        <v>2675</v>
      </c>
      <c r="PE29" t="s">
        <v>2676</v>
      </c>
      <c r="PF29" t="s">
        <v>2677</v>
      </c>
      <c r="PG29" t="s">
        <v>2678</v>
      </c>
      <c r="PH29" t="s">
        <v>2679</v>
      </c>
      <c r="PI29" t="s">
        <v>2680</v>
      </c>
      <c r="PJ29" t="s">
        <v>2681</v>
      </c>
      <c r="PK29" t="s">
        <v>2682</v>
      </c>
      <c r="PL29" t="s">
        <v>2683</v>
      </c>
      <c r="PM29" t="s">
        <v>2684</v>
      </c>
      <c r="PN29" t="s">
        <v>2685</v>
      </c>
      <c r="PO29" t="s">
        <v>2686</v>
      </c>
      <c r="PP29" t="s">
        <v>2687</v>
      </c>
      <c r="PQ29" t="s">
        <v>2688</v>
      </c>
      <c r="PR29" t="s">
        <v>2689</v>
      </c>
      <c r="PS29" t="s">
        <v>2690</v>
      </c>
      <c r="PT29" t="s">
        <v>2691</v>
      </c>
      <c r="PU29" t="s">
        <v>2692</v>
      </c>
      <c r="PV29" t="s">
        <v>2693</v>
      </c>
      <c r="PW29" t="s">
        <v>2694</v>
      </c>
      <c r="PX29" t="s">
        <v>2695</v>
      </c>
      <c r="PY29" t="s">
        <v>2696</v>
      </c>
      <c r="PZ29" t="s">
        <v>2697</v>
      </c>
      <c r="QA29" t="s">
        <v>2698</v>
      </c>
      <c r="QB29" t="s">
        <v>2699</v>
      </c>
      <c r="QC29" t="s">
        <v>2700</v>
      </c>
      <c r="QD29" t="s">
        <v>2701</v>
      </c>
      <c r="QE29" t="s">
        <v>2702</v>
      </c>
      <c r="QF29" t="s">
        <v>2703</v>
      </c>
      <c r="QG29" t="s">
        <v>2704</v>
      </c>
      <c r="QH29" t="s">
        <v>2705</v>
      </c>
      <c r="QI29" t="s">
        <v>2706</v>
      </c>
      <c r="QJ29" t="s">
        <v>2707</v>
      </c>
      <c r="QK29" t="s">
        <v>2708</v>
      </c>
      <c r="QL29" t="s">
        <v>2709</v>
      </c>
      <c r="QM29" t="s">
        <v>2710</v>
      </c>
      <c r="QN29" t="s">
        <v>2711</v>
      </c>
      <c r="QO29" t="s">
        <v>2712</v>
      </c>
      <c r="QP29" t="s">
        <v>2713</v>
      </c>
      <c r="QQ29" t="s">
        <v>2714</v>
      </c>
      <c r="QR29" t="s">
        <v>2715</v>
      </c>
      <c r="QS29" t="s">
        <v>2716</v>
      </c>
      <c r="QT29" t="s">
        <v>2717</v>
      </c>
      <c r="QU29" t="s">
        <v>2718</v>
      </c>
      <c r="QV29" t="s">
        <v>2719</v>
      </c>
      <c r="QW29" t="s">
        <v>2720</v>
      </c>
      <c r="QX29" t="s">
        <v>2721</v>
      </c>
      <c r="QY29" t="s">
        <v>2722</v>
      </c>
      <c r="QZ29" t="s">
        <v>2723</v>
      </c>
      <c r="RA29" t="s">
        <v>2724</v>
      </c>
      <c r="RB29" t="s">
        <v>2725</v>
      </c>
      <c r="RC29" t="s">
        <v>2726</v>
      </c>
      <c r="RD29" t="s">
        <v>2727</v>
      </c>
      <c r="RE29" t="s">
        <v>2728</v>
      </c>
      <c r="RF29" t="s">
        <v>2729</v>
      </c>
      <c r="RG29" t="s">
        <v>2730</v>
      </c>
      <c r="RH29" t="s">
        <v>2731</v>
      </c>
      <c r="RI29" t="s">
        <v>2732</v>
      </c>
      <c r="RJ29" t="s">
        <v>2733</v>
      </c>
      <c r="RK29" t="s">
        <v>2734</v>
      </c>
      <c r="RL29" t="s">
        <v>2735</v>
      </c>
      <c r="RM29" t="s">
        <v>2736</v>
      </c>
      <c r="RN29" t="s">
        <v>2737</v>
      </c>
      <c r="RO29" t="s">
        <v>2738</v>
      </c>
      <c r="RP29" t="s">
        <v>2739</v>
      </c>
      <c r="RQ29" t="s">
        <v>2740</v>
      </c>
      <c r="RR29" t="s">
        <v>2741</v>
      </c>
      <c r="RS29" t="s">
        <v>2742</v>
      </c>
      <c r="RT29" t="s">
        <v>2743</v>
      </c>
      <c r="RU29" t="s">
        <v>2744</v>
      </c>
      <c r="RV29" t="s">
        <v>2745</v>
      </c>
      <c r="RW29" t="s">
        <v>2746</v>
      </c>
      <c r="RX29" t="s">
        <v>2747</v>
      </c>
      <c r="RY29" t="s">
        <v>2748</v>
      </c>
      <c r="RZ29" t="s">
        <v>2749</v>
      </c>
      <c r="SA29" t="s">
        <v>2750</v>
      </c>
      <c r="SB29" t="s">
        <v>2751</v>
      </c>
      <c r="SC29" t="s">
        <v>2752</v>
      </c>
      <c r="SD29" t="s">
        <v>2753</v>
      </c>
      <c r="SE29" t="s">
        <v>2754</v>
      </c>
      <c r="SF29" t="s">
        <v>2755</v>
      </c>
      <c r="SG29" t="s">
        <v>2756</v>
      </c>
      <c r="SH29" t="s">
        <v>2757</v>
      </c>
      <c r="SI29" t="s">
        <v>2758</v>
      </c>
      <c r="SJ29" t="s">
        <v>2759</v>
      </c>
      <c r="SK29" t="s">
        <v>2760</v>
      </c>
      <c r="SL29" t="s">
        <v>2761</v>
      </c>
      <c r="SM29" t="s">
        <v>2762</v>
      </c>
      <c r="SN29" t="s">
        <v>2763</v>
      </c>
      <c r="SO29" t="s">
        <v>2764</v>
      </c>
      <c r="SP29" t="s">
        <v>2765</v>
      </c>
      <c r="SQ29" t="s">
        <v>2766</v>
      </c>
      <c r="SR29" t="s">
        <v>2767</v>
      </c>
      <c r="SS29" t="s">
        <v>2768</v>
      </c>
      <c r="ST29" t="s">
        <v>2769</v>
      </c>
      <c r="SU29" t="s">
        <v>2770</v>
      </c>
      <c r="SV29" t="s">
        <v>2771</v>
      </c>
      <c r="SW29" t="s">
        <v>2772</v>
      </c>
      <c r="SX29" t="s">
        <v>2773</v>
      </c>
      <c r="SY29" t="s">
        <v>2774</v>
      </c>
      <c r="SZ29" t="s">
        <v>2775</v>
      </c>
      <c r="TA29" t="s">
        <v>2776</v>
      </c>
      <c r="TB29" t="s">
        <v>2777</v>
      </c>
      <c r="TC29" t="s">
        <v>2778</v>
      </c>
      <c r="TD29" t="s">
        <v>2779</v>
      </c>
      <c r="TE29" t="s">
        <v>2780</v>
      </c>
      <c r="TF29" t="s">
        <v>2781</v>
      </c>
      <c r="TG29" t="s">
        <v>2782</v>
      </c>
      <c r="TH29" t="s">
        <v>2783</v>
      </c>
      <c r="TI29" t="s">
        <v>2784</v>
      </c>
      <c r="TJ29" t="s">
        <v>2785</v>
      </c>
      <c r="TK29" t="s">
        <v>2786</v>
      </c>
      <c r="TL29" t="s">
        <v>2787</v>
      </c>
      <c r="TM29" t="s">
        <v>2788</v>
      </c>
      <c r="TN29" t="s">
        <v>2789</v>
      </c>
      <c r="TO29" t="s">
        <v>2790</v>
      </c>
      <c r="TP29" t="s">
        <v>2791</v>
      </c>
      <c r="TQ29" t="s">
        <v>2792</v>
      </c>
      <c r="TR29" t="s">
        <v>2793</v>
      </c>
      <c r="TS29" t="s">
        <v>2794</v>
      </c>
      <c r="TT29" t="s">
        <v>2795</v>
      </c>
      <c r="TU29" t="s">
        <v>2796</v>
      </c>
      <c r="TV29" t="s">
        <v>2797</v>
      </c>
      <c r="TW29" t="s">
        <v>2798</v>
      </c>
      <c r="TX29" t="s">
        <v>2799</v>
      </c>
      <c r="TY29" t="s">
        <v>2800</v>
      </c>
      <c r="TZ29" t="s">
        <v>2801</v>
      </c>
      <c r="UA29" t="s">
        <v>2802</v>
      </c>
      <c r="UB29" t="s">
        <v>2803</v>
      </c>
      <c r="UC29" t="s">
        <v>2804</v>
      </c>
      <c r="UD29" t="s">
        <v>2805</v>
      </c>
      <c r="UE29" t="s">
        <v>2806</v>
      </c>
      <c r="UF29" t="s">
        <v>2807</v>
      </c>
      <c r="UG29" t="s">
        <v>2808</v>
      </c>
      <c r="UH29" t="s">
        <v>2809</v>
      </c>
      <c r="UI29" t="s">
        <v>2810</v>
      </c>
      <c r="UJ29" t="s">
        <v>2811</v>
      </c>
      <c r="UK29" t="s">
        <v>2812</v>
      </c>
      <c r="UL29" t="s">
        <v>2813</v>
      </c>
      <c r="UM29" t="s">
        <v>2814</v>
      </c>
      <c r="UN29" t="s">
        <v>2815</v>
      </c>
      <c r="UO29" t="s">
        <v>2816</v>
      </c>
      <c r="UP29" t="s">
        <v>2817</v>
      </c>
      <c r="UQ29" t="s">
        <v>2818</v>
      </c>
      <c r="UR29" t="s">
        <v>2819</v>
      </c>
      <c r="US29" t="s">
        <v>2820</v>
      </c>
      <c r="UT29" t="s">
        <v>2821</v>
      </c>
      <c r="UU29" t="s">
        <v>2822</v>
      </c>
      <c r="UV29" t="s">
        <v>2823</v>
      </c>
      <c r="UW29" t="s">
        <v>2824</v>
      </c>
      <c r="UX29" t="s">
        <v>2825</v>
      </c>
      <c r="UY29" t="s">
        <v>2826</v>
      </c>
      <c r="UZ29" t="s">
        <v>2827</v>
      </c>
      <c r="VA29" t="s">
        <v>2828</v>
      </c>
      <c r="VB29" t="s">
        <v>2829</v>
      </c>
      <c r="VC29" t="s">
        <v>2830</v>
      </c>
      <c r="VD29" t="s">
        <v>2831</v>
      </c>
      <c r="VE29" t="s">
        <v>2832</v>
      </c>
      <c r="VF29" t="s">
        <v>2833</v>
      </c>
      <c r="VG29" t="s">
        <v>2834</v>
      </c>
      <c r="VH29" t="s">
        <v>2835</v>
      </c>
      <c r="VI29" t="s">
        <v>2836</v>
      </c>
      <c r="VJ29" t="s">
        <v>2837</v>
      </c>
      <c r="VK29" t="s">
        <v>2838</v>
      </c>
      <c r="VL29" t="s">
        <v>2839</v>
      </c>
      <c r="VM29" t="s">
        <v>2840</v>
      </c>
      <c r="VN29" t="s">
        <v>2841</v>
      </c>
      <c r="VO29" t="s">
        <v>2842</v>
      </c>
      <c r="VP29" t="s">
        <v>2843</v>
      </c>
      <c r="VQ29" t="s">
        <v>2844</v>
      </c>
      <c r="VR29" t="s">
        <v>2845</v>
      </c>
      <c r="VS29" t="s">
        <v>2846</v>
      </c>
      <c r="VT29" t="s">
        <v>2847</v>
      </c>
      <c r="VU29" t="s">
        <v>2848</v>
      </c>
      <c r="VV29" t="s">
        <v>2849</v>
      </c>
      <c r="VW29" t="s">
        <v>2850</v>
      </c>
      <c r="VX29" t="s">
        <v>2851</v>
      </c>
      <c r="VY29" t="s">
        <v>2852</v>
      </c>
      <c r="VZ29" t="s">
        <v>2853</v>
      </c>
      <c r="WA29" t="s">
        <v>2854</v>
      </c>
      <c r="WB29" t="s">
        <v>2855</v>
      </c>
      <c r="WC29" t="s">
        <v>2856</v>
      </c>
      <c r="WD29" t="s">
        <v>2857</v>
      </c>
      <c r="WE29" t="s">
        <v>2858</v>
      </c>
      <c r="WF29" t="s">
        <v>2859</v>
      </c>
      <c r="WG29" t="s">
        <v>2860</v>
      </c>
      <c r="WH29" t="s">
        <v>2861</v>
      </c>
      <c r="WI29" t="s">
        <v>2862</v>
      </c>
      <c r="WJ29" t="s">
        <v>2863</v>
      </c>
      <c r="WK29" t="s">
        <v>2864</v>
      </c>
      <c r="WL29" t="s">
        <v>2865</v>
      </c>
      <c r="WM29" t="s">
        <v>2866</v>
      </c>
      <c r="WN29" t="s">
        <v>2867</v>
      </c>
      <c r="WO29" t="s">
        <v>2868</v>
      </c>
      <c r="WP29" t="s">
        <v>2869</v>
      </c>
      <c r="WQ29" t="s">
        <v>2870</v>
      </c>
      <c r="WR29" t="s">
        <v>2871</v>
      </c>
      <c r="WS29" t="s">
        <v>2872</v>
      </c>
      <c r="WT29" t="s">
        <v>2873</v>
      </c>
      <c r="WU29" t="s">
        <v>2874</v>
      </c>
      <c r="WV29" t="s">
        <v>2875</v>
      </c>
      <c r="WW29" t="s">
        <v>2876</v>
      </c>
      <c r="WX29" t="s">
        <v>2877</v>
      </c>
      <c r="WY29" t="s">
        <v>2878</v>
      </c>
      <c r="WZ29" t="s">
        <v>2879</v>
      </c>
      <c r="XA29" t="s">
        <v>2880</v>
      </c>
      <c r="XB29" t="s">
        <v>2881</v>
      </c>
      <c r="XC29" t="s">
        <v>2882</v>
      </c>
      <c r="XD29" t="s">
        <v>2883</v>
      </c>
      <c r="XE29" t="s">
        <v>2884</v>
      </c>
      <c r="XF29" t="s">
        <v>2885</v>
      </c>
      <c r="XG29" t="s">
        <v>2886</v>
      </c>
      <c r="XH29" t="s">
        <v>2887</v>
      </c>
      <c r="XI29" t="s">
        <v>2888</v>
      </c>
      <c r="XJ29" t="s">
        <v>2889</v>
      </c>
      <c r="XK29" t="s">
        <v>2890</v>
      </c>
      <c r="XL29" t="s">
        <v>2891</v>
      </c>
      <c r="XM29" t="s">
        <v>2892</v>
      </c>
      <c r="XN29" t="s">
        <v>2893</v>
      </c>
      <c r="XO29" t="s">
        <v>2894</v>
      </c>
      <c r="XP29" t="s">
        <v>2895</v>
      </c>
      <c r="XQ29" t="s">
        <v>2896</v>
      </c>
      <c r="XR29" t="s">
        <v>2897</v>
      </c>
      <c r="XS29" t="s">
        <v>2898</v>
      </c>
      <c r="XT29" t="s">
        <v>2899</v>
      </c>
      <c r="XU29" t="s">
        <v>2900</v>
      </c>
      <c r="XV29" t="s">
        <v>2901</v>
      </c>
      <c r="XW29" t="s">
        <v>2902</v>
      </c>
      <c r="XX29" t="s">
        <v>2903</v>
      </c>
      <c r="XY29" t="s">
        <v>2904</v>
      </c>
      <c r="XZ29" t="s">
        <v>2905</v>
      </c>
      <c r="YA29" t="s">
        <v>2906</v>
      </c>
      <c r="YB29" t="s">
        <v>2907</v>
      </c>
      <c r="YC29" t="s">
        <v>2908</v>
      </c>
      <c r="YD29" t="s">
        <v>2909</v>
      </c>
      <c r="YE29" t="s">
        <v>2910</v>
      </c>
      <c r="YF29" t="s">
        <v>2911</v>
      </c>
      <c r="YG29" t="s">
        <v>2912</v>
      </c>
      <c r="YH29" t="s">
        <v>2913</v>
      </c>
      <c r="YI29" t="s">
        <v>2914</v>
      </c>
      <c r="YJ29" t="s">
        <v>2915</v>
      </c>
      <c r="YK29" t="s">
        <v>2916</v>
      </c>
      <c r="YL29" t="s">
        <v>2917</v>
      </c>
      <c r="YM29" t="s">
        <v>2918</v>
      </c>
      <c r="YN29" t="s">
        <v>2919</v>
      </c>
      <c r="YO29" t="s">
        <v>2920</v>
      </c>
      <c r="YP29" t="s">
        <v>2921</v>
      </c>
      <c r="YQ29" t="s">
        <v>2922</v>
      </c>
      <c r="YR29" t="s">
        <v>2923</v>
      </c>
      <c r="YS29" t="s">
        <v>2924</v>
      </c>
      <c r="YT29" t="s">
        <v>2925</v>
      </c>
      <c r="YU29" t="s">
        <v>2926</v>
      </c>
      <c r="YV29" t="s">
        <v>2927</v>
      </c>
      <c r="YW29" t="s">
        <v>2928</v>
      </c>
      <c r="YX29" t="s">
        <v>2929</v>
      </c>
      <c r="YY29" t="s">
        <v>2930</v>
      </c>
      <c r="YZ29" t="s">
        <v>2931</v>
      </c>
      <c r="ZA29" t="s">
        <v>2932</v>
      </c>
      <c r="ZB29" t="s">
        <v>2933</v>
      </c>
      <c r="ZC29" t="s">
        <v>2934</v>
      </c>
      <c r="ZD29" t="s">
        <v>2935</v>
      </c>
      <c r="ZE29" t="s">
        <v>2936</v>
      </c>
      <c r="ZF29" t="s">
        <v>2937</v>
      </c>
      <c r="ZG29" t="s">
        <v>2938</v>
      </c>
      <c r="ZH29" t="s">
        <v>2939</v>
      </c>
      <c r="ZI29" t="s">
        <v>2940</v>
      </c>
      <c r="ZJ29" t="s">
        <v>2941</v>
      </c>
      <c r="ZK29" t="s">
        <v>2942</v>
      </c>
      <c r="ZL29" t="s">
        <v>2943</v>
      </c>
      <c r="ZM29" t="s">
        <v>2944</v>
      </c>
      <c r="ZN29" t="s">
        <v>2945</v>
      </c>
      <c r="ZO29" t="s">
        <v>2946</v>
      </c>
      <c r="ZP29" t="s">
        <v>2947</v>
      </c>
      <c r="ZQ29" t="s">
        <v>2948</v>
      </c>
      <c r="ZR29" t="s">
        <v>2949</v>
      </c>
      <c r="ZS29" t="s">
        <v>2950</v>
      </c>
      <c r="ZT29" t="s">
        <v>2951</v>
      </c>
      <c r="ZU29" t="s">
        <v>2952</v>
      </c>
      <c r="ZV29" t="s">
        <v>2953</v>
      </c>
      <c r="ZW29" t="s">
        <v>2954</v>
      </c>
      <c r="ZX29" t="s">
        <v>2955</v>
      </c>
      <c r="ZY29" t="s">
        <v>2956</v>
      </c>
      <c r="ZZ29" t="s">
        <v>2957</v>
      </c>
      <c r="AAA29" t="s">
        <v>2958</v>
      </c>
      <c r="AAB29" t="s">
        <v>2959</v>
      </c>
      <c r="AAC29" t="s">
        <v>2960</v>
      </c>
      <c r="AAD29" t="s">
        <v>2961</v>
      </c>
      <c r="AAE29" t="s">
        <v>2962</v>
      </c>
      <c r="AAF29" t="s">
        <v>2963</v>
      </c>
      <c r="AAG29" t="s">
        <v>2964</v>
      </c>
      <c r="AAH29" t="s">
        <v>2965</v>
      </c>
      <c r="AAI29" t="s">
        <v>2966</v>
      </c>
      <c r="AAJ29" t="s">
        <v>2967</v>
      </c>
      <c r="AAK29" t="s">
        <v>2968</v>
      </c>
      <c r="AAL29" t="s">
        <v>2969</v>
      </c>
      <c r="AAM29" t="s">
        <v>2970</v>
      </c>
      <c r="AAN29" t="s">
        <v>2971</v>
      </c>
      <c r="AAO29" t="s">
        <v>2972</v>
      </c>
      <c r="AAP29" t="s">
        <v>2973</v>
      </c>
      <c r="AAQ29" t="s">
        <v>2974</v>
      </c>
      <c r="AAR29" t="s">
        <v>2975</v>
      </c>
      <c r="AAS29" t="s">
        <v>2976</v>
      </c>
      <c r="AAT29" t="s">
        <v>2977</v>
      </c>
      <c r="AAU29" t="s">
        <v>2978</v>
      </c>
      <c r="AAV29" t="s">
        <v>2979</v>
      </c>
      <c r="AAW29" t="s">
        <v>2980</v>
      </c>
      <c r="AAX29" t="s">
        <v>2981</v>
      </c>
      <c r="AAY29" t="s">
        <v>2982</v>
      </c>
      <c r="AAZ29" t="s">
        <v>2983</v>
      </c>
      <c r="ABA29" t="s">
        <v>2984</v>
      </c>
      <c r="ABB29" t="s">
        <v>2985</v>
      </c>
      <c r="ABC29" t="s">
        <v>2986</v>
      </c>
      <c r="ABD29" t="s">
        <v>2987</v>
      </c>
      <c r="ABE29" t="s">
        <v>2988</v>
      </c>
      <c r="ABF29" t="s">
        <v>2989</v>
      </c>
      <c r="ABG29" t="s">
        <v>2990</v>
      </c>
      <c r="ABH29" t="s">
        <v>2991</v>
      </c>
      <c r="ABI29" t="s">
        <v>2992</v>
      </c>
      <c r="ABJ29" t="s">
        <v>2993</v>
      </c>
      <c r="ABK29" t="s">
        <v>2994</v>
      </c>
      <c r="ABL29" t="s">
        <v>2995</v>
      </c>
      <c r="ABM29" t="s">
        <v>2996</v>
      </c>
      <c r="ABN29" t="s">
        <v>2997</v>
      </c>
      <c r="ABO29" t="s">
        <v>2998</v>
      </c>
      <c r="ABP29" t="s">
        <v>2999</v>
      </c>
      <c r="ABQ29" t="s">
        <v>3000</v>
      </c>
      <c r="ABR29" t="s">
        <v>3001</v>
      </c>
      <c r="ABS29" t="s">
        <v>3002</v>
      </c>
      <c r="ABT29" t="s">
        <v>3003</v>
      </c>
      <c r="ABU29" t="s">
        <v>3004</v>
      </c>
      <c r="ABV29" t="s">
        <v>3005</v>
      </c>
      <c r="ABW29" t="s">
        <v>3006</v>
      </c>
      <c r="ABX29" t="s">
        <v>3007</v>
      </c>
      <c r="ABY29" t="s">
        <v>3008</v>
      </c>
      <c r="ABZ29" t="s">
        <v>3009</v>
      </c>
      <c r="ACA29" t="s">
        <v>3010</v>
      </c>
      <c r="ACB29" t="s">
        <v>3011</v>
      </c>
      <c r="ACC29" t="s">
        <v>3012</v>
      </c>
      <c r="ACD29" t="s">
        <v>3013</v>
      </c>
      <c r="ACE29" t="s">
        <v>3014</v>
      </c>
      <c r="ACF29" t="s">
        <v>3015</v>
      </c>
      <c r="ACG29" t="s">
        <v>3016</v>
      </c>
      <c r="ACH29" t="s">
        <v>3017</v>
      </c>
      <c r="ACI29" t="s">
        <v>3018</v>
      </c>
      <c r="ACJ29" t="s">
        <v>3019</v>
      </c>
      <c r="ACK29" t="s">
        <v>3020</v>
      </c>
      <c r="ACL29" t="s">
        <v>3021</v>
      </c>
      <c r="ACM29" t="s">
        <v>3022</v>
      </c>
      <c r="ACN29" t="s">
        <v>3023</v>
      </c>
      <c r="ACO29" t="s">
        <v>3024</v>
      </c>
      <c r="ACP29" t="s">
        <v>3025</v>
      </c>
      <c r="ACQ29" t="s">
        <v>3026</v>
      </c>
      <c r="ACR29" t="s">
        <v>3027</v>
      </c>
      <c r="ACS29" t="s">
        <v>3028</v>
      </c>
      <c r="ACT29" t="s">
        <v>3029</v>
      </c>
      <c r="ACU29" t="s">
        <v>3030</v>
      </c>
      <c r="ACV29" t="s">
        <v>3031</v>
      </c>
      <c r="ACW29" t="s">
        <v>3032</v>
      </c>
      <c r="ACX29" t="s">
        <v>3033</v>
      </c>
      <c r="ACY29" t="s">
        <v>3034</v>
      </c>
      <c r="ACZ29" t="s">
        <v>3035</v>
      </c>
      <c r="ADA29" t="s">
        <v>3036</v>
      </c>
      <c r="ADB29" t="s">
        <v>3037</v>
      </c>
      <c r="ADC29" t="s">
        <v>3038</v>
      </c>
      <c r="ADD29" t="s">
        <v>3039</v>
      </c>
      <c r="ADE29" t="s">
        <v>3040</v>
      </c>
      <c r="ADF29" t="s">
        <v>3041</v>
      </c>
      <c r="ADG29" t="s">
        <v>3042</v>
      </c>
      <c r="ADH29" t="s">
        <v>3043</v>
      </c>
      <c r="ADI29" t="s">
        <v>3044</v>
      </c>
      <c r="ADJ29" t="s">
        <v>3045</v>
      </c>
      <c r="ADK29" t="s">
        <v>3046</v>
      </c>
      <c r="ADL29" t="s">
        <v>3047</v>
      </c>
      <c r="ADM29" t="s">
        <v>3048</v>
      </c>
      <c r="ADN29" t="s">
        <v>3049</v>
      </c>
      <c r="ADO29" t="s">
        <v>3050</v>
      </c>
      <c r="ADP29" t="s">
        <v>3051</v>
      </c>
      <c r="ADQ29" t="s">
        <v>3052</v>
      </c>
      <c r="ADR29" t="s">
        <v>3053</v>
      </c>
      <c r="ADS29" t="s">
        <v>3054</v>
      </c>
      <c r="ADT29" t="s">
        <v>3055</v>
      </c>
      <c r="ADU29" t="s">
        <v>3056</v>
      </c>
      <c r="ADV29" t="s">
        <v>3057</v>
      </c>
      <c r="ADW29" t="s">
        <v>3058</v>
      </c>
      <c r="ADX29" t="s">
        <v>3059</v>
      </c>
      <c r="ADY29" t="s">
        <v>3060</v>
      </c>
      <c r="ADZ29" t="s">
        <v>3061</v>
      </c>
      <c r="AEA29" t="s">
        <v>3062</v>
      </c>
      <c r="AEB29" t="s">
        <v>3063</v>
      </c>
      <c r="AEC29" t="s">
        <v>3064</v>
      </c>
      <c r="AED29" t="s">
        <v>3065</v>
      </c>
      <c r="AEE29" t="s">
        <v>3066</v>
      </c>
      <c r="AEF29" t="s">
        <v>3067</v>
      </c>
      <c r="AEG29" t="s">
        <v>3068</v>
      </c>
      <c r="AEH29" t="s">
        <v>3069</v>
      </c>
      <c r="AEI29" t="s">
        <v>3070</v>
      </c>
      <c r="AEJ29" t="s">
        <v>3071</v>
      </c>
      <c r="AEK29" t="s">
        <v>3072</v>
      </c>
      <c r="AEL29" t="s">
        <v>3073</v>
      </c>
      <c r="AEM29" t="s">
        <v>3074</v>
      </c>
      <c r="AEN29" t="s">
        <v>3075</v>
      </c>
      <c r="AEO29" t="s">
        <v>3076</v>
      </c>
      <c r="AEP29" t="s">
        <v>3077</v>
      </c>
      <c r="AEQ29" t="s">
        <v>3078</v>
      </c>
      <c r="AER29" t="s">
        <v>3079</v>
      </c>
      <c r="AES29" t="s">
        <v>3080</v>
      </c>
      <c r="AET29" t="s">
        <v>3081</v>
      </c>
      <c r="AEU29" t="s">
        <v>3082</v>
      </c>
      <c r="AEV29" t="s">
        <v>3083</v>
      </c>
      <c r="AEW29" t="s">
        <v>3084</v>
      </c>
      <c r="AEX29" t="s">
        <v>3085</v>
      </c>
      <c r="AEY29" t="s">
        <v>3086</v>
      </c>
      <c r="AEZ29" t="s">
        <v>3087</v>
      </c>
      <c r="AFA29" t="s">
        <v>3088</v>
      </c>
      <c r="AFB29" t="s">
        <v>3089</v>
      </c>
      <c r="AFC29" t="s">
        <v>3090</v>
      </c>
      <c r="AFD29" t="s">
        <v>3091</v>
      </c>
      <c r="AFE29" t="s">
        <v>3092</v>
      </c>
      <c r="AFF29" t="s">
        <v>3093</v>
      </c>
      <c r="AFG29" t="s">
        <v>3094</v>
      </c>
      <c r="AFH29" t="s">
        <v>3095</v>
      </c>
      <c r="AFI29" t="s">
        <v>3096</v>
      </c>
      <c r="AFJ29" t="s">
        <v>3097</v>
      </c>
      <c r="AFK29" t="s">
        <v>3098</v>
      </c>
      <c r="AFL29" t="s">
        <v>3099</v>
      </c>
      <c r="AFM29" t="s">
        <v>3100</v>
      </c>
      <c r="AFN29" t="s">
        <v>3101</v>
      </c>
      <c r="AFO29" t="s">
        <v>3102</v>
      </c>
      <c r="AFP29" t="s">
        <v>3103</v>
      </c>
      <c r="AFQ29" t="s">
        <v>3104</v>
      </c>
      <c r="AFR29" t="s">
        <v>3105</v>
      </c>
      <c r="AFS29" t="s">
        <v>3106</v>
      </c>
      <c r="AFT29" t="s">
        <v>3107</v>
      </c>
      <c r="AFU29" t="s">
        <v>3108</v>
      </c>
      <c r="AFV29" t="s">
        <v>3109</v>
      </c>
      <c r="AFW29" t="s">
        <v>3110</v>
      </c>
      <c r="AFX29" t="s">
        <v>3111</v>
      </c>
      <c r="AFY29" t="s">
        <v>3112</v>
      </c>
      <c r="AFZ29" t="s">
        <v>3113</v>
      </c>
      <c r="AGA29" t="s">
        <v>3114</v>
      </c>
      <c r="AGB29" t="s">
        <v>3115</v>
      </c>
      <c r="AGC29" t="s">
        <v>3116</v>
      </c>
      <c r="AGD29" t="s">
        <v>3117</v>
      </c>
      <c r="AGE29" t="s">
        <v>3118</v>
      </c>
      <c r="AGF29" t="s">
        <v>3119</v>
      </c>
      <c r="AGG29" t="s">
        <v>3120</v>
      </c>
      <c r="AGH29" t="s">
        <v>3121</v>
      </c>
      <c r="AGI29" t="s">
        <v>3122</v>
      </c>
      <c r="AGJ29" t="s">
        <v>3123</v>
      </c>
      <c r="AGK29" t="s">
        <v>3124</v>
      </c>
      <c r="AGL29" t="s">
        <v>3125</v>
      </c>
      <c r="AGM29" t="s">
        <v>3126</v>
      </c>
      <c r="AGN29" t="s">
        <v>3127</v>
      </c>
      <c r="AGO29" t="s">
        <v>3128</v>
      </c>
      <c r="AGP29" t="s">
        <v>3129</v>
      </c>
      <c r="AGQ29" t="s">
        <v>3130</v>
      </c>
      <c r="AGR29" t="s">
        <v>3131</v>
      </c>
      <c r="AGS29" t="s">
        <v>3132</v>
      </c>
      <c r="AGT29" t="s">
        <v>3133</v>
      </c>
      <c r="AGU29" t="s">
        <v>3134</v>
      </c>
      <c r="AGV29" t="s">
        <v>3135</v>
      </c>
      <c r="AGW29" t="s">
        <v>3136</v>
      </c>
      <c r="AGX29" t="s">
        <v>3137</v>
      </c>
      <c r="AGY29" t="s">
        <v>3138</v>
      </c>
      <c r="AGZ29" t="s">
        <v>3139</v>
      </c>
      <c r="AHA29" t="s">
        <v>3140</v>
      </c>
      <c r="AHB29" t="s">
        <v>3141</v>
      </c>
      <c r="AHC29" t="s">
        <v>3142</v>
      </c>
      <c r="AHD29" t="s">
        <v>3143</v>
      </c>
      <c r="AHE29" t="s">
        <v>3144</v>
      </c>
      <c r="AHF29" t="s">
        <v>3145</v>
      </c>
      <c r="AHG29" t="s">
        <v>3146</v>
      </c>
      <c r="AHH29" t="s">
        <v>3147</v>
      </c>
      <c r="AHI29" t="s">
        <v>3148</v>
      </c>
      <c r="AHJ29" t="s">
        <v>3149</v>
      </c>
      <c r="AHK29" t="s">
        <v>3150</v>
      </c>
      <c r="AHL29" t="s">
        <v>3151</v>
      </c>
      <c r="AHM29" t="s">
        <v>3152</v>
      </c>
      <c r="AHN29" t="s">
        <v>3153</v>
      </c>
      <c r="AHO29" t="s">
        <v>3154</v>
      </c>
      <c r="AHP29" t="s">
        <v>3155</v>
      </c>
      <c r="AHQ29" t="s">
        <v>3156</v>
      </c>
      <c r="AHR29" t="s">
        <v>3157</v>
      </c>
      <c r="AHS29" t="s">
        <v>3158</v>
      </c>
      <c r="AHT29" t="s">
        <v>3159</v>
      </c>
      <c r="AHU29" t="s">
        <v>3160</v>
      </c>
      <c r="AHV29" t="s">
        <v>3161</v>
      </c>
      <c r="AHW29" t="s">
        <v>3162</v>
      </c>
      <c r="AHX29" t="s">
        <v>3163</v>
      </c>
      <c r="AHY29" t="s">
        <v>3164</v>
      </c>
      <c r="AHZ29" t="s">
        <v>3165</v>
      </c>
      <c r="AIA29" t="s">
        <v>3166</v>
      </c>
      <c r="AIB29" t="s">
        <v>3167</v>
      </c>
      <c r="AIC29" t="s">
        <v>3168</v>
      </c>
      <c r="AID29" t="s">
        <v>3169</v>
      </c>
      <c r="AIE29" t="s">
        <v>3170</v>
      </c>
      <c r="AIF29" t="s">
        <v>3171</v>
      </c>
      <c r="AIG29" t="s">
        <v>3172</v>
      </c>
      <c r="AIH29" t="s">
        <v>3173</v>
      </c>
      <c r="AII29" t="s">
        <v>3174</v>
      </c>
      <c r="AIJ29" t="s">
        <v>3175</v>
      </c>
      <c r="AIK29" t="s">
        <v>3176</v>
      </c>
      <c r="AIL29" t="s">
        <v>3177</v>
      </c>
      <c r="AIM29" t="s">
        <v>3178</v>
      </c>
      <c r="AIN29" t="s">
        <v>3179</v>
      </c>
      <c r="AIO29" t="s">
        <v>3180</v>
      </c>
      <c r="AIP29" t="s">
        <v>3181</v>
      </c>
      <c r="AIQ29" t="s">
        <v>3182</v>
      </c>
      <c r="AIR29" t="s">
        <v>3183</v>
      </c>
      <c r="AIS29" t="s">
        <v>3184</v>
      </c>
      <c r="AIT29" t="s">
        <v>3185</v>
      </c>
      <c r="AIU29" t="s">
        <v>3186</v>
      </c>
      <c r="AIV29" t="s">
        <v>3187</v>
      </c>
      <c r="AIW29" t="s">
        <v>3188</v>
      </c>
      <c r="AIX29" t="s">
        <v>3189</v>
      </c>
      <c r="AIY29" t="s">
        <v>3190</v>
      </c>
      <c r="AIZ29" t="s">
        <v>3191</v>
      </c>
      <c r="AJA29" t="s">
        <v>3192</v>
      </c>
      <c r="AJB29" t="s">
        <v>3193</v>
      </c>
      <c r="AJC29" t="s">
        <v>3194</v>
      </c>
      <c r="AJD29" t="s">
        <v>3195</v>
      </c>
      <c r="AJE29" t="s">
        <v>3196</v>
      </c>
      <c r="AJF29" t="s">
        <v>3197</v>
      </c>
      <c r="AJG29" t="s">
        <v>3198</v>
      </c>
      <c r="AJH29" t="s">
        <v>3199</v>
      </c>
      <c r="AJI29" t="s">
        <v>3200</v>
      </c>
      <c r="AJJ29" t="s">
        <v>3201</v>
      </c>
      <c r="AJK29" t="s">
        <v>3202</v>
      </c>
      <c r="AJL29" t="s">
        <v>3203</v>
      </c>
      <c r="AJM29" t="s">
        <v>3204</v>
      </c>
      <c r="AJN29" t="s">
        <v>3205</v>
      </c>
      <c r="AJO29" t="s">
        <v>3206</v>
      </c>
      <c r="AJP29" t="s">
        <v>3207</v>
      </c>
      <c r="AJQ29" t="s">
        <v>3208</v>
      </c>
      <c r="AJR29" t="s">
        <v>3209</v>
      </c>
      <c r="AJS29" t="s">
        <v>3210</v>
      </c>
      <c r="AJT29" t="s">
        <v>3211</v>
      </c>
      <c r="AJU29" t="s">
        <v>3212</v>
      </c>
      <c r="AJV29" t="s">
        <v>3213</v>
      </c>
      <c r="AJW29" t="s">
        <v>3214</v>
      </c>
      <c r="AJX29" t="s">
        <v>3215</v>
      </c>
      <c r="AJY29" t="s">
        <v>3216</v>
      </c>
      <c r="AJZ29" t="s">
        <v>3217</v>
      </c>
      <c r="AKA29" t="s">
        <v>3218</v>
      </c>
      <c r="AKB29" t="s">
        <v>3219</v>
      </c>
      <c r="AKC29" t="s">
        <v>3220</v>
      </c>
      <c r="AKD29" t="s">
        <v>3221</v>
      </c>
      <c r="AKE29" t="s">
        <v>3222</v>
      </c>
      <c r="AKF29" t="s">
        <v>3223</v>
      </c>
      <c r="AKG29" t="s">
        <v>3224</v>
      </c>
      <c r="AKH29" t="s">
        <v>3225</v>
      </c>
      <c r="AKI29" t="s">
        <v>3226</v>
      </c>
      <c r="AKJ29" t="s">
        <v>3227</v>
      </c>
      <c r="AKK29" t="s">
        <v>3228</v>
      </c>
      <c r="AKL29" t="s">
        <v>3229</v>
      </c>
      <c r="AKM29" t="s">
        <v>3230</v>
      </c>
      <c r="AKN29" t="s">
        <v>3231</v>
      </c>
      <c r="AKO29" t="s">
        <v>3232</v>
      </c>
      <c r="AKP29" t="s">
        <v>3233</v>
      </c>
      <c r="AKQ29" t="s">
        <v>3234</v>
      </c>
      <c r="AKR29" t="s">
        <v>3235</v>
      </c>
      <c r="AKS29" t="s">
        <v>3236</v>
      </c>
      <c r="AKT29" t="s">
        <v>3237</v>
      </c>
      <c r="AKU29" t="s">
        <v>3238</v>
      </c>
      <c r="AKV29" t="s">
        <v>3239</v>
      </c>
      <c r="AKW29" t="s">
        <v>3240</v>
      </c>
      <c r="AKX29" t="s">
        <v>3241</v>
      </c>
      <c r="AKY29" t="s">
        <v>3242</v>
      </c>
      <c r="AKZ29" t="s">
        <v>3243</v>
      </c>
      <c r="ALA29" t="s">
        <v>3244</v>
      </c>
      <c r="ALB29" t="s">
        <v>3245</v>
      </c>
      <c r="ALC29" t="s">
        <v>3246</v>
      </c>
      <c r="ALD29" t="s">
        <v>3247</v>
      </c>
      <c r="ALE29" t="s">
        <v>3248</v>
      </c>
      <c r="ALF29" t="s">
        <v>3249</v>
      </c>
      <c r="ALG29" t="s">
        <v>3250</v>
      </c>
      <c r="ALH29" t="s">
        <v>3251</v>
      </c>
      <c r="ALI29" t="s">
        <v>3252</v>
      </c>
      <c r="ALJ29" t="s">
        <v>3253</v>
      </c>
      <c r="ALK29" t="s">
        <v>3254</v>
      </c>
      <c r="ALL29" t="s">
        <v>3255</v>
      </c>
      <c r="ALM29" t="s">
        <v>3256</v>
      </c>
      <c r="ALN29" t="s">
        <v>3257</v>
      </c>
      <c r="ALO29" t="s">
        <v>3258</v>
      </c>
      <c r="ALP29" t="s">
        <v>3259</v>
      </c>
      <c r="ALQ29" t="s">
        <v>3260</v>
      </c>
      <c r="ALR29" t="s">
        <v>3261</v>
      </c>
      <c r="ALS29" t="s">
        <v>3262</v>
      </c>
      <c r="ALT29" t="s">
        <v>3263</v>
      </c>
      <c r="ALU29" t="s">
        <v>3264</v>
      </c>
      <c r="ALV29" t="s">
        <v>3265</v>
      </c>
      <c r="ALW29" t="s">
        <v>3266</v>
      </c>
      <c r="ALX29" t="s">
        <v>3267</v>
      </c>
      <c r="ALY29" t="s">
        <v>3268</v>
      </c>
      <c r="ALZ29" t="s">
        <v>3269</v>
      </c>
      <c r="AMA29" t="s">
        <v>3270</v>
      </c>
      <c r="AMB29" t="s">
        <v>3271</v>
      </c>
      <c r="AMC29" t="s">
        <v>3272</v>
      </c>
      <c r="AMD29" t="s">
        <v>3273</v>
      </c>
      <c r="AME29" t="s">
        <v>3274</v>
      </c>
      <c r="AMF29" t="s">
        <v>3275</v>
      </c>
      <c r="AMG29" t="s">
        <v>3276</v>
      </c>
      <c r="AMH29" t="s">
        <v>3277</v>
      </c>
      <c r="AMI29" t="s">
        <v>3278</v>
      </c>
      <c r="AMJ29" t="s">
        <v>3279</v>
      </c>
      <c r="AMK29" t="s">
        <v>3280</v>
      </c>
      <c r="AML29" t="s">
        <v>3281</v>
      </c>
      <c r="AMM29" t="s">
        <v>3282</v>
      </c>
      <c r="AMN29" t="s">
        <v>3283</v>
      </c>
      <c r="AMO29" t="s">
        <v>3284</v>
      </c>
      <c r="AMP29" t="s">
        <v>3285</v>
      </c>
      <c r="AMQ29" t="s">
        <v>3286</v>
      </c>
      <c r="AMR29" t="s">
        <v>3287</v>
      </c>
      <c r="AMS29" t="s">
        <v>3288</v>
      </c>
      <c r="AMT29" t="s">
        <v>3289</v>
      </c>
      <c r="AMU29" t="s">
        <v>3290</v>
      </c>
      <c r="AMV29" t="s">
        <v>3291</v>
      </c>
      <c r="AMW29" t="s">
        <v>3292</v>
      </c>
      <c r="AMX29" t="s">
        <v>3293</v>
      </c>
      <c r="AMY29" t="s">
        <v>3294</v>
      </c>
      <c r="AMZ29" t="s">
        <v>3295</v>
      </c>
      <c r="ANA29" t="s">
        <v>3296</v>
      </c>
      <c r="ANB29" t="s">
        <v>3297</v>
      </c>
      <c r="ANC29" t="s">
        <v>3298</v>
      </c>
      <c r="AND29" t="s">
        <v>3299</v>
      </c>
      <c r="ANE29" t="s">
        <v>3300</v>
      </c>
      <c r="ANF29" t="s">
        <v>3301</v>
      </c>
      <c r="ANG29" t="s">
        <v>3302</v>
      </c>
      <c r="ANH29" t="s">
        <v>3303</v>
      </c>
      <c r="ANI29" t="s">
        <v>3304</v>
      </c>
      <c r="ANJ29" t="s">
        <v>3305</v>
      </c>
      <c r="ANK29" t="s">
        <v>3306</v>
      </c>
      <c r="ANL29" t="s">
        <v>3307</v>
      </c>
      <c r="ANM29" t="s">
        <v>3308</v>
      </c>
      <c r="ANN29" t="s">
        <v>3309</v>
      </c>
      <c r="ANO29" t="s">
        <v>3310</v>
      </c>
      <c r="ANP29" t="s">
        <v>3311</v>
      </c>
      <c r="ANQ29" t="s">
        <v>3312</v>
      </c>
      <c r="ANR29" t="s">
        <v>3313</v>
      </c>
      <c r="ANS29" t="s">
        <v>3314</v>
      </c>
      <c r="ANT29" t="s">
        <v>3315</v>
      </c>
      <c r="ANU29" t="s">
        <v>3316</v>
      </c>
      <c r="ANV29" t="s">
        <v>3317</v>
      </c>
      <c r="ANW29" t="s">
        <v>3318</v>
      </c>
      <c r="ANX29" t="s">
        <v>3319</v>
      </c>
      <c r="ANY29" t="s">
        <v>3320</v>
      </c>
      <c r="ANZ29" t="s">
        <v>3321</v>
      </c>
      <c r="AOA29" t="s">
        <v>3322</v>
      </c>
      <c r="AOB29" t="s">
        <v>3323</v>
      </c>
      <c r="AOC29" t="s">
        <v>3324</v>
      </c>
      <c r="AOD29" t="s">
        <v>3325</v>
      </c>
      <c r="AOE29" t="s">
        <v>3326</v>
      </c>
      <c r="AOF29" t="s">
        <v>3327</v>
      </c>
      <c r="AOG29" t="s">
        <v>3328</v>
      </c>
      <c r="AOH29" t="s">
        <v>3329</v>
      </c>
      <c r="AOI29" t="s">
        <v>3330</v>
      </c>
      <c r="AOJ29" t="s">
        <v>3331</v>
      </c>
      <c r="AOK29" t="s">
        <v>3332</v>
      </c>
      <c r="AOL29" t="s">
        <v>3333</v>
      </c>
      <c r="AOM29" t="s">
        <v>3334</v>
      </c>
      <c r="AON29" t="s">
        <v>3335</v>
      </c>
      <c r="AOO29" t="s">
        <v>3336</v>
      </c>
      <c r="AOP29" t="s">
        <v>3337</v>
      </c>
      <c r="AOQ29" t="s">
        <v>3338</v>
      </c>
      <c r="AOR29" t="s">
        <v>3339</v>
      </c>
      <c r="AOS29" t="s">
        <v>3340</v>
      </c>
      <c r="AOT29" t="s">
        <v>3341</v>
      </c>
      <c r="AOU29" t="s">
        <v>3342</v>
      </c>
      <c r="AOV29" t="s">
        <v>3343</v>
      </c>
      <c r="AOW29" t="s">
        <v>3344</v>
      </c>
      <c r="AOX29" t="s">
        <v>3345</v>
      </c>
      <c r="AOY29" t="s">
        <v>3346</v>
      </c>
      <c r="AOZ29" t="s">
        <v>3347</v>
      </c>
      <c r="APA29" t="s">
        <v>3348</v>
      </c>
      <c r="APB29" t="s">
        <v>3349</v>
      </c>
      <c r="APC29" t="s">
        <v>3350</v>
      </c>
      <c r="APD29" t="s">
        <v>3351</v>
      </c>
      <c r="APE29" t="s">
        <v>3352</v>
      </c>
      <c r="APF29" t="s">
        <v>3353</v>
      </c>
      <c r="APG29" t="s">
        <v>3354</v>
      </c>
      <c r="APH29" t="s">
        <v>3355</v>
      </c>
      <c r="API29" t="s">
        <v>3356</v>
      </c>
      <c r="APJ29" t="s">
        <v>3357</v>
      </c>
      <c r="APK29" t="s">
        <v>3358</v>
      </c>
      <c r="APL29" t="s">
        <v>3359</v>
      </c>
      <c r="APM29" t="s">
        <v>3360</v>
      </c>
      <c r="APN29" t="s">
        <v>3361</v>
      </c>
      <c r="APO29" t="s">
        <v>3362</v>
      </c>
      <c r="APP29" t="s">
        <v>3363</v>
      </c>
      <c r="APQ29" t="s">
        <v>3364</v>
      </c>
      <c r="APR29" t="s">
        <v>3365</v>
      </c>
      <c r="APS29" t="s">
        <v>3366</v>
      </c>
      <c r="APT29" t="s">
        <v>3367</v>
      </c>
      <c r="APU29" t="s">
        <v>3368</v>
      </c>
      <c r="APV29" t="s">
        <v>3369</v>
      </c>
      <c r="APW29" t="s">
        <v>3370</v>
      </c>
      <c r="APX29" t="s">
        <v>3371</v>
      </c>
      <c r="APY29" t="s">
        <v>3372</v>
      </c>
      <c r="APZ29" t="s">
        <v>3373</v>
      </c>
      <c r="AQA29" t="s">
        <v>3374</v>
      </c>
      <c r="AQB29" t="s">
        <v>3375</v>
      </c>
      <c r="AQC29" t="s">
        <v>3376</v>
      </c>
      <c r="AQD29" t="s">
        <v>3377</v>
      </c>
      <c r="AQE29" t="s">
        <v>3378</v>
      </c>
      <c r="AQF29" t="s">
        <v>3379</v>
      </c>
      <c r="AQG29" t="s">
        <v>3380</v>
      </c>
      <c r="AQH29" t="s">
        <v>3381</v>
      </c>
      <c r="AQI29" t="s">
        <v>3382</v>
      </c>
      <c r="AQJ29" t="s">
        <v>3383</v>
      </c>
      <c r="AQK29" t="s">
        <v>3384</v>
      </c>
      <c r="AQL29" t="s">
        <v>3385</v>
      </c>
      <c r="AQM29" t="s">
        <v>3386</v>
      </c>
      <c r="AQN29" t="s">
        <v>3387</v>
      </c>
      <c r="AQO29" t="s">
        <v>3388</v>
      </c>
      <c r="AQP29" t="s">
        <v>3389</v>
      </c>
      <c r="AQQ29" t="s">
        <v>3390</v>
      </c>
      <c r="AQR29" t="s">
        <v>3391</v>
      </c>
      <c r="AQS29" t="s">
        <v>3392</v>
      </c>
      <c r="AQT29" t="s">
        <v>3393</v>
      </c>
      <c r="AQU29" t="s">
        <v>3394</v>
      </c>
      <c r="AQV29" t="s">
        <v>3395</v>
      </c>
      <c r="AQW29" t="s">
        <v>3396</v>
      </c>
      <c r="AQX29" t="s">
        <v>3397</v>
      </c>
      <c r="AQY29" t="s">
        <v>3398</v>
      </c>
      <c r="AQZ29" t="s">
        <v>3399</v>
      </c>
      <c r="ARA29" t="s">
        <v>3400</v>
      </c>
      <c r="ARB29" t="s">
        <v>3401</v>
      </c>
      <c r="ARC29" t="s">
        <v>3402</v>
      </c>
      <c r="ARD29" t="s">
        <v>3403</v>
      </c>
      <c r="ARE29" t="s">
        <v>3404</v>
      </c>
      <c r="ARF29" t="s">
        <v>3405</v>
      </c>
      <c r="ARG29" t="s">
        <v>3406</v>
      </c>
      <c r="ARH29" t="s">
        <v>3407</v>
      </c>
      <c r="ARI29" t="s">
        <v>3408</v>
      </c>
      <c r="ARJ29" t="s">
        <v>3409</v>
      </c>
      <c r="ARK29" t="s">
        <v>3410</v>
      </c>
      <c r="ARL29" t="s">
        <v>3411</v>
      </c>
      <c r="ARM29" t="s">
        <v>3412</v>
      </c>
      <c r="ARN29" t="s">
        <v>3413</v>
      </c>
      <c r="ARO29" t="s">
        <v>3414</v>
      </c>
      <c r="ARP29" t="s">
        <v>3415</v>
      </c>
      <c r="ARQ29" t="s">
        <v>3416</v>
      </c>
      <c r="ARR29" t="s">
        <v>3417</v>
      </c>
      <c r="ARS29" t="s">
        <v>3418</v>
      </c>
      <c r="ART29" t="s">
        <v>3419</v>
      </c>
      <c r="ARU29" t="s">
        <v>3420</v>
      </c>
      <c r="ARV29" t="s">
        <v>3421</v>
      </c>
      <c r="ARW29" t="s">
        <v>3422</v>
      </c>
      <c r="ARX29" t="s">
        <v>3423</v>
      </c>
      <c r="ARY29" t="s">
        <v>3424</v>
      </c>
      <c r="ARZ29" t="s">
        <v>3425</v>
      </c>
      <c r="ASA29" t="s">
        <v>3426</v>
      </c>
      <c r="ASB29" t="s">
        <v>3427</v>
      </c>
      <c r="ASC29" t="s">
        <v>3428</v>
      </c>
      <c r="ASD29" t="s">
        <v>3429</v>
      </c>
      <c r="ASE29" t="s">
        <v>3430</v>
      </c>
      <c r="ASF29" t="s">
        <v>3431</v>
      </c>
      <c r="ASG29" t="s">
        <v>3432</v>
      </c>
      <c r="ASH29" t="s">
        <v>3433</v>
      </c>
      <c r="ASI29" t="s">
        <v>3434</v>
      </c>
      <c r="ASJ29" t="s">
        <v>3435</v>
      </c>
      <c r="ASK29" t="s">
        <v>3436</v>
      </c>
      <c r="ASL29" t="s">
        <v>3437</v>
      </c>
      <c r="ASM29" t="s">
        <v>3438</v>
      </c>
      <c r="ASN29" t="s">
        <v>3439</v>
      </c>
      <c r="ASO29" t="s">
        <v>3440</v>
      </c>
      <c r="ASP29" t="s">
        <v>3441</v>
      </c>
      <c r="ASQ29" t="s">
        <v>3442</v>
      </c>
      <c r="ASR29" t="s">
        <v>3443</v>
      </c>
      <c r="ASS29" t="s">
        <v>3444</v>
      </c>
      <c r="AST29" t="s">
        <v>3445</v>
      </c>
      <c r="ASU29" t="s">
        <v>3446</v>
      </c>
      <c r="ASV29" t="s">
        <v>3447</v>
      </c>
      <c r="ASW29" t="s">
        <v>3448</v>
      </c>
      <c r="ASX29" t="s">
        <v>3449</v>
      </c>
      <c r="ASY29" t="s">
        <v>3450</v>
      </c>
      <c r="ASZ29" t="s">
        <v>3451</v>
      </c>
      <c r="ATA29" t="s">
        <v>3452</v>
      </c>
      <c r="ATB29" t="s">
        <v>3453</v>
      </c>
      <c r="ATC29" t="s">
        <v>3454</v>
      </c>
      <c r="ATD29" t="s">
        <v>3455</v>
      </c>
      <c r="ATE29" t="s">
        <v>3456</v>
      </c>
      <c r="ATF29" t="s">
        <v>3457</v>
      </c>
      <c r="ATG29" t="s">
        <v>3458</v>
      </c>
      <c r="ATH29" t="s">
        <v>3459</v>
      </c>
      <c r="ATI29" t="s">
        <v>3460</v>
      </c>
      <c r="ATJ29" t="s">
        <v>3461</v>
      </c>
      <c r="ATK29" t="s">
        <v>3462</v>
      </c>
      <c r="ATL29" t="s">
        <v>3463</v>
      </c>
      <c r="ATM29" t="s">
        <v>3464</v>
      </c>
      <c r="ATN29" t="s">
        <v>3465</v>
      </c>
      <c r="ATO29" t="s">
        <v>3466</v>
      </c>
      <c r="ATP29" t="s">
        <v>3467</v>
      </c>
      <c r="ATQ29" t="s">
        <v>3468</v>
      </c>
      <c r="ATR29" t="s">
        <v>3469</v>
      </c>
      <c r="ATS29" t="s">
        <v>3470</v>
      </c>
      <c r="ATT29" t="s">
        <v>3471</v>
      </c>
      <c r="ATU29" t="s">
        <v>3472</v>
      </c>
      <c r="ATV29" t="s">
        <v>3473</v>
      </c>
      <c r="ATW29" t="s">
        <v>3474</v>
      </c>
      <c r="ATX29" t="s">
        <v>3475</v>
      </c>
      <c r="ATY29" t="s">
        <v>3476</v>
      </c>
      <c r="ATZ29" t="s">
        <v>3477</v>
      </c>
      <c r="AUA29" t="s">
        <v>3478</v>
      </c>
      <c r="AUB29" t="s">
        <v>3479</v>
      </c>
      <c r="AUC29" t="s">
        <v>3480</v>
      </c>
      <c r="AUD29" t="s">
        <v>3481</v>
      </c>
      <c r="AUE29" t="s">
        <v>3482</v>
      </c>
      <c r="AUF29" t="s">
        <v>3483</v>
      </c>
      <c r="AUG29" t="s">
        <v>3484</v>
      </c>
      <c r="AUH29" t="s">
        <v>3485</v>
      </c>
      <c r="AUI29" t="s">
        <v>3486</v>
      </c>
      <c r="AUJ29" t="s">
        <v>3487</v>
      </c>
      <c r="AUK29" t="s">
        <v>3488</v>
      </c>
      <c r="AUL29" t="s">
        <v>3489</v>
      </c>
      <c r="AUM29" t="s">
        <v>3490</v>
      </c>
      <c r="AUN29" t="s">
        <v>3491</v>
      </c>
      <c r="AUO29" t="s">
        <v>3492</v>
      </c>
      <c r="AUP29" t="s">
        <v>3493</v>
      </c>
      <c r="AUQ29" t="s">
        <v>3494</v>
      </c>
      <c r="AUR29" t="s">
        <v>3495</v>
      </c>
      <c r="AUS29" t="s">
        <v>3496</v>
      </c>
      <c r="AUT29" t="s">
        <v>3497</v>
      </c>
      <c r="AUU29" t="s">
        <v>3498</v>
      </c>
      <c r="AUV29" t="s">
        <v>3499</v>
      </c>
      <c r="AUW29" t="s">
        <v>3500</v>
      </c>
      <c r="AUX29" t="s">
        <v>3501</v>
      </c>
      <c r="AUY29" t="s">
        <v>3502</v>
      </c>
      <c r="AUZ29" t="s">
        <v>3503</v>
      </c>
      <c r="AVA29" t="s">
        <v>3504</v>
      </c>
      <c r="AVB29" t="s">
        <v>3505</v>
      </c>
      <c r="AVC29" t="s">
        <v>3506</v>
      </c>
      <c r="AVD29" t="s">
        <v>3507</v>
      </c>
      <c r="AVE29" t="s">
        <v>3508</v>
      </c>
      <c r="AVF29" t="s">
        <v>3509</v>
      </c>
      <c r="AVG29" t="s">
        <v>3510</v>
      </c>
      <c r="AVH29" t="s">
        <v>3511</v>
      </c>
      <c r="AVI29" t="s">
        <v>3512</v>
      </c>
      <c r="AVJ29" t="s">
        <v>3513</v>
      </c>
      <c r="AVK29" t="s">
        <v>3514</v>
      </c>
      <c r="AVL29" t="s">
        <v>3515</v>
      </c>
      <c r="AVM29" t="s">
        <v>3516</v>
      </c>
      <c r="AVN29" t="s">
        <v>3517</v>
      </c>
      <c r="AVO29" t="s">
        <v>3518</v>
      </c>
      <c r="AVP29" t="s">
        <v>3519</v>
      </c>
      <c r="AVQ29" t="s">
        <v>3520</v>
      </c>
      <c r="AVR29" t="s">
        <v>3521</v>
      </c>
      <c r="AVS29" t="s">
        <v>3522</v>
      </c>
      <c r="AVT29" t="s">
        <v>3523</v>
      </c>
      <c r="AVU29" t="s">
        <v>3524</v>
      </c>
      <c r="AVV29" t="s">
        <v>3525</v>
      </c>
      <c r="AVW29" t="s">
        <v>3526</v>
      </c>
      <c r="AVX29" t="s">
        <v>3527</v>
      </c>
      <c r="AVY29" t="s">
        <v>3528</v>
      </c>
      <c r="AVZ29" t="s">
        <v>3529</v>
      </c>
      <c r="AWA29" t="s">
        <v>3530</v>
      </c>
      <c r="AWB29" t="s">
        <v>3531</v>
      </c>
      <c r="AWC29" t="s">
        <v>3532</v>
      </c>
      <c r="AWD29" t="s">
        <v>3533</v>
      </c>
      <c r="AWE29" t="s">
        <v>3534</v>
      </c>
      <c r="AWF29" t="s">
        <v>3535</v>
      </c>
      <c r="AWG29" t="s">
        <v>3536</v>
      </c>
      <c r="AWH29" t="s">
        <v>3537</v>
      </c>
      <c r="AWI29" t="s">
        <v>3538</v>
      </c>
      <c r="AWJ29" t="s">
        <v>3539</v>
      </c>
      <c r="AWK29" t="s">
        <v>3540</v>
      </c>
      <c r="AWL29" t="s">
        <v>3541</v>
      </c>
      <c r="AWM29" t="s">
        <v>3542</v>
      </c>
      <c r="AWN29" t="s">
        <v>3543</v>
      </c>
      <c r="AWO29" t="s">
        <v>3544</v>
      </c>
      <c r="AWP29" t="s">
        <v>3545</v>
      </c>
      <c r="AWQ29" t="s">
        <v>3546</v>
      </c>
      <c r="AWR29" t="s">
        <v>3547</v>
      </c>
      <c r="AWS29" t="s">
        <v>3548</v>
      </c>
      <c r="AWT29" t="s">
        <v>3549</v>
      </c>
      <c r="AWU29" t="s">
        <v>3550</v>
      </c>
      <c r="AWV29" t="s">
        <v>3551</v>
      </c>
      <c r="AWW29" t="s">
        <v>3552</v>
      </c>
      <c r="AWX29" t="s">
        <v>3553</v>
      </c>
      <c r="AWY29" t="s">
        <v>3554</v>
      </c>
      <c r="AWZ29" t="s">
        <v>3555</v>
      </c>
      <c r="AXA29" t="s">
        <v>3556</v>
      </c>
      <c r="AXB29" t="s">
        <v>3557</v>
      </c>
      <c r="AXC29" t="s">
        <v>3558</v>
      </c>
      <c r="AXD29" t="s">
        <v>3559</v>
      </c>
      <c r="AXE29" t="s">
        <v>3560</v>
      </c>
      <c r="AXF29" t="s">
        <v>3561</v>
      </c>
      <c r="AXG29" t="s">
        <v>3562</v>
      </c>
      <c r="AXH29" t="s">
        <v>3563</v>
      </c>
      <c r="AXI29" t="s">
        <v>3564</v>
      </c>
      <c r="AXJ29" t="s">
        <v>3565</v>
      </c>
      <c r="AXK29" t="s">
        <v>3566</v>
      </c>
      <c r="AXL29" t="s">
        <v>3567</v>
      </c>
      <c r="AXM29" t="s">
        <v>3568</v>
      </c>
      <c r="AXN29" t="s">
        <v>3569</v>
      </c>
      <c r="AXO29" t="s">
        <v>3570</v>
      </c>
      <c r="AXP29" t="s">
        <v>3571</v>
      </c>
      <c r="AXQ29" t="s">
        <v>3572</v>
      </c>
      <c r="AXR29" t="s">
        <v>3573</v>
      </c>
      <c r="AXS29" t="s">
        <v>3574</v>
      </c>
      <c r="AXT29" t="s">
        <v>3575</v>
      </c>
      <c r="AXU29" t="s">
        <v>3576</v>
      </c>
      <c r="AXV29" t="s">
        <v>3577</v>
      </c>
      <c r="AXW29" t="s">
        <v>3578</v>
      </c>
      <c r="AXX29" t="s">
        <v>3579</v>
      </c>
      <c r="AXY29" t="s">
        <v>3580</v>
      </c>
      <c r="AXZ29" t="s">
        <v>3581</v>
      </c>
      <c r="AYA29" t="s">
        <v>3582</v>
      </c>
      <c r="AYB29" t="s">
        <v>3583</v>
      </c>
      <c r="AYC29" t="s">
        <v>3584</v>
      </c>
      <c r="AYD29" t="s">
        <v>3585</v>
      </c>
      <c r="AYE29" t="s">
        <v>3586</v>
      </c>
      <c r="AYF29" t="s">
        <v>3587</v>
      </c>
      <c r="AYG29" t="s">
        <v>3588</v>
      </c>
      <c r="AYH29" t="s">
        <v>3589</v>
      </c>
      <c r="AYI29" t="s">
        <v>3590</v>
      </c>
      <c r="AYJ29" t="s">
        <v>3591</v>
      </c>
      <c r="AYK29" t="s">
        <v>3592</v>
      </c>
      <c r="AYL29" t="s">
        <v>3593</v>
      </c>
      <c r="AYM29" t="s">
        <v>3594</v>
      </c>
      <c r="AYN29" t="s">
        <v>3595</v>
      </c>
      <c r="AYO29" t="s">
        <v>3596</v>
      </c>
      <c r="AYP29" t="s">
        <v>3597</v>
      </c>
      <c r="AYQ29" t="s">
        <v>3598</v>
      </c>
      <c r="AYR29" t="s">
        <v>3599</v>
      </c>
      <c r="AYS29" t="s">
        <v>3600</v>
      </c>
      <c r="AYT29" t="s">
        <v>3601</v>
      </c>
      <c r="AYU29" t="s">
        <v>3602</v>
      </c>
      <c r="AYV29" t="s">
        <v>3603</v>
      </c>
      <c r="AYW29" t="s">
        <v>3604</v>
      </c>
      <c r="AYX29" t="s">
        <v>3605</v>
      </c>
      <c r="AYY29" t="s">
        <v>3606</v>
      </c>
      <c r="AYZ29" t="s">
        <v>3607</v>
      </c>
      <c r="AZA29" t="s">
        <v>3608</v>
      </c>
      <c r="AZB29" t="s">
        <v>3609</v>
      </c>
      <c r="AZC29" t="s">
        <v>3610</v>
      </c>
      <c r="AZD29" t="s">
        <v>3611</v>
      </c>
      <c r="AZE29" t="s">
        <v>3612</v>
      </c>
      <c r="AZF29" t="s">
        <v>3613</v>
      </c>
      <c r="AZG29" t="s">
        <v>3614</v>
      </c>
      <c r="AZH29" t="s">
        <v>3615</v>
      </c>
      <c r="AZI29" t="s">
        <v>3616</v>
      </c>
      <c r="AZJ29" t="s">
        <v>3617</v>
      </c>
      <c r="AZK29" t="s">
        <v>3618</v>
      </c>
      <c r="AZL29" t="s">
        <v>3619</v>
      </c>
      <c r="AZM29" t="s">
        <v>3620</v>
      </c>
      <c r="AZN29" t="s">
        <v>3621</v>
      </c>
      <c r="AZO29" t="s">
        <v>3622</v>
      </c>
      <c r="AZP29" t="s">
        <v>3623</v>
      </c>
      <c r="AZQ29" t="s">
        <v>3624</v>
      </c>
      <c r="AZR29" t="s">
        <v>3625</v>
      </c>
      <c r="AZS29" t="s">
        <v>3626</v>
      </c>
      <c r="AZT29" t="s">
        <v>3627</v>
      </c>
      <c r="AZU29" t="s">
        <v>3628</v>
      </c>
      <c r="AZV29" t="s">
        <v>3629</v>
      </c>
      <c r="AZW29" t="s">
        <v>3630</v>
      </c>
      <c r="AZX29" t="s">
        <v>3631</v>
      </c>
      <c r="AZY29" t="s">
        <v>3632</v>
      </c>
      <c r="AZZ29" t="s">
        <v>3633</v>
      </c>
      <c r="BAA29" t="s">
        <v>3634</v>
      </c>
      <c r="BAB29" t="s">
        <v>3635</v>
      </c>
      <c r="BAC29" t="s">
        <v>3636</v>
      </c>
      <c r="BAD29" t="s">
        <v>3637</v>
      </c>
      <c r="BAE29" t="s">
        <v>3638</v>
      </c>
      <c r="BAF29" t="s">
        <v>3639</v>
      </c>
      <c r="BAG29" t="s">
        <v>3640</v>
      </c>
      <c r="BAH29" t="s">
        <v>3641</v>
      </c>
      <c r="BAI29" t="s">
        <v>3642</v>
      </c>
      <c r="BAJ29" t="s">
        <v>3643</v>
      </c>
      <c r="BAK29" t="s">
        <v>3644</v>
      </c>
      <c r="BAL29" t="s">
        <v>3645</v>
      </c>
      <c r="BAM29" t="s">
        <v>3646</v>
      </c>
      <c r="BAN29" t="s">
        <v>3647</v>
      </c>
      <c r="BAO29" t="s">
        <v>3648</v>
      </c>
      <c r="BAP29" t="s">
        <v>3649</v>
      </c>
      <c r="BAQ29" t="s">
        <v>3650</v>
      </c>
      <c r="BAR29" t="s">
        <v>3651</v>
      </c>
      <c r="BAS29" t="s">
        <v>3652</v>
      </c>
      <c r="BAT29" t="s">
        <v>3653</v>
      </c>
      <c r="BAU29" t="s">
        <v>3654</v>
      </c>
      <c r="BAV29" t="s">
        <v>3655</v>
      </c>
      <c r="BAW29" t="s">
        <v>3656</v>
      </c>
      <c r="BAX29" t="s">
        <v>3657</v>
      </c>
      <c r="BAY29" t="s">
        <v>3658</v>
      </c>
      <c r="BAZ29" t="s">
        <v>3659</v>
      </c>
      <c r="BBA29" t="s">
        <v>3660</v>
      </c>
      <c r="BBB29" t="s">
        <v>3661</v>
      </c>
      <c r="BBC29" t="s">
        <v>3662</v>
      </c>
      <c r="BBD29" t="s">
        <v>3663</v>
      </c>
      <c r="BBE29" t="s">
        <v>3664</v>
      </c>
      <c r="BBF29" t="s">
        <v>3665</v>
      </c>
      <c r="BBG29" t="s">
        <v>3666</v>
      </c>
      <c r="BBH29" t="s">
        <v>3667</v>
      </c>
      <c r="BBI29" t="s">
        <v>3668</v>
      </c>
      <c r="BBJ29" t="s">
        <v>3669</v>
      </c>
      <c r="BBK29" t="s">
        <v>3670</v>
      </c>
      <c r="BBL29" t="s">
        <v>3671</v>
      </c>
      <c r="BBM29" t="s">
        <v>3672</v>
      </c>
      <c r="BBN29" t="s">
        <v>3673</v>
      </c>
      <c r="BBO29" t="s">
        <v>3674</v>
      </c>
      <c r="BBP29" t="s">
        <v>3675</v>
      </c>
      <c r="BBQ29" t="s">
        <v>3676</v>
      </c>
      <c r="BBR29" t="s">
        <v>3677</v>
      </c>
      <c r="BBS29" t="s">
        <v>3678</v>
      </c>
      <c r="BBT29" t="s">
        <v>3679</v>
      </c>
      <c r="BBU29" t="s">
        <v>3680</v>
      </c>
      <c r="BBV29" t="s">
        <v>3681</v>
      </c>
      <c r="BBW29" t="s">
        <v>3682</v>
      </c>
      <c r="BBX29" t="s">
        <v>3683</v>
      </c>
      <c r="BBY29" t="s">
        <v>3684</v>
      </c>
      <c r="BBZ29" t="s">
        <v>3685</v>
      </c>
      <c r="BCA29" t="s">
        <v>3686</v>
      </c>
      <c r="BCB29" t="s">
        <v>3687</v>
      </c>
      <c r="BCC29" t="s">
        <v>3688</v>
      </c>
      <c r="BCD29" t="s">
        <v>3689</v>
      </c>
      <c r="BCE29" t="s">
        <v>3690</v>
      </c>
      <c r="BCF29" t="s">
        <v>3691</v>
      </c>
      <c r="BCG29" t="s">
        <v>3692</v>
      </c>
      <c r="BCH29" t="s">
        <v>3693</v>
      </c>
      <c r="BCI29" t="s">
        <v>3694</v>
      </c>
      <c r="BCJ29" t="s">
        <v>3695</v>
      </c>
      <c r="BCK29" t="s">
        <v>3696</v>
      </c>
      <c r="BCL29" t="s">
        <v>3697</v>
      </c>
      <c r="BCM29" t="s">
        <v>3698</v>
      </c>
      <c r="BCN29" t="s">
        <v>3699</v>
      </c>
      <c r="BCO29" t="s">
        <v>3700</v>
      </c>
      <c r="BCP29" t="s">
        <v>3701</v>
      </c>
      <c r="BCQ29" t="s">
        <v>3702</v>
      </c>
      <c r="BCR29" t="s">
        <v>3703</v>
      </c>
      <c r="BCS29" t="s">
        <v>3704</v>
      </c>
      <c r="BCT29" t="s">
        <v>3705</v>
      </c>
      <c r="BCU29" t="s">
        <v>3706</v>
      </c>
      <c r="BCV29" t="s">
        <v>3707</v>
      </c>
      <c r="BCW29" t="s">
        <v>3708</v>
      </c>
      <c r="BCX29" t="s">
        <v>3709</v>
      </c>
      <c r="BCY29" t="s">
        <v>3710</v>
      </c>
      <c r="BCZ29" t="s">
        <v>3711</v>
      </c>
      <c r="BDA29" t="s">
        <v>3712</v>
      </c>
      <c r="BDB29" t="s">
        <v>3713</v>
      </c>
      <c r="BDC29" t="s">
        <v>3714</v>
      </c>
      <c r="BDD29" t="s">
        <v>3715</v>
      </c>
      <c r="BDE29" t="s">
        <v>3716</v>
      </c>
      <c r="BDF29" t="s">
        <v>3717</v>
      </c>
      <c r="BDG29" t="s">
        <v>3718</v>
      </c>
      <c r="BDH29" t="s">
        <v>3719</v>
      </c>
      <c r="BDI29" t="s">
        <v>3720</v>
      </c>
      <c r="BDJ29" t="s">
        <v>3721</v>
      </c>
      <c r="BDK29" t="s">
        <v>3722</v>
      </c>
      <c r="BDL29" t="s">
        <v>3723</v>
      </c>
      <c r="BDM29" t="s">
        <v>3724</v>
      </c>
      <c r="BDN29" t="s">
        <v>3725</v>
      </c>
      <c r="BDO29" t="s">
        <v>3726</v>
      </c>
      <c r="BDP29" t="s">
        <v>3727</v>
      </c>
      <c r="BDQ29" t="s">
        <v>3728</v>
      </c>
      <c r="BDR29" t="s">
        <v>3729</v>
      </c>
      <c r="BDS29" t="s">
        <v>3730</v>
      </c>
      <c r="BDT29" t="s">
        <v>3731</v>
      </c>
      <c r="BDU29" t="s">
        <v>3732</v>
      </c>
      <c r="BDV29" t="s">
        <v>3733</v>
      </c>
      <c r="BDW29" t="s">
        <v>3734</v>
      </c>
      <c r="BDX29" t="s">
        <v>3735</v>
      </c>
      <c r="BDY29" t="s">
        <v>3736</v>
      </c>
      <c r="BDZ29" t="s">
        <v>3737</v>
      </c>
      <c r="BEA29" t="s">
        <v>3738</v>
      </c>
      <c r="BEB29" t="s">
        <v>3739</v>
      </c>
      <c r="BEC29" t="s">
        <v>3740</v>
      </c>
      <c r="BED29" t="s">
        <v>3741</v>
      </c>
      <c r="BEE29" t="s">
        <v>3742</v>
      </c>
      <c r="BEF29" t="s">
        <v>3743</v>
      </c>
      <c r="BEG29" t="s">
        <v>3744</v>
      </c>
      <c r="BEH29" t="s">
        <v>3745</v>
      </c>
      <c r="BEI29" t="s">
        <v>3746</v>
      </c>
      <c r="BEJ29" t="s">
        <v>3747</v>
      </c>
      <c r="BEK29" t="s">
        <v>3748</v>
      </c>
      <c r="BEL29" t="s">
        <v>3749</v>
      </c>
      <c r="BEM29" t="s">
        <v>3750</v>
      </c>
      <c r="BEN29" t="s">
        <v>3751</v>
      </c>
      <c r="BEO29" t="s">
        <v>3752</v>
      </c>
      <c r="BEP29" t="s">
        <v>3753</v>
      </c>
      <c r="BEQ29" t="s">
        <v>3754</v>
      </c>
      <c r="BER29" t="s">
        <v>3755</v>
      </c>
      <c r="BES29" t="s">
        <v>3756</v>
      </c>
      <c r="BET29" t="s">
        <v>3757</v>
      </c>
      <c r="BEU29" t="s">
        <v>3758</v>
      </c>
      <c r="BEV29" t="s">
        <v>3759</v>
      </c>
      <c r="BEW29" t="s">
        <v>3760</v>
      </c>
      <c r="BEX29" t="s">
        <v>3761</v>
      </c>
      <c r="BEY29" t="s">
        <v>3762</v>
      </c>
      <c r="BEZ29" t="s">
        <v>3763</v>
      </c>
      <c r="BFA29" t="s">
        <v>3764</v>
      </c>
      <c r="BFB29" t="s">
        <v>3765</v>
      </c>
      <c r="BFC29" t="s">
        <v>3766</v>
      </c>
      <c r="BFD29" t="s">
        <v>3767</v>
      </c>
      <c r="BFE29" t="s">
        <v>3768</v>
      </c>
      <c r="BFF29" t="s">
        <v>3769</v>
      </c>
      <c r="BFG29" t="s">
        <v>3770</v>
      </c>
      <c r="BFH29" t="s">
        <v>3771</v>
      </c>
      <c r="BFI29" t="s">
        <v>3772</v>
      </c>
      <c r="BFJ29" t="s">
        <v>3773</v>
      </c>
      <c r="BFK29" t="s">
        <v>3774</v>
      </c>
      <c r="BFL29" t="s">
        <v>3775</v>
      </c>
      <c r="BFM29" t="s">
        <v>3776</v>
      </c>
      <c r="BFN29" t="s">
        <v>3777</v>
      </c>
      <c r="BFO29" t="s">
        <v>3778</v>
      </c>
      <c r="BFP29" t="s">
        <v>3779</v>
      </c>
      <c r="BFQ29" t="s">
        <v>3780</v>
      </c>
      <c r="BFR29" t="s">
        <v>3781</v>
      </c>
      <c r="BFS29" t="s">
        <v>3782</v>
      </c>
      <c r="BFT29" t="s">
        <v>3783</v>
      </c>
      <c r="BFU29" t="s">
        <v>3784</v>
      </c>
      <c r="BFV29" t="s">
        <v>3785</v>
      </c>
      <c r="BFW29" t="s">
        <v>3786</v>
      </c>
      <c r="BFX29" t="s">
        <v>3787</v>
      </c>
      <c r="BFY29" t="s">
        <v>3788</v>
      </c>
      <c r="BFZ29" t="s">
        <v>3789</v>
      </c>
      <c r="BGA29" t="s">
        <v>3790</v>
      </c>
      <c r="BGB29" t="s">
        <v>3791</v>
      </c>
      <c r="BGC29" t="s">
        <v>3792</v>
      </c>
      <c r="BGD29" t="s">
        <v>3793</v>
      </c>
      <c r="BGE29" t="s">
        <v>3794</v>
      </c>
      <c r="BGF29" t="s">
        <v>3795</v>
      </c>
      <c r="BGG29" t="s">
        <v>3796</v>
      </c>
      <c r="BGH29" t="s">
        <v>3797</v>
      </c>
      <c r="BGI29" t="s">
        <v>3798</v>
      </c>
      <c r="BGJ29" t="s">
        <v>3799</v>
      </c>
      <c r="BGK29" t="s">
        <v>3800</v>
      </c>
      <c r="BGL29" t="s">
        <v>3801</v>
      </c>
      <c r="BGM29" t="s">
        <v>3802</v>
      </c>
      <c r="BGN29" t="s">
        <v>3803</v>
      </c>
      <c r="BGO29" t="s">
        <v>3804</v>
      </c>
      <c r="BGP29" t="s">
        <v>3805</v>
      </c>
      <c r="BGQ29" t="s">
        <v>3806</v>
      </c>
      <c r="BGR29" t="s">
        <v>3807</v>
      </c>
      <c r="BGS29" t="s">
        <v>3808</v>
      </c>
      <c r="BGT29" t="s">
        <v>3809</v>
      </c>
      <c r="BGU29" t="s">
        <v>3810</v>
      </c>
      <c r="BGV29" t="s">
        <v>3811</v>
      </c>
      <c r="BGW29" t="s">
        <v>3812</v>
      </c>
      <c r="BGX29" t="s">
        <v>3813</v>
      </c>
      <c r="BGY29" t="s">
        <v>3814</v>
      </c>
      <c r="BGZ29" t="s">
        <v>3815</v>
      </c>
      <c r="BHA29" t="s">
        <v>3816</v>
      </c>
      <c r="BHB29" t="s">
        <v>3817</v>
      </c>
      <c r="BHC29" t="s">
        <v>3818</v>
      </c>
      <c r="BHD29" t="s">
        <v>3819</v>
      </c>
      <c r="BHE29" t="s">
        <v>3820</v>
      </c>
      <c r="BHF29" t="s">
        <v>3821</v>
      </c>
      <c r="BHG29" t="s">
        <v>3822</v>
      </c>
      <c r="BHH29" t="s">
        <v>3823</v>
      </c>
      <c r="BHI29" t="s">
        <v>3824</v>
      </c>
      <c r="BHJ29" t="s">
        <v>3825</v>
      </c>
      <c r="BHK29" t="s">
        <v>3826</v>
      </c>
      <c r="BHL29" t="s">
        <v>3827</v>
      </c>
      <c r="BHM29" t="s">
        <v>3828</v>
      </c>
      <c r="BHN29" t="s">
        <v>3829</v>
      </c>
      <c r="BHO29" t="s">
        <v>3830</v>
      </c>
      <c r="BHP29" t="s">
        <v>3831</v>
      </c>
      <c r="BHQ29" t="s">
        <v>3832</v>
      </c>
      <c r="BHR29" t="s">
        <v>3833</v>
      </c>
      <c r="BHS29" t="s">
        <v>3834</v>
      </c>
      <c r="BHT29" t="s">
        <v>3835</v>
      </c>
      <c r="BHU29" t="s">
        <v>3836</v>
      </c>
      <c r="BHV29" t="s">
        <v>3837</v>
      </c>
      <c r="BHW29" t="s">
        <v>3838</v>
      </c>
      <c r="BHX29" t="s">
        <v>3839</v>
      </c>
      <c r="BHY29" t="s">
        <v>3840</v>
      </c>
      <c r="BHZ29" t="s">
        <v>3841</v>
      </c>
      <c r="BIA29" t="s">
        <v>3842</v>
      </c>
      <c r="BIB29" t="s">
        <v>3843</v>
      </c>
      <c r="BIC29" t="s">
        <v>3844</v>
      </c>
      <c r="BID29" t="s">
        <v>3845</v>
      </c>
      <c r="BIE29" t="s">
        <v>3846</v>
      </c>
      <c r="BIF29" t="s">
        <v>3847</v>
      </c>
      <c r="BIG29" t="s">
        <v>3848</v>
      </c>
      <c r="BIH29" t="s">
        <v>3849</v>
      </c>
      <c r="BII29" t="s">
        <v>3850</v>
      </c>
      <c r="BIJ29" t="s">
        <v>3851</v>
      </c>
      <c r="BIK29" t="s">
        <v>3852</v>
      </c>
      <c r="BIL29" t="s">
        <v>3853</v>
      </c>
      <c r="BIM29" t="s">
        <v>3854</v>
      </c>
      <c r="BIN29" t="s">
        <v>3855</v>
      </c>
      <c r="BIO29" t="s">
        <v>3856</v>
      </c>
      <c r="BIP29" t="s">
        <v>3857</v>
      </c>
      <c r="BIQ29" t="s">
        <v>3858</v>
      </c>
      <c r="BIR29" t="s">
        <v>3859</v>
      </c>
      <c r="BIS29" t="s">
        <v>3860</v>
      </c>
      <c r="BIT29" t="s">
        <v>3861</v>
      </c>
      <c r="BIU29" t="s">
        <v>3862</v>
      </c>
      <c r="BIV29" t="s">
        <v>3863</v>
      </c>
      <c r="BIW29" t="s">
        <v>3864</v>
      </c>
      <c r="BIX29" t="s">
        <v>3865</v>
      </c>
      <c r="BIY29" t="s">
        <v>3866</v>
      </c>
      <c r="BIZ29" t="s">
        <v>3867</v>
      </c>
      <c r="BJA29" t="s">
        <v>3868</v>
      </c>
      <c r="BJB29" t="s">
        <v>3869</v>
      </c>
      <c r="BJC29" t="s">
        <v>3870</v>
      </c>
      <c r="BJD29" t="s">
        <v>3871</v>
      </c>
      <c r="BJE29" t="s">
        <v>3872</v>
      </c>
      <c r="BJF29" t="s">
        <v>3873</v>
      </c>
      <c r="BJG29" t="s">
        <v>3874</v>
      </c>
      <c r="BJH29" t="s">
        <v>3875</v>
      </c>
      <c r="BJI29" t="s">
        <v>3876</v>
      </c>
      <c r="BJJ29" t="s">
        <v>3877</v>
      </c>
      <c r="BJK29" t="s">
        <v>3878</v>
      </c>
      <c r="BJL29" t="s">
        <v>3879</v>
      </c>
      <c r="BJM29" t="s">
        <v>3880</v>
      </c>
      <c r="BJN29" t="s">
        <v>3881</v>
      </c>
      <c r="BJO29" t="s">
        <v>3882</v>
      </c>
      <c r="BJP29" t="s">
        <v>3883</v>
      </c>
      <c r="BJQ29" t="s">
        <v>3884</v>
      </c>
      <c r="BJR29" t="s">
        <v>3885</v>
      </c>
      <c r="BJS29" t="s">
        <v>3886</v>
      </c>
      <c r="BJT29" t="s">
        <v>3887</v>
      </c>
      <c r="BJU29" t="s">
        <v>3888</v>
      </c>
      <c r="BJV29" t="s">
        <v>3889</v>
      </c>
      <c r="BJW29" t="s">
        <v>3890</v>
      </c>
      <c r="BJX29" t="s">
        <v>3891</v>
      </c>
      <c r="BJY29" t="s">
        <v>3892</v>
      </c>
      <c r="BJZ29" t="s">
        <v>3893</v>
      </c>
      <c r="BKA29" t="s">
        <v>3894</v>
      </c>
      <c r="BKB29" t="s">
        <v>3895</v>
      </c>
      <c r="BKC29" t="s">
        <v>3896</v>
      </c>
      <c r="BKD29" t="s">
        <v>3897</v>
      </c>
      <c r="BKE29" t="s">
        <v>3898</v>
      </c>
      <c r="BKF29" t="s">
        <v>3899</v>
      </c>
      <c r="BKG29" t="s">
        <v>3900</v>
      </c>
      <c r="BKH29" t="s">
        <v>3901</v>
      </c>
      <c r="BKI29" t="s">
        <v>3902</v>
      </c>
      <c r="BKJ29" t="s">
        <v>3903</v>
      </c>
      <c r="BKK29" t="s">
        <v>3904</v>
      </c>
      <c r="BKL29" t="s">
        <v>3905</v>
      </c>
      <c r="BKM29" t="s">
        <v>3906</v>
      </c>
      <c r="BKN29" t="s">
        <v>3907</v>
      </c>
      <c r="BKO29" t="s">
        <v>3908</v>
      </c>
      <c r="BKP29" t="s">
        <v>3909</v>
      </c>
      <c r="BKQ29" t="s">
        <v>3910</v>
      </c>
      <c r="BKR29" t="s">
        <v>3911</v>
      </c>
      <c r="BKS29" t="s">
        <v>3912</v>
      </c>
      <c r="BKT29" t="s">
        <v>3913</v>
      </c>
      <c r="BKU29" t="s">
        <v>3914</v>
      </c>
      <c r="BKV29" t="s">
        <v>3915</v>
      </c>
      <c r="BKW29" t="s">
        <v>3916</v>
      </c>
      <c r="BKX29" t="s">
        <v>3917</v>
      </c>
      <c r="BKY29" t="s">
        <v>3918</v>
      </c>
      <c r="BKZ29" t="s">
        <v>3919</v>
      </c>
      <c r="BLA29" t="s">
        <v>3920</v>
      </c>
      <c r="BLB29" t="s">
        <v>3921</v>
      </c>
      <c r="BLC29" t="s">
        <v>3922</v>
      </c>
      <c r="BLD29" t="s">
        <v>3923</v>
      </c>
      <c r="BLE29" t="s">
        <v>3924</v>
      </c>
      <c r="BLF29" t="s">
        <v>3925</v>
      </c>
      <c r="BLG29" t="s">
        <v>3926</v>
      </c>
      <c r="BLH29" t="s">
        <v>3927</v>
      </c>
      <c r="BLI29" t="s">
        <v>3928</v>
      </c>
      <c r="BLJ29" t="s">
        <v>3929</v>
      </c>
      <c r="BLK29" t="s">
        <v>3930</v>
      </c>
      <c r="BLL29" t="s">
        <v>3931</v>
      </c>
      <c r="BLM29" t="s">
        <v>3932</v>
      </c>
      <c r="BLN29" t="s">
        <v>3933</v>
      </c>
      <c r="BLO29" t="s">
        <v>3934</v>
      </c>
      <c r="BLP29" t="s">
        <v>3935</v>
      </c>
      <c r="BLQ29" t="s">
        <v>3936</v>
      </c>
      <c r="BLR29" t="s">
        <v>3937</v>
      </c>
      <c r="BLS29" t="s">
        <v>3938</v>
      </c>
      <c r="BLT29" t="s">
        <v>3939</v>
      </c>
      <c r="BLU29" t="s">
        <v>3940</v>
      </c>
      <c r="BLV29" t="s">
        <v>3941</v>
      </c>
      <c r="BLW29" t="s">
        <v>3942</v>
      </c>
      <c r="BLX29" t="s">
        <v>3943</v>
      </c>
      <c r="BLY29" t="s">
        <v>3944</v>
      </c>
      <c r="BLZ29" t="s">
        <v>3945</v>
      </c>
      <c r="BMA29" t="s">
        <v>3946</v>
      </c>
      <c r="BMB29" t="s">
        <v>3947</v>
      </c>
      <c r="BMC29" t="s">
        <v>3948</v>
      </c>
      <c r="BMD29" t="s">
        <v>3949</v>
      </c>
      <c r="BME29" t="s">
        <v>3950</v>
      </c>
      <c r="BMF29" t="s">
        <v>3951</v>
      </c>
      <c r="BMG29" t="s">
        <v>3952</v>
      </c>
      <c r="BMH29" t="s">
        <v>3953</v>
      </c>
      <c r="BMI29" t="s">
        <v>3954</v>
      </c>
      <c r="BMJ29" t="s">
        <v>3955</v>
      </c>
      <c r="BMK29" t="s">
        <v>3956</v>
      </c>
      <c r="BML29" t="s">
        <v>3957</v>
      </c>
      <c r="BMM29" t="s">
        <v>3958</v>
      </c>
      <c r="BMN29" t="s">
        <v>3959</v>
      </c>
      <c r="BMO29" t="s">
        <v>3960</v>
      </c>
      <c r="BMP29" t="s">
        <v>3961</v>
      </c>
      <c r="BMQ29" t="s">
        <v>3962</v>
      </c>
      <c r="BMR29" t="s">
        <v>3963</v>
      </c>
      <c r="BMS29" t="s">
        <v>3964</v>
      </c>
      <c r="BMT29" t="s">
        <v>3965</v>
      </c>
      <c r="BMU29" t="s">
        <v>3966</v>
      </c>
      <c r="BMV29" t="s">
        <v>3967</v>
      </c>
      <c r="BMW29" t="s">
        <v>3968</v>
      </c>
      <c r="BMX29" t="s">
        <v>3969</v>
      </c>
      <c r="BMY29" t="s">
        <v>3970</v>
      </c>
      <c r="BMZ29" t="s">
        <v>3971</v>
      </c>
      <c r="BNA29" t="s">
        <v>3972</v>
      </c>
      <c r="BNB29" t="s">
        <v>3973</v>
      </c>
      <c r="BNC29" t="s">
        <v>3974</v>
      </c>
      <c r="BND29" t="s">
        <v>3975</v>
      </c>
      <c r="BNE29" t="s">
        <v>3976</v>
      </c>
      <c r="BNF29" t="s">
        <v>3977</v>
      </c>
      <c r="BNG29" t="s">
        <v>3978</v>
      </c>
      <c r="BNH29" t="s">
        <v>3979</v>
      </c>
      <c r="BNI29" t="s">
        <v>3980</v>
      </c>
      <c r="BNJ29" t="s">
        <v>3981</v>
      </c>
      <c r="BNK29" t="s">
        <v>3982</v>
      </c>
      <c r="BNL29" t="s">
        <v>3983</v>
      </c>
      <c r="BNM29" t="s">
        <v>3984</v>
      </c>
      <c r="BNN29" t="s">
        <v>3985</v>
      </c>
      <c r="BNO29" t="s">
        <v>3986</v>
      </c>
      <c r="BNP29" t="s">
        <v>3987</v>
      </c>
      <c r="BNQ29" t="s">
        <v>3988</v>
      </c>
      <c r="BNR29" t="s">
        <v>3989</v>
      </c>
      <c r="BNS29" t="s">
        <v>3990</v>
      </c>
      <c r="BNT29" t="s">
        <v>3991</v>
      </c>
      <c r="BNU29" t="s">
        <v>3992</v>
      </c>
      <c r="BNV29" t="s">
        <v>3993</v>
      </c>
      <c r="BNW29" t="s">
        <v>3994</v>
      </c>
      <c r="BNX29" t="s">
        <v>3995</v>
      </c>
      <c r="BNY29" t="s">
        <v>3996</v>
      </c>
      <c r="BNZ29" t="s">
        <v>3997</v>
      </c>
      <c r="BOA29" t="s">
        <v>3998</v>
      </c>
      <c r="BOB29" t="s">
        <v>3999</v>
      </c>
      <c r="BOC29" t="s">
        <v>4000</v>
      </c>
      <c r="BOD29" t="s">
        <v>4001</v>
      </c>
      <c r="BOE29" t="s">
        <v>4002</v>
      </c>
      <c r="BOF29" t="s">
        <v>4003</v>
      </c>
      <c r="BOG29" t="s">
        <v>4004</v>
      </c>
      <c r="BOH29" t="s">
        <v>4005</v>
      </c>
      <c r="BOI29" t="s">
        <v>4006</v>
      </c>
      <c r="BOJ29" t="s">
        <v>4007</v>
      </c>
      <c r="BOK29" t="s">
        <v>4008</v>
      </c>
      <c r="BOL29" t="s">
        <v>4009</v>
      </c>
      <c r="BOM29" t="s">
        <v>4010</v>
      </c>
      <c r="BON29" t="s">
        <v>4011</v>
      </c>
      <c r="BOO29" t="s">
        <v>4012</v>
      </c>
      <c r="BOP29" t="s">
        <v>4013</v>
      </c>
      <c r="BOQ29" t="s">
        <v>4014</v>
      </c>
      <c r="BOR29" t="s">
        <v>4015</v>
      </c>
      <c r="BOS29" t="s">
        <v>4016</v>
      </c>
      <c r="BOT29" t="s">
        <v>4017</v>
      </c>
      <c r="BOU29" t="s">
        <v>4018</v>
      </c>
      <c r="BOV29" t="s">
        <v>4019</v>
      </c>
      <c r="BOW29" t="s">
        <v>4020</v>
      </c>
      <c r="BOX29" t="s">
        <v>4021</v>
      </c>
      <c r="BOY29" t="s">
        <v>4022</v>
      </c>
      <c r="BOZ29" t="s">
        <v>4023</v>
      </c>
      <c r="BPA29" t="s">
        <v>4024</v>
      </c>
      <c r="BPB29" t="s">
        <v>4025</v>
      </c>
      <c r="BPC29" t="s">
        <v>4026</v>
      </c>
      <c r="BPD29" t="s">
        <v>4027</v>
      </c>
      <c r="BPE29" t="s">
        <v>4028</v>
      </c>
      <c r="BPF29" t="s">
        <v>4029</v>
      </c>
      <c r="BPG29" t="s">
        <v>4030</v>
      </c>
      <c r="BPH29" t="s">
        <v>4031</v>
      </c>
      <c r="BPI29" t="s">
        <v>4032</v>
      </c>
      <c r="BPJ29" t="s">
        <v>4033</v>
      </c>
      <c r="BPK29" t="s">
        <v>4034</v>
      </c>
      <c r="BPL29" t="s">
        <v>4035</v>
      </c>
      <c r="BPM29" t="s">
        <v>4036</v>
      </c>
      <c r="BPN29" t="s">
        <v>4037</v>
      </c>
      <c r="BPO29" t="s">
        <v>4038</v>
      </c>
      <c r="BPP29" t="s">
        <v>4039</v>
      </c>
      <c r="BPQ29" t="s">
        <v>4040</v>
      </c>
      <c r="BPR29" t="s">
        <v>4041</v>
      </c>
      <c r="BPS29" t="s">
        <v>4042</v>
      </c>
      <c r="BPT29" t="s">
        <v>4043</v>
      </c>
      <c r="BPU29" t="s">
        <v>4044</v>
      </c>
      <c r="BPV29" t="s">
        <v>4045</v>
      </c>
      <c r="BPW29" t="s">
        <v>4046</v>
      </c>
      <c r="BPX29" t="s">
        <v>4047</v>
      </c>
      <c r="BPY29" t="s">
        <v>4048</v>
      </c>
      <c r="BPZ29" t="s">
        <v>4049</v>
      </c>
      <c r="BQA29" t="s">
        <v>4050</v>
      </c>
      <c r="BQB29" t="s">
        <v>4051</v>
      </c>
      <c r="BQC29" t="s">
        <v>4052</v>
      </c>
      <c r="BQD29" t="s">
        <v>4053</v>
      </c>
      <c r="BQE29" t="s">
        <v>4054</v>
      </c>
      <c r="BQF29" t="s">
        <v>4055</v>
      </c>
      <c r="BQG29" t="s">
        <v>4056</v>
      </c>
      <c r="BQH29" t="s">
        <v>4057</v>
      </c>
      <c r="BQI29" t="s">
        <v>4058</v>
      </c>
      <c r="BQJ29" t="s">
        <v>4059</v>
      </c>
      <c r="BQK29" t="s">
        <v>4060</v>
      </c>
      <c r="BQL29" t="s">
        <v>4061</v>
      </c>
      <c r="BQM29" t="s">
        <v>4062</v>
      </c>
      <c r="BQN29" t="s">
        <v>4063</v>
      </c>
      <c r="BQO29" t="s">
        <v>4064</v>
      </c>
      <c r="BQP29" t="s">
        <v>4065</v>
      </c>
      <c r="BQQ29" t="s">
        <v>4066</v>
      </c>
      <c r="BQR29" t="s">
        <v>4067</v>
      </c>
      <c r="BQS29" t="s">
        <v>4068</v>
      </c>
      <c r="BQT29" t="s">
        <v>4069</v>
      </c>
      <c r="BQU29" t="s">
        <v>4070</v>
      </c>
      <c r="BQV29" t="s">
        <v>4071</v>
      </c>
      <c r="BQW29" t="s">
        <v>4072</v>
      </c>
      <c r="BQX29" t="s">
        <v>4073</v>
      </c>
      <c r="BQY29" t="s">
        <v>4074</v>
      </c>
      <c r="BQZ29" t="s">
        <v>4075</v>
      </c>
      <c r="BRA29" t="s">
        <v>4076</v>
      </c>
      <c r="BRB29" t="s">
        <v>4077</v>
      </c>
      <c r="BRC29" t="s">
        <v>4078</v>
      </c>
      <c r="BRD29" t="s">
        <v>4079</v>
      </c>
      <c r="BRE29" t="s">
        <v>4080</v>
      </c>
      <c r="BRF29" t="s">
        <v>4081</v>
      </c>
      <c r="BRG29" t="s">
        <v>4082</v>
      </c>
      <c r="BRH29" t="s">
        <v>4083</v>
      </c>
      <c r="BRI29" t="s">
        <v>4084</v>
      </c>
      <c r="BRJ29" t="s">
        <v>4085</v>
      </c>
      <c r="BRK29" t="s">
        <v>4086</v>
      </c>
      <c r="BRL29" t="s">
        <v>4087</v>
      </c>
      <c r="BRM29" t="s">
        <v>4088</v>
      </c>
      <c r="BRN29" t="s">
        <v>4089</v>
      </c>
      <c r="BRO29" t="s">
        <v>4090</v>
      </c>
      <c r="BRP29" t="s">
        <v>4091</v>
      </c>
      <c r="BRQ29" t="s">
        <v>4092</v>
      </c>
      <c r="BRR29" t="s">
        <v>4093</v>
      </c>
      <c r="BRS29" t="s">
        <v>4094</v>
      </c>
      <c r="BRT29" t="s">
        <v>4095</v>
      </c>
      <c r="BRU29" t="s">
        <v>4096</v>
      </c>
      <c r="BRV29" t="s">
        <v>4097</v>
      </c>
      <c r="BRW29" t="s">
        <v>4098</v>
      </c>
      <c r="BRX29" t="s">
        <v>4099</v>
      </c>
      <c r="BRY29" t="s">
        <v>4100</v>
      </c>
      <c r="BRZ29" t="s">
        <v>4101</v>
      </c>
      <c r="BSA29" t="s">
        <v>4102</v>
      </c>
      <c r="BSB29" t="s">
        <v>4103</v>
      </c>
      <c r="BSC29" t="s">
        <v>4104</v>
      </c>
      <c r="BSD29" t="s">
        <v>4105</v>
      </c>
      <c r="BSE29" t="s">
        <v>4106</v>
      </c>
      <c r="BSF29" t="s">
        <v>4107</v>
      </c>
      <c r="BSG29" t="s">
        <v>4108</v>
      </c>
      <c r="BSH29" t="s">
        <v>4109</v>
      </c>
      <c r="BSI29" t="s">
        <v>4110</v>
      </c>
      <c r="BSJ29" t="s">
        <v>4111</v>
      </c>
      <c r="BSK29" t="s">
        <v>4112</v>
      </c>
      <c r="BSL29" t="s">
        <v>4113</v>
      </c>
      <c r="BSM29" t="s">
        <v>4114</v>
      </c>
      <c r="BSN29" t="s">
        <v>4115</v>
      </c>
      <c r="BSO29" t="s">
        <v>4116</v>
      </c>
      <c r="BSP29" t="s">
        <v>4117</v>
      </c>
      <c r="BSQ29" t="s">
        <v>4118</v>
      </c>
      <c r="BSR29" t="s">
        <v>4119</v>
      </c>
      <c r="BSS29" t="s">
        <v>4120</v>
      </c>
      <c r="BST29" t="s">
        <v>4121</v>
      </c>
      <c r="BSU29" t="s">
        <v>4122</v>
      </c>
      <c r="BSV29" t="s">
        <v>4123</v>
      </c>
      <c r="BSW29" t="s">
        <v>4124</v>
      </c>
      <c r="BSX29" t="s">
        <v>4125</v>
      </c>
      <c r="BSY29" t="s">
        <v>4126</v>
      </c>
      <c r="BSZ29" t="s">
        <v>4127</v>
      </c>
      <c r="BTA29" t="s">
        <v>4128</v>
      </c>
      <c r="BTB29" t="s">
        <v>4129</v>
      </c>
      <c r="BTC29" t="s">
        <v>4130</v>
      </c>
      <c r="BTD29" t="s">
        <v>4131</v>
      </c>
      <c r="BTE29" t="s">
        <v>4132</v>
      </c>
      <c r="BTF29" t="s">
        <v>4133</v>
      </c>
      <c r="BTG29" t="s">
        <v>4134</v>
      </c>
      <c r="BTH29" t="s">
        <v>4135</v>
      </c>
      <c r="BTI29" t="s">
        <v>4136</v>
      </c>
      <c r="BTJ29" t="s">
        <v>4137</v>
      </c>
      <c r="BTK29" t="s">
        <v>4138</v>
      </c>
      <c r="BTL29" t="s">
        <v>4139</v>
      </c>
      <c r="BTM29" t="s">
        <v>4140</v>
      </c>
      <c r="BTN29" t="s">
        <v>4141</v>
      </c>
      <c r="BTO29" t="s">
        <v>4142</v>
      </c>
      <c r="BTP29" t="s">
        <v>4143</v>
      </c>
      <c r="BTQ29" t="s">
        <v>4144</v>
      </c>
      <c r="BTR29" t="s">
        <v>4145</v>
      </c>
      <c r="BTS29" t="s">
        <v>4146</v>
      </c>
      <c r="BTT29" t="s">
        <v>4147</v>
      </c>
      <c r="BTU29" t="s">
        <v>4148</v>
      </c>
      <c r="BTV29" t="s">
        <v>4149</v>
      </c>
      <c r="BTW29" t="s">
        <v>4150</v>
      </c>
      <c r="BTX29" t="s">
        <v>4151</v>
      </c>
      <c r="BTY29" t="s">
        <v>4152</v>
      </c>
      <c r="BTZ29" t="s">
        <v>4153</v>
      </c>
      <c r="BUA29" t="s">
        <v>4154</v>
      </c>
      <c r="BUB29" t="s">
        <v>4155</v>
      </c>
      <c r="BUC29" t="s">
        <v>4156</v>
      </c>
      <c r="BUD29" t="s">
        <v>4157</v>
      </c>
      <c r="BUE29" t="s">
        <v>4158</v>
      </c>
      <c r="BUF29" t="s">
        <v>4159</v>
      </c>
      <c r="BUG29" t="s">
        <v>4160</v>
      </c>
      <c r="BUH29" t="s">
        <v>4161</v>
      </c>
      <c r="BUI29" t="s">
        <v>4162</v>
      </c>
      <c r="BUJ29" t="s">
        <v>4163</v>
      </c>
      <c r="BUK29" t="s">
        <v>4164</v>
      </c>
      <c r="BUL29" t="s">
        <v>4165</v>
      </c>
      <c r="BUM29" t="s">
        <v>4166</v>
      </c>
      <c r="BUN29" t="s">
        <v>4167</v>
      </c>
      <c r="BUO29" t="s">
        <v>4168</v>
      </c>
      <c r="BUP29" t="s">
        <v>4169</v>
      </c>
      <c r="BUQ29" t="s">
        <v>4170</v>
      </c>
      <c r="BUR29" t="s">
        <v>4171</v>
      </c>
      <c r="BUS29" t="s">
        <v>4172</v>
      </c>
      <c r="BUT29" t="s">
        <v>4173</v>
      </c>
      <c r="BUU29" t="s">
        <v>4174</v>
      </c>
      <c r="BUV29" t="s">
        <v>4175</v>
      </c>
      <c r="BUW29" t="s">
        <v>4176</v>
      </c>
      <c r="BUX29" t="s">
        <v>4177</v>
      </c>
      <c r="BUY29" t="s">
        <v>4178</v>
      </c>
      <c r="BUZ29" t="s">
        <v>4179</v>
      </c>
      <c r="BVA29" t="s">
        <v>4180</v>
      </c>
      <c r="BVB29" t="s">
        <v>4181</v>
      </c>
      <c r="BVC29" t="s">
        <v>4182</v>
      </c>
      <c r="BVD29" t="s">
        <v>4183</v>
      </c>
      <c r="BVE29" t="s">
        <v>4184</v>
      </c>
      <c r="BVF29" t="s">
        <v>4185</v>
      </c>
      <c r="BVG29" t="s">
        <v>4186</v>
      </c>
      <c r="BVH29" t="s">
        <v>4187</v>
      </c>
      <c r="BVI29" t="s">
        <v>4188</v>
      </c>
      <c r="BVJ29" t="s">
        <v>4189</v>
      </c>
      <c r="BVK29" t="s">
        <v>4190</v>
      </c>
      <c r="BVL29" t="s">
        <v>4191</v>
      </c>
      <c r="BVM29" t="s">
        <v>4192</v>
      </c>
      <c r="BVN29" t="s">
        <v>4193</v>
      </c>
      <c r="BVO29" t="s">
        <v>4194</v>
      </c>
      <c r="BVP29" t="s">
        <v>4195</v>
      </c>
      <c r="BVQ29" t="s">
        <v>4196</v>
      </c>
      <c r="BVR29" t="s">
        <v>4197</v>
      </c>
      <c r="BVS29" t="s">
        <v>4198</v>
      </c>
      <c r="BVT29" t="s">
        <v>4199</v>
      </c>
      <c r="BVU29" t="s">
        <v>4200</v>
      </c>
      <c r="BVV29" t="s">
        <v>4201</v>
      </c>
      <c r="BVW29" t="s">
        <v>4202</v>
      </c>
      <c r="BVX29" t="s">
        <v>4203</v>
      </c>
      <c r="BVY29" t="s">
        <v>4204</v>
      </c>
      <c r="BVZ29" t="s">
        <v>4205</v>
      </c>
      <c r="BWA29" t="s">
        <v>4206</v>
      </c>
      <c r="BWB29" t="s">
        <v>4207</v>
      </c>
      <c r="BWC29" t="s">
        <v>4208</v>
      </c>
      <c r="BWD29" t="s">
        <v>4209</v>
      </c>
      <c r="BWE29" t="s">
        <v>4210</v>
      </c>
      <c r="BWF29" t="s">
        <v>4211</v>
      </c>
      <c r="BWG29" t="s">
        <v>4212</v>
      </c>
      <c r="BWH29" t="s">
        <v>4213</v>
      </c>
      <c r="BWI29" t="s">
        <v>4214</v>
      </c>
      <c r="BWJ29" t="s">
        <v>4215</v>
      </c>
      <c r="BWK29" t="s">
        <v>4216</v>
      </c>
      <c r="BWL29" t="s">
        <v>4217</v>
      </c>
      <c r="BWM29" t="s">
        <v>4218</v>
      </c>
      <c r="BWN29" t="s">
        <v>4219</v>
      </c>
      <c r="BWO29" t="s">
        <v>4220</v>
      </c>
      <c r="BWP29" t="s">
        <v>4221</v>
      </c>
      <c r="BWQ29" t="s">
        <v>4222</v>
      </c>
      <c r="BWR29" t="s">
        <v>4223</v>
      </c>
      <c r="BWS29" t="s">
        <v>4224</v>
      </c>
      <c r="BWT29" t="s">
        <v>4225</v>
      </c>
      <c r="BWU29" t="s">
        <v>4226</v>
      </c>
      <c r="BWV29" t="s">
        <v>4227</v>
      </c>
      <c r="BWW29" t="s">
        <v>4228</v>
      </c>
      <c r="BWX29" t="s">
        <v>4229</v>
      </c>
      <c r="BWY29" t="s">
        <v>4230</v>
      </c>
      <c r="BWZ29" t="s">
        <v>4231</v>
      </c>
      <c r="BXA29" t="s">
        <v>4232</v>
      </c>
      <c r="BXB29" t="s">
        <v>4233</v>
      </c>
      <c r="BXC29" t="s">
        <v>4234</v>
      </c>
      <c r="BXD29" t="s">
        <v>4235</v>
      </c>
      <c r="BXE29" t="s">
        <v>4236</v>
      </c>
      <c r="BXF29" t="s">
        <v>4237</v>
      </c>
      <c r="BXG29" t="s">
        <v>4238</v>
      </c>
      <c r="BXH29" t="s">
        <v>4239</v>
      </c>
      <c r="BXI29" t="s">
        <v>4240</v>
      </c>
      <c r="BXJ29" t="s">
        <v>4241</v>
      </c>
      <c r="BXK29" t="s">
        <v>4242</v>
      </c>
      <c r="BXL29" t="s">
        <v>4243</v>
      </c>
      <c r="BXM29" t="s">
        <v>4244</v>
      </c>
      <c r="BXN29" t="s">
        <v>4245</v>
      </c>
      <c r="BXO29" t="s">
        <v>4246</v>
      </c>
      <c r="BXP29" t="s">
        <v>4247</v>
      </c>
      <c r="BXQ29" t="s">
        <v>4248</v>
      </c>
      <c r="BXR29" t="s">
        <v>4249</v>
      </c>
      <c r="BXS29" t="s">
        <v>4250</v>
      </c>
      <c r="BXT29" t="s">
        <v>4251</v>
      </c>
      <c r="BXU29" t="s">
        <v>4252</v>
      </c>
      <c r="BXV29" t="s">
        <v>4253</v>
      </c>
      <c r="BXW29" t="s">
        <v>4254</v>
      </c>
      <c r="BXX29" t="s">
        <v>4255</v>
      </c>
      <c r="BXY29" t="s">
        <v>4256</v>
      </c>
      <c r="BXZ29" t="s">
        <v>4257</v>
      </c>
      <c r="BYA29" t="s">
        <v>4258</v>
      </c>
      <c r="BYB29" t="s">
        <v>4259</v>
      </c>
      <c r="BYC29" t="s">
        <v>4260</v>
      </c>
      <c r="BYD29" t="s">
        <v>4261</v>
      </c>
      <c r="BYE29" t="s">
        <v>4262</v>
      </c>
      <c r="BYF29" t="s">
        <v>4263</v>
      </c>
      <c r="BYG29" t="s">
        <v>4264</v>
      </c>
      <c r="BYH29" t="s">
        <v>4265</v>
      </c>
      <c r="BYI29" t="s">
        <v>4266</v>
      </c>
      <c r="BYJ29" t="s">
        <v>4267</v>
      </c>
      <c r="BYK29" t="s">
        <v>4268</v>
      </c>
      <c r="BYL29" t="s">
        <v>4269</v>
      </c>
      <c r="BYM29" t="s">
        <v>4270</v>
      </c>
      <c r="BYN29" t="s">
        <v>4271</v>
      </c>
      <c r="BYO29" t="s">
        <v>4272</v>
      </c>
      <c r="BYP29" t="s">
        <v>4273</v>
      </c>
      <c r="BYQ29" t="s">
        <v>4274</v>
      </c>
      <c r="BYR29" t="s">
        <v>4275</v>
      </c>
      <c r="BYS29" t="s">
        <v>4276</v>
      </c>
      <c r="BYT29" t="s">
        <v>4277</v>
      </c>
      <c r="BYU29" t="s">
        <v>4278</v>
      </c>
      <c r="BYV29" t="s">
        <v>4279</v>
      </c>
      <c r="BYW29" t="s">
        <v>4280</v>
      </c>
      <c r="BYX29" t="s">
        <v>4281</v>
      </c>
      <c r="BYY29" t="s">
        <v>4282</v>
      </c>
      <c r="BYZ29" t="s">
        <v>4283</v>
      </c>
      <c r="BZA29" t="s">
        <v>4284</v>
      </c>
      <c r="BZB29" t="s">
        <v>4285</v>
      </c>
      <c r="BZC29" t="s">
        <v>4286</v>
      </c>
      <c r="BZD29" t="s">
        <v>4287</v>
      </c>
      <c r="BZE29" t="s">
        <v>4288</v>
      </c>
      <c r="BZF29" t="s">
        <v>4289</v>
      </c>
      <c r="BZG29" t="s">
        <v>4290</v>
      </c>
      <c r="BZH29" t="s">
        <v>4291</v>
      </c>
      <c r="BZI29" t="s">
        <v>4292</v>
      </c>
      <c r="BZJ29" t="s">
        <v>4293</v>
      </c>
      <c r="BZK29" t="s">
        <v>4294</v>
      </c>
      <c r="BZL29" t="s">
        <v>4295</v>
      </c>
      <c r="BZM29" t="s">
        <v>4296</v>
      </c>
      <c r="BZN29" t="s">
        <v>4297</v>
      </c>
      <c r="BZO29" t="s">
        <v>4298</v>
      </c>
      <c r="BZP29" t="s">
        <v>4299</v>
      </c>
      <c r="BZQ29" t="s">
        <v>4300</v>
      </c>
      <c r="BZR29" t="s">
        <v>4301</v>
      </c>
      <c r="BZS29" t="s">
        <v>4302</v>
      </c>
      <c r="BZT29" t="s">
        <v>4303</v>
      </c>
      <c r="BZU29" t="s">
        <v>4304</v>
      </c>
      <c r="BZV29" t="s">
        <v>4305</v>
      </c>
      <c r="BZW29" t="s">
        <v>4306</v>
      </c>
      <c r="BZX29" t="s">
        <v>4307</v>
      </c>
      <c r="BZY29" t="s">
        <v>4308</v>
      </c>
      <c r="BZZ29" t="s">
        <v>4309</v>
      </c>
      <c r="CAA29" t="s">
        <v>4310</v>
      </c>
      <c r="CAB29" t="s">
        <v>4311</v>
      </c>
      <c r="CAC29" t="s">
        <v>4312</v>
      </c>
      <c r="CAD29" t="s">
        <v>4313</v>
      </c>
      <c r="CAE29" t="s">
        <v>4314</v>
      </c>
      <c r="CAF29" t="s">
        <v>4315</v>
      </c>
      <c r="CAG29" t="s">
        <v>4316</v>
      </c>
      <c r="CAH29" t="s">
        <v>4317</v>
      </c>
      <c r="CAI29" t="s">
        <v>4318</v>
      </c>
      <c r="CAJ29" t="s">
        <v>4319</v>
      </c>
      <c r="CAK29" t="s">
        <v>4320</v>
      </c>
      <c r="CAL29" t="s">
        <v>4321</v>
      </c>
      <c r="CAM29" t="s">
        <v>4322</v>
      </c>
      <c r="CAN29" t="s">
        <v>4323</v>
      </c>
      <c r="CAO29" t="s">
        <v>4324</v>
      </c>
      <c r="CAP29" t="s">
        <v>4325</v>
      </c>
      <c r="CAQ29" t="s">
        <v>4326</v>
      </c>
      <c r="CAR29" t="s">
        <v>4327</v>
      </c>
      <c r="CAS29" t="s">
        <v>4328</v>
      </c>
      <c r="CAT29" t="s">
        <v>4329</v>
      </c>
      <c r="CAU29" t="s">
        <v>4330</v>
      </c>
      <c r="CAV29" t="s">
        <v>4331</v>
      </c>
      <c r="CAW29" t="s">
        <v>4332</v>
      </c>
      <c r="CAX29" t="s">
        <v>4333</v>
      </c>
      <c r="CAY29" t="s">
        <v>4334</v>
      </c>
      <c r="CAZ29" t="s">
        <v>4335</v>
      </c>
      <c r="CBA29" t="s">
        <v>4336</v>
      </c>
      <c r="CBB29" t="s">
        <v>4337</v>
      </c>
      <c r="CBC29" t="s">
        <v>4338</v>
      </c>
      <c r="CBD29" t="s">
        <v>4339</v>
      </c>
      <c r="CBE29" t="s">
        <v>4340</v>
      </c>
      <c r="CBF29" t="s">
        <v>4341</v>
      </c>
      <c r="CBG29" t="s">
        <v>4342</v>
      </c>
      <c r="CBH29" t="s">
        <v>4343</v>
      </c>
      <c r="CBI29" t="s">
        <v>4344</v>
      </c>
      <c r="CBJ29" t="s">
        <v>4345</v>
      </c>
      <c r="CBK29" t="s">
        <v>4346</v>
      </c>
      <c r="CBL29" t="s">
        <v>4347</v>
      </c>
      <c r="CBM29" t="s">
        <v>4348</v>
      </c>
      <c r="CBN29" t="s">
        <v>4349</v>
      </c>
      <c r="CBO29" t="s">
        <v>4350</v>
      </c>
      <c r="CBP29" t="s">
        <v>4351</v>
      </c>
      <c r="CBQ29" t="s">
        <v>4352</v>
      </c>
      <c r="CBR29" t="s">
        <v>4353</v>
      </c>
      <c r="CBS29" t="s">
        <v>4354</v>
      </c>
      <c r="CBT29" t="s">
        <v>4355</v>
      </c>
      <c r="CBU29" t="s">
        <v>4356</v>
      </c>
      <c r="CBV29" t="s">
        <v>4357</v>
      </c>
      <c r="CBW29" t="s">
        <v>4358</v>
      </c>
      <c r="CBX29" t="s">
        <v>4359</v>
      </c>
      <c r="CBY29" t="s">
        <v>4360</v>
      </c>
      <c r="CBZ29" t="s">
        <v>4361</v>
      </c>
      <c r="CCA29" t="s">
        <v>4362</v>
      </c>
      <c r="CCB29" t="s">
        <v>4363</v>
      </c>
      <c r="CCC29" t="s">
        <v>4364</v>
      </c>
      <c r="CCD29" t="s">
        <v>4365</v>
      </c>
      <c r="CCE29" t="s">
        <v>4366</v>
      </c>
      <c r="CCF29" t="s">
        <v>4367</v>
      </c>
      <c r="CCG29" t="s">
        <v>4368</v>
      </c>
      <c r="CCH29" t="s">
        <v>4369</v>
      </c>
      <c r="CCI29" t="s">
        <v>4370</v>
      </c>
      <c r="CCJ29" t="s">
        <v>4371</v>
      </c>
      <c r="CCK29" t="s">
        <v>4372</v>
      </c>
      <c r="CCL29" t="s">
        <v>4373</v>
      </c>
      <c r="CCM29" t="s">
        <v>4374</v>
      </c>
      <c r="CCN29" t="s">
        <v>4375</v>
      </c>
      <c r="CCO29" t="s">
        <v>4376</v>
      </c>
      <c r="CCP29" t="s">
        <v>4377</v>
      </c>
      <c r="CCQ29" t="s">
        <v>4378</v>
      </c>
      <c r="CCR29" t="s">
        <v>4379</v>
      </c>
      <c r="CCS29" t="s">
        <v>4380</v>
      </c>
      <c r="CCT29" t="s">
        <v>4381</v>
      </c>
      <c r="CCU29" t="s">
        <v>4382</v>
      </c>
      <c r="CCV29" t="s">
        <v>4383</v>
      </c>
      <c r="CCW29" t="s">
        <v>4384</v>
      </c>
      <c r="CCX29" t="s">
        <v>4385</v>
      </c>
      <c r="CCY29" t="s">
        <v>4386</v>
      </c>
      <c r="CCZ29" t="s">
        <v>4387</v>
      </c>
      <c r="CDA29" t="s">
        <v>4388</v>
      </c>
      <c r="CDB29" t="s">
        <v>4389</v>
      </c>
      <c r="CDC29" t="s">
        <v>4390</v>
      </c>
      <c r="CDD29" t="s">
        <v>4391</v>
      </c>
      <c r="CDE29" t="s">
        <v>4392</v>
      </c>
      <c r="CDF29" t="s">
        <v>4393</v>
      </c>
      <c r="CDG29" t="s">
        <v>4394</v>
      </c>
      <c r="CDH29" t="s">
        <v>4395</v>
      </c>
      <c r="CDI29" t="s">
        <v>4396</v>
      </c>
      <c r="CDJ29" t="s">
        <v>4397</v>
      </c>
      <c r="CDK29" t="s">
        <v>4398</v>
      </c>
      <c r="CDL29" t="s">
        <v>4399</v>
      </c>
      <c r="CDM29" t="s">
        <v>4400</v>
      </c>
      <c r="CDN29" t="s">
        <v>4401</v>
      </c>
      <c r="CDO29" t="s">
        <v>4402</v>
      </c>
      <c r="CDP29" t="s">
        <v>4403</v>
      </c>
      <c r="CDQ29" t="s">
        <v>4404</v>
      </c>
      <c r="CDR29" t="s">
        <v>4405</v>
      </c>
      <c r="CDS29" t="s">
        <v>4406</v>
      </c>
      <c r="CDT29" t="s">
        <v>4407</v>
      </c>
      <c r="CDU29" t="s">
        <v>4408</v>
      </c>
      <c r="CDV29" t="s">
        <v>4409</v>
      </c>
      <c r="CDW29" t="s">
        <v>4410</v>
      </c>
      <c r="CDX29" t="s">
        <v>4411</v>
      </c>
      <c r="CDY29" t="s">
        <v>4412</v>
      </c>
      <c r="CDZ29" t="s">
        <v>4413</v>
      </c>
      <c r="CEA29" t="s">
        <v>4414</v>
      </c>
      <c r="CEB29" t="s">
        <v>4415</v>
      </c>
      <c r="CEC29" t="s">
        <v>4416</v>
      </c>
      <c r="CED29" t="s">
        <v>4417</v>
      </c>
      <c r="CEE29" t="s">
        <v>4418</v>
      </c>
      <c r="CEF29" t="s">
        <v>4419</v>
      </c>
      <c r="CEG29" t="s">
        <v>4420</v>
      </c>
      <c r="CEH29" t="s">
        <v>4421</v>
      </c>
      <c r="CEI29" t="s">
        <v>4422</v>
      </c>
      <c r="CEJ29" t="s">
        <v>4423</v>
      </c>
      <c r="CEK29" t="s">
        <v>4424</v>
      </c>
      <c r="CEL29" t="s">
        <v>4425</v>
      </c>
      <c r="CEM29" t="s">
        <v>4426</v>
      </c>
      <c r="CEN29" t="s">
        <v>4427</v>
      </c>
      <c r="CEO29" t="s">
        <v>4428</v>
      </c>
      <c r="CEP29" t="s">
        <v>4429</v>
      </c>
      <c r="CEQ29" t="s">
        <v>4430</v>
      </c>
      <c r="CER29" t="s">
        <v>4431</v>
      </c>
      <c r="CES29" t="s">
        <v>4432</v>
      </c>
      <c r="CET29" t="s">
        <v>4433</v>
      </c>
      <c r="CEU29" t="s">
        <v>4434</v>
      </c>
      <c r="CEV29" t="s">
        <v>4435</v>
      </c>
      <c r="CEW29" t="s">
        <v>4436</v>
      </c>
      <c r="CEX29" t="s">
        <v>4437</v>
      </c>
      <c r="CEY29" t="s">
        <v>4438</v>
      </c>
      <c r="CEZ29" t="s">
        <v>4439</v>
      </c>
      <c r="CFA29" t="s">
        <v>4440</v>
      </c>
      <c r="CFB29" t="s">
        <v>4441</v>
      </c>
      <c r="CFC29" t="s">
        <v>4442</v>
      </c>
      <c r="CFD29" t="s">
        <v>4443</v>
      </c>
      <c r="CFE29" t="s">
        <v>4444</v>
      </c>
      <c r="CFF29" t="s">
        <v>4445</v>
      </c>
      <c r="CFG29" t="s">
        <v>4446</v>
      </c>
      <c r="CFH29" t="s">
        <v>4447</v>
      </c>
      <c r="CFI29" t="s">
        <v>4448</v>
      </c>
      <c r="CFJ29" t="s">
        <v>4449</v>
      </c>
      <c r="CFK29" t="s">
        <v>4450</v>
      </c>
      <c r="CFL29" t="s">
        <v>4451</v>
      </c>
      <c r="CFM29" t="s">
        <v>4452</v>
      </c>
      <c r="CFN29" t="s">
        <v>4453</v>
      </c>
      <c r="CFO29" t="s">
        <v>4454</v>
      </c>
      <c r="CFP29" t="s">
        <v>4455</v>
      </c>
      <c r="CFQ29" t="s">
        <v>4456</v>
      </c>
      <c r="CFR29" t="s">
        <v>4457</v>
      </c>
      <c r="CFS29" t="s">
        <v>4458</v>
      </c>
      <c r="CFT29" t="s">
        <v>4459</v>
      </c>
      <c r="CFU29" t="s">
        <v>4460</v>
      </c>
      <c r="CFV29" t="s">
        <v>4461</v>
      </c>
      <c r="CFW29" t="s">
        <v>4462</v>
      </c>
      <c r="CFX29" t="s">
        <v>4463</v>
      </c>
      <c r="CFY29" t="s">
        <v>4464</v>
      </c>
      <c r="CFZ29" t="s">
        <v>4465</v>
      </c>
      <c r="CGA29" t="s">
        <v>4466</v>
      </c>
      <c r="CGB29" t="s">
        <v>4467</v>
      </c>
      <c r="CGC29" t="s">
        <v>4468</v>
      </c>
      <c r="CGD29" t="s">
        <v>4469</v>
      </c>
      <c r="CGE29" t="s">
        <v>4470</v>
      </c>
      <c r="CGF29" t="s">
        <v>4471</v>
      </c>
      <c r="CGG29" t="s">
        <v>4472</v>
      </c>
      <c r="CGH29" t="s">
        <v>4473</v>
      </c>
      <c r="CGI29" t="s">
        <v>4474</v>
      </c>
      <c r="CGJ29" t="s">
        <v>4475</v>
      </c>
      <c r="CGK29" t="s">
        <v>4476</v>
      </c>
      <c r="CGL29" t="s">
        <v>4477</v>
      </c>
      <c r="CGM29" t="s">
        <v>4478</v>
      </c>
      <c r="CGN29" t="s">
        <v>4479</v>
      </c>
      <c r="CGO29" t="s">
        <v>4480</v>
      </c>
      <c r="CGP29" t="s">
        <v>4481</v>
      </c>
      <c r="CGQ29" t="s">
        <v>4482</v>
      </c>
      <c r="CGR29" t="s">
        <v>4483</v>
      </c>
      <c r="CGS29" t="s">
        <v>4484</v>
      </c>
      <c r="CGT29" t="s">
        <v>4485</v>
      </c>
      <c r="CGU29" t="s">
        <v>4486</v>
      </c>
      <c r="CGV29" t="s">
        <v>4487</v>
      </c>
      <c r="CGW29" t="s">
        <v>4488</v>
      </c>
      <c r="CGX29" t="s">
        <v>4489</v>
      </c>
      <c r="CGY29" t="s">
        <v>4490</v>
      </c>
      <c r="CGZ29" t="s">
        <v>4491</v>
      </c>
      <c r="CHA29" t="s">
        <v>4492</v>
      </c>
      <c r="CHB29" t="s">
        <v>4493</v>
      </c>
      <c r="CHC29" t="s">
        <v>4494</v>
      </c>
      <c r="CHD29" t="s">
        <v>4495</v>
      </c>
      <c r="CHE29" t="s">
        <v>4496</v>
      </c>
      <c r="CHF29" t="s">
        <v>4497</v>
      </c>
      <c r="CHG29" t="s">
        <v>4498</v>
      </c>
      <c r="CHH29" t="s">
        <v>4499</v>
      </c>
      <c r="CHI29" t="s">
        <v>4500</v>
      </c>
      <c r="CHJ29" t="s">
        <v>4501</v>
      </c>
      <c r="CHK29" t="s">
        <v>4502</v>
      </c>
      <c r="CHL29" t="s">
        <v>4503</v>
      </c>
      <c r="CHM29" t="s">
        <v>4504</v>
      </c>
      <c r="CHN29" t="s">
        <v>4505</v>
      </c>
      <c r="CHO29" t="s">
        <v>4506</v>
      </c>
      <c r="CHP29" t="s">
        <v>4507</v>
      </c>
      <c r="CHQ29" t="s">
        <v>4508</v>
      </c>
      <c r="CHR29" t="s">
        <v>4509</v>
      </c>
      <c r="CHS29" t="s">
        <v>4510</v>
      </c>
      <c r="CHT29" t="s">
        <v>4511</v>
      </c>
      <c r="CHU29" t="s">
        <v>4512</v>
      </c>
      <c r="CHV29" t="s">
        <v>4513</v>
      </c>
      <c r="CHW29" t="s">
        <v>4514</v>
      </c>
      <c r="CHX29" t="s">
        <v>4515</v>
      </c>
      <c r="CHY29" t="s">
        <v>4516</v>
      </c>
      <c r="CHZ29" t="s">
        <v>4517</v>
      </c>
      <c r="CIA29" t="s">
        <v>4518</v>
      </c>
      <c r="CIB29" t="s">
        <v>4519</v>
      </c>
      <c r="CIC29" t="s">
        <v>4520</v>
      </c>
      <c r="CID29" t="s">
        <v>4521</v>
      </c>
      <c r="CIE29" t="s">
        <v>4522</v>
      </c>
      <c r="CIF29" t="s">
        <v>4523</v>
      </c>
      <c r="CIG29" t="s">
        <v>4524</v>
      </c>
      <c r="CIH29" t="s">
        <v>4525</v>
      </c>
      <c r="CII29" t="s">
        <v>4526</v>
      </c>
      <c r="CIJ29" t="s">
        <v>4527</v>
      </c>
      <c r="CIK29" t="s">
        <v>4528</v>
      </c>
      <c r="CIL29" t="s">
        <v>4529</v>
      </c>
      <c r="CIM29" t="s">
        <v>4530</v>
      </c>
      <c r="CIN29" t="s">
        <v>4531</v>
      </c>
      <c r="CIO29" t="s">
        <v>4532</v>
      </c>
      <c r="CIP29" t="s">
        <v>4533</v>
      </c>
      <c r="CIQ29" t="s">
        <v>4534</v>
      </c>
      <c r="CIR29" t="s">
        <v>4535</v>
      </c>
      <c r="CIS29" t="s">
        <v>4536</v>
      </c>
      <c r="CIT29" t="s">
        <v>4537</v>
      </c>
      <c r="CIU29" t="s">
        <v>4538</v>
      </c>
      <c r="CIV29" t="s">
        <v>4539</v>
      </c>
      <c r="CIW29" t="s">
        <v>4540</v>
      </c>
      <c r="CIX29" t="s">
        <v>4541</v>
      </c>
      <c r="CIY29" t="s">
        <v>4542</v>
      </c>
      <c r="CIZ29" t="s">
        <v>4543</v>
      </c>
      <c r="CJA29" t="s">
        <v>4544</v>
      </c>
      <c r="CJB29" t="s">
        <v>4545</v>
      </c>
      <c r="CJC29" t="s">
        <v>4546</v>
      </c>
      <c r="CJD29" t="s">
        <v>4547</v>
      </c>
      <c r="CJE29" t="s">
        <v>4548</v>
      </c>
      <c r="CJF29" t="s">
        <v>4549</v>
      </c>
      <c r="CJG29" t="s">
        <v>4550</v>
      </c>
      <c r="CJH29" t="s">
        <v>4551</v>
      </c>
      <c r="CJI29" t="s">
        <v>4552</v>
      </c>
      <c r="CJJ29" t="s">
        <v>4553</v>
      </c>
      <c r="CJK29" t="s">
        <v>4554</v>
      </c>
      <c r="CJL29" t="s">
        <v>4555</v>
      </c>
      <c r="CJM29" t="s">
        <v>4556</v>
      </c>
      <c r="CJN29" t="s">
        <v>4557</v>
      </c>
      <c r="CJO29" t="s">
        <v>4558</v>
      </c>
      <c r="CJP29" t="s">
        <v>4559</v>
      </c>
      <c r="CJQ29" t="s">
        <v>4560</v>
      </c>
      <c r="CJR29" t="s">
        <v>4561</v>
      </c>
      <c r="CJS29" t="s">
        <v>4562</v>
      </c>
      <c r="CJT29" t="s">
        <v>4563</v>
      </c>
      <c r="CJU29" t="s">
        <v>4564</v>
      </c>
      <c r="CJV29" t="s">
        <v>4565</v>
      </c>
      <c r="CJW29" t="s">
        <v>4566</v>
      </c>
      <c r="CJX29" t="s">
        <v>4567</v>
      </c>
      <c r="CJY29" t="s">
        <v>4568</v>
      </c>
      <c r="CJZ29" t="s">
        <v>4569</v>
      </c>
      <c r="CKA29" t="s">
        <v>4570</v>
      </c>
      <c r="CKB29" t="s">
        <v>4571</v>
      </c>
      <c r="CKC29" t="s">
        <v>4572</v>
      </c>
      <c r="CKD29" t="s">
        <v>4573</v>
      </c>
      <c r="CKE29" t="s">
        <v>4574</v>
      </c>
      <c r="CKF29" t="s">
        <v>4575</v>
      </c>
      <c r="CKG29" t="s">
        <v>4576</v>
      </c>
      <c r="CKH29" t="s">
        <v>4577</v>
      </c>
      <c r="CKI29" t="s">
        <v>4578</v>
      </c>
      <c r="CKJ29" t="s">
        <v>4579</v>
      </c>
      <c r="CKK29" t="s">
        <v>4580</v>
      </c>
      <c r="CKL29" t="s">
        <v>4581</v>
      </c>
      <c r="CKM29" t="s">
        <v>4582</v>
      </c>
      <c r="CKN29" t="s">
        <v>4583</v>
      </c>
      <c r="CKO29" t="s">
        <v>4584</v>
      </c>
      <c r="CKP29" t="s">
        <v>4585</v>
      </c>
      <c r="CKQ29" t="s">
        <v>4586</v>
      </c>
      <c r="CKR29" t="s">
        <v>4587</v>
      </c>
      <c r="CKS29" t="s">
        <v>4588</v>
      </c>
      <c r="CKT29" t="s">
        <v>4589</v>
      </c>
      <c r="CKU29" t="s">
        <v>4590</v>
      </c>
      <c r="CKV29" t="s">
        <v>4591</v>
      </c>
      <c r="CKW29" t="s">
        <v>4592</v>
      </c>
      <c r="CKX29" t="s">
        <v>4593</v>
      </c>
      <c r="CKY29" t="s">
        <v>4594</v>
      </c>
      <c r="CKZ29" t="s">
        <v>4595</v>
      </c>
      <c r="CLA29" t="s">
        <v>4596</v>
      </c>
      <c r="CLB29" t="s">
        <v>4597</v>
      </c>
      <c r="CLC29" t="s">
        <v>4598</v>
      </c>
      <c r="CLD29" t="s">
        <v>4599</v>
      </c>
      <c r="CLE29" t="s">
        <v>4600</v>
      </c>
      <c r="CLF29" t="s">
        <v>4601</v>
      </c>
      <c r="CLG29" t="s">
        <v>4602</v>
      </c>
      <c r="CLH29" t="s">
        <v>4603</v>
      </c>
      <c r="CLI29" t="s">
        <v>4604</v>
      </c>
      <c r="CLJ29" t="s">
        <v>4605</v>
      </c>
      <c r="CLK29" t="s">
        <v>4606</v>
      </c>
      <c r="CLL29" t="s">
        <v>4607</v>
      </c>
      <c r="CLM29" t="s">
        <v>4608</v>
      </c>
      <c r="CLN29" t="s">
        <v>4609</v>
      </c>
      <c r="CLO29" t="s">
        <v>4610</v>
      </c>
      <c r="CLP29" t="s">
        <v>4611</v>
      </c>
      <c r="CLQ29" t="s">
        <v>4612</v>
      </c>
      <c r="CLR29" t="s">
        <v>4613</v>
      </c>
      <c r="CLS29" t="s">
        <v>4614</v>
      </c>
      <c r="CLT29" t="s">
        <v>4615</v>
      </c>
      <c r="CLU29" t="s">
        <v>4616</v>
      </c>
      <c r="CLV29" t="s">
        <v>4617</v>
      </c>
      <c r="CLW29" t="s">
        <v>4618</v>
      </c>
      <c r="CLX29" t="s">
        <v>4619</v>
      </c>
      <c r="CLY29" t="s">
        <v>4620</v>
      </c>
      <c r="CLZ29" t="s">
        <v>4621</v>
      </c>
      <c r="CMA29" t="s">
        <v>4622</v>
      </c>
      <c r="CMB29" t="s">
        <v>4623</v>
      </c>
      <c r="CMC29" t="s">
        <v>4624</v>
      </c>
      <c r="CMD29" t="s">
        <v>4625</v>
      </c>
      <c r="CME29" t="s">
        <v>4626</v>
      </c>
      <c r="CMF29" t="s">
        <v>4627</v>
      </c>
      <c r="CMG29" t="s">
        <v>4628</v>
      </c>
      <c r="CMH29" t="s">
        <v>4629</v>
      </c>
      <c r="CMI29" t="s">
        <v>4630</v>
      </c>
      <c r="CMJ29" t="s">
        <v>4631</v>
      </c>
      <c r="CMK29" t="s">
        <v>4632</v>
      </c>
      <c r="CML29" t="s">
        <v>4633</v>
      </c>
      <c r="CMM29" t="s">
        <v>4634</v>
      </c>
      <c r="CMN29" t="s">
        <v>4635</v>
      </c>
      <c r="CMO29" t="s">
        <v>4636</v>
      </c>
      <c r="CMP29" t="s">
        <v>4637</v>
      </c>
      <c r="CMQ29" t="s">
        <v>4638</v>
      </c>
      <c r="CMR29" t="s">
        <v>4639</v>
      </c>
      <c r="CMS29" t="s">
        <v>4640</v>
      </c>
      <c r="CMT29" t="s">
        <v>4641</v>
      </c>
      <c r="CMU29" t="s">
        <v>4642</v>
      </c>
      <c r="CMV29" t="s">
        <v>4643</v>
      </c>
      <c r="CMW29" t="s">
        <v>4644</v>
      </c>
      <c r="CMX29" t="s">
        <v>4645</v>
      </c>
      <c r="CMY29" t="s">
        <v>4646</v>
      </c>
      <c r="CMZ29" t="s">
        <v>4647</v>
      </c>
      <c r="CNA29" t="s">
        <v>4648</v>
      </c>
      <c r="CNB29" t="s">
        <v>4649</v>
      </c>
      <c r="CNC29" t="s">
        <v>4650</v>
      </c>
      <c r="CND29" t="s">
        <v>4651</v>
      </c>
      <c r="CNE29" t="s">
        <v>4652</v>
      </c>
      <c r="CNF29" t="s">
        <v>4653</v>
      </c>
      <c r="CNG29" t="s">
        <v>4654</v>
      </c>
      <c r="CNH29" t="s">
        <v>4655</v>
      </c>
      <c r="CNI29" t="s">
        <v>4656</v>
      </c>
      <c r="CNJ29" t="s">
        <v>4657</v>
      </c>
      <c r="CNK29" t="s">
        <v>4658</v>
      </c>
      <c r="CNL29" t="s">
        <v>4659</v>
      </c>
      <c r="CNM29" t="s">
        <v>4660</v>
      </c>
      <c r="CNN29" t="s">
        <v>4661</v>
      </c>
      <c r="CNO29" t="s">
        <v>4662</v>
      </c>
      <c r="CNP29" t="s">
        <v>4663</v>
      </c>
      <c r="CNQ29" t="s">
        <v>4664</v>
      </c>
      <c r="CNR29" t="s">
        <v>4665</v>
      </c>
      <c r="CNS29" t="s">
        <v>4666</v>
      </c>
      <c r="CNT29" t="s">
        <v>4667</v>
      </c>
      <c r="CNU29" t="s">
        <v>4668</v>
      </c>
      <c r="CNV29" t="s">
        <v>4669</v>
      </c>
      <c r="CNW29" t="s">
        <v>4670</v>
      </c>
      <c r="CNX29" t="s">
        <v>4671</v>
      </c>
      <c r="CNY29" t="s">
        <v>4672</v>
      </c>
      <c r="CNZ29" t="s">
        <v>4673</v>
      </c>
      <c r="COA29" t="s">
        <v>4674</v>
      </c>
      <c r="COB29" t="s">
        <v>4675</v>
      </c>
      <c r="COC29" t="s">
        <v>4676</v>
      </c>
      <c r="COD29" t="s">
        <v>4677</v>
      </c>
      <c r="COE29" t="s">
        <v>4678</v>
      </c>
      <c r="COF29" t="s">
        <v>4679</v>
      </c>
      <c r="COG29" t="s">
        <v>4680</v>
      </c>
      <c r="COH29" t="s">
        <v>4681</v>
      </c>
      <c r="COI29" t="s">
        <v>4682</v>
      </c>
      <c r="COJ29" t="s">
        <v>4683</v>
      </c>
      <c r="COK29" t="s">
        <v>4684</v>
      </c>
      <c r="COL29" t="s">
        <v>4685</v>
      </c>
      <c r="COM29" t="s">
        <v>4686</v>
      </c>
      <c r="CON29" t="s">
        <v>4687</v>
      </c>
      <c r="COO29" t="s">
        <v>4688</v>
      </c>
      <c r="COP29" t="s">
        <v>4689</v>
      </c>
      <c r="COQ29" t="s">
        <v>4690</v>
      </c>
      <c r="COR29" t="s">
        <v>4691</v>
      </c>
      <c r="COS29" t="s">
        <v>4692</v>
      </c>
      <c r="COT29" t="s">
        <v>4693</v>
      </c>
      <c r="COU29" t="s">
        <v>4694</v>
      </c>
      <c r="COV29" t="s">
        <v>4695</v>
      </c>
      <c r="COW29" t="s">
        <v>4696</v>
      </c>
      <c r="COX29" t="s">
        <v>4697</v>
      </c>
      <c r="COY29" t="s">
        <v>4698</v>
      </c>
      <c r="COZ29" t="s">
        <v>4699</v>
      </c>
      <c r="CPA29" t="s">
        <v>4700</v>
      </c>
      <c r="CPB29" t="s">
        <v>4701</v>
      </c>
      <c r="CPC29" t="s">
        <v>4702</v>
      </c>
      <c r="CPD29" t="s">
        <v>4703</v>
      </c>
      <c r="CPE29" t="s">
        <v>4704</v>
      </c>
      <c r="CPF29" t="s">
        <v>4705</v>
      </c>
      <c r="CPG29" t="s">
        <v>4706</v>
      </c>
      <c r="CPH29" t="s">
        <v>4707</v>
      </c>
      <c r="CPI29" t="s">
        <v>4708</v>
      </c>
      <c r="CPJ29" t="s">
        <v>4709</v>
      </c>
      <c r="CPK29" t="s">
        <v>4710</v>
      </c>
      <c r="CPL29" t="s">
        <v>4711</v>
      </c>
      <c r="CPM29" t="s">
        <v>4712</v>
      </c>
      <c r="CPN29" t="s">
        <v>4713</v>
      </c>
      <c r="CPO29" t="s">
        <v>4714</v>
      </c>
      <c r="CPP29" t="s">
        <v>4715</v>
      </c>
      <c r="CPQ29" t="s">
        <v>4716</v>
      </c>
      <c r="CPR29" t="s">
        <v>4717</v>
      </c>
      <c r="CPS29" t="s">
        <v>4718</v>
      </c>
      <c r="CPT29" t="s">
        <v>4719</v>
      </c>
      <c r="CPU29" t="s">
        <v>4720</v>
      </c>
      <c r="CPV29" t="s">
        <v>4721</v>
      </c>
      <c r="CPW29" t="s">
        <v>4722</v>
      </c>
      <c r="CPX29" t="s">
        <v>4723</v>
      </c>
      <c r="CPY29" t="s">
        <v>4724</v>
      </c>
      <c r="CPZ29" t="s">
        <v>4725</v>
      </c>
      <c r="CQA29" t="s">
        <v>4726</v>
      </c>
      <c r="CQB29" t="s">
        <v>4727</v>
      </c>
      <c r="CQC29" t="s">
        <v>4728</v>
      </c>
      <c r="CQD29" t="s">
        <v>4729</v>
      </c>
      <c r="CQE29" t="s">
        <v>4730</v>
      </c>
      <c r="CQF29" t="s">
        <v>4731</v>
      </c>
      <c r="CQG29" t="s">
        <v>4732</v>
      </c>
      <c r="CQH29" t="s">
        <v>4733</v>
      </c>
      <c r="CQI29" t="s">
        <v>4734</v>
      </c>
      <c r="CQJ29" t="s">
        <v>4735</v>
      </c>
      <c r="CQK29" t="s">
        <v>4736</v>
      </c>
      <c r="CQL29" t="s">
        <v>4737</v>
      </c>
      <c r="CQM29" t="s">
        <v>4738</v>
      </c>
      <c r="CQN29" t="s">
        <v>4739</v>
      </c>
      <c r="CQO29" t="s">
        <v>4740</v>
      </c>
      <c r="CQP29" t="s">
        <v>4741</v>
      </c>
      <c r="CQQ29" t="s">
        <v>4742</v>
      </c>
      <c r="CQR29" t="s">
        <v>4743</v>
      </c>
      <c r="CQS29" t="s">
        <v>4744</v>
      </c>
      <c r="CQT29" t="s">
        <v>4745</v>
      </c>
      <c r="CQU29" t="s">
        <v>4746</v>
      </c>
      <c r="CQV29" t="s">
        <v>4747</v>
      </c>
      <c r="CQW29" t="s">
        <v>4748</v>
      </c>
      <c r="CQX29" t="s">
        <v>4749</v>
      </c>
      <c r="CQY29" t="s">
        <v>4750</v>
      </c>
      <c r="CQZ29" t="s">
        <v>4751</v>
      </c>
      <c r="CRA29" t="s">
        <v>4752</v>
      </c>
      <c r="CRB29" t="s">
        <v>4753</v>
      </c>
      <c r="CRC29" t="s">
        <v>4754</v>
      </c>
      <c r="CRD29" t="s">
        <v>4755</v>
      </c>
      <c r="CRE29" t="s">
        <v>4756</v>
      </c>
      <c r="CRF29" t="s">
        <v>4757</v>
      </c>
      <c r="CRG29" t="s">
        <v>4758</v>
      </c>
      <c r="CRH29" t="s">
        <v>4759</v>
      </c>
      <c r="CRI29" t="s">
        <v>4760</v>
      </c>
      <c r="CRJ29" t="s">
        <v>4761</v>
      </c>
      <c r="CRK29" t="s">
        <v>4762</v>
      </c>
      <c r="CRL29" t="s">
        <v>4763</v>
      </c>
      <c r="CRM29" t="s">
        <v>4764</v>
      </c>
      <c r="CRN29" t="s">
        <v>4765</v>
      </c>
      <c r="CRO29" t="s">
        <v>4766</v>
      </c>
      <c r="CRP29" t="s">
        <v>4767</v>
      </c>
      <c r="CRQ29" t="s">
        <v>4768</v>
      </c>
      <c r="CRR29" t="s">
        <v>4769</v>
      </c>
      <c r="CRS29" t="s">
        <v>4770</v>
      </c>
      <c r="CRT29" t="s">
        <v>4771</v>
      </c>
      <c r="CRU29" t="s">
        <v>4772</v>
      </c>
      <c r="CRV29" t="s">
        <v>4773</v>
      </c>
      <c r="CRW29" t="s">
        <v>4774</v>
      </c>
      <c r="CRX29" t="s">
        <v>4775</v>
      </c>
      <c r="CRY29" t="s">
        <v>4776</v>
      </c>
      <c r="CRZ29" t="s">
        <v>4777</v>
      </c>
      <c r="CSA29" t="s">
        <v>4778</v>
      </c>
      <c r="CSB29" t="s">
        <v>4779</v>
      </c>
      <c r="CSC29" t="s">
        <v>4780</v>
      </c>
      <c r="CSD29" t="s">
        <v>4781</v>
      </c>
      <c r="CSE29" t="s">
        <v>4782</v>
      </c>
      <c r="CSF29" t="s">
        <v>4783</v>
      </c>
      <c r="CSG29" t="s">
        <v>4784</v>
      </c>
      <c r="CSH29" t="s">
        <v>4785</v>
      </c>
      <c r="CSI29" t="s">
        <v>4786</v>
      </c>
      <c r="CSJ29" t="s">
        <v>4787</v>
      </c>
      <c r="CSK29" t="s">
        <v>4788</v>
      </c>
      <c r="CSL29" t="s">
        <v>4789</v>
      </c>
      <c r="CSM29" t="s">
        <v>4790</v>
      </c>
      <c r="CSN29" t="s">
        <v>4791</v>
      </c>
      <c r="CSO29" t="s">
        <v>4792</v>
      </c>
      <c r="CSP29" t="s">
        <v>4793</v>
      </c>
      <c r="CSQ29" t="s">
        <v>4794</v>
      </c>
      <c r="CSR29" t="s">
        <v>4795</v>
      </c>
      <c r="CSS29" t="s">
        <v>4796</v>
      </c>
      <c r="CST29" t="s">
        <v>4797</v>
      </c>
      <c r="CSU29" t="s">
        <v>4798</v>
      </c>
      <c r="CSV29" t="s">
        <v>4799</v>
      </c>
      <c r="CSW29" t="s">
        <v>4800</v>
      </c>
      <c r="CSX29" t="s">
        <v>4801</v>
      </c>
      <c r="CSY29" t="s">
        <v>4802</v>
      </c>
      <c r="CSZ29" t="s">
        <v>4803</v>
      </c>
      <c r="CTA29" t="s">
        <v>4804</v>
      </c>
      <c r="CTB29" t="s">
        <v>4805</v>
      </c>
      <c r="CTC29" t="s">
        <v>4806</v>
      </c>
      <c r="CTD29" t="s">
        <v>4807</v>
      </c>
      <c r="CTE29" t="s">
        <v>4808</v>
      </c>
      <c r="CTF29" t="s">
        <v>4809</v>
      </c>
      <c r="CTG29" t="s">
        <v>4810</v>
      </c>
      <c r="CTH29" t="s">
        <v>4811</v>
      </c>
      <c r="CTI29" t="s">
        <v>4812</v>
      </c>
      <c r="CTJ29" t="s">
        <v>4813</v>
      </c>
      <c r="CTK29" t="s">
        <v>4814</v>
      </c>
      <c r="CTL29" t="s">
        <v>4815</v>
      </c>
      <c r="CTM29" t="s">
        <v>4816</v>
      </c>
      <c r="CTN29" t="s">
        <v>4817</v>
      </c>
      <c r="CTO29" t="s">
        <v>4818</v>
      </c>
      <c r="CTP29" t="s">
        <v>4819</v>
      </c>
      <c r="CTQ29" t="s">
        <v>4820</v>
      </c>
      <c r="CTR29" t="s">
        <v>4821</v>
      </c>
      <c r="CTS29" t="s">
        <v>4822</v>
      </c>
      <c r="CTT29" t="s">
        <v>4823</v>
      </c>
      <c r="CTU29" t="s">
        <v>4824</v>
      </c>
      <c r="CTV29" t="s">
        <v>4825</v>
      </c>
      <c r="CTW29" t="s">
        <v>4826</v>
      </c>
      <c r="CTX29" t="s">
        <v>4827</v>
      </c>
      <c r="CTY29" t="s">
        <v>4828</v>
      </c>
      <c r="CTZ29" t="s">
        <v>4829</v>
      </c>
      <c r="CUA29" t="s">
        <v>4830</v>
      </c>
      <c r="CUB29" t="s">
        <v>4831</v>
      </c>
      <c r="CUC29" t="s">
        <v>4832</v>
      </c>
      <c r="CUD29" t="s">
        <v>4833</v>
      </c>
      <c r="CUE29" t="s">
        <v>4834</v>
      </c>
      <c r="CUF29" t="s">
        <v>4835</v>
      </c>
      <c r="CUG29" t="s">
        <v>4836</v>
      </c>
      <c r="CUH29" t="s">
        <v>4837</v>
      </c>
      <c r="CUI29" t="s">
        <v>4838</v>
      </c>
      <c r="CUJ29" t="s">
        <v>4839</v>
      </c>
      <c r="CUK29" t="s">
        <v>4840</v>
      </c>
      <c r="CUL29" t="s">
        <v>4841</v>
      </c>
      <c r="CUM29" t="s">
        <v>4842</v>
      </c>
      <c r="CUN29" t="s">
        <v>4843</v>
      </c>
      <c r="CUO29" t="s">
        <v>4844</v>
      </c>
      <c r="CUP29" t="s">
        <v>4845</v>
      </c>
      <c r="CUQ29" t="s">
        <v>4846</v>
      </c>
      <c r="CUR29" t="s">
        <v>4847</v>
      </c>
      <c r="CUS29" t="s">
        <v>4848</v>
      </c>
      <c r="CUT29" t="s">
        <v>4849</v>
      </c>
      <c r="CUU29" t="s">
        <v>4850</v>
      </c>
      <c r="CUV29" t="s">
        <v>4851</v>
      </c>
      <c r="CUW29" t="s">
        <v>4852</v>
      </c>
      <c r="CUX29" t="s">
        <v>4853</v>
      </c>
      <c r="CUY29" t="s">
        <v>4854</v>
      </c>
      <c r="CUZ29" t="s">
        <v>4855</v>
      </c>
      <c r="CVA29" t="s">
        <v>4856</v>
      </c>
      <c r="CVB29" t="s">
        <v>4857</v>
      </c>
      <c r="CVC29" t="s">
        <v>4858</v>
      </c>
      <c r="CVD29" t="s">
        <v>4859</v>
      </c>
      <c r="CVE29" t="s">
        <v>4860</v>
      </c>
      <c r="CVF29" t="s">
        <v>4861</v>
      </c>
      <c r="CVG29" t="s">
        <v>4862</v>
      </c>
      <c r="CVH29" t="s">
        <v>4863</v>
      </c>
      <c r="CVI29" t="s">
        <v>4864</v>
      </c>
      <c r="CVJ29" t="s">
        <v>4865</v>
      </c>
      <c r="CVK29" t="s">
        <v>4866</v>
      </c>
      <c r="CVL29" t="s">
        <v>4867</v>
      </c>
      <c r="CVM29" t="s">
        <v>4868</v>
      </c>
      <c r="CVN29" t="s">
        <v>4869</v>
      </c>
      <c r="CVO29" t="s">
        <v>4870</v>
      </c>
      <c r="CVP29" t="s">
        <v>4871</v>
      </c>
      <c r="CVQ29" t="s">
        <v>4872</v>
      </c>
      <c r="CVR29" t="s">
        <v>4873</v>
      </c>
      <c r="CVS29" t="s">
        <v>4874</v>
      </c>
      <c r="CVT29" t="s">
        <v>4875</v>
      </c>
      <c r="CVU29" t="s">
        <v>4876</v>
      </c>
      <c r="CVV29" t="s">
        <v>4877</v>
      </c>
      <c r="CVW29" t="s">
        <v>4878</v>
      </c>
      <c r="CVX29" t="s">
        <v>4879</v>
      </c>
      <c r="CVY29" t="s">
        <v>4880</v>
      </c>
      <c r="CVZ29" t="s">
        <v>4881</v>
      </c>
      <c r="CWA29" t="s">
        <v>4882</v>
      </c>
      <c r="CWB29" t="s">
        <v>4883</v>
      </c>
      <c r="CWC29" t="s">
        <v>4884</v>
      </c>
      <c r="CWD29" t="s">
        <v>4885</v>
      </c>
      <c r="CWE29" t="s">
        <v>4886</v>
      </c>
      <c r="CWF29" t="s">
        <v>4887</v>
      </c>
      <c r="CWG29" t="s">
        <v>4888</v>
      </c>
      <c r="CWH29" t="s">
        <v>4889</v>
      </c>
      <c r="CWI29" t="s">
        <v>4890</v>
      </c>
      <c r="CWJ29" t="s">
        <v>4891</v>
      </c>
      <c r="CWK29" t="s">
        <v>4892</v>
      </c>
      <c r="CWL29" t="s">
        <v>4893</v>
      </c>
      <c r="CWM29" t="s">
        <v>4894</v>
      </c>
      <c r="CWN29" t="s">
        <v>4895</v>
      </c>
      <c r="CWO29" t="s">
        <v>4896</v>
      </c>
      <c r="CWP29" t="s">
        <v>4897</v>
      </c>
      <c r="CWQ29" t="s">
        <v>4898</v>
      </c>
      <c r="CWR29" t="s">
        <v>4899</v>
      </c>
      <c r="CWS29" t="s">
        <v>4900</v>
      </c>
      <c r="CWT29" t="s">
        <v>4901</v>
      </c>
      <c r="CWU29" t="s">
        <v>4902</v>
      </c>
      <c r="CWV29" t="s">
        <v>4903</v>
      </c>
      <c r="CWW29" t="s">
        <v>4904</v>
      </c>
      <c r="CWX29" t="s">
        <v>4905</v>
      </c>
      <c r="CWY29" t="s">
        <v>4906</v>
      </c>
      <c r="CWZ29" t="s">
        <v>4907</v>
      </c>
      <c r="CXA29" t="s">
        <v>4908</v>
      </c>
      <c r="CXB29" t="s">
        <v>4909</v>
      </c>
      <c r="CXC29" t="s">
        <v>4910</v>
      </c>
      <c r="CXD29" t="s">
        <v>4911</v>
      </c>
      <c r="CXE29" t="s">
        <v>4912</v>
      </c>
      <c r="CXF29" t="s">
        <v>4913</v>
      </c>
      <c r="CXG29" t="s">
        <v>4914</v>
      </c>
      <c r="CXH29" t="s">
        <v>4915</v>
      </c>
      <c r="CXI29" t="s">
        <v>4916</v>
      </c>
      <c r="CXJ29" t="s">
        <v>4917</v>
      </c>
      <c r="CXK29" t="s">
        <v>4918</v>
      </c>
      <c r="CXL29" t="s">
        <v>4919</v>
      </c>
      <c r="CXM29" t="s">
        <v>4920</v>
      </c>
      <c r="CXN29" t="s">
        <v>4921</v>
      </c>
      <c r="CXO29" t="s">
        <v>4922</v>
      </c>
      <c r="CXP29" t="s">
        <v>4923</v>
      </c>
      <c r="CXQ29" t="s">
        <v>4924</v>
      </c>
      <c r="CXR29" t="s">
        <v>4925</v>
      </c>
      <c r="CXS29" t="s">
        <v>4926</v>
      </c>
      <c r="CXT29" t="s">
        <v>4927</v>
      </c>
      <c r="CXU29" t="s">
        <v>4928</v>
      </c>
      <c r="CXV29" t="s">
        <v>4929</v>
      </c>
      <c r="CXW29" t="s">
        <v>4930</v>
      </c>
      <c r="CXX29" t="s">
        <v>4931</v>
      </c>
      <c r="CXY29" t="s">
        <v>4932</v>
      </c>
      <c r="CXZ29" t="s">
        <v>4933</v>
      </c>
      <c r="CYA29" t="s">
        <v>4934</v>
      </c>
      <c r="CYB29" t="s">
        <v>4935</v>
      </c>
      <c r="CYC29" t="s">
        <v>4936</v>
      </c>
      <c r="CYD29" t="s">
        <v>4937</v>
      </c>
      <c r="CYE29" t="s">
        <v>4938</v>
      </c>
      <c r="CYF29" t="s">
        <v>4939</v>
      </c>
      <c r="CYG29" t="s">
        <v>4940</v>
      </c>
      <c r="CYH29" t="s">
        <v>4941</v>
      </c>
      <c r="CYI29" t="s">
        <v>4942</v>
      </c>
      <c r="CYJ29" t="s">
        <v>4943</v>
      </c>
      <c r="CYK29" t="s">
        <v>4944</v>
      </c>
      <c r="CYL29" t="s">
        <v>4945</v>
      </c>
      <c r="CYM29" t="s">
        <v>4946</v>
      </c>
      <c r="CYN29" t="s">
        <v>4947</v>
      </c>
      <c r="CYO29" t="s">
        <v>4948</v>
      </c>
      <c r="CYP29" t="s">
        <v>4949</v>
      </c>
      <c r="CYQ29" t="s">
        <v>4950</v>
      </c>
      <c r="CYR29" t="s">
        <v>4951</v>
      </c>
      <c r="CYS29" t="s">
        <v>4952</v>
      </c>
      <c r="CYT29" t="s">
        <v>4953</v>
      </c>
      <c r="CYU29" t="s">
        <v>4954</v>
      </c>
      <c r="CYV29" t="s">
        <v>4955</v>
      </c>
      <c r="CYW29" t="s">
        <v>4956</v>
      </c>
      <c r="CYX29" t="s">
        <v>4957</v>
      </c>
      <c r="CYY29" t="s">
        <v>4958</v>
      </c>
      <c r="CYZ29" t="s">
        <v>4959</v>
      </c>
      <c r="CZA29" t="s">
        <v>4960</v>
      </c>
      <c r="CZB29" t="s">
        <v>4961</v>
      </c>
      <c r="CZC29" t="s">
        <v>4962</v>
      </c>
      <c r="CZD29" t="s">
        <v>4963</v>
      </c>
      <c r="CZE29" t="s">
        <v>4964</v>
      </c>
      <c r="CZF29" t="s">
        <v>4965</v>
      </c>
      <c r="CZG29" t="s">
        <v>4966</v>
      </c>
      <c r="CZH29" t="s">
        <v>4967</v>
      </c>
      <c r="CZI29" t="s">
        <v>4968</v>
      </c>
      <c r="CZJ29" t="s">
        <v>4969</v>
      </c>
      <c r="CZK29" t="s">
        <v>4970</v>
      </c>
      <c r="CZL29" t="s">
        <v>4971</v>
      </c>
      <c r="CZM29" t="s">
        <v>4972</v>
      </c>
      <c r="CZN29" t="s">
        <v>4973</v>
      </c>
      <c r="CZO29" t="s">
        <v>4974</v>
      </c>
      <c r="CZP29" t="s">
        <v>4975</v>
      </c>
      <c r="CZQ29" t="s">
        <v>4976</v>
      </c>
      <c r="CZR29" t="s">
        <v>4977</v>
      </c>
      <c r="CZS29" t="s">
        <v>4978</v>
      </c>
      <c r="CZT29" t="s">
        <v>4979</v>
      </c>
      <c r="CZU29" t="s">
        <v>4980</v>
      </c>
      <c r="CZV29" t="s">
        <v>4981</v>
      </c>
      <c r="CZW29" t="s">
        <v>4982</v>
      </c>
      <c r="CZX29" t="s">
        <v>4983</v>
      </c>
      <c r="CZY29" t="s">
        <v>4984</v>
      </c>
      <c r="CZZ29" t="s">
        <v>4985</v>
      </c>
      <c r="DAA29" t="s">
        <v>4986</v>
      </c>
      <c r="DAB29" t="s">
        <v>4987</v>
      </c>
      <c r="DAC29" t="s">
        <v>4988</v>
      </c>
      <c r="DAD29" t="s">
        <v>4989</v>
      </c>
      <c r="DAE29" t="s">
        <v>4990</v>
      </c>
      <c r="DAF29" t="s">
        <v>4991</v>
      </c>
      <c r="DAG29" t="s">
        <v>4992</v>
      </c>
      <c r="DAH29" t="s">
        <v>4993</v>
      </c>
      <c r="DAI29" t="s">
        <v>4994</v>
      </c>
      <c r="DAJ29" t="s">
        <v>4995</v>
      </c>
      <c r="DAK29" t="s">
        <v>4996</v>
      </c>
      <c r="DAL29" t="s">
        <v>4997</v>
      </c>
      <c r="DAM29" t="s">
        <v>4998</v>
      </c>
      <c r="DAN29" t="s">
        <v>4999</v>
      </c>
      <c r="DAO29" t="s">
        <v>5000</v>
      </c>
      <c r="DAP29" t="s">
        <v>5001</v>
      </c>
      <c r="DAQ29" t="s">
        <v>5002</v>
      </c>
      <c r="DAR29" t="s">
        <v>5003</v>
      </c>
      <c r="DAS29" t="s">
        <v>5004</v>
      </c>
      <c r="DAT29" t="s">
        <v>5005</v>
      </c>
      <c r="DAU29" t="s">
        <v>5006</v>
      </c>
      <c r="DAV29" t="s">
        <v>5007</v>
      </c>
      <c r="DAW29" t="s">
        <v>5008</v>
      </c>
      <c r="DAX29" t="s">
        <v>5009</v>
      </c>
      <c r="DAY29" t="s">
        <v>5010</v>
      </c>
      <c r="DAZ29" t="s">
        <v>5011</v>
      </c>
      <c r="DBA29" t="s">
        <v>5012</v>
      </c>
      <c r="DBB29" t="s">
        <v>5013</v>
      </c>
      <c r="DBC29" t="s">
        <v>5014</v>
      </c>
      <c r="DBD29" t="s">
        <v>5015</v>
      </c>
      <c r="DBE29" t="s">
        <v>5016</v>
      </c>
      <c r="DBF29" t="s">
        <v>5017</v>
      </c>
      <c r="DBG29" t="s">
        <v>5018</v>
      </c>
      <c r="DBH29" t="s">
        <v>5019</v>
      </c>
      <c r="DBI29" t="s">
        <v>5020</v>
      </c>
      <c r="DBJ29" t="s">
        <v>5021</v>
      </c>
      <c r="DBK29" t="s">
        <v>5022</v>
      </c>
      <c r="DBL29" t="s">
        <v>5023</v>
      </c>
      <c r="DBM29" t="s">
        <v>5024</v>
      </c>
      <c r="DBN29" t="s">
        <v>5025</v>
      </c>
      <c r="DBO29" t="s">
        <v>5026</v>
      </c>
      <c r="DBP29" t="s">
        <v>5027</v>
      </c>
      <c r="DBQ29" t="s">
        <v>5028</v>
      </c>
      <c r="DBR29" t="s">
        <v>5029</v>
      </c>
      <c r="DBS29" t="s">
        <v>5030</v>
      </c>
      <c r="DBT29" t="s">
        <v>5031</v>
      </c>
      <c r="DBU29" t="s">
        <v>5032</v>
      </c>
      <c r="DBV29" t="s">
        <v>5033</v>
      </c>
      <c r="DBW29" t="s">
        <v>5034</v>
      </c>
      <c r="DBX29" t="s">
        <v>5035</v>
      </c>
      <c r="DBY29" t="s">
        <v>5036</v>
      </c>
      <c r="DBZ29" t="s">
        <v>5037</v>
      </c>
      <c r="DCA29" t="s">
        <v>5038</v>
      </c>
      <c r="DCB29" t="s">
        <v>5039</v>
      </c>
      <c r="DCC29" t="s">
        <v>5040</v>
      </c>
      <c r="DCD29" t="s">
        <v>5041</v>
      </c>
      <c r="DCE29" t="s">
        <v>5042</v>
      </c>
      <c r="DCF29" t="s">
        <v>5043</v>
      </c>
      <c r="DCG29" t="s">
        <v>5044</v>
      </c>
      <c r="DCH29" t="s">
        <v>5045</v>
      </c>
      <c r="DCI29" t="s">
        <v>5046</v>
      </c>
      <c r="DCJ29" t="s">
        <v>5047</v>
      </c>
      <c r="DCK29" t="s">
        <v>5048</v>
      </c>
      <c r="DCL29" t="s">
        <v>5049</v>
      </c>
      <c r="DCM29" t="s">
        <v>5050</v>
      </c>
      <c r="DCN29" t="s">
        <v>5051</v>
      </c>
      <c r="DCO29" t="s">
        <v>5052</v>
      </c>
      <c r="DCP29" t="s">
        <v>5053</v>
      </c>
      <c r="DCQ29" t="s">
        <v>5054</v>
      </c>
      <c r="DCR29" t="s">
        <v>5055</v>
      </c>
      <c r="DCS29" t="s">
        <v>5056</v>
      </c>
      <c r="DCT29" t="s">
        <v>5057</v>
      </c>
      <c r="DCU29" t="s">
        <v>5058</v>
      </c>
      <c r="DCV29" t="s">
        <v>5059</v>
      </c>
      <c r="DCW29" t="s">
        <v>5060</v>
      </c>
      <c r="DCX29" t="s">
        <v>5061</v>
      </c>
      <c r="DCY29" t="s">
        <v>5062</v>
      </c>
      <c r="DCZ29" t="s">
        <v>5063</v>
      </c>
      <c r="DDA29" t="s">
        <v>5064</v>
      </c>
      <c r="DDB29" t="s">
        <v>5065</v>
      </c>
      <c r="DDC29" t="s">
        <v>5066</v>
      </c>
      <c r="DDD29" t="s">
        <v>5067</v>
      </c>
      <c r="DDE29" t="s">
        <v>5068</v>
      </c>
      <c r="DDF29" t="s">
        <v>5069</v>
      </c>
      <c r="DDG29" t="s">
        <v>5070</v>
      </c>
      <c r="DDH29" t="s">
        <v>5071</v>
      </c>
      <c r="DDI29" t="s">
        <v>5072</v>
      </c>
      <c r="DDJ29" t="s">
        <v>5073</v>
      </c>
      <c r="DDK29" t="s">
        <v>5074</v>
      </c>
      <c r="DDL29" t="s">
        <v>5075</v>
      </c>
      <c r="DDM29" t="s">
        <v>5076</v>
      </c>
      <c r="DDN29" t="s">
        <v>5077</v>
      </c>
      <c r="DDO29" t="s">
        <v>5078</v>
      </c>
      <c r="DDP29" t="s">
        <v>5079</v>
      </c>
      <c r="DDQ29" t="s">
        <v>5080</v>
      </c>
      <c r="DDR29" t="s">
        <v>5081</v>
      </c>
      <c r="DDS29" t="s">
        <v>5082</v>
      </c>
      <c r="DDT29" t="s">
        <v>5083</v>
      </c>
      <c r="DDU29" t="s">
        <v>5084</v>
      </c>
      <c r="DDV29" t="s">
        <v>5085</v>
      </c>
      <c r="DDW29" t="s">
        <v>5086</v>
      </c>
      <c r="DDX29" t="s">
        <v>5087</v>
      </c>
      <c r="DDY29" t="s">
        <v>5088</v>
      </c>
      <c r="DDZ29" t="s">
        <v>5089</v>
      </c>
      <c r="DEA29" t="s">
        <v>5090</v>
      </c>
      <c r="DEB29" t="s">
        <v>5091</v>
      </c>
      <c r="DEC29" t="s">
        <v>5092</v>
      </c>
      <c r="DED29" t="s">
        <v>5093</v>
      </c>
      <c r="DEE29" t="s">
        <v>5094</v>
      </c>
      <c r="DEF29" t="s">
        <v>5095</v>
      </c>
      <c r="DEG29" t="s">
        <v>5096</v>
      </c>
      <c r="DEH29" t="s">
        <v>5097</v>
      </c>
      <c r="DEI29" t="s">
        <v>5098</v>
      </c>
      <c r="DEJ29" t="s">
        <v>5099</v>
      </c>
      <c r="DEK29" t="s">
        <v>5100</v>
      </c>
      <c r="DEL29" t="s">
        <v>5101</v>
      </c>
      <c r="DEM29" t="s">
        <v>5102</v>
      </c>
      <c r="DEN29" t="s">
        <v>5103</v>
      </c>
      <c r="DEO29" t="s">
        <v>5104</v>
      </c>
      <c r="DEP29" t="s">
        <v>5105</v>
      </c>
      <c r="DEQ29" t="s">
        <v>5106</v>
      </c>
      <c r="DER29" t="s">
        <v>5107</v>
      </c>
      <c r="DES29" t="s">
        <v>5108</v>
      </c>
      <c r="DET29" t="s">
        <v>5109</v>
      </c>
      <c r="DEU29" t="s">
        <v>5110</v>
      </c>
      <c r="DEV29" t="s">
        <v>5111</v>
      </c>
      <c r="DEW29" t="s">
        <v>5112</v>
      </c>
      <c r="DEX29" t="s">
        <v>5113</v>
      </c>
      <c r="DEY29" t="s">
        <v>5114</v>
      </c>
      <c r="DEZ29" t="s">
        <v>5115</v>
      </c>
      <c r="DFA29" t="s">
        <v>5116</v>
      </c>
      <c r="DFB29" t="s">
        <v>5117</v>
      </c>
      <c r="DFC29" t="s">
        <v>5118</v>
      </c>
      <c r="DFD29" t="s">
        <v>5119</v>
      </c>
      <c r="DFE29" t="s">
        <v>5120</v>
      </c>
      <c r="DFF29" t="s">
        <v>5121</v>
      </c>
      <c r="DFG29" t="s">
        <v>5122</v>
      </c>
      <c r="DFH29" t="s">
        <v>5123</v>
      </c>
      <c r="DFI29" t="s">
        <v>5124</v>
      </c>
      <c r="DFJ29" t="s">
        <v>5125</v>
      </c>
      <c r="DFK29" t="s">
        <v>5126</v>
      </c>
      <c r="DFL29" t="s">
        <v>5127</v>
      </c>
      <c r="DFM29" t="s">
        <v>5128</v>
      </c>
      <c r="DFN29" t="s">
        <v>5129</v>
      </c>
      <c r="DFO29" t="s">
        <v>5130</v>
      </c>
      <c r="DFP29" t="s">
        <v>5131</v>
      </c>
      <c r="DFQ29" t="s">
        <v>5132</v>
      </c>
      <c r="DFR29" t="s">
        <v>5133</v>
      </c>
      <c r="DFS29" t="s">
        <v>5134</v>
      </c>
      <c r="DFT29" t="s">
        <v>5135</v>
      </c>
      <c r="DFU29" t="s">
        <v>5136</v>
      </c>
      <c r="DFV29" t="s">
        <v>5137</v>
      </c>
      <c r="DFW29" t="s">
        <v>5138</v>
      </c>
      <c r="DFX29" t="s">
        <v>5139</v>
      </c>
      <c r="DFY29" t="s">
        <v>5140</v>
      </c>
      <c r="DFZ29" t="s">
        <v>5141</v>
      </c>
      <c r="DGA29" t="s">
        <v>5142</v>
      </c>
      <c r="DGB29" t="s">
        <v>5143</v>
      </c>
      <c r="DGC29" t="s">
        <v>5144</v>
      </c>
      <c r="DGD29" t="s">
        <v>5145</v>
      </c>
      <c r="DGE29" t="s">
        <v>5146</v>
      </c>
      <c r="DGF29" t="s">
        <v>5147</v>
      </c>
      <c r="DGG29" t="s">
        <v>5148</v>
      </c>
      <c r="DGH29" t="s">
        <v>5149</v>
      </c>
      <c r="DGI29" t="s">
        <v>5150</v>
      </c>
      <c r="DGJ29" t="s">
        <v>5151</v>
      </c>
      <c r="DGK29" t="s">
        <v>5152</v>
      </c>
      <c r="DGL29" t="s">
        <v>5153</v>
      </c>
      <c r="DGM29" t="s">
        <v>5154</v>
      </c>
      <c r="DGN29" t="s">
        <v>5155</v>
      </c>
      <c r="DGO29" t="s">
        <v>5156</v>
      </c>
      <c r="DGP29" t="s">
        <v>5157</v>
      </c>
      <c r="DGQ29" t="s">
        <v>5158</v>
      </c>
      <c r="DGR29" t="s">
        <v>5159</v>
      </c>
      <c r="DGS29" t="s">
        <v>5160</v>
      </c>
      <c r="DGT29" t="s">
        <v>5161</v>
      </c>
      <c r="DGU29" t="s">
        <v>5162</v>
      </c>
      <c r="DGV29" t="s">
        <v>5163</v>
      </c>
      <c r="DGW29" t="s">
        <v>5164</v>
      </c>
      <c r="DGX29" t="s">
        <v>5165</v>
      </c>
      <c r="DGY29" t="s">
        <v>5166</v>
      </c>
      <c r="DGZ29" t="s">
        <v>5167</v>
      </c>
      <c r="DHA29" t="s">
        <v>5168</v>
      </c>
      <c r="DHB29" t="s">
        <v>5169</v>
      </c>
      <c r="DHC29" t="s">
        <v>5170</v>
      </c>
      <c r="DHD29" t="s">
        <v>5171</v>
      </c>
      <c r="DHE29" t="s">
        <v>5172</v>
      </c>
      <c r="DHF29" t="s">
        <v>5173</v>
      </c>
      <c r="DHG29" t="s">
        <v>5174</v>
      </c>
      <c r="DHH29" t="s">
        <v>5175</v>
      </c>
      <c r="DHI29" t="s">
        <v>5176</v>
      </c>
      <c r="DHJ29" t="s">
        <v>5177</v>
      </c>
      <c r="DHK29" t="s">
        <v>5178</v>
      </c>
      <c r="DHL29" t="s">
        <v>5179</v>
      </c>
      <c r="DHM29" t="s">
        <v>5180</v>
      </c>
      <c r="DHN29" t="s">
        <v>5181</v>
      </c>
      <c r="DHO29" t="s">
        <v>5182</v>
      </c>
      <c r="DHP29" t="s">
        <v>5183</v>
      </c>
      <c r="DHQ29" t="s">
        <v>5184</v>
      </c>
      <c r="DHR29" t="s">
        <v>5185</v>
      </c>
      <c r="DHS29" t="s">
        <v>5186</v>
      </c>
      <c r="DHT29" t="s">
        <v>5187</v>
      </c>
      <c r="DHU29" t="s">
        <v>5188</v>
      </c>
      <c r="DHV29" t="s">
        <v>5189</v>
      </c>
      <c r="DHW29" t="s">
        <v>5190</v>
      </c>
      <c r="DHX29" t="s">
        <v>5191</v>
      </c>
      <c r="DHY29" t="s">
        <v>5192</v>
      </c>
      <c r="DHZ29" t="s">
        <v>5193</v>
      </c>
      <c r="DIA29" t="s">
        <v>5194</v>
      </c>
      <c r="DIB29" t="s">
        <v>5195</v>
      </c>
      <c r="DIC29" t="s">
        <v>5196</v>
      </c>
      <c r="DID29" t="s">
        <v>5197</v>
      </c>
      <c r="DIE29" t="s">
        <v>5198</v>
      </c>
      <c r="DIF29" t="s">
        <v>5199</v>
      </c>
      <c r="DIG29" t="s">
        <v>5200</v>
      </c>
      <c r="DIH29" t="s">
        <v>5201</v>
      </c>
      <c r="DII29" t="s">
        <v>5202</v>
      </c>
      <c r="DIJ29" t="s">
        <v>5203</v>
      </c>
      <c r="DIK29" t="s">
        <v>5204</v>
      </c>
      <c r="DIL29" t="s">
        <v>5205</v>
      </c>
      <c r="DIM29" t="s">
        <v>5206</v>
      </c>
      <c r="DIN29" t="s">
        <v>5207</v>
      </c>
      <c r="DIO29" t="s">
        <v>5208</v>
      </c>
      <c r="DIP29" t="s">
        <v>5209</v>
      </c>
      <c r="DIQ29" t="s">
        <v>5210</v>
      </c>
      <c r="DIR29" t="s">
        <v>5211</v>
      </c>
      <c r="DIS29" t="s">
        <v>5212</v>
      </c>
      <c r="DIT29" t="s">
        <v>5213</v>
      </c>
      <c r="DIU29" t="s">
        <v>5214</v>
      </c>
      <c r="DIV29" t="s">
        <v>5215</v>
      </c>
      <c r="DIW29" t="s">
        <v>5216</v>
      </c>
      <c r="DIX29" t="s">
        <v>5217</v>
      </c>
      <c r="DIY29" t="s">
        <v>5218</v>
      </c>
      <c r="DIZ29" t="s">
        <v>5219</v>
      </c>
      <c r="DJA29" t="s">
        <v>5220</v>
      </c>
      <c r="DJB29" t="s">
        <v>5221</v>
      </c>
      <c r="DJC29" t="s">
        <v>5222</v>
      </c>
      <c r="DJD29" t="s">
        <v>5223</v>
      </c>
      <c r="DJE29" t="s">
        <v>5224</v>
      </c>
      <c r="DJF29" t="s">
        <v>5225</v>
      </c>
      <c r="DJG29" t="s">
        <v>5226</v>
      </c>
      <c r="DJH29" t="s">
        <v>5227</v>
      </c>
      <c r="DJI29" t="s">
        <v>5228</v>
      </c>
      <c r="DJJ29" t="s">
        <v>5229</v>
      </c>
      <c r="DJK29" t="s">
        <v>5230</v>
      </c>
      <c r="DJL29" t="s">
        <v>5231</v>
      </c>
      <c r="DJM29" t="s">
        <v>5232</v>
      </c>
      <c r="DJN29" t="s">
        <v>5233</v>
      </c>
      <c r="DJO29" t="s">
        <v>5234</v>
      </c>
      <c r="DJP29" t="s">
        <v>5235</v>
      </c>
      <c r="DJQ29" t="s">
        <v>5236</v>
      </c>
      <c r="DJR29" t="s">
        <v>5237</v>
      </c>
      <c r="DJS29" t="s">
        <v>5238</v>
      </c>
      <c r="DJT29" t="s">
        <v>5239</v>
      </c>
      <c r="DJU29" t="s">
        <v>5240</v>
      </c>
      <c r="DJV29" t="s">
        <v>5241</v>
      </c>
      <c r="DJW29" t="s">
        <v>5242</v>
      </c>
      <c r="DJX29" t="s">
        <v>5243</v>
      </c>
      <c r="DJY29" t="s">
        <v>5244</v>
      </c>
      <c r="DJZ29" t="s">
        <v>5245</v>
      </c>
      <c r="DKA29" t="s">
        <v>5246</v>
      </c>
      <c r="DKB29" t="s">
        <v>5247</v>
      </c>
      <c r="DKC29" t="s">
        <v>5248</v>
      </c>
      <c r="DKD29" t="s">
        <v>5249</v>
      </c>
      <c r="DKE29" t="s">
        <v>5250</v>
      </c>
      <c r="DKF29" t="s">
        <v>5251</v>
      </c>
      <c r="DKG29" t="s">
        <v>5252</v>
      </c>
      <c r="DKH29" t="s">
        <v>5253</v>
      </c>
      <c r="DKI29" t="s">
        <v>5254</v>
      </c>
      <c r="DKJ29" t="s">
        <v>5255</v>
      </c>
      <c r="DKK29" t="s">
        <v>5256</v>
      </c>
      <c r="DKL29" t="s">
        <v>5257</v>
      </c>
      <c r="DKM29" t="s">
        <v>5258</v>
      </c>
      <c r="DKN29" t="s">
        <v>5259</v>
      </c>
      <c r="DKO29" t="s">
        <v>5260</v>
      </c>
      <c r="DKP29" t="s">
        <v>5261</v>
      </c>
      <c r="DKQ29" t="s">
        <v>5262</v>
      </c>
      <c r="DKR29" t="s">
        <v>5263</v>
      </c>
      <c r="DKS29" t="s">
        <v>5264</v>
      </c>
      <c r="DKT29" t="s">
        <v>5265</v>
      </c>
      <c r="DKU29" t="s">
        <v>5266</v>
      </c>
      <c r="DKV29" t="s">
        <v>5267</v>
      </c>
      <c r="DKW29" t="s">
        <v>5268</v>
      </c>
      <c r="DKX29" t="s">
        <v>5269</v>
      </c>
      <c r="DKY29" t="s">
        <v>5270</v>
      </c>
      <c r="DKZ29" t="s">
        <v>5271</v>
      </c>
      <c r="DLA29" t="s">
        <v>5272</v>
      </c>
      <c r="DLB29" t="s">
        <v>5273</v>
      </c>
      <c r="DLC29" t="s">
        <v>5274</v>
      </c>
      <c r="DLD29" t="s">
        <v>5275</v>
      </c>
      <c r="DLE29" t="s">
        <v>5276</v>
      </c>
      <c r="DLF29" t="s">
        <v>5277</v>
      </c>
      <c r="DLG29" t="s">
        <v>5278</v>
      </c>
      <c r="DLH29" t="s">
        <v>5279</v>
      </c>
      <c r="DLI29" t="s">
        <v>5280</v>
      </c>
      <c r="DLJ29" t="s">
        <v>5281</v>
      </c>
      <c r="DLK29" t="s">
        <v>5282</v>
      </c>
      <c r="DLL29" t="s">
        <v>5283</v>
      </c>
      <c r="DLM29" t="s">
        <v>5284</v>
      </c>
      <c r="DLN29" t="s">
        <v>5285</v>
      </c>
      <c r="DLO29" t="s">
        <v>5286</v>
      </c>
      <c r="DLP29" t="s">
        <v>5287</v>
      </c>
      <c r="DLQ29" t="s">
        <v>5288</v>
      </c>
      <c r="DLR29" t="s">
        <v>5289</v>
      </c>
      <c r="DLS29" t="s">
        <v>5290</v>
      </c>
      <c r="DLT29" t="s">
        <v>5291</v>
      </c>
      <c r="DLU29" t="s">
        <v>5292</v>
      </c>
      <c r="DLV29" t="s">
        <v>5293</v>
      </c>
      <c r="DLW29" t="s">
        <v>5294</v>
      </c>
      <c r="DLX29" t="s">
        <v>5295</v>
      </c>
      <c r="DLY29" t="s">
        <v>5296</v>
      </c>
      <c r="DLZ29" t="s">
        <v>5297</v>
      </c>
      <c r="DMA29" t="s">
        <v>5298</v>
      </c>
      <c r="DMB29" t="s">
        <v>5299</v>
      </c>
      <c r="DMC29" t="s">
        <v>5300</v>
      </c>
      <c r="DMD29" t="s">
        <v>5301</v>
      </c>
      <c r="DME29" t="s">
        <v>5302</v>
      </c>
      <c r="DMF29" t="s">
        <v>5303</v>
      </c>
      <c r="DMG29" t="s">
        <v>5304</v>
      </c>
      <c r="DMH29" t="s">
        <v>5305</v>
      </c>
      <c r="DMI29" t="s">
        <v>5306</v>
      </c>
      <c r="DMJ29" t="s">
        <v>5307</v>
      </c>
      <c r="DMK29" t="s">
        <v>5308</v>
      </c>
      <c r="DML29" t="s">
        <v>5309</v>
      </c>
      <c r="DMM29" t="s">
        <v>5310</v>
      </c>
      <c r="DMN29" t="s">
        <v>5311</v>
      </c>
      <c r="DMO29" t="s">
        <v>5312</v>
      </c>
      <c r="DMP29" t="s">
        <v>5313</v>
      </c>
      <c r="DMQ29" t="s">
        <v>5314</v>
      </c>
      <c r="DMR29" t="s">
        <v>5315</v>
      </c>
      <c r="DMS29" t="s">
        <v>5316</v>
      </c>
      <c r="DMT29" t="s">
        <v>5317</v>
      </c>
      <c r="DMU29" t="s">
        <v>5318</v>
      </c>
      <c r="DMV29" t="s">
        <v>5319</v>
      </c>
      <c r="DMW29" t="s">
        <v>5320</v>
      </c>
      <c r="DMX29" t="s">
        <v>5321</v>
      </c>
      <c r="DMY29" t="s">
        <v>5322</v>
      </c>
      <c r="DMZ29" t="s">
        <v>5323</v>
      </c>
      <c r="DNA29" t="s">
        <v>5324</v>
      </c>
      <c r="DNB29" t="s">
        <v>5325</v>
      </c>
      <c r="DNC29" t="s">
        <v>5326</v>
      </c>
      <c r="DND29" t="s">
        <v>5327</v>
      </c>
      <c r="DNE29" t="s">
        <v>5328</v>
      </c>
      <c r="DNF29" t="s">
        <v>5329</v>
      </c>
      <c r="DNG29" t="s">
        <v>5330</v>
      </c>
      <c r="DNH29" t="s">
        <v>5331</v>
      </c>
      <c r="DNI29" t="s">
        <v>5332</v>
      </c>
      <c r="DNJ29" t="s">
        <v>5333</v>
      </c>
      <c r="DNK29" t="s">
        <v>5334</v>
      </c>
      <c r="DNL29" t="s">
        <v>5335</v>
      </c>
      <c r="DNM29" t="s">
        <v>5336</v>
      </c>
      <c r="DNN29" t="s">
        <v>5337</v>
      </c>
      <c r="DNO29" t="s">
        <v>5338</v>
      </c>
      <c r="DNP29" t="s">
        <v>5339</v>
      </c>
      <c r="DNQ29" t="s">
        <v>5340</v>
      </c>
      <c r="DNR29" t="s">
        <v>5341</v>
      </c>
      <c r="DNS29" t="s">
        <v>5342</v>
      </c>
      <c r="DNT29" t="s">
        <v>5343</v>
      </c>
      <c r="DNU29" t="s">
        <v>5344</v>
      </c>
      <c r="DNV29" t="s">
        <v>5345</v>
      </c>
      <c r="DNW29" t="s">
        <v>5346</v>
      </c>
      <c r="DNX29" t="s">
        <v>5347</v>
      </c>
      <c r="DNY29" t="s">
        <v>5348</v>
      </c>
      <c r="DNZ29" t="s">
        <v>5349</v>
      </c>
      <c r="DOA29" t="s">
        <v>5350</v>
      </c>
      <c r="DOB29" t="s">
        <v>5351</v>
      </c>
      <c r="DOC29" t="s">
        <v>5352</v>
      </c>
      <c r="DOD29" t="s">
        <v>5353</v>
      </c>
      <c r="DOE29" t="s">
        <v>5354</v>
      </c>
      <c r="DOF29" t="s">
        <v>5355</v>
      </c>
      <c r="DOG29" t="s">
        <v>5356</v>
      </c>
      <c r="DOH29" t="s">
        <v>5357</v>
      </c>
      <c r="DOI29" t="s">
        <v>5358</v>
      </c>
      <c r="DOJ29" t="s">
        <v>5359</v>
      </c>
      <c r="DOK29" t="s">
        <v>5360</v>
      </c>
      <c r="DOL29" t="s">
        <v>5361</v>
      </c>
      <c r="DOM29" t="s">
        <v>5362</v>
      </c>
      <c r="DON29" t="s">
        <v>5363</v>
      </c>
      <c r="DOO29" t="s">
        <v>5364</v>
      </c>
      <c r="DOP29" t="s">
        <v>5365</v>
      </c>
      <c r="DOQ29" t="s">
        <v>5366</v>
      </c>
      <c r="DOR29" t="s">
        <v>5367</v>
      </c>
      <c r="DOS29" t="s">
        <v>5368</v>
      </c>
      <c r="DOT29" t="s">
        <v>5369</v>
      </c>
      <c r="DOU29" t="s">
        <v>5370</v>
      </c>
      <c r="DOV29" t="s">
        <v>5371</v>
      </c>
      <c r="DOW29" t="s">
        <v>5372</v>
      </c>
      <c r="DOX29" t="s">
        <v>5373</v>
      </c>
      <c r="DOY29" t="s">
        <v>5374</v>
      </c>
      <c r="DOZ29" t="s">
        <v>5375</v>
      </c>
      <c r="DPA29" t="s">
        <v>5376</v>
      </c>
      <c r="DPB29" t="s">
        <v>5377</v>
      </c>
      <c r="DPC29" t="s">
        <v>5378</v>
      </c>
      <c r="DPD29" t="s">
        <v>5379</v>
      </c>
      <c r="DPE29" t="s">
        <v>5380</v>
      </c>
      <c r="DPF29" t="s">
        <v>5381</v>
      </c>
      <c r="DPG29" t="s">
        <v>5382</v>
      </c>
      <c r="DPH29" t="s">
        <v>5383</v>
      </c>
      <c r="DPI29" t="s">
        <v>5384</v>
      </c>
      <c r="DPJ29" t="s">
        <v>5385</v>
      </c>
      <c r="DPK29" t="s">
        <v>5386</v>
      </c>
      <c r="DPL29" t="s">
        <v>5387</v>
      </c>
      <c r="DPM29" t="s">
        <v>5388</v>
      </c>
      <c r="DPN29" t="s">
        <v>5389</v>
      </c>
      <c r="DPO29" t="s">
        <v>5390</v>
      </c>
      <c r="DPP29" t="s">
        <v>5391</v>
      </c>
      <c r="DPQ29" t="s">
        <v>5392</v>
      </c>
      <c r="DPR29" t="s">
        <v>5393</v>
      </c>
      <c r="DPS29" t="s">
        <v>5394</v>
      </c>
      <c r="DPT29" t="s">
        <v>5395</v>
      </c>
      <c r="DPU29" t="s">
        <v>5396</v>
      </c>
      <c r="DPV29" t="s">
        <v>5397</v>
      </c>
      <c r="DPW29" t="s">
        <v>5398</v>
      </c>
      <c r="DPX29" t="s">
        <v>5399</v>
      </c>
      <c r="DPY29" t="s">
        <v>5400</v>
      </c>
      <c r="DPZ29" t="s">
        <v>5401</v>
      </c>
      <c r="DQA29" t="s">
        <v>5402</v>
      </c>
      <c r="DQB29" t="s">
        <v>5403</v>
      </c>
      <c r="DQC29" t="s">
        <v>5404</v>
      </c>
      <c r="DQD29" t="s">
        <v>5405</v>
      </c>
      <c r="DQE29" t="s">
        <v>5406</v>
      </c>
      <c r="DQF29" t="s">
        <v>5407</v>
      </c>
      <c r="DQG29" t="s">
        <v>5408</v>
      </c>
      <c r="DQH29" t="s">
        <v>5409</v>
      </c>
      <c r="DQI29" t="s">
        <v>5410</v>
      </c>
      <c r="DQJ29" t="s">
        <v>5411</v>
      </c>
      <c r="DQK29" t="s">
        <v>5412</v>
      </c>
      <c r="DQL29" t="s">
        <v>5413</v>
      </c>
      <c r="DQM29" t="s">
        <v>5414</v>
      </c>
      <c r="DQN29" t="s">
        <v>5415</v>
      </c>
      <c r="DQO29" t="s">
        <v>5416</v>
      </c>
      <c r="DQP29" t="s">
        <v>5417</v>
      </c>
      <c r="DQQ29" t="s">
        <v>5418</v>
      </c>
      <c r="DQR29" t="s">
        <v>5419</v>
      </c>
      <c r="DQS29" t="s">
        <v>5420</v>
      </c>
      <c r="DQT29" t="s">
        <v>5421</v>
      </c>
      <c r="DQU29" t="s">
        <v>5422</v>
      </c>
      <c r="DQV29" t="s">
        <v>5423</v>
      </c>
      <c r="DQW29" t="s">
        <v>5424</v>
      </c>
      <c r="DQX29" t="s">
        <v>5425</v>
      </c>
      <c r="DQY29" t="s">
        <v>5426</v>
      </c>
      <c r="DQZ29" t="s">
        <v>5427</v>
      </c>
      <c r="DRA29" t="s">
        <v>5428</v>
      </c>
      <c r="DRB29" t="s">
        <v>5429</v>
      </c>
      <c r="DRC29" t="s">
        <v>5430</v>
      </c>
      <c r="DRD29" t="s">
        <v>5431</v>
      </c>
      <c r="DRE29" t="s">
        <v>5432</v>
      </c>
      <c r="DRF29" t="s">
        <v>5433</v>
      </c>
      <c r="DRG29" t="s">
        <v>5434</v>
      </c>
      <c r="DRH29" t="s">
        <v>5435</v>
      </c>
      <c r="DRI29" t="s">
        <v>5436</v>
      </c>
      <c r="DRJ29" t="s">
        <v>5437</v>
      </c>
      <c r="DRK29" t="s">
        <v>5438</v>
      </c>
      <c r="DRL29" t="s">
        <v>5439</v>
      </c>
      <c r="DRM29" t="s">
        <v>5440</v>
      </c>
      <c r="DRN29" t="s">
        <v>5441</v>
      </c>
      <c r="DRO29" t="s">
        <v>5442</v>
      </c>
      <c r="DRP29" t="s">
        <v>5443</v>
      </c>
      <c r="DRQ29" t="s">
        <v>5444</v>
      </c>
      <c r="DRR29" t="s">
        <v>5445</v>
      </c>
      <c r="DRS29" t="s">
        <v>5446</v>
      </c>
      <c r="DRT29" t="s">
        <v>5447</v>
      </c>
      <c r="DRU29" t="s">
        <v>5448</v>
      </c>
      <c r="DRV29" t="s">
        <v>5449</v>
      </c>
      <c r="DRW29" t="s">
        <v>5450</v>
      </c>
      <c r="DRX29" t="s">
        <v>5451</v>
      </c>
      <c r="DRY29" t="s">
        <v>5452</v>
      </c>
      <c r="DRZ29" t="s">
        <v>5453</v>
      </c>
      <c r="DSA29" t="s">
        <v>5454</v>
      </c>
      <c r="DSB29" t="s">
        <v>5455</v>
      </c>
      <c r="DSC29" t="s">
        <v>5456</v>
      </c>
      <c r="DSD29" t="s">
        <v>5457</v>
      </c>
      <c r="DSE29" t="s">
        <v>5458</v>
      </c>
      <c r="DSF29" t="s">
        <v>5459</v>
      </c>
      <c r="DSG29" t="s">
        <v>5460</v>
      </c>
      <c r="DSH29" t="s">
        <v>5461</v>
      </c>
      <c r="DSI29" t="s">
        <v>5462</v>
      </c>
      <c r="DSJ29" t="s">
        <v>5463</v>
      </c>
      <c r="DSK29" t="s">
        <v>5464</v>
      </c>
      <c r="DSL29" t="s">
        <v>5465</v>
      </c>
      <c r="DSM29" t="s">
        <v>5466</v>
      </c>
      <c r="DSN29" t="s">
        <v>5467</v>
      </c>
      <c r="DSO29" t="s">
        <v>5468</v>
      </c>
      <c r="DSP29" t="s">
        <v>5469</v>
      </c>
      <c r="DSQ29" t="s">
        <v>5470</v>
      </c>
      <c r="DSR29" t="s">
        <v>5471</v>
      </c>
      <c r="DSS29" t="s">
        <v>5472</v>
      </c>
      <c r="DST29" t="s">
        <v>5473</v>
      </c>
      <c r="DSU29" t="s">
        <v>5474</v>
      </c>
      <c r="DSV29" t="s">
        <v>5475</v>
      </c>
      <c r="DSW29" t="s">
        <v>5476</v>
      </c>
      <c r="DSX29" t="s">
        <v>5477</v>
      </c>
      <c r="DSY29" t="s">
        <v>5478</v>
      </c>
      <c r="DSZ29" t="s">
        <v>5479</v>
      </c>
      <c r="DTA29" t="s">
        <v>5480</v>
      </c>
      <c r="DTB29" t="s">
        <v>5481</v>
      </c>
      <c r="DTC29" t="s">
        <v>5482</v>
      </c>
      <c r="DTD29" t="s">
        <v>5483</v>
      </c>
      <c r="DTE29" t="s">
        <v>5484</v>
      </c>
      <c r="DTF29" t="s">
        <v>5485</v>
      </c>
      <c r="DTG29" t="s">
        <v>5486</v>
      </c>
      <c r="DTH29" t="s">
        <v>5487</v>
      </c>
      <c r="DTI29" t="s">
        <v>5488</v>
      </c>
      <c r="DTJ29" t="s">
        <v>5489</v>
      </c>
      <c r="DTK29" t="s">
        <v>5490</v>
      </c>
      <c r="DTL29" t="s">
        <v>5491</v>
      </c>
      <c r="DTM29" t="s">
        <v>5492</v>
      </c>
      <c r="DTN29" t="s">
        <v>5493</v>
      </c>
      <c r="DTO29" t="s">
        <v>5494</v>
      </c>
      <c r="DTP29" t="s">
        <v>5495</v>
      </c>
      <c r="DTQ29" t="s">
        <v>5496</v>
      </c>
      <c r="DTR29" t="s">
        <v>5497</v>
      </c>
      <c r="DTS29" t="s">
        <v>5498</v>
      </c>
      <c r="DTT29" t="s">
        <v>5499</v>
      </c>
      <c r="DTU29" t="s">
        <v>5500</v>
      </c>
      <c r="DTV29" t="s">
        <v>5501</v>
      </c>
      <c r="DTW29" t="s">
        <v>5502</v>
      </c>
      <c r="DTX29" t="s">
        <v>5503</v>
      </c>
      <c r="DTY29" t="s">
        <v>5504</v>
      </c>
      <c r="DTZ29" t="s">
        <v>5505</v>
      </c>
      <c r="DUA29" t="s">
        <v>5506</v>
      </c>
      <c r="DUB29" t="s">
        <v>5507</v>
      </c>
      <c r="DUC29" t="s">
        <v>5508</v>
      </c>
      <c r="DUD29" t="s">
        <v>5509</v>
      </c>
      <c r="DUE29" t="s">
        <v>5510</v>
      </c>
      <c r="DUF29" t="s">
        <v>5511</v>
      </c>
      <c r="DUG29" t="s">
        <v>5512</v>
      </c>
      <c r="DUH29" t="s">
        <v>5513</v>
      </c>
      <c r="DUI29" t="s">
        <v>5514</v>
      </c>
      <c r="DUJ29" t="s">
        <v>5515</v>
      </c>
      <c r="DUK29" t="s">
        <v>5516</v>
      </c>
      <c r="DUL29" t="s">
        <v>5517</v>
      </c>
      <c r="DUM29" t="s">
        <v>5518</v>
      </c>
      <c r="DUN29" t="s">
        <v>5519</v>
      </c>
      <c r="DUO29" t="s">
        <v>5520</v>
      </c>
      <c r="DUP29" t="s">
        <v>5521</v>
      </c>
      <c r="DUQ29" t="s">
        <v>5522</v>
      </c>
      <c r="DUR29" t="s">
        <v>5523</v>
      </c>
      <c r="DUS29" t="s">
        <v>5524</v>
      </c>
      <c r="DUT29" t="s">
        <v>5525</v>
      </c>
      <c r="DUU29" t="s">
        <v>5526</v>
      </c>
      <c r="DUV29" t="s">
        <v>5527</v>
      </c>
      <c r="DUW29" t="s">
        <v>5528</v>
      </c>
      <c r="DUX29" t="s">
        <v>5529</v>
      </c>
      <c r="DUY29" t="s">
        <v>5530</v>
      </c>
      <c r="DUZ29" t="s">
        <v>5531</v>
      </c>
      <c r="DVA29" t="s">
        <v>5532</v>
      </c>
      <c r="DVB29" t="s">
        <v>5533</v>
      </c>
      <c r="DVC29" t="s">
        <v>5534</v>
      </c>
      <c r="DVD29" t="s">
        <v>5535</v>
      </c>
      <c r="DVE29" t="s">
        <v>5536</v>
      </c>
      <c r="DVF29" t="s">
        <v>5537</v>
      </c>
      <c r="DVG29" t="s">
        <v>5538</v>
      </c>
      <c r="DVH29" t="s">
        <v>5539</v>
      </c>
      <c r="DVI29" t="s">
        <v>5540</v>
      </c>
      <c r="DVJ29" t="s">
        <v>5541</v>
      </c>
      <c r="DVK29" t="s">
        <v>5542</v>
      </c>
      <c r="DVL29" t="s">
        <v>5543</v>
      </c>
      <c r="DVM29" t="s">
        <v>5544</v>
      </c>
      <c r="DVN29" t="s">
        <v>5545</v>
      </c>
      <c r="DVO29" t="s">
        <v>5546</v>
      </c>
      <c r="DVP29" t="s">
        <v>5547</v>
      </c>
      <c r="DVQ29" t="s">
        <v>5548</v>
      </c>
      <c r="DVR29" t="s">
        <v>5549</v>
      </c>
      <c r="DVS29" t="s">
        <v>5550</v>
      </c>
      <c r="DVT29" t="s">
        <v>5551</v>
      </c>
      <c r="DVU29" t="s">
        <v>5552</v>
      </c>
      <c r="DVV29" t="s">
        <v>5553</v>
      </c>
      <c r="DVW29" t="s">
        <v>5554</v>
      </c>
      <c r="DVX29" t="s">
        <v>5555</v>
      </c>
      <c r="DVY29" t="s">
        <v>5556</v>
      </c>
      <c r="DVZ29" t="s">
        <v>5557</v>
      </c>
      <c r="DWA29" t="s">
        <v>5558</v>
      </c>
      <c r="DWB29" t="s">
        <v>5559</v>
      </c>
      <c r="DWC29" t="s">
        <v>5560</v>
      </c>
      <c r="DWD29" t="s">
        <v>5561</v>
      </c>
      <c r="DWE29" t="s">
        <v>5562</v>
      </c>
      <c r="DWF29" t="s">
        <v>5563</v>
      </c>
      <c r="DWG29" t="s">
        <v>5564</v>
      </c>
      <c r="DWH29" t="s">
        <v>5565</v>
      </c>
      <c r="DWI29" t="s">
        <v>5566</v>
      </c>
      <c r="DWJ29" t="s">
        <v>5567</v>
      </c>
      <c r="DWK29" t="s">
        <v>5568</v>
      </c>
      <c r="DWL29" t="s">
        <v>5569</v>
      </c>
      <c r="DWM29" t="s">
        <v>5570</v>
      </c>
      <c r="DWN29" t="s">
        <v>5571</v>
      </c>
      <c r="DWO29" t="s">
        <v>5572</v>
      </c>
      <c r="DWP29" t="s">
        <v>5573</v>
      </c>
      <c r="DWQ29" t="s">
        <v>5574</v>
      </c>
      <c r="DWR29" t="s">
        <v>5575</v>
      </c>
      <c r="DWS29" t="s">
        <v>5576</v>
      </c>
      <c r="DWT29" t="s">
        <v>5577</v>
      </c>
      <c r="DWU29" t="s">
        <v>5578</v>
      </c>
      <c r="DWV29" t="s">
        <v>5579</v>
      </c>
      <c r="DWW29" t="s">
        <v>5580</v>
      </c>
      <c r="DWX29" t="s">
        <v>5581</v>
      </c>
      <c r="DWY29" t="s">
        <v>5582</v>
      </c>
      <c r="DWZ29" t="s">
        <v>5583</v>
      </c>
      <c r="DXA29" t="s">
        <v>5584</v>
      </c>
      <c r="DXB29" t="s">
        <v>5585</v>
      </c>
      <c r="DXC29" t="s">
        <v>5586</v>
      </c>
      <c r="DXD29" t="s">
        <v>5587</v>
      </c>
      <c r="DXE29" t="s">
        <v>5588</v>
      </c>
      <c r="DXF29" t="s">
        <v>5589</v>
      </c>
      <c r="DXG29" t="s">
        <v>5590</v>
      </c>
      <c r="DXH29" t="s">
        <v>5591</v>
      </c>
      <c r="DXI29" t="s">
        <v>5592</v>
      </c>
      <c r="DXJ29" t="s">
        <v>5593</v>
      </c>
      <c r="DXK29" t="s">
        <v>5594</v>
      </c>
      <c r="DXL29" t="s">
        <v>5595</v>
      </c>
      <c r="DXM29" t="s">
        <v>5596</v>
      </c>
      <c r="DXN29" t="s">
        <v>5597</v>
      </c>
      <c r="DXO29" t="s">
        <v>5598</v>
      </c>
      <c r="DXP29" t="s">
        <v>5599</v>
      </c>
      <c r="DXQ29" t="s">
        <v>5600</v>
      </c>
      <c r="DXR29" t="s">
        <v>5601</v>
      </c>
      <c r="DXS29" t="s">
        <v>5602</v>
      </c>
      <c r="DXT29" t="s">
        <v>5603</v>
      </c>
      <c r="DXU29" t="s">
        <v>5604</v>
      </c>
      <c r="DXV29" t="s">
        <v>5605</v>
      </c>
      <c r="DXW29" t="s">
        <v>5606</v>
      </c>
      <c r="DXX29" t="s">
        <v>5607</v>
      </c>
      <c r="DXY29" t="s">
        <v>5608</v>
      </c>
      <c r="DXZ29" t="s">
        <v>5609</v>
      </c>
      <c r="DYA29" t="s">
        <v>5610</v>
      </c>
      <c r="DYB29" t="s">
        <v>5611</v>
      </c>
      <c r="DYC29" t="s">
        <v>5612</v>
      </c>
      <c r="DYD29" t="s">
        <v>5613</v>
      </c>
      <c r="DYE29" t="s">
        <v>5614</v>
      </c>
      <c r="DYF29" t="s">
        <v>5615</v>
      </c>
      <c r="DYG29" t="s">
        <v>5616</v>
      </c>
      <c r="DYH29" t="s">
        <v>5617</v>
      </c>
      <c r="DYI29" t="s">
        <v>5618</v>
      </c>
      <c r="DYJ29" t="s">
        <v>5619</v>
      </c>
      <c r="DYK29" t="s">
        <v>5620</v>
      </c>
      <c r="DYL29" t="s">
        <v>5621</v>
      </c>
      <c r="DYM29" t="s">
        <v>5622</v>
      </c>
      <c r="DYN29" t="s">
        <v>5623</v>
      </c>
      <c r="DYO29" t="s">
        <v>5624</v>
      </c>
      <c r="DYP29" t="s">
        <v>5625</v>
      </c>
      <c r="DYQ29" t="s">
        <v>5626</v>
      </c>
      <c r="DYR29" t="s">
        <v>5627</v>
      </c>
      <c r="DYS29" t="s">
        <v>5628</v>
      </c>
      <c r="DYT29" t="s">
        <v>5629</v>
      </c>
      <c r="DYU29" t="s">
        <v>5630</v>
      </c>
      <c r="DYV29" t="s">
        <v>5631</v>
      </c>
      <c r="DYW29" t="s">
        <v>5632</v>
      </c>
      <c r="DYX29" t="s">
        <v>5633</v>
      </c>
      <c r="DYY29" t="s">
        <v>5634</v>
      </c>
      <c r="DYZ29" t="s">
        <v>5635</v>
      </c>
      <c r="DZA29" t="s">
        <v>5636</v>
      </c>
      <c r="DZB29" t="s">
        <v>5637</v>
      </c>
      <c r="DZC29" t="s">
        <v>5638</v>
      </c>
      <c r="DZD29" t="s">
        <v>5639</v>
      </c>
      <c r="DZE29" t="s">
        <v>5640</v>
      </c>
      <c r="DZF29" t="s">
        <v>5641</v>
      </c>
      <c r="DZG29" t="s">
        <v>5642</v>
      </c>
      <c r="DZH29" t="s">
        <v>5643</v>
      </c>
      <c r="DZI29" t="s">
        <v>5644</v>
      </c>
      <c r="DZJ29" t="s">
        <v>5645</v>
      </c>
      <c r="DZK29" t="s">
        <v>5646</v>
      </c>
      <c r="DZL29" t="s">
        <v>5647</v>
      </c>
      <c r="DZM29" t="s">
        <v>5648</v>
      </c>
      <c r="DZN29" t="s">
        <v>5649</v>
      </c>
      <c r="DZO29" t="s">
        <v>5650</v>
      </c>
      <c r="DZP29" t="s">
        <v>5651</v>
      </c>
      <c r="DZQ29" t="s">
        <v>5652</v>
      </c>
      <c r="DZR29" t="s">
        <v>5653</v>
      </c>
      <c r="DZS29" t="s">
        <v>5654</v>
      </c>
      <c r="DZT29" t="s">
        <v>5655</v>
      </c>
      <c r="DZU29" t="s">
        <v>5656</v>
      </c>
      <c r="DZV29" t="s">
        <v>5657</v>
      </c>
      <c r="DZW29" t="s">
        <v>5658</v>
      </c>
      <c r="DZX29" t="s">
        <v>5659</v>
      </c>
      <c r="DZY29" t="s">
        <v>5660</v>
      </c>
      <c r="DZZ29" t="s">
        <v>5661</v>
      </c>
      <c r="EAA29" t="s">
        <v>5662</v>
      </c>
      <c r="EAB29" t="s">
        <v>5663</v>
      </c>
      <c r="EAC29" t="s">
        <v>5664</v>
      </c>
      <c r="EAD29" t="s">
        <v>5665</v>
      </c>
      <c r="EAE29" t="s">
        <v>5666</v>
      </c>
      <c r="EAF29" t="s">
        <v>5667</v>
      </c>
      <c r="EAG29" t="s">
        <v>5668</v>
      </c>
      <c r="EAH29" t="s">
        <v>5669</v>
      </c>
      <c r="EAI29" t="s">
        <v>5670</v>
      </c>
      <c r="EAJ29" t="s">
        <v>5671</v>
      </c>
      <c r="EAK29" t="s">
        <v>5672</v>
      </c>
      <c r="EAL29" t="s">
        <v>5673</v>
      </c>
      <c r="EAM29" t="s">
        <v>5674</v>
      </c>
      <c r="EAN29" t="s">
        <v>5675</v>
      </c>
      <c r="EAO29" t="s">
        <v>5676</v>
      </c>
      <c r="EAP29" t="s">
        <v>5677</v>
      </c>
      <c r="EAQ29" t="s">
        <v>5678</v>
      </c>
      <c r="EAR29" t="s">
        <v>5679</v>
      </c>
      <c r="EAS29" t="s">
        <v>5680</v>
      </c>
      <c r="EAT29" t="s">
        <v>5681</v>
      </c>
      <c r="EAU29" t="s">
        <v>5682</v>
      </c>
      <c r="EAV29" t="s">
        <v>5683</v>
      </c>
      <c r="EAW29" t="s">
        <v>5684</v>
      </c>
      <c r="EAX29" t="s">
        <v>5685</v>
      </c>
      <c r="EAY29" t="s">
        <v>5686</v>
      </c>
      <c r="EAZ29" t="s">
        <v>5687</v>
      </c>
      <c r="EBA29" t="s">
        <v>5688</v>
      </c>
      <c r="EBB29" t="s">
        <v>5689</v>
      </c>
      <c r="EBC29" t="s">
        <v>5690</v>
      </c>
      <c r="EBD29" t="s">
        <v>5691</v>
      </c>
      <c r="EBE29" t="s">
        <v>5692</v>
      </c>
      <c r="EBF29" t="s">
        <v>5693</v>
      </c>
      <c r="EBG29" t="s">
        <v>5694</v>
      </c>
      <c r="EBH29" t="s">
        <v>5695</v>
      </c>
      <c r="EBI29" t="s">
        <v>5696</v>
      </c>
      <c r="EBJ29" t="s">
        <v>5697</v>
      </c>
      <c r="EBK29" t="s">
        <v>5698</v>
      </c>
      <c r="EBL29" t="s">
        <v>5699</v>
      </c>
      <c r="EBM29" t="s">
        <v>5700</v>
      </c>
      <c r="EBN29" t="s">
        <v>5701</v>
      </c>
      <c r="EBO29" t="s">
        <v>5702</v>
      </c>
      <c r="EBP29" t="s">
        <v>5703</v>
      </c>
      <c r="EBQ29" t="s">
        <v>5704</v>
      </c>
      <c r="EBR29" t="s">
        <v>5705</v>
      </c>
      <c r="EBS29" t="s">
        <v>5706</v>
      </c>
      <c r="EBT29" t="s">
        <v>5707</v>
      </c>
      <c r="EBU29" t="s">
        <v>5708</v>
      </c>
      <c r="EBV29" t="s">
        <v>5709</v>
      </c>
      <c r="EBW29" t="s">
        <v>5710</v>
      </c>
      <c r="EBX29" t="s">
        <v>5711</v>
      </c>
      <c r="EBY29" t="s">
        <v>5712</v>
      </c>
      <c r="EBZ29" t="s">
        <v>5713</v>
      </c>
      <c r="ECA29" t="s">
        <v>5714</v>
      </c>
      <c r="ECB29" t="s">
        <v>5715</v>
      </c>
      <c r="ECC29" t="s">
        <v>5716</v>
      </c>
      <c r="ECD29" t="s">
        <v>5717</v>
      </c>
      <c r="ECE29" t="s">
        <v>5718</v>
      </c>
      <c r="ECF29" t="s">
        <v>5719</v>
      </c>
      <c r="ECG29" t="s">
        <v>5720</v>
      </c>
      <c r="ECH29" t="s">
        <v>5721</v>
      </c>
      <c r="ECI29" t="s">
        <v>5722</v>
      </c>
      <c r="ECJ29" t="s">
        <v>5723</v>
      </c>
      <c r="ECK29" t="s">
        <v>5724</v>
      </c>
      <c r="ECL29" t="s">
        <v>5725</v>
      </c>
      <c r="ECM29" t="s">
        <v>5726</v>
      </c>
      <c r="ECN29" t="s">
        <v>5727</v>
      </c>
      <c r="ECO29" t="s">
        <v>5728</v>
      </c>
      <c r="ECP29" t="s">
        <v>5729</v>
      </c>
      <c r="ECQ29" t="s">
        <v>5730</v>
      </c>
      <c r="ECR29" t="s">
        <v>5731</v>
      </c>
      <c r="ECS29" t="s">
        <v>5732</v>
      </c>
      <c r="ECT29" t="s">
        <v>5733</v>
      </c>
      <c r="ECU29" t="s">
        <v>5734</v>
      </c>
      <c r="ECV29" t="s">
        <v>5735</v>
      </c>
      <c r="ECW29" t="s">
        <v>5736</v>
      </c>
      <c r="ECX29" t="s">
        <v>5737</v>
      </c>
      <c r="ECY29" t="s">
        <v>5738</v>
      </c>
      <c r="ECZ29" t="s">
        <v>5739</v>
      </c>
      <c r="EDA29" t="s">
        <v>5740</v>
      </c>
      <c r="EDB29" t="s">
        <v>5741</v>
      </c>
      <c r="EDC29" t="s">
        <v>5742</v>
      </c>
      <c r="EDD29" t="s">
        <v>5743</v>
      </c>
      <c r="EDE29" t="s">
        <v>5744</v>
      </c>
      <c r="EDF29" t="s">
        <v>5745</v>
      </c>
      <c r="EDG29" t="s">
        <v>5746</v>
      </c>
      <c r="EDH29" t="s">
        <v>5747</v>
      </c>
      <c r="EDI29" t="s">
        <v>5748</v>
      </c>
      <c r="EDJ29" t="s">
        <v>5749</v>
      </c>
      <c r="EDK29" t="s">
        <v>5750</v>
      </c>
      <c r="EDL29" t="s">
        <v>5751</v>
      </c>
      <c r="EDM29" t="s">
        <v>5752</v>
      </c>
      <c r="EDN29" t="s">
        <v>5753</v>
      </c>
      <c r="EDO29" t="s">
        <v>5754</v>
      </c>
      <c r="EDP29" t="s">
        <v>5755</v>
      </c>
      <c r="EDQ29" t="s">
        <v>5756</v>
      </c>
      <c r="EDR29" t="s">
        <v>5757</v>
      </c>
      <c r="EDS29" t="s">
        <v>5758</v>
      </c>
      <c r="EDT29" t="s">
        <v>5759</v>
      </c>
      <c r="EDU29" t="s">
        <v>5760</v>
      </c>
      <c r="EDV29" t="s">
        <v>5761</v>
      </c>
      <c r="EDW29" t="s">
        <v>5762</v>
      </c>
      <c r="EDX29" t="s">
        <v>5763</v>
      </c>
      <c r="EDY29" t="s">
        <v>5764</v>
      </c>
      <c r="EDZ29" t="s">
        <v>5765</v>
      </c>
      <c r="EEA29" t="s">
        <v>5766</v>
      </c>
      <c r="EEB29" t="s">
        <v>5767</v>
      </c>
      <c r="EEC29" t="s">
        <v>5768</v>
      </c>
      <c r="EED29" t="s">
        <v>5769</v>
      </c>
      <c r="EEE29" t="s">
        <v>5770</v>
      </c>
      <c r="EEF29" t="s">
        <v>5771</v>
      </c>
      <c r="EEG29" t="s">
        <v>5772</v>
      </c>
      <c r="EEH29" t="s">
        <v>5773</v>
      </c>
      <c r="EEI29" t="s">
        <v>5774</v>
      </c>
      <c r="EEJ29" t="s">
        <v>5775</v>
      </c>
      <c r="EEK29" t="s">
        <v>5776</v>
      </c>
      <c r="EEL29" t="s">
        <v>5777</v>
      </c>
      <c r="EEM29" t="s">
        <v>5778</v>
      </c>
      <c r="EEN29" t="s">
        <v>5779</v>
      </c>
      <c r="EEO29" t="s">
        <v>5780</v>
      </c>
      <c r="EEP29" t="s">
        <v>5781</v>
      </c>
      <c r="EEQ29" t="s">
        <v>5782</v>
      </c>
      <c r="EER29" t="s">
        <v>5783</v>
      </c>
      <c r="EES29" t="s">
        <v>5784</v>
      </c>
      <c r="EET29" t="s">
        <v>5785</v>
      </c>
      <c r="EEU29" t="s">
        <v>5786</v>
      </c>
      <c r="EEV29" t="s">
        <v>5787</v>
      </c>
      <c r="EEW29" t="s">
        <v>5788</v>
      </c>
      <c r="EEX29" t="s">
        <v>5789</v>
      </c>
      <c r="EEY29" t="s">
        <v>5790</v>
      </c>
      <c r="EEZ29" t="s">
        <v>5791</v>
      </c>
      <c r="EFA29" t="s">
        <v>5792</v>
      </c>
      <c r="EFB29" t="s">
        <v>5793</v>
      </c>
      <c r="EFC29" t="s">
        <v>5794</v>
      </c>
      <c r="EFD29" t="s">
        <v>5795</v>
      </c>
      <c r="EFE29" t="s">
        <v>5796</v>
      </c>
      <c r="EFF29" t="s">
        <v>5797</v>
      </c>
      <c r="EFG29" t="s">
        <v>5798</v>
      </c>
      <c r="EFH29" t="s">
        <v>5799</v>
      </c>
      <c r="EFI29" t="s">
        <v>5800</v>
      </c>
      <c r="EFJ29" t="s">
        <v>5801</v>
      </c>
      <c r="EFK29" t="s">
        <v>5802</v>
      </c>
      <c r="EFL29" t="s">
        <v>5803</v>
      </c>
      <c r="EFM29" t="s">
        <v>5804</v>
      </c>
      <c r="EFN29" t="s">
        <v>5805</v>
      </c>
      <c r="EFO29" t="s">
        <v>5806</v>
      </c>
      <c r="EFP29" t="s">
        <v>5807</v>
      </c>
      <c r="EFQ29" t="s">
        <v>5808</v>
      </c>
      <c r="EFR29" t="s">
        <v>5809</v>
      </c>
      <c r="EFS29" t="s">
        <v>5810</v>
      </c>
      <c r="EFT29" t="s">
        <v>5811</v>
      </c>
      <c r="EFU29" t="s">
        <v>5812</v>
      </c>
      <c r="EFV29" t="s">
        <v>5813</v>
      </c>
      <c r="EFW29" t="s">
        <v>5814</v>
      </c>
      <c r="EFX29" t="s">
        <v>5815</v>
      </c>
      <c r="EFY29" t="s">
        <v>5816</v>
      </c>
      <c r="EFZ29" t="s">
        <v>5817</v>
      </c>
      <c r="EGA29" t="s">
        <v>5818</v>
      </c>
      <c r="EGB29" t="s">
        <v>5819</v>
      </c>
      <c r="EGC29" t="s">
        <v>5820</v>
      </c>
      <c r="EGD29" t="s">
        <v>5821</v>
      </c>
      <c r="EGE29" t="s">
        <v>5822</v>
      </c>
      <c r="EGF29" t="s">
        <v>5823</v>
      </c>
      <c r="EGG29" t="s">
        <v>5824</v>
      </c>
      <c r="EGH29" t="s">
        <v>5825</v>
      </c>
      <c r="EGI29" t="s">
        <v>5826</v>
      </c>
      <c r="EGJ29" t="s">
        <v>5827</v>
      </c>
      <c r="EGK29" t="s">
        <v>5828</v>
      </c>
      <c r="EGL29" t="s">
        <v>5829</v>
      </c>
      <c r="EGM29" t="s">
        <v>5830</v>
      </c>
      <c r="EGN29" t="s">
        <v>5831</v>
      </c>
      <c r="EGO29" t="s">
        <v>5832</v>
      </c>
      <c r="EGP29" t="s">
        <v>5833</v>
      </c>
      <c r="EGQ29" t="s">
        <v>5834</v>
      </c>
      <c r="EGR29" t="s">
        <v>5835</v>
      </c>
      <c r="EGS29" t="s">
        <v>5836</v>
      </c>
      <c r="EGT29" t="s">
        <v>5837</v>
      </c>
      <c r="EGU29" t="s">
        <v>5838</v>
      </c>
      <c r="EGV29" t="s">
        <v>5839</v>
      </c>
      <c r="EGW29" t="s">
        <v>5840</v>
      </c>
      <c r="EGX29" t="s">
        <v>5841</v>
      </c>
      <c r="EGY29" t="s">
        <v>5842</v>
      </c>
      <c r="EGZ29" t="s">
        <v>5843</v>
      </c>
      <c r="EHA29" t="s">
        <v>5844</v>
      </c>
      <c r="EHB29" t="s">
        <v>5845</v>
      </c>
      <c r="EHC29" t="s">
        <v>5846</v>
      </c>
      <c r="EHD29" t="s">
        <v>5847</v>
      </c>
      <c r="EHE29" t="s">
        <v>5848</v>
      </c>
      <c r="EHF29" t="s">
        <v>5849</v>
      </c>
      <c r="EHG29" t="s">
        <v>5850</v>
      </c>
      <c r="EHH29" t="s">
        <v>5851</v>
      </c>
      <c r="EHI29" t="s">
        <v>5852</v>
      </c>
      <c r="EHJ29" t="s">
        <v>5853</v>
      </c>
      <c r="EHK29" t="s">
        <v>5854</v>
      </c>
      <c r="EHL29" t="s">
        <v>5855</v>
      </c>
      <c r="EHM29" t="s">
        <v>5856</v>
      </c>
      <c r="EHN29" t="s">
        <v>5857</v>
      </c>
      <c r="EHO29" t="s">
        <v>5858</v>
      </c>
      <c r="EHP29" t="s">
        <v>5859</v>
      </c>
      <c r="EHQ29" t="s">
        <v>5860</v>
      </c>
      <c r="EHR29" t="s">
        <v>5861</v>
      </c>
      <c r="EHS29" t="s">
        <v>5862</v>
      </c>
      <c r="EHT29" t="s">
        <v>5863</v>
      </c>
      <c r="EHU29" t="s">
        <v>5864</v>
      </c>
      <c r="EHV29" t="s">
        <v>5865</v>
      </c>
      <c r="EHW29" t="s">
        <v>5866</v>
      </c>
      <c r="EHX29" t="s">
        <v>5867</v>
      </c>
      <c r="EHY29" t="s">
        <v>5868</v>
      </c>
      <c r="EHZ29" t="s">
        <v>5869</v>
      </c>
      <c r="EIA29" t="s">
        <v>5870</v>
      </c>
      <c r="EIB29" t="s">
        <v>5871</v>
      </c>
      <c r="EIC29" t="s">
        <v>5872</v>
      </c>
      <c r="EID29" t="s">
        <v>5873</v>
      </c>
      <c r="EIE29" t="s">
        <v>5874</v>
      </c>
      <c r="EIF29" t="s">
        <v>5875</v>
      </c>
      <c r="EIG29" t="s">
        <v>5876</v>
      </c>
      <c r="EIH29" t="s">
        <v>5877</v>
      </c>
      <c r="EII29" t="s">
        <v>5878</v>
      </c>
      <c r="EIJ29" t="s">
        <v>5879</v>
      </c>
      <c r="EIK29" t="s">
        <v>5880</v>
      </c>
      <c r="EIL29" t="s">
        <v>5881</v>
      </c>
      <c r="EIM29" t="s">
        <v>5882</v>
      </c>
      <c r="EIN29" t="s">
        <v>5883</v>
      </c>
      <c r="EIO29" t="s">
        <v>5884</v>
      </c>
      <c r="EIP29" t="s">
        <v>5885</v>
      </c>
      <c r="EIQ29" t="s">
        <v>5886</v>
      </c>
      <c r="EIR29" t="s">
        <v>5887</v>
      </c>
      <c r="EIS29" t="s">
        <v>5888</v>
      </c>
      <c r="EIT29" t="s">
        <v>5889</v>
      </c>
      <c r="EIU29" t="s">
        <v>5890</v>
      </c>
      <c r="EIV29" t="s">
        <v>5891</v>
      </c>
      <c r="EIW29" t="s">
        <v>5892</v>
      </c>
      <c r="EIX29" t="s">
        <v>5893</v>
      </c>
      <c r="EIY29" t="s">
        <v>5894</v>
      </c>
      <c r="EIZ29" t="s">
        <v>5895</v>
      </c>
      <c r="EJA29" t="s">
        <v>5896</v>
      </c>
      <c r="EJB29" t="s">
        <v>5897</v>
      </c>
      <c r="EJC29" t="s">
        <v>5898</v>
      </c>
      <c r="EJD29" t="s">
        <v>5899</v>
      </c>
      <c r="EJE29" t="s">
        <v>5900</v>
      </c>
      <c r="EJF29" t="s">
        <v>5901</v>
      </c>
      <c r="EJG29" t="s">
        <v>5902</v>
      </c>
      <c r="EJH29" t="s">
        <v>5903</v>
      </c>
      <c r="EJI29" t="s">
        <v>5904</v>
      </c>
      <c r="EJJ29" t="s">
        <v>5905</v>
      </c>
      <c r="EJK29" t="s">
        <v>5906</v>
      </c>
      <c r="EJL29" t="s">
        <v>5907</v>
      </c>
      <c r="EJM29" t="s">
        <v>5908</v>
      </c>
      <c r="EJN29" t="s">
        <v>5909</v>
      </c>
      <c r="EJO29" t="s">
        <v>5910</v>
      </c>
      <c r="EJP29" t="s">
        <v>5911</v>
      </c>
      <c r="EJQ29" t="s">
        <v>5912</v>
      </c>
      <c r="EJR29" t="s">
        <v>5913</v>
      </c>
      <c r="EJS29" t="s">
        <v>5914</v>
      </c>
      <c r="EJT29" t="s">
        <v>5915</v>
      </c>
      <c r="EJU29" t="s">
        <v>5916</v>
      </c>
      <c r="EJV29" t="s">
        <v>5917</v>
      </c>
      <c r="EJW29" t="s">
        <v>5918</v>
      </c>
      <c r="EJX29" t="s">
        <v>5919</v>
      </c>
      <c r="EJY29" t="s">
        <v>5920</v>
      </c>
      <c r="EJZ29" t="s">
        <v>5921</v>
      </c>
      <c r="EKA29" t="s">
        <v>5922</v>
      </c>
      <c r="EKB29" t="s">
        <v>5923</v>
      </c>
      <c r="EKC29" t="s">
        <v>5924</v>
      </c>
      <c r="EKD29" t="s">
        <v>5925</v>
      </c>
      <c r="EKE29" t="s">
        <v>5926</v>
      </c>
      <c r="EKF29" t="s">
        <v>5927</v>
      </c>
      <c r="EKG29" t="s">
        <v>5928</v>
      </c>
      <c r="EKH29" t="s">
        <v>5929</v>
      </c>
      <c r="EKI29" t="s">
        <v>5930</v>
      </c>
      <c r="EKJ29" t="s">
        <v>5931</v>
      </c>
      <c r="EKK29" t="s">
        <v>5932</v>
      </c>
      <c r="EKL29" t="s">
        <v>5933</v>
      </c>
      <c r="EKM29" t="s">
        <v>5934</v>
      </c>
      <c r="EKN29" t="s">
        <v>5935</v>
      </c>
      <c r="EKO29" t="s">
        <v>5936</v>
      </c>
      <c r="EKP29" t="s">
        <v>5937</v>
      </c>
      <c r="EKQ29" t="s">
        <v>5938</v>
      </c>
      <c r="EKR29" t="s">
        <v>5939</v>
      </c>
      <c r="EKS29" t="s">
        <v>5940</v>
      </c>
      <c r="EKT29" t="s">
        <v>5941</v>
      </c>
      <c r="EKU29" t="s">
        <v>5942</v>
      </c>
      <c r="EKV29" t="s">
        <v>5943</v>
      </c>
      <c r="EKW29" t="s">
        <v>5944</v>
      </c>
      <c r="EKX29" t="s">
        <v>5945</v>
      </c>
      <c r="EKY29" t="s">
        <v>5946</v>
      </c>
      <c r="EKZ29" t="s">
        <v>5947</v>
      </c>
      <c r="ELA29" t="s">
        <v>5948</v>
      </c>
      <c r="ELB29" t="s">
        <v>5949</v>
      </c>
      <c r="ELC29" t="s">
        <v>5950</v>
      </c>
      <c r="ELD29" t="s">
        <v>5951</v>
      </c>
      <c r="ELE29" t="s">
        <v>5952</v>
      </c>
      <c r="ELF29" t="s">
        <v>5953</v>
      </c>
      <c r="ELG29" t="s">
        <v>5954</v>
      </c>
      <c r="ELH29" t="s">
        <v>5955</v>
      </c>
      <c r="ELI29" t="s">
        <v>5956</v>
      </c>
      <c r="ELJ29" t="s">
        <v>5957</v>
      </c>
      <c r="ELK29" t="s">
        <v>5958</v>
      </c>
      <c r="ELL29" t="s">
        <v>5959</v>
      </c>
      <c r="ELM29" t="s">
        <v>5960</v>
      </c>
      <c r="ELN29" t="s">
        <v>5961</v>
      </c>
      <c r="ELO29" t="s">
        <v>5962</v>
      </c>
      <c r="ELP29" t="s">
        <v>5963</v>
      </c>
      <c r="ELQ29" t="s">
        <v>5964</v>
      </c>
      <c r="ELR29" t="s">
        <v>5965</v>
      </c>
      <c r="ELS29" t="s">
        <v>5966</v>
      </c>
      <c r="ELT29" t="s">
        <v>5967</v>
      </c>
      <c r="ELU29" t="s">
        <v>5968</v>
      </c>
      <c r="ELV29" t="s">
        <v>5969</v>
      </c>
      <c r="ELW29" t="s">
        <v>5970</v>
      </c>
      <c r="ELX29" t="s">
        <v>5971</v>
      </c>
      <c r="ELY29" t="s">
        <v>5972</v>
      </c>
      <c r="ELZ29" t="s">
        <v>5973</v>
      </c>
      <c r="EMA29" t="s">
        <v>5974</v>
      </c>
      <c r="EMB29" t="s">
        <v>5975</v>
      </c>
      <c r="EMC29" t="s">
        <v>5976</v>
      </c>
      <c r="EMD29" t="s">
        <v>5977</v>
      </c>
      <c r="EME29" t="s">
        <v>5978</v>
      </c>
      <c r="EMF29" t="s">
        <v>5979</v>
      </c>
      <c r="EMG29" t="s">
        <v>5980</v>
      </c>
      <c r="EMH29" t="s">
        <v>5981</v>
      </c>
      <c r="EMI29" t="s">
        <v>5982</v>
      </c>
      <c r="EMJ29" t="s">
        <v>5983</v>
      </c>
      <c r="EMK29" t="s">
        <v>5984</v>
      </c>
      <c r="EML29" t="s">
        <v>5985</v>
      </c>
      <c r="EMM29" t="s">
        <v>5986</v>
      </c>
      <c r="EMN29" t="s">
        <v>5987</v>
      </c>
      <c r="EMO29" t="s">
        <v>5988</v>
      </c>
      <c r="EMP29" t="s">
        <v>5989</v>
      </c>
      <c r="EMQ29" t="s">
        <v>5990</v>
      </c>
      <c r="EMR29" t="s">
        <v>5991</v>
      </c>
      <c r="EMS29" t="s">
        <v>5992</v>
      </c>
      <c r="EMT29" t="s">
        <v>5993</v>
      </c>
      <c r="EMU29" t="s">
        <v>5994</v>
      </c>
      <c r="EMV29" t="s">
        <v>5995</v>
      </c>
      <c r="EMW29" t="s">
        <v>5996</v>
      </c>
      <c r="EMX29" t="s">
        <v>5997</v>
      </c>
      <c r="EMY29" t="s">
        <v>5998</v>
      </c>
      <c r="EMZ29" t="s">
        <v>5999</v>
      </c>
      <c r="ENA29" t="s">
        <v>6000</v>
      </c>
      <c r="ENB29" t="s">
        <v>6001</v>
      </c>
      <c r="ENC29" t="s">
        <v>6002</v>
      </c>
      <c r="END29" t="s">
        <v>6003</v>
      </c>
      <c r="ENE29" t="s">
        <v>6004</v>
      </c>
      <c r="ENF29" t="s">
        <v>6005</v>
      </c>
      <c r="ENG29" t="s">
        <v>6006</v>
      </c>
      <c r="ENH29" t="s">
        <v>6007</v>
      </c>
      <c r="ENI29" t="s">
        <v>6008</v>
      </c>
      <c r="ENJ29" t="s">
        <v>6009</v>
      </c>
      <c r="ENK29" t="s">
        <v>6010</v>
      </c>
      <c r="ENL29" t="s">
        <v>6011</v>
      </c>
      <c r="ENM29" t="s">
        <v>6012</v>
      </c>
      <c r="ENN29" t="s">
        <v>6013</v>
      </c>
      <c r="ENO29" t="s">
        <v>6014</v>
      </c>
      <c r="ENP29" t="s">
        <v>6015</v>
      </c>
      <c r="ENQ29" t="s">
        <v>6016</v>
      </c>
      <c r="ENR29" t="s">
        <v>6017</v>
      </c>
      <c r="ENS29" t="s">
        <v>6018</v>
      </c>
      <c r="ENT29" t="s">
        <v>6019</v>
      </c>
      <c r="ENU29" t="s">
        <v>6020</v>
      </c>
      <c r="ENV29" t="s">
        <v>6021</v>
      </c>
      <c r="ENW29" t="s">
        <v>6022</v>
      </c>
      <c r="ENX29" t="s">
        <v>6023</v>
      </c>
      <c r="ENY29" t="s">
        <v>6024</v>
      </c>
      <c r="ENZ29" t="s">
        <v>6025</v>
      </c>
      <c r="EOA29" t="s">
        <v>6026</v>
      </c>
      <c r="EOB29" t="s">
        <v>6027</v>
      </c>
      <c r="EOC29" t="s">
        <v>6028</v>
      </c>
      <c r="EOD29" t="s">
        <v>6029</v>
      </c>
      <c r="EOE29" t="s">
        <v>6030</v>
      </c>
      <c r="EOF29" t="s">
        <v>6031</v>
      </c>
      <c r="EOG29" t="s">
        <v>6032</v>
      </c>
      <c r="EOH29" t="s">
        <v>6033</v>
      </c>
      <c r="EOI29" t="s">
        <v>6034</v>
      </c>
      <c r="EOJ29" t="s">
        <v>6035</v>
      </c>
      <c r="EOK29" t="s">
        <v>6036</v>
      </c>
      <c r="EOL29" t="s">
        <v>6037</v>
      </c>
      <c r="EOM29" t="s">
        <v>6038</v>
      </c>
      <c r="EON29" t="s">
        <v>6039</v>
      </c>
      <c r="EOO29" t="s">
        <v>6040</v>
      </c>
      <c r="EOP29" t="s">
        <v>6041</v>
      </c>
      <c r="EOQ29" t="s">
        <v>6042</v>
      </c>
      <c r="EOR29" t="s">
        <v>6043</v>
      </c>
      <c r="EOS29" t="s">
        <v>6044</v>
      </c>
      <c r="EOT29" t="s">
        <v>6045</v>
      </c>
      <c r="EOU29" t="s">
        <v>6046</v>
      </c>
      <c r="EOV29" t="s">
        <v>6047</v>
      </c>
      <c r="EOW29" t="s">
        <v>6048</v>
      </c>
      <c r="EOX29" t="s">
        <v>6049</v>
      </c>
      <c r="EOY29" t="s">
        <v>6050</v>
      </c>
      <c r="EOZ29" t="s">
        <v>6051</v>
      </c>
      <c r="EPA29" t="s">
        <v>6052</v>
      </c>
      <c r="EPB29" t="s">
        <v>6053</v>
      </c>
      <c r="EPC29" t="s">
        <v>6054</v>
      </c>
      <c r="EPD29" t="s">
        <v>6055</v>
      </c>
      <c r="EPE29" t="s">
        <v>6056</v>
      </c>
      <c r="EPF29" t="s">
        <v>6057</v>
      </c>
      <c r="EPG29" t="s">
        <v>6058</v>
      </c>
      <c r="EPH29" t="s">
        <v>6059</v>
      </c>
      <c r="EPI29" t="s">
        <v>6060</v>
      </c>
      <c r="EPJ29" t="s">
        <v>6061</v>
      </c>
      <c r="EPK29" t="s">
        <v>6062</v>
      </c>
      <c r="EPL29" t="s">
        <v>6063</v>
      </c>
      <c r="EPM29" t="s">
        <v>6064</v>
      </c>
      <c r="EPN29" t="s">
        <v>6065</v>
      </c>
      <c r="EPO29" t="s">
        <v>6066</v>
      </c>
      <c r="EPP29" t="s">
        <v>6067</v>
      </c>
      <c r="EPQ29" t="s">
        <v>6068</v>
      </c>
      <c r="EPR29" t="s">
        <v>6069</v>
      </c>
      <c r="EPS29" t="s">
        <v>6070</v>
      </c>
      <c r="EPT29" t="s">
        <v>6071</v>
      </c>
      <c r="EPU29" t="s">
        <v>6072</v>
      </c>
      <c r="EPV29" t="s">
        <v>6073</v>
      </c>
      <c r="EPW29" t="s">
        <v>6074</v>
      </c>
      <c r="EPX29" t="s">
        <v>6075</v>
      </c>
      <c r="EPY29" t="s">
        <v>6076</v>
      </c>
      <c r="EPZ29" t="s">
        <v>6077</v>
      </c>
      <c r="EQA29" t="s">
        <v>6078</v>
      </c>
      <c r="EQB29" t="s">
        <v>6079</v>
      </c>
      <c r="EQC29" t="s">
        <v>6080</v>
      </c>
      <c r="EQD29" t="s">
        <v>6081</v>
      </c>
      <c r="EQE29" t="s">
        <v>6082</v>
      </c>
      <c r="EQF29" t="s">
        <v>6083</v>
      </c>
      <c r="EQG29" t="s">
        <v>6084</v>
      </c>
      <c r="EQH29" t="s">
        <v>6085</v>
      </c>
      <c r="EQI29" t="s">
        <v>6086</v>
      </c>
      <c r="EQJ29" t="s">
        <v>6087</v>
      </c>
      <c r="EQK29" t="s">
        <v>6088</v>
      </c>
      <c r="EQL29" t="s">
        <v>6089</v>
      </c>
      <c r="EQM29" t="s">
        <v>6090</v>
      </c>
      <c r="EQN29" t="s">
        <v>6091</v>
      </c>
      <c r="EQO29" t="s">
        <v>6092</v>
      </c>
      <c r="EQP29" t="s">
        <v>6093</v>
      </c>
      <c r="EQQ29" t="s">
        <v>6094</v>
      </c>
      <c r="EQR29" t="s">
        <v>6095</v>
      </c>
      <c r="EQS29" t="s">
        <v>6096</v>
      </c>
      <c r="EQT29" t="s">
        <v>6097</v>
      </c>
      <c r="EQU29" t="s">
        <v>6098</v>
      </c>
      <c r="EQV29" t="s">
        <v>6099</v>
      </c>
      <c r="EQW29" t="s">
        <v>6100</v>
      </c>
      <c r="EQX29" t="s">
        <v>6101</v>
      </c>
      <c r="EQY29" t="s">
        <v>6102</v>
      </c>
      <c r="EQZ29" t="s">
        <v>6103</v>
      </c>
      <c r="ERA29" t="s">
        <v>6104</v>
      </c>
      <c r="ERB29" t="s">
        <v>6105</v>
      </c>
      <c r="ERC29" t="s">
        <v>6106</v>
      </c>
      <c r="ERD29" t="s">
        <v>6107</v>
      </c>
      <c r="ERE29" t="s">
        <v>6108</v>
      </c>
      <c r="ERF29" t="s">
        <v>6109</v>
      </c>
      <c r="ERG29" t="s">
        <v>6110</v>
      </c>
      <c r="ERH29" t="s">
        <v>6111</v>
      </c>
      <c r="ERI29" t="s">
        <v>6112</v>
      </c>
      <c r="ERJ29" t="s">
        <v>6113</v>
      </c>
      <c r="ERK29" t="s">
        <v>6114</v>
      </c>
      <c r="ERL29" t="s">
        <v>6115</v>
      </c>
      <c r="ERM29" t="s">
        <v>6116</v>
      </c>
      <c r="ERN29" t="s">
        <v>6117</v>
      </c>
      <c r="ERO29" t="s">
        <v>6118</v>
      </c>
      <c r="ERP29" t="s">
        <v>6119</v>
      </c>
      <c r="ERQ29" t="s">
        <v>6120</v>
      </c>
      <c r="ERR29" t="s">
        <v>6121</v>
      </c>
      <c r="ERS29" t="s">
        <v>6122</v>
      </c>
      <c r="ERT29" t="s">
        <v>6123</v>
      </c>
      <c r="ERU29" t="s">
        <v>6124</v>
      </c>
      <c r="ERV29" t="s">
        <v>6125</v>
      </c>
      <c r="ERW29" t="s">
        <v>6126</v>
      </c>
      <c r="ERX29" t="s">
        <v>6127</v>
      </c>
      <c r="ERY29" t="s">
        <v>6128</v>
      </c>
      <c r="ERZ29" t="s">
        <v>6129</v>
      </c>
      <c r="ESA29" t="s">
        <v>6130</v>
      </c>
      <c r="ESB29" t="s">
        <v>6131</v>
      </c>
      <c r="ESC29" t="s">
        <v>6132</v>
      </c>
      <c r="ESD29" t="s">
        <v>6133</v>
      </c>
      <c r="ESE29" t="s">
        <v>6134</v>
      </c>
      <c r="ESF29" t="s">
        <v>6135</v>
      </c>
      <c r="ESG29" t="s">
        <v>6136</v>
      </c>
      <c r="ESH29" t="s">
        <v>6137</v>
      </c>
      <c r="ESI29" t="s">
        <v>6138</v>
      </c>
      <c r="ESJ29" t="s">
        <v>6139</v>
      </c>
      <c r="ESK29" t="s">
        <v>6140</v>
      </c>
      <c r="ESL29" t="s">
        <v>6141</v>
      </c>
      <c r="ESM29" t="s">
        <v>6142</v>
      </c>
      <c r="ESN29" t="s">
        <v>6143</v>
      </c>
      <c r="ESO29" t="s">
        <v>6144</v>
      </c>
      <c r="ESP29" t="s">
        <v>6145</v>
      </c>
      <c r="ESQ29" t="s">
        <v>6146</v>
      </c>
      <c r="ESR29" t="s">
        <v>6147</v>
      </c>
      <c r="ESS29" t="s">
        <v>6148</v>
      </c>
      <c r="EST29" t="s">
        <v>6149</v>
      </c>
      <c r="ESU29" t="s">
        <v>6150</v>
      </c>
      <c r="ESV29" t="s">
        <v>6151</v>
      </c>
      <c r="ESW29" t="s">
        <v>6152</v>
      </c>
      <c r="ESX29" t="s">
        <v>6153</v>
      </c>
      <c r="ESY29" t="s">
        <v>6154</v>
      </c>
      <c r="ESZ29" t="s">
        <v>6155</v>
      </c>
      <c r="ETA29" t="s">
        <v>6156</v>
      </c>
      <c r="ETB29" t="s">
        <v>6157</v>
      </c>
      <c r="ETC29" t="s">
        <v>6158</v>
      </c>
      <c r="ETD29" t="s">
        <v>6159</v>
      </c>
      <c r="ETE29" t="s">
        <v>6160</v>
      </c>
      <c r="ETF29" t="s">
        <v>6161</v>
      </c>
      <c r="ETG29" t="s">
        <v>6162</v>
      </c>
      <c r="ETH29" t="s">
        <v>6163</v>
      </c>
      <c r="ETI29" t="s">
        <v>6164</v>
      </c>
      <c r="ETJ29" t="s">
        <v>6165</v>
      </c>
      <c r="ETK29" t="s">
        <v>6166</v>
      </c>
      <c r="ETL29" t="s">
        <v>6167</v>
      </c>
      <c r="ETM29" t="s">
        <v>6168</v>
      </c>
      <c r="ETN29" t="s">
        <v>6169</v>
      </c>
      <c r="ETO29" t="s">
        <v>6170</v>
      </c>
      <c r="ETP29" t="s">
        <v>6171</v>
      </c>
      <c r="ETQ29" t="s">
        <v>6172</v>
      </c>
      <c r="ETR29" t="s">
        <v>6173</v>
      </c>
      <c r="ETS29" t="s">
        <v>6174</v>
      </c>
      <c r="ETT29" t="s">
        <v>6175</v>
      </c>
      <c r="ETU29" t="s">
        <v>6176</v>
      </c>
      <c r="ETV29" t="s">
        <v>6177</v>
      </c>
      <c r="ETW29" t="s">
        <v>6178</v>
      </c>
      <c r="ETX29" t="s">
        <v>6179</v>
      </c>
      <c r="ETY29" t="s">
        <v>6180</v>
      </c>
      <c r="ETZ29" t="s">
        <v>6181</v>
      </c>
      <c r="EUA29" t="s">
        <v>6182</v>
      </c>
      <c r="EUB29" t="s">
        <v>6183</v>
      </c>
      <c r="EUC29" t="s">
        <v>6184</v>
      </c>
      <c r="EUD29" t="s">
        <v>6185</v>
      </c>
      <c r="EUE29" t="s">
        <v>6186</v>
      </c>
      <c r="EUF29" t="s">
        <v>6187</v>
      </c>
      <c r="EUG29" t="s">
        <v>6188</v>
      </c>
      <c r="EUH29" t="s">
        <v>6189</v>
      </c>
      <c r="EUI29" t="s">
        <v>6190</v>
      </c>
      <c r="EUJ29" t="s">
        <v>6191</v>
      </c>
      <c r="EUK29" t="s">
        <v>6192</v>
      </c>
      <c r="EUL29" t="s">
        <v>6193</v>
      </c>
      <c r="EUM29" t="s">
        <v>6194</v>
      </c>
      <c r="EUN29" t="s">
        <v>6195</v>
      </c>
      <c r="EUO29" t="s">
        <v>6196</v>
      </c>
      <c r="EUP29" t="s">
        <v>6197</v>
      </c>
      <c r="EUQ29" t="s">
        <v>6198</v>
      </c>
      <c r="EUR29" t="s">
        <v>6199</v>
      </c>
      <c r="EUS29" t="s">
        <v>6200</v>
      </c>
      <c r="EUT29" t="s">
        <v>6201</v>
      </c>
      <c r="EUU29" t="s">
        <v>6202</v>
      </c>
      <c r="EUV29" t="s">
        <v>6203</v>
      </c>
      <c r="EUW29" t="s">
        <v>6204</v>
      </c>
      <c r="EUX29" t="s">
        <v>6205</v>
      </c>
      <c r="EUY29" t="s">
        <v>6206</v>
      </c>
      <c r="EUZ29" t="s">
        <v>6207</v>
      </c>
      <c r="EVA29" t="s">
        <v>6208</v>
      </c>
      <c r="EVB29" t="s">
        <v>6209</v>
      </c>
      <c r="EVC29" t="s">
        <v>6210</v>
      </c>
      <c r="EVD29" t="s">
        <v>6211</v>
      </c>
      <c r="EVE29" t="s">
        <v>6212</v>
      </c>
      <c r="EVF29" t="s">
        <v>6213</v>
      </c>
      <c r="EVG29" t="s">
        <v>6214</v>
      </c>
      <c r="EVH29" t="s">
        <v>6215</v>
      </c>
      <c r="EVI29" t="s">
        <v>6216</v>
      </c>
      <c r="EVJ29" t="s">
        <v>6217</v>
      </c>
      <c r="EVK29" t="s">
        <v>6218</v>
      </c>
      <c r="EVL29" t="s">
        <v>6219</v>
      </c>
      <c r="EVM29" t="s">
        <v>6220</v>
      </c>
      <c r="EVN29" t="s">
        <v>6221</v>
      </c>
      <c r="EVO29" t="s">
        <v>6222</v>
      </c>
      <c r="EVP29" t="s">
        <v>6223</v>
      </c>
      <c r="EVQ29" t="s">
        <v>6224</v>
      </c>
      <c r="EVR29" t="s">
        <v>6225</v>
      </c>
      <c r="EVS29" t="s">
        <v>6226</v>
      </c>
      <c r="EVT29" t="s">
        <v>6227</v>
      </c>
      <c r="EVU29" t="s">
        <v>6228</v>
      </c>
      <c r="EVV29" t="s">
        <v>6229</v>
      </c>
      <c r="EVW29" t="s">
        <v>6230</v>
      </c>
      <c r="EVX29" t="s">
        <v>6231</v>
      </c>
      <c r="EVY29" t="s">
        <v>6232</v>
      </c>
      <c r="EVZ29" t="s">
        <v>6233</v>
      </c>
      <c r="EWA29" t="s">
        <v>6234</v>
      </c>
      <c r="EWB29" t="s">
        <v>6235</v>
      </c>
      <c r="EWC29" t="s">
        <v>6236</v>
      </c>
      <c r="EWD29" t="s">
        <v>6237</v>
      </c>
      <c r="EWE29" t="s">
        <v>6238</v>
      </c>
      <c r="EWF29" t="s">
        <v>6239</v>
      </c>
      <c r="EWG29" t="s">
        <v>6240</v>
      </c>
      <c r="EWH29" t="s">
        <v>6241</v>
      </c>
      <c r="EWI29" t="s">
        <v>6242</v>
      </c>
      <c r="EWJ29" t="s">
        <v>6243</v>
      </c>
      <c r="EWK29" t="s">
        <v>6244</v>
      </c>
      <c r="EWL29" t="s">
        <v>6245</v>
      </c>
      <c r="EWM29" t="s">
        <v>6246</v>
      </c>
      <c r="EWN29" t="s">
        <v>6247</v>
      </c>
      <c r="EWO29" t="s">
        <v>6248</v>
      </c>
      <c r="EWP29" t="s">
        <v>6249</v>
      </c>
      <c r="EWQ29" t="s">
        <v>6250</v>
      </c>
      <c r="EWR29" t="s">
        <v>6251</v>
      </c>
      <c r="EWS29" t="s">
        <v>6252</v>
      </c>
      <c r="EWT29" t="s">
        <v>6253</v>
      </c>
      <c r="EWU29" t="s">
        <v>6254</v>
      </c>
      <c r="EWV29" t="s">
        <v>6255</v>
      </c>
      <c r="EWW29" t="s">
        <v>6256</v>
      </c>
      <c r="EWX29" t="s">
        <v>6257</v>
      </c>
      <c r="EWY29" t="s">
        <v>6258</v>
      </c>
      <c r="EWZ29" t="s">
        <v>6259</v>
      </c>
      <c r="EXA29" t="s">
        <v>6260</v>
      </c>
      <c r="EXB29" t="s">
        <v>6261</v>
      </c>
      <c r="EXC29" t="s">
        <v>6262</v>
      </c>
      <c r="EXD29" t="s">
        <v>6263</v>
      </c>
      <c r="EXE29" t="s">
        <v>6264</v>
      </c>
      <c r="EXF29" t="s">
        <v>6265</v>
      </c>
      <c r="EXG29" t="s">
        <v>6266</v>
      </c>
      <c r="EXH29" t="s">
        <v>6267</v>
      </c>
      <c r="EXI29" t="s">
        <v>6268</v>
      </c>
      <c r="EXJ29" t="s">
        <v>6269</v>
      </c>
      <c r="EXK29" t="s">
        <v>6270</v>
      </c>
      <c r="EXL29" t="s">
        <v>6271</v>
      </c>
      <c r="EXM29" t="s">
        <v>6272</v>
      </c>
      <c r="EXN29" t="s">
        <v>6273</v>
      </c>
      <c r="EXO29" t="s">
        <v>6274</v>
      </c>
      <c r="EXP29" t="s">
        <v>6275</v>
      </c>
      <c r="EXQ29" t="s">
        <v>6276</v>
      </c>
      <c r="EXR29" t="s">
        <v>6277</v>
      </c>
      <c r="EXS29" t="s">
        <v>6278</v>
      </c>
      <c r="EXT29" t="s">
        <v>6279</v>
      </c>
      <c r="EXU29" t="s">
        <v>6280</v>
      </c>
      <c r="EXV29" t="s">
        <v>6281</v>
      </c>
      <c r="EXW29" t="s">
        <v>6282</v>
      </c>
      <c r="EXX29" t="s">
        <v>6283</v>
      </c>
      <c r="EXY29" t="s">
        <v>6284</v>
      </c>
      <c r="EXZ29" t="s">
        <v>6285</v>
      </c>
      <c r="EYA29" t="s">
        <v>6286</v>
      </c>
      <c r="EYB29" t="s">
        <v>6287</v>
      </c>
      <c r="EYC29" t="s">
        <v>6288</v>
      </c>
      <c r="EYD29" t="s">
        <v>6289</v>
      </c>
      <c r="EYE29" t="s">
        <v>6290</v>
      </c>
      <c r="EYF29" t="s">
        <v>6291</v>
      </c>
      <c r="EYG29" t="s">
        <v>6292</v>
      </c>
      <c r="EYH29" t="s">
        <v>6293</v>
      </c>
      <c r="EYI29" t="s">
        <v>6294</v>
      </c>
      <c r="EYJ29" t="s">
        <v>6295</v>
      </c>
      <c r="EYK29" t="s">
        <v>6296</v>
      </c>
      <c r="EYL29" t="s">
        <v>6297</v>
      </c>
      <c r="EYM29" t="s">
        <v>6298</v>
      </c>
      <c r="EYN29" t="s">
        <v>6299</v>
      </c>
      <c r="EYO29" t="s">
        <v>6300</v>
      </c>
      <c r="EYP29" t="s">
        <v>6301</v>
      </c>
      <c r="EYQ29" t="s">
        <v>6302</v>
      </c>
      <c r="EYR29" t="s">
        <v>6303</v>
      </c>
      <c r="EYS29" t="s">
        <v>6304</v>
      </c>
      <c r="EYT29" t="s">
        <v>6305</v>
      </c>
      <c r="EYU29" t="s">
        <v>6306</v>
      </c>
      <c r="EYV29" t="s">
        <v>6307</v>
      </c>
      <c r="EYW29" t="s">
        <v>6308</v>
      </c>
      <c r="EYX29" t="s">
        <v>6309</v>
      </c>
      <c r="EYY29" t="s">
        <v>6310</v>
      </c>
      <c r="EYZ29" t="s">
        <v>6311</v>
      </c>
      <c r="EZA29" t="s">
        <v>6312</v>
      </c>
      <c r="EZB29" t="s">
        <v>6313</v>
      </c>
      <c r="EZC29" t="s">
        <v>6314</v>
      </c>
      <c r="EZD29" t="s">
        <v>6315</v>
      </c>
      <c r="EZE29" t="s">
        <v>6316</v>
      </c>
      <c r="EZF29" t="s">
        <v>6317</v>
      </c>
      <c r="EZG29" t="s">
        <v>6318</v>
      </c>
      <c r="EZH29" t="s">
        <v>6319</v>
      </c>
      <c r="EZI29" t="s">
        <v>6320</v>
      </c>
      <c r="EZJ29" t="s">
        <v>6321</v>
      </c>
      <c r="EZK29" t="s">
        <v>6322</v>
      </c>
      <c r="EZL29" t="s">
        <v>6323</v>
      </c>
      <c r="EZM29" t="s">
        <v>6324</v>
      </c>
      <c r="EZN29" t="s">
        <v>6325</v>
      </c>
      <c r="EZO29" t="s">
        <v>6326</v>
      </c>
      <c r="EZP29" t="s">
        <v>6327</v>
      </c>
      <c r="EZQ29" t="s">
        <v>6328</v>
      </c>
      <c r="EZR29" t="s">
        <v>6329</v>
      </c>
      <c r="EZS29" t="s">
        <v>6330</v>
      </c>
      <c r="EZT29" t="s">
        <v>6331</v>
      </c>
      <c r="EZU29" t="s">
        <v>6332</v>
      </c>
      <c r="EZV29" t="s">
        <v>6333</v>
      </c>
      <c r="EZW29" t="s">
        <v>6334</v>
      </c>
      <c r="EZX29" t="s">
        <v>6335</v>
      </c>
      <c r="EZY29" t="s">
        <v>6336</v>
      </c>
      <c r="EZZ29" t="s">
        <v>6337</v>
      </c>
      <c r="FAA29" t="s">
        <v>6338</v>
      </c>
      <c r="FAB29" t="s">
        <v>6339</v>
      </c>
      <c r="FAC29" t="s">
        <v>6340</v>
      </c>
      <c r="FAD29" t="s">
        <v>6341</v>
      </c>
      <c r="FAE29" t="s">
        <v>6342</v>
      </c>
      <c r="FAF29" t="s">
        <v>6343</v>
      </c>
      <c r="FAG29" t="s">
        <v>6344</v>
      </c>
      <c r="FAH29" t="s">
        <v>6345</v>
      </c>
      <c r="FAI29" t="s">
        <v>6346</v>
      </c>
      <c r="FAJ29" t="s">
        <v>6347</v>
      </c>
      <c r="FAK29" t="s">
        <v>6348</v>
      </c>
      <c r="FAL29" t="s">
        <v>6349</v>
      </c>
      <c r="FAM29" t="s">
        <v>6350</v>
      </c>
      <c r="FAN29" t="s">
        <v>6351</v>
      </c>
      <c r="FAO29" t="s">
        <v>6352</v>
      </c>
      <c r="FAP29" t="s">
        <v>6353</v>
      </c>
      <c r="FAQ29" t="s">
        <v>6354</v>
      </c>
      <c r="FAR29" t="s">
        <v>6355</v>
      </c>
      <c r="FAS29" t="s">
        <v>6356</v>
      </c>
      <c r="FAT29" t="s">
        <v>6357</v>
      </c>
      <c r="FAU29" t="s">
        <v>6358</v>
      </c>
      <c r="FAV29" t="s">
        <v>6359</v>
      </c>
      <c r="FAW29" t="s">
        <v>6360</v>
      </c>
      <c r="FAX29" t="s">
        <v>6361</v>
      </c>
      <c r="FAY29" t="s">
        <v>6362</v>
      </c>
      <c r="FAZ29" t="s">
        <v>6363</v>
      </c>
      <c r="FBA29" t="s">
        <v>6364</v>
      </c>
      <c r="FBB29" t="s">
        <v>6365</v>
      </c>
      <c r="FBC29" t="s">
        <v>6366</v>
      </c>
      <c r="FBD29" t="s">
        <v>6367</v>
      </c>
      <c r="FBE29" t="s">
        <v>6368</v>
      </c>
      <c r="FBF29" t="s">
        <v>6369</v>
      </c>
      <c r="FBG29" t="s">
        <v>6370</v>
      </c>
      <c r="FBH29" t="s">
        <v>6371</v>
      </c>
      <c r="FBI29" t="s">
        <v>6372</v>
      </c>
      <c r="FBJ29" t="s">
        <v>6373</v>
      </c>
      <c r="FBK29" t="s">
        <v>6374</v>
      </c>
      <c r="FBL29" t="s">
        <v>6375</v>
      </c>
      <c r="FBM29" t="s">
        <v>6376</v>
      </c>
      <c r="FBN29" t="s">
        <v>6377</v>
      </c>
      <c r="FBO29" t="s">
        <v>6378</v>
      </c>
      <c r="FBP29" t="s">
        <v>6379</v>
      </c>
      <c r="FBQ29" t="s">
        <v>6380</v>
      </c>
      <c r="FBR29" t="s">
        <v>6381</v>
      </c>
      <c r="FBS29" t="s">
        <v>6382</v>
      </c>
      <c r="FBT29" t="s">
        <v>6383</v>
      </c>
      <c r="FBU29" t="s">
        <v>6384</v>
      </c>
      <c r="FBV29" t="s">
        <v>6385</v>
      </c>
      <c r="FBW29" t="s">
        <v>6386</v>
      </c>
      <c r="FBX29" t="s">
        <v>6387</v>
      </c>
      <c r="FBY29" t="s">
        <v>6388</v>
      </c>
      <c r="FBZ29" t="s">
        <v>6389</v>
      </c>
      <c r="FCA29" t="s">
        <v>6390</v>
      </c>
      <c r="FCB29" t="s">
        <v>6391</v>
      </c>
      <c r="FCC29" t="s">
        <v>6392</v>
      </c>
      <c r="FCD29" t="s">
        <v>6393</v>
      </c>
      <c r="FCE29" t="s">
        <v>6394</v>
      </c>
      <c r="FCF29" t="s">
        <v>6395</v>
      </c>
      <c r="FCG29" t="s">
        <v>6396</v>
      </c>
      <c r="FCH29" t="s">
        <v>6397</v>
      </c>
      <c r="FCI29" t="s">
        <v>6398</v>
      </c>
      <c r="FCJ29" t="s">
        <v>6399</v>
      </c>
      <c r="FCK29" t="s">
        <v>6400</v>
      </c>
      <c r="FCL29" t="s">
        <v>6401</v>
      </c>
      <c r="FCM29" t="s">
        <v>6402</v>
      </c>
      <c r="FCN29" t="s">
        <v>6403</v>
      </c>
      <c r="FCO29" t="s">
        <v>6404</v>
      </c>
      <c r="FCP29" t="s">
        <v>6405</v>
      </c>
      <c r="FCQ29" t="s">
        <v>6406</v>
      </c>
      <c r="FCR29" t="s">
        <v>6407</v>
      </c>
      <c r="FCS29" t="s">
        <v>6408</v>
      </c>
      <c r="FCT29" t="s">
        <v>6409</v>
      </c>
      <c r="FCU29" t="s">
        <v>6410</v>
      </c>
      <c r="FCV29" t="s">
        <v>6411</v>
      </c>
      <c r="FCW29" t="s">
        <v>6412</v>
      </c>
      <c r="FCX29" t="s">
        <v>6413</v>
      </c>
      <c r="FCY29" t="s">
        <v>6414</v>
      </c>
      <c r="FCZ29" t="s">
        <v>6415</v>
      </c>
      <c r="FDA29" t="s">
        <v>6416</v>
      </c>
      <c r="FDB29" t="s">
        <v>6417</v>
      </c>
      <c r="FDC29" t="s">
        <v>6418</v>
      </c>
      <c r="FDD29" t="s">
        <v>6419</v>
      </c>
      <c r="FDE29" t="s">
        <v>6420</v>
      </c>
      <c r="FDF29" t="s">
        <v>6421</v>
      </c>
      <c r="FDG29" t="s">
        <v>6422</v>
      </c>
      <c r="FDH29" t="s">
        <v>6423</v>
      </c>
      <c r="FDI29" t="s">
        <v>6424</v>
      </c>
      <c r="FDJ29" t="s">
        <v>6425</v>
      </c>
      <c r="FDK29" t="s">
        <v>6426</v>
      </c>
      <c r="FDL29" t="s">
        <v>6427</v>
      </c>
      <c r="FDM29" t="s">
        <v>6428</v>
      </c>
      <c r="FDN29" t="s">
        <v>6429</v>
      </c>
      <c r="FDO29" t="s">
        <v>6430</v>
      </c>
      <c r="FDP29" t="s">
        <v>6431</v>
      </c>
      <c r="FDQ29" t="s">
        <v>6432</v>
      </c>
      <c r="FDR29" t="s">
        <v>6433</v>
      </c>
      <c r="FDS29" t="s">
        <v>6434</v>
      </c>
      <c r="FDT29" t="s">
        <v>6435</v>
      </c>
      <c r="FDU29" t="s">
        <v>6436</v>
      </c>
      <c r="FDV29" t="s">
        <v>6437</v>
      </c>
      <c r="FDW29" t="s">
        <v>6438</v>
      </c>
      <c r="FDX29" t="s">
        <v>6439</v>
      </c>
      <c r="FDY29" t="s">
        <v>6440</v>
      </c>
      <c r="FDZ29" t="s">
        <v>6441</v>
      </c>
      <c r="FEA29" t="s">
        <v>6442</v>
      </c>
      <c r="FEB29" t="s">
        <v>6443</v>
      </c>
      <c r="FEC29" t="s">
        <v>6444</v>
      </c>
      <c r="FED29" t="s">
        <v>6445</v>
      </c>
      <c r="FEE29" t="s">
        <v>6446</v>
      </c>
      <c r="FEF29" t="s">
        <v>6447</v>
      </c>
      <c r="FEG29" t="s">
        <v>6448</v>
      </c>
      <c r="FEH29" t="s">
        <v>6449</v>
      </c>
      <c r="FEI29" t="s">
        <v>6450</v>
      </c>
      <c r="FEJ29" t="s">
        <v>6451</v>
      </c>
      <c r="FEK29" t="s">
        <v>6452</v>
      </c>
      <c r="FEL29" t="s">
        <v>6453</v>
      </c>
      <c r="FEM29" t="s">
        <v>6454</v>
      </c>
      <c r="FEN29" t="s">
        <v>6455</v>
      </c>
      <c r="FEO29" t="s">
        <v>6456</v>
      </c>
      <c r="FEP29" t="s">
        <v>6457</v>
      </c>
      <c r="FEQ29" t="s">
        <v>6458</v>
      </c>
      <c r="FER29" t="s">
        <v>6459</v>
      </c>
      <c r="FES29" t="s">
        <v>6460</v>
      </c>
      <c r="FET29" t="s">
        <v>6461</v>
      </c>
      <c r="FEU29" t="s">
        <v>6462</v>
      </c>
      <c r="FEV29" t="s">
        <v>6463</v>
      </c>
      <c r="FEW29" t="s">
        <v>6464</v>
      </c>
      <c r="FEX29" t="s">
        <v>6465</v>
      </c>
      <c r="FEY29" t="s">
        <v>6466</v>
      </c>
      <c r="FEZ29" t="s">
        <v>6467</v>
      </c>
      <c r="FFA29" t="s">
        <v>6468</v>
      </c>
      <c r="FFB29" t="s">
        <v>6469</v>
      </c>
      <c r="FFC29" t="s">
        <v>6470</v>
      </c>
      <c r="FFD29" t="s">
        <v>6471</v>
      </c>
      <c r="FFE29" t="s">
        <v>6472</v>
      </c>
      <c r="FFF29" t="s">
        <v>6473</v>
      </c>
      <c r="FFG29" t="s">
        <v>6474</v>
      </c>
      <c r="FFH29" t="s">
        <v>6475</v>
      </c>
      <c r="FFI29" t="s">
        <v>6476</v>
      </c>
      <c r="FFJ29" t="s">
        <v>6477</v>
      </c>
      <c r="FFK29" t="s">
        <v>6478</v>
      </c>
      <c r="FFL29" t="s">
        <v>6479</v>
      </c>
      <c r="FFM29" t="s">
        <v>6480</v>
      </c>
      <c r="FFN29" t="s">
        <v>6481</v>
      </c>
      <c r="FFO29" t="s">
        <v>6482</v>
      </c>
      <c r="FFP29" t="s">
        <v>6483</v>
      </c>
      <c r="FFQ29" t="s">
        <v>6484</v>
      </c>
      <c r="FFR29" t="s">
        <v>6485</v>
      </c>
      <c r="FFS29" t="s">
        <v>6486</v>
      </c>
      <c r="FFT29" t="s">
        <v>6487</v>
      </c>
      <c r="FFU29" t="s">
        <v>6488</v>
      </c>
      <c r="FFV29" t="s">
        <v>6489</v>
      </c>
      <c r="FFW29" t="s">
        <v>6490</v>
      </c>
      <c r="FFX29" t="s">
        <v>6491</v>
      </c>
      <c r="FFY29" t="s">
        <v>6492</v>
      </c>
      <c r="FFZ29" t="s">
        <v>6493</v>
      </c>
      <c r="FGA29" t="s">
        <v>6494</v>
      </c>
      <c r="FGB29" t="s">
        <v>6495</v>
      </c>
      <c r="FGC29" t="s">
        <v>6496</v>
      </c>
      <c r="FGD29" t="s">
        <v>6497</v>
      </c>
      <c r="FGE29" t="s">
        <v>6498</v>
      </c>
      <c r="FGF29" t="s">
        <v>6499</v>
      </c>
      <c r="FGG29" t="s">
        <v>6500</v>
      </c>
      <c r="FGH29" t="s">
        <v>6501</v>
      </c>
      <c r="FGI29" t="s">
        <v>6502</v>
      </c>
      <c r="FGJ29" t="s">
        <v>6503</v>
      </c>
      <c r="FGK29" t="s">
        <v>6504</v>
      </c>
      <c r="FGL29" t="s">
        <v>6505</v>
      </c>
      <c r="FGM29" t="s">
        <v>6506</v>
      </c>
      <c r="FGN29" t="s">
        <v>6507</v>
      </c>
      <c r="FGO29" t="s">
        <v>6508</v>
      </c>
      <c r="FGP29" t="s">
        <v>6509</v>
      </c>
      <c r="FGQ29" t="s">
        <v>6510</v>
      </c>
      <c r="FGR29" t="s">
        <v>6511</v>
      </c>
      <c r="FGS29" t="s">
        <v>6512</v>
      </c>
      <c r="FGT29" t="s">
        <v>6513</v>
      </c>
      <c r="FGU29" t="s">
        <v>6514</v>
      </c>
      <c r="FGV29" t="s">
        <v>6515</v>
      </c>
      <c r="FGW29" t="s">
        <v>6516</v>
      </c>
      <c r="FGX29" t="s">
        <v>6517</v>
      </c>
      <c r="FGY29" t="s">
        <v>6518</v>
      </c>
      <c r="FGZ29" t="s">
        <v>6519</v>
      </c>
      <c r="FHA29" t="s">
        <v>6520</v>
      </c>
      <c r="FHB29" t="s">
        <v>6521</v>
      </c>
      <c r="FHC29" t="s">
        <v>6522</v>
      </c>
      <c r="FHD29" t="s">
        <v>6523</v>
      </c>
      <c r="FHE29" t="s">
        <v>6524</v>
      </c>
      <c r="FHF29" t="s">
        <v>6525</v>
      </c>
      <c r="FHG29" t="s">
        <v>6526</v>
      </c>
      <c r="FHH29" t="s">
        <v>6527</v>
      </c>
      <c r="FHI29" t="s">
        <v>6528</v>
      </c>
      <c r="FHJ29" t="s">
        <v>6529</v>
      </c>
      <c r="FHK29" t="s">
        <v>6530</v>
      </c>
      <c r="FHL29" t="s">
        <v>6531</v>
      </c>
      <c r="FHM29" t="s">
        <v>6532</v>
      </c>
      <c r="FHN29" t="s">
        <v>6533</v>
      </c>
      <c r="FHO29" t="s">
        <v>6534</v>
      </c>
      <c r="FHP29" t="s">
        <v>6535</v>
      </c>
      <c r="FHQ29" t="s">
        <v>6536</v>
      </c>
      <c r="FHR29" t="s">
        <v>6537</v>
      </c>
      <c r="FHS29" t="s">
        <v>6538</v>
      </c>
      <c r="FHT29" t="s">
        <v>6539</v>
      </c>
      <c r="FHU29" t="s">
        <v>6540</v>
      </c>
      <c r="FHV29" t="s">
        <v>6541</v>
      </c>
      <c r="FHW29" t="s">
        <v>6542</v>
      </c>
      <c r="FHX29" t="s">
        <v>6543</v>
      </c>
      <c r="FHY29" t="s">
        <v>6544</v>
      </c>
      <c r="FHZ29" t="s">
        <v>6545</v>
      </c>
      <c r="FIA29" t="s">
        <v>6546</v>
      </c>
      <c r="FIB29" t="s">
        <v>6547</v>
      </c>
      <c r="FIC29" t="s">
        <v>6548</v>
      </c>
      <c r="FID29" t="s">
        <v>6549</v>
      </c>
      <c r="FIE29" t="s">
        <v>6550</v>
      </c>
      <c r="FIF29" t="s">
        <v>6551</v>
      </c>
      <c r="FIG29" t="s">
        <v>6552</v>
      </c>
      <c r="FIH29" t="s">
        <v>6553</v>
      </c>
      <c r="FII29" t="s">
        <v>6554</v>
      </c>
      <c r="FIJ29" t="s">
        <v>6555</v>
      </c>
      <c r="FIK29" t="s">
        <v>6556</v>
      </c>
      <c r="FIL29" t="s">
        <v>6557</v>
      </c>
      <c r="FIM29" t="s">
        <v>6558</v>
      </c>
      <c r="FIN29" t="s">
        <v>6559</v>
      </c>
      <c r="FIO29" t="s">
        <v>6560</v>
      </c>
      <c r="FIP29" t="s">
        <v>6561</v>
      </c>
      <c r="FIQ29" t="s">
        <v>6562</v>
      </c>
      <c r="FIR29" t="s">
        <v>6563</v>
      </c>
      <c r="FIS29" t="s">
        <v>6564</v>
      </c>
      <c r="FIT29" t="s">
        <v>6565</v>
      </c>
      <c r="FIU29" t="s">
        <v>6566</v>
      </c>
      <c r="FIV29" t="s">
        <v>6567</v>
      </c>
      <c r="FIW29" t="s">
        <v>6568</v>
      </c>
      <c r="FIX29" t="s">
        <v>6569</v>
      </c>
      <c r="FIY29" t="s">
        <v>6570</v>
      </c>
      <c r="FIZ29" t="s">
        <v>6571</v>
      </c>
      <c r="FJA29" t="s">
        <v>6572</v>
      </c>
      <c r="FJB29" t="s">
        <v>6573</v>
      </c>
      <c r="FJC29" t="s">
        <v>6574</v>
      </c>
      <c r="FJD29" t="s">
        <v>6575</v>
      </c>
      <c r="FJE29" t="s">
        <v>6576</v>
      </c>
      <c r="FJF29" t="s">
        <v>6577</v>
      </c>
      <c r="FJG29" t="s">
        <v>6578</v>
      </c>
      <c r="FJH29" t="s">
        <v>6579</v>
      </c>
      <c r="FJI29" t="s">
        <v>6580</v>
      </c>
      <c r="FJJ29" t="s">
        <v>6581</v>
      </c>
      <c r="FJK29" t="s">
        <v>6582</v>
      </c>
      <c r="FJL29" t="s">
        <v>6583</v>
      </c>
      <c r="FJM29" t="s">
        <v>6584</v>
      </c>
      <c r="FJN29" t="s">
        <v>6585</v>
      </c>
      <c r="FJO29" t="s">
        <v>6586</v>
      </c>
      <c r="FJP29" t="s">
        <v>6587</v>
      </c>
      <c r="FJQ29" t="s">
        <v>6588</v>
      </c>
      <c r="FJR29" t="s">
        <v>6589</v>
      </c>
      <c r="FJS29" t="s">
        <v>6590</v>
      </c>
      <c r="FJT29" t="s">
        <v>6591</v>
      </c>
      <c r="FJU29" t="s">
        <v>6592</v>
      </c>
      <c r="FJV29" t="s">
        <v>6593</v>
      </c>
      <c r="FJW29" t="s">
        <v>6594</v>
      </c>
      <c r="FJX29" t="s">
        <v>6595</v>
      </c>
      <c r="FJY29" t="s">
        <v>6596</v>
      </c>
      <c r="FJZ29" t="s">
        <v>6597</v>
      </c>
      <c r="FKA29" t="s">
        <v>6598</v>
      </c>
      <c r="FKB29" t="s">
        <v>6599</v>
      </c>
      <c r="FKC29" t="s">
        <v>6600</v>
      </c>
      <c r="FKD29" t="s">
        <v>6601</v>
      </c>
      <c r="FKE29" t="s">
        <v>6602</v>
      </c>
      <c r="FKF29" t="s">
        <v>6603</v>
      </c>
      <c r="FKG29" t="s">
        <v>6604</v>
      </c>
      <c r="FKH29" t="s">
        <v>6605</v>
      </c>
      <c r="FKI29" t="s">
        <v>6606</v>
      </c>
      <c r="FKJ29" t="s">
        <v>6607</v>
      </c>
      <c r="FKK29" t="s">
        <v>6608</v>
      </c>
      <c r="FKL29" t="s">
        <v>6609</v>
      </c>
      <c r="FKM29" t="s">
        <v>6610</v>
      </c>
      <c r="FKN29" t="s">
        <v>6611</v>
      </c>
      <c r="FKO29" t="s">
        <v>6612</v>
      </c>
      <c r="FKP29" t="s">
        <v>6613</v>
      </c>
      <c r="FKQ29" t="s">
        <v>6614</v>
      </c>
      <c r="FKR29" t="s">
        <v>6615</v>
      </c>
      <c r="FKS29" t="s">
        <v>6616</v>
      </c>
      <c r="FKT29" t="s">
        <v>6617</v>
      </c>
      <c r="FKU29" t="s">
        <v>6618</v>
      </c>
      <c r="FKV29" t="s">
        <v>6619</v>
      </c>
      <c r="FKW29" t="s">
        <v>6620</v>
      </c>
      <c r="FKX29" t="s">
        <v>6621</v>
      </c>
      <c r="FKY29" t="s">
        <v>6622</v>
      </c>
      <c r="FKZ29" t="s">
        <v>6623</v>
      </c>
      <c r="FLA29" t="s">
        <v>6624</v>
      </c>
      <c r="FLB29" t="s">
        <v>6625</v>
      </c>
      <c r="FLC29" t="s">
        <v>6626</v>
      </c>
      <c r="FLD29" t="s">
        <v>6627</v>
      </c>
      <c r="FLE29" t="s">
        <v>6628</v>
      </c>
      <c r="FLF29" t="s">
        <v>6629</v>
      </c>
      <c r="FLG29" t="s">
        <v>6630</v>
      </c>
      <c r="FLH29" t="s">
        <v>6631</v>
      </c>
      <c r="FLI29" t="s">
        <v>6632</v>
      </c>
      <c r="FLJ29" t="s">
        <v>6633</v>
      </c>
      <c r="FLK29" t="s">
        <v>6634</v>
      </c>
      <c r="FLL29" t="s">
        <v>6635</v>
      </c>
      <c r="FLM29" t="s">
        <v>6636</v>
      </c>
      <c r="FLN29" t="s">
        <v>6637</v>
      </c>
      <c r="FLO29" t="s">
        <v>6638</v>
      </c>
      <c r="FLP29" t="s">
        <v>6639</v>
      </c>
      <c r="FLQ29" t="s">
        <v>6640</v>
      </c>
      <c r="FLR29" t="s">
        <v>6641</v>
      </c>
      <c r="FLS29" t="s">
        <v>6642</v>
      </c>
      <c r="FLT29" t="s">
        <v>6643</v>
      </c>
      <c r="FLU29" t="s">
        <v>6644</v>
      </c>
      <c r="FLV29" t="s">
        <v>6645</v>
      </c>
      <c r="FLW29" t="s">
        <v>6646</v>
      </c>
      <c r="FLX29" t="s">
        <v>6647</v>
      </c>
      <c r="FLY29" t="s">
        <v>6648</v>
      </c>
      <c r="FLZ29" t="s">
        <v>6649</v>
      </c>
      <c r="FMA29" t="s">
        <v>6650</v>
      </c>
      <c r="FMB29" t="s">
        <v>6651</v>
      </c>
      <c r="FMC29" t="s">
        <v>6652</v>
      </c>
      <c r="FMD29" t="s">
        <v>6653</v>
      </c>
      <c r="FME29" t="s">
        <v>6654</v>
      </c>
      <c r="FMF29" t="s">
        <v>6655</v>
      </c>
      <c r="FMG29" t="s">
        <v>6656</v>
      </c>
      <c r="FMH29" t="s">
        <v>6657</v>
      </c>
      <c r="FMI29" t="s">
        <v>6658</v>
      </c>
      <c r="FMJ29" t="s">
        <v>6659</v>
      </c>
      <c r="FMK29" t="s">
        <v>6660</v>
      </c>
      <c r="FML29" t="s">
        <v>6661</v>
      </c>
      <c r="FMM29" t="s">
        <v>6662</v>
      </c>
      <c r="FMN29" t="s">
        <v>6663</v>
      </c>
      <c r="FMO29" t="s">
        <v>6664</v>
      </c>
      <c r="FMP29" t="s">
        <v>6665</v>
      </c>
      <c r="FMQ29" t="s">
        <v>6666</v>
      </c>
      <c r="FMR29" t="s">
        <v>6667</v>
      </c>
      <c r="FMS29" t="s">
        <v>6668</v>
      </c>
      <c r="FMT29" t="s">
        <v>6669</v>
      </c>
      <c r="FMU29" t="s">
        <v>6670</v>
      </c>
      <c r="FMV29" t="s">
        <v>6671</v>
      </c>
      <c r="FMW29" t="s">
        <v>6672</v>
      </c>
      <c r="FMX29" t="s">
        <v>6673</v>
      </c>
      <c r="FMY29" t="s">
        <v>6674</v>
      </c>
      <c r="FMZ29" t="s">
        <v>6675</v>
      </c>
      <c r="FNA29" t="s">
        <v>6676</v>
      </c>
      <c r="FNB29" t="s">
        <v>6677</v>
      </c>
      <c r="FNC29" t="s">
        <v>6678</v>
      </c>
      <c r="FND29" t="s">
        <v>6679</v>
      </c>
      <c r="FNE29" t="s">
        <v>6680</v>
      </c>
      <c r="FNF29" t="s">
        <v>6681</v>
      </c>
      <c r="FNG29" t="s">
        <v>6682</v>
      </c>
      <c r="FNH29" t="s">
        <v>6683</v>
      </c>
      <c r="FNI29" t="s">
        <v>6684</v>
      </c>
      <c r="FNJ29" t="s">
        <v>6685</v>
      </c>
      <c r="FNK29" t="s">
        <v>6686</v>
      </c>
      <c r="FNL29" t="s">
        <v>6687</v>
      </c>
      <c r="FNM29" t="s">
        <v>6688</v>
      </c>
      <c r="FNN29" t="s">
        <v>6689</v>
      </c>
      <c r="FNO29" t="s">
        <v>6690</v>
      </c>
      <c r="FNP29" t="s">
        <v>6691</v>
      </c>
      <c r="FNQ29" t="s">
        <v>6692</v>
      </c>
      <c r="FNR29" t="s">
        <v>6693</v>
      </c>
      <c r="FNS29" t="s">
        <v>6694</v>
      </c>
      <c r="FNT29" t="s">
        <v>6695</v>
      </c>
      <c r="FNU29" t="s">
        <v>6696</v>
      </c>
      <c r="FNV29" t="s">
        <v>6697</v>
      </c>
      <c r="FNW29" t="s">
        <v>6698</v>
      </c>
      <c r="FNX29" t="s">
        <v>6699</v>
      </c>
      <c r="FNY29" t="s">
        <v>6700</v>
      </c>
      <c r="FNZ29" t="s">
        <v>6701</v>
      </c>
      <c r="FOA29" t="s">
        <v>6702</v>
      </c>
      <c r="FOB29" t="s">
        <v>6703</v>
      </c>
      <c r="FOC29" t="s">
        <v>6704</v>
      </c>
      <c r="FOD29" t="s">
        <v>6705</v>
      </c>
      <c r="FOE29" t="s">
        <v>6706</v>
      </c>
      <c r="FOF29" t="s">
        <v>6707</v>
      </c>
      <c r="FOG29" t="s">
        <v>6708</v>
      </c>
      <c r="FOH29" t="s">
        <v>6709</v>
      </c>
      <c r="FOI29" t="s">
        <v>6710</v>
      </c>
      <c r="FOJ29" t="s">
        <v>6711</v>
      </c>
      <c r="FOK29" t="s">
        <v>6712</v>
      </c>
      <c r="FOL29" t="s">
        <v>6713</v>
      </c>
      <c r="FOM29" t="s">
        <v>6714</v>
      </c>
      <c r="FON29" t="s">
        <v>6715</v>
      </c>
      <c r="FOO29" t="s">
        <v>6716</v>
      </c>
      <c r="FOP29" t="s">
        <v>6717</v>
      </c>
      <c r="FOQ29" t="s">
        <v>6718</v>
      </c>
      <c r="FOR29" t="s">
        <v>6719</v>
      </c>
      <c r="FOS29" t="s">
        <v>6720</v>
      </c>
      <c r="FOT29" t="s">
        <v>6721</v>
      </c>
      <c r="FOU29" t="s">
        <v>6722</v>
      </c>
      <c r="FOV29" t="s">
        <v>6723</v>
      </c>
      <c r="FOW29" t="s">
        <v>6724</v>
      </c>
      <c r="FOX29" t="s">
        <v>6725</v>
      </c>
      <c r="FOY29" t="s">
        <v>6726</v>
      </c>
      <c r="FOZ29" t="s">
        <v>6727</v>
      </c>
      <c r="FPA29" t="s">
        <v>6728</v>
      </c>
      <c r="FPB29" t="s">
        <v>6729</v>
      </c>
      <c r="FPC29" t="s">
        <v>6730</v>
      </c>
      <c r="FPD29" t="s">
        <v>6731</v>
      </c>
      <c r="FPE29" t="s">
        <v>6732</v>
      </c>
      <c r="FPF29" t="s">
        <v>6733</v>
      </c>
      <c r="FPG29" t="s">
        <v>6734</v>
      </c>
      <c r="FPH29" t="s">
        <v>6735</v>
      </c>
      <c r="FPI29" t="s">
        <v>6736</v>
      </c>
      <c r="FPJ29" t="s">
        <v>6737</v>
      </c>
      <c r="FPK29" t="s">
        <v>6738</v>
      </c>
      <c r="FPL29" t="s">
        <v>6739</v>
      </c>
      <c r="FPM29" t="s">
        <v>6740</v>
      </c>
      <c r="FPN29" t="s">
        <v>6741</v>
      </c>
      <c r="FPO29" t="s">
        <v>6742</v>
      </c>
      <c r="FPP29" t="s">
        <v>6743</v>
      </c>
      <c r="FPQ29" t="s">
        <v>6744</v>
      </c>
      <c r="FPR29" t="s">
        <v>6745</v>
      </c>
      <c r="FPS29" t="s">
        <v>6746</v>
      </c>
      <c r="FPT29" t="s">
        <v>6747</v>
      </c>
      <c r="FPU29" t="s">
        <v>6748</v>
      </c>
      <c r="FPV29" t="s">
        <v>6749</v>
      </c>
      <c r="FPW29" t="s">
        <v>6750</v>
      </c>
      <c r="FPX29" t="s">
        <v>6751</v>
      </c>
      <c r="FPY29" t="s">
        <v>6752</v>
      </c>
      <c r="FPZ29" t="s">
        <v>6753</v>
      </c>
      <c r="FQA29" t="s">
        <v>6754</v>
      </c>
      <c r="FQB29" t="s">
        <v>6755</v>
      </c>
      <c r="FQC29" t="s">
        <v>6756</v>
      </c>
      <c r="FQD29" t="s">
        <v>6757</v>
      </c>
      <c r="FQE29" t="s">
        <v>6758</v>
      </c>
      <c r="FQF29" t="s">
        <v>6759</v>
      </c>
      <c r="FQG29" t="s">
        <v>6760</v>
      </c>
      <c r="FQH29" t="s">
        <v>6761</v>
      </c>
      <c r="FQI29" t="s">
        <v>6762</v>
      </c>
      <c r="FQJ29" t="s">
        <v>6763</v>
      </c>
      <c r="FQK29" t="s">
        <v>6764</v>
      </c>
      <c r="FQL29" t="s">
        <v>6765</v>
      </c>
      <c r="FQM29" t="s">
        <v>6766</v>
      </c>
      <c r="FQN29" t="s">
        <v>6767</v>
      </c>
      <c r="FQO29" t="s">
        <v>6768</v>
      </c>
      <c r="FQP29" t="s">
        <v>6769</v>
      </c>
      <c r="FQQ29" t="s">
        <v>6770</v>
      </c>
      <c r="FQR29" t="s">
        <v>6771</v>
      </c>
      <c r="FQS29" t="s">
        <v>6772</v>
      </c>
      <c r="FQT29" t="s">
        <v>6773</v>
      </c>
      <c r="FQU29" t="s">
        <v>6774</v>
      </c>
      <c r="FQV29" t="s">
        <v>6775</v>
      </c>
      <c r="FQW29" t="s">
        <v>6776</v>
      </c>
      <c r="FQX29" t="s">
        <v>6777</v>
      </c>
      <c r="FQY29" t="s">
        <v>6778</v>
      </c>
      <c r="FQZ29" t="s">
        <v>6779</v>
      </c>
      <c r="FRA29" t="s">
        <v>6780</v>
      </c>
      <c r="FRB29" t="s">
        <v>6781</v>
      </c>
      <c r="FRC29" t="s">
        <v>6782</v>
      </c>
      <c r="FRD29" t="s">
        <v>6783</v>
      </c>
      <c r="FRE29" t="s">
        <v>6784</v>
      </c>
      <c r="FRF29" t="s">
        <v>6785</v>
      </c>
      <c r="FRG29" t="s">
        <v>6786</v>
      </c>
      <c r="FRH29" t="s">
        <v>6787</v>
      </c>
      <c r="FRI29" t="s">
        <v>6788</v>
      </c>
      <c r="FRJ29" t="s">
        <v>6789</v>
      </c>
      <c r="FRK29" t="s">
        <v>6790</v>
      </c>
      <c r="FRL29" t="s">
        <v>6791</v>
      </c>
      <c r="FRM29" t="s">
        <v>6792</v>
      </c>
      <c r="FRN29" t="s">
        <v>6793</v>
      </c>
      <c r="FRO29" t="s">
        <v>6794</v>
      </c>
      <c r="FRP29" t="s">
        <v>6795</v>
      </c>
      <c r="FRQ29" t="s">
        <v>6796</v>
      </c>
      <c r="FRR29" t="s">
        <v>6797</v>
      </c>
      <c r="FRS29" t="s">
        <v>6798</v>
      </c>
      <c r="FRT29" t="s">
        <v>6799</v>
      </c>
      <c r="FRU29" t="s">
        <v>6800</v>
      </c>
      <c r="FRV29" t="s">
        <v>6801</v>
      </c>
      <c r="FRW29" t="s">
        <v>6802</v>
      </c>
      <c r="FRX29" t="s">
        <v>6803</v>
      </c>
      <c r="FRY29" t="s">
        <v>6804</v>
      </c>
      <c r="FRZ29" t="s">
        <v>6805</v>
      </c>
      <c r="FSA29" t="s">
        <v>6806</v>
      </c>
      <c r="FSB29" t="s">
        <v>6807</v>
      </c>
      <c r="FSC29" t="s">
        <v>6808</v>
      </c>
      <c r="FSD29" t="s">
        <v>6809</v>
      </c>
      <c r="FSE29" t="s">
        <v>6810</v>
      </c>
      <c r="FSF29" t="s">
        <v>6811</v>
      </c>
      <c r="FSG29" t="s">
        <v>6812</v>
      </c>
      <c r="FSH29" t="s">
        <v>6813</v>
      </c>
      <c r="FSI29" t="s">
        <v>6814</v>
      </c>
      <c r="FSJ29" t="s">
        <v>6815</v>
      </c>
      <c r="FSK29" t="s">
        <v>6816</v>
      </c>
      <c r="FSL29" t="s">
        <v>6817</v>
      </c>
      <c r="FSM29" t="s">
        <v>6818</v>
      </c>
      <c r="FSN29" t="s">
        <v>6819</v>
      </c>
      <c r="FSO29" t="s">
        <v>6820</v>
      </c>
      <c r="FSP29" t="s">
        <v>6821</v>
      </c>
      <c r="FSQ29" t="s">
        <v>6822</v>
      </c>
      <c r="FSR29" t="s">
        <v>6823</v>
      </c>
      <c r="FSS29" t="s">
        <v>6824</v>
      </c>
      <c r="FST29" t="s">
        <v>6825</v>
      </c>
      <c r="FSU29" t="s">
        <v>6826</v>
      </c>
      <c r="FSV29" t="s">
        <v>6827</v>
      </c>
      <c r="FSW29" t="s">
        <v>6828</v>
      </c>
      <c r="FSX29" t="s">
        <v>6829</v>
      </c>
      <c r="FSY29" t="s">
        <v>6830</v>
      </c>
      <c r="FSZ29" t="s">
        <v>6831</v>
      </c>
      <c r="FTA29" t="s">
        <v>6832</v>
      </c>
      <c r="FTB29" t="s">
        <v>6833</v>
      </c>
      <c r="FTC29" t="s">
        <v>6834</v>
      </c>
      <c r="FTD29" t="s">
        <v>6835</v>
      </c>
      <c r="FTE29" t="s">
        <v>6836</v>
      </c>
      <c r="FTF29" t="s">
        <v>6837</v>
      </c>
      <c r="FTG29" t="s">
        <v>6838</v>
      </c>
      <c r="FTH29" t="s">
        <v>6839</v>
      </c>
      <c r="FTI29" t="s">
        <v>6840</v>
      </c>
      <c r="FTJ29" t="s">
        <v>6841</v>
      </c>
      <c r="FTK29" t="s">
        <v>6842</v>
      </c>
      <c r="FTL29" t="s">
        <v>6843</v>
      </c>
      <c r="FTM29" t="s">
        <v>6844</v>
      </c>
      <c r="FTN29" t="s">
        <v>6845</v>
      </c>
      <c r="FTO29" t="s">
        <v>6846</v>
      </c>
      <c r="FTP29" t="s">
        <v>6847</v>
      </c>
      <c r="FTQ29" t="s">
        <v>6848</v>
      </c>
      <c r="FTR29" t="s">
        <v>6849</v>
      </c>
      <c r="FTS29" t="s">
        <v>6850</v>
      </c>
      <c r="FTT29" t="s">
        <v>6851</v>
      </c>
      <c r="FTU29" t="s">
        <v>6852</v>
      </c>
      <c r="FTV29" t="s">
        <v>6853</v>
      </c>
      <c r="FTW29" t="s">
        <v>6854</v>
      </c>
      <c r="FTX29" t="s">
        <v>6855</v>
      </c>
      <c r="FTY29" t="s">
        <v>6856</v>
      </c>
      <c r="FTZ29" t="s">
        <v>6857</v>
      </c>
      <c r="FUA29" t="s">
        <v>6858</v>
      </c>
      <c r="FUB29" t="s">
        <v>6859</v>
      </c>
      <c r="FUC29" t="s">
        <v>6860</v>
      </c>
      <c r="FUD29" t="s">
        <v>6861</v>
      </c>
      <c r="FUE29" t="s">
        <v>6862</v>
      </c>
      <c r="FUF29" t="s">
        <v>6863</v>
      </c>
      <c r="FUG29" t="s">
        <v>6864</v>
      </c>
      <c r="FUH29" t="s">
        <v>6865</v>
      </c>
      <c r="FUI29" t="s">
        <v>6866</v>
      </c>
      <c r="FUJ29" t="s">
        <v>6867</v>
      </c>
      <c r="FUK29" t="s">
        <v>6868</v>
      </c>
      <c r="FUL29" t="s">
        <v>6869</v>
      </c>
      <c r="FUM29" t="s">
        <v>6870</v>
      </c>
      <c r="FUN29" t="s">
        <v>6871</v>
      </c>
      <c r="FUO29" t="s">
        <v>6872</v>
      </c>
      <c r="FUP29" t="s">
        <v>6873</v>
      </c>
      <c r="FUQ29" t="s">
        <v>6874</v>
      </c>
      <c r="FUR29" t="s">
        <v>6875</v>
      </c>
      <c r="FUS29" t="s">
        <v>6876</v>
      </c>
      <c r="FUT29" t="s">
        <v>6877</v>
      </c>
      <c r="FUU29" t="s">
        <v>6878</v>
      </c>
      <c r="FUV29" t="s">
        <v>6879</v>
      </c>
      <c r="FUW29" t="s">
        <v>6880</v>
      </c>
      <c r="FUX29" t="s">
        <v>6881</v>
      </c>
      <c r="FUY29" t="s">
        <v>6882</v>
      </c>
      <c r="FUZ29" t="s">
        <v>6883</v>
      </c>
      <c r="FVA29" t="s">
        <v>6884</v>
      </c>
      <c r="FVB29" t="s">
        <v>6885</v>
      </c>
      <c r="FVC29" t="s">
        <v>6886</v>
      </c>
      <c r="FVD29" t="s">
        <v>6887</v>
      </c>
      <c r="FVE29" t="s">
        <v>6888</v>
      </c>
      <c r="FVF29" t="s">
        <v>6889</v>
      </c>
      <c r="FVG29" t="s">
        <v>6890</v>
      </c>
      <c r="FVH29" t="s">
        <v>6891</v>
      </c>
      <c r="FVI29" t="s">
        <v>6892</v>
      </c>
      <c r="FVJ29" t="s">
        <v>6893</v>
      </c>
      <c r="FVK29" t="s">
        <v>6894</v>
      </c>
      <c r="FVL29" t="s">
        <v>6895</v>
      </c>
      <c r="FVM29" t="s">
        <v>6896</v>
      </c>
      <c r="FVN29" t="s">
        <v>6897</v>
      </c>
      <c r="FVO29" t="s">
        <v>6898</v>
      </c>
      <c r="FVP29" t="s">
        <v>6899</v>
      </c>
      <c r="FVQ29" t="s">
        <v>6900</v>
      </c>
      <c r="FVR29" t="s">
        <v>6901</v>
      </c>
      <c r="FVS29" t="s">
        <v>6902</v>
      </c>
      <c r="FVT29" t="s">
        <v>6903</v>
      </c>
      <c r="FVU29" t="s">
        <v>6904</v>
      </c>
      <c r="FVV29" t="s">
        <v>6905</v>
      </c>
      <c r="FVW29" t="s">
        <v>6906</v>
      </c>
      <c r="FVX29" t="s">
        <v>6907</v>
      </c>
      <c r="FVY29" t="s">
        <v>6908</v>
      </c>
      <c r="FVZ29" t="s">
        <v>6909</v>
      </c>
      <c r="FWA29" t="s">
        <v>6910</v>
      </c>
      <c r="FWB29" t="s">
        <v>6911</v>
      </c>
      <c r="FWC29" t="s">
        <v>6912</v>
      </c>
      <c r="FWD29" t="s">
        <v>6913</v>
      </c>
      <c r="FWE29" t="s">
        <v>6914</v>
      </c>
      <c r="FWF29" t="s">
        <v>6915</v>
      </c>
      <c r="FWG29" t="s">
        <v>6916</v>
      </c>
      <c r="FWH29" t="s">
        <v>6917</v>
      </c>
      <c r="FWI29" t="s">
        <v>6918</v>
      </c>
      <c r="FWJ29" t="s">
        <v>6919</v>
      </c>
      <c r="FWK29" t="s">
        <v>6920</v>
      </c>
      <c r="FWL29" t="s">
        <v>6921</v>
      </c>
      <c r="FWM29" t="s">
        <v>6922</v>
      </c>
      <c r="FWN29" t="s">
        <v>6923</v>
      </c>
      <c r="FWO29" t="s">
        <v>6924</v>
      </c>
      <c r="FWP29" t="s">
        <v>6925</v>
      </c>
      <c r="FWQ29" t="s">
        <v>6926</v>
      </c>
      <c r="FWR29" t="s">
        <v>6927</v>
      </c>
      <c r="FWS29" t="s">
        <v>6928</v>
      </c>
      <c r="FWT29" t="s">
        <v>6929</v>
      </c>
      <c r="FWU29" t="s">
        <v>6930</v>
      </c>
      <c r="FWV29" t="s">
        <v>6931</v>
      </c>
      <c r="FWW29" t="s">
        <v>6932</v>
      </c>
      <c r="FWX29" t="s">
        <v>6933</v>
      </c>
      <c r="FWY29" t="s">
        <v>6934</v>
      </c>
      <c r="FWZ29" t="s">
        <v>6935</v>
      </c>
      <c r="FXA29" t="s">
        <v>6936</v>
      </c>
      <c r="FXB29" t="s">
        <v>6937</v>
      </c>
      <c r="FXC29" t="s">
        <v>6938</v>
      </c>
      <c r="FXD29" t="s">
        <v>6939</v>
      </c>
      <c r="FXE29" t="s">
        <v>6940</v>
      </c>
      <c r="FXF29" t="s">
        <v>6941</v>
      </c>
      <c r="FXG29" t="s">
        <v>6942</v>
      </c>
      <c r="FXH29" t="s">
        <v>6943</v>
      </c>
      <c r="FXI29" t="s">
        <v>6944</v>
      </c>
      <c r="FXJ29" t="s">
        <v>6945</v>
      </c>
      <c r="FXK29" t="s">
        <v>6946</v>
      </c>
      <c r="FXL29" t="s">
        <v>6947</v>
      </c>
      <c r="FXM29" t="s">
        <v>6948</v>
      </c>
      <c r="FXN29" t="s">
        <v>6949</v>
      </c>
      <c r="FXO29" t="s">
        <v>6950</v>
      </c>
      <c r="FXP29" t="s">
        <v>6951</v>
      </c>
      <c r="FXQ29" t="s">
        <v>6952</v>
      </c>
      <c r="FXR29" t="s">
        <v>6953</v>
      </c>
      <c r="FXS29" t="s">
        <v>6954</v>
      </c>
      <c r="FXT29" t="s">
        <v>6955</v>
      </c>
      <c r="FXU29" t="s">
        <v>6956</v>
      </c>
      <c r="FXV29" t="s">
        <v>6957</v>
      </c>
      <c r="FXW29" t="s">
        <v>6958</v>
      </c>
      <c r="FXX29" t="s">
        <v>6959</v>
      </c>
      <c r="FXY29" t="s">
        <v>6960</v>
      </c>
      <c r="FXZ29" t="s">
        <v>6961</v>
      </c>
      <c r="FYA29" t="s">
        <v>6962</v>
      </c>
      <c r="FYB29" t="s">
        <v>6963</v>
      </c>
      <c r="FYC29" t="s">
        <v>6964</v>
      </c>
      <c r="FYD29" t="s">
        <v>6965</v>
      </c>
      <c r="FYE29" t="s">
        <v>6966</v>
      </c>
      <c r="FYF29" t="s">
        <v>6967</v>
      </c>
      <c r="FYG29" t="s">
        <v>6968</v>
      </c>
      <c r="FYH29" t="s">
        <v>6969</v>
      </c>
      <c r="FYI29" t="s">
        <v>6970</v>
      </c>
      <c r="FYJ29" t="s">
        <v>6971</v>
      </c>
      <c r="FYK29" t="s">
        <v>6972</v>
      </c>
      <c r="FYL29" t="s">
        <v>6973</v>
      </c>
      <c r="FYM29" t="s">
        <v>6974</v>
      </c>
      <c r="FYN29" t="s">
        <v>6975</v>
      </c>
      <c r="FYO29" t="s">
        <v>6976</v>
      </c>
      <c r="FYP29" t="s">
        <v>6977</v>
      </c>
      <c r="FYQ29" t="s">
        <v>6978</v>
      </c>
      <c r="FYR29" t="s">
        <v>6979</v>
      </c>
      <c r="FYS29" t="s">
        <v>6980</v>
      </c>
      <c r="FYT29" t="s">
        <v>6981</v>
      </c>
      <c r="FYU29" t="s">
        <v>6982</v>
      </c>
      <c r="FYV29" t="s">
        <v>6983</v>
      </c>
      <c r="FYW29" t="s">
        <v>6984</v>
      </c>
      <c r="FYX29" t="s">
        <v>6985</v>
      </c>
      <c r="FYY29" t="s">
        <v>6986</v>
      </c>
      <c r="FYZ29" t="s">
        <v>6987</v>
      </c>
      <c r="FZA29" t="s">
        <v>6988</v>
      </c>
      <c r="FZB29" t="s">
        <v>6989</v>
      </c>
      <c r="FZC29" t="s">
        <v>6990</v>
      </c>
      <c r="FZD29" t="s">
        <v>6991</v>
      </c>
      <c r="FZE29" t="s">
        <v>6992</v>
      </c>
      <c r="FZF29" t="s">
        <v>6993</v>
      </c>
      <c r="FZG29" t="s">
        <v>6994</v>
      </c>
      <c r="FZH29" t="s">
        <v>6995</v>
      </c>
      <c r="FZI29" t="s">
        <v>6996</v>
      </c>
      <c r="FZJ29" t="s">
        <v>6997</v>
      </c>
      <c r="FZK29" t="s">
        <v>6998</v>
      </c>
      <c r="FZL29" t="s">
        <v>6999</v>
      </c>
      <c r="FZM29" t="s">
        <v>7000</v>
      </c>
      <c r="FZN29" t="s">
        <v>7001</v>
      </c>
      <c r="FZO29" t="s">
        <v>7002</v>
      </c>
      <c r="FZP29" t="s">
        <v>7003</v>
      </c>
      <c r="FZQ29" t="s">
        <v>7004</v>
      </c>
      <c r="FZR29" t="s">
        <v>7005</v>
      </c>
      <c r="FZS29" t="s">
        <v>7006</v>
      </c>
      <c r="FZT29" t="s">
        <v>7007</v>
      </c>
      <c r="FZU29" t="s">
        <v>7008</v>
      </c>
      <c r="FZV29" t="s">
        <v>7009</v>
      </c>
      <c r="FZW29" t="s">
        <v>7010</v>
      </c>
      <c r="FZX29" t="s">
        <v>7011</v>
      </c>
      <c r="FZY29" t="s">
        <v>7012</v>
      </c>
      <c r="FZZ29" t="s">
        <v>7013</v>
      </c>
      <c r="GAA29" t="s">
        <v>7014</v>
      </c>
      <c r="GAB29" t="s">
        <v>7015</v>
      </c>
      <c r="GAC29" t="s">
        <v>7016</v>
      </c>
      <c r="GAD29" t="s">
        <v>7017</v>
      </c>
      <c r="GAE29" t="s">
        <v>7018</v>
      </c>
      <c r="GAF29" t="s">
        <v>7019</v>
      </c>
      <c r="GAG29" t="s">
        <v>7020</v>
      </c>
      <c r="GAH29" t="s">
        <v>7021</v>
      </c>
      <c r="GAI29" t="s">
        <v>7022</v>
      </c>
      <c r="GAJ29" t="s">
        <v>7023</v>
      </c>
      <c r="GAK29" t="s">
        <v>7024</v>
      </c>
      <c r="GAL29" t="s">
        <v>7025</v>
      </c>
      <c r="GAM29" t="s">
        <v>7026</v>
      </c>
      <c r="GAN29" t="s">
        <v>7027</v>
      </c>
      <c r="GAO29" t="s">
        <v>7028</v>
      </c>
      <c r="GAP29" t="s">
        <v>7029</v>
      </c>
      <c r="GAQ29" t="s">
        <v>7030</v>
      </c>
      <c r="GAR29" t="s">
        <v>7031</v>
      </c>
      <c r="GAS29" t="s">
        <v>7032</v>
      </c>
      <c r="GAT29" t="s">
        <v>7033</v>
      </c>
      <c r="GAU29" t="s">
        <v>7034</v>
      </c>
      <c r="GAV29" t="s">
        <v>7035</v>
      </c>
      <c r="GAW29" t="s">
        <v>7036</v>
      </c>
      <c r="GAX29" t="s">
        <v>7037</v>
      </c>
      <c r="GAY29" t="s">
        <v>7038</v>
      </c>
      <c r="GAZ29" t="s">
        <v>7039</v>
      </c>
      <c r="GBA29" t="s">
        <v>7040</v>
      </c>
      <c r="GBB29" t="s">
        <v>7041</v>
      </c>
      <c r="GBC29" t="s">
        <v>7042</v>
      </c>
      <c r="GBD29" t="s">
        <v>7043</v>
      </c>
      <c r="GBE29" t="s">
        <v>7044</v>
      </c>
      <c r="GBF29" t="s">
        <v>7045</v>
      </c>
      <c r="GBG29" t="s">
        <v>7046</v>
      </c>
      <c r="GBH29" t="s">
        <v>7047</v>
      </c>
      <c r="GBI29" t="s">
        <v>7048</v>
      </c>
      <c r="GBJ29" t="s">
        <v>7049</v>
      </c>
      <c r="GBK29" t="s">
        <v>7050</v>
      </c>
      <c r="GBL29" t="s">
        <v>7051</v>
      </c>
      <c r="GBM29" t="s">
        <v>7052</v>
      </c>
      <c r="GBN29" t="s">
        <v>7053</v>
      </c>
      <c r="GBO29" t="s">
        <v>7054</v>
      </c>
      <c r="GBP29" t="s">
        <v>7055</v>
      </c>
      <c r="GBQ29" t="s">
        <v>7056</v>
      </c>
      <c r="GBR29" t="s">
        <v>7057</v>
      </c>
      <c r="GBS29" t="s">
        <v>7058</v>
      </c>
      <c r="GBT29" t="s">
        <v>7059</v>
      </c>
      <c r="GBU29" t="s">
        <v>7060</v>
      </c>
      <c r="GBV29" t="s">
        <v>7061</v>
      </c>
      <c r="GBW29" t="s">
        <v>7062</v>
      </c>
      <c r="GBX29" t="s">
        <v>7063</v>
      </c>
      <c r="GBY29" t="s">
        <v>7064</v>
      </c>
      <c r="GBZ29" t="s">
        <v>7065</v>
      </c>
      <c r="GCA29" t="s">
        <v>7066</v>
      </c>
      <c r="GCB29" t="s">
        <v>7067</v>
      </c>
      <c r="GCC29" t="s">
        <v>7068</v>
      </c>
      <c r="GCD29" t="s">
        <v>7069</v>
      </c>
      <c r="GCE29" t="s">
        <v>7070</v>
      </c>
      <c r="GCF29" t="s">
        <v>7071</v>
      </c>
      <c r="GCG29" t="s">
        <v>7072</v>
      </c>
      <c r="GCH29" t="s">
        <v>7073</v>
      </c>
      <c r="GCI29" t="s">
        <v>7074</v>
      </c>
      <c r="GCJ29" t="s">
        <v>7075</v>
      </c>
      <c r="GCK29" t="s">
        <v>7076</v>
      </c>
      <c r="GCL29" t="s">
        <v>7077</v>
      </c>
      <c r="GCM29" t="s">
        <v>7078</v>
      </c>
      <c r="GCN29" t="s">
        <v>7079</v>
      </c>
      <c r="GCO29" t="s">
        <v>7080</v>
      </c>
      <c r="GCP29" t="s">
        <v>7081</v>
      </c>
      <c r="GCQ29" t="s">
        <v>7082</v>
      </c>
      <c r="GCR29" t="s">
        <v>7083</v>
      </c>
      <c r="GCS29" t="s">
        <v>7084</v>
      </c>
      <c r="GCT29" t="s">
        <v>7085</v>
      </c>
      <c r="GCU29" t="s">
        <v>7086</v>
      </c>
      <c r="GCV29" t="s">
        <v>7087</v>
      </c>
      <c r="GCW29" t="s">
        <v>7088</v>
      </c>
      <c r="GCX29" t="s">
        <v>7089</v>
      </c>
      <c r="GCY29" t="s">
        <v>7090</v>
      </c>
      <c r="GCZ29" t="s">
        <v>7091</v>
      </c>
      <c r="GDA29" t="s">
        <v>7092</v>
      </c>
      <c r="GDB29" t="s">
        <v>7093</v>
      </c>
      <c r="GDC29" t="s">
        <v>7094</v>
      </c>
      <c r="GDD29" t="s">
        <v>7095</v>
      </c>
      <c r="GDE29" t="s">
        <v>7096</v>
      </c>
      <c r="GDF29" t="s">
        <v>7097</v>
      </c>
      <c r="GDG29" t="s">
        <v>7098</v>
      </c>
      <c r="GDH29" t="s">
        <v>7099</v>
      </c>
      <c r="GDI29" t="s">
        <v>7100</v>
      </c>
      <c r="GDJ29" t="s">
        <v>7101</v>
      </c>
      <c r="GDK29" t="s">
        <v>7102</v>
      </c>
      <c r="GDL29" t="s">
        <v>7103</v>
      </c>
      <c r="GDM29" t="s">
        <v>7104</v>
      </c>
      <c r="GDN29" t="s">
        <v>7105</v>
      </c>
      <c r="GDO29" t="s">
        <v>7106</v>
      </c>
      <c r="GDP29" t="s">
        <v>7107</v>
      </c>
      <c r="GDQ29" t="s">
        <v>7108</v>
      </c>
      <c r="GDR29" t="s">
        <v>7109</v>
      </c>
      <c r="GDS29" t="s">
        <v>7110</v>
      </c>
      <c r="GDT29" t="s">
        <v>7111</v>
      </c>
      <c r="GDU29" t="s">
        <v>7112</v>
      </c>
      <c r="GDV29" t="s">
        <v>7113</v>
      </c>
      <c r="GDW29" t="s">
        <v>7114</v>
      </c>
      <c r="GDX29" t="s">
        <v>7115</v>
      </c>
      <c r="GDY29" t="s">
        <v>7116</v>
      </c>
      <c r="GDZ29" t="s">
        <v>7117</v>
      </c>
      <c r="GEA29" t="s">
        <v>7118</v>
      </c>
      <c r="GEB29" t="s">
        <v>7119</v>
      </c>
      <c r="GEC29" t="s">
        <v>7120</v>
      </c>
      <c r="GED29" t="s">
        <v>7121</v>
      </c>
      <c r="GEE29" t="s">
        <v>7122</v>
      </c>
      <c r="GEF29" t="s">
        <v>7123</v>
      </c>
      <c r="GEG29" t="s">
        <v>7124</v>
      </c>
      <c r="GEH29" t="s">
        <v>7125</v>
      </c>
      <c r="GEI29" t="s">
        <v>7126</v>
      </c>
      <c r="GEJ29" t="s">
        <v>7127</v>
      </c>
      <c r="GEK29" t="s">
        <v>7128</v>
      </c>
      <c r="GEL29" t="s">
        <v>7129</v>
      </c>
      <c r="GEM29" t="s">
        <v>7130</v>
      </c>
      <c r="GEN29" t="s">
        <v>7131</v>
      </c>
      <c r="GEO29" t="s">
        <v>7132</v>
      </c>
      <c r="GEP29" t="s">
        <v>7133</v>
      </c>
      <c r="GEQ29" t="s">
        <v>7134</v>
      </c>
      <c r="GER29" t="s">
        <v>7135</v>
      </c>
      <c r="GES29" t="s">
        <v>7136</v>
      </c>
      <c r="GET29" t="s">
        <v>7137</v>
      </c>
      <c r="GEU29" t="s">
        <v>7138</v>
      </c>
      <c r="GEV29" t="s">
        <v>7139</v>
      </c>
      <c r="GEW29" t="s">
        <v>7140</v>
      </c>
      <c r="GEX29" t="s">
        <v>7141</v>
      </c>
      <c r="GEY29" t="s">
        <v>7142</v>
      </c>
      <c r="GEZ29" t="s">
        <v>7143</v>
      </c>
      <c r="GFA29" t="s">
        <v>7144</v>
      </c>
      <c r="GFB29" t="s">
        <v>7145</v>
      </c>
      <c r="GFC29" t="s">
        <v>7146</v>
      </c>
      <c r="GFD29" t="s">
        <v>7147</v>
      </c>
      <c r="GFE29" t="s">
        <v>7148</v>
      </c>
      <c r="GFF29" t="s">
        <v>7149</v>
      </c>
      <c r="GFG29" t="s">
        <v>7150</v>
      </c>
      <c r="GFH29" t="s">
        <v>7151</v>
      </c>
      <c r="GFI29" t="s">
        <v>7152</v>
      </c>
      <c r="GFJ29" t="s">
        <v>7153</v>
      </c>
      <c r="GFK29" t="s">
        <v>7154</v>
      </c>
      <c r="GFL29" t="s">
        <v>7155</v>
      </c>
      <c r="GFM29" t="s">
        <v>7156</v>
      </c>
      <c r="GFN29" t="s">
        <v>7157</v>
      </c>
      <c r="GFO29" t="s">
        <v>7158</v>
      </c>
      <c r="GFP29" t="s">
        <v>7159</v>
      </c>
      <c r="GFQ29" t="s">
        <v>7160</v>
      </c>
      <c r="GFR29" t="s">
        <v>7161</v>
      </c>
      <c r="GFS29" t="s">
        <v>7162</v>
      </c>
      <c r="GFT29" t="s">
        <v>7163</v>
      </c>
      <c r="GFU29" t="s">
        <v>7164</v>
      </c>
      <c r="GFV29" t="s">
        <v>7165</v>
      </c>
      <c r="GFW29" t="s">
        <v>7166</v>
      </c>
      <c r="GFX29" t="s">
        <v>7167</v>
      </c>
      <c r="GFY29" t="s">
        <v>7168</v>
      </c>
      <c r="GFZ29" t="s">
        <v>7169</v>
      </c>
      <c r="GGA29" t="s">
        <v>7170</v>
      </c>
      <c r="GGB29" t="s">
        <v>7171</v>
      </c>
      <c r="GGC29" t="s">
        <v>7172</v>
      </c>
      <c r="GGD29" t="s">
        <v>7173</v>
      </c>
      <c r="GGE29" t="s">
        <v>7174</v>
      </c>
      <c r="GGF29" t="s">
        <v>7175</v>
      </c>
      <c r="GGG29" t="s">
        <v>7176</v>
      </c>
      <c r="GGH29" t="s">
        <v>7177</v>
      </c>
      <c r="GGI29" t="s">
        <v>7178</v>
      </c>
      <c r="GGJ29" t="s">
        <v>7179</v>
      </c>
      <c r="GGK29" t="s">
        <v>7180</v>
      </c>
      <c r="GGL29" t="s">
        <v>7181</v>
      </c>
      <c r="GGM29" t="s">
        <v>7182</v>
      </c>
      <c r="GGN29" t="s">
        <v>7183</v>
      </c>
      <c r="GGO29" t="s">
        <v>7184</v>
      </c>
      <c r="GGP29" t="s">
        <v>7185</v>
      </c>
      <c r="GGQ29" t="s">
        <v>7186</v>
      </c>
      <c r="GGR29" t="s">
        <v>7187</v>
      </c>
      <c r="GGS29" t="s">
        <v>7188</v>
      </c>
      <c r="GGT29" t="s">
        <v>7189</v>
      </c>
      <c r="GGU29" t="s">
        <v>7190</v>
      </c>
      <c r="GGV29" t="s">
        <v>7191</v>
      </c>
      <c r="GGW29" t="s">
        <v>7192</v>
      </c>
      <c r="GGX29" t="s">
        <v>7193</v>
      </c>
      <c r="GGY29" t="s">
        <v>7194</v>
      </c>
      <c r="GGZ29" t="s">
        <v>7195</v>
      </c>
      <c r="GHA29" t="s">
        <v>7196</v>
      </c>
      <c r="GHB29" t="s">
        <v>7197</v>
      </c>
      <c r="GHC29" t="s">
        <v>7198</v>
      </c>
      <c r="GHD29" t="s">
        <v>7199</v>
      </c>
      <c r="GHE29" t="s">
        <v>7200</v>
      </c>
      <c r="GHF29" t="s">
        <v>7201</v>
      </c>
      <c r="GHG29" t="s">
        <v>7202</v>
      </c>
      <c r="GHH29" t="s">
        <v>7203</v>
      </c>
      <c r="GHI29" t="s">
        <v>7204</v>
      </c>
      <c r="GHJ29" t="s">
        <v>7205</v>
      </c>
      <c r="GHK29" t="s">
        <v>7206</v>
      </c>
      <c r="GHL29" t="s">
        <v>7207</v>
      </c>
      <c r="GHM29" t="s">
        <v>7208</v>
      </c>
      <c r="GHN29" t="s">
        <v>7209</v>
      </c>
      <c r="GHO29" t="s">
        <v>7210</v>
      </c>
      <c r="GHP29" t="s">
        <v>7211</v>
      </c>
      <c r="GHQ29" t="s">
        <v>7212</v>
      </c>
      <c r="GHR29" t="s">
        <v>7213</v>
      </c>
      <c r="GHS29" t="s">
        <v>7214</v>
      </c>
      <c r="GHT29" t="s">
        <v>7215</v>
      </c>
      <c r="GHU29" t="s">
        <v>7216</v>
      </c>
      <c r="GHV29" t="s">
        <v>7217</v>
      </c>
      <c r="GHW29" t="s">
        <v>7218</v>
      </c>
      <c r="GHX29" t="s">
        <v>7219</v>
      </c>
      <c r="GHY29" t="s">
        <v>7220</v>
      </c>
      <c r="GHZ29" t="s">
        <v>7221</v>
      </c>
      <c r="GIA29" t="s">
        <v>7222</v>
      </c>
      <c r="GIB29" t="s">
        <v>7223</v>
      </c>
      <c r="GIC29" t="s">
        <v>7224</v>
      </c>
      <c r="GID29" t="s">
        <v>7225</v>
      </c>
      <c r="GIE29" t="s">
        <v>7226</v>
      </c>
      <c r="GIF29" t="s">
        <v>7227</v>
      </c>
      <c r="GIG29" t="s">
        <v>7228</v>
      </c>
      <c r="GIH29" t="s">
        <v>7229</v>
      </c>
      <c r="GII29" t="s">
        <v>7230</v>
      </c>
      <c r="GIJ29" t="s">
        <v>7231</v>
      </c>
      <c r="GIK29" t="s">
        <v>7232</v>
      </c>
      <c r="GIL29" t="s">
        <v>7233</v>
      </c>
      <c r="GIM29" t="s">
        <v>7234</v>
      </c>
      <c r="GIN29" t="s">
        <v>7235</v>
      </c>
      <c r="GIO29" t="s">
        <v>7236</v>
      </c>
      <c r="GIP29" t="s">
        <v>7237</v>
      </c>
      <c r="GIQ29" t="s">
        <v>7238</v>
      </c>
      <c r="GIR29" t="s">
        <v>7239</v>
      </c>
      <c r="GIS29" t="s">
        <v>7240</v>
      </c>
      <c r="GIT29" t="s">
        <v>7241</v>
      </c>
      <c r="GIU29" t="s">
        <v>7242</v>
      </c>
      <c r="GIV29" t="s">
        <v>7243</v>
      </c>
      <c r="GIW29" t="s">
        <v>7244</v>
      </c>
      <c r="GIX29" t="s">
        <v>7245</v>
      </c>
      <c r="GIY29" t="s">
        <v>7246</v>
      </c>
      <c r="GIZ29" t="s">
        <v>7247</v>
      </c>
      <c r="GJA29" t="s">
        <v>7248</v>
      </c>
      <c r="GJB29" t="s">
        <v>7249</v>
      </c>
      <c r="GJC29" t="s">
        <v>7250</v>
      </c>
      <c r="GJD29" t="s">
        <v>7251</v>
      </c>
      <c r="GJE29" t="s">
        <v>7252</v>
      </c>
      <c r="GJF29" t="s">
        <v>7253</v>
      </c>
      <c r="GJG29" t="s">
        <v>7254</v>
      </c>
      <c r="GJH29" t="s">
        <v>7255</v>
      </c>
      <c r="GJI29" t="s">
        <v>7256</v>
      </c>
      <c r="GJJ29" t="s">
        <v>7257</v>
      </c>
      <c r="GJK29" t="s">
        <v>7258</v>
      </c>
      <c r="GJL29" t="s">
        <v>7259</v>
      </c>
      <c r="GJM29" t="s">
        <v>7260</v>
      </c>
      <c r="GJN29" t="s">
        <v>7261</v>
      </c>
      <c r="GJO29" t="s">
        <v>7262</v>
      </c>
      <c r="GJP29" t="s">
        <v>7263</v>
      </c>
      <c r="GJQ29" t="s">
        <v>7264</v>
      </c>
      <c r="GJR29" t="s">
        <v>7265</v>
      </c>
      <c r="GJS29" t="s">
        <v>7266</v>
      </c>
      <c r="GJT29" t="s">
        <v>7267</v>
      </c>
      <c r="GJU29" t="s">
        <v>7268</v>
      </c>
      <c r="GJV29" t="s">
        <v>7269</v>
      </c>
      <c r="GJW29" t="s">
        <v>7270</v>
      </c>
      <c r="GJX29" t="s">
        <v>7271</v>
      </c>
      <c r="GJY29" t="s">
        <v>7272</v>
      </c>
      <c r="GJZ29" t="s">
        <v>7273</v>
      </c>
      <c r="GKA29" t="s">
        <v>7274</v>
      </c>
      <c r="GKB29" t="s">
        <v>7275</v>
      </c>
      <c r="GKC29" t="s">
        <v>7276</v>
      </c>
      <c r="GKD29" t="s">
        <v>7277</v>
      </c>
      <c r="GKE29" t="s">
        <v>7278</v>
      </c>
      <c r="GKF29" t="s">
        <v>7279</v>
      </c>
      <c r="GKG29" t="s">
        <v>7280</v>
      </c>
      <c r="GKH29" t="s">
        <v>7281</v>
      </c>
      <c r="GKI29" t="s">
        <v>7282</v>
      </c>
      <c r="GKJ29" t="s">
        <v>7283</v>
      </c>
      <c r="GKK29" t="s">
        <v>7284</v>
      </c>
      <c r="GKL29" t="s">
        <v>7285</v>
      </c>
      <c r="GKM29" t="s">
        <v>7286</v>
      </c>
      <c r="GKN29" t="s">
        <v>7287</v>
      </c>
      <c r="GKO29" t="s">
        <v>7288</v>
      </c>
      <c r="GKP29" t="s">
        <v>7289</v>
      </c>
      <c r="GKQ29" t="s">
        <v>7290</v>
      </c>
      <c r="GKR29" t="s">
        <v>7291</v>
      </c>
      <c r="GKS29" t="s">
        <v>7292</v>
      </c>
      <c r="GKT29" t="s">
        <v>7293</v>
      </c>
      <c r="GKU29" t="s">
        <v>7294</v>
      </c>
      <c r="GKV29" t="s">
        <v>7295</v>
      </c>
      <c r="GKW29" t="s">
        <v>7296</v>
      </c>
      <c r="GKX29" t="s">
        <v>7297</v>
      </c>
      <c r="GKY29" t="s">
        <v>7298</v>
      </c>
      <c r="GKZ29" t="s">
        <v>7299</v>
      </c>
      <c r="GLA29" t="s">
        <v>7300</v>
      </c>
      <c r="GLB29" t="s">
        <v>7301</v>
      </c>
      <c r="GLC29" t="s">
        <v>7302</v>
      </c>
      <c r="GLD29" t="s">
        <v>7303</v>
      </c>
      <c r="GLE29" t="s">
        <v>7304</v>
      </c>
      <c r="GLF29" t="s">
        <v>7305</v>
      </c>
      <c r="GLG29" t="s">
        <v>7306</v>
      </c>
      <c r="GLH29" t="s">
        <v>7307</v>
      </c>
      <c r="GLI29" t="s">
        <v>7308</v>
      </c>
      <c r="GLJ29" t="s">
        <v>7309</v>
      </c>
      <c r="GLK29" t="s">
        <v>7310</v>
      </c>
      <c r="GLL29" t="s">
        <v>7311</v>
      </c>
      <c r="GLM29" t="s">
        <v>7312</v>
      </c>
      <c r="GLN29" t="s">
        <v>7313</v>
      </c>
      <c r="GLO29" t="s">
        <v>7314</v>
      </c>
      <c r="GLP29" t="s">
        <v>7315</v>
      </c>
      <c r="GLQ29" t="s">
        <v>7316</v>
      </c>
      <c r="GLR29" t="s">
        <v>7317</v>
      </c>
      <c r="GLS29" t="s">
        <v>7318</v>
      </c>
      <c r="GLT29" t="s">
        <v>7319</v>
      </c>
      <c r="GLU29" t="s">
        <v>7320</v>
      </c>
      <c r="GLV29" t="s">
        <v>7321</v>
      </c>
      <c r="GLW29" t="s">
        <v>7322</v>
      </c>
      <c r="GLX29" t="s">
        <v>7323</v>
      </c>
      <c r="GLY29" t="s">
        <v>7324</v>
      </c>
      <c r="GLZ29" t="s">
        <v>7325</v>
      </c>
      <c r="GMA29" t="s">
        <v>7326</v>
      </c>
      <c r="GMB29" t="s">
        <v>7327</v>
      </c>
      <c r="GMC29" t="s">
        <v>7328</v>
      </c>
      <c r="GMD29" t="s">
        <v>7329</v>
      </c>
      <c r="GME29" t="s">
        <v>7330</v>
      </c>
      <c r="GMF29" t="s">
        <v>7331</v>
      </c>
      <c r="GMG29" t="s">
        <v>7332</v>
      </c>
      <c r="GMH29" t="s">
        <v>7333</v>
      </c>
      <c r="GMI29" t="s">
        <v>7334</v>
      </c>
      <c r="GMJ29" t="s">
        <v>7335</v>
      </c>
      <c r="GMK29" t="s">
        <v>7336</v>
      </c>
      <c r="GML29" t="s">
        <v>7337</v>
      </c>
      <c r="GMM29" t="s">
        <v>7338</v>
      </c>
      <c r="GMN29" t="s">
        <v>7339</v>
      </c>
      <c r="GMO29" t="s">
        <v>7340</v>
      </c>
      <c r="GMP29" t="s">
        <v>7341</v>
      </c>
      <c r="GMQ29" t="s">
        <v>7342</v>
      </c>
      <c r="GMR29" t="s">
        <v>7343</v>
      </c>
      <c r="GMS29" t="s">
        <v>7344</v>
      </c>
      <c r="GMT29" t="s">
        <v>7345</v>
      </c>
      <c r="GMU29" t="s">
        <v>7346</v>
      </c>
      <c r="GMV29" t="s">
        <v>7347</v>
      </c>
      <c r="GMW29" t="s">
        <v>7348</v>
      </c>
      <c r="GMX29" t="s">
        <v>7349</v>
      </c>
      <c r="GMY29" t="s">
        <v>7350</v>
      </c>
      <c r="GMZ29" t="s">
        <v>7351</v>
      </c>
      <c r="GNA29" t="s">
        <v>7352</v>
      </c>
      <c r="GNB29" t="s">
        <v>7353</v>
      </c>
      <c r="GNC29" t="s">
        <v>7354</v>
      </c>
      <c r="GND29" t="s">
        <v>7355</v>
      </c>
      <c r="GNE29" t="s">
        <v>7356</v>
      </c>
      <c r="GNF29" t="s">
        <v>7357</v>
      </c>
      <c r="GNG29" t="s">
        <v>7358</v>
      </c>
      <c r="GNH29" t="s">
        <v>7359</v>
      </c>
      <c r="GNI29" t="s">
        <v>7360</v>
      </c>
      <c r="GNJ29" t="s">
        <v>7361</v>
      </c>
      <c r="GNK29" t="s">
        <v>7362</v>
      </c>
      <c r="GNL29" t="s">
        <v>7363</v>
      </c>
      <c r="GNM29" t="s">
        <v>7364</v>
      </c>
      <c r="GNN29" t="s">
        <v>7365</v>
      </c>
      <c r="GNO29" t="s">
        <v>7366</v>
      </c>
      <c r="GNP29" t="s">
        <v>7367</v>
      </c>
      <c r="GNQ29" t="s">
        <v>7368</v>
      </c>
      <c r="GNR29" t="s">
        <v>7369</v>
      </c>
      <c r="GNS29" t="s">
        <v>7370</v>
      </c>
      <c r="GNT29" t="s">
        <v>7371</v>
      </c>
      <c r="GNU29" t="s">
        <v>7372</v>
      </c>
      <c r="GNV29" t="s">
        <v>7373</v>
      </c>
      <c r="GNW29" t="s">
        <v>7374</v>
      </c>
      <c r="GNX29" t="s">
        <v>7375</v>
      </c>
      <c r="GNY29" t="s">
        <v>7376</v>
      </c>
      <c r="GNZ29" t="s">
        <v>7377</v>
      </c>
      <c r="GOA29" t="s">
        <v>7378</v>
      </c>
      <c r="GOB29" t="s">
        <v>7379</v>
      </c>
      <c r="GOC29" t="s">
        <v>7380</v>
      </c>
      <c r="GOD29" t="s">
        <v>7381</v>
      </c>
      <c r="GOE29" t="s">
        <v>7382</v>
      </c>
      <c r="GOF29" t="s">
        <v>7383</v>
      </c>
      <c r="GOG29" t="s">
        <v>7384</v>
      </c>
      <c r="GOH29" t="s">
        <v>7385</v>
      </c>
      <c r="GOI29" t="s">
        <v>7386</v>
      </c>
      <c r="GOJ29" t="s">
        <v>7387</v>
      </c>
      <c r="GOK29" t="s">
        <v>7388</v>
      </c>
      <c r="GOL29" t="s">
        <v>7389</v>
      </c>
      <c r="GOM29" t="s">
        <v>7390</v>
      </c>
      <c r="GON29" t="s">
        <v>7391</v>
      </c>
      <c r="GOO29" t="s">
        <v>7392</v>
      </c>
      <c r="GOP29" t="s">
        <v>7393</v>
      </c>
      <c r="GOQ29" t="s">
        <v>7394</v>
      </c>
      <c r="GOR29" t="s">
        <v>7395</v>
      </c>
      <c r="GOS29" t="s">
        <v>7396</v>
      </c>
      <c r="GOT29" t="s">
        <v>7397</v>
      </c>
      <c r="GOU29" t="s">
        <v>7398</v>
      </c>
      <c r="GOV29" t="s">
        <v>7399</v>
      </c>
      <c r="GOW29" t="s">
        <v>7400</v>
      </c>
      <c r="GOX29" t="s">
        <v>7401</v>
      </c>
      <c r="GOY29" t="s">
        <v>7402</v>
      </c>
      <c r="GOZ29" t="s">
        <v>7403</v>
      </c>
      <c r="GPA29" t="s">
        <v>7404</v>
      </c>
      <c r="GPB29" t="s">
        <v>7405</v>
      </c>
      <c r="GPC29" t="s">
        <v>7406</v>
      </c>
      <c r="GPD29" t="s">
        <v>7407</v>
      </c>
      <c r="GPE29" t="s">
        <v>7408</v>
      </c>
      <c r="GPF29" t="s">
        <v>7409</v>
      </c>
      <c r="GPG29" t="s">
        <v>7410</v>
      </c>
      <c r="GPH29" t="s">
        <v>7411</v>
      </c>
      <c r="GPI29" t="s">
        <v>7412</v>
      </c>
      <c r="GPJ29" t="s">
        <v>7413</v>
      </c>
      <c r="GPK29" t="s">
        <v>7414</v>
      </c>
      <c r="GPL29" t="s">
        <v>7415</v>
      </c>
      <c r="GPM29" t="s">
        <v>7416</v>
      </c>
      <c r="GPN29" t="s">
        <v>7417</v>
      </c>
      <c r="GPO29" t="s">
        <v>7418</v>
      </c>
      <c r="GPP29" t="s">
        <v>7419</v>
      </c>
      <c r="GPQ29" t="s">
        <v>7420</v>
      </c>
      <c r="GPR29" t="s">
        <v>7421</v>
      </c>
      <c r="GPS29" t="s">
        <v>7422</v>
      </c>
      <c r="GPT29" t="s">
        <v>7423</v>
      </c>
      <c r="GPU29" t="s">
        <v>7424</v>
      </c>
      <c r="GPV29" t="s">
        <v>7425</v>
      </c>
      <c r="GPW29" t="s">
        <v>7426</v>
      </c>
      <c r="GPX29" t="s">
        <v>7427</v>
      </c>
      <c r="GPY29" t="s">
        <v>7428</v>
      </c>
      <c r="GPZ29" t="s">
        <v>7429</v>
      </c>
      <c r="GQA29" t="s">
        <v>7430</v>
      </c>
      <c r="GQB29" t="s">
        <v>7431</v>
      </c>
      <c r="GQC29" t="s">
        <v>7432</v>
      </c>
      <c r="GQD29" t="s">
        <v>7433</v>
      </c>
      <c r="GQE29" t="s">
        <v>7434</v>
      </c>
      <c r="GQF29" t="s">
        <v>7435</v>
      </c>
      <c r="GQG29" t="s">
        <v>7436</v>
      </c>
      <c r="GQH29" t="s">
        <v>7437</v>
      </c>
      <c r="GQI29" t="s">
        <v>7438</v>
      </c>
      <c r="GQJ29" t="s">
        <v>7439</v>
      </c>
      <c r="GQK29" t="s">
        <v>7440</v>
      </c>
      <c r="GQL29" t="s">
        <v>7441</v>
      </c>
      <c r="GQM29" t="s">
        <v>7442</v>
      </c>
      <c r="GQN29" t="s">
        <v>7443</v>
      </c>
      <c r="GQO29" t="s">
        <v>7444</v>
      </c>
      <c r="GQP29" t="s">
        <v>7445</v>
      </c>
      <c r="GQQ29" t="s">
        <v>7446</v>
      </c>
      <c r="GQR29" t="s">
        <v>7447</v>
      </c>
      <c r="GQS29" t="s">
        <v>7448</v>
      </c>
      <c r="GQT29" t="s">
        <v>7449</v>
      </c>
      <c r="GQU29" t="s">
        <v>7450</v>
      </c>
      <c r="GQV29" t="s">
        <v>7451</v>
      </c>
      <c r="GQW29" t="s">
        <v>7452</v>
      </c>
      <c r="GQX29" t="s">
        <v>7453</v>
      </c>
      <c r="GQY29" t="s">
        <v>7454</v>
      </c>
      <c r="GQZ29" t="s">
        <v>7455</v>
      </c>
      <c r="GRA29" t="s">
        <v>7456</v>
      </c>
      <c r="GRB29" t="s">
        <v>7457</v>
      </c>
      <c r="GRC29" t="s">
        <v>7458</v>
      </c>
      <c r="GRD29" t="s">
        <v>7459</v>
      </c>
      <c r="GRE29" t="s">
        <v>7460</v>
      </c>
      <c r="GRF29" t="s">
        <v>7461</v>
      </c>
      <c r="GRG29" t="s">
        <v>7462</v>
      </c>
      <c r="GRH29" t="s">
        <v>7463</v>
      </c>
      <c r="GRI29" t="s">
        <v>7464</v>
      </c>
      <c r="GRJ29" t="s">
        <v>7465</v>
      </c>
      <c r="GRK29" t="s">
        <v>7466</v>
      </c>
      <c r="GRL29" t="s">
        <v>7467</v>
      </c>
      <c r="GRM29" t="s">
        <v>7468</v>
      </c>
      <c r="GRN29" t="s">
        <v>7469</v>
      </c>
      <c r="GRO29" t="s">
        <v>7470</v>
      </c>
      <c r="GRP29" t="s">
        <v>7471</v>
      </c>
      <c r="GRQ29" t="s">
        <v>7472</v>
      </c>
      <c r="GRR29" t="s">
        <v>7473</v>
      </c>
      <c r="GRS29" t="s">
        <v>7474</v>
      </c>
      <c r="GRT29" t="s">
        <v>7475</v>
      </c>
      <c r="GRU29" t="s">
        <v>7476</v>
      </c>
      <c r="GRV29" t="s">
        <v>7477</v>
      </c>
      <c r="GRW29" t="s">
        <v>7478</v>
      </c>
      <c r="GRX29" t="s">
        <v>7479</v>
      </c>
      <c r="GRY29" t="s">
        <v>7480</v>
      </c>
      <c r="GRZ29" t="s">
        <v>7481</v>
      </c>
      <c r="GSA29" t="s">
        <v>7482</v>
      </c>
      <c r="GSB29" t="s">
        <v>7483</v>
      </c>
      <c r="GSC29" t="s">
        <v>7484</v>
      </c>
      <c r="GSD29" t="s">
        <v>7485</v>
      </c>
      <c r="GSE29" t="s">
        <v>7486</v>
      </c>
      <c r="GSF29" t="s">
        <v>7487</v>
      </c>
      <c r="GSG29" t="s">
        <v>7488</v>
      </c>
      <c r="GSH29" t="s">
        <v>7489</v>
      </c>
      <c r="GSI29" t="s">
        <v>7490</v>
      </c>
      <c r="GSJ29" t="s">
        <v>7491</v>
      </c>
      <c r="GSK29" t="s">
        <v>7492</v>
      </c>
      <c r="GSL29" t="s">
        <v>7493</v>
      </c>
      <c r="GSM29" t="s">
        <v>7494</v>
      </c>
      <c r="GSN29" t="s">
        <v>7495</v>
      </c>
      <c r="GSO29" t="s">
        <v>7496</v>
      </c>
      <c r="GSP29" t="s">
        <v>7497</v>
      </c>
      <c r="GSQ29" t="s">
        <v>7498</v>
      </c>
      <c r="GSR29" t="s">
        <v>7499</v>
      </c>
      <c r="GSS29" t="s">
        <v>7500</v>
      </c>
      <c r="GST29" t="s">
        <v>7501</v>
      </c>
      <c r="GSU29" t="s">
        <v>7502</v>
      </c>
      <c r="GSV29" t="s">
        <v>7503</v>
      </c>
      <c r="GSW29" t="s">
        <v>7504</v>
      </c>
      <c r="GSX29" t="s">
        <v>7505</v>
      </c>
      <c r="GSY29" t="s">
        <v>7506</v>
      </c>
      <c r="GSZ29" t="s">
        <v>7507</v>
      </c>
      <c r="GTA29" t="s">
        <v>7508</v>
      </c>
      <c r="GTB29" t="s">
        <v>7509</v>
      </c>
      <c r="GTC29" t="s">
        <v>7510</v>
      </c>
      <c r="GTD29" t="s">
        <v>7511</v>
      </c>
      <c r="GTE29" t="s">
        <v>7512</v>
      </c>
      <c r="GTF29" t="s">
        <v>7513</v>
      </c>
      <c r="GTG29" t="s">
        <v>7514</v>
      </c>
      <c r="GTH29" t="s">
        <v>7515</v>
      </c>
      <c r="GTI29" t="s">
        <v>7516</v>
      </c>
      <c r="GTJ29" t="s">
        <v>7517</v>
      </c>
      <c r="GTK29" t="s">
        <v>7518</v>
      </c>
      <c r="GTL29" t="s">
        <v>7519</v>
      </c>
      <c r="GTM29" t="s">
        <v>7520</v>
      </c>
      <c r="GTN29" t="s">
        <v>7521</v>
      </c>
      <c r="GTO29" t="s">
        <v>7522</v>
      </c>
      <c r="GTP29" t="s">
        <v>7523</v>
      </c>
      <c r="GTQ29" t="s">
        <v>7524</v>
      </c>
      <c r="GTR29" t="s">
        <v>7525</v>
      </c>
      <c r="GTS29" t="s">
        <v>7526</v>
      </c>
      <c r="GTT29" t="s">
        <v>7527</v>
      </c>
      <c r="GTU29" t="s">
        <v>7528</v>
      </c>
      <c r="GTV29" t="s">
        <v>7529</v>
      </c>
      <c r="GTW29" t="s">
        <v>7530</v>
      </c>
      <c r="GTX29" t="s">
        <v>7531</v>
      </c>
      <c r="GTY29" t="s">
        <v>7532</v>
      </c>
      <c r="GTZ29" t="s">
        <v>7533</v>
      </c>
      <c r="GUA29" t="s">
        <v>7534</v>
      </c>
      <c r="GUB29" t="s">
        <v>7535</v>
      </c>
      <c r="GUC29" t="s">
        <v>7536</v>
      </c>
      <c r="GUD29" t="s">
        <v>7537</v>
      </c>
      <c r="GUE29" t="s">
        <v>7538</v>
      </c>
      <c r="GUF29" t="s">
        <v>7539</v>
      </c>
      <c r="GUG29" t="s">
        <v>7540</v>
      </c>
      <c r="GUH29" t="s">
        <v>7541</v>
      </c>
      <c r="GUI29" t="s">
        <v>7542</v>
      </c>
      <c r="GUJ29" t="s">
        <v>7543</v>
      </c>
      <c r="GUK29" t="s">
        <v>7544</v>
      </c>
      <c r="GUL29" t="s">
        <v>7545</v>
      </c>
      <c r="GUM29" t="s">
        <v>7546</v>
      </c>
      <c r="GUN29" t="s">
        <v>7547</v>
      </c>
      <c r="GUO29" t="s">
        <v>7548</v>
      </c>
      <c r="GUP29" t="s">
        <v>7549</v>
      </c>
      <c r="GUQ29" t="s">
        <v>7550</v>
      </c>
      <c r="GUR29" t="s">
        <v>7551</v>
      </c>
      <c r="GUS29" t="s">
        <v>7552</v>
      </c>
      <c r="GUT29" t="s">
        <v>7553</v>
      </c>
      <c r="GUU29" t="s">
        <v>7554</v>
      </c>
      <c r="GUV29" t="s">
        <v>7555</v>
      </c>
      <c r="GUW29" t="s">
        <v>7556</v>
      </c>
      <c r="GUX29" t="s">
        <v>7557</v>
      </c>
      <c r="GUY29" t="s">
        <v>7558</v>
      </c>
      <c r="GUZ29" t="s">
        <v>7559</v>
      </c>
      <c r="GVA29" t="s">
        <v>7560</v>
      </c>
      <c r="GVB29" t="s">
        <v>7561</v>
      </c>
      <c r="GVC29" t="s">
        <v>7562</v>
      </c>
      <c r="GVD29" t="s">
        <v>7563</v>
      </c>
      <c r="GVE29" t="s">
        <v>7564</v>
      </c>
      <c r="GVF29" t="s">
        <v>7565</v>
      </c>
      <c r="GVG29" t="s">
        <v>7566</v>
      </c>
      <c r="GVH29" t="s">
        <v>7567</v>
      </c>
      <c r="GVI29" t="s">
        <v>7568</v>
      </c>
      <c r="GVJ29" t="s">
        <v>7569</v>
      </c>
      <c r="GVK29" t="s">
        <v>7570</v>
      </c>
      <c r="GVL29" t="s">
        <v>7571</v>
      </c>
      <c r="GVM29" t="s">
        <v>7572</v>
      </c>
      <c r="GVN29" t="s">
        <v>7573</v>
      </c>
      <c r="GVO29" t="s">
        <v>7574</v>
      </c>
      <c r="GVP29" t="s">
        <v>7575</v>
      </c>
      <c r="GVQ29" t="s">
        <v>7576</v>
      </c>
      <c r="GVR29" t="s">
        <v>7577</v>
      </c>
      <c r="GVS29" t="s">
        <v>7578</v>
      </c>
      <c r="GVT29" t="s">
        <v>7579</v>
      </c>
      <c r="GVU29" t="s">
        <v>7580</v>
      </c>
      <c r="GVV29" t="s">
        <v>7581</v>
      </c>
      <c r="GVW29" t="s">
        <v>7582</v>
      </c>
      <c r="GVX29" t="s">
        <v>7583</v>
      </c>
      <c r="GVY29" t="s">
        <v>7584</v>
      </c>
      <c r="GVZ29" t="s">
        <v>7585</v>
      </c>
      <c r="GWA29" t="s">
        <v>7586</v>
      </c>
      <c r="GWB29" t="s">
        <v>7587</v>
      </c>
      <c r="GWC29" t="s">
        <v>7588</v>
      </c>
      <c r="GWD29" t="s">
        <v>7589</v>
      </c>
      <c r="GWE29" t="s">
        <v>7590</v>
      </c>
      <c r="GWF29" t="s">
        <v>7591</v>
      </c>
      <c r="GWG29" t="s">
        <v>7592</v>
      </c>
      <c r="GWH29" t="s">
        <v>7593</v>
      </c>
      <c r="GWI29" t="s">
        <v>7594</v>
      </c>
      <c r="GWJ29" t="s">
        <v>7595</v>
      </c>
      <c r="GWK29" t="s">
        <v>7596</v>
      </c>
      <c r="GWL29" t="s">
        <v>7597</v>
      </c>
      <c r="GWM29" t="s">
        <v>7598</v>
      </c>
      <c r="GWN29" t="s">
        <v>7599</v>
      </c>
      <c r="GWO29" t="s">
        <v>7600</v>
      </c>
      <c r="GWP29" t="s">
        <v>7601</v>
      </c>
      <c r="GWQ29" t="s">
        <v>7602</v>
      </c>
      <c r="GWR29" t="s">
        <v>7603</v>
      </c>
      <c r="GWS29" t="s">
        <v>7604</v>
      </c>
      <c r="GWT29" t="s">
        <v>7605</v>
      </c>
      <c r="GWU29" t="s">
        <v>7606</v>
      </c>
      <c r="GWV29" t="s">
        <v>7607</v>
      </c>
      <c r="GWW29" t="s">
        <v>7608</v>
      </c>
      <c r="GWX29" t="s">
        <v>7609</v>
      </c>
      <c r="GWY29" t="s">
        <v>7610</v>
      </c>
      <c r="GWZ29" t="s">
        <v>7611</v>
      </c>
      <c r="GXA29" t="s">
        <v>7612</v>
      </c>
      <c r="GXB29" t="s">
        <v>7613</v>
      </c>
      <c r="GXC29" t="s">
        <v>7614</v>
      </c>
      <c r="GXD29" t="s">
        <v>7615</v>
      </c>
      <c r="GXE29" t="s">
        <v>7616</v>
      </c>
      <c r="GXF29" t="s">
        <v>7617</v>
      </c>
      <c r="GXG29" t="s">
        <v>7618</v>
      </c>
      <c r="GXH29" t="s">
        <v>7619</v>
      </c>
      <c r="GXI29" t="s">
        <v>7620</v>
      </c>
      <c r="GXJ29" t="s">
        <v>7621</v>
      </c>
      <c r="GXK29" t="s">
        <v>7622</v>
      </c>
      <c r="GXL29" t="s">
        <v>7623</v>
      </c>
      <c r="GXM29" t="s">
        <v>7624</v>
      </c>
      <c r="GXN29" t="s">
        <v>7625</v>
      </c>
      <c r="GXO29" t="s">
        <v>7626</v>
      </c>
      <c r="GXP29" t="s">
        <v>7627</v>
      </c>
      <c r="GXQ29" t="s">
        <v>7628</v>
      </c>
      <c r="GXR29" t="s">
        <v>7629</v>
      </c>
      <c r="GXS29" t="s">
        <v>7630</v>
      </c>
      <c r="GXT29" t="s">
        <v>7631</v>
      </c>
      <c r="GXU29" t="s">
        <v>7632</v>
      </c>
      <c r="GXV29" t="s">
        <v>7633</v>
      </c>
      <c r="GXW29" t="s">
        <v>7634</v>
      </c>
      <c r="GXX29" t="s">
        <v>7635</v>
      </c>
      <c r="GXY29" t="s">
        <v>7636</v>
      </c>
      <c r="GXZ29" t="s">
        <v>7637</v>
      </c>
      <c r="GYA29" t="s">
        <v>7638</v>
      </c>
      <c r="GYB29" t="s">
        <v>7639</v>
      </c>
      <c r="GYC29" t="s">
        <v>7640</v>
      </c>
      <c r="GYD29" t="s">
        <v>7641</v>
      </c>
      <c r="GYE29" t="s">
        <v>7642</v>
      </c>
      <c r="GYF29" t="s">
        <v>7643</v>
      </c>
      <c r="GYG29" t="s">
        <v>7644</v>
      </c>
      <c r="GYH29" t="s">
        <v>7645</v>
      </c>
      <c r="GYI29" t="s">
        <v>7646</v>
      </c>
      <c r="GYJ29" t="s">
        <v>7647</v>
      </c>
      <c r="GYK29" t="s">
        <v>7648</v>
      </c>
      <c r="GYL29" t="s">
        <v>7649</v>
      </c>
      <c r="GYM29" t="s">
        <v>7650</v>
      </c>
      <c r="GYN29" t="s">
        <v>7651</v>
      </c>
      <c r="GYO29" t="s">
        <v>7652</v>
      </c>
      <c r="GYP29" t="s">
        <v>7653</v>
      </c>
      <c r="GYQ29" t="s">
        <v>7654</v>
      </c>
      <c r="GYR29" t="s">
        <v>7655</v>
      </c>
      <c r="GYS29" t="s">
        <v>7656</v>
      </c>
      <c r="GYT29" t="s">
        <v>7657</v>
      </c>
      <c r="GYU29" t="s">
        <v>7658</v>
      </c>
      <c r="GYV29" t="s">
        <v>7659</v>
      </c>
      <c r="GYW29" t="s">
        <v>7660</v>
      </c>
      <c r="GYX29" t="s">
        <v>7661</v>
      </c>
      <c r="GYY29" t="s">
        <v>7662</v>
      </c>
      <c r="GYZ29" t="s">
        <v>7663</v>
      </c>
      <c r="GZA29" t="s">
        <v>7664</v>
      </c>
      <c r="GZB29" t="s">
        <v>7665</v>
      </c>
      <c r="GZC29" t="s">
        <v>7666</v>
      </c>
      <c r="GZD29" t="s">
        <v>7667</v>
      </c>
      <c r="GZE29" t="s">
        <v>7668</v>
      </c>
      <c r="GZF29" t="s">
        <v>7669</v>
      </c>
      <c r="GZG29" t="s">
        <v>7670</v>
      </c>
      <c r="GZH29" t="s">
        <v>7671</v>
      </c>
      <c r="GZI29" t="s">
        <v>7672</v>
      </c>
      <c r="GZJ29" t="s">
        <v>7673</v>
      </c>
      <c r="GZK29" t="s">
        <v>7674</v>
      </c>
      <c r="GZL29" t="s">
        <v>7675</v>
      </c>
      <c r="GZM29" t="s">
        <v>7676</v>
      </c>
      <c r="GZN29" t="s">
        <v>7677</v>
      </c>
      <c r="GZO29" t="s">
        <v>7678</v>
      </c>
      <c r="GZP29" t="s">
        <v>7679</v>
      </c>
      <c r="GZQ29" t="s">
        <v>7680</v>
      </c>
      <c r="GZR29" t="s">
        <v>7681</v>
      </c>
      <c r="GZS29" t="s">
        <v>7682</v>
      </c>
      <c r="GZT29" t="s">
        <v>7683</v>
      </c>
      <c r="GZU29" t="s">
        <v>7684</v>
      </c>
      <c r="GZV29" t="s">
        <v>7685</v>
      </c>
      <c r="GZW29" t="s">
        <v>7686</v>
      </c>
      <c r="GZX29" t="s">
        <v>7687</v>
      </c>
      <c r="GZY29" t="s">
        <v>7688</v>
      </c>
      <c r="GZZ29" t="s">
        <v>7689</v>
      </c>
      <c r="HAA29" t="s">
        <v>7690</v>
      </c>
      <c r="HAB29" t="s">
        <v>7691</v>
      </c>
      <c r="HAC29" t="s">
        <v>7692</v>
      </c>
      <c r="HAD29" t="s">
        <v>7693</v>
      </c>
      <c r="HAE29" t="s">
        <v>7694</v>
      </c>
      <c r="HAF29" t="s">
        <v>7695</v>
      </c>
      <c r="HAG29" t="s">
        <v>7696</v>
      </c>
      <c r="HAH29" t="s">
        <v>7697</v>
      </c>
      <c r="HAI29" t="s">
        <v>7698</v>
      </c>
      <c r="HAJ29" t="s">
        <v>7699</v>
      </c>
      <c r="HAK29" t="s">
        <v>7700</v>
      </c>
      <c r="HAL29" t="s">
        <v>7701</v>
      </c>
      <c r="HAM29" t="s">
        <v>7702</v>
      </c>
      <c r="HAN29" t="s">
        <v>7703</v>
      </c>
      <c r="HAO29" t="s">
        <v>7704</v>
      </c>
      <c r="HAP29" t="s">
        <v>7705</v>
      </c>
      <c r="HAQ29" t="s">
        <v>7706</v>
      </c>
      <c r="HAR29" t="s">
        <v>7707</v>
      </c>
      <c r="HAS29" t="s">
        <v>7708</v>
      </c>
      <c r="HAT29" t="s">
        <v>7709</v>
      </c>
      <c r="HAU29" t="s">
        <v>7710</v>
      </c>
      <c r="HAV29" t="s">
        <v>7711</v>
      </c>
      <c r="HAW29" t="s">
        <v>7712</v>
      </c>
      <c r="HAX29" t="s">
        <v>7713</v>
      </c>
      <c r="HAY29" t="s">
        <v>7714</v>
      </c>
      <c r="HAZ29" t="s">
        <v>7715</v>
      </c>
      <c r="HBA29" t="s">
        <v>7716</v>
      </c>
      <c r="HBB29" t="s">
        <v>7717</v>
      </c>
      <c r="HBC29" t="s">
        <v>7718</v>
      </c>
      <c r="HBD29" t="s">
        <v>7719</v>
      </c>
      <c r="HBE29" t="s">
        <v>7720</v>
      </c>
      <c r="HBF29" t="s">
        <v>7721</v>
      </c>
      <c r="HBG29" t="s">
        <v>7722</v>
      </c>
      <c r="HBH29" t="s">
        <v>7723</v>
      </c>
      <c r="HBI29" t="s">
        <v>7724</v>
      </c>
      <c r="HBJ29" t="s">
        <v>7725</v>
      </c>
      <c r="HBK29" t="s">
        <v>7726</v>
      </c>
      <c r="HBL29" t="s">
        <v>7727</v>
      </c>
      <c r="HBM29" t="s">
        <v>7728</v>
      </c>
      <c r="HBN29" t="s">
        <v>7729</v>
      </c>
      <c r="HBO29" t="s">
        <v>7730</v>
      </c>
      <c r="HBP29" t="s">
        <v>7731</v>
      </c>
      <c r="HBQ29" t="s">
        <v>7732</v>
      </c>
      <c r="HBR29" t="s">
        <v>7733</v>
      </c>
      <c r="HBS29" t="s">
        <v>7734</v>
      </c>
      <c r="HBT29" t="s">
        <v>7735</v>
      </c>
      <c r="HBU29" t="s">
        <v>7736</v>
      </c>
      <c r="HBV29" t="s">
        <v>7737</v>
      </c>
      <c r="HBW29" t="s">
        <v>7738</v>
      </c>
      <c r="HBX29" t="s">
        <v>7739</v>
      </c>
      <c r="HBY29" t="s">
        <v>7740</v>
      </c>
      <c r="HBZ29" t="s">
        <v>7741</v>
      </c>
      <c r="HCA29" t="s">
        <v>7742</v>
      </c>
      <c r="HCB29" t="s">
        <v>7743</v>
      </c>
      <c r="HCC29" t="s">
        <v>7744</v>
      </c>
      <c r="HCD29" t="s">
        <v>7745</v>
      </c>
      <c r="HCE29" t="s">
        <v>7746</v>
      </c>
      <c r="HCF29" t="s">
        <v>7747</v>
      </c>
      <c r="HCG29" t="s">
        <v>7748</v>
      </c>
      <c r="HCH29" t="s">
        <v>7749</v>
      </c>
      <c r="HCI29" t="s">
        <v>7750</v>
      </c>
      <c r="HCJ29" t="s">
        <v>7751</v>
      </c>
      <c r="HCK29" t="s">
        <v>7752</v>
      </c>
      <c r="HCL29" t="s">
        <v>7753</v>
      </c>
      <c r="HCM29" t="s">
        <v>7754</v>
      </c>
      <c r="HCN29" t="s">
        <v>7755</v>
      </c>
      <c r="HCO29" t="s">
        <v>7756</v>
      </c>
      <c r="HCP29" t="s">
        <v>7757</v>
      </c>
      <c r="HCQ29" t="s">
        <v>7758</v>
      </c>
      <c r="HCR29" t="s">
        <v>7759</v>
      </c>
      <c r="HCS29" t="s">
        <v>7760</v>
      </c>
      <c r="HCT29" t="s">
        <v>7761</v>
      </c>
      <c r="HCU29" t="s">
        <v>7762</v>
      </c>
      <c r="HCV29" t="s">
        <v>7763</v>
      </c>
      <c r="HCW29" t="s">
        <v>7764</v>
      </c>
      <c r="HCX29" t="s">
        <v>7765</v>
      </c>
      <c r="HCY29" t="s">
        <v>7766</v>
      </c>
      <c r="HCZ29" t="s">
        <v>7767</v>
      </c>
      <c r="HDA29" t="s">
        <v>7768</v>
      </c>
      <c r="HDB29" t="s">
        <v>7769</v>
      </c>
      <c r="HDC29" t="s">
        <v>7770</v>
      </c>
      <c r="HDD29" t="s">
        <v>7771</v>
      </c>
      <c r="HDE29" t="s">
        <v>7772</v>
      </c>
      <c r="HDF29" t="s">
        <v>7773</v>
      </c>
      <c r="HDG29" t="s">
        <v>7774</v>
      </c>
      <c r="HDH29" t="s">
        <v>7775</v>
      </c>
      <c r="HDI29" t="s">
        <v>7776</v>
      </c>
      <c r="HDJ29" t="s">
        <v>7777</v>
      </c>
      <c r="HDK29" t="s">
        <v>7778</v>
      </c>
      <c r="HDL29" t="s">
        <v>7779</v>
      </c>
      <c r="HDM29" t="s">
        <v>7780</v>
      </c>
      <c r="HDN29" t="s">
        <v>7781</v>
      </c>
      <c r="HDO29" t="s">
        <v>7782</v>
      </c>
      <c r="HDP29" t="s">
        <v>7783</v>
      </c>
      <c r="HDQ29" t="s">
        <v>7784</v>
      </c>
      <c r="HDR29" t="s">
        <v>7785</v>
      </c>
      <c r="HDS29" t="s">
        <v>7786</v>
      </c>
      <c r="HDT29" t="s">
        <v>7787</v>
      </c>
      <c r="HDU29" t="s">
        <v>7788</v>
      </c>
      <c r="HDV29" t="s">
        <v>7789</v>
      </c>
      <c r="HDW29" t="s">
        <v>7790</v>
      </c>
      <c r="HDX29" t="s">
        <v>7791</v>
      </c>
      <c r="HDY29" t="s">
        <v>7792</v>
      </c>
      <c r="HDZ29" t="s">
        <v>7793</v>
      </c>
      <c r="HEA29" t="s">
        <v>7794</v>
      </c>
      <c r="HEB29" t="s">
        <v>7795</v>
      </c>
      <c r="HEC29" t="s">
        <v>7796</v>
      </c>
      <c r="HED29" t="s">
        <v>7797</v>
      </c>
      <c r="HEE29" t="s">
        <v>7798</v>
      </c>
      <c r="HEF29" t="s">
        <v>7799</v>
      </c>
      <c r="HEG29" t="s">
        <v>7800</v>
      </c>
      <c r="HEH29" t="s">
        <v>7801</v>
      </c>
      <c r="HEI29" t="s">
        <v>7802</v>
      </c>
      <c r="HEJ29" t="s">
        <v>7803</v>
      </c>
      <c r="HEK29" t="s">
        <v>7804</v>
      </c>
      <c r="HEL29" t="s">
        <v>7805</v>
      </c>
      <c r="HEM29" t="s">
        <v>7806</v>
      </c>
      <c r="HEN29" t="s">
        <v>7807</v>
      </c>
      <c r="HEO29" t="s">
        <v>7808</v>
      </c>
      <c r="HEP29" t="s">
        <v>7809</v>
      </c>
      <c r="HEQ29" t="s">
        <v>7810</v>
      </c>
      <c r="HER29" t="s">
        <v>7811</v>
      </c>
      <c r="HES29" t="s">
        <v>7812</v>
      </c>
      <c r="HET29" t="s">
        <v>7813</v>
      </c>
      <c r="HEU29" t="s">
        <v>7814</v>
      </c>
      <c r="HEV29" t="s">
        <v>7815</v>
      </c>
      <c r="HEW29" t="s">
        <v>7816</v>
      </c>
      <c r="HEX29" t="s">
        <v>7817</v>
      </c>
      <c r="HEY29" t="s">
        <v>7818</v>
      </c>
      <c r="HEZ29" t="s">
        <v>7819</v>
      </c>
      <c r="HFA29" t="s">
        <v>7820</v>
      </c>
      <c r="HFB29" t="s">
        <v>7821</v>
      </c>
      <c r="HFC29" t="s">
        <v>7822</v>
      </c>
      <c r="HFD29" t="s">
        <v>7823</v>
      </c>
      <c r="HFE29" t="s">
        <v>7824</v>
      </c>
      <c r="HFF29" t="s">
        <v>7825</v>
      </c>
      <c r="HFG29" t="s">
        <v>7826</v>
      </c>
      <c r="HFH29" t="s">
        <v>7827</v>
      </c>
      <c r="HFI29" t="s">
        <v>7828</v>
      </c>
      <c r="HFJ29" t="s">
        <v>7829</v>
      </c>
      <c r="HFK29" t="s">
        <v>7830</v>
      </c>
      <c r="HFL29" t="s">
        <v>7831</v>
      </c>
      <c r="HFM29" t="s">
        <v>7832</v>
      </c>
      <c r="HFN29" t="s">
        <v>7833</v>
      </c>
      <c r="HFO29" t="s">
        <v>7834</v>
      </c>
      <c r="HFP29" t="s">
        <v>7835</v>
      </c>
      <c r="HFQ29" t="s">
        <v>7836</v>
      </c>
      <c r="HFR29" t="s">
        <v>7837</v>
      </c>
      <c r="HFS29" t="s">
        <v>7838</v>
      </c>
      <c r="HFT29" t="s">
        <v>7839</v>
      </c>
      <c r="HFU29" t="s">
        <v>7840</v>
      </c>
      <c r="HFV29" t="s">
        <v>7841</v>
      </c>
      <c r="HFW29" t="s">
        <v>7842</v>
      </c>
      <c r="HFX29" t="s">
        <v>7843</v>
      </c>
      <c r="HFY29" t="s">
        <v>7844</v>
      </c>
      <c r="HFZ29" t="s">
        <v>7845</v>
      </c>
      <c r="HGA29" t="s">
        <v>7846</v>
      </c>
      <c r="HGB29" t="s">
        <v>7847</v>
      </c>
      <c r="HGC29" t="s">
        <v>7848</v>
      </c>
      <c r="HGD29" t="s">
        <v>7849</v>
      </c>
      <c r="HGE29" t="s">
        <v>7850</v>
      </c>
      <c r="HGF29" t="s">
        <v>7851</v>
      </c>
      <c r="HGG29" t="s">
        <v>7852</v>
      </c>
      <c r="HGH29" t="s">
        <v>7853</v>
      </c>
      <c r="HGI29" t="s">
        <v>7854</v>
      </c>
      <c r="HGJ29" t="s">
        <v>7855</v>
      </c>
      <c r="HGK29" t="s">
        <v>7856</v>
      </c>
      <c r="HGL29" t="s">
        <v>7857</v>
      </c>
      <c r="HGM29" t="s">
        <v>7858</v>
      </c>
      <c r="HGN29" t="s">
        <v>7859</v>
      </c>
      <c r="HGO29" t="s">
        <v>7860</v>
      </c>
      <c r="HGP29" t="s">
        <v>7861</v>
      </c>
      <c r="HGQ29" t="s">
        <v>7862</v>
      </c>
      <c r="HGR29" t="s">
        <v>7863</v>
      </c>
      <c r="HGS29" t="s">
        <v>7864</v>
      </c>
      <c r="HGT29" t="s">
        <v>7865</v>
      </c>
      <c r="HGU29" t="s">
        <v>7866</v>
      </c>
      <c r="HGV29" t="s">
        <v>7867</v>
      </c>
      <c r="HGW29" t="s">
        <v>7868</v>
      </c>
      <c r="HGX29" t="s">
        <v>7869</v>
      </c>
      <c r="HGY29" t="s">
        <v>7870</v>
      </c>
      <c r="HGZ29" t="s">
        <v>7871</v>
      </c>
      <c r="HHA29" t="s">
        <v>7872</v>
      </c>
      <c r="HHB29" t="s">
        <v>7873</v>
      </c>
      <c r="HHC29" t="s">
        <v>7874</v>
      </c>
      <c r="HHD29" t="s">
        <v>7875</v>
      </c>
      <c r="HHE29" t="s">
        <v>7876</v>
      </c>
      <c r="HHF29" t="s">
        <v>7877</v>
      </c>
      <c r="HHG29" t="s">
        <v>7878</v>
      </c>
      <c r="HHH29" t="s">
        <v>7879</v>
      </c>
      <c r="HHI29" t="s">
        <v>7880</v>
      </c>
      <c r="HHJ29" t="s">
        <v>7881</v>
      </c>
      <c r="HHK29" t="s">
        <v>7882</v>
      </c>
      <c r="HHL29" t="s">
        <v>7883</v>
      </c>
      <c r="HHM29" t="s">
        <v>7884</v>
      </c>
      <c r="HHN29" t="s">
        <v>7885</v>
      </c>
      <c r="HHO29" t="s">
        <v>7886</v>
      </c>
      <c r="HHP29" t="s">
        <v>7887</v>
      </c>
      <c r="HHQ29" t="s">
        <v>7888</v>
      </c>
      <c r="HHR29" t="s">
        <v>7889</v>
      </c>
      <c r="HHS29" t="s">
        <v>7890</v>
      </c>
      <c r="HHT29" t="s">
        <v>7891</v>
      </c>
      <c r="HHU29" t="s">
        <v>7892</v>
      </c>
      <c r="HHV29" t="s">
        <v>7893</v>
      </c>
      <c r="HHW29" t="s">
        <v>7894</v>
      </c>
      <c r="HHX29" t="s">
        <v>7895</v>
      </c>
      <c r="HHY29" t="s">
        <v>7896</v>
      </c>
      <c r="HHZ29" t="s">
        <v>7897</v>
      </c>
      <c r="HIA29" t="s">
        <v>7898</v>
      </c>
      <c r="HIB29" t="s">
        <v>7899</v>
      </c>
      <c r="HIC29" t="s">
        <v>7900</v>
      </c>
      <c r="HID29" t="s">
        <v>7901</v>
      </c>
      <c r="HIE29" t="s">
        <v>7902</v>
      </c>
      <c r="HIF29" t="s">
        <v>7903</v>
      </c>
      <c r="HIG29" t="s">
        <v>7904</v>
      </c>
      <c r="HIH29" t="s">
        <v>7905</v>
      </c>
      <c r="HII29" t="s">
        <v>7906</v>
      </c>
      <c r="HIJ29" t="s">
        <v>7907</v>
      </c>
      <c r="HIK29" t="s">
        <v>7908</v>
      </c>
      <c r="HIL29" t="s">
        <v>7909</v>
      </c>
      <c r="HIM29" t="s">
        <v>7910</v>
      </c>
      <c r="HIN29" t="s">
        <v>7911</v>
      </c>
      <c r="HIO29" t="s">
        <v>7912</v>
      </c>
      <c r="HIP29" t="s">
        <v>7913</v>
      </c>
      <c r="HIQ29" t="s">
        <v>7914</v>
      </c>
      <c r="HIR29" t="s">
        <v>7915</v>
      </c>
      <c r="HIS29" t="s">
        <v>7916</v>
      </c>
      <c r="HIT29" t="s">
        <v>7917</v>
      </c>
      <c r="HIU29" t="s">
        <v>7918</v>
      </c>
      <c r="HIV29" t="s">
        <v>7919</v>
      </c>
      <c r="HIW29" t="s">
        <v>7920</v>
      </c>
      <c r="HIX29" t="s">
        <v>7921</v>
      </c>
      <c r="HIY29" t="s">
        <v>7922</v>
      </c>
      <c r="HIZ29" t="s">
        <v>7923</v>
      </c>
      <c r="HJA29" t="s">
        <v>7924</v>
      </c>
      <c r="HJB29" t="s">
        <v>7925</v>
      </c>
      <c r="HJC29" t="s">
        <v>7926</v>
      </c>
      <c r="HJD29" t="s">
        <v>7927</v>
      </c>
      <c r="HJE29" t="s">
        <v>7928</v>
      </c>
      <c r="HJF29" t="s">
        <v>7929</v>
      </c>
      <c r="HJG29" t="s">
        <v>7930</v>
      </c>
      <c r="HJH29" t="s">
        <v>7931</v>
      </c>
      <c r="HJI29" t="s">
        <v>7932</v>
      </c>
      <c r="HJJ29" t="s">
        <v>7933</v>
      </c>
      <c r="HJK29" t="s">
        <v>7934</v>
      </c>
      <c r="HJL29" t="s">
        <v>7935</v>
      </c>
      <c r="HJM29" t="s">
        <v>7936</v>
      </c>
      <c r="HJN29" t="s">
        <v>7937</v>
      </c>
      <c r="HJO29" t="s">
        <v>7938</v>
      </c>
      <c r="HJP29" t="s">
        <v>7939</v>
      </c>
      <c r="HJQ29" t="s">
        <v>7940</v>
      </c>
      <c r="HJR29" t="s">
        <v>7941</v>
      </c>
      <c r="HJS29" t="s">
        <v>7942</v>
      </c>
      <c r="HJT29" t="s">
        <v>7943</v>
      </c>
      <c r="HJU29" t="s">
        <v>7944</v>
      </c>
      <c r="HJV29" t="s">
        <v>7945</v>
      </c>
      <c r="HJW29" t="s">
        <v>7946</v>
      </c>
      <c r="HJX29" t="s">
        <v>7947</v>
      </c>
      <c r="HJY29" t="s">
        <v>7948</v>
      </c>
      <c r="HJZ29" t="s">
        <v>7949</v>
      </c>
      <c r="HKA29" t="s">
        <v>7950</v>
      </c>
      <c r="HKB29" t="s">
        <v>7951</v>
      </c>
      <c r="HKC29" t="s">
        <v>7952</v>
      </c>
      <c r="HKD29" t="s">
        <v>7953</v>
      </c>
      <c r="HKE29" t="s">
        <v>7954</v>
      </c>
      <c r="HKF29" t="s">
        <v>7955</v>
      </c>
      <c r="HKG29" t="s">
        <v>7956</v>
      </c>
      <c r="HKH29" t="s">
        <v>7957</v>
      </c>
      <c r="HKI29" t="s">
        <v>7958</v>
      </c>
      <c r="HKJ29" t="s">
        <v>7959</v>
      </c>
      <c r="HKK29" t="s">
        <v>7960</v>
      </c>
      <c r="HKL29" t="s">
        <v>7961</v>
      </c>
      <c r="HKM29" t="s">
        <v>7962</v>
      </c>
      <c r="HKN29" t="s">
        <v>7963</v>
      </c>
      <c r="HKO29" t="s">
        <v>7964</v>
      </c>
      <c r="HKP29" t="s">
        <v>7965</v>
      </c>
      <c r="HKQ29" t="s">
        <v>7966</v>
      </c>
      <c r="HKR29" t="s">
        <v>7967</v>
      </c>
      <c r="HKS29" t="s">
        <v>7968</v>
      </c>
      <c r="HKT29" t="s">
        <v>7969</v>
      </c>
      <c r="HKU29" t="s">
        <v>7970</v>
      </c>
      <c r="HKV29" t="s">
        <v>7971</v>
      </c>
      <c r="HKW29" t="s">
        <v>7972</v>
      </c>
      <c r="HKX29" t="s">
        <v>7973</v>
      </c>
      <c r="HKY29" t="s">
        <v>7974</v>
      </c>
      <c r="HKZ29" t="s">
        <v>7975</v>
      </c>
      <c r="HLA29" t="s">
        <v>7976</v>
      </c>
      <c r="HLB29" t="s">
        <v>7977</v>
      </c>
      <c r="HLC29" t="s">
        <v>7978</v>
      </c>
      <c r="HLD29" t="s">
        <v>7979</v>
      </c>
      <c r="HLE29" t="s">
        <v>7980</v>
      </c>
      <c r="HLF29" t="s">
        <v>7981</v>
      </c>
      <c r="HLG29" t="s">
        <v>7982</v>
      </c>
      <c r="HLH29" t="s">
        <v>7983</v>
      </c>
      <c r="HLI29" t="s">
        <v>7984</v>
      </c>
      <c r="HLJ29" t="s">
        <v>7985</v>
      </c>
      <c r="HLK29" t="s">
        <v>7986</v>
      </c>
      <c r="HLL29" t="s">
        <v>7987</v>
      </c>
      <c r="HLM29" t="s">
        <v>7988</v>
      </c>
      <c r="HLN29" t="s">
        <v>7989</v>
      </c>
      <c r="HLO29" t="s">
        <v>7990</v>
      </c>
      <c r="HLP29" t="s">
        <v>7991</v>
      </c>
      <c r="HLQ29" t="s">
        <v>7992</v>
      </c>
      <c r="HLR29" t="s">
        <v>7993</v>
      </c>
      <c r="HLS29" t="s">
        <v>7994</v>
      </c>
      <c r="HLT29" t="s">
        <v>7995</v>
      </c>
      <c r="HLU29" t="s">
        <v>7996</v>
      </c>
      <c r="HLV29" t="s">
        <v>7997</v>
      </c>
      <c r="HLW29" t="s">
        <v>7998</v>
      </c>
      <c r="HLX29" t="s">
        <v>7999</v>
      </c>
      <c r="HLY29" t="s">
        <v>8000</v>
      </c>
      <c r="HLZ29" t="s">
        <v>8001</v>
      </c>
      <c r="HMA29" t="s">
        <v>8002</v>
      </c>
      <c r="HMB29" t="s">
        <v>8003</v>
      </c>
      <c r="HMC29" t="s">
        <v>8004</v>
      </c>
      <c r="HMD29" t="s">
        <v>8005</v>
      </c>
      <c r="HME29" t="s">
        <v>8006</v>
      </c>
      <c r="HMF29" t="s">
        <v>8007</v>
      </c>
      <c r="HMG29" t="s">
        <v>8008</v>
      </c>
      <c r="HMH29" t="s">
        <v>8009</v>
      </c>
      <c r="HMI29" t="s">
        <v>8010</v>
      </c>
      <c r="HMJ29" t="s">
        <v>8011</v>
      </c>
      <c r="HMK29" t="s">
        <v>8012</v>
      </c>
      <c r="HML29" t="s">
        <v>8013</v>
      </c>
      <c r="HMM29" t="s">
        <v>8014</v>
      </c>
      <c r="HMN29" t="s">
        <v>8015</v>
      </c>
      <c r="HMO29" t="s">
        <v>8016</v>
      </c>
      <c r="HMP29" t="s">
        <v>8017</v>
      </c>
      <c r="HMQ29" t="s">
        <v>8018</v>
      </c>
      <c r="HMR29" t="s">
        <v>8019</v>
      </c>
      <c r="HMS29" t="s">
        <v>8020</v>
      </c>
      <c r="HMT29" t="s">
        <v>8021</v>
      </c>
      <c r="HMU29" t="s">
        <v>8022</v>
      </c>
      <c r="HMV29" t="s">
        <v>8023</v>
      </c>
      <c r="HMW29" t="s">
        <v>8024</v>
      </c>
      <c r="HMX29" t="s">
        <v>8025</v>
      </c>
      <c r="HMY29" t="s">
        <v>8026</v>
      </c>
      <c r="HMZ29" t="s">
        <v>8027</v>
      </c>
      <c r="HNA29" t="s">
        <v>8028</v>
      </c>
      <c r="HNB29" t="s">
        <v>8029</v>
      </c>
      <c r="HNC29" t="s">
        <v>8030</v>
      </c>
      <c r="HND29" t="s">
        <v>8031</v>
      </c>
      <c r="HNE29" t="s">
        <v>8032</v>
      </c>
      <c r="HNF29" t="s">
        <v>8033</v>
      </c>
      <c r="HNG29" t="s">
        <v>8034</v>
      </c>
      <c r="HNH29" t="s">
        <v>8035</v>
      </c>
      <c r="HNI29" t="s">
        <v>8036</v>
      </c>
      <c r="HNJ29" t="s">
        <v>8037</v>
      </c>
      <c r="HNK29" t="s">
        <v>8038</v>
      </c>
      <c r="HNL29" t="s">
        <v>8039</v>
      </c>
      <c r="HNM29" t="s">
        <v>8040</v>
      </c>
      <c r="HNN29" t="s">
        <v>8041</v>
      </c>
      <c r="HNO29" t="s">
        <v>8042</v>
      </c>
      <c r="HNP29" t="s">
        <v>8043</v>
      </c>
      <c r="HNQ29" t="s">
        <v>8044</v>
      </c>
      <c r="HNR29" t="s">
        <v>8045</v>
      </c>
      <c r="HNS29" t="s">
        <v>8046</v>
      </c>
      <c r="HNT29" t="s">
        <v>8047</v>
      </c>
      <c r="HNU29" t="s">
        <v>8048</v>
      </c>
      <c r="HNV29" t="s">
        <v>8049</v>
      </c>
      <c r="HNW29" t="s">
        <v>8050</v>
      </c>
      <c r="HNX29" t="s">
        <v>8051</v>
      </c>
      <c r="HNY29" t="s">
        <v>8052</v>
      </c>
      <c r="HNZ29" t="s">
        <v>8053</v>
      </c>
      <c r="HOA29" t="s">
        <v>8054</v>
      </c>
      <c r="HOB29" t="s">
        <v>8055</v>
      </c>
      <c r="HOC29" t="s">
        <v>8056</v>
      </c>
      <c r="HOD29" t="s">
        <v>8057</v>
      </c>
      <c r="HOE29" t="s">
        <v>8058</v>
      </c>
      <c r="HOF29" t="s">
        <v>8059</v>
      </c>
      <c r="HOG29" t="s">
        <v>8060</v>
      </c>
      <c r="HOH29" t="s">
        <v>8061</v>
      </c>
      <c r="HOI29" t="s">
        <v>8062</v>
      </c>
      <c r="HOJ29" t="s">
        <v>8063</v>
      </c>
      <c r="HOK29" t="s">
        <v>8064</v>
      </c>
      <c r="HOL29" t="s">
        <v>8065</v>
      </c>
      <c r="HOM29" t="s">
        <v>8066</v>
      </c>
      <c r="HON29" t="s">
        <v>8067</v>
      </c>
      <c r="HOO29" t="s">
        <v>8068</v>
      </c>
      <c r="HOP29" t="s">
        <v>8069</v>
      </c>
      <c r="HOQ29" t="s">
        <v>8070</v>
      </c>
      <c r="HOR29" t="s">
        <v>8071</v>
      </c>
      <c r="HOS29" t="s">
        <v>8072</v>
      </c>
      <c r="HOT29" t="s">
        <v>8073</v>
      </c>
      <c r="HOU29" t="s">
        <v>8074</v>
      </c>
      <c r="HOV29" t="s">
        <v>8075</v>
      </c>
      <c r="HOW29" t="s">
        <v>8076</v>
      </c>
      <c r="HOX29" t="s">
        <v>8077</v>
      </c>
      <c r="HOY29" t="s">
        <v>8078</v>
      </c>
      <c r="HOZ29" t="s">
        <v>8079</v>
      </c>
      <c r="HPA29" t="s">
        <v>8080</v>
      </c>
      <c r="HPB29" t="s">
        <v>8081</v>
      </c>
      <c r="HPC29" t="s">
        <v>8082</v>
      </c>
      <c r="HPD29" t="s">
        <v>8083</v>
      </c>
      <c r="HPE29" t="s">
        <v>8084</v>
      </c>
      <c r="HPF29" t="s">
        <v>8085</v>
      </c>
      <c r="HPG29" t="s">
        <v>8086</v>
      </c>
      <c r="HPH29" t="s">
        <v>8087</v>
      </c>
      <c r="HPI29" t="s">
        <v>8088</v>
      </c>
      <c r="HPJ29" t="s">
        <v>8089</v>
      </c>
      <c r="HPK29" t="s">
        <v>8090</v>
      </c>
      <c r="HPL29" t="s">
        <v>8091</v>
      </c>
      <c r="HPM29" t="s">
        <v>8092</v>
      </c>
      <c r="HPN29" t="s">
        <v>8093</v>
      </c>
      <c r="HPO29" t="s">
        <v>8094</v>
      </c>
      <c r="HPP29" t="s">
        <v>8095</v>
      </c>
      <c r="HPQ29" t="s">
        <v>8096</v>
      </c>
      <c r="HPR29" t="s">
        <v>8097</v>
      </c>
      <c r="HPS29" t="s">
        <v>8098</v>
      </c>
      <c r="HPT29" t="s">
        <v>8099</v>
      </c>
      <c r="HPU29" t="s">
        <v>8100</v>
      </c>
      <c r="HPV29" t="s">
        <v>8101</v>
      </c>
      <c r="HPW29" t="s">
        <v>8102</v>
      </c>
      <c r="HPX29" t="s">
        <v>8103</v>
      </c>
      <c r="HPY29" t="s">
        <v>8104</v>
      </c>
      <c r="HPZ29" t="s">
        <v>8105</v>
      </c>
      <c r="HQA29" t="s">
        <v>8106</v>
      </c>
      <c r="HQB29" t="s">
        <v>8107</v>
      </c>
      <c r="HQC29" t="s">
        <v>8108</v>
      </c>
      <c r="HQD29" t="s">
        <v>8109</v>
      </c>
      <c r="HQE29" t="s">
        <v>8110</v>
      </c>
      <c r="HQF29" t="s">
        <v>8111</v>
      </c>
      <c r="HQG29" t="s">
        <v>8112</v>
      </c>
      <c r="HQH29" t="s">
        <v>8113</v>
      </c>
      <c r="HQI29" t="s">
        <v>8114</v>
      </c>
      <c r="HQJ29" t="s">
        <v>8115</v>
      </c>
      <c r="HQK29" t="s">
        <v>8116</v>
      </c>
      <c r="HQL29" t="s">
        <v>8117</v>
      </c>
      <c r="HQM29" t="s">
        <v>8118</v>
      </c>
      <c r="HQN29" t="s">
        <v>8119</v>
      </c>
      <c r="HQO29" t="s">
        <v>8120</v>
      </c>
      <c r="HQP29" t="s">
        <v>8121</v>
      </c>
      <c r="HQQ29" t="s">
        <v>8122</v>
      </c>
      <c r="HQR29" t="s">
        <v>8123</v>
      </c>
      <c r="HQS29" t="s">
        <v>8124</v>
      </c>
      <c r="HQT29" t="s">
        <v>8125</v>
      </c>
      <c r="HQU29" t="s">
        <v>8126</v>
      </c>
      <c r="HQV29" t="s">
        <v>8127</v>
      </c>
      <c r="HQW29" t="s">
        <v>8128</v>
      </c>
      <c r="HQX29" t="s">
        <v>8129</v>
      </c>
      <c r="HQY29" t="s">
        <v>8130</v>
      </c>
      <c r="HQZ29" t="s">
        <v>8131</v>
      </c>
      <c r="HRA29" t="s">
        <v>8132</v>
      </c>
      <c r="HRB29" t="s">
        <v>8133</v>
      </c>
      <c r="HRC29" t="s">
        <v>8134</v>
      </c>
      <c r="HRD29" t="s">
        <v>8135</v>
      </c>
      <c r="HRE29" t="s">
        <v>8136</v>
      </c>
      <c r="HRF29" t="s">
        <v>8137</v>
      </c>
      <c r="HRG29" t="s">
        <v>8138</v>
      </c>
      <c r="HRH29" t="s">
        <v>8139</v>
      </c>
      <c r="HRI29" t="s">
        <v>8140</v>
      </c>
      <c r="HRJ29" t="s">
        <v>8141</v>
      </c>
      <c r="HRK29" t="s">
        <v>8142</v>
      </c>
      <c r="HRL29" t="s">
        <v>8143</v>
      </c>
      <c r="HRM29" t="s">
        <v>8144</v>
      </c>
      <c r="HRN29" t="s">
        <v>8145</v>
      </c>
      <c r="HRO29" t="s">
        <v>8146</v>
      </c>
      <c r="HRP29" t="s">
        <v>8147</v>
      </c>
      <c r="HRQ29" t="s">
        <v>8148</v>
      </c>
      <c r="HRR29" t="s">
        <v>8149</v>
      </c>
      <c r="HRS29" t="s">
        <v>8150</v>
      </c>
      <c r="HRT29" t="s">
        <v>8151</v>
      </c>
      <c r="HRU29" t="s">
        <v>8152</v>
      </c>
      <c r="HRV29" t="s">
        <v>8153</v>
      </c>
      <c r="HRW29" t="s">
        <v>8154</v>
      </c>
      <c r="HRX29" t="s">
        <v>8155</v>
      </c>
      <c r="HRY29" t="s">
        <v>8156</v>
      </c>
      <c r="HRZ29" t="s">
        <v>8157</v>
      </c>
      <c r="HSA29" t="s">
        <v>8158</v>
      </c>
      <c r="HSB29" t="s">
        <v>8159</v>
      </c>
      <c r="HSC29" t="s">
        <v>8160</v>
      </c>
      <c r="HSD29" t="s">
        <v>8161</v>
      </c>
      <c r="HSE29" t="s">
        <v>8162</v>
      </c>
      <c r="HSF29" t="s">
        <v>8163</v>
      </c>
      <c r="HSG29" t="s">
        <v>8164</v>
      </c>
      <c r="HSH29" t="s">
        <v>8165</v>
      </c>
      <c r="HSI29" t="s">
        <v>8166</v>
      </c>
      <c r="HSJ29" t="s">
        <v>8167</v>
      </c>
      <c r="HSK29" t="s">
        <v>8168</v>
      </c>
      <c r="HSL29" t="s">
        <v>8169</v>
      </c>
      <c r="HSM29" t="s">
        <v>8170</v>
      </c>
      <c r="HSN29" t="s">
        <v>8171</v>
      </c>
      <c r="HSO29" t="s">
        <v>8172</v>
      </c>
      <c r="HSP29" t="s">
        <v>8173</v>
      </c>
      <c r="HSQ29" t="s">
        <v>8174</v>
      </c>
      <c r="HSR29" t="s">
        <v>8175</v>
      </c>
      <c r="HSS29" t="s">
        <v>8176</v>
      </c>
      <c r="HST29" t="s">
        <v>8177</v>
      </c>
      <c r="HSU29" t="s">
        <v>8178</v>
      </c>
      <c r="HSV29" t="s">
        <v>8179</v>
      </c>
      <c r="HSW29" t="s">
        <v>8180</v>
      </c>
      <c r="HSX29" t="s">
        <v>8181</v>
      </c>
      <c r="HSY29" t="s">
        <v>8182</v>
      </c>
      <c r="HSZ29" t="s">
        <v>8183</v>
      </c>
      <c r="HTA29" t="s">
        <v>8184</v>
      </c>
      <c r="HTB29" t="s">
        <v>8185</v>
      </c>
      <c r="HTC29" t="s">
        <v>8186</v>
      </c>
      <c r="HTD29" t="s">
        <v>8187</v>
      </c>
      <c r="HTE29" t="s">
        <v>8188</v>
      </c>
      <c r="HTF29" t="s">
        <v>8189</v>
      </c>
      <c r="HTG29" t="s">
        <v>8190</v>
      </c>
      <c r="HTH29" t="s">
        <v>8191</v>
      </c>
      <c r="HTI29" t="s">
        <v>8192</v>
      </c>
      <c r="HTJ29" t="s">
        <v>8193</v>
      </c>
      <c r="HTK29" t="s">
        <v>8194</v>
      </c>
      <c r="HTL29" t="s">
        <v>8195</v>
      </c>
      <c r="HTM29" t="s">
        <v>8196</v>
      </c>
      <c r="HTN29" t="s">
        <v>8197</v>
      </c>
      <c r="HTO29" t="s">
        <v>8198</v>
      </c>
      <c r="HTP29" t="s">
        <v>8199</v>
      </c>
      <c r="HTQ29" t="s">
        <v>8200</v>
      </c>
      <c r="HTR29" t="s">
        <v>8201</v>
      </c>
      <c r="HTS29" t="s">
        <v>8202</v>
      </c>
      <c r="HTT29" t="s">
        <v>8203</v>
      </c>
      <c r="HTU29" t="s">
        <v>8204</v>
      </c>
      <c r="HTV29" t="s">
        <v>8205</v>
      </c>
      <c r="HTW29" t="s">
        <v>8206</v>
      </c>
      <c r="HTX29" t="s">
        <v>8207</v>
      </c>
      <c r="HTY29" t="s">
        <v>8208</v>
      </c>
      <c r="HTZ29" t="s">
        <v>8209</v>
      </c>
      <c r="HUA29" t="s">
        <v>8210</v>
      </c>
      <c r="HUB29" t="s">
        <v>8211</v>
      </c>
      <c r="HUC29" t="s">
        <v>8212</v>
      </c>
      <c r="HUD29" t="s">
        <v>8213</v>
      </c>
      <c r="HUE29" t="s">
        <v>8214</v>
      </c>
      <c r="HUF29" t="s">
        <v>8215</v>
      </c>
      <c r="HUG29" t="s">
        <v>8216</v>
      </c>
      <c r="HUH29" t="s">
        <v>8217</v>
      </c>
      <c r="HUI29" t="s">
        <v>8218</v>
      </c>
      <c r="HUJ29" t="s">
        <v>8219</v>
      </c>
      <c r="HUK29" t="s">
        <v>8220</v>
      </c>
      <c r="HUL29" t="s">
        <v>8221</v>
      </c>
      <c r="HUM29" t="s">
        <v>8222</v>
      </c>
      <c r="HUN29" t="s">
        <v>8223</v>
      </c>
      <c r="HUO29" t="s">
        <v>8224</v>
      </c>
      <c r="HUP29" t="s">
        <v>8225</v>
      </c>
      <c r="HUQ29" t="s">
        <v>8226</v>
      </c>
      <c r="HUR29" t="s">
        <v>8227</v>
      </c>
      <c r="HUS29" t="s">
        <v>8228</v>
      </c>
      <c r="HUT29" t="s">
        <v>8229</v>
      </c>
      <c r="HUU29" t="s">
        <v>8230</v>
      </c>
      <c r="HUV29" t="s">
        <v>8231</v>
      </c>
      <c r="HUW29" t="s">
        <v>8232</v>
      </c>
      <c r="HUX29" t="s">
        <v>8233</v>
      </c>
      <c r="HUY29" t="s">
        <v>8234</v>
      </c>
      <c r="HUZ29" t="s">
        <v>8235</v>
      </c>
      <c r="HVA29" t="s">
        <v>8236</v>
      </c>
      <c r="HVB29" t="s">
        <v>8237</v>
      </c>
      <c r="HVC29" t="s">
        <v>8238</v>
      </c>
      <c r="HVD29" t="s">
        <v>8239</v>
      </c>
      <c r="HVE29" t="s">
        <v>8240</v>
      </c>
      <c r="HVF29" t="s">
        <v>8241</v>
      </c>
      <c r="HVG29" t="s">
        <v>8242</v>
      </c>
      <c r="HVH29" t="s">
        <v>8243</v>
      </c>
      <c r="HVI29" t="s">
        <v>8244</v>
      </c>
      <c r="HVJ29" t="s">
        <v>8245</v>
      </c>
      <c r="HVK29" t="s">
        <v>8246</v>
      </c>
      <c r="HVL29" t="s">
        <v>8247</v>
      </c>
      <c r="HVM29" t="s">
        <v>8248</v>
      </c>
      <c r="HVN29" t="s">
        <v>8249</v>
      </c>
      <c r="HVO29" t="s">
        <v>8250</v>
      </c>
      <c r="HVP29" t="s">
        <v>8251</v>
      </c>
      <c r="HVQ29" t="s">
        <v>8252</v>
      </c>
      <c r="HVR29" t="s">
        <v>8253</v>
      </c>
      <c r="HVS29" t="s">
        <v>8254</v>
      </c>
      <c r="HVT29" t="s">
        <v>8255</v>
      </c>
      <c r="HVU29" t="s">
        <v>8256</v>
      </c>
      <c r="HVV29" t="s">
        <v>8257</v>
      </c>
      <c r="HVW29" t="s">
        <v>8258</v>
      </c>
      <c r="HVX29" t="s">
        <v>8259</v>
      </c>
      <c r="HVY29" t="s">
        <v>8260</v>
      </c>
      <c r="HVZ29" t="s">
        <v>8261</v>
      </c>
      <c r="HWA29" t="s">
        <v>8262</v>
      </c>
      <c r="HWB29" t="s">
        <v>8263</v>
      </c>
      <c r="HWC29" t="s">
        <v>8264</v>
      </c>
      <c r="HWD29" t="s">
        <v>8265</v>
      </c>
      <c r="HWE29" t="s">
        <v>8266</v>
      </c>
      <c r="HWF29" t="s">
        <v>8267</v>
      </c>
      <c r="HWG29" t="s">
        <v>8268</v>
      </c>
      <c r="HWH29" t="s">
        <v>8269</v>
      </c>
      <c r="HWI29" t="s">
        <v>8270</v>
      </c>
      <c r="HWJ29" t="s">
        <v>8271</v>
      </c>
      <c r="HWK29" t="s">
        <v>8272</v>
      </c>
      <c r="HWL29" t="s">
        <v>8273</v>
      </c>
      <c r="HWM29" t="s">
        <v>8274</v>
      </c>
      <c r="HWN29" t="s">
        <v>8275</v>
      </c>
      <c r="HWO29" t="s">
        <v>8276</v>
      </c>
      <c r="HWP29" t="s">
        <v>8277</v>
      </c>
      <c r="HWQ29" t="s">
        <v>8278</v>
      </c>
      <c r="HWR29" t="s">
        <v>8279</v>
      </c>
      <c r="HWS29" t="s">
        <v>8280</v>
      </c>
      <c r="HWT29" t="s">
        <v>8281</v>
      </c>
      <c r="HWU29" t="s">
        <v>8282</v>
      </c>
      <c r="HWV29" t="s">
        <v>8283</v>
      </c>
      <c r="HWW29" t="s">
        <v>8284</v>
      </c>
      <c r="HWX29" t="s">
        <v>8285</v>
      </c>
      <c r="HWY29" t="s">
        <v>8286</v>
      </c>
      <c r="HWZ29" t="s">
        <v>8287</v>
      </c>
      <c r="HXA29" t="s">
        <v>8288</v>
      </c>
      <c r="HXB29" t="s">
        <v>8289</v>
      </c>
      <c r="HXC29" t="s">
        <v>8290</v>
      </c>
      <c r="HXD29" t="s">
        <v>8291</v>
      </c>
      <c r="HXE29" t="s">
        <v>8292</v>
      </c>
      <c r="HXF29" t="s">
        <v>8293</v>
      </c>
      <c r="HXG29" t="s">
        <v>8294</v>
      </c>
      <c r="HXH29" t="s">
        <v>8295</v>
      </c>
      <c r="HXI29" t="s">
        <v>8296</v>
      </c>
      <c r="HXJ29" t="s">
        <v>8297</v>
      </c>
      <c r="HXK29" t="s">
        <v>8298</v>
      </c>
      <c r="HXL29" t="s">
        <v>8299</v>
      </c>
      <c r="HXM29" t="s">
        <v>8300</v>
      </c>
      <c r="HXN29" t="s">
        <v>8301</v>
      </c>
      <c r="HXO29" t="s">
        <v>8302</v>
      </c>
      <c r="HXP29" t="s">
        <v>8303</v>
      </c>
      <c r="HXQ29" t="s">
        <v>8304</v>
      </c>
      <c r="HXR29" t="s">
        <v>8305</v>
      </c>
      <c r="HXS29" t="s">
        <v>8306</v>
      </c>
      <c r="HXT29" t="s">
        <v>8307</v>
      </c>
      <c r="HXU29" t="s">
        <v>8308</v>
      </c>
      <c r="HXV29" t="s">
        <v>8309</v>
      </c>
      <c r="HXW29" t="s">
        <v>8310</v>
      </c>
      <c r="HXX29" t="s">
        <v>8311</v>
      </c>
      <c r="HXY29" t="s">
        <v>8312</v>
      </c>
      <c r="HXZ29" t="s">
        <v>8313</v>
      </c>
      <c r="HYA29" t="s">
        <v>8314</v>
      </c>
      <c r="HYB29" t="s">
        <v>8315</v>
      </c>
      <c r="HYC29" t="s">
        <v>8316</v>
      </c>
      <c r="HYD29" t="s">
        <v>8317</v>
      </c>
      <c r="HYE29" t="s">
        <v>8318</v>
      </c>
      <c r="HYF29" t="s">
        <v>8319</v>
      </c>
      <c r="HYG29" t="s">
        <v>8320</v>
      </c>
      <c r="HYH29" t="s">
        <v>8321</v>
      </c>
      <c r="HYI29" t="s">
        <v>8322</v>
      </c>
      <c r="HYJ29" t="s">
        <v>8323</v>
      </c>
      <c r="HYK29" t="s">
        <v>8324</v>
      </c>
      <c r="HYL29" t="s">
        <v>8325</v>
      </c>
      <c r="HYM29" t="s">
        <v>8326</v>
      </c>
      <c r="HYN29" t="s">
        <v>8327</v>
      </c>
      <c r="HYO29" t="s">
        <v>8328</v>
      </c>
      <c r="HYP29" t="s">
        <v>8329</v>
      </c>
      <c r="HYQ29" t="s">
        <v>8330</v>
      </c>
      <c r="HYR29" t="s">
        <v>8331</v>
      </c>
      <c r="HYS29" t="s">
        <v>8332</v>
      </c>
      <c r="HYT29" t="s">
        <v>8333</v>
      </c>
      <c r="HYU29" t="s">
        <v>8334</v>
      </c>
      <c r="HYV29" t="s">
        <v>8335</v>
      </c>
      <c r="HYW29" t="s">
        <v>8336</v>
      </c>
      <c r="HYX29" t="s">
        <v>8337</v>
      </c>
      <c r="HYY29" t="s">
        <v>8338</v>
      </c>
      <c r="HYZ29" t="s">
        <v>8339</v>
      </c>
      <c r="HZA29" t="s">
        <v>8340</v>
      </c>
      <c r="HZB29" t="s">
        <v>8341</v>
      </c>
      <c r="HZC29" t="s">
        <v>8342</v>
      </c>
      <c r="HZD29" t="s">
        <v>8343</v>
      </c>
      <c r="HZE29" t="s">
        <v>8344</v>
      </c>
      <c r="HZF29" t="s">
        <v>8345</v>
      </c>
      <c r="HZG29" t="s">
        <v>8346</v>
      </c>
      <c r="HZH29" t="s">
        <v>8347</v>
      </c>
      <c r="HZI29" t="s">
        <v>8348</v>
      </c>
      <c r="HZJ29" t="s">
        <v>8349</v>
      </c>
      <c r="HZK29" t="s">
        <v>8350</v>
      </c>
      <c r="HZL29" t="s">
        <v>8351</v>
      </c>
      <c r="HZM29" t="s">
        <v>8352</v>
      </c>
      <c r="HZN29" t="s">
        <v>8353</v>
      </c>
      <c r="HZO29" t="s">
        <v>8354</v>
      </c>
      <c r="HZP29" t="s">
        <v>8355</v>
      </c>
      <c r="HZQ29" t="s">
        <v>8356</v>
      </c>
      <c r="HZR29" t="s">
        <v>8357</v>
      </c>
      <c r="HZS29" t="s">
        <v>8358</v>
      </c>
      <c r="HZT29" t="s">
        <v>8359</v>
      </c>
      <c r="HZU29" t="s">
        <v>8360</v>
      </c>
      <c r="HZV29" t="s">
        <v>8361</v>
      </c>
      <c r="HZW29" t="s">
        <v>8362</v>
      </c>
      <c r="HZX29" t="s">
        <v>8363</v>
      </c>
      <c r="HZY29" t="s">
        <v>8364</v>
      </c>
      <c r="HZZ29" t="s">
        <v>8365</v>
      </c>
      <c r="IAA29" t="s">
        <v>8366</v>
      </c>
      <c r="IAB29" t="s">
        <v>8367</v>
      </c>
      <c r="IAC29" t="s">
        <v>8368</v>
      </c>
      <c r="IAD29" t="s">
        <v>8369</v>
      </c>
      <c r="IAE29" t="s">
        <v>8370</v>
      </c>
      <c r="IAF29" t="s">
        <v>8371</v>
      </c>
      <c r="IAG29" t="s">
        <v>8372</v>
      </c>
      <c r="IAH29" t="s">
        <v>8373</v>
      </c>
      <c r="IAI29" t="s">
        <v>8374</v>
      </c>
      <c r="IAJ29" t="s">
        <v>8375</v>
      </c>
      <c r="IAK29" t="s">
        <v>8376</v>
      </c>
      <c r="IAL29" t="s">
        <v>8377</v>
      </c>
      <c r="IAM29" t="s">
        <v>8378</v>
      </c>
      <c r="IAN29" t="s">
        <v>8379</v>
      </c>
      <c r="IAO29" t="s">
        <v>8380</v>
      </c>
      <c r="IAP29" t="s">
        <v>8381</v>
      </c>
      <c r="IAQ29" t="s">
        <v>8382</v>
      </c>
      <c r="IAR29" t="s">
        <v>8383</v>
      </c>
      <c r="IAS29" t="s">
        <v>8384</v>
      </c>
      <c r="IAT29" t="s">
        <v>8385</v>
      </c>
      <c r="IAU29" t="s">
        <v>8386</v>
      </c>
      <c r="IAV29" t="s">
        <v>8387</v>
      </c>
      <c r="IAW29" t="s">
        <v>8388</v>
      </c>
      <c r="IAX29" t="s">
        <v>8389</v>
      </c>
      <c r="IAY29" t="s">
        <v>8390</v>
      </c>
      <c r="IAZ29" t="s">
        <v>8391</v>
      </c>
      <c r="IBA29" t="s">
        <v>8392</v>
      </c>
      <c r="IBB29" t="s">
        <v>8393</v>
      </c>
      <c r="IBC29" t="s">
        <v>8394</v>
      </c>
      <c r="IBD29" t="s">
        <v>8395</v>
      </c>
      <c r="IBE29" t="s">
        <v>8396</v>
      </c>
      <c r="IBF29" t="s">
        <v>8397</v>
      </c>
      <c r="IBG29" t="s">
        <v>8398</v>
      </c>
      <c r="IBH29" t="s">
        <v>8399</v>
      </c>
      <c r="IBI29" t="s">
        <v>8400</v>
      </c>
      <c r="IBJ29" t="s">
        <v>8401</v>
      </c>
      <c r="IBK29" t="s">
        <v>8402</v>
      </c>
      <c r="IBL29" t="s">
        <v>8403</v>
      </c>
      <c r="IBM29" t="s">
        <v>8404</v>
      </c>
      <c r="IBN29" t="s">
        <v>8405</v>
      </c>
      <c r="IBO29" t="s">
        <v>8406</v>
      </c>
      <c r="IBP29" t="s">
        <v>8407</v>
      </c>
      <c r="IBQ29" t="s">
        <v>8408</v>
      </c>
      <c r="IBR29" t="s">
        <v>8409</v>
      </c>
      <c r="IBS29" t="s">
        <v>8410</v>
      </c>
      <c r="IBT29" t="s">
        <v>8411</v>
      </c>
      <c r="IBU29" t="s">
        <v>8412</v>
      </c>
      <c r="IBV29" t="s">
        <v>8413</v>
      </c>
      <c r="IBW29" t="s">
        <v>8414</v>
      </c>
      <c r="IBX29" t="s">
        <v>8415</v>
      </c>
      <c r="IBY29" t="s">
        <v>8416</v>
      </c>
      <c r="IBZ29" t="s">
        <v>8417</v>
      </c>
      <c r="ICA29" t="s">
        <v>8418</v>
      </c>
      <c r="ICB29" t="s">
        <v>8419</v>
      </c>
      <c r="ICC29" t="s">
        <v>8420</v>
      </c>
      <c r="ICD29" t="s">
        <v>8421</v>
      </c>
      <c r="ICE29" t="s">
        <v>8422</v>
      </c>
      <c r="ICF29" t="s">
        <v>8423</v>
      </c>
      <c r="ICG29" t="s">
        <v>8424</v>
      </c>
      <c r="ICH29" t="s">
        <v>8425</v>
      </c>
      <c r="ICI29" t="s">
        <v>8426</v>
      </c>
      <c r="ICJ29" t="s">
        <v>8427</v>
      </c>
      <c r="ICK29" t="s">
        <v>8428</v>
      </c>
      <c r="ICL29" t="s">
        <v>8429</v>
      </c>
      <c r="ICM29" t="s">
        <v>8430</v>
      </c>
      <c r="ICN29" t="s">
        <v>8431</v>
      </c>
      <c r="ICO29" t="s">
        <v>8432</v>
      </c>
      <c r="ICP29" t="s">
        <v>8433</v>
      </c>
      <c r="ICQ29" t="s">
        <v>8434</v>
      </c>
      <c r="ICR29" t="s">
        <v>8435</v>
      </c>
      <c r="ICS29" t="s">
        <v>8436</v>
      </c>
      <c r="ICT29" t="s">
        <v>8437</v>
      </c>
      <c r="ICU29" t="s">
        <v>8438</v>
      </c>
      <c r="ICV29" t="s">
        <v>8439</v>
      </c>
      <c r="ICW29" t="s">
        <v>8440</v>
      </c>
      <c r="ICX29" t="s">
        <v>8441</v>
      </c>
      <c r="ICY29" t="s">
        <v>8442</v>
      </c>
      <c r="ICZ29" t="s">
        <v>8443</v>
      </c>
      <c r="IDA29" t="s">
        <v>8444</v>
      </c>
      <c r="IDB29" t="s">
        <v>8445</v>
      </c>
      <c r="IDC29" t="s">
        <v>8446</v>
      </c>
      <c r="IDD29" t="s">
        <v>8447</v>
      </c>
      <c r="IDE29" t="s">
        <v>8448</v>
      </c>
      <c r="IDF29" t="s">
        <v>8449</v>
      </c>
      <c r="IDG29" t="s">
        <v>8450</v>
      </c>
      <c r="IDH29" t="s">
        <v>8451</v>
      </c>
      <c r="IDI29" t="s">
        <v>8452</v>
      </c>
      <c r="IDJ29" t="s">
        <v>8453</v>
      </c>
      <c r="IDK29" t="s">
        <v>8454</v>
      </c>
      <c r="IDL29" t="s">
        <v>8455</v>
      </c>
      <c r="IDM29" t="s">
        <v>8456</v>
      </c>
      <c r="IDN29" t="s">
        <v>8457</v>
      </c>
      <c r="IDO29" t="s">
        <v>8458</v>
      </c>
      <c r="IDP29" t="s">
        <v>8459</v>
      </c>
      <c r="IDQ29" t="s">
        <v>8460</v>
      </c>
      <c r="IDR29" t="s">
        <v>8461</v>
      </c>
      <c r="IDS29" t="s">
        <v>8462</v>
      </c>
      <c r="IDT29" t="s">
        <v>8463</v>
      </c>
      <c r="IDU29" t="s">
        <v>8464</v>
      </c>
      <c r="IDV29" t="s">
        <v>8465</v>
      </c>
      <c r="IDW29" t="s">
        <v>8466</v>
      </c>
      <c r="IDX29" t="s">
        <v>8467</v>
      </c>
      <c r="IDY29" t="s">
        <v>8468</v>
      </c>
      <c r="IDZ29" t="s">
        <v>8469</v>
      </c>
      <c r="IEA29" t="s">
        <v>8470</v>
      </c>
      <c r="IEB29" t="s">
        <v>8471</v>
      </c>
      <c r="IEC29" t="s">
        <v>8472</v>
      </c>
      <c r="IED29" t="s">
        <v>8473</v>
      </c>
      <c r="IEE29" t="s">
        <v>8474</v>
      </c>
      <c r="IEF29" t="s">
        <v>8475</v>
      </c>
      <c r="IEG29" t="s">
        <v>8476</v>
      </c>
      <c r="IEH29" t="s">
        <v>8477</v>
      </c>
      <c r="IEI29" t="s">
        <v>8478</v>
      </c>
      <c r="IEJ29" t="s">
        <v>8479</v>
      </c>
      <c r="IEK29" t="s">
        <v>8480</v>
      </c>
      <c r="IEL29" t="s">
        <v>8481</v>
      </c>
      <c r="IEM29" t="s">
        <v>8482</v>
      </c>
      <c r="IEN29" t="s">
        <v>8483</v>
      </c>
      <c r="IEO29" t="s">
        <v>8484</v>
      </c>
      <c r="IEP29" t="s">
        <v>8485</v>
      </c>
      <c r="IEQ29" t="s">
        <v>8486</v>
      </c>
      <c r="IER29" t="s">
        <v>8487</v>
      </c>
      <c r="IES29" t="s">
        <v>8488</v>
      </c>
      <c r="IET29" t="s">
        <v>8489</v>
      </c>
      <c r="IEU29" t="s">
        <v>8490</v>
      </c>
      <c r="IEV29" t="s">
        <v>8491</v>
      </c>
      <c r="IEW29" t="s">
        <v>8492</v>
      </c>
      <c r="IEX29" t="s">
        <v>8493</v>
      </c>
      <c r="IEY29" t="s">
        <v>8494</v>
      </c>
      <c r="IEZ29" t="s">
        <v>8495</v>
      </c>
      <c r="IFA29" t="s">
        <v>8496</v>
      </c>
      <c r="IFB29" t="s">
        <v>8497</v>
      </c>
      <c r="IFC29" t="s">
        <v>8498</v>
      </c>
      <c r="IFD29" t="s">
        <v>8499</v>
      </c>
      <c r="IFE29" t="s">
        <v>8500</v>
      </c>
      <c r="IFF29" t="s">
        <v>8501</v>
      </c>
      <c r="IFG29" t="s">
        <v>8502</v>
      </c>
      <c r="IFH29" t="s">
        <v>8503</v>
      </c>
      <c r="IFI29" t="s">
        <v>8504</v>
      </c>
      <c r="IFJ29" t="s">
        <v>8505</v>
      </c>
      <c r="IFK29" t="s">
        <v>8506</v>
      </c>
      <c r="IFL29" t="s">
        <v>8507</v>
      </c>
      <c r="IFM29" t="s">
        <v>8508</v>
      </c>
      <c r="IFN29" t="s">
        <v>8509</v>
      </c>
      <c r="IFO29" t="s">
        <v>8510</v>
      </c>
      <c r="IFP29" t="s">
        <v>8511</v>
      </c>
      <c r="IFQ29" t="s">
        <v>8512</v>
      </c>
      <c r="IFR29" t="s">
        <v>8513</v>
      </c>
      <c r="IFS29" t="s">
        <v>8514</v>
      </c>
      <c r="IFT29" t="s">
        <v>8515</v>
      </c>
      <c r="IFU29" t="s">
        <v>8516</v>
      </c>
      <c r="IFV29" t="s">
        <v>8517</v>
      </c>
      <c r="IFW29" t="s">
        <v>8518</v>
      </c>
      <c r="IFX29" t="s">
        <v>8519</v>
      </c>
      <c r="IFY29" t="s">
        <v>8520</v>
      </c>
      <c r="IFZ29" t="s">
        <v>8521</v>
      </c>
      <c r="IGA29" t="s">
        <v>8522</v>
      </c>
      <c r="IGB29" t="s">
        <v>8523</v>
      </c>
      <c r="IGC29" t="s">
        <v>8524</v>
      </c>
      <c r="IGD29" t="s">
        <v>8525</v>
      </c>
      <c r="IGE29" t="s">
        <v>8526</v>
      </c>
      <c r="IGF29" t="s">
        <v>8527</v>
      </c>
      <c r="IGG29" t="s">
        <v>8528</v>
      </c>
      <c r="IGH29" t="s">
        <v>8529</v>
      </c>
      <c r="IGI29" t="s">
        <v>8530</v>
      </c>
      <c r="IGJ29" t="s">
        <v>8531</v>
      </c>
      <c r="IGK29" t="s">
        <v>8532</v>
      </c>
      <c r="IGL29" t="s">
        <v>8533</v>
      </c>
      <c r="IGM29" t="s">
        <v>8534</v>
      </c>
      <c r="IGN29" t="s">
        <v>8535</v>
      </c>
      <c r="IGO29" t="s">
        <v>8536</v>
      </c>
      <c r="IGP29" t="s">
        <v>8537</v>
      </c>
      <c r="IGQ29" t="s">
        <v>8538</v>
      </c>
      <c r="IGR29" t="s">
        <v>8539</v>
      </c>
      <c r="IGS29" t="s">
        <v>8540</v>
      </c>
      <c r="IGT29" t="s">
        <v>8541</v>
      </c>
      <c r="IGU29" t="s">
        <v>8542</v>
      </c>
      <c r="IGV29" t="s">
        <v>8543</v>
      </c>
      <c r="IGW29" t="s">
        <v>8544</v>
      </c>
      <c r="IGX29" t="s">
        <v>8545</v>
      </c>
      <c r="IGY29" t="s">
        <v>8546</v>
      </c>
      <c r="IGZ29" t="s">
        <v>8547</v>
      </c>
      <c r="IHA29" t="s">
        <v>8548</v>
      </c>
      <c r="IHB29" t="s">
        <v>8549</v>
      </c>
      <c r="IHC29" t="s">
        <v>8550</v>
      </c>
      <c r="IHD29" t="s">
        <v>8551</v>
      </c>
      <c r="IHE29" t="s">
        <v>8552</v>
      </c>
      <c r="IHF29" t="s">
        <v>8553</v>
      </c>
      <c r="IHG29" t="s">
        <v>8554</v>
      </c>
      <c r="IHH29" t="s">
        <v>8555</v>
      </c>
      <c r="IHI29" t="s">
        <v>8556</v>
      </c>
      <c r="IHJ29" t="s">
        <v>8557</v>
      </c>
      <c r="IHK29" t="s">
        <v>8558</v>
      </c>
      <c r="IHL29" t="s">
        <v>8559</v>
      </c>
      <c r="IHM29" t="s">
        <v>8560</v>
      </c>
      <c r="IHN29" t="s">
        <v>8561</v>
      </c>
      <c r="IHO29" t="s">
        <v>8562</v>
      </c>
      <c r="IHP29" t="s">
        <v>8563</v>
      </c>
      <c r="IHQ29" t="s">
        <v>8564</v>
      </c>
      <c r="IHR29" t="s">
        <v>8565</v>
      </c>
      <c r="IHS29" t="s">
        <v>8566</v>
      </c>
      <c r="IHT29" t="s">
        <v>8567</v>
      </c>
      <c r="IHU29" t="s">
        <v>8568</v>
      </c>
      <c r="IHV29" t="s">
        <v>8569</v>
      </c>
      <c r="IHW29" t="s">
        <v>8570</v>
      </c>
      <c r="IHX29" t="s">
        <v>8571</v>
      </c>
      <c r="IHY29" t="s">
        <v>8572</v>
      </c>
      <c r="IHZ29" t="s">
        <v>8573</v>
      </c>
      <c r="IIA29" t="s">
        <v>8574</v>
      </c>
      <c r="IIB29" t="s">
        <v>8575</v>
      </c>
      <c r="IIC29" t="s">
        <v>8576</v>
      </c>
      <c r="IID29" t="s">
        <v>8577</v>
      </c>
      <c r="IIE29" t="s">
        <v>8578</v>
      </c>
      <c r="IIF29" t="s">
        <v>8579</v>
      </c>
      <c r="IIG29" t="s">
        <v>8580</v>
      </c>
      <c r="IIH29" t="s">
        <v>8581</v>
      </c>
      <c r="III29" t="s">
        <v>8582</v>
      </c>
      <c r="IIJ29" t="s">
        <v>8583</v>
      </c>
      <c r="IIK29" t="s">
        <v>8584</v>
      </c>
      <c r="IIL29" t="s">
        <v>8585</v>
      </c>
      <c r="IIM29" t="s">
        <v>8586</v>
      </c>
      <c r="IIN29" t="s">
        <v>8587</v>
      </c>
      <c r="IIO29" t="s">
        <v>8588</v>
      </c>
      <c r="IIP29" t="s">
        <v>8589</v>
      </c>
      <c r="IIQ29" t="s">
        <v>8590</v>
      </c>
      <c r="IIR29" t="s">
        <v>8591</v>
      </c>
      <c r="IIS29" t="s">
        <v>8592</v>
      </c>
      <c r="IIT29" t="s">
        <v>8593</v>
      </c>
      <c r="IIU29" t="s">
        <v>8594</v>
      </c>
      <c r="IIV29" t="s">
        <v>8595</v>
      </c>
      <c r="IIW29" t="s">
        <v>8596</v>
      </c>
      <c r="IIX29" t="s">
        <v>8597</v>
      </c>
      <c r="IIY29" t="s">
        <v>8598</v>
      </c>
      <c r="IIZ29" t="s">
        <v>8599</v>
      </c>
      <c r="IJA29" t="s">
        <v>8600</v>
      </c>
      <c r="IJB29" t="s">
        <v>8601</v>
      </c>
      <c r="IJC29" t="s">
        <v>8602</v>
      </c>
      <c r="IJD29" t="s">
        <v>8603</v>
      </c>
      <c r="IJE29" t="s">
        <v>8604</v>
      </c>
      <c r="IJF29" t="s">
        <v>8605</v>
      </c>
      <c r="IJG29" t="s">
        <v>8606</v>
      </c>
      <c r="IJH29" t="s">
        <v>8607</v>
      </c>
      <c r="IJI29" t="s">
        <v>8608</v>
      </c>
      <c r="IJJ29" t="s">
        <v>8609</v>
      </c>
      <c r="IJK29" t="s">
        <v>8610</v>
      </c>
      <c r="IJL29" t="s">
        <v>8611</v>
      </c>
      <c r="IJM29" t="s">
        <v>8612</v>
      </c>
      <c r="IJN29" t="s">
        <v>8613</v>
      </c>
      <c r="IJO29" t="s">
        <v>8614</v>
      </c>
      <c r="IJP29" t="s">
        <v>8615</v>
      </c>
      <c r="IJQ29" t="s">
        <v>8616</v>
      </c>
      <c r="IJR29" t="s">
        <v>8617</v>
      </c>
      <c r="IJS29" t="s">
        <v>8618</v>
      </c>
      <c r="IJT29" t="s">
        <v>8619</v>
      </c>
      <c r="IJU29" t="s">
        <v>8620</v>
      </c>
      <c r="IJV29" t="s">
        <v>8621</v>
      </c>
      <c r="IJW29" t="s">
        <v>8622</v>
      </c>
      <c r="IJX29" t="s">
        <v>8623</v>
      </c>
      <c r="IJY29" t="s">
        <v>8624</v>
      </c>
      <c r="IJZ29" t="s">
        <v>8625</v>
      </c>
      <c r="IKA29" t="s">
        <v>8626</v>
      </c>
      <c r="IKB29" t="s">
        <v>8627</v>
      </c>
      <c r="IKC29" t="s">
        <v>8628</v>
      </c>
      <c r="IKD29" t="s">
        <v>8629</v>
      </c>
      <c r="IKE29" t="s">
        <v>8630</v>
      </c>
      <c r="IKF29" t="s">
        <v>8631</v>
      </c>
      <c r="IKG29" t="s">
        <v>8632</v>
      </c>
      <c r="IKH29" t="s">
        <v>8633</v>
      </c>
      <c r="IKI29" t="s">
        <v>8634</v>
      </c>
      <c r="IKJ29" t="s">
        <v>8635</v>
      </c>
      <c r="IKK29" t="s">
        <v>8636</v>
      </c>
      <c r="IKL29" t="s">
        <v>8637</v>
      </c>
      <c r="IKM29" t="s">
        <v>8638</v>
      </c>
      <c r="IKN29" t="s">
        <v>8639</v>
      </c>
      <c r="IKO29" t="s">
        <v>8640</v>
      </c>
      <c r="IKP29" t="s">
        <v>8641</v>
      </c>
      <c r="IKQ29" t="s">
        <v>8642</v>
      </c>
      <c r="IKR29" t="s">
        <v>8643</v>
      </c>
      <c r="IKS29" t="s">
        <v>8644</v>
      </c>
      <c r="IKT29" t="s">
        <v>8645</v>
      </c>
      <c r="IKU29" t="s">
        <v>8646</v>
      </c>
      <c r="IKV29" t="s">
        <v>8647</v>
      </c>
      <c r="IKW29" t="s">
        <v>8648</v>
      </c>
      <c r="IKX29" t="s">
        <v>8649</v>
      </c>
      <c r="IKY29" t="s">
        <v>8650</v>
      </c>
      <c r="IKZ29" t="s">
        <v>8651</v>
      </c>
      <c r="ILA29" t="s">
        <v>8652</v>
      </c>
      <c r="ILB29" t="s">
        <v>8653</v>
      </c>
      <c r="ILC29" t="s">
        <v>8654</v>
      </c>
      <c r="ILD29" t="s">
        <v>8655</v>
      </c>
      <c r="ILE29" t="s">
        <v>8656</v>
      </c>
      <c r="ILF29" t="s">
        <v>8657</v>
      </c>
      <c r="ILG29" t="s">
        <v>8658</v>
      </c>
      <c r="ILH29" t="s">
        <v>8659</v>
      </c>
      <c r="ILI29" t="s">
        <v>8660</v>
      </c>
      <c r="ILJ29" t="s">
        <v>8661</v>
      </c>
      <c r="ILK29" t="s">
        <v>8662</v>
      </c>
      <c r="ILL29" t="s">
        <v>8663</v>
      </c>
      <c r="ILM29" t="s">
        <v>8664</v>
      </c>
      <c r="ILN29" t="s">
        <v>8665</v>
      </c>
      <c r="ILO29" t="s">
        <v>8666</v>
      </c>
      <c r="ILP29" t="s">
        <v>8667</v>
      </c>
      <c r="ILQ29" t="s">
        <v>8668</v>
      </c>
      <c r="ILR29" t="s">
        <v>8669</v>
      </c>
      <c r="ILS29" t="s">
        <v>8670</v>
      </c>
      <c r="ILT29" t="s">
        <v>8671</v>
      </c>
      <c r="ILU29" t="s">
        <v>8672</v>
      </c>
      <c r="ILV29" t="s">
        <v>8673</v>
      </c>
      <c r="ILW29" t="s">
        <v>8674</v>
      </c>
      <c r="ILX29" t="s">
        <v>8675</v>
      </c>
      <c r="ILY29" t="s">
        <v>8676</v>
      </c>
      <c r="ILZ29" t="s">
        <v>8677</v>
      </c>
      <c r="IMA29" t="s">
        <v>8678</v>
      </c>
      <c r="IMB29" t="s">
        <v>8679</v>
      </c>
      <c r="IMC29" t="s">
        <v>8680</v>
      </c>
      <c r="IMD29" t="s">
        <v>8681</v>
      </c>
      <c r="IME29" t="s">
        <v>8682</v>
      </c>
      <c r="IMF29" t="s">
        <v>8683</v>
      </c>
      <c r="IMG29" t="s">
        <v>8684</v>
      </c>
      <c r="IMH29" t="s">
        <v>8685</v>
      </c>
      <c r="IMI29" t="s">
        <v>8686</v>
      </c>
      <c r="IMJ29" t="s">
        <v>8687</v>
      </c>
      <c r="IMK29" t="s">
        <v>8688</v>
      </c>
      <c r="IML29" t="s">
        <v>8689</v>
      </c>
      <c r="IMM29" t="s">
        <v>8690</v>
      </c>
      <c r="IMN29" t="s">
        <v>8691</v>
      </c>
      <c r="IMO29" t="s">
        <v>8692</v>
      </c>
      <c r="IMP29" t="s">
        <v>8693</v>
      </c>
      <c r="IMQ29" t="s">
        <v>8694</v>
      </c>
      <c r="IMR29" t="s">
        <v>8695</v>
      </c>
      <c r="IMS29" t="s">
        <v>8696</v>
      </c>
      <c r="IMT29" t="s">
        <v>8697</v>
      </c>
      <c r="IMU29" t="s">
        <v>8698</v>
      </c>
      <c r="IMV29" t="s">
        <v>8699</v>
      </c>
      <c r="IMW29" t="s">
        <v>8700</v>
      </c>
      <c r="IMX29" t="s">
        <v>8701</v>
      </c>
      <c r="IMY29" t="s">
        <v>8702</v>
      </c>
      <c r="IMZ29" t="s">
        <v>8703</v>
      </c>
      <c r="INA29" t="s">
        <v>8704</v>
      </c>
      <c r="INB29" t="s">
        <v>8705</v>
      </c>
      <c r="INC29" t="s">
        <v>8706</v>
      </c>
      <c r="IND29" t="s">
        <v>8707</v>
      </c>
      <c r="INE29" t="s">
        <v>8708</v>
      </c>
      <c r="INF29" t="s">
        <v>8709</v>
      </c>
      <c r="ING29" t="s">
        <v>8710</v>
      </c>
      <c r="INH29" t="s">
        <v>8711</v>
      </c>
      <c r="INI29" t="s">
        <v>8712</v>
      </c>
      <c r="INJ29" t="s">
        <v>8713</v>
      </c>
      <c r="INK29" t="s">
        <v>8714</v>
      </c>
      <c r="INL29" t="s">
        <v>8715</v>
      </c>
      <c r="INM29" t="s">
        <v>8716</v>
      </c>
      <c r="INN29" t="s">
        <v>8717</v>
      </c>
      <c r="INO29" t="s">
        <v>8718</v>
      </c>
      <c r="INP29" t="s">
        <v>8719</v>
      </c>
      <c r="INQ29" t="s">
        <v>8720</v>
      </c>
      <c r="INR29" t="s">
        <v>8721</v>
      </c>
      <c r="INS29" t="s">
        <v>8722</v>
      </c>
      <c r="INT29" t="s">
        <v>8723</v>
      </c>
      <c r="INU29" t="s">
        <v>8724</v>
      </c>
      <c r="INV29" t="s">
        <v>8725</v>
      </c>
      <c r="INW29" t="s">
        <v>8726</v>
      </c>
      <c r="INX29" t="s">
        <v>8727</v>
      </c>
      <c r="INY29" t="s">
        <v>8728</v>
      </c>
      <c r="INZ29" t="s">
        <v>8729</v>
      </c>
      <c r="IOA29" t="s">
        <v>8730</v>
      </c>
      <c r="IOB29" t="s">
        <v>8731</v>
      </c>
      <c r="IOC29" t="s">
        <v>8732</v>
      </c>
      <c r="IOD29" t="s">
        <v>8733</v>
      </c>
      <c r="IOE29" t="s">
        <v>8734</v>
      </c>
      <c r="IOF29" t="s">
        <v>8735</v>
      </c>
      <c r="IOG29" t="s">
        <v>8736</v>
      </c>
      <c r="IOH29" t="s">
        <v>8737</v>
      </c>
      <c r="IOI29" t="s">
        <v>8738</v>
      </c>
      <c r="IOJ29" t="s">
        <v>8739</v>
      </c>
      <c r="IOK29" t="s">
        <v>8740</v>
      </c>
      <c r="IOL29" t="s">
        <v>8741</v>
      </c>
      <c r="IOM29" t="s">
        <v>8742</v>
      </c>
      <c r="ION29" t="s">
        <v>8743</v>
      </c>
      <c r="IOO29" t="s">
        <v>8744</v>
      </c>
      <c r="IOP29" t="s">
        <v>8745</v>
      </c>
      <c r="IOQ29" t="s">
        <v>8746</v>
      </c>
      <c r="IOR29" t="s">
        <v>8747</v>
      </c>
      <c r="IOS29" t="s">
        <v>8748</v>
      </c>
      <c r="IOT29" t="s">
        <v>8749</v>
      </c>
      <c r="IOU29" t="s">
        <v>8750</v>
      </c>
      <c r="IOV29" t="s">
        <v>8751</v>
      </c>
      <c r="IOW29" t="s">
        <v>8752</v>
      </c>
      <c r="IOX29" t="s">
        <v>8753</v>
      </c>
      <c r="IOY29" t="s">
        <v>8754</v>
      </c>
      <c r="IOZ29" t="s">
        <v>8755</v>
      </c>
      <c r="IPA29" t="s">
        <v>8756</v>
      </c>
      <c r="IPB29" t="s">
        <v>8757</v>
      </c>
      <c r="IPC29" t="s">
        <v>8758</v>
      </c>
      <c r="IPD29" t="s">
        <v>8759</v>
      </c>
      <c r="IPE29" t="s">
        <v>8760</v>
      </c>
      <c r="IPF29" t="s">
        <v>8761</v>
      </c>
      <c r="IPG29" t="s">
        <v>8762</v>
      </c>
      <c r="IPH29" t="s">
        <v>8763</v>
      </c>
      <c r="IPI29" t="s">
        <v>8764</v>
      </c>
      <c r="IPJ29" t="s">
        <v>8765</v>
      </c>
      <c r="IPK29" t="s">
        <v>8766</v>
      </c>
      <c r="IPL29" t="s">
        <v>8767</v>
      </c>
      <c r="IPM29" t="s">
        <v>8768</v>
      </c>
      <c r="IPN29" t="s">
        <v>8769</v>
      </c>
      <c r="IPO29" t="s">
        <v>8770</v>
      </c>
      <c r="IPP29" t="s">
        <v>8771</v>
      </c>
      <c r="IPQ29" t="s">
        <v>8772</v>
      </c>
      <c r="IPR29" t="s">
        <v>8773</v>
      </c>
      <c r="IPS29" t="s">
        <v>8774</v>
      </c>
      <c r="IPT29" t="s">
        <v>8775</v>
      </c>
      <c r="IPU29" t="s">
        <v>8776</v>
      </c>
      <c r="IPV29" t="s">
        <v>8777</v>
      </c>
      <c r="IPW29" t="s">
        <v>8778</v>
      </c>
      <c r="IPX29" t="s">
        <v>8779</v>
      </c>
      <c r="IPY29" t="s">
        <v>8780</v>
      </c>
      <c r="IPZ29" t="s">
        <v>8781</v>
      </c>
      <c r="IQA29" t="s">
        <v>8782</v>
      </c>
      <c r="IQB29" t="s">
        <v>8783</v>
      </c>
      <c r="IQC29" t="s">
        <v>8784</v>
      </c>
      <c r="IQD29" t="s">
        <v>8785</v>
      </c>
      <c r="IQE29" t="s">
        <v>8786</v>
      </c>
      <c r="IQF29" t="s">
        <v>8787</v>
      </c>
      <c r="IQG29" t="s">
        <v>8788</v>
      </c>
      <c r="IQH29" t="s">
        <v>8789</v>
      </c>
      <c r="IQI29" t="s">
        <v>8790</v>
      </c>
      <c r="IQJ29" t="s">
        <v>8791</v>
      </c>
      <c r="IQK29" t="s">
        <v>8792</v>
      </c>
      <c r="IQL29" t="s">
        <v>8793</v>
      </c>
      <c r="IQM29" t="s">
        <v>8794</v>
      </c>
      <c r="IQN29" t="s">
        <v>8795</v>
      </c>
      <c r="IQO29" t="s">
        <v>8796</v>
      </c>
      <c r="IQP29" t="s">
        <v>8797</v>
      </c>
      <c r="IQQ29" t="s">
        <v>8798</v>
      </c>
      <c r="IQR29" t="s">
        <v>8799</v>
      </c>
      <c r="IQS29" t="s">
        <v>8800</v>
      </c>
      <c r="IQT29" t="s">
        <v>8801</v>
      </c>
      <c r="IQU29" t="s">
        <v>8802</v>
      </c>
      <c r="IQV29" t="s">
        <v>8803</v>
      </c>
      <c r="IQW29" t="s">
        <v>8804</v>
      </c>
      <c r="IQX29" t="s">
        <v>8805</v>
      </c>
      <c r="IQY29" t="s">
        <v>8806</v>
      </c>
      <c r="IQZ29" t="s">
        <v>8807</v>
      </c>
      <c r="IRA29" t="s">
        <v>8808</v>
      </c>
      <c r="IRB29" t="s">
        <v>8809</v>
      </c>
      <c r="IRC29" t="s">
        <v>8810</v>
      </c>
      <c r="IRD29" t="s">
        <v>8811</v>
      </c>
      <c r="IRE29" t="s">
        <v>8812</v>
      </c>
      <c r="IRF29" t="s">
        <v>8813</v>
      </c>
      <c r="IRG29" t="s">
        <v>8814</v>
      </c>
      <c r="IRH29" t="s">
        <v>8815</v>
      </c>
      <c r="IRI29" t="s">
        <v>8816</v>
      </c>
      <c r="IRJ29" t="s">
        <v>8817</v>
      </c>
      <c r="IRK29" t="s">
        <v>8818</v>
      </c>
      <c r="IRL29" t="s">
        <v>8819</v>
      </c>
      <c r="IRM29" t="s">
        <v>8820</v>
      </c>
      <c r="IRN29" t="s">
        <v>8821</v>
      </c>
      <c r="IRO29" t="s">
        <v>8822</v>
      </c>
      <c r="IRP29" t="s">
        <v>8823</v>
      </c>
      <c r="IRQ29" t="s">
        <v>8824</v>
      </c>
      <c r="IRR29" t="s">
        <v>8825</v>
      </c>
      <c r="IRS29" t="s">
        <v>8826</v>
      </c>
      <c r="IRT29" t="s">
        <v>8827</v>
      </c>
      <c r="IRU29" t="s">
        <v>8828</v>
      </c>
      <c r="IRV29" t="s">
        <v>8829</v>
      </c>
      <c r="IRW29" t="s">
        <v>8830</v>
      </c>
      <c r="IRX29" t="s">
        <v>8831</v>
      </c>
      <c r="IRY29" t="s">
        <v>8832</v>
      </c>
      <c r="IRZ29" t="s">
        <v>8833</v>
      </c>
      <c r="ISA29" t="s">
        <v>8834</v>
      </c>
      <c r="ISB29" t="s">
        <v>8835</v>
      </c>
      <c r="ISC29" t="s">
        <v>8836</v>
      </c>
      <c r="ISD29" t="s">
        <v>8837</v>
      </c>
      <c r="ISE29" t="s">
        <v>8838</v>
      </c>
      <c r="ISF29" t="s">
        <v>8839</v>
      </c>
      <c r="ISG29" t="s">
        <v>8840</v>
      </c>
      <c r="ISH29" t="s">
        <v>8841</v>
      </c>
      <c r="ISI29" t="s">
        <v>8842</v>
      </c>
      <c r="ISJ29" t="s">
        <v>8843</v>
      </c>
      <c r="ISK29" t="s">
        <v>8844</v>
      </c>
      <c r="ISL29" t="s">
        <v>8845</v>
      </c>
      <c r="ISM29" t="s">
        <v>8846</v>
      </c>
      <c r="ISN29" t="s">
        <v>8847</v>
      </c>
      <c r="ISO29" t="s">
        <v>8848</v>
      </c>
      <c r="ISP29" t="s">
        <v>8849</v>
      </c>
      <c r="ISQ29" t="s">
        <v>8850</v>
      </c>
      <c r="ISR29" t="s">
        <v>8851</v>
      </c>
      <c r="ISS29" t="s">
        <v>8852</v>
      </c>
      <c r="IST29" t="s">
        <v>8853</v>
      </c>
      <c r="ISU29" t="s">
        <v>8854</v>
      </c>
      <c r="ISV29" t="s">
        <v>8855</v>
      </c>
      <c r="ISW29" t="s">
        <v>8856</v>
      </c>
      <c r="ISX29" t="s">
        <v>8857</v>
      </c>
      <c r="ISY29" t="s">
        <v>8858</v>
      </c>
      <c r="ISZ29" t="s">
        <v>8859</v>
      </c>
      <c r="ITA29" t="s">
        <v>8860</v>
      </c>
      <c r="ITB29" t="s">
        <v>8861</v>
      </c>
      <c r="ITC29" t="s">
        <v>8862</v>
      </c>
      <c r="ITD29" t="s">
        <v>8863</v>
      </c>
      <c r="ITE29" t="s">
        <v>8864</v>
      </c>
      <c r="ITF29" t="s">
        <v>8865</v>
      </c>
      <c r="ITG29" t="s">
        <v>8866</v>
      </c>
      <c r="ITH29" t="s">
        <v>8867</v>
      </c>
      <c r="ITI29" t="s">
        <v>8868</v>
      </c>
      <c r="ITJ29" t="s">
        <v>8869</v>
      </c>
      <c r="ITK29" t="s">
        <v>8870</v>
      </c>
      <c r="ITL29" t="s">
        <v>8871</v>
      </c>
      <c r="ITM29" t="s">
        <v>8872</v>
      </c>
      <c r="ITN29" t="s">
        <v>8873</v>
      </c>
      <c r="ITO29" t="s">
        <v>8874</v>
      </c>
      <c r="ITP29" t="s">
        <v>8875</v>
      </c>
      <c r="ITQ29" t="s">
        <v>8876</v>
      </c>
      <c r="ITR29" t="s">
        <v>8877</v>
      </c>
      <c r="ITS29" t="s">
        <v>8878</v>
      </c>
      <c r="ITT29" t="s">
        <v>8879</v>
      </c>
      <c r="ITU29" t="s">
        <v>8880</v>
      </c>
      <c r="ITV29" t="s">
        <v>8881</v>
      </c>
      <c r="ITW29" t="s">
        <v>8882</v>
      </c>
      <c r="ITX29" t="s">
        <v>8883</v>
      </c>
      <c r="ITY29" t="s">
        <v>8884</v>
      </c>
      <c r="ITZ29" t="s">
        <v>8885</v>
      </c>
      <c r="IUA29" t="s">
        <v>8886</v>
      </c>
      <c r="IUB29" t="s">
        <v>8887</v>
      </c>
      <c r="IUC29" t="s">
        <v>8888</v>
      </c>
      <c r="IUD29" t="s">
        <v>8889</v>
      </c>
      <c r="IUE29" t="s">
        <v>8890</v>
      </c>
      <c r="IUF29" t="s">
        <v>8891</v>
      </c>
      <c r="IUG29" t="s">
        <v>8892</v>
      </c>
      <c r="IUH29" t="s">
        <v>8893</v>
      </c>
      <c r="IUI29" t="s">
        <v>8894</v>
      </c>
      <c r="IUJ29" t="s">
        <v>8895</v>
      </c>
      <c r="IUK29" t="s">
        <v>8896</v>
      </c>
      <c r="IUL29" t="s">
        <v>8897</v>
      </c>
      <c r="IUM29" t="s">
        <v>8898</v>
      </c>
      <c r="IUN29" t="s">
        <v>8899</v>
      </c>
      <c r="IUO29" t="s">
        <v>8900</v>
      </c>
      <c r="IUP29" t="s">
        <v>8901</v>
      </c>
      <c r="IUQ29" t="s">
        <v>8902</v>
      </c>
      <c r="IUR29" t="s">
        <v>8903</v>
      </c>
      <c r="IUS29" t="s">
        <v>8904</v>
      </c>
      <c r="IUT29" t="s">
        <v>8905</v>
      </c>
      <c r="IUU29" t="s">
        <v>8906</v>
      </c>
      <c r="IUV29" t="s">
        <v>8907</v>
      </c>
      <c r="IUW29" t="s">
        <v>8908</v>
      </c>
      <c r="IUX29" t="s">
        <v>8909</v>
      </c>
      <c r="IUY29" t="s">
        <v>8910</v>
      </c>
      <c r="IUZ29" t="s">
        <v>8911</v>
      </c>
      <c r="IVA29" t="s">
        <v>8912</v>
      </c>
      <c r="IVB29" t="s">
        <v>8913</v>
      </c>
      <c r="IVC29" t="s">
        <v>8914</v>
      </c>
      <c r="IVD29" t="s">
        <v>8915</v>
      </c>
      <c r="IVE29" t="s">
        <v>8916</v>
      </c>
      <c r="IVF29" t="s">
        <v>8917</v>
      </c>
      <c r="IVG29" t="s">
        <v>8918</v>
      </c>
      <c r="IVH29" t="s">
        <v>8919</v>
      </c>
      <c r="IVI29" t="s">
        <v>8920</v>
      </c>
      <c r="IVJ29" t="s">
        <v>8921</v>
      </c>
      <c r="IVK29" t="s">
        <v>8922</v>
      </c>
      <c r="IVL29" t="s">
        <v>8923</v>
      </c>
      <c r="IVM29" t="s">
        <v>8924</v>
      </c>
      <c r="IVN29" t="s">
        <v>8925</v>
      </c>
      <c r="IVO29" t="s">
        <v>8926</v>
      </c>
      <c r="IVP29" t="s">
        <v>8927</v>
      </c>
      <c r="IVQ29" t="s">
        <v>8928</v>
      </c>
      <c r="IVR29" t="s">
        <v>8929</v>
      </c>
      <c r="IVS29" t="s">
        <v>8930</v>
      </c>
      <c r="IVT29" t="s">
        <v>8931</v>
      </c>
      <c r="IVU29" t="s">
        <v>8932</v>
      </c>
      <c r="IVV29" t="s">
        <v>8933</v>
      </c>
      <c r="IVW29" t="s">
        <v>8934</v>
      </c>
      <c r="IVX29" t="s">
        <v>8935</v>
      </c>
      <c r="IVY29" t="s">
        <v>8936</v>
      </c>
      <c r="IVZ29" t="s">
        <v>8937</v>
      </c>
      <c r="IWA29" t="s">
        <v>8938</v>
      </c>
      <c r="IWB29" t="s">
        <v>8939</v>
      </c>
      <c r="IWC29" t="s">
        <v>8940</v>
      </c>
      <c r="IWD29" t="s">
        <v>8941</v>
      </c>
      <c r="IWE29" t="s">
        <v>8942</v>
      </c>
      <c r="IWF29" t="s">
        <v>8943</v>
      </c>
      <c r="IWG29" t="s">
        <v>8944</v>
      </c>
      <c r="IWH29" t="s">
        <v>8945</v>
      </c>
      <c r="IWI29" t="s">
        <v>8946</v>
      </c>
      <c r="IWJ29" t="s">
        <v>8947</v>
      </c>
      <c r="IWK29" t="s">
        <v>8948</v>
      </c>
      <c r="IWL29" t="s">
        <v>8949</v>
      </c>
      <c r="IWM29" t="s">
        <v>8950</v>
      </c>
      <c r="IWN29" t="s">
        <v>8951</v>
      </c>
      <c r="IWO29" t="s">
        <v>8952</v>
      </c>
      <c r="IWP29" t="s">
        <v>8953</v>
      </c>
      <c r="IWQ29" t="s">
        <v>8954</v>
      </c>
      <c r="IWR29" t="s">
        <v>8955</v>
      </c>
      <c r="IWS29" t="s">
        <v>8956</v>
      </c>
      <c r="IWT29" t="s">
        <v>8957</v>
      </c>
      <c r="IWU29" t="s">
        <v>8958</v>
      </c>
      <c r="IWV29" t="s">
        <v>8959</v>
      </c>
      <c r="IWW29" t="s">
        <v>8960</v>
      </c>
      <c r="IWX29" t="s">
        <v>8961</v>
      </c>
      <c r="IWY29" t="s">
        <v>8962</v>
      </c>
      <c r="IWZ29" t="s">
        <v>8963</v>
      </c>
      <c r="IXA29" t="s">
        <v>8964</v>
      </c>
      <c r="IXB29" t="s">
        <v>8965</v>
      </c>
      <c r="IXC29" t="s">
        <v>8966</v>
      </c>
      <c r="IXD29" t="s">
        <v>8967</v>
      </c>
      <c r="IXE29" t="s">
        <v>8968</v>
      </c>
      <c r="IXF29" t="s">
        <v>8969</v>
      </c>
      <c r="IXG29" t="s">
        <v>8970</v>
      </c>
      <c r="IXH29" t="s">
        <v>8971</v>
      </c>
      <c r="IXI29" t="s">
        <v>8972</v>
      </c>
      <c r="IXJ29" t="s">
        <v>8973</v>
      </c>
      <c r="IXK29" t="s">
        <v>8974</v>
      </c>
      <c r="IXL29" t="s">
        <v>8975</v>
      </c>
      <c r="IXM29" t="s">
        <v>8976</v>
      </c>
      <c r="IXN29" t="s">
        <v>8977</v>
      </c>
      <c r="IXO29" t="s">
        <v>8978</v>
      </c>
      <c r="IXP29" t="s">
        <v>8979</v>
      </c>
      <c r="IXQ29" t="s">
        <v>8980</v>
      </c>
      <c r="IXR29" t="s">
        <v>8981</v>
      </c>
      <c r="IXS29" t="s">
        <v>8982</v>
      </c>
      <c r="IXT29" t="s">
        <v>8983</v>
      </c>
      <c r="IXU29" t="s">
        <v>8984</v>
      </c>
      <c r="IXV29" t="s">
        <v>8985</v>
      </c>
      <c r="IXW29" t="s">
        <v>8986</v>
      </c>
      <c r="IXX29" t="s">
        <v>8987</v>
      </c>
      <c r="IXY29" t="s">
        <v>8988</v>
      </c>
      <c r="IXZ29" t="s">
        <v>8989</v>
      </c>
      <c r="IYA29" t="s">
        <v>8990</v>
      </c>
      <c r="IYB29" t="s">
        <v>8991</v>
      </c>
      <c r="IYC29" t="s">
        <v>8992</v>
      </c>
      <c r="IYD29" t="s">
        <v>8993</v>
      </c>
      <c r="IYE29" t="s">
        <v>8994</v>
      </c>
      <c r="IYF29" t="s">
        <v>8995</v>
      </c>
      <c r="IYG29" t="s">
        <v>8996</v>
      </c>
      <c r="IYH29" t="s">
        <v>8997</v>
      </c>
      <c r="IYI29" t="s">
        <v>8998</v>
      </c>
      <c r="IYJ29" t="s">
        <v>8999</v>
      </c>
      <c r="IYK29" t="s">
        <v>9000</v>
      </c>
      <c r="IYL29" t="s">
        <v>9001</v>
      </c>
      <c r="IYM29" t="s">
        <v>9002</v>
      </c>
      <c r="IYN29" t="s">
        <v>9003</v>
      </c>
      <c r="IYO29" t="s">
        <v>9004</v>
      </c>
      <c r="IYP29" t="s">
        <v>9005</v>
      </c>
      <c r="IYQ29" t="s">
        <v>9006</v>
      </c>
      <c r="IYR29" t="s">
        <v>9007</v>
      </c>
      <c r="IYS29" t="s">
        <v>9008</v>
      </c>
      <c r="IYT29" t="s">
        <v>9009</v>
      </c>
      <c r="IYU29" t="s">
        <v>9010</v>
      </c>
      <c r="IYV29" t="s">
        <v>9011</v>
      </c>
      <c r="IYW29" t="s">
        <v>9012</v>
      </c>
      <c r="IYX29" t="s">
        <v>9013</v>
      </c>
      <c r="IYY29" t="s">
        <v>9014</v>
      </c>
      <c r="IYZ29" t="s">
        <v>9015</v>
      </c>
      <c r="IZA29" t="s">
        <v>9016</v>
      </c>
      <c r="IZB29" t="s">
        <v>9017</v>
      </c>
      <c r="IZC29" t="s">
        <v>9018</v>
      </c>
      <c r="IZD29" t="s">
        <v>9019</v>
      </c>
      <c r="IZE29" t="s">
        <v>9020</v>
      </c>
      <c r="IZF29" t="s">
        <v>9021</v>
      </c>
      <c r="IZG29" t="s">
        <v>9022</v>
      </c>
      <c r="IZH29" t="s">
        <v>9023</v>
      </c>
      <c r="IZI29" t="s">
        <v>9024</v>
      </c>
      <c r="IZJ29" t="s">
        <v>9025</v>
      </c>
      <c r="IZK29" t="s">
        <v>9026</v>
      </c>
      <c r="IZL29" t="s">
        <v>9027</v>
      </c>
      <c r="IZM29" t="s">
        <v>9028</v>
      </c>
      <c r="IZN29" t="s">
        <v>9029</v>
      </c>
      <c r="IZO29" t="s">
        <v>9030</v>
      </c>
      <c r="IZP29" t="s">
        <v>9031</v>
      </c>
      <c r="IZQ29" t="s">
        <v>9032</v>
      </c>
      <c r="IZR29" t="s">
        <v>9033</v>
      </c>
      <c r="IZS29" t="s">
        <v>9034</v>
      </c>
      <c r="IZT29" t="s">
        <v>9035</v>
      </c>
      <c r="IZU29" t="s">
        <v>9036</v>
      </c>
      <c r="IZV29" t="s">
        <v>9037</v>
      </c>
      <c r="IZW29" t="s">
        <v>9038</v>
      </c>
      <c r="IZX29" t="s">
        <v>9039</v>
      </c>
      <c r="IZY29" t="s">
        <v>9040</v>
      </c>
      <c r="IZZ29" t="s">
        <v>9041</v>
      </c>
      <c r="JAA29" t="s">
        <v>9042</v>
      </c>
      <c r="JAB29" t="s">
        <v>9043</v>
      </c>
      <c r="JAC29" t="s">
        <v>9044</v>
      </c>
      <c r="JAD29" t="s">
        <v>9045</v>
      </c>
      <c r="JAE29" t="s">
        <v>9046</v>
      </c>
      <c r="JAF29" t="s">
        <v>9047</v>
      </c>
      <c r="JAG29" t="s">
        <v>9048</v>
      </c>
      <c r="JAH29" t="s">
        <v>9049</v>
      </c>
      <c r="JAI29" t="s">
        <v>9050</v>
      </c>
      <c r="JAJ29" t="s">
        <v>9051</v>
      </c>
      <c r="JAK29" t="s">
        <v>9052</v>
      </c>
      <c r="JAL29" t="s">
        <v>9053</v>
      </c>
      <c r="JAM29" t="s">
        <v>9054</v>
      </c>
      <c r="JAN29" t="s">
        <v>9055</v>
      </c>
      <c r="JAO29" t="s">
        <v>9056</v>
      </c>
      <c r="JAP29" t="s">
        <v>9057</v>
      </c>
      <c r="JAQ29" t="s">
        <v>9058</v>
      </c>
      <c r="JAR29" t="s">
        <v>9059</v>
      </c>
      <c r="JAS29" t="s">
        <v>9060</v>
      </c>
      <c r="JAT29" t="s">
        <v>9061</v>
      </c>
      <c r="JAU29" t="s">
        <v>9062</v>
      </c>
      <c r="JAV29" t="s">
        <v>9063</v>
      </c>
      <c r="JAW29" t="s">
        <v>9064</v>
      </c>
      <c r="JAX29" t="s">
        <v>9065</v>
      </c>
      <c r="JAY29" t="s">
        <v>9066</v>
      </c>
      <c r="JAZ29" t="s">
        <v>9067</v>
      </c>
      <c r="JBA29" t="s">
        <v>9068</v>
      </c>
      <c r="JBB29" t="s">
        <v>9069</v>
      </c>
      <c r="JBC29" t="s">
        <v>9070</v>
      </c>
      <c r="JBD29" t="s">
        <v>9071</v>
      </c>
      <c r="JBE29" t="s">
        <v>9072</v>
      </c>
      <c r="JBF29" t="s">
        <v>9073</v>
      </c>
      <c r="JBG29" t="s">
        <v>9074</v>
      </c>
      <c r="JBH29" t="s">
        <v>9075</v>
      </c>
      <c r="JBI29" t="s">
        <v>9076</v>
      </c>
      <c r="JBJ29" t="s">
        <v>9077</v>
      </c>
      <c r="JBK29" t="s">
        <v>9078</v>
      </c>
      <c r="JBL29" t="s">
        <v>9079</v>
      </c>
      <c r="JBM29" t="s">
        <v>9080</v>
      </c>
      <c r="JBN29" t="s">
        <v>9081</v>
      </c>
      <c r="JBO29" t="s">
        <v>9082</v>
      </c>
      <c r="JBP29" t="s">
        <v>9083</v>
      </c>
      <c r="JBQ29" t="s">
        <v>9084</v>
      </c>
      <c r="JBR29" t="s">
        <v>9085</v>
      </c>
      <c r="JBS29" t="s">
        <v>9086</v>
      </c>
      <c r="JBT29" t="s">
        <v>9087</v>
      </c>
      <c r="JBU29" t="s">
        <v>9088</v>
      </c>
      <c r="JBV29" t="s">
        <v>9089</v>
      </c>
      <c r="JBW29" t="s">
        <v>9090</v>
      </c>
      <c r="JBX29" t="s">
        <v>9091</v>
      </c>
      <c r="JBY29" t="s">
        <v>9092</v>
      </c>
      <c r="JBZ29" t="s">
        <v>9093</v>
      </c>
      <c r="JCA29" t="s">
        <v>9094</v>
      </c>
      <c r="JCB29" t="s">
        <v>9095</v>
      </c>
      <c r="JCC29" t="s">
        <v>9096</v>
      </c>
      <c r="JCD29" t="s">
        <v>9097</v>
      </c>
      <c r="JCE29" t="s">
        <v>9098</v>
      </c>
      <c r="JCF29" t="s">
        <v>9099</v>
      </c>
      <c r="JCG29" t="s">
        <v>9100</v>
      </c>
      <c r="JCH29" t="s">
        <v>9101</v>
      </c>
      <c r="JCI29" t="s">
        <v>9102</v>
      </c>
      <c r="JCJ29" t="s">
        <v>9103</v>
      </c>
      <c r="JCK29" t="s">
        <v>9104</v>
      </c>
      <c r="JCL29" t="s">
        <v>9105</v>
      </c>
      <c r="JCM29" t="s">
        <v>9106</v>
      </c>
      <c r="JCN29" t="s">
        <v>9107</v>
      </c>
      <c r="JCO29" t="s">
        <v>9108</v>
      </c>
      <c r="JCP29" t="s">
        <v>9109</v>
      </c>
      <c r="JCQ29" t="s">
        <v>9110</v>
      </c>
      <c r="JCR29" t="s">
        <v>9111</v>
      </c>
      <c r="JCS29" t="s">
        <v>9112</v>
      </c>
      <c r="JCT29" t="s">
        <v>9113</v>
      </c>
      <c r="JCU29" t="s">
        <v>9114</v>
      </c>
      <c r="JCV29" t="s">
        <v>9115</v>
      </c>
      <c r="JCW29" t="s">
        <v>9116</v>
      </c>
      <c r="JCX29" t="s">
        <v>9117</v>
      </c>
      <c r="JCY29" t="s">
        <v>9118</v>
      </c>
      <c r="JCZ29" t="s">
        <v>9119</v>
      </c>
      <c r="JDA29" t="s">
        <v>9120</v>
      </c>
      <c r="JDB29" t="s">
        <v>9121</v>
      </c>
      <c r="JDC29" t="s">
        <v>9122</v>
      </c>
      <c r="JDD29" t="s">
        <v>9123</v>
      </c>
      <c r="JDE29" t="s">
        <v>9124</v>
      </c>
      <c r="JDF29" t="s">
        <v>9125</v>
      </c>
      <c r="JDG29" t="s">
        <v>9126</v>
      </c>
      <c r="JDH29" t="s">
        <v>9127</v>
      </c>
      <c r="JDI29" t="s">
        <v>9128</v>
      </c>
      <c r="JDJ29" t="s">
        <v>9129</v>
      </c>
      <c r="JDK29" t="s">
        <v>9130</v>
      </c>
      <c r="JDL29" t="s">
        <v>9131</v>
      </c>
      <c r="JDM29" t="s">
        <v>9132</v>
      </c>
      <c r="JDN29" t="s">
        <v>9133</v>
      </c>
      <c r="JDO29" t="s">
        <v>9134</v>
      </c>
      <c r="JDP29" t="s">
        <v>9135</v>
      </c>
      <c r="JDQ29" t="s">
        <v>9136</v>
      </c>
      <c r="JDR29" t="s">
        <v>9137</v>
      </c>
      <c r="JDS29" t="s">
        <v>9138</v>
      </c>
      <c r="JDT29" t="s">
        <v>9139</v>
      </c>
      <c r="JDU29" t="s">
        <v>9140</v>
      </c>
      <c r="JDV29" t="s">
        <v>9141</v>
      </c>
      <c r="JDW29" t="s">
        <v>9142</v>
      </c>
      <c r="JDX29" t="s">
        <v>9143</v>
      </c>
      <c r="JDY29" t="s">
        <v>9144</v>
      </c>
      <c r="JDZ29" t="s">
        <v>9145</v>
      </c>
      <c r="JEA29" t="s">
        <v>9146</v>
      </c>
      <c r="JEB29" t="s">
        <v>9147</v>
      </c>
      <c r="JEC29" t="s">
        <v>9148</v>
      </c>
      <c r="JED29" t="s">
        <v>9149</v>
      </c>
      <c r="JEE29" t="s">
        <v>9150</v>
      </c>
      <c r="JEF29" t="s">
        <v>9151</v>
      </c>
      <c r="JEG29" t="s">
        <v>9152</v>
      </c>
      <c r="JEH29" t="s">
        <v>9153</v>
      </c>
      <c r="JEI29" t="s">
        <v>9154</v>
      </c>
      <c r="JEJ29" t="s">
        <v>9155</v>
      </c>
      <c r="JEK29" t="s">
        <v>9156</v>
      </c>
      <c r="JEL29" t="s">
        <v>9157</v>
      </c>
      <c r="JEM29" t="s">
        <v>9158</v>
      </c>
      <c r="JEN29" t="s">
        <v>9159</v>
      </c>
      <c r="JEO29" t="s">
        <v>9160</v>
      </c>
      <c r="JEP29" t="s">
        <v>9161</v>
      </c>
      <c r="JEQ29" t="s">
        <v>9162</v>
      </c>
      <c r="JER29" t="s">
        <v>9163</v>
      </c>
      <c r="JES29" t="s">
        <v>9164</v>
      </c>
      <c r="JET29" t="s">
        <v>9165</v>
      </c>
      <c r="JEU29" t="s">
        <v>9166</v>
      </c>
      <c r="JEV29" t="s">
        <v>9167</v>
      </c>
      <c r="JEW29" t="s">
        <v>9168</v>
      </c>
      <c r="JEX29" t="s">
        <v>9169</v>
      </c>
      <c r="JEY29" t="s">
        <v>9170</v>
      </c>
      <c r="JEZ29" t="s">
        <v>9171</v>
      </c>
      <c r="JFA29" t="s">
        <v>9172</v>
      </c>
      <c r="JFB29" t="s">
        <v>9173</v>
      </c>
      <c r="JFC29" t="s">
        <v>9174</v>
      </c>
      <c r="JFD29" t="s">
        <v>9175</v>
      </c>
      <c r="JFE29" t="s">
        <v>9176</v>
      </c>
      <c r="JFF29" t="s">
        <v>9177</v>
      </c>
      <c r="JFG29" t="s">
        <v>9178</v>
      </c>
      <c r="JFH29" t="s">
        <v>9179</v>
      </c>
      <c r="JFI29" t="s">
        <v>9180</v>
      </c>
      <c r="JFJ29" t="s">
        <v>9181</v>
      </c>
      <c r="JFK29" t="s">
        <v>9182</v>
      </c>
      <c r="JFL29" t="s">
        <v>9183</v>
      </c>
      <c r="JFM29" t="s">
        <v>9184</v>
      </c>
      <c r="JFN29" t="s">
        <v>9185</v>
      </c>
      <c r="JFO29" t="s">
        <v>9186</v>
      </c>
      <c r="JFP29" t="s">
        <v>9187</v>
      </c>
      <c r="JFQ29" t="s">
        <v>9188</v>
      </c>
      <c r="JFR29" t="s">
        <v>9189</v>
      </c>
      <c r="JFS29" t="s">
        <v>9190</v>
      </c>
      <c r="JFT29" t="s">
        <v>9191</v>
      </c>
      <c r="JFU29" t="s">
        <v>9192</v>
      </c>
      <c r="JFV29" t="s">
        <v>9193</v>
      </c>
      <c r="JFW29" t="s">
        <v>9194</v>
      </c>
      <c r="JFX29" t="s">
        <v>9195</v>
      </c>
      <c r="JFY29" t="s">
        <v>9196</v>
      </c>
      <c r="JFZ29" t="s">
        <v>9197</v>
      </c>
      <c r="JGA29" t="s">
        <v>9198</v>
      </c>
      <c r="JGB29" t="s">
        <v>9199</v>
      </c>
      <c r="JGC29" t="s">
        <v>9200</v>
      </c>
      <c r="JGD29" t="s">
        <v>9201</v>
      </c>
      <c r="JGE29" t="s">
        <v>9202</v>
      </c>
      <c r="JGF29" t="s">
        <v>9203</v>
      </c>
      <c r="JGG29" t="s">
        <v>9204</v>
      </c>
      <c r="JGH29" t="s">
        <v>9205</v>
      </c>
      <c r="JGI29" t="s">
        <v>9206</v>
      </c>
      <c r="JGJ29" t="s">
        <v>9207</v>
      </c>
      <c r="JGK29" t="s">
        <v>9208</v>
      </c>
      <c r="JGL29" t="s">
        <v>9209</v>
      </c>
      <c r="JGM29" t="s">
        <v>9210</v>
      </c>
      <c r="JGN29" t="s">
        <v>9211</v>
      </c>
      <c r="JGO29" t="s">
        <v>9212</v>
      </c>
      <c r="JGP29" t="s">
        <v>9213</v>
      </c>
      <c r="JGQ29" t="s">
        <v>9214</v>
      </c>
      <c r="JGR29" t="s">
        <v>9215</v>
      </c>
      <c r="JGS29" t="s">
        <v>9216</v>
      </c>
      <c r="JGT29" t="s">
        <v>9217</v>
      </c>
      <c r="JGU29" t="s">
        <v>9218</v>
      </c>
      <c r="JGV29" t="s">
        <v>9219</v>
      </c>
      <c r="JGW29" t="s">
        <v>9220</v>
      </c>
      <c r="JGX29" t="s">
        <v>9221</v>
      </c>
      <c r="JGY29" t="s">
        <v>9222</v>
      </c>
      <c r="JGZ29" t="s">
        <v>9223</v>
      </c>
      <c r="JHA29" t="s">
        <v>9224</v>
      </c>
      <c r="JHB29" t="s">
        <v>9225</v>
      </c>
      <c r="JHC29" t="s">
        <v>9226</v>
      </c>
      <c r="JHD29" t="s">
        <v>9227</v>
      </c>
      <c r="JHE29" t="s">
        <v>9228</v>
      </c>
      <c r="JHF29" t="s">
        <v>9229</v>
      </c>
      <c r="JHG29" t="s">
        <v>9230</v>
      </c>
      <c r="JHH29" t="s">
        <v>9231</v>
      </c>
      <c r="JHI29" t="s">
        <v>9232</v>
      </c>
      <c r="JHJ29" t="s">
        <v>9233</v>
      </c>
      <c r="JHK29" t="s">
        <v>9234</v>
      </c>
      <c r="JHL29" t="s">
        <v>9235</v>
      </c>
      <c r="JHM29" t="s">
        <v>9236</v>
      </c>
      <c r="JHN29" t="s">
        <v>9237</v>
      </c>
      <c r="JHO29" t="s">
        <v>9238</v>
      </c>
      <c r="JHP29" t="s">
        <v>9239</v>
      </c>
      <c r="JHQ29" t="s">
        <v>9240</v>
      </c>
      <c r="JHR29" t="s">
        <v>9241</v>
      </c>
      <c r="JHS29" t="s">
        <v>9242</v>
      </c>
      <c r="JHT29" t="s">
        <v>9243</v>
      </c>
      <c r="JHU29" t="s">
        <v>9244</v>
      </c>
      <c r="JHV29" t="s">
        <v>9245</v>
      </c>
      <c r="JHW29" t="s">
        <v>9246</v>
      </c>
      <c r="JHX29" t="s">
        <v>9247</v>
      </c>
      <c r="JHY29" t="s">
        <v>9248</v>
      </c>
      <c r="JHZ29" t="s">
        <v>9249</v>
      </c>
      <c r="JIA29" t="s">
        <v>9250</v>
      </c>
      <c r="JIB29" t="s">
        <v>9251</v>
      </c>
      <c r="JIC29" t="s">
        <v>9252</v>
      </c>
      <c r="JID29" t="s">
        <v>9253</v>
      </c>
      <c r="JIE29" t="s">
        <v>9254</v>
      </c>
      <c r="JIF29" t="s">
        <v>9255</v>
      </c>
      <c r="JIG29" t="s">
        <v>9256</v>
      </c>
      <c r="JIH29" t="s">
        <v>9257</v>
      </c>
      <c r="JII29" t="s">
        <v>9258</v>
      </c>
      <c r="JIJ29" t="s">
        <v>9259</v>
      </c>
      <c r="JIK29" t="s">
        <v>9260</v>
      </c>
      <c r="JIL29" t="s">
        <v>9261</v>
      </c>
      <c r="JIM29" t="s">
        <v>9262</v>
      </c>
      <c r="JIN29" t="s">
        <v>9263</v>
      </c>
      <c r="JIO29" t="s">
        <v>9264</v>
      </c>
      <c r="JIP29" t="s">
        <v>9265</v>
      </c>
      <c r="JIQ29" t="s">
        <v>9266</v>
      </c>
      <c r="JIR29" t="s">
        <v>9267</v>
      </c>
      <c r="JIS29" t="s">
        <v>9268</v>
      </c>
      <c r="JIT29" t="s">
        <v>9269</v>
      </c>
      <c r="JIU29" t="s">
        <v>9270</v>
      </c>
      <c r="JIV29" t="s">
        <v>9271</v>
      </c>
      <c r="JIW29" t="s">
        <v>9272</v>
      </c>
      <c r="JIX29" t="s">
        <v>9273</v>
      </c>
      <c r="JIY29" t="s">
        <v>9274</v>
      </c>
      <c r="JIZ29" t="s">
        <v>9275</v>
      </c>
      <c r="JJA29" t="s">
        <v>9276</v>
      </c>
      <c r="JJB29" t="s">
        <v>9277</v>
      </c>
      <c r="JJC29" t="s">
        <v>9278</v>
      </c>
      <c r="JJD29" t="s">
        <v>9279</v>
      </c>
      <c r="JJE29" t="s">
        <v>9280</v>
      </c>
      <c r="JJF29" t="s">
        <v>9281</v>
      </c>
      <c r="JJG29" t="s">
        <v>9282</v>
      </c>
      <c r="JJH29" t="s">
        <v>9283</v>
      </c>
      <c r="JJI29" t="s">
        <v>9284</v>
      </c>
      <c r="JJJ29" t="s">
        <v>9285</v>
      </c>
      <c r="JJK29" t="s">
        <v>9286</v>
      </c>
      <c r="JJL29" t="s">
        <v>9287</v>
      </c>
      <c r="JJM29" t="s">
        <v>9288</v>
      </c>
      <c r="JJN29" t="s">
        <v>9289</v>
      </c>
      <c r="JJO29" t="s">
        <v>9290</v>
      </c>
      <c r="JJP29" t="s">
        <v>9291</v>
      </c>
      <c r="JJQ29" t="s">
        <v>9292</v>
      </c>
      <c r="JJR29" t="s">
        <v>9293</v>
      </c>
      <c r="JJS29" t="s">
        <v>9294</v>
      </c>
      <c r="JJT29" t="s">
        <v>9295</v>
      </c>
      <c r="JJU29" t="s">
        <v>9296</v>
      </c>
      <c r="JJV29" t="s">
        <v>9297</v>
      </c>
      <c r="JJW29" t="s">
        <v>9298</v>
      </c>
      <c r="JJX29" t="s">
        <v>9299</v>
      </c>
      <c r="JJY29" t="s">
        <v>9300</v>
      </c>
      <c r="JJZ29" t="s">
        <v>9301</v>
      </c>
      <c r="JKA29" t="s">
        <v>9302</v>
      </c>
      <c r="JKB29" t="s">
        <v>9303</v>
      </c>
      <c r="JKC29" t="s">
        <v>9304</v>
      </c>
      <c r="JKD29" t="s">
        <v>9305</v>
      </c>
      <c r="JKE29" t="s">
        <v>9306</v>
      </c>
      <c r="JKF29" t="s">
        <v>9307</v>
      </c>
      <c r="JKG29" t="s">
        <v>9308</v>
      </c>
      <c r="JKH29" t="s">
        <v>9309</v>
      </c>
      <c r="JKI29" t="s">
        <v>9310</v>
      </c>
      <c r="JKJ29" t="s">
        <v>9311</v>
      </c>
      <c r="JKK29" t="s">
        <v>9312</v>
      </c>
      <c r="JKL29" t="s">
        <v>9313</v>
      </c>
      <c r="JKM29" t="s">
        <v>9314</v>
      </c>
      <c r="JKN29" t="s">
        <v>9315</v>
      </c>
      <c r="JKO29" t="s">
        <v>9316</v>
      </c>
      <c r="JKP29" t="s">
        <v>9317</v>
      </c>
      <c r="JKQ29" t="s">
        <v>9318</v>
      </c>
      <c r="JKR29" t="s">
        <v>9319</v>
      </c>
      <c r="JKS29" t="s">
        <v>9320</v>
      </c>
      <c r="JKT29" t="s">
        <v>9321</v>
      </c>
      <c r="JKU29" t="s">
        <v>9322</v>
      </c>
      <c r="JKV29" t="s">
        <v>9323</v>
      </c>
      <c r="JKW29" t="s">
        <v>9324</v>
      </c>
      <c r="JKX29" t="s">
        <v>9325</v>
      </c>
      <c r="JKY29" t="s">
        <v>9326</v>
      </c>
      <c r="JKZ29" t="s">
        <v>9327</v>
      </c>
      <c r="JLA29" t="s">
        <v>9328</v>
      </c>
      <c r="JLB29" t="s">
        <v>9329</v>
      </c>
      <c r="JLC29" t="s">
        <v>9330</v>
      </c>
      <c r="JLD29" t="s">
        <v>9331</v>
      </c>
      <c r="JLE29" t="s">
        <v>9332</v>
      </c>
      <c r="JLF29" t="s">
        <v>9333</v>
      </c>
      <c r="JLG29" t="s">
        <v>9334</v>
      </c>
      <c r="JLH29" t="s">
        <v>9335</v>
      </c>
      <c r="JLI29" t="s">
        <v>9336</v>
      </c>
      <c r="JLJ29" t="s">
        <v>9337</v>
      </c>
      <c r="JLK29" t="s">
        <v>9338</v>
      </c>
      <c r="JLL29" t="s">
        <v>9339</v>
      </c>
      <c r="JLM29" t="s">
        <v>9340</v>
      </c>
      <c r="JLN29" t="s">
        <v>9341</v>
      </c>
      <c r="JLO29" t="s">
        <v>9342</v>
      </c>
      <c r="JLP29" t="s">
        <v>9343</v>
      </c>
      <c r="JLQ29" t="s">
        <v>9344</v>
      </c>
      <c r="JLR29" t="s">
        <v>9345</v>
      </c>
      <c r="JLS29" t="s">
        <v>9346</v>
      </c>
      <c r="JLT29" t="s">
        <v>9347</v>
      </c>
      <c r="JLU29" t="s">
        <v>9348</v>
      </c>
      <c r="JLV29" t="s">
        <v>9349</v>
      </c>
      <c r="JLW29" t="s">
        <v>9350</v>
      </c>
      <c r="JLX29" t="s">
        <v>9351</v>
      </c>
      <c r="JLY29" t="s">
        <v>9352</v>
      </c>
      <c r="JLZ29" t="s">
        <v>9353</v>
      </c>
      <c r="JMA29" t="s">
        <v>9354</v>
      </c>
      <c r="JMB29" t="s">
        <v>9355</v>
      </c>
      <c r="JMC29" t="s">
        <v>9356</v>
      </c>
      <c r="JMD29" t="s">
        <v>9357</v>
      </c>
      <c r="JME29" t="s">
        <v>9358</v>
      </c>
      <c r="JMF29" t="s">
        <v>9359</v>
      </c>
      <c r="JMG29" t="s">
        <v>9360</v>
      </c>
      <c r="JMH29" t="s">
        <v>9361</v>
      </c>
      <c r="JMI29" t="s">
        <v>9362</v>
      </c>
      <c r="JMJ29" t="s">
        <v>9363</v>
      </c>
      <c r="JMK29" t="s">
        <v>9364</v>
      </c>
      <c r="JML29" t="s">
        <v>9365</v>
      </c>
      <c r="JMM29" t="s">
        <v>9366</v>
      </c>
      <c r="JMN29" t="s">
        <v>9367</v>
      </c>
      <c r="JMO29" t="s">
        <v>9368</v>
      </c>
      <c r="JMP29" t="s">
        <v>9369</v>
      </c>
      <c r="JMQ29" t="s">
        <v>9370</v>
      </c>
      <c r="JMR29" t="s">
        <v>9371</v>
      </c>
      <c r="JMS29" t="s">
        <v>9372</v>
      </c>
      <c r="JMT29" t="s">
        <v>9373</v>
      </c>
      <c r="JMU29" t="s">
        <v>9374</v>
      </c>
      <c r="JMV29" t="s">
        <v>9375</v>
      </c>
      <c r="JMW29" t="s">
        <v>9376</v>
      </c>
      <c r="JMX29" t="s">
        <v>9377</v>
      </c>
      <c r="JMY29" t="s">
        <v>9378</v>
      </c>
      <c r="JMZ29" t="s">
        <v>9379</v>
      </c>
      <c r="JNA29" t="s">
        <v>9380</v>
      </c>
      <c r="JNB29" t="s">
        <v>9381</v>
      </c>
      <c r="JNC29" t="s">
        <v>9382</v>
      </c>
      <c r="JND29" t="s">
        <v>9383</v>
      </c>
      <c r="JNE29" t="s">
        <v>9384</v>
      </c>
      <c r="JNF29" t="s">
        <v>9385</v>
      </c>
      <c r="JNG29" t="s">
        <v>9386</v>
      </c>
      <c r="JNH29" t="s">
        <v>9387</v>
      </c>
      <c r="JNI29" t="s">
        <v>9388</v>
      </c>
      <c r="JNJ29" t="s">
        <v>9389</v>
      </c>
      <c r="JNK29" t="s">
        <v>9390</v>
      </c>
      <c r="JNL29" t="s">
        <v>9391</v>
      </c>
      <c r="JNM29" t="s">
        <v>9392</v>
      </c>
      <c r="JNN29" t="s">
        <v>9393</v>
      </c>
      <c r="JNO29" t="s">
        <v>9394</v>
      </c>
      <c r="JNP29" t="s">
        <v>9395</v>
      </c>
      <c r="JNQ29" t="s">
        <v>9396</v>
      </c>
      <c r="JNR29" t="s">
        <v>9397</v>
      </c>
      <c r="JNS29" t="s">
        <v>9398</v>
      </c>
      <c r="JNT29" t="s">
        <v>9399</v>
      </c>
      <c r="JNU29" t="s">
        <v>9400</v>
      </c>
      <c r="JNV29" t="s">
        <v>9401</v>
      </c>
      <c r="JNW29" t="s">
        <v>9402</v>
      </c>
      <c r="JNX29" t="s">
        <v>9403</v>
      </c>
      <c r="JNY29" t="s">
        <v>9404</v>
      </c>
      <c r="JNZ29" t="s">
        <v>9405</v>
      </c>
      <c r="JOA29" t="s">
        <v>9406</v>
      </c>
      <c r="JOB29" t="s">
        <v>9407</v>
      </c>
      <c r="JOC29" t="s">
        <v>9408</v>
      </c>
      <c r="JOD29" t="s">
        <v>9409</v>
      </c>
      <c r="JOE29" t="s">
        <v>9410</v>
      </c>
      <c r="JOF29" t="s">
        <v>9411</v>
      </c>
      <c r="JOG29" t="s">
        <v>9412</v>
      </c>
      <c r="JOH29" t="s">
        <v>9413</v>
      </c>
      <c r="JOI29" t="s">
        <v>9414</v>
      </c>
      <c r="JOJ29" t="s">
        <v>9415</v>
      </c>
      <c r="JOK29" t="s">
        <v>9416</v>
      </c>
      <c r="JOL29" t="s">
        <v>9417</v>
      </c>
      <c r="JOM29" t="s">
        <v>9418</v>
      </c>
      <c r="JON29" t="s">
        <v>9419</v>
      </c>
      <c r="JOO29" t="s">
        <v>9420</v>
      </c>
      <c r="JOP29" t="s">
        <v>9421</v>
      </c>
      <c r="JOQ29" t="s">
        <v>9422</v>
      </c>
      <c r="JOR29" t="s">
        <v>9423</v>
      </c>
      <c r="JOS29" t="s">
        <v>9424</v>
      </c>
      <c r="JOT29" t="s">
        <v>9425</v>
      </c>
      <c r="JOU29" t="s">
        <v>9426</v>
      </c>
      <c r="JOV29" t="s">
        <v>9427</v>
      </c>
      <c r="JOW29" t="s">
        <v>9428</v>
      </c>
      <c r="JOX29" t="s">
        <v>9429</v>
      </c>
      <c r="JOY29" t="s">
        <v>9430</v>
      </c>
      <c r="JOZ29" t="s">
        <v>9431</v>
      </c>
      <c r="JPA29" t="s">
        <v>9432</v>
      </c>
      <c r="JPB29" t="s">
        <v>9433</v>
      </c>
      <c r="JPC29" t="s">
        <v>9434</v>
      </c>
      <c r="JPD29" t="s">
        <v>9435</v>
      </c>
      <c r="JPE29" t="s">
        <v>9436</v>
      </c>
      <c r="JPF29" t="s">
        <v>9437</v>
      </c>
      <c r="JPG29" t="s">
        <v>9438</v>
      </c>
      <c r="JPH29" t="s">
        <v>9439</v>
      </c>
      <c r="JPI29" t="s">
        <v>9440</v>
      </c>
      <c r="JPJ29" t="s">
        <v>9441</v>
      </c>
      <c r="JPK29" t="s">
        <v>9442</v>
      </c>
      <c r="JPL29" t="s">
        <v>9443</v>
      </c>
      <c r="JPM29" t="s">
        <v>9444</v>
      </c>
      <c r="JPN29" t="s">
        <v>9445</v>
      </c>
      <c r="JPO29" t="s">
        <v>9446</v>
      </c>
      <c r="JPP29" t="s">
        <v>9447</v>
      </c>
      <c r="JPQ29" t="s">
        <v>9448</v>
      </c>
      <c r="JPR29" t="s">
        <v>9449</v>
      </c>
      <c r="JPS29" t="s">
        <v>9450</v>
      </c>
      <c r="JPT29" t="s">
        <v>9451</v>
      </c>
      <c r="JPU29" t="s">
        <v>9452</v>
      </c>
      <c r="JPV29" t="s">
        <v>9453</v>
      </c>
      <c r="JPW29" t="s">
        <v>9454</v>
      </c>
      <c r="JPX29" t="s">
        <v>9455</v>
      </c>
      <c r="JPY29" t="s">
        <v>9456</v>
      </c>
      <c r="JPZ29" t="s">
        <v>9457</v>
      </c>
      <c r="JQA29" t="s">
        <v>9458</v>
      </c>
      <c r="JQB29" t="s">
        <v>9459</v>
      </c>
      <c r="JQC29" t="s">
        <v>9460</v>
      </c>
      <c r="JQD29" t="s">
        <v>9461</v>
      </c>
      <c r="JQE29" t="s">
        <v>9462</v>
      </c>
      <c r="JQF29" t="s">
        <v>9463</v>
      </c>
      <c r="JQG29" t="s">
        <v>9464</v>
      </c>
      <c r="JQH29" t="s">
        <v>9465</v>
      </c>
      <c r="JQI29" t="s">
        <v>9466</v>
      </c>
      <c r="JQJ29" t="s">
        <v>9467</v>
      </c>
      <c r="JQK29" t="s">
        <v>9468</v>
      </c>
      <c r="JQL29" t="s">
        <v>9469</v>
      </c>
      <c r="JQM29" t="s">
        <v>9470</v>
      </c>
      <c r="JQN29" t="s">
        <v>9471</v>
      </c>
      <c r="JQO29" t="s">
        <v>9472</v>
      </c>
      <c r="JQP29" t="s">
        <v>9473</v>
      </c>
      <c r="JQQ29" t="s">
        <v>9474</v>
      </c>
      <c r="JQR29" t="s">
        <v>9475</v>
      </c>
      <c r="JQS29" t="s">
        <v>9476</v>
      </c>
      <c r="JQT29" t="s">
        <v>9477</v>
      </c>
      <c r="JQU29" t="s">
        <v>9478</v>
      </c>
      <c r="JQV29" t="s">
        <v>9479</v>
      </c>
      <c r="JQW29" t="s">
        <v>9480</v>
      </c>
      <c r="JQX29" t="s">
        <v>9481</v>
      </c>
      <c r="JQY29" t="s">
        <v>9482</v>
      </c>
      <c r="JQZ29" t="s">
        <v>9483</v>
      </c>
      <c r="JRA29" t="s">
        <v>9484</v>
      </c>
      <c r="JRB29" t="s">
        <v>9485</v>
      </c>
      <c r="JRC29" t="s">
        <v>9486</v>
      </c>
      <c r="JRD29" t="s">
        <v>9487</v>
      </c>
      <c r="JRE29" t="s">
        <v>9488</v>
      </c>
      <c r="JRF29" t="s">
        <v>9489</v>
      </c>
      <c r="JRG29" t="s">
        <v>9490</v>
      </c>
      <c r="JRH29" t="s">
        <v>9491</v>
      </c>
      <c r="JRI29" t="s">
        <v>9492</v>
      </c>
      <c r="JRJ29" t="s">
        <v>9493</v>
      </c>
      <c r="JRK29" t="s">
        <v>9494</v>
      </c>
      <c r="JRL29" t="s">
        <v>9495</v>
      </c>
      <c r="JRM29" t="s">
        <v>9496</v>
      </c>
      <c r="JRN29" t="s">
        <v>9497</v>
      </c>
      <c r="JRO29" t="s">
        <v>9498</v>
      </c>
      <c r="JRP29" t="s">
        <v>9499</v>
      </c>
      <c r="JRQ29" t="s">
        <v>9500</v>
      </c>
      <c r="JRR29" t="s">
        <v>9501</v>
      </c>
      <c r="JRS29" t="s">
        <v>9502</v>
      </c>
      <c r="JRT29" t="s">
        <v>9503</v>
      </c>
      <c r="JRU29" t="s">
        <v>9504</v>
      </c>
      <c r="JRV29" t="s">
        <v>9505</v>
      </c>
      <c r="JRW29" t="s">
        <v>9506</v>
      </c>
      <c r="JRX29" t="s">
        <v>9507</v>
      </c>
      <c r="JRY29" t="s">
        <v>9508</v>
      </c>
      <c r="JRZ29" t="s">
        <v>9509</v>
      </c>
      <c r="JSA29" t="s">
        <v>9510</v>
      </c>
      <c r="JSB29" t="s">
        <v>9511</v>
      </c>
      <c r="JSC29" t="s">
        <v>9512</v>
      </c>
      <c r="JSD29" t="s">
        <v>9513</v>
      </c>
      <c r="JSE29" t="s">
        <v>9514</v>
      </c>
      <c r="JSF29" t="s">
        <v>9515</v>
      </c>
      <c r="JSG29" t="s">
        <v>9516</v>
      </c>
      <c r="JSH29" t="s">
        <v>9517</v>
      </c>
      <c r="JSI29" t="s">
        <v>9518</v>
      </c>
      <c r="JSJ29" t="s">
        <v>9519</v>
      </c>
      <c r="JSK29" t="s">
        <v>9520</v>
      </c>
      <c r="JSL29" t="s">
        <v>9521</v>
      </c>
      <c r="JSM29" t="s">
        <v>9522</v>
      </c>
      <c r="JSN29" t="s">
        <v>9523</v>
      </c>
      <c r="JSO29" t="s">
        <v>9524</v>
      </c>
      <c r="JSP29" t="s">
        <v>9525</v>
      </c>
      <c r="JSQ29" t="s">
        <v>9526</v>
      </c>
      <c r="JSR29" t="s">
        <v>9527</v>
      </c>
      <c r="JSS29" t="s">
        <v>9528</v>
      </c>
      <c r="JST29" t="s">
        <v>9529</v>
      </c>
      <c r="JSU29" t="s">
        <v>9530</v>
      </c>
      <c r="JSV29" t="s">
        <v>9531</v>
      </c>
      <c r="JSW29" t="s">
        <v>9532</v>
      </c>
      <c r="JSX29" t="s">
        <v>9533</v>
      </c>
      <c r="JSY29" t="s">
        <v>9534</v>
      </c>
      <c r="JSZ29" t="s">
        <v>9535</v>
      </c>
      <c r="JTA29" t="s">
        <v>9536</v>
      </c>
      <c r="JTB29" t="s">
        <v>9537</v>
      </c>
      <c r="JTC29" t="s">
        <v>9538</v>
      </c>
      <c r="JTD29" t="s">
        <v>9539</v>
      </c>
      <c r="JTE29" t="s">
        <v>9540</v>
      </c>
      <c r="JTF29" t="s">
        <v>9541</v>
      </c>
      <c r="JTG29" t="s">
        <v>9542</v>
      </c>
      <c r="JTH29" t="s">
        <v>9543</v>
      </c>
      <c r="JTI29" t="s">
        <v>9544</v>
      </c>
      <c r="JTJ29" t="s">
        <v>9545</v>
      </c>
      <c r="JTK29" t="s">
        <v>9546</v>
      </c>
      <c r="JTL29" t="s">
        <v>9547</v>
      </c>
      <c r="JTM29" t="s">
        <v>9548</v>
      </c>
      <c r="JTN29" t="s">
        <v>9549</v>
      </c>
      <c r="JTO29" t="s">
        <v>9550</v>
      </c>
      <c r="JTP29" t="s">
        <v>9551</v>
      </c>
      <c r="JTQ29" t="s">
        <v>9552</v>
      </c>
      <c r="JTR29" t="s">
        <v>9553</v>
      </c>
      <c r="JTS29" t="s">
        <v>9554</v>
      </c>
      <c r="JTT29" t="s">
        <v>9555</v>
      </c>
      <c r="JTU29" t="s">
        <v>9556</v>
      </c>
      <c r="JTV29" t="s">
        <v>9557</v>
      </c>
      <c r="JTW29" t="s">
        <v>9558</v>
      </c>
      <c r="JTX29" t="s">
        <v>9559</v>
      </c>
      <c r="JTY29" t="s">
        <v>9560</v>
      </c>
      <c r="JTZ29" t="s">
        <v>9561</v>
      </c>
      <c r="JUA29" t="s">
        <v>9562</v>
      </c>
      <c r="JUB29" t="s">
        <v>9563</v>
      </c>
      <c r="JUC29" t="s">
        <v>9564</v>
      </c>
      <c r="JUD29" t="s">
        <v>9565</v>
      </c>
      <c r="JUE29" t="s">
        <v>9566</v>
      </c>
      <c r="JUF29" t="s">
        <v>9567</v>
      </c>
      <c r="JUG29" t="s">
        <v>9568</v>
      </c>
      <c r="JUH29" t="s">
        <v>9569</v>
      </c>
      <c r="JUI29" t="s">
        <v>9570</v>
      </c>
      <c r="JUJ29" t="s">
        <v>9571</v>
      </c>
      <c r="JUK29" t="s">
        <v>9572</v>
      </c>
      <c r="JUL29" t="s">
        <v>9573</v>
      </c>
      <c r="JUM29" t="s">
        <v>9574</v>
      </c>
      <c r="JUN29" t="s">
        <v>9575</v>
      </c>
      <c r="JUO29" t="s">
        <v>9576</v>
      </c>
      <c r="JUP29" t="s">
        <v>9577</v>
      </c>
      <c r="JUQ29" t="s">
        <v>9578</v>
      </c>
      <c r="JUR29" t="s">
        <v>9579</v>
      </c>
      <c r="JUS29" t="s">
        <v>9580</v>
      </c>
      <c r="JUT29" t="s">
        <v>9581</v>
      </c>
      <c r="JUU29" t="s">
        <v>9582</v>
      </c>
      <c r="JUV29" t="s">
        <v>9583</v>
      </c>
      <c r="JUW29" t="s">
        <v>9584</v>
      </c>
      <c r="JUX29" t="s">
        <v>9585</v>
      </c>
      <c r="JUY29" t="s">
        <v>9586</v>
      </c>
      <c r="JUZ29" t="s">
        <v>9587</v>
      </c>
      <c r="JVA29" t="s">
        <v>9588</v>
      </c>
      <c r="JVB29" t="s">
        <v>9589</v>
      </c>
      <c r="JVC29" t="s">
        <v>9590</v>
      </c>
      <c r="JVD29" t="s">
        <v>9591</v>
      </c>
      <c r="JVE29" t="s">
        <v>9592</v>
      </c>
      <c r="JVF29" t="s">
        <v>9593</v>
      </c>
      <c r="JVG29" t="s">
        <v>9594</v>
      </c>
      <c r="JVH29" t="s">
        <v>9595</v>
      </c>
      <c r="JVI29" t="s">
        <v>9596</v>
      </c>
      <c r="JVJ29" t="s">
        <v>9597</v>
      </c>
      <c r="JVK29" t="s">
        <v>9598</v>
      </c>
      <c r="JVL29" t="s">
        <v>9599</v>
      </c>
      <c r="JVM29" t="s">
        <v>9600</v>
      </c>
      <c r="JVN29" t="s">
        <v>9601</v>
      </c>
      <c r="JVO29" t="s">
        <v>9602</v>
      </c>
      <c r="JVP29" t="s">
        <v>9603</v>
      </c>
      <c r="JVQ29" t="s">
        <v>9604</v>
      </c>
      <c r="JVR29" t="s">
        <v>9605</v>
      </c>
      <c r="JVS29" t="s">
        <v>9606</v>
      </c>
      <c r="JVT29" t="s">
        <v>9607</v>
      </c>
      <c r="JVU29" t="s">
        <v>9608</v>
      </c>
      <c r="JVV29" t="s">
        <v>9609</v>
      </c>
      <c r="JVW29" t="s">
        <v>9610</v>
      </c>
      <c r="JVX29" t="s">
        <v>9611</v>
      </c>
      <c r="JVY29" t="s">
        <v>9612</v>
      </c>
      <c r="JVZ29" t="s">
        <v>9613</v>
      </c>
      <c r="JWA29" t="s">
        <v>9614</v>
      </c>
      <c r="JWB29" t="s">
        <v>9615</v>
      </c>
      <c r="JWC29" t="s">
        <v>9616</v>
      </c>
      <c r="JWD29" t="s">
        <v>9617</v>
      </c>
      <c r="JWE29" t="s">
        <v>9618</v>
      </c>
      <c r="JWF29" t="s">
        <v>9619</v>
      </c>
      <c r="JWG29" t="s">
        <v>9620</v>
      </c>
      <c r="JWH29" t="s">
        <v>9621</v>
      </c>
      <c r="JWI29" t="s">
        <v>9622</v>
      </c>
      <c r="JWJ29" t="s">
        <v>9623</v>
      </c>
      <c r="JWK29" t="s">
        <v>9624</v>
      </c>
      <c r="JWL29" t="s">
        <v>9625</v>
      </c>
      <c r="JWM29" t="s">
        <v>9626</v>
      </c>
      <c r="JWN29" t="s">
        <v>9627</v>
      </c>
      <c r="JWO29" t="s">
        <v>9628</v>
      </c>
      <c r="JWP29" t="s">
        <v>9629</v>
      </c>
      <c r="JWQ29" t="s">
        <v>9630</v>
      </c>
      <c r="JWR29" t="s">
        <v>9631</v>
      </c>
      <c r="JWS29" t="s">
        <v>9632</v>
      </c>
      <c r="JWT29" t="s">
        <v>9633</v>
      </c>
      <c r="JWU29" t="s">
        <v>9634</v>
      </c>
      <c r="JWV29" t="s">
        <v>9635</v>
      </c>
      <c r="JWW29" t="s">
        <v>9636</v>
      </c>
      <c r="JWX29" t="s">
        <v>9637</v>
      </c>
      <c r="JWY29" t="s">
        <v>9638</v>
      </c>
      <c r="JWZ29" t="s">
        <v>9639</v>
      </c>
      <c r="JXA29" t="s">
        <v>9640</v>
      </c>
      <c r="JXB29" t="s">
        <v>9641</v>
      </c>
      <c r="JXC29" t="s">
        <v>9642</v>
      </c>
      <c r="JXD29" t="s">
        <v>9643</v>
      </c>
      <c r="JXE29" t="s">
        <v>9644</v>
      </c>
      <c r="JXF29" t="s">
        <v>9645</v>
      </c>
      <c r="JXG29" t="s">
        <v>9646</v>
      </c>
      <c r="JXH29" t="s">
        <v>9647</v>
      </c>
      <c r="JXI29" t="s">
        <v>9648</v>
      </c>
      <c r="JXJ29" t="s">
        <v>9649</v>
      </c>
      <c r="JXK29" t="s">
        <v>9650</v>
      </c>
      <c r="JXL29" t="s">
        <v>9651</v>
      </c>
      <c r="JXM29" t="s">
        <v>9652</v>
      </c>
      <c r="JXN29" t="s">
        <v>9653</v>
      </c>
      <c r="JXO29" t="s">
        <v>9654</v>
      </c>
      <c r="JXP29" t="s">
        <v>9655</v>
      </c>
      <c r="JXQ29" t="s">
        <v>9656</v>
      </c>
      <c r="JXR29" t="s">
        <v>9657</v>
      </c>
      <c r="JXS29" t="s">
        <v>9658</v>
      </c>
      <c r="JXT29" t="s">
        <v>9659</v>
      </c>
      <c r="JXU29" t="s">
        <v>9660</v>
      </c>
      <c r="JXV29" t="s">
        <v>9661</v>
      </c>
      <c r="JXW29" t="s">
        <v>9662</v>
      </c>
      <c r="JXX29" t="s">
        <v>9663</v>
      </c>
      <c r="JXY29" t="s">
        <v>9664</v>
      </c>
      <c r="JXZ29" t="s">
        <v>9665</v>
      </c>
      <c r="JYA29" t="s">
        <v>9666</v>
      </c>
      <c r="JYB29" t="s">
        <v>9667</v>
      </c>
      <c r="JYC29" t="s">
        <v>9668</v>
      </c>
      <c r="JYD29" t="s">
        <v>9669</v>
      </c>
      <c r="JYE29" t="s">
        <v>9670</v>
      </c>
      <c r="JYF29" t="s">
        <v>9671</v>
      </c>
      <c r="JYG29" t="s">
        <v>9672</v>
      </c>
      <c r="JYH29" t="s">
        <v>9673</v>
      </c>
      <c r="JYI29" t="s">
        <v>9674</v>
      </c>
      <c r="JYJ29" t="s">
        <v>9675</v>
      </c>
      <c r="JYK29" t="s">
        <v>9676</v>
      </c>
      <c r="JYL29" t="s">
        <v>9677</v>
      </c>
      <c r="JYM29" t="s">
        <v>9678</v>
      </c>
      <c r="JYN29" t="s">
        <v>9679</v>
      </c>
      <c r="JYO29" t="s">
        <v>9680</v>
      </c>
      <c r="JYP29" t="s">
        <v>9681</v>
      </c>
      <c r="JYQ29" t="s">
        <v>9682</v>
      </c>
      <c r="JYR29" t="s">
        <v>9683</v>
      </c>
      <c r="JYS29" t="s">
        <v>9684</v>
      </c>
      <c r="JYT29" t="s">
        <v>9685</v>
      </c>
      <c r="JYU29" t="s">
        <v>9686</v>
      </c>
      <c r="JYV29" t="s">
        <v>9687</v>
      </c>
      <c r="JYW29" t="s">
        <v>9688</v>
      </c>
      <c r="JYX29" t="s">
        <v>9689</v>
      </c>
      <c r="JYY29" t="s">
        <v>9690</v>
      </c>
      <c r="JYZ29" t="s">
        <v>9691</v>
      </c>
      <c r="JZA29" t="s">
        <v>9692</v>
      </c>
      <c r="JZB29" t="s">
        <v>9693</v>
      </c>
      <c r="JZC29" t="s">
        <v>9694</v>
      </c>
      <c r="JZD29" t="s">
        <v>9695</v>
      </c>
      <c r="JZE29" t="s">
        <v>9696</v>
      </c>
      <c r="JZF29" t="s">
        <v>9697</v>
      </c>
      <c r="JZG29" t="s">
        <v>9698</v>
      </c>
      <c r="JZH29" t="s">
        <v>9699</v>
      </c>
      <c r="JZI29" t="s">
        <v>9700</v>
      </c>
      <c r="JZJ29" t="s">
        <v>9701</v>
      </c>
      <c r="JZK29" t="s">
        <v>9702</v>
      </c>
      <c r="JZL29" t="s">
        <v>9703</v>
      </c>
      <c r="JZM29" t="s">
        <v>9704</v>
      </c>
      <c r="JZN29" t="s">
        <v>9705</v>
      </c>
      <c r="JZO29" t="s">
        <v>9706</v>
      </c>
      <c r="JZP29" t="s">
        <v>9707</v>
      </c>
      <c r="JZQ29" t="s">
        <v>9708</v>
      </c>
      <c r="JZR29" t="s">
        <v>9709</v>
      </c>
      <c r="JZS29" t="s">
        <v>9710</v>
      </c>
      <c r="JZT29" t="s">
        <v>9711</v>
      </c>
      <c r="JZU29" t="s">
        <v>9712</v>
      </c>
      <c r="JZV29" t="s">
        <v>9713</v>
      </c>
      <c r="JZW29" t="s">
        <v>9714</v>
      </c>
      <c r="JZX29" t="s">
        <v>9715</v>
      </c>
      <c r="JZY29" t="s">
        <v>9716</v>
      </c>
      <c r="JZZ29" t="s">
        <v>9717</v>
      </c>
      <c r="KAA29" t="s">
        <v>9718</v>
      </c>
      <c r="KAB29" t="s">
        <v>9719</v>
      </c>
      <c r="KAC29" t="s">
        <v>9720</v>
      </c>
      <c r="KAD29" t="s">
        <v>9721</v>
      </c>
      <c r="KAE29" t="s">
        <v>9722</v>
      </c>
      <c r="KAF29" t="s">
        <v>9723</v>
      </c>
      <c r="KAG29" t="s">
        <v>9724</v>
      </c>
      <c r="KAH29" t="s">
        <v>9725</v>
      </c>
      <c r="KAI29" t="s">
        <v>9726</v>
      </c>
      <c r="KAJ29" t="s">
        <v>9727</v>
      </c>
      <c r="KAK29" t="s">
        <v>9728</v>
      </c>
      <c r="KAL29" t="s">
        <v>9729</v>
      </c>
      <c r="KAM29" t="s">
        <v>9730</v>
      </c>
      <c r="KAN29" t="s">
        <v>9731</v>
      </c>
      <c r="KAO29" t="s">
        <v>9732</v>
      </c>
      <c r="KAP29" t="s">
        <v>9733</v>
      </c>
      <c r="KAQ29" t="s">
        <v>9734</v>
      </c>
      <c r="KAR29" t="s">
        <v>9735</v>
      </c>
      <c r="KAS29" t="s">
        <v>9736</v>
      </c>
      <c r="KAT29" t="s">
        <v>9737</v>
      </c>
      <c r="KAU29" t="s">
        <v>9738</v>
      </c>
      <c r="KAV29" t="s">
        <v>9739</v>
      </c>
      <c r="KAW29" t="s">
        <v>9740</v>
      </c>
      <c r="KAX29" t="s">
        <v>9741</v>
      </c>
      <c r="KAY29" t="s">
        <v>9742</v>
      </c>
      <c r="KAZ29" t="s">
        <v>9743</v>
      </c>
      <c r="KBA29" t="s">
        <v>9744</v>
      </c>
      <c r="KBB29" t="s">
        <v>9745</v>
      </c>
      <c r="KBC29" t="s">
        <v>9746</v>
      </c>
      <c r="KBD29" t="s">
        <v>9747</v>
      </c>
      <c r="KBE29" t="s">
        <v>9748</v>
      </c>
      <c r="KBF29" t="s">
        <v>9749</v>
      </c>
      <c r="KBG29" t="s">
        <v>9750</v>
      </c>
      <c r="KBH29" t="s">
        <v>9751</v>
      </c>
      <c r="KBI29" t="s">
        <v>9752</v>
      </c>
      <c r="KBJ29" t="s">
        <v>9753</v>
      </c>
      <c r="KBK29" t="s">
        <v>9754</v>
      </c>
      <c r="KBL29" t="s">
        <v>9755</v>
      </c>
      <c r="KBM29" t="s">
        <v>9756</v>
      </c>
      <c r="KBN29" t="s">
        <v>9757</v>
      </c>
      <c r="KBO29" t="s">
        <v>9758</v>
      </c>
      <c r="KBP29" t="s">
        <v>9759</v>
      </c>
      <c r="KBQ29" t="s">
        <v>9760</v>
      </c>
      <c r="KBR29" t="s">
        <v>9761</v>
      </c>
      <c r="KBS29" t="s">
        <v>9762</v>
      </c>
      <c r="KBT29" t="s">
        <v>9763</v>
      </c>
      <c r="KBU29" t="s">
        <v>9764</v>
      </c>
      <c r="KBV29" t="s">
        <v>9765</v>
      </c>
      <c r="KBW29" t="s">
        <v>9766</v>
      </c>
      <c r="KBX29" t="s">
        <v>9767</v>
      </c>
      <c r="KBY29" t="s">
        <v>9768</v>
      </c>
      <c r="KBZ29" t="s">
        <v>9769</v>
      </c>
      <c r="KCA29" t="s">
        <v>9770</v>
      </c>
      <c r="KCB29" t="s">
        <v>9771</v>
      </c>
      <c r="KCC29" t="s">
        <v>9772</v>
      </c>
      <c r="KCD29" t="s">
        <v>9773</v>
      </c>
      <c r="KCE29" t="s">
        <v>9774</v>
      </c>
      <c r="KCF29" t="s">
        <v>9775</v>
      </c>
      <c r="KCG29" t="s">
        <v>9776</v>
      </c>
      <c r="KCH29" t="s">
        <v>9777</v>
      </c>
      <c r="KCI29" t="s">
        <v>9778</v>
      </c>
      <c r="KCJ29" t="s">
        <v>9779</v>
      </c>
      <c r="KCK29" t="s">
        <v>9780</v>
      </c>
      <c r="KCL29" t="s">
        <v>9781</v>
      </c>
      <c r="KCM29" t="s">
        <v>9782</v>
      </c>
      <c r="KCN29" t="s">
        <v>9783</v>
      </c>
      <c r="KCO29" t="s">
        <v>9784</v>
      </c>
      <c r="KCP29" t="s">
        <v>9785</v>
      </c>
      <c r="KCQ29" t="s">
        <v>9786</v>
      </c>
      <c r="KCR29" t="s">
        <v>9787</v>
      </c>
      <c r="KCS29" t="s">
        <v>9788</v>
      </c>
      <c r="KCT29" t="s">
        <v>9789</v>
      </c>
      <c r="KCU29" t="s">
        <v>9790</v>
      </c>
      <c r="KCV29" t="s">
        <v>9791</v>
      </c>
      <c r="KCW29" t="s">
        <v>9792</v>
      </c>
      <c r="KCX29" t="s">
        <v>9793</v>
      </c>
      <c r="KCY29" t="s">
        <v>9794</v>
      </c>
      <c r="KCZ29" t="s">
        <v>9795</v>
      </c>
      <c r="KDA29" t="s">
        <v>9796</v>
      </c>
      <c r="KDB29" t="s">
        <v>9797</v>
      </c>
      <c r="KDC29" t="s">
        <v>9798</v>
      </c>
      <c r="KDD29" t="s">
        <v>9799</v>
      </c>
      <c r="KDE29" t="s">
        <v>9800</v>
      </c>
      <c r="KDF29" t="s">
        <v>9801</v>
      </c>
      <c r="KDG29" t="s">
        <v>9802</v>
      </c>
      <c r="KDH29" t="s">
        <v>9803</v>
      </c>
      <c r="KDI29" t="s">
        <v>9804</v>
      </c>
      <c r="KDJ29" t="s">
        <v>9805</v>
      </c>
      <c r="KDK29" t="s">
        <v>9806</v>
      </c>
      <c r="KDL29" t="s">
        <v>9807</v>
      </c>
      <c r="KDM29" t="s">
        <v>9808</v>
      </c>
      <c r="KDN29" t="s">
        <v>9809</v>
      </c>
      <c r="KDO29" t="s">
        <v>9810</v>
      </c>
      <c r="KDP29" t="s">
        <v>9811</v>
      </c>
      <c r="KDQ29" t="s">
        <v>9812</v>
      </c>
      <c r="KDR29" t="s">
        <v>9813</v>
      </c>
      <c r="KDS29" t="s">
        <v>9814</v>
      </c>
      <c r="KDT29" t="s">
        <v>9815</v>
      </c>
      <c r="KDU29" t="s">
        <v>9816</v>
      </c>
      <c r="KDV29" t="s">
        <v>9817</v>
      </c>
      <c r="KDW29" t="s">
        <v>9818</v>
      </c>
      <c r="KDX29" t="s">
        <v>9819</v>
      </c>
      <c r="KDY29" t="s">
        <v>9820</v>
      </c>
      <c r="KDZ29" t="s">
        <v>9821</v>
      </c>
      <c r="KEA29" t="s">
        <v>9822</v>
      </c>
      <c r="KEB29" t="s">
        <v>9823</v>
      </c>
      <c r="KEC29" t="s">
        <v>9824</v>
      </c>
      <c r="KED29" t="s">
        <v>9825</v>
      </c>
      <c r="KEE29" t="s">
        <v>9826</v>
      </c>
      <c r="KEF29" t="s">
        <v>9827</v>
      </c>
      <c r="KEG29" t="s">
        <v>9828</v>
      </c>
      <c r="KEH29" t="s">
        <v>9829</v>
      </c>
      <c r="KEI29" t="s">
        <v>9830</v>
      </c>
      <c r="KEJ29" t="s">
        <v>9831</v>
      </c>
      <c r="KEK29" t="s">
        <v>9832</v>
      </c>
      <c r="KEL29" t="s">
        <v>9833</v>
      </c>
      <c r="KEM29" t="s">
        <v>9834</v>
      </c>
      <c r="KEN29" t="s">
        <v>9835</v>
      </c>
      <c r="KEO29" t="s">
        <v>9836</v>
      </c>
      <c r="KEP29" t="s">
        <v>9837</v>
      </c>
      <c r="KEQ29" t="s">
        <v>9838</v>
      </c>
      <c r="KER29" t="s">
        <v>9839</v>
      </c>
      <c r="KES29" t="s">
        <v>9840</v>
      </c>
      <c r="KET29" t="s">
        <v>9841</v>
      </c>
      <c r="KEU29" t="s">
        <v>9842</v>
      </c>
      <c r="KEV29" t="s">
        <v>9843</v>
      </c>
      <c r="KEW29" t="s">
        <v>9844</v>
      </c>
      <c r="KEX29" t="s">
        <v>9845</v>
      </c>
      <c r="KEY29" t="s">
        <v>9846</v>
      </c>
      <c r="KEZ29" t="s">
        <v>9847</v>
      </c>
      <c r="KFA29" t="s">
        <v>9848</v>
      </c>
      <c r="KFB29" t="s">
        <v>9849</v>
      </c>
      <c r="KFC29" t="s">
        <v>9850</v>
      </c>
      <c r="KFD29" t="s">
        <v>9851</v>
      </c>
      <c r="KFE29" t="s">
        <v>9852</v>
      </c>
      <c r="KFF29" t="s">
        <v>9853</v>
      </c>
      <c r="KFG29" t="s">
        <v>9854</v>
      </c>
      <c r="KFH29" t="s">
        <v>9855</v>
      </c>
      <c r="KFI29" t="s">
        <v>9856</v>
      </c>
      <c r="KFJ29" t="s">
        <v>9857</v>
      </c>
      <c r="KFK29" t="s">
        <v>9858</v>
      </c>
      <c r="KFL29" t="s">
        <v>9859</v>
      </c>
      <c r="KFM29" t="s">
        <v>9860</v>
      </c>
      <c r="KFN29" t="s">
        <v>9861</v>
      </c>
      <c r="KFO29" t="s">
        <v>9862</v>
      </c>
      <c r="KFP29" t="s">
        <v>9863</v>
      </c>
      <c r="KFQ29" t="s">
        <v>9864</v>
      </c>
      <c r="KFR29" t="s">
        <v>9865</v>
      </c>
      <c r="KFS29" t="s">
        <v>9866</v>
      </c>
      <c r="KFT29" t="s">
        <v>9867</v>
      </c>
      <c r="KFU29" t="s">
        <v>9868</v>
      </c>
      <c r="KFV29" t="s">
        <v>9869</v>
      </c>
      <c r="KFW29" t="s">
        <v>9870</v>
      </c>
      <c r="KFX29" t="s">
        <v>9871</v>
      </c>
      <c r="KFY29" t="s">
        <v>9872</v>
      </c>
      <c r="KFZ29" t="s">
        <v>9873</v>
      </c>
      <c r="KGA29" t="s">
        <v>9874</v>
      </c>
      <c r="KGB29" t="s">
        <v>9875</v>
      </c>
      <c r="KGC29" t="s">
        <v>9876</v>
      </c>
      <c r="KGD29" t="s">
        <v>9877</v>
      </c>
      <c r="KGE29" t="s">
        <v>9878</v>
      </c>
      <c r="KGF29" t="s">
        <v>9879</v>
      </c>
      <c r="KGG29" t="s">
        <v>9880</v>
      </c>
      <c r="KGH29" t="s">
        <v>9881</v>
      </c>
      <c r="KGI29" t="s">
        <v>9882</v>
      </c>
      <c r="KGJ29" t="s">
        <v>9883</v>
      </c>
      <c r="KGK29" t="s">
        <v>9884</v>
      </c>
      <c r="KGL29" t="s">
        <v>9885</v>
      </c>
      <c r="KGM29" t="s">
        <v>9886</v>
      </c>
      <c r="KGN29" t="s">
        <v>9887</v>
      </c>
      <c r="KGO29" t="s">
        <v>9888</v>
      </c>
      <c r="KGP29" t="s">
        <v>9889</v>
      </c>
      <c r="KGQ29" t="s">
        <v>9890</v>
      </c>
      <c r="KGR29" t="s">
        <v>9891</v>
      </c>
      <c r="KGS29" t="s">
        <v>9892</v>
      </c>
      <c r="KGT29" t="s">
        <v>9893</v>
      </c>
      <c r="KGU29" t="s">
        <v>9894</v>
      </c>
      <c r="KGV29" t="s">
        <v>9895</v>
      </c>
      <c r="KGW29" t="s">
        <v>9896</v>
      </c>
      <c r="KGX29" t="s">
        <v>9897</v>
      </c>
      <c r="KGY29" t="s">
        <v>9898</v>
      </c>
      <c r="KGZ29" t="s">
        <v>9899</v>
      </c>
      <c r="KHA29" t="s">
        <v>9900</v>
      </c>
      <c r="KHB29" t="s">
        <v>9901</v>
      </c>
      <c r="KHC29" t="s">
        <v>9902</v>
      </c>
      <c r="KHD29" t="s">
        <v>9903</v>
      </c>
      <c r="KHE29" t="s">
        <v>9904</v>
      </c>
      <c r="KHF29" t="s">
        <v>9905</v>
      </c>
      <c r="KHG29" t="s">
        <v>9906</v>
      </c>
      <c r="KHH29" t="s">
        <v>9907</v>
      </c>
      <c r="KHI29" t="s">
        <v>9908</v>
      </c>
      <c r="KHJ29" t="s">
        <v>9909</v>
      </c>
      <c r="KHK29" t="s">
        <v>9910</v>
      </c>
      <c r="KHL29" t="s">
        <v>9911</v>
      </c>
      <c r="KHM29" t="s">
        <v>9912</v>
      </c>
      <c r="KHN29" t="s">
        <v>9913</v>
      </c>
      <c r="KHO29" t="s">
        <v>9914</v>
      </c>
      <c r="KHP29" t="s">
        <v>9915</v>
      </c>
      <c r="KHQ29" t="s">
        <v>9916</v>
      </c>
      <c r="KHR29" t="s">
        <v>9917</v>
      </c>
      <c r="KHS29" t="s">
        <v>9918</v>
      </c>
      <c r="KHT29" t="s">
        <v>9919</v>
      </c>
      <c r="KHU29" t="s">
        <v>9920</v>
      </c>
      <c r="KHV29" t="s">
        <v>9921</v>
      </c>
      <c r="KHW29" t="s">
        <v>9922</v>
      </c>
      <c r="KHX29" t="s">
        <v>9923</v>
      </c>
      <c r="KHY29" t="s">
        <v>9924</v>
      </c>
      <c r="KHZ29" t="s">
        <v>9925</v>
      </c>
      <c r="KIA29" t="s">
        <v>9926</v>
      </c>
      <c r="KIB29" t="s">
        <v>9927</v>
      </c>
      <c r="KIC29" t="s">
        <v>9928</v>
      </c>
      <c r="KID29" t="s">
        <v>9929</v>
      </c>
      <c r="KIE29" t="s">
        <v>9930</v>
      </c>
      <c r="KIF29" t="s">
        <v>9931</v>
      </c>
      <c r="KIG29" t="s">
        <v>9932</v>
      </c>
      <c r="KIH29" t="s">
        <v>9933</v>
      </c>
      <c r="KII29" t="s">
        <v>9934</v>
      </c>
      <c r="KIJ29" t="s">
        <v>9935</v>
      </c>
      <c r="KIK29" t="s">
        <v>9936</v>
      </c>
      <c r="KIL29" t="s">
        <v>9937</v>
      </c>
      <c r="KIM29" t="s">
        <v>9938</v>
      </c>
      <c r="KIN29" t="s">
        <v>9939</v>
      </c>
      <c r="KIO29" t="s">
        <v>9940</v>
      </c>
      <c r="KIP29" t="s">
        <v>9941</v>
      </c>
      <c r="KIQ29" t="s">
        <v>9942</v>
      </c>
      <c r="KIR29" t="s">
        <v>9943</v>
      </c>
      <c r="KIS29" t="s">
        <v>9944</v>
      </c>
      <c r="KIT29" t="s">
        <v>9945</v>
      </c>
      <c r="KIU29" t="s">
        <v>9946</v>
      </c>
      <c r="KIV29" t="s">
        <v>9947</v>
      </c>
      <c r="KIW29" t="s">
        <v>9948</v>
      </c>
      <c r="KIX29" t="s">
        <v>9949</v>
      </c>
      <c r="KIY29" t="s">
        <v>9950</v>
      </c>
      <c r="KIZ29" t="s">
        <v>9951</v>
      </c>
      <c r="KJA29" t="s">
        <v>9952</v>
      </c>
      <c r="KJB29" t="s">
        <v>9953</v>
      </c>
      <c r="KJC29" t="s">
        <v>9954</v>
      </c>
      <c r="KJD29" t="s">
        <v>9955</v>
      </c>
      <c r="KJE29" t="s">
        <v>9956</v>
      </c>
      <c r="KJF29" t="s">
        <v>9957</v>
      </c>
      <c r="KJG29" t="s">
        <v>9958</v>
      </c>
      <c r="KJH29" t="s">
        <v>9959</v>
      </c>
      <c r="KJI29" t="s">
        <v>9960</v>
      </c>
      <c r="KJJ29" t="s">
        <v>9961</v>
      </c>
      <c r="KJK29" t="s">
        <v>9962</v>
      </c>
      <c r="KJL29" t="s">
        <v>9963</v>
      </c>
      <c r="KJM29" t="s">
        <v>9964</v>
      </c>
      <c r="KJN29" t="s">
        <v>9965</v>
      </c>
      <c r="KJO29" t="s">
        <v>9966</v>
      </c>
      <c r="KJP29" t="s">
        <v>9967</v>
      </c>
      <c r="KJQ29" t="s">
        <v>9968</v>
      </c>
      <c r="KJR29" t="s">
        <v>9969</v>
      </c>
      <c r="KJS29" t="s">
        <v>9970</v>
      </c>
      <c r="KJT29" t="s">
        <v>9971</v>
      </c>
      <c r="KJU29" t="s">
        <v>9972</v>
      </c>
      <c r="KJV29" t="s">
        <v>9973</v>
      </c>
      <c r="KJW29" t="s">
        <v>9974</v>
      </c>
      <c r="KJX29" t="s">
        <v>9975</v>
      </c>
      <c r="KJY29" t="s">
        <v>9976</v>
      </c>
      <c r="KJZ29" t="s">
        <v>9977</v>
      </c>
      <c r="KKA29" t="s">
        <v>9978</v>
      </c>
      <c r="KKB29" t="s">
        <v>9979</v>
      </c>
      <c r="KKC29" t="s">
        <v>9980</v>
      </c>
      <c r="KKD29" t="s">
        <v>9981</v>
      </c>
      <c r="KKE29" t="s">
        <v>9982</v>
      </c>
      <c r="KKF29" t="s">
        <v>9983</v>
      </c>
      <c r="KKG29" t="s">
        <v>9984</v>
      </c>
      <c r="KKH29" t="s">
        <v>9985</v>
      </c>
      <c r="KKI29" t="s">
        <v>9986</v>
      </c>
      <c r="KKJ29" t="s">
        <v>9987</v>
      </c>
      <c r="KKK29" t="s">
        <v>9988</v>
      </c>
      <c r="KKL29" t="s">
        <v>9989</v>
      </c>
      <c r="KKM29" t="s">
        <v>9990</v>
      </c>
      <c r="KKN29" t="s">
        <v>9991</v>
      </c>
      <c r="KKO29" t="s">
        <v>9992</v>
      </c>
      <c r="KKP29" t="s">
        <v>9993</v>
      </c>
      <c r="KKQ29" t="s">
        <v>9994</v>
      </c>
      <c r="KKR29" t="s">
        <v>9995</v>
      </c>
      <c r="KKS29" t="s">
        <v>9996</v>
      </c>
      <c r="KKT29" t="s">
        <v>9997</v>
      </c>
      <c r="KKU29" t="s">
        <v>9998</v>
      </c>
      <c r="KKV29" t="s">
        <v>9999</v>
      </c>
      <c r="KKW29" t="s">
        <v>10000</v>
      </c>
      <c r="KKX29" t="s">
        <v>10001</v>
      </c>
      <c r="KKY29" t="s">
        <v>10002</v>
      </c>
      <c r="KKZ29" t="s">
        <v>10003</v>
      </c>
      <c r="KLA29" t="s">
        <v>10004</v>
      </c>
      <c r="KLB29" t="s">
        <v>10005</v>
      </c>
      <c r="KLC29" t="s">
        <v>10006</v>
      </c>
      <c r="KLD29" t="s">
        <v>10007</v>
      </c>
      <c r="KLE29" t="s">
        <v>10008</v>
      </c>
      <c r="KLF29" t="s">
        <v>10009</v>
      </c>
      <c r="KLG29" t="s">
        <v>10010</v>
      </c>
      <c r="KLH29" t="s">
        <v>10011</v>
      </c>
      <c r="KLI29" t="s">
        <v>10012</v>
      </c>
      <c r="KLJ29" t="s">
        <v>10013</v>
      </c>
      <c r="KLK29" t="s">
        <v>10014</v>
      </c>
      <c r="KLL29" t="s">
        <v>10015</v>
      </c>
      <c r="KLM29" t="s">
        <v>10016</v>
      </c>
      <c r="KLN29" t="s">
        <v>10017</v>
      </c>
      <c r="KLO29" t="s">
        <v>10018</v>
      </c>
      <c r="KLP29" t="s">
        <v>10019</v>
      </c>
      <c r="KLQ29" t="s">
        <v>10020</v>
      </c>
      <c r="KLR29" t="s">
        <v>10021</v>
      </c>
      <c r="KLS29" t="s">
        <v>10022</v>
      </c>
      <c r="KLT29" t="s">
        <v>10023</v>
      </c>
      <c r="KLU29" t="s">
        <v>10024</v>
      </c>
      <c r="KLV29" t="s">
        <v>10025</v>
      </c>
      <c r="KLW29" t="s">
        <v>10026</v>
      </c>
      <c r="KLX29" t="s">
        <v>10027</v>
      </c>
      <c r="KLY29" t="s">
        <v>10028</v>
      </c>
      <c r="KLZ29" t="s">
        <v>10029</v>
      </c>
      <c r="KMA29" t="s">
        <v>10030</v>
      </c>
      <c r="KMB29" t="s">
        <v>10031</v>
      </c>
      <c r="KMC29" t="s">
        <v>10032</v>
      </c>
      <c r="KMD29" t="s">
        <v>10033</v>
      </c>
      <c r="KME29" t="s">
        <v>10034</v>
      </c>
      <c r="KMF29" t="s">
        <v>10035</v>
      </c>
      <c r="KMG29" t="s">
        <v>10036</v>
      </c>
      <c r="KMH29" t="s">
        <v>10037</v>
      </c>
      <c r="KMI29" t="s">
        <v>10038</v>
      </c>
      <c r="KMJ29" t="s">
        <v>10039</v>
      </c>
      <c r="KMK29" t="s">
        <v>10040</v>
      </c>
      <c r="KML29" t="s">
        <v>10041</v>
      </c>
      <c r="KMM29" t="s">
        <v>10042</v>
      </c>
      <c r="KMN29" t="s">
        <v>10043</v>
      </c>
      <c r="KMO29" t="s">
        <v>10044</v>
      </c>
      <c r="KMP29" t="s">
        <v>10045</v>
      </c>
      <c r="KMQ29" t="s">
        <v>10046</v>
      </c>
      <c r="KMR29" t="s">
        <v>10047</v>
      </c>
      <c r="KMS29" t="s">
        <v>10048</v>
      </c>
      <c r="KMT29" t="s">
        <v>10049</v>
      </c>
      <c r="KMU29" t="s">
        <v>10050</v>
      </c>
      <c r="KMV29" t="s">
        <v>10051</v>
      </c>
      <c r="KMW29" t="s">
        <v>10052</v>
      </c>
      <c r="KMX29" t="s">
        <v>10053</v>
      </c>
      <c r="KMY29" t="s">
        <v>10054</v>
      </c>
      <c r="KMZ29" t="s">
        <v>10055</v>
      </c>
      <c r="KNA29" t="s">
        <v>10056</v>
      </c>
      <c r="KNB29" t="s">
        <v>10057</v>
      </c>
      <c r="KNC29" t="s">
        <v>10058</v>
      </c>
      <c r="KND29" t="s">
        <v>10059</v>
      </c>
      <c r="KNE29" t="s">
        <v>10060</v>
      </c>
      <c r="KNF29" t="s">
        <v>10061</v>
      </c>
      <c r="KNG29" t="s">
        <v>10062</v>
      </c>
      <c r="KNH29" t="s">
        <v>10063</v>
      </c>
      <c r="KNI29" t="s">
        <v>10064</v>
      </c>
      <c r="KNJ29" t="s">
        <v>10065</v>
      </c>
      <c r="KNK29" t="s">
        <v>10066</v>
      </c>
      <c r="KNL29" t="s">
        <v>10067</v>
      </c>
      <c r="KNM29" t="s">
        <v>10068</v>
      </c>
      <c r="KNN29" t="s">
        <v>10069</v>
      </c>
      <c r="KNO29" t="s">
        <v>10070</v>
      </c>
      <c r="KNP29" t="s">
        <v>10071</v>
      </c>
      <c r="KNQ29" t="s">
        <v>10072</v>
      </c>
      <c r="KNR29" t="s">
        <v>10073</v>
      </c>
      <c r="KNS29" t="s">
        <v>10074</v>
      </c>
      <c r="KNT29" t="s">
        <v>10075</v>
      </c>
      <c r="KNU29" t="s">
        <v>10076</v>
      </c>
      <c r="KNV29" t="s">
        <v>10077</v>
      </c>
      <c r="KNW29" t="s">
        <v>10078</v>
      </c>
      <c r="KNX29" t="s">
        <v>10079</v>
      </c>
      <c r="KNY29" t="s">
        <v>10080</v>
      </c>
      <c r="KNZ29" t="s">
        <v>10081</v>
      </c>
      <c r="KOA29" t="s">
        <v>10082</v>
      </c>
      <c r="KOB29" t="s">
        <v>10083</v>
      </c>
      <c r="KOC29" t="s">
        <v>10084</v>
      </c>
      <c r="KOD29" t="s">
        <v>10085</v>
      </c>
      <c r="KOE29" t="s">
        <v>10086</v>
      </c>
      <c r="KOF29" t="s">
        <v>10087</v>
      </c>
      <c r="KOG29" t="s">
        <v>10088</v>
      </c>
      <c r="KOH29" t="s">
        <v>10089</v>
      </c>
      <c r="KOI29" t="s">
        <v>10090</v>
      </c>
      <c r="KOJ29" t="s">
        <v>10091</v>
      </c>
      <c r="KOK29" t="s">
        <v>10092</v>
      </c>
      <c r="KOL29" t="s">
        <v>10093</v>
      </c>
      <c r="KOM29" t="s">
        <v>10094</v>
      </c>
      <c r="KON29" t="s">
        <v>10095</v>
      </c>
      <c r="KOO29" t="s">
        <v>10096</v>
      </c>
      <c r="KOP29" t="s">
        <v>10097</v>
      </c>
      <c r="KOQ29" t="s">
        <v>10098</v>
      </c>
      <c r="KOR29" t="s">
        <v>10099</v>
      </c>
      <c r="KOS29" t="s">
        <v>10100</v>
      </c>
      <c r="KOT29" t="s">
        <v>10101</v>
      </c>
      <c r="KOU29" t="s">
        <v>10102</v>
      </c>
      <c r="KOV29" t="s">
        <v>10103</v>
      </c>
      <c r="KOW29" t="s">
        <v>10104</v>
      </c>
      <c r="KOX29" t="s">
        <v>10105</v>
      </c>
      <c r="KOY29" t="s">
        <v>10106</v>
      </c>
      <c r="KOZ29" t="s">
        <v>10107</v>
      </c>
      <c r="KPA29" t="s">
        <v>10108</v>
      </c>
      <c r="KPB29" t="s">
        <v>10109</v>
      </c>
      <c r="KPC29" t="s">
        <v>10110</v>
      </c>
      <c r="KPD29" t="s">
        <v>10111</v>
      </c>
      <c r="KPE29" t="s">
        <v>10112</v>
      </c>
      <c r="KPF29" t="s">
        <v>10113</v>
      </c>
      <c r="KPG29" t="s">
        <v>10114</v>
      </c>
      <c r="KPH29" t="s">
        <v>10115</v>
      </c>
      <c r="KPI29" t="s">
        <v>10116</v>
      </c>
      <c r="KPJ29" t="s">
        <v>10117</v>
      </c>
      <c r="KPK29" t="s">
        <v>10118</v>
      </c>
      <c r="KPL29" t="s">
        <v>10119</v>
      </c>
      <c r="KPM29" t="s">
        <v>10120</v>
      </c>
      <c r="KPN29" t="s">
        <v>10121</v>
      </c>
      <c r="KPO29" t="s">
        <v>10122</v>
      </c>
      <c r="KPP29" t="s">
        <v>10123</v>
      </c>
      <c r="KPQ29" t="s">
        <v>10124</v>
      </c>
      <c r="KPR29" t="s">
        <v>10125</v>
      </c>
      <c r="KPS29" t="s">
        <v>10126</v>
      </c>
      <c r="KPT29" t="s">
        <v>10127</v>
      </c>
      <c r="KPU29" t="s">
        <v>10128</v>
      </c>
      <c r="KPV29" t="s">
        <v>10129</v>
      </c>
      <c r="KPW29" t="s">
        <v>10130</v>
      </c>
      <c r="KPX29" t="s">
        <v>10131</v>
      </c>
      <c r="KPY29" t="s">
        <v>10132</v>
      </c>
      <c r="KPZ29" t="s">
        <v>10133</v>
      </c>
      <c r="KQA29" t="s">
        <v>10134</v>
      </c>
      <c r="KQB29" t="s">
        <v>10135</v>
      </c>
      <c r="KQC29" t="s">
        <v>10136</v>
      </c>
      <c r="KQD29" t="s">
        <v>10137</v>
      </c>
      <c r="KQE29" t="s">
        <v>10138</v>
      </c>
      <c r="KQF29" t="s">
        <v>10139</v>
      </c>
      <c r="KQG29" t="s">
        <v>10140</v>
      </c>
      <c r="KQH29" t="s">
        <v>10141</v>
      </c>
      <c r="KQI29" t="s">
        <v>10142</v>
      </c>
      <c r="KQJ29" t="s">
        <v>10143</v>
      </c>
      <c r="KQK29" t="s">
        <v>10144</v>
      </c>
      <c r="KQL29" t="s">
        <v>10145</v>
      </c>
      <c r="KQM29" t="s">
        <v>10146</v>
      </c>
      <c r="KQN29" t="s">
        <v>10147</v>
      </c>
      <c r="KQO29" t="s">
        <v>10148</v>
      </c>
      <c r="KQP29" t="s">
        <v>10149</v>
      </c>
      <c r="KQQ29" t="s">
        <v>10150</v>
      </c>
      <c r="KQR29" t="s">
        <v>10151</v>
      </c>
      <c r="KQS29" t="s">
        <v>10152</v>
      </c>
      <c r="KQT29" t="s">
        <v>10153</v>
      </c>
      <c r="KQU29" t="s">
        <v>10154</v>
      </c>
      <c r="KQV29" t="s">
        <v>10155</v>
      </c>
      <c r="KQW29" t="s">
        <v>10156</v>
      </c>
      <c r="KQX29" t="s">
        <v>10157</v>
      </c>
      <c r="KQY29" t="s">
        <v>10158</v>
      </c>
      <c r="KQZ29" t="s">
        <v>10159</v>
      </c>
      <c r="KRA29" t="s">
        <v>10160</v>
      </c>
      <c r="KRB29" t="s">
        <v>10161</v>
      </c>
      <c r="KRC29" t="s">
        <v>10162</v>
      </c>
      <c r="KRD29" t="s">
        <v>10163</v>
      </c>
      <c r="KRE29" t="s">
        <v>10164</v>
      </c>
      <c r="KRF29" t="s">
        <v>10165</v>
      </c>
      <c r="KRG29" t="s">
        <v>10166</v>
      </c>
      <c r="KRH29" t="s">
        <v>10167</v>
      </c>
      <c r="KRI29" t="s">
        <v>10168</v>
      </c>
      <c r="KRJ29" t="s">
        <v>10169</v>
      </c>
      <c r="KRK29" t="s">
        <v>10170</v>
      </c>
      <c r="KRL29" t="s">
        <v>10171</v>
      </c>
      <c r="KRM29" t="s">
        <v>10172</v>
      </c>
      <c r="KRN29" t="s">
        <v>10173</v>
      </c>
      <c r="KRO29" t="s">
        <v>10174</v>
      </c>
      <c r="KRP29" t="s">
        <v>10175</v>
      </c>
      <c r="KRQ29" t="s">
        <v>10176</v>
      </c>
      <c r="KRR29" t="s">
        <v>10177</v>
      </c>
      <c r="KRS29" t="s">
        <v>10178</v>
      </c>
      <c r="KRT29" t="s">
        <v>10179</v>
      </c>
      <c r="KRU29" t="s">
        <v>10180</v>
      </c>
      <c r="KRV29" t="s">
        <v>10181</v>
      </c>
      <c r="KRW29" t="s">
        <v>10182</v>
      </c>
      <c r="KRX29" t="s">
        <v>10183</v>
      </c>
      <c r="KRY29" t="s">
        <v>10184</v>
      </c>
      <c r="KRZ29" t="s">
        <v>10185</v>
      </c>
      <c r="KSA29" t="s">
        <v>10186</v>
      </c>
      <c r="KSB29" t="s">
        <v>10187</v>
      </c>
      <c r="KSC29" t="s">
        <v>10188</v>
      </c>
      <c r="KSD29" t="s">
        <v>10189</v>
      </c>
      <c r="KSE29" t="s">
        <v>10190</v>
      </c>
      <c r="KSF29" t="s">
        <v>10191</v>
      </c>
      <c r="KSG29" t="s">
        <v>10192</v>
      </c>
      <c r="KSH29" t="s">
        <v>10193</v>
      </c>
      <c r="KSI29" t="s">
        <v>10194</v>
      </c>
      <c r="KSJ29" t="s">
        <v>10195</v>
      </c>
      <c r="KSK29" t="s">
        <v>10196</v>
      </c>
      <c r="KSL29" t="s">
        <v>10197</v>
      </c>
      <c r="KSM29" t="s">
        <v>10198</v>
      </c>
      <c r="KSN29" t="s">
        <v>10199</v>
      </c>
      <c r="KSO29" t="s">
        <v>10200</v>
      </c>
      <c r="KSP29" t="s">
        <v>10201</v>
      </c>
      <c r="KSQ29" t="s">
        <v>10202</v>
      </c>
      <c r="KSR29" t="s">
        <v>10203</v>
      </c>
      <c r="KSS29" t="s">
        <v>10204</v>
      </c>
      <c r="KST29" t="s">
        <v>10205</v>
      </c>
      <c r="KSU29" t="s">
        <v>10206</v>
      </c>
      <c r="KSV29" t="s">
        <v>10207</v>
      </c>
      <c r="KSW29" t="s">
        <v>10208</v>
      </c>
      <c r="KSX29" t="s">
        <v>10209</v>
      </c>
      <c r="KSY29" t="s">
        <v>10210</v>
      </c>
      <c r="KSZ29" t="s">
        <v>10211</v>
      </c>
      <c r="KTA29" t="s">
        <v>10212</v>
      </c>
      <c r="KTB29" t="s">
        <v>10213</v>
      </c>
      <c r="KTC29" t="s">
        <v>10214</v>
      </c>
      <c r="KTD29" t="s">
        <v>10215</v>
      </c>
      <c r="KTE29" t="s">
        <v>10216</v>
      </c>
      <c r="KTF29" t="s">
        <v>10217</v>
      </c>
      <c r="KTG29" t="s">
        <v>10218</v>
      </c>
      <c r="KTH29" t="s">
        <v>10219</v>
      </c>
      <c r="KTI29" t="s">
        <v>10220</v>
      </c>
      <c r="KTJ29" t="s">
        <v>10221</v>
      </c>
      <c r="KTK29" t="s">
        <v>10222</v>
      </c>
      <c r="KTL29" t="s">
        <v>10223</v>
      </c>
      <c r="KTM29" t="s">
        <v>10224</v>
      </c>
      <c r="KTN29" t="s">
        <v>10225</v>
      </c>
      <c r="KTO29" t="s">
        <v>10226</v>
      </c>
      <c r="KTP29" t="s">
        <v>10227</v>
      </c>
      <c r="KTQ29" t="s">
        <v>10228</v>
      </c>
      <c r="KTR29" t="s">
        <v>10229</v>
      </c>
      <c r="KTS29" t="s">
        <v>10230</v>
      </c>
      <c r="KTT29" t="s">
        <v>10231</v>
      </c>
      <c r="KTU29" t="s">
        <v>10232</v>
      </c>
      <c r="KTV29" t="s">
        <v>10233</v>
      </c>
      <c r="KTW29" t="s">
        <v>10234</v>
      </c>
      <c r="KTX29" t="s">
        <v>10235</v>
      </c>
      <c r="KTY29" t="s">
        <v>10236</v>
      </c>
      <c r="KTZ29" t="s">
        <v>10237</v>
      </c>
      <c r="KUA29" t="s">
        <v>10238</v>
      </c>
      <c r="KUB29" t="s">
        <v>10239</v>
      </c>
      <c r="KUC29" t="s">
        <v>10240</v>
      </c>
      <c r="KUD29" t="s">
        <v>10241</v>
      </c>
      <c r="KUE29" t="s">
        <v>10242</v>
      </c>
      <c r="KUF29" t="s">
        <v>10243</v>
      </c>
      <c r="KUG29" t="s">
        <v>10244</v>
      </c>
      <c r="KUH29" t="s">
        <v>10245</v>
      </c>
      <c r="KUI29" t="s">
        <v>10246</v>
      </c>
      <c r="KUJ29" t="s">
        <v>10247</v>
      </c>
      <c r="KUK29" t="s">
        <v>10248</v>
      </c>
      <c r="KUL29" t="s">
        <v>10249</v>
      </c>
      <c r="KUM29" t="s">
        <v>10250</v>
      </c>
      <c r="KUN29" t="s">
        <v>10251</v>
      </c>
      <c r="KUO29" t="s">
        <v>10252</v>
      </c>
      <c r="KUP29" t="s">
        <v>10253</v>
      </c>
      <c r="KUQ29" t="s">
        <v>10254</v>
      </c>
      <c r="KUR29" t="s">
        <v>10255</v>
      </c>
      <c r="KUS29" t="s">
        <v>10256</v>
      </c>
      <c r="KUT29" t="s">
        <v>10257</v>
      </c>
      <c r="KUU29" t="s">
        <v>10258</v>
      </c>
      <c r="KUV29" t="s">
        <v>10259</v>
      </c>
      <c r="KUW29" t="s">
        <v>10260</v>
      </c>
      <c r="KUX29" t="s">
        <v>10261</v>
      </c>
      <c r="KUY29" t="s">
        <v>10262</v>
      </c>
      <c r="KUZ29" t="s">
        <v>10263</v>
      </c>
      <c r="KVA29" t="s">
        <v>10264</v>
      </c>
      <c r="KVB29" t="s">
        <v>10265</v>
      </c>
      <c r="KVC29" t="s">
        <v>10266</v>
      </c>
      <c r="KVD29" t="s">
        <v>10267</v>
      </c>
      <c r="KVE29" t="s">
        <v>10268</v>
      </c>
      <c r="KVF29" t="s">
        <v>10269</v>
      </c>
      <c r="KVG29" t="s">
        <v>10270</v>
      </c>
      <c r="KVH29" t="s">
        <v>10271</v>
      </c>
      <c r="KVI29" t="s">
        <v>10272</v>
      </c>
      <c r="KVJ29" t="s">
        <v>10273</v>
      </c>
      <c r="KVK29" t="s">
        <v>10274</v>
      </c>
      <c r="KVL29" t="s">
        <v>10275</v>
      </c>
      <c r="KVM29" t="s">
        <v>10276</v>
      </c>
      <c r="KVN29" t="s">
        <v>10277</v>
      </c>
      <c r="KVO29" t="s">
        <v>10278</v>
      </c>
      <c r="KVP29" t="s">
        <v>10279</v>
      </c>
      <c r="KVQ29" t="s">
        <v>10280</v>
      </c>
      <c r="KVR29" t="s">
        <v>10281</v>
      </c>
      <c r="KVS29" t="s">
        <v>10282</v>
      </c>
      <c r="KVT29" t="s">
        <v>10283</v>
      </c>
      <c r="KVU29" t="s">
        <v>10284</v>
      </c>
      <c r="KVV29" t="s">
        <v>10285</v>
      </c>
      <c r="KVW29" t="s">
        <v>10286</v>
      </c>
      <c r="KVX29" t="s">
        <v>10287</v>
      </c>
      <c r="KVY29" t="s">
        <v>10288</v>
      </c>
      <c r="KVZ29" t="s">
        <v>10289</v>
      </c>
      <c r="KWA29" t="s">
        <v>10290</v>
      </c>
      <c r="KWB29" t="s">
        <v>10291</v>
      </c>
      <c r="KWC29" t="s">
        <v>10292</v>
      </c>
      <c r="KWD29" t="s">
        <v>10293</v>
      </c>
      <c r="KWE29" t="s">
        <v>10294</v>
      </c>
      <c r="KWF29" t="s">
        <v>10295</v>
      </c>
      <c r="KWG29" t="s">
        <v>10296</v>
      </c>
      <c r="KWH29" t="s">
        <v>10297</v>
      </c>
      <c r="KWI29" t="s">
        <v>10298</v>
      </c>
      <c r="KWJ29" t="s">
        <v>10299</v>
      </c>
      <c r="KWK29" t="s">
        <v>10300</v>
      </c>
      <c r="KWL29" t="s">
        <v>10301</v>
      </c>
      <c r="KWM29" t="s">
        <v>10302</v>
      </c>
      <c r="KWN29" t="s">
        <v>10303</v>
      </c>
      <c r="KWO29" t="s">
        <v>10304</v>
      </c>
      <c r="KWP29" t="s">
        <v>10305</v>
      </c>
      <c r="KWQ29" t="s">
        <v>10306</v>
      </c>
      <c r="KWR29" t="s">
        <v>10307</v>
      </c>
      <c r="KWS29" t="s">
        <v>10308</v>
      </c>
      <c r="KWT29" t="s">
        <v>10309</v>
      </c>
      <c r="KWU29" t="s">
        <v>10310</v>
      </c>
      <c r="KWV29" t="s">
        <v>10311</v>
      </c>
      <c r="KWW29" t="s">
        <v>10312</v>
      </c>
      <c r="KWX29" t="s">
        <v>10313</v>
      </c>
      <c r="KWY29" t="s">
        <v>10314</v>
      </c>
      <c r="KWZ29" t="s">
        <v>10315</v>
      </c>
      <c r="KXA29" t="s">
        <v>10316</v>
      </c>
      <c r="KXB29" t="s">
        <v>10317</v>
      </c>
      <c r="KXC29" t="s">
        <v>10318</v>
      </c>
      <c r="KXD29" t="s">
        <v>10319</v>
      </c>
      <c r="KXE29" t="s">
        <v>10320</v>
      </c>
      <c r="KXF29" t="s">
        <v>10321</v>
      </c>
      <c r="KXG29" t="s">
        <v>10322</v>
      </c>
      <c r="KXH29" t="s">
        <v>10323</v>
      </c>
      <c r="KXI29" t="s">
        <v>10324</v>
      </c>
      <c r="KXJ29" t="s">
        <v>10325</v>
      </c>
      <c r="KXK29" t="s">
        <v>10326</v>
      </c>
      <c r="KXL29" t="s">
        <v>10327</v>
      </c>
      <c r="KXM29" t="s">
        <v>10328</v>
      </c>
      <c r="KXN29" t="s">
        <v>10329</v>
      </c>
      <c r="KXO29" t="s">
        <v>10330</v>
      </c>
      <c r="KXP29" t="s">
        <v>10331</v>
      </c>
      <c r="KXQ29" t="s">
        <v>10332</v>
      </c>
      <c r="KXR29" t="s">
        <v>10333</v>
      </c>
      <c r="KXS29" t="s">
        <v>10334</v>
      </c>
      <c r="KXT29" t="s">
        <v>10335</v>
      </c>
      <c r="KXU29" t="s">
        <v>10336</v>
      </c>
      <c r="KXV29" t="s">
        <v>10337</v>
      </c>
      <c r="KXW29" t="s">
        <v>10338</v>
      </c>
      <c r="KXX29" t="s">
        <v>10339</v>
      </c>
      <c r="KXY29" t="s">
        <v>10340</v>
      </c>
      <c r="KXZ29" t="s">
        <v>10341</v>
      </c>
      <c r="KYA29" t="s">
        <v>10342</v>
      </c>
      <c r="KYB29" t="s">
        <v>10343</v>
      </c>
      <c r="KYC29" t="s">
        <v>10344</v>
      </c>
      <c r="KYD29" t="s">
        <v>10345</v>
      </c>
      <c r="KYE29" t="s">
        <v>10346</v>
      </c>
      <c r="KYF29" t="s">
        <v>10347</v>
      </c>
      <c r="KYG29" t="s">
        <v>10348</v>
      </c>
      <c r="KYH29" t="s">
        <v>10349</v>
      </c>
      <c r="KYI29" t="s">
        <v>10350</v>
      </c>
      <c r="KYJ29" t="s">
        <v>10351</v>
      </c>
      <c r="KYK29" t="s">
        <v>10352</v>
      </c>
      <c r="KYL29" t="s">
        <v>10353</v>
      </c>
      <c r="KYM29" t="s">
        <v>10354</v>
      </c>
      <c r="KYN29" t="s">
        <v>10355</v>
      </c>
      <c r="KYO29" t="s">
        <v>10356</v>
      </c>
      <c r="KYP29" t="s">
        <v>10357</v>
      </c>
      <c r="KYQ29" t="s">
        <v>10358</v>
      </c>
      <c r="KYR29" t="s">
        <v>10359</v>
      </c>
      <c r="KYS29" t="s">
        <v>10360</v>
      </c>
      <c r="KYT29" t="s">
        <v>10361</v>
      </c>
      <c r="KYU29" t="s">
        <v>10362</v>
      </c>
      <c r="KYV29" t="s">
        <v>10363</v>
      </c>
      <c r="KYW29" t="s">
        <v>10364</v>
      </c>
      <c r="KYX29" t="s">
        <v>10365</v>
      </c>
      <c r="KYY29" t="s">
        <v>10366</v>
      </c>
      <c r="KYZ29" t="s">
        <v>10367</v>
      </c>
      <c r="KZA29" t="s">
        <v>10368</v>
      </c>
      <c r="KZB29" t="s">
        <v>10369</v>
      </c>
      <c r="KZC29" t="s">
        <v>10370</v>
      </c>
      <c r="KZD29" t="s">
        <v>10371</v>
      </c>
      <c r="KZE29" t="s">
        <v>10372</v>
      </c>
      <c r="KZF29" t="s">
        <v>10373</v>
      </c>
      <c r="KZG29" t="s">
        <v>10374</v>
      </c>
      <c r="KZH29" t="s">
        <v>10375</v>
      </c>
      <c r="KZI29" t="s">
        <v>10376</v>
      </c>
      <c r="KZJ29" t="s">
        <v>10377</v>
      </c>
      <c r="KZK29" t="s">
        <v>10378</v>
      </c>
      <c r="KZL29" t="s">
        <v>10379</v>
      </c>
      <c r="KZM29" t="s">
        <v>10380</v>
      </c>
      <c r="KZN29" t="s">
        <v>10381</v>
      </c>
      <c r="KZO29" t="s">
        <v>10382</v>
      </c>
      <c r="KZP29" t="s">
        <v>10383</v>
      </c>
      <c r="KZQ29" t="s">
        <v>10384</v>
      </c>
      <c r="KZR29" t="s">
        <v>10385</v>
      </c>
      <c r="KZS29" t="s">
        <v>10386</v>
      </c>
      <c r="KZT29" t="s">
        <v>10387</v>
      </c>
      <c r="KZU29" t="s">
        <v>10388</v>
      </c>
      <c r="KZV29" t="s">
        <v>10389</v>
      </c>
      <c r="KZW29" t="s">
        <v>10390</v>
      </c>
      <c r="KZX29" t="s">
        <v>10391</v>
      </c>
      <c r="KZY29" t="s">
        <v>10392</v>
      </c>
      <c r="KZZ29" t="s">
        <v>10393</v>
      </c>
      <c r="LAA29" t="s">
        <v>10394</v>
      </c>
      <c r="LAB29" t="s">
        <v>10395</v>
      </c>
      <c r="LAC29" t="s">
        <v>10396</v>
      </c>
      <c r="LAD29" t="s">
        <v>10397</v>
      </c>
      <c r="LAE29" t="s">
        <v>10398</v>
      </c>
      <c r="LAF29" t="s">
        <v>10399</v>
      </c>
      <c r="LAG29" t="s">
        <v>10400</v>
      </c>
      <c r="LAH29" t="s">
        <v>10401</v>
      </c>
      <c r="LAI29" t="s">
        <v>10402</v>
      </c>
      <c r="LAJ29" t="s">
        <v>10403</v>
      </c>
      <c r="LAK29" t="s">
        <v>10404</v>
      </c>
      <c r="LAL29" t="s">
        <v>10405</v>
      </c>
      <c r="LAM29" t="s">
        <v>10406</v>
      </c>
      <c r="LAN29" t="s">
        <v>10407</v>
      </c>
      <c r="LAO29" t="s">
        <v>10408</v>
      </c>
      <c r="LAP29" t="s">
        <v>10409</v>
      </c>
      <c r="LAQ29" t="s">
        <v>10410</v>
      </c>
      <c r="LAR29" t="s">
        <v>10411</v>
      </c>
      <c r="LAS29" t="s">
        <v>10412</v>
      </c>
      <c r="LAT29" t="s">
        <v>10413</v>
      </c>
      <c r="LAU29" t="s">
        <v>10414</v>
      </c>
      <c r="LAV29" t="s">
        <v>10415</v>
      </c>
      <c r="LAW29" t="s">
        <v>10416</v>
      </c>
      <c r="LAX29" t="s">
        <v>10417</v>
      </c>
      <c r="LAY29" t="s">
        <v>10418</v>
      </c>
      <c r="LAZ29" t="s">
        <v>10419</v>
      </c>
      <c r="LBA29" t="s">
        <v>10420</v>
      </c>
      <c r="LBB29" t="s">
        <v>10421</v>
      </c>
      <c r="LBC29" t="s">
        <v>10422</v>
      </c>
      <c r="LBD29" t="s">
        <v>10423</v>
      </c>
      <c r="LBE29" t="s">
        <v>10424</v>
      </c>
      <c r="LBF29" t="s">
        <v>10425</v>
      </c>
      <c r="LBG29" t="s">
        <v>10426</v>
      </c>
      <c r="LBH29" t="s">
        <v>10427</v>
      </c>
      <c r="LBI29" t="s">
        <v>10428</v>
      </c>
      <c r="LBJ29" t="s">
        <v>10429</v>
      </c>
      <c r="LBK29" t="s">
        <v>10430</v>
      </c>
      <c r="LBL29" t="s">
        <v>10431</v>
      </c>
      <c r="LBM29" t="s">
        <v>10432</v>
      </c>
      <c r="LBN29" t="s">
        <v>10433</v>
      </c>
      <c r="LBO29" t="s">
        <v>10434</v>
      </c>
      <c r="LBP29" t="s">
        <v>10435</v>
      </c>
      <c r="LBQ29" t="s">
        <v>10436</v>
      </c>
      <c r="LBR29" t="s">
        <v>10437</v>
      </c>
      <c r="LBS29" t="s">
        <v>10438</v>
      </c>
      <c r="LBT29" t="s">
        <v>10439</v>
      </c>
      <c r="LBU29" t="s">
        <v>10440</v>
      </c>
      <c r="LBV29" t="s">
        <v>10441</v>
      </c>
      <c r="LBW29" t="s">
        <v>10442</v>
      </c>
      <c r="LBX29" t="s">
        <v>10443</v>
      </c>
      <c r="LBY29" t="s">
        <v>10444</v>
      </c>
      <c r="LBZ29" t="s">
        <v>10445</v>
      </c>
      <c r="LCA29" t="s">
        <v>10446</v>
      </c>
      <c r="LCB29" t="s">
        <v>10447</v>
      </c>
      <c r="LCC29" t="s">
        <v>10448</v>
      </c>
      <c r="LCD29" t="s">
        <v>10449</v>
      </c>
      <c r="LCE29" t="s">
        <v>10450</v>
      </c>
      <c r="LCF29" t="s">
        <v>10451</v>
      </c>
      <c r="LCG29" t="s">
        <v>10452</v>
      </c>
      <c r="LCH29" t="s">
        <v>10453</v>
      </c>
      <c r="LCI29" t="s">
        <v>10454</v>
      </c>
      <c r="LCJ29" t="s">
        <v>10455</v>
      </c>
      <c r="LCK29" t="s">
        <v>10456</v>
      </c>
      <c r="LCL29" t="s">
        <v>10457</v>
      </c>
      <c r="LCM29" t="s">
        <v>10458</v>
      </c>
      <c r="LCN29" t="s">
        <v>10459</v>
      </c>
      <c r="LCO29" t="s">
        <v>10460</v>
      </c>
      <c r="LCP29" t="s">
        <v>10461</v>
      </c>
      <c r="LCQ29" t="s">
        <v>10462</v>
      </c>
      <c r="LCR29" t="s">
        <v>10463</v>
      </c>
      <c r="LCS29" t="s">
        <v>10464</v>
      </c>
      <c r="LCT29" t="s">
        <v>10465</v>
      </c>
      <c r="LCU29" t="s">
        <v>10466</v>
      </c>
      <c r="LCV29" t="s">
        <v>10467</v>
      </c>
      <c r="LCW29" t="s">
        <v>10468</v>
      </c>
      <c r="LCX29" t="s">
        <v>10469</v>
      </c>
      <c r="LCY29" t="s">
        <v>10470</v>
      </c>
      <c r="LCZ29" t="s">
        <v>10471</v>
      </c>
      <c r="LDA29" t="s">
        <v>10472</v>
      </c>
      <c r="LDB29" t="s">
        <v>10473</v>
      </c>
      <c r="LDC29" t="s">
        <v>10474</v>
      </c>
      <c r="LDD29" t="s">
        <v>10475</v>
      </c>
      <c r="LDE29" t="s">
        <v>10476</v>
      </c>
      <c r="LDF29" t="s">
        <v>10477</v>
      </c>
      <c r="LDG29" t="s">
        <v>10478</v>
      </c>
      <c r="LDH29" t="s">
        <v>10479</v>
      </c>
      <c r="LDI29" t="s">
        <v>10480</v>
      </c>
      <c r="LDJ29" t="s">
        <v>10481</v>
      </c>
      <c r="LDK29" t="s">
        <v>10482</v>
      </c>
      <c r="LDL29" t="s">
        <v>10483</v>
      </c>
      <c r="LDM29" t="s">
        <v>10484</v>
      </c>
      <c r="LDN29" t="s">
        <v>10485</v>
      </c>
      <c r="LDO29" t="s">
        <v>10486</v>
      </c>
      <c r="LDP29" t="s">
        <v>10487</v>
      </c>
      <c r="LDQ29" t="s">
        <v>10488</v>
      </c>
      <c r="LDR29" t="s">
        <v>10489</v>
      </c>
      <c r="LDS29" t="s">
        <v>10490</v>
      </c>
      <c r="LDT29" t="s">
        <v>10491</v>
      </c>
      <c r="LDU29" t="s">
        <v>10492</v>
      </c>
      <c r="LDV29" t="s">
        <v>10493</v>
      </c>
      <c r="LDW29" t="s">
        <v>10494</v>
      </c>
      <c r="LDX29" t="s">
        <v>10495</v>
      </c>
      <c r="LDY29" t="s">
        <v>10496</v>
      </c>
      <c r="LDZ29" t="s">
        <v>10497</v>
      </c>
      <c r="LEA29" t="s">
        <v>10498</v>
      </c>
      <c r="LEB29" t="s">
        <v>10499</v>
      </c>
      <c r="LEC29" t="s">
        <v>10500</v>
      </c>
      <c r="LED29" t="s">
        <v>10501</v>
      </c>
      <c r="LEE29" t="s">
        <v>10502</v>
      </c>
      <c r="LEF29" t="s">
        <v>10503</v>
      </c>
      <c r="LEG29" t="s">
        <v>10504</v>
      </c>
      <c r="LEH29" t="s">
        <v>10505</v>
      </c>
      <c r="LEI29" t="s">
        <v>10506</v>
      </c>
      <c r="LEJ29" t="s">
        <v>10507</v>
      </c>
      <c r="LEK29" t="s">
        <v>10508</v>
      </c>
      <c r="LEL29" t="s">
        <v>10509</v>
      </c>
      <c r="LEM29" t="s">
        <v>10510</v>
      </c>
      <c r="LEN29" t="s">
        <v>10511</v>
      </c>
      <c r="LEO29" t="s">
        <v>10512</v>
      </c>
      <c r="LEP29" t="s">
        <v>10513</v>
      </c>
      <c r="LEQ29" t="s">
        <v>10514</v>
      </c>
      <c r="LER29" t="s">
        <v>10515</v>
      </c>
      <c r="LES29" t="s">
        <v>10516</v>
      </c>
      <c r="LET29" t="s">
        <v>10517</v>
      </c>
      <c r="LEU29" t="s">
        <v>10518</v>
      </c>
      <c r="LEV29" t="s">
        <v>10519</v>
      </c>
      <c r="LEW29" t="s">
        <v>10520</v>
      </c>
      <c r="LEX29" t="s">
        <v>10521</v>
      </c>
      <c r="LEY29" t="s">
        <v>10522</v>
      </c>
      <c r="LEZ29" t="s">
        <v>10523</v>
      </c>
      <c r="LFA29" t="s">
        <v>10524</v>
      </c>
      <c r="LFB29" t="s">
        <v>10525</v>
      </c>
      <c r="LFC29" t="s">
        <v>10526</v>
      </c>
      <c r="LFD29" t="s">
        <v>10527</v>
      </c>
      <c r="LFE29" t="s">
        <v>10528</v>
      </c>
      <c r="LFF29" t="s">
        <v>10529</v>
      </c>
      <c r="LFG29" t="s">
        <v>10530</v>
      </c>
      <c r="LFH29" t="s">
        <v>10531</v>
      </c>
      <c r="LFI29" t="s">
        <v>10532</v>
      </c>
      <c r="LFJ29" t="s">
        <v>10533</v>
      </c>
      <c r="LFK29" t="s">
        <v>10534</v>
      </c>
      <c r="LFL29" t="s">
        <v>10535</v>
      </c>
      <c r="LFM29" t="s">
        <v>10536</v>
      </c>
      <c r="LFN29" t="s">
        <v>10537</v>
      </c>
      <c r="LFO29" t="s">
        <v>10538</v>
      </c>
      <c r="LFP29" t="s">
        <v>10539</v>
      </c>
      <c r="LFQ29" t="s">
        <v>10540</v>
      </c>
      <c r="LFR29" t="s">
        <v>10541</v>
      </c>
      <c r="LFS29" t="s">
        <v>10542</v>
      </c>
      <c r="LFT29" t="s">
        <v>10543</v>
      </c>
      <c r="LFU29" t="s">
        <v>10544</v>
      </c>
      <c r="LFV29" t="s">
        <v>10545</v>
      </c>
      <c r="LFW29" t="s">
        <v>10546</v>
      </c>
      <c r="LFX29" t="s">
        <v>10547</v>
      </c>
      <c r="LFY29" t="s">
        <v>10548</v>
      </c>
      <c r="LFZ29" t="s">
        <v>10549</v>
      </c>
      <c r="LGA29" t="s">
        <v>10550</v>
      </c>
      <c r="LGB29" t="s">
        <v>10551</v>
      </c>
      <c r="LGC29" t="s">
        <v>10552</v>
      </c>
      <c r="LGD29" t="s">
        <v>10553</v>
      </c>
      <c r="LGE29" t="s">
        <v>10554</v>
      </c>
      <c r="LGF29" t="s">
        <v>10555</v>
      </c>
      <c r="LGG29" t="s">
        <v>10556</v>
      </c>
      <c r="LGH29" t="s">
        <v>10557</v>
      </c>
      <c r="LGI29" t="s">
        <v>10558</v>
      </c>
      <c r="LGJ29" t="s">
        <v>10559</v>
      </c>
      <c r="LGK29" t="s">
        <v>10560</v>
      </c>
      <c r="LGL29" t="s">
        <v>10561</v>
      </c>
      <c r="LGM29" t="s">
        <v>10562</v>
      </c>
      <c r="LGN29" t="s">
        <v>10563</v>
      </c>
      <c r="LGO29" t="s">
        <v>10564</v>
      </c>
      <c r="LGP29" t="s">
        <v>10565</v>
      </c>
      <c r="LGQ29" t="s">
        <v>10566</v>
      </c>
      <c r="LGR29" t="s">
        <v>10567</v>
      </c>
      <c r="LGS29" t="s">
        <v>10568</v>
      </c>
      <c r="LGT29" t="s">
        <v>10569</v>
      </c>
      <c r="LGU29" t="s">
        <v>10570</v>
      </c>
      <c r="LGV29" t="s">
        <v>10571</v>
      </c>
      <c r="LGW29" t="s">
        <v>10572</v>
      </c>
      <c r="LGX29" t="s">
        <v>10573</v>
      </c>
      <c r="LGY29" t="s">
        <v>10574</v>
      </c>
      <c r="LGZ29" t="s">
        <v>10575</v>
      </c>
      <c r="LHA29" t="s">
        <v>10576</v>
      </c>
      <c r="LHB29" t="s">
        <v>10577</v>
      </c>
      <c r="LHC29" t="s">
        <v>10578</v>
      </c>
      <c r="LHD29" t="s">
        <v>10579</v>
      </c>
      <c r="LHE29" t="s">
        <v>10580</v>
      </c>
      <c r="LHF29" t="s">
        <v>10581</v>
      </c>
      <c r="LHG29" t="s">
        <v>10582</v>
      </c>
      <c r="LHH29" t="s">
        <v>10583</v>
      </c>
      <c r="LHI29" t="s">
        <v>10584</v>
      </c>
      <c r="LHJ29" t="s">
        <v>10585</v>
      </c>
      <c r="LHK29" t="s">
        <v>10586</v>
      </c>
      <c r="LHL29" t="s">
        <v>10587</v>
      </c>
      <c r="LHM29" t="s">
        <v>10588</v>
      </c>
      <c r="LHN29" t="s">
        <v>10589</v>
      </c>
      <c r="LHO29" t="s">
        <v>10590</v>
      </c>
      <c r="LHP29" t="s">
        <v>10591</v>
      </c>
      <c r="LHQ29" t="s">
        <v>10592</v>
      </c>
      <c r="LHR29" t="s">
        <v>10593</v>
      </c>
      <c r="LHS29" t="s">
        <v>10594</v>
      </c>
      <c r="LHT29" t="s">
        <v>10595</v>
      </c>
      <c r="LHU29" t="s">
        <v>10596</v>
      </c>
      <c r="LHV29" t="s">
        <v>10597</v>
      </c>
      <c r="LHW29" t="s">
        <v>10598</v>
      </c>
      <c r="LHX29" t="s">
        <v>10599</v>
      </c>
      <c r="LHY29" t="s">
        <v>10600</v>
      </c>
      <c r="LHZ29" t="s">
        <v>10601</v>
      </c>
      <c r="LIA29" t="s">
        <v>10602</v>
      </c>
      <c r="LIB29" t="s">
        <v>10603</v>
      </c>
      <c r="LIC29" t="s">
        <v>10604</v>
      </c>
      <c r="LID29" t="s">
        <v>10605</v>
      </c>
      <c r="LIE29" t="s">
        <v>10606</v>
      </c>
      <c r="LIF29" t="s">
        <v>10607</v>
      </c>
      <c r="LIG29" t="s">
        <v>10608</v>
      </c>
      <c r="LIH29" t="s">
        <v>10609</v>
      </c>
      <c r="LII29" t="s">
        <v>10610</v>
      </c>
      <c r="LIJ29" t="s">
        <v>10611</v>
      </c>
      <c r="LIK29" t="s">
        <v>10612</v>
      </c>
      <c r="LIL29" t="s">
        <v>10613</v>
      </c>
      <c r="LIM29" t="s">
        <v>10614</v>
      </c>
      <c r="LIN29" t="s">
        <v>10615</v>
      </c>
      <c r="LIO29" t="s">
        <v>10616</v>
      </c>
      <c r="LIP29" t="s">
        <v>10617</v>
      </c>
      <c r="LIQ29" t="s">
        <v>10618</v>
      </c>
      <c r="LIR29" t="s">
        <v>10619</v>
      </c>
      <c r="LIS29" t="s">
        <v>10620</v>
      </c>
      <c r="LIT29" t="s">
        <v>10621</v>
      </c>
      <c r="LIU29" t="s">
        <v>10622</v>
      </c>
      <c r="LIV29" t="s">
        <v>10623</v>
      </c>
      <c r="LIW29" t="s">
        <v>10624</v>
      </c>
      <c r="LIX29" t="s">
        <v>10625</v>
      </c>
      <c r="LIY29" t="s">
        <v>10626</v>
      </c>
      <c r="LIZ29" t="s">
        <v>10627</v>
      </c>
      <c r="LJA29" t="s">
        <v>10628</v>
      </c>
      <c r="LJB29" t="s">
        <v>10629</v>
      </c>
      <c r="LJC29" t="s">
        <v>10630</v>
      </c>
      <c r="LJD29" t="s">
        <v>10631</v>
      </c>
      <c r="LJE29" t="s">
        <v>10632</v>
      </c>
      <c r="LJF29" t="s">
        <v>10633</v>
      </c>
      <c r="LJG29" t="s">
        <v>10634</v>
      </c>
      <c r="LJH29" t="s">
        <v>10635</v>
      </c>
      <c r="LJI29" t="s">
        <v>10636</v>
      </c>
      <c r="LJJ29" t="s">
        <v>10637</v>
      </c>
      <c r="LJK29" t="s">
        <v>10638</v>
      </c>
      <c r="LJL29" t="s">
        <v>10639</v>
      </c>
      <c r="LJM29" t="s">
        <v>10640</v>
      </c>
      <c r="LJN29" t="s">
        <v>10641</v>
      </c>
      <c r="LJO29" t="s">
        <v>10642</v>
      </c>
      <c r="LJP29" t="s">
        <v>10643</v>
      </c>
      <c r="LJQ29" t="s">
        <v>10644</v>
      </c>
      <c r="LJR29" t="s">
        <v>10645</v>
      </c>
      <c r="LJS29" t="s">
        <v>10646</v>
      </c>
      <c r="LJT29" t="s">
        <v>10647</v>
      </c>
      <c r="LJU29" t="s">
        <v>10648</v>
      </c>
      <c r="LJV29" t="s">
        <v>10649</v>
      </c>
      <c r="LJW29" t="s">
        <v>10650</v>
      </c>
      <c r="LJX29" t="s">
        <v>10651</v>
      </c>
      <c r="LJY29" t="s">
        <v>10652</v>
      </c>
      <c r="LJZ29" t="s">
        <v>10653</v>
      </c>
      <c r="LKA29" t="s">
        <v>10654</v>
      </c>
      <c r="LKB29" t="s">
        <v>10655</v>
      </c>
      <c r="LKC29" t="s">
        <v>10656</v>
      </c>
      <c r="LKD29" t="s">
        <v>10657</v>
      </c>
      <c r="LKE29" t="s">
        <v>10658</v>
      </c>
      <c r="LKF29" t="s">
        <v>10659</v>
      </c>
      <c r="LKG29" t="s">
        <v>10660</v>
      </c>
      <c r="LKH29" t="s">
        <v>10661</v>
      </c>
      <c r="LKI29" t="s">
        <v>10662</v>
      </c>
      <c r="LKJ29" t="s">
        <v>10663</v>
      </c>
      <c r="LKK29" t="s">
        <v>10664</v>
      </c>
      <c r="LKL29" t="s">
        <v>10665</v>
      </c>
      <c r="LKM29" t="s">
        <v>10666</v>
      </c>
      <c r="LKN29" t="s">
        <v>10667</v>
      </c>
      <c r="LKO29" t="s">
        <v>10668</v>
      </c>
      <c r="LKP29" t="s">
        <v>10669</v>
      </c>
      <c r="LKQ29" t="s">
        <v>10670</v>
      </c>
      <c r="LKR29" t="s">
        <v>10671</v>
      </c>
      <c r="LKS29" t="s">
        <v>10672</v>
      </c>
      <c r="LKT29" t="s">
        <v>10673</v>
      </c>
      <c r="LKU29" t="s">
        <v>10674</v>
      </c>
      <c r="LKV29" t="s">
        <v>10675</v>
      </c>
      <c r="LKW29" t="s">
        <v>10676</v>
      </c>
      <c r="LKX29" t="s">
        <v>10677</v>
      </c>
      <c r="LKY29" t="s">
        <v>10678</v>
      </c>
      <c r="LKZ29" t="s">
        <v>10679</v>
      </c>
      <c r="LLA29" t="s">
        <v>10680</v>
      </c>
      <c r="LLB29" t="s">
        <v>10681</v>
      </c>
      <c r="LLC29" t="s">
        <v>10682</v>
      </c>
      <c r="LLD29" t="s">
        <v>10683</v>
      </c>
      <c r="LLE29" t="s">
        <v>10684</v>
      </c>
      <c r="LLF29" t="s">
        <v>10685</v>
      </c>
      <c r="LLG29" t="s">
        <v>10686</v>
      </c>
      <c r="LLH29" t="s">
        <v>10687</v>
      </c>
      <c r="LLI29" t="s">
        <v>10688</v>
      </c>
      <c r="LLJ29" t="s">
        <v>10689</v>
      </c>
      <c r="LLK29" t="s">
        <v>10690</v>
      </c>
      <c r="LLL29" t="s">
        <v>10691</v>
      </c>
      <c r="LLM29" t="s">
        <v>10692</v>
      </c>
      <c r="LLN29" t="s">
        <v>10693</v>
      </c>
      <c r="LLO29" t="s">
        <v>10694</v>
      </c>
      <c r="LLP29" t="s">
        <v>10695</v>
      </c>
      <c r="LLQ29" t="s">
        <v>10696</v>
      </c>
      <c r="LLR29" t="s">
        <v>10697</v>
      </c>
      <c r="LLS29" t="s">
        <v>10698</v>
      </c>
      <c r="LLT29" t="s">
        <v>10699</v>
      </c>
      <c r="LLU29" t="s">
        <v>10700</v>
      </c>
      <c r="LLV29" t="s">
        <v>10701</v>
      </c>
      <c r="LLW29" t="s">
        <v>10702</v>
      </c>
      <c r="LLX29" t="s">
        <v>10703</v>
      </c>
      <c r="LLY29" t="s">
        <v>10704</v>
      </c>
      <c r="LLZ29" t="s">
        <v>10705</v>
      </c>
      <c r="LMA29" t="s">
        <v>10706</v>
      </c>
      <c r="LMB29" t="s">
        <v>10707</v>
      </c>
      <c r="LMC29" t="s">
        <v>10708</v>
      </c>
      <c r="LMD29" t="s">
        <v>10709</v>
      </c>
      <c r="LME29" t="s">
        <v>10710</v>
      </c>
      <c r="LMF29" t="s">
        <v>10711</v>
      </c>
      <c r="LMG29" t="s">
        <v>10712</v>
      </c>
      <c r="LMH29" t="s">
        <v>10713</v>
      </c>
      <c r="LMI29" t="s">
        <v>10714</v>
      </c>
      <c r="LMJ29" t="s">
        <v>10715</v>
      </c>
      <c r="LMK29" t="s">
        <v>10716</v>
      </c>
      <c r="LML29" t="s">
        <v>10717</v>
      </c>
      <c r="LMM29" t="s">
        <v>10718</v>
      </c>
      <c r="LMN29" t="s">
        <v>10719</v>
      </c>
      <c r="LMO29" t="s">
        <v>10720</v>
      </c>
      <c r="LMP29" t="s">
        <v>10721</v>
      </c>
      <c r="LMQ29" t="s">
        <v>10722</v>
      </c>
      <c r="LMR29" t="s">
        <v>10723</v>
      </c>
      <c r="LMS29" t="s">
        <v>10724</v>
      </c>
      <c r="LMT29" t="s">
        <v>10725</v>
      </c>
      <c r="LMU29" t="s">
        <v>10726</v>
      </c>
      <c r="LMV29" t="s">
        <v>10727</v>
      </c>
      <c r="LMW29" t="s">
        <v>10728</v>
      </c>
      <c r="LMX29" t="s">
        <v>10729</v>
      </c>
      <c r="LMY29" t="s">
        <v>10730</v>
      </c>
      <c r="LMZ29" t="s">
        <v>10731</v>
      </c>
      <c r="LNA29" t="s">
        <v>10732</v>
      </c>
      <c r="LNB29" t="s">
        <v>10733</v>
      </c>
      <c r="LNC29" t="s">
        <v>10734</v>
      </c>
      <c r="LND29" t="s">
        <v>10735</v>
      </c>
      <c r="LNE29" t="s">
        <v>10736</v>
      </c>
      <c r="LNF29" t="s">
        <v>10737</v>
      </c>
      <c r="LNG29" t="s">
        <v>10738</v>
      </c>
      <c r="LNH29" t="s">
        <v>10739</v>
      </c>
      <c r="LNI29" t="s">
        <v>10740</v>
      </c>
      <c r="LNJ29" t="s">
        <v>10741</v>
      </c>
      <c r="LNK29" t="s">
        <v>10742</v>
      </c>
      <c r="LNL29" t="s">
        <v>10743</v>
      </c>
      <c r="LNM29" t="s">
        <v>10744</v>
      </c>
      <c r="LNN29" t="s">
        <v>10745</v>
      </c>
      <c r="LNO29" t="s">
        <v>10746</v>
      </c>
      <c r="LNP29" t="s">
        <v>10747</v>
      </c>
      <c r="LNQ29" t="s">
        <v>10748</v>
      </c>
      <c r="LNR29" t="s">
        <v>10749</v>
      </c>
      <c r="LNS29" t="s">
        <v>10750</v>
      </c>
      <c r="LNT29" t="s">
        <v>10751</v>
      </c>
      <c r="LNU29" t="s">
        <v>10752</v>
      </c>
      <c r="LNV29" t="s">
        <v>10753</v>
      </c>
      <c r="LNW29" t="s">
        <v>10754</v>
      </c>
      <c r="LNX29" t="s">
        <v>10755</v>
      </c>
      <c r="LNY29" t="s">
        <v>10756</v>
      </c>
      <c r="LNZ29" t="s">
        <v>10757</v>
      </c>
      <c r="LOA29" t="s">
        <v>10758</v>
      </c>
      <c r="LOB29" t="s">
        <v>10759</v>
      </c>
      <c r="LOC29" t="s">
        <v>10760</v>
      </c>
      <c r="LOD29" t="s">
        <v>10761</v>
      </c>
      <c r="LOE29" t="s">
        <v>10762</v>
      </c>
      <c r="LOF29" t="s">
        <v>10763</v>
      </c>
      <c r="LOG29" t="s">
        <v>10764</v>
      </c>
      <c r="LOH29" t="s">
        <v>10765</v>
      </c>
      <c r="LOI29" t="s">
        <v>10766</v>
      </c>
      <c r="LOJ29" t="s">
        <v>10767</v>
      </c>
      <c r="LOK29" t="s">
        <v>10768</v>
      </c>
      <c r="LOL29" t="s">
        <v>10769</v>
      </c>
      <c r="LOM29" t="s">
        <v>10770</v>
      </c>
      <c r="LON29" t="s">
        <v>10771</v>
      </c>
      <c r="LOO29" t="s">
        <v>10772</v>
      </c>
      <c r="LOP29" t="s">
        <v>10773</v>
      </c>
      <c r="LOQ29" t="s">
        <v>10774</v>
      </c>
      <c r="LOR29" t="s">
        <v>10775</v>
      </c>
      <c r="LOS29" t="s">
        <v>10776</v>
      </c>
      <c r="LOT29" t="s">
        <v>10777</v>
      </c>
      <c r="LOU29" t="s">
        <v>10778</v>
      </c>
      <c r="LOV29" t="s">
        <v>10779</v>
      </c>
      <c r="LOW29" t="s">
        <v>10780</v>
      </c>
      <c r="LOX29" t="s">
        <v>10781</v>
      </c>
      <c r="LOY29" t="s">
        <v>10782</v>
      </c>
      <c r="LOZ29" t="s">
        <v>10783</v>
      </c>
      <c r="LPA29" t="s">
        <v>10784</v>
      </c>
      <c r="LPB29" t="s">
        <v>10785</v>
      </c>
      <c r="LPC29" t="s">
        <v>10786</v>
      </c>
      <c r="LPD29" t="s">
        <v>10787</v>
      </c>
      <c r="LPE29" t="s">
        <v>10788</v>
      </c>
      <c r="LPF29" t="s">
        <v>10789</v>
      </c>
      <c r="LPG29" t="s">
        <v>10790</v>
      </c>
      <c r="LPH29" t="s">
        <v>10791</v>
      </c>
      <c r="LPI29" t="s">
        <v>10792</v>
      </c>
      <c r="LPJ29" t="s">
        <v>10793</v>
      </c>
      <c r="LPK29" t="s">
        <v>10794</v>
      </c>
      <c r="LPL29" t="s">
        <v>10795</v>
      </c>
      <c r="LPM29" t="s">
        <v>10796</v>
      </c>
      <c r="LPN29" t="s">
        <v>10797</v>
      </c>
      <c r="LPO29" t="s">
        <v>10798</v>
      </c>
      <c r="LPP29" t="s">
        <v>10799</v>
      </c>
      <c r="LPQ29" t="s">
        <v>10800</v>
      </c>
      <c r="LPR29" t="s">
        <v>10801</v>
      </c>
      <c r="LPS29" t="s">
        <v>10802</v>
      </c>
      <c r="LPT29" t="s">
        <v>10803</v>
      </c>
      <c r="LPU29" t="s">
        <v>10804</v>
      </c>
      <c r="LPV29" t="s">
        <v>10805</v>
      </c>
      <c r="LPW29" t="s">
        <v>10806</v>
      </c>
      <c r="LPX29" t="s">
        <v>10807</v>
      </c>
      <c r="LPY29" t="s">
        <v>10808</v>
      </c>
      <c r="LPZ29" t="s">
        <v>10809</v>
      </c>
      <c r="LQA29" t="s">
        <v>10810</v>
      </c>
      <c r="LQB29" t="s">
        <v>10811</v>
      </c>
      <c r="LQC29" t="s">
        <v>10812</v>
      </c>
      <c r="LQD29" t="s">
        <v>10813</v>
      </c>
      <c r="LQE29" t="s">
        <v>10814</v>
      </c>
      <c r="LQF29" t="s">
        <v>10815</v>
      </c>
      <c r="LQG29" t="s">
        <v>10816</v>
      </c>
      <c r="LQH29" t="s">
        <v>10817</v>
      </c>
      <c r="LQI29" t="s">
        <v>10818</v>
      </c>
      <c r="LQJ29" t="s">
        <v>10819</v>
      </c>
      <c r="LQK29" t="s">
        <v>10820</v>
      </c>
      <c r="LQL29" t="s">
        <v>10821</v>
      </c>
      <c r="LQM29" t="s">
        <v>10822</v>
      </c>
      <c r="LQN29" t="s">
        <v>10823</v>
      </c>
      <c r="LQO29" t="s">
        <v>10824</v>
      </c>
      <c r="LQP29" t="s">
        <v>10825</v>
      </c>
      <c r="LQQ29" t="s">
        <v>10826</v>
      </c>
      <c r="LQR29" t="s">
        <v>10827</v>
      </c>
      <c r="LQS29" t="s">
        <v>10828</v>
      </c>
      <c r="LQT29" t="s">
        <v>10829</v>
      </c>
      <c r="LQU29" t="s">
        <v>10830</v>
      </c>
      <c r="LQV29" t="s">
        <v>10831</v>
      </c>
      <c r="LQW29" t="s">
        <v>10832</v>
      </c>
      <c r="LQX29" t="s">
        <v>10833</v>
      </c>
      <c r="LQY29" t="s">
        <v>10834</v>
      </c>
      <c r="LQZ29" t="s">
        <v>10835</v>
      </c>
      <c r="LRA29" t="s">
        <v>10836</v>
      </c>
      <c r="LRB29" t="s">
        <v>10837</v>
      </c>
      <c r="LRC29" t="s">
        <v>10838</v>
      </c>
      <c r="LRD29" t="s">
        <v>10839</v>
      </c>
      <c r="LRE29" t="s">
        <v>10840</v>
      </c>
      <c r="LRF29" t="s">
        <v>10841</v>
      </c>
      <c r="LRG29" t="s">
        <v>10842</v>
      </c>
      <c r="LRH29" t="s">
        <v>10843</v>
      </c>
      <c r="LRI29" t="s">
        <v>10844</v>
      </c>
      <c r="LRJ29" t="s">
        <v>10845</v>
      </c>
      <c r="LRK29" t="s">
        <v>10846</v>
      </c>
      <c r="LRL29" t="s">
        <v>10847</v>
      </c>
      <c r="LRM29" t="s">
        <v>10848</v>
      </c>
      <c r="LRN29" t="s">
        <v>10849</v>
      </c>
      <c r="LRO29" t="s">
        <v>10850</v>
      </c>
      <c r="LRP29" t="s">
        <v>10851</v>
      </c>
      <c r="LRQ29" t="s">
        <v>10852</v>
      </c>
      <c r="LRR29" t="s">
        <v>10853</v>
      </c>
      <c r="LRS29" t="s">
        <v>10854</v>
      </c>
      <c r="LRT29" t="s">
        <v>10855</v>
      </c>
      <c r="LRU29" t="s">
        <v>10856</v>
      </c>
      <c r="LRV29" t="s">
        <v>10857</v>
      </c>
      <c r="LRW29" t="s">
        <v>10858</v>
      </c>
      <c r="LRX29" t="s">
        <v>10859</v>
      </c>
      <c r="LRY29" t="s">
        <v>10860</v>
      </c>
      <c r="LRZ29" t="s">
        <v>10861</v>
      </c>
      <c r="LSA29" t="s">
        <v>10862</v>
      </c>
      <c r="LSB29" t="s">
        <v>10863</v>
      </c>
      <c r="LSC29" t="s">
        <v>10864</v>
      </c>
      <c r="LSD29" t="s">
        <v>10865</v>
      </c>
      <c r="LSE29" t="s">
        <v>10866</v>
      </c>
      <c r="LSF29" t="s">
        <v>10867</v>
      </c>
      <c r="LSG29" t="s">
        <v>10868</v>
      </c>
      <c r="LSH29" t="s">
        <v>10869</v>
      </c>
      <c r="LSI29" t="s">
        <v>10870</v>
      </c>
      <c r="LSJ29" t="s">
        <v>10871</v>
      </c>
      <c r="LSK29" t="s">
        <v>10872</v>
      </c>
      <c r="LSL29" t="s">
        <v>10873</v>
      </c>
      <c r="LSM29" t="s">
        <v>10874</v>
      </c>
      <c r="LSN29" t="s">
        <v>10875</v>
      </c>
      <c r="LSO29" t="s">
        <v>10876</v>
      </c>
      <c r="LSP29" t="s">
        <v>10877</v>
      </c>
      <c r="LSQ29" t="s">
        <v>10878</v>
      </c>
      <c r="LSR29" t="s">
        <v>10879</v>
      </c>
      <c r="LSS29" t="s">
        <v>10880</v>
      </c>
      <c r="LST29" t="s">
        <v>10881</v>
      </c>
      <c r="LSU29" t="s">
        <v>10882</v>
      </c>
      <c r="LSV29" t="s">
        <v>10883</v>
      </c>
      <c r="LSW29" t="s">
        <v>10884</v>
      </c>
      <c r="LSX29" t="s">
        <v>10885</v>
      </c>
      <c r="LSY29" t="s">
        <v>10886</v>
      </c>
      <c r="LSZ29" t="s">
        <v>10887</v>
      </c>
      <c r="LTA29" t="s">
        <v>10888</v>
      </c>
      <c r="LTB29" t="s">
        <v>10889</v>
      </c>
      <c r="LTC29" t="s">
        <v>10890</v>
      </c>
      <c r="LTD29" t="s">
        <v>10891</v>
      </c>
      <c r="LTE29" t="s">
        <v>10892</v>
      </c>
      <c r="LTF29" t="s">
        <v>10893</v>
      </c>
      <c r="LTG29" t="s">
        <v>10894</v>
      </c>
      <c r="LTH29" t="s">
        <v>10895</v>
      </c>
      <c r="LTI29" t="s">
        <v>10896</v>
      </c>
      <c r="LTJ29" t="s">
        <v>10897</v>
      </c>
      <c r="LTK29" t="s">
        <v>10898</v>
      </c>
      <c r="LTL29" t="s">
        <v>10899</v>
      </c>
      <c r="LTM29" t="s">
        <v>10900</v>
      </c>
      <c r="LTN29" t="s">
        <v>10901</v>
      </c>
      <c r="LTO29" t="s">
        <v>10902</v>
      </c>
      <c r="LTP29" t="s">
        <v>10903</v>
      </c>
      <c r="LTQ29" t="s">
        <v>10904</v>
      </c>
      <c r="LTR29" t="s">
        <v>10905</v>
      </c>
      <c r="LTS29" t="s">
        <v>10906</v>
      </c>
      <c r="LTT29" t="s">
        <v>10907</v>
      </c>
      <c r="LTU29" t="s">
        <v>10908</v>
      </c>
      <c r="LTV29" t="s">
        <v>10909</v>
      </c>
      <c r="LTW29" t="s">
        <v>10910</v>
      </c>
      <c r="LTX29" t="s">
        <v>10911</v>
      </c>
      <c r="LTY29" t="s">
        <v>10912</v>
      </c>
      <c r="LTZ29" t="s">
        <v>10913</v>
      </c>
      <c r="LUA29" t="s">
        <v>10914</v>
      </c>
      <c r="LUB29" t="s">
        <v>10915</v>
      </c>
      <c r="LUC29" t="s">
        <v>10916</v>
      </c>
      <c r="LUD29" t="s">
        <v>10917</v>
      </c>
      <c r="LUE29" t="s">
        <v>10918</v>
      </c>
      <c r="LUF29" t="s">
        <v>10919</v>
      </c>
      <c r="LUG29" t="s">
        <v>10920</v>
      </c>
      <c r="LUH29" t="s">
        <v>10921</v>
      </c>
      <c r="LUI29" t="s">
        <v>10922</v>
      </c>
      <c r="LUJ29" t="s">
        <v>10923</v>
      </c>
      <c r="LUK29" t="s">
        <v>10924</v>
      </c>
      <c r="LUL29" t="s">
        <v>10925</v>
      </c>
      <c r="LUM29" t="s">
        <v>10926</v>
      </c>
      <c r="LUN29" t="s">
        <v>10927</v>
      </c>
      <c r="LUO29" t="s">
        <v>10928</v>
      </c>
      <c r="LUP29" t="s">
        <v>10929</v>
      </c>
      <c r="LUQ29" t="s">
        <v>10930</v>
      </c>
      <c r="LUR29" t="s">
        <v>10931</v>
      </c>
      <c r="LUS29" t="s">
        <v>10932</v>
      </c>
      <c r="LUT29" t="s">
        <v>10933</v>
      </c>
      <c r="LUU29" t="s">
        <v>10934</v>
      </c>
      <c r="LUV29" t="s">
        <v>10935</v>
      </c>
      <c r="LUW29" t="s">
        <v>10936</v>
      </c>
      <c r="LUX29" t="s">
        <v>10937</v>
      </c>
      <c r="LUY29" t="s">
        <v>10938</v>
      </c>
      <c r="LUZ29" t="s">
        <v>10939</v>
      </c>
      <c r="LVA29" t="s">
        <v>10940</v>
      </c>
      <c r="LVB29" t="s">
        <v>10941</v>
      </c>
      <c r="LVC29" t="s">
        <v>10942</v>
      </c>
      <c r="LVD29" t="s">
        <v>10943</v>
      </c>
      <c r="LVE29" t="s">
        <v>10944</v>
      </c>
      <c r="LVF29" t="s">
        <v>10945</v>
      </c>
      <c r="LVG29" t="s">
        <v>10946</v>
      </c>
      <c r="LVH29" t="s">
        <v>10947</v>
      </c>
      <c r="LVI29" t="s">
        <v>10948</v>
      </c>
      <c r="LVJ29" t="s">
        <v>10949</v>
      </c>
      <c r="LVK29" t="s">
        <v>10950</v>
      </c>
      <c r="LVL29" t="s">
        <v>10951</v>
      </c>
      <c r="LVM29" t="s">
        <v>10952</v>
      </c>
      <c r="LVN29" t="s">
        <v>10953</v>
      </c>
      <c r="LVO29" t="s">
        <v>10954</v>
      </c>
      <c r="LVP29" t="s">
        <v>10955</v>
      </c>
      <c r="LVQ29" t="s">
        <v>10956</v>
      </c>
      <c r="LVR29" t="s">
        <v>10957</v>
      </c>
      <c r="LVS29" t="s">
        <v>10958</v>
      </c>
      <c r="LVT29" t="s">
        <v>10959</v>
      </c>
      <c r="LVU29" t="s">
        <v>10960</v>
      </c>
      <c r="LVV29" t="s">
        <v>10961</v>
      </c>
      <c r="LVW29" t="s">
        <v>10962</v>
      </c>
      <c r="LVX29" t="s">
        <v>10963</v>
      </c>
      <c r="LVY29" t="s">
        <v>10964</v>
      </c>
      <c r="LVZ29" t="s">
        <v>10965</v>
      </c>
      <c r="LWA29" t="s">
        <v>10966</v>
      </c>
      <c r="LWB29" t="s">
        <v>10967</v>
      </c>
      <c r="LWC29" t="s">
        <v>10968</v>
      </c>
      <c r="LWD29" t="s">
        <v>10969</v>
      </c>
      <c r="LWE29" t="s">
        <v>10970</v>
      </c>
      <c r="LWF29" t="s">
        <v>10971</v>
      </c>
      <c r="LWG29" t="s">
        <v>10972</v>
      </c>
      <c r="LWH29" t="s">
        <v>10973</v>
      </c>
      <c r="LWI29" t="s">
        <v>10974</v>
      </c>
      <c r="LWJ29" t="s">
        <v>10975</v>
      </c>
      <c r="LWK29" t="s">
        <v>10976</v>
      </c>
      <c r="LWL29" t="s">
        <v>10977</v>
      </c>
      <c r="LWM29" t="s">
        <v>10978</v>
      </c>
      <c r="LWN29" t="s">
        <v>10979</v>
      </c>
      <c r="LWO29" t="s">
        <v>10980</v>
      </c>
      <c r="LWP29" t="s">
        <v>10981</v>
      </c>
      <c r="LWQ29" t="s">
        <v>10982</v>
      </c>
      <c r="LWR29" t="s">
        <v>10983</v>
      </c>
      <c r="LWS29" t="s">
        <v>10984</v>
      </c>
      <c r="LWT29" t="s">
        <v>10985</v>
      </c>
      <c r="LWU29" t="s">
        <v>10986</v>
      </c>
      <c r="LWV29" t="s">
        <v>10987</v>
      </c>
      <c r="LWW29" t="s">
        <v>10988</v>
      </c>
      <c r="LWX29" t="s">
        <v>10989</v>
      </c>
      <c r="LWY29" t="s">
        <v>10990</v>
      </c>
      <c r="LWZ29" t="s">
        <v>10991</v>
      </c>
      <c r="LXA29" t="s">
        <v>10992</v>
      </c>
      <c r="LXB29" t="s">
        <v>10993</v>
      </c>
      <c r="LXC29" t="s">
        <v>10994</v>
      </c>
      <c r="LXD29" t="s">
        <v>10995</v>
      </c>
      <c r="LXE29" t="s">
        <v>10996</v>
      </c>
      <c r="LXF29" t="s">
        <v>10997</v>
      </c>
      <c r="LXG29" t="s">
        <v>10998</v>
      </c>
      <c r="LXH29" t="s">
        <v>10999</v>
      </c>
      <c r="LXI29" t="s">
        <v>11000</v>
      </c>
      <c r="LXJ29" t="s">
        <v>11001</v>
      </c>
      <c r="LXK29" t="s">
        <v>11002</v>
      </c>
      <c r="LXL29" t="s">
        <v>11003</v>
      </c>
      <c r="LXM29" t="s">
        <v>11004</v>
      </c>
      <c r="LXN29" t="s">
        <v>11005</v>
      </c>
      <c r="LXO29" t="s">
        <v>11006</v>
      </c>
      <c r="LXP29" t="s">
        <v>11007</v>
      </c>
      <c r="LXQ29" t="s">
        <v>11008</v>
      </c>
      <c r="LXR29" t="s">
        <v>11009</v>
      </c>
      <c r="LXS29" t="s">
        <v>11010</v>
      </c>
      <c r="LXT29" t="s">
        <v>11011</v>
      </c>
      <c r="LXU29" t="s">
        <v>11012</v>
      </c>
      <c r="LXV29" t="s">
        <v>11013</v>
      </c>
      <c r="LXW29" t="s">
        <v>11014</v>
      </c>
      <c r="LXX29" t="s">
        <v>11015</v>
      </c>
      <c r="LXY29" t="s">
        <v>11016</v>
      </c>
      <c r="LXZ29" t="s">
        <v>11017</v>
      </c>
      <c r="LYA29" t="s">
        <v>11018</v>
      </c>
      <c r="LYB29" t="s">
        <v>11019</v>
      </c>
      <c r="LYC29" t="s">
        <v>11020</v>
      </c>
      <c r="LYD29" t="s">
        <v>11021</v>
      </c>
      <c r="LYE29" t="s">
        <v>11022</v>
      </c>
      <c r="LYF29" t="s">
        <v>11023</v>
      </c>
      <c r="LYG29" t="s">
        <v>11024</v>
      </c>
      <c r="LYH29" t="s">
        <v>11025</v>
      </c>
      <c r="LYI29" t="s">
        <v>11026</v>
      </c>
      <c r="LYJ29" t="s">
        <v>11027</v>
      </c>
      <c r="LYK29" t="s">
        <v>11028</v>
      </c>
      <c r="LYL29" t="s">
        <v>11029</v>
      </c>
      <c r="LYM29" t="s">
        <v>11030</v>
      </c>
      <c r="LYN29" t="s">
        <v>11031</v>
      </c>
      <c r="LYO29" t="s">
        <v>11032</v>
      </c>
      <c r="LYP29" t="s">
        <v>11033</v>
      </c>
      <c r="LYQ29" t="s">
        <v>11034</v>
      </c>
      <c r="LYR29" t="s">
        <v>11035</v>
      </c>
      <c r="LYS29" t="s">
        <v>11036</v>
      </c>
      <c r="LYT29" t="s">
        <v>11037</v>
      </c>
      <c r="LYU29" t="s">
        <v>11038</v>
      </c>
      <c r="LYV29" t="s">
        <v>11039</v>
      </c>
      <c r="LYW29" t="s">
        <v>11040</v>
      </c>
      <c r="LYX29" t="s">
        <v>11041</v>
      </c>
      <c r="LYY29" t="s">
        <v>11042</v>
      </c>
      <c r="LYZ29" t="s">
        <v>11043</v>
      </c>
      <c r="LZA29" t="s">
        <v>11044</v>
      </c>
      <c r="LZB29" t="s">
        <v>11045</v>
      </c>
      <c r="LZC29" t="s">
        <v>11046</v>
      </c>
      <c r="LZD29" t="s">
        <v>11047</v>
      </c>
      <c r="LZE29" t="s">
        <v>11048</v>
      </c>
      <c r="LZF29" t="s">
        <v>11049</v>
      </c>
      <c r="LZG29" t="s">
        <v>11050</v>
      </c>
      <c r="LZH29" t="s">
        <v>11051</v>
      </c>
      <c r="LZI29" t="s">
        <v>11052</v>
      </c>
      <c r="LZJ29" t="s">
        <v>11053</v>
      </c>
      <c r="LZK29" t="s">
        <v>11054</v>
      </c>
      <c r="LZL29" t="s">
        <v>11055</v>
      </c>
      <c r="LZM29" t="s">
        <v>11056</v>
      </c>
      <c r="LZN29" t="s">
        <v>11057</v>
      </c>
      <c r="LZO29" t="s">
        <v>11058</v>
      </c>
      <c r="LZP29" t="s">
        <v>11059</v>
      </c>
      <c r="LZQ29" t="s">
        <v>11060</v>
      </c>
      <c r="LZR29" t="s">
        <v>11061</v>
      </c>
      <c r="LZS29" t="s">
        <v>11062</v>
      </c>
      <c r="LZT29" t="s">
        <v>11063</v>
      </c>
      <c r="LZU29" t="s">
        <v>11064</v>
      </c>
      <c r="LZV29" t="s">
        <v>11065</v>
      </c>
      <c r="LZW29" t="s">
        <v>11066</v>
      </c>
      <c r="LZX29" t="s">
        <v>11067</v>
      </c>
      <c r="LZY29" t="s">
        <v>11068</v>
      </c>
      <c r="LZZ29" t="s">
        <v>11069</v>
      </c>
      <c r="MAA29" t="s">
        <v>11070</v>
      </c>
      <c r="MAB29" t="s">
        <v>11071</v>
      </c>
      <c r="MAC29" t="s">
        <v>11072</v>
      </c>
      <c r="MAD29" t="s">
        <v>11073</v>
      </c>
      <c r="MAE29" t="s">
        <v>11074</v>
      </c>
      <c r="MAF29" t="s">
        <v>11075</v>
      </c>
      <c r="MAG29" t="s">
        <v>11076</v>
      </c>
      <c r="MAH29" t="s">
        <v>11077</v>
      </c>
      <c r="MAI29" t="s">
        <v>11078</v>
      </c>
      <c r="MAJ29" t="s">
        <v>11079</v>
      </c>
      <c r="MAK29" t="s">
        <v>11080</v>
      </c>
      <c r="MAL29" t="s">
        <v>11081</v>
      </c>
      <c r="MAM29" t="s">
        <v>11082</v>
      </c>
      <c r="MAN29" t="s">
        <v>11083</v>
      </c>
      <c r="MAO29" t="s">
        <v>11084</v>
      </c>
      <c r="MAP29" t="s">
        <v>11085</v>
      </c>
      <c r="MAQ29" t="s">
        <v>11086</v>
      </c>
      <c r="MAR29" t="s">
        <v>11087</v>
      </c>
      <c r="MAS29" t="s">
        <v>11088</v>
      </c>
      <c r="MAT29" t="s">
        <v>11089</v>
      </c>
      <c r="MAU29" t="s">
        <v>11090</v>
      </c>
      <c r="MAV29" t="s">
        <v>11091</v>
      </c>
      <c r="MAW29" t="s">
        <v>11092</v>
      </c>
      <c r="MAX29" t="s">
        <v>11093</v>
      </c>
      <c r="MAY29" t="s">
        <v>11094</v>
      </c>
      <c r="MAZ29" t="s">
        <v>11095</v>
      </c>
      <c r="MBA29" t="s">
        <v>11096</v>
      </c>
      <c r="MBB29" t="s">
        <v>11097</v>
      </c>
      <c r="MBC29" t="s">
        <v>11098</v>
      </c>
      <c r="MBD29" t="s">
        <v>11099</v>
      </c>
      <c r="MBE29" t="s">
        <v>11100</v>
      </c>
      <c r="MBF29" t="s">
        <v>11101</v>
      </c>
      <c r="MBG29" t="s">
        <v>11102</v>
      </c>
      <c r="MBH29" t="s">
        <v>11103</v>
      </c>
      <c r="MBI29" t="s">
        <v>11104</v>
      </c>
      <c r="MBJ29" t="s">
        <v>11105</v>
      </c>
      <c r="MBK29" t="s">
        <v>11106</v>
      </c>
      <c r="MBL29" t="s">
        <v>11107</v>
      </c>
      <c r="MBM29" t="s">
        <v>11108</v>
      </c>
      <c r="MBN29" t="s">
        <v>11109</v>
      </c>
      <c r="MBO29" t="s">
        <v>11110</v>
      </c>
      <c r="MBP29" t="s">
        <v>11111</v>
      </c>
      <c r="MBQ29" t="s">
        <v>11112</v>
      </c>
      <c r="MBR29" t="s">
        <v>11113</v>
      </c>
      <c r="MBS29" t="s">
        <v>11114</v>
      </c>
      <c r="MBT29" t="s">
        <v>11115</v>
      </c>
      <c r="MBU29" t="s">
        <v>11116</v>
      </c>
      <c r="MBV29" t="s">
        <v>11117</v>
      </c>
      <c r="MBW29" t="s">
        <v>11118</v>
      </c>
      <c r="MBX29" t="s">
        <v>11119</v>
      </c>
      <c r="MBY29" t="s">
        <v>11120</v>
      </c>
      <c r="MBZ29" t="s">
        <v>11121</v>
      </c>
      <c r="MCA29" t="s">
        <v>11122</v>
      </c>
      <c r="MCB29" t="s">
        <v>11123</v>
      </c>
      <c r="MCC29" t="s">
        <v>11124</v>
      </c>
      <c r="MCD29" t="s">
        <v>11125</v>
      </c>
      <c r="MCE29" t="s">
        <v>11126</v>
      </c>
      <c r="MCF29" t="s">
        <v>11127</v>
      </c>
      <c r="MCG29" t="s">
        <v>11128</v>
      </c>
      <c r="MCH29" t="s">
        <v>11129</v>
      </c>
      <c r="MCI29" t="s">
        <v>11130</v>
      </c>
      <c r="MCJ29" t="s">
        <v>11131</v>
      </c>
      <c r="MCK29" t="s">
        <v>11132</v>
      </c>
      <c r="MCL29" t="s">
        <v>11133</v>
      </c>
      <c r="MCM29" t="s">
        <v>11134</v>
      </c>
      <c r="MCN29" t="s">
        <v>11135</v>
      </c>
      <c r="MCO29" t="s">
        <v>11136</v>
      </c>
      <c r="MCP29" t="s">
        <v>11137</v>
      </c>
      <c r="MCQ29" t="s">
        <v>11138</v>
      </c>
      <c r="MCR29" t="s">
        <v>11139</v>
      </c>
      <c r="MCS29" t="s">
        <v>11140</v>
      </c>
      <c r="MCT29" t="s">
        <v>11141</v>
      </c>
      <c r="MCU29" t="s">
        <v>11142</v>
      </c>
      <c r="MCV29" t="s">
        <v>11143</v>
      </c>
      <c r="MCW29" t="s">
        <v>11144</v>
      </c>
      <c r="MCX29" t="s">
        <v>11145</v>
      </c>
      <c r="MCY29" t="s">
        <v>11146</v>
      </c>
      <c r="MCZ29" t="s">
        <v>11147</v>
      </c>
      <c r="MDA29" t="s">
        <v>11148</v>
      </c>
      <c r="MDB29" t="s">
        <v>11149</v>
      </c>
      <c r="MDC29" t="s">
        <v>11150</v>
      </c>
      <c r="MDD29" t="s">
        <v>11151</v>
      </c>
      <c r="MDE29" t="s">
        <v>11152</v>
      </c>
      <c r="MDF29" t="s">
        <v>11153</v>
      </c>
      <c r="MDG29" t="s">
        <v>11154</v>
      </c>
      <c r="MDH29" t="s">
        <v>11155</v>
      </c>
      <c r="MDI29" t="s">
        <v>11156</v>
      </c>
      <c r="MDJ29" t="s">
        <v>11157</v>
      </c>
      <c r="MDK29" t="s">
        <v>11158</v>
      </c>
      <c r="MDL29" t="s">
        <v>11159</v>
      </c>
      <c r="MDM29" t="s">
        <v>11160</v>
      </c>
      <c r="MDN29" t="s">
        <v>11161</v>
      </c>
      <c r="MDO29" t="s">
        <v>11162</v>
      </c>
      <c r="MDP29" t="s">
        <v>11163</v>
      </c>
      <c r="MDQ29" t="s">
        <v>11164</v>
      </c>
      <c r="MDR29" t="s">
        <v>11165</v>
      </c>
      <c r="MDS29" t="s">
        <v>11166</v>
      </c>
      <c r="MDT29" t="s">
        <v>11167</v>
      </c>
      <c r="MDU29" t="s">
        <v>11168</v>
      </c>
      <c r="MDV29" t="s">
        <v>11169</v>
      </c>
      <c r="MDW29" t="s">
        <v>11170</v>
      </c>
      <c r="MDX29" t="s">
        <v>11171</v>
      </c>
      <c r="MDY29" t="s">
        <v>11172</v>
      </c>
      <c r="MDZ29" t="s">
        <v>11173</v>
      </c>
      <c r="MEA29" t="s">
        <v>11174</v>
      </c>
      <c r="MEB29" t="s">
        <v>11175</v>
      </c>
      <c r="MEC29" t="s">
        <v>11176</v>
      </c>
      <c r="MED29" t="s">
        <v>11177</v>
      </c>
      <c r="MEE29" t="s">
        <v>11178</v>
      </c>
      <c r="MEF29" t="s">
        <v>11179</v>
      </c>
      <c r="MEG29" t="s">
        <v>11180</v>
      </c>
      <c r="MEH29" t="s">
        <v>11181</v>
      </c>
      <c r="MEI29" t="s">
        <v>11182</v>
      </c>
      <c r="MEJ29" t="s">
        <v>11183</v>
      </c>
      <c r="MEK29" t="s">
        <v>11184</v>
      </c>
      <c r="MEL29" t="s">
        <v>11185</v>
      </c>
      <c r="MEM29" t="s">
        <v>11186</v>
      </c>
      <c r="MEN29" t="s">
        <v>11187</v>
      </c>
      <c r="MEO29" t="s">
        <v>11188</v>
      </c>
      <c r="MEP29" t="s">
        <v>11189</v>
      </c>
      <c r="MEQ29" t="s">
        <v>11190</v>
      </c>
      <c r="MER29" t="s">
        <v>11191</v>
      </c>
      <c r="MES29" t="s">
        <v>11192</v>
      </c>
      <c r="MET29" t="s">
        <v>11193</v>
      </c>
      <c r="MEU29" t="s">
        <v>11194</v>
      </c>
      <c r="MEV29" t="s">
        <v>11195</v>
      </c>
      <c r="MEW29" t="s">
        <v>11196</v>
      </c>
      <c r="MEX29" t="s">
        <v>11197</v>
      </c>
      <c r="MEY29" t="s">
        <v>11198</v>
      </c>
      <c r="MEZ29" t="s">
        <v>11199</v>
      </c>
      <c r="MFA29" t="s">
        <v>11200</v>
      </c>
      <c r="MFB29" t="s">
        <v>11201</v>
      </c>
      <c r="MFC29" t="s">
        <v>11202</v>
      </c>
      <c r="MFD29" t="s">
        <v>11203</v>
      </c>
      <c r="MFE29" t="s">
        <v>11204</v>
      </c>
      <c r="MFF29" t="s">
        <v>11205</v>
      </c>
      <c r="MFG29" t="s">
        <v>11206</v>
      </c>
      <c r="MFH29" t="s">
        <v>11207</v>
      </c>
      <c r="MFI29" t="s">
        <v>11208</v>
      </c>
      <c r="MFJ29" t="s">
        <v>11209</v>
      </c>
      <c r="MFK29" t="s">
        <v>11210</v>
      </c>
      <c r="MFL29" t="s">
        <v>11211</v>
      </c>
      <c r="MFM29" t="s">
        <v>11212</v>
      </c>
      <c r="MFN29" t="s">
        <v>11213</v>
      </c>
      <c r="MFO29" t="s">
        <v>11214</v>
      </c>
      <c r="MFP29" t="s">
        <v>11215</v>
      </c>
      <c r="MFQ29" t="s">
        <v>11216</v>
      </c>
      <c r="MFR29" t="s">
        <v>11217</v>
      </c>
      <c r="MFS29" t="s">
        <v>11218</v>
      </c>
      <c r="MFT29" t="s">
        <v>11219</v>
      </c>
      <c r="MFU29" t="s">
        <v>11220</v>
      </c>
      <c r="MFV29" t="s">
        <v>11221</v>
      </c>
      <c r="MFW29" t="s">
        <v>11222</v>
      </c>
      <c r="MFX29" t="s">
        <v>11223</v>
      </c>
      <c r="MFY29" t="s">
        <v>11224</v>
      </c>
      <c r="MFZ29" t="s">
        <v>11225</v>
      </c>
      <c r="MGA29" t="s">
        <v>11226</v>
      </c>
      <c r="MGB29" t="s">
        <v>11227</v>
      </c>
      <c r="MGC29" t="s">
        <v>11228</v>
      </c>
      <c r="MGD29" t="s">
        <v>11229</v>
      </c>
      <c r="MGE29" t="s">
        <v>11230</v>
      </c>
      <c r="MGF29" t="s">
        <v>11231</v>
      </c>
      <c r="MGG29" t="s">
        <v>11232</v>
      </c>
      <c r="MGH29" t="s">
        <v>11233</v>
      </c>
      <c r="MGI29" t="s">
        <v>11234</v>
      </c>
      <c r="MGJ29" t="s">
        <v>11235</v>
      </c>
      <c r="MGK29" t="s">
        <v>11236</v>
      </c>
      <c r="MGL29" t="s">
        <v>11237</v>
      </c>
      <c r="MGM29" t="s">
        <v>11238</v>
      </c>
      <c r="MGN29" t="s">
        <v>11239</v>
      </c>
      <c r="MGO29" t="s">
        <v>11240</v>
      </c>
      <c r="MGP29" t="s">
        <v>11241</v>
      </c>
      <c r="MGQ29" t="s">
        <v>11242</v>
      </c>
      <c r="MGR29" t="s">
        <v>11243</v>
      </c>
      <c r="MGS29" t="s">
        <v>11244</v>
      </c>
      <c r="MGT29" t="s">
        <v>11245</v>
      </c>
      <c r="MGU29" t="s">
        <v>11246</v>
      </c>
      <c r="MGV29" t="s">
        <v>11247</v>
      </c>
      <c r="MGW29" t="s">
        <v>11248</v>
      </c>
      <c r="MGX29" t="s">
        <v>11249</v>
      </c>
      <c r="MGY29" t="s">
        <v>11250</v>
      </c>
      <c r="MGZ29" t="s">
        <v>11251</v>
      </c>
      <c r="MHA29" t="s">
        <v>11252</v>
      </c>
      <c r="MHB29" t="s">
        <v>11253</v>
      </c>
      <c r="MHC29" t="s">
        <v>11254</v>
      </c>
      <c r="MHD29" t="s">
        <v>11255</v>
      </c>
      <c r="MHE29" t="s">
        <v>11256</v>
      </c>
      <c r="MHF29" t="s">
        <v>11257</v>
      </c>
      <c r="MHG29" t="s">
        <v>11258</v>
      </c>
      <c r="MHH29" t="s">
        <v>11259</v>
      </c>
      <c r="MHI29" t="s">
        <v>11260</v>
      </c>
      <c r="MHJ29" t="s">
        <v>11261</v>
      </c>
      <c r="MHK29" t="s">
        <v>11262</v>
      </c>
      <c r="MHL29" t="s">
        <v>11263</v>
      </c>
      <c r="MHM29" t="s">
        <v>11264</v>
      </c>
      <c r="MHN29" t="s">
        <v>11265</v>
      </c>
      <c r="MHO29" t="s">
        <v>11266</v>
      </c>
      <c r="MHP29" t="s">
        <v>11267</v>
      </c>
      <c r="MHQ29" t="s">
        <v>11268</v>
      </c>
      <c r="MHR29" t="s">
        <v>11269</v>
      </c>
      <c r="MHS29" t="s">
        <v>11270</v>
      </c>
      <c r="MHT29" t="s">
        <v>11271</v>
      </c>
      <c r="MHU29" t="s">
        <v>11272</v>
      </c>
      <c r="MHV29" t="s">
        <v>11273</v>
      </c>
      <c r="MHW29" t="s">
        <v>11274</v>
      </c>
      <c r="MHX29" t="s">
        <v>11275</v>
      </c>
      <c r="MHY29" t="s">
        <v>11276</v>
      </c>
      <c r="MHZ29" t="s">
        <v>11277</v>
      </c>
      <c r="MIA29" t="s">
        <v>11278</v>
      </c>
      <c r="MIB29" t="s">
        <v>11279</v>
      </c>
      <c r="MIC29" t="s">
        <v>11280</v>
      </c>
      <c r="MID29" t="s">
        <v>11281</v>
      </c>
      <c r="MIE29" t="s">
        <v>11282</v>
      </c>
      <c r="MIF29" t="s">
        <v>11283</v>
      </c>
      <c r="MIG29" t="s">
        <v>11284</v>
      </c>
      <c r="MIH29" t="s">
        <v>11285</v>
      </c>
      <c r="MII29" t="s">
        <v>11286</v>
      </c>
      <c r="MIJ29" t="s">
        <v>11287</v>
      </c>
      <c r="MIK29" t="s">
        <v>11288</v>
      </c>
      <c r="MIL29" t="s">
        <v>11289</v>
      </c>
      <c r="MIM29" t="s">
        <v>11290</v>
      </c>
      <c r="MIN29" t="s">
        <v>11291</v>
      </c>
      <c r="MIO29" t="s">
        <v>11292</v>
      </c>
      <c r="MIP29" t="s">
        <v>11293</v>
      </c>
      <c r="MIQ29" t="s">
        <v>11294</v>
      </c>
      <c r="MIR29" t="s">
        <v>11295</v>
      </c>
      <c r="MIS29" t="s">
        <v>11296</v>
      </c>
      <c r="MIT29" t="s">
        <v>11297</v>
      </c>
      <c r="MIU29" t="s">
        <v>11298</v>
      </c>
      <c r="MIV29" t="s">
        <v>11299</v>
      </c>
      <c r="MIW29" t="s">
        <v>11300</v>
      </c>
      <c r="MIX29" t="s">
        <v>11301</v>
      </c>
      <c r="MIY29" t="s">
        <v>11302</v>
      </c>
      <c r="MIZ29" t="s">
        <v>11303</v>
      </c>
      <c r="MJA29" t="s">
        <v>11304</v>
      </c>
      <c r="MJB29" t="s">
        <v>11305</v>
      </c>
      <c r="MJC29" t="s">
        <v>11306</v>
      </c>
      <c r="MJD29" t="s">
        <v>11307</v>
      </c>
      <c r="MJE29" t="s">
        <v>11308</v>
      </c>
      <c r="MJF29" t="s">
        <v>11309</v>
      </c>
      <c r="MJG29" t="s">
        <v>11310</v>
      </c>
      <c r="MJH29" t="s">
        <v>11311</v>
      </c>
      <c r="MJI29" t="s">
        <v>11312</v>
      </c>
      <c r="MJJ29" t="s">
        <v>11313</v>
      </c>
      <c r="MJK29" t="s">
        <v>11314</v>
      </c>
      <c r="MJL29" t="s">
        <v>11315</v>
      </c>
      <c r="MJM29" t="s">
        <v>11316</v>
      </c>
      <c r="MJN29" t="s">
        <v>11317</v>
      </c>
      <c r="MJO29" t="s">
        <v>11318</v>
      </c>
      <c r="MJP29" t="s">
        <v>11319</v>
      </c>
      <c r="MJQ29" t="s">
        <v>11320</v>
      </c>
      <c r="MJR29" t="s">
        <v>11321</v>
      </c>
      <c r="MJS29" t="s">
        <v>11322</v>
      </c>
      <c r="MJT29" t="s">
        <v>11323</v>
      </c>
      <c r="MJU29" t="s">
        <v>11324</v>
      </c>
      <c r="MJV29" t="s">
        <v>11325</v>
      </c>
      <c r="MJW29" t="s">
        <v>11326</v>
      </c>
      <c r="MJX29" t="s">
        <v>11327</v>
      </c>
      <c r="MJY29" t="s">
        <v>11328</v>
      </c>
      <c r="MJZ29" t="s">
        <v>11329</v>
      </c>
      <c r="MKA29" t="s">
        <v>11330</v>
      </c>
      <c r="MKB29" t="s">
        <v>11331</v>
      </c>
      <c r="MKC29" t="s">
        <v>11332</v>
      </c>
      <c r="MKD29" t="s">
        <v>11333</v>
      </c>
      <c r="MKE29" t="s">
        <v>11334</v>
      </c>
      <c r="MKF29" t="s">
        <v>11335</v>
      </c>
      <c r="MKG29" t="s">
        <v>11336</v>
      </c>
      <c r="MKH29" t="s">
        <v>11337</v>
      </c>
      <c r="MKI29" t="s">
        <v>11338</v>
      </c>
      <c r="MKJ29" t="s">
        <v>11339</v>
      </c>
      <c r="MKK29" t="s">
        <v>11340</v>
      </c>
      <c r="MKL29" t="s">
        <v>11341</v>
      </c>
      <c r="MKM29" t="s">
        <v>11342</v>
      </c>
      <c r="MKN29" t="s">
        <v>11343</v>
      </c>
      <c r="MKO29" t="s">
        <v>11344</v>
      </c>
      <c r="MKP29" t="s">
        <v>11345</v>
      </c>
      <c r="MKQ29" t="s">
        <v>11346</v>
      </c>
      <c r="MKR29" t="s">
        <v>11347</v>
      </c>
      <c r="MKS29" t="s">
        <v>11348</v>
      </c>
      <c r="MKT29" t="s">
        <v>11349</v>
      </c>
      <c r="MKU29" t="s">
        <v>11350</v>
      </c>
      <c r="MKV29" t="s">
        <v>11351</v>
      </c>
      <c r="MKW29" t="s">
        <v>11352</v>
      </c>
      <c r="MKX29" t="s">
        <v>11353</v>
      </c>
      <c r="MKY29" t="s">
        <v>11354</v>
      </c>
      <c r="MKZ29" t="s">
        <v>11355</v>
      </c>
      <c r="MLA29" t="s">
        <v>11356</v>
      </c>
      <c r="MLB29" t="s">
        <v>11357</v>
      </c>
      <c r="MLC29" t="s">
        <v>11358</v>
      </c>
      <c r="MLD29" t="s">
        <v>11359</v>
      </c>
      <c r="MLE29" t="s">
        <v>11360</v>
      </c>
      <c r="MLF29" t="s">
        <v>11361</v>
      </c>
      <c r="MLG29" t="s">
        <v>11362</v>
      </c>
      <c r="MLH29" t="s">
        <v>11363</v>
      </c>
      <c r="MLI29" t="s">
        <v>11364</v>
      </c>
      <c r="MLJ29" t="s">
        <v>11365</v>
      </c>
      <c r="MLK29" t="s">
        <v>11366</v>
      </c>
      <c r="MLL29" t="s">
        <v>11367</v>
      </c>
      <c r="MLM29" t="s">
        <v>11368</v>
      </c>
      <c r="MLN29" t="s">
        <v>11369</v>
      </c>
      <c r="MLO29" t="s">
        <v>11370</v>
      </c>
      <c r="MLP29" t="s">
        <v>11371</v>
      </c>
      <c r="MLQ29" t="s">
        <v>11372</v>
      </c>
      <c r="MLR29" t="s">
        <v>11373</v>
      </c>
      <c r="MLS29" t="s">
        <v>11374</v>
      </c>
      <c r="MLT29" t="s">
        <v>11375</v>
      </c>
      <c r="MLU29" t="s">
        <v>11376</v>
      </c>
      <c r="MLV29" t="s">
        <v>11377</v>
      </c>
      <c r="MLW29" t="s">
        <v>11378</v>
      </c>
      <c r="MLX29" t="s">
        <v>11379</v>
      </c>
      <c r="MLY29" t="s">
        <v>11380</v>
      </c>
      <c r="MLZ29" t="s">
        <v>11381</v>
      </c>
      <c r="MMA29" t="s">
        <v>11382</v>
      </c>
      <c r="MMB29" t="s">
        <v>11383</v>
      </c>
      <c r="MMC29" t="s">
        <v>11384</v>
      </c>
      <c r="MMD29" t="s">
        <v>11385</v>
      </c>
      <c r="MME29" t="s">
        <v>11386</v>
      </c>
      <c r="MMF29" t="s">
        <v>11387</v>
      </c>
      <c r="MMG29" t="s">
        <v>11388</v>
      </c>
      <c r="MMH29" t="s">
        <v>11389</v>
      </c>
      <c r="MMI29" t="s">
        <v>11390</v>
      </c>
      <c r="MMJ29" t="s">
        <v>11391</v>
      </c>
      <c r="MMK29" t="s">
        <v>11392</v>
      </c>
      <c r="MML29" t="s">
        <v>11393</v>
      </c>
      <c r="MMM29" t="s">
        <v>11394</v>
      </c>
      <c r="MMN29" t="s">
        <v>11395</v>
      </c>
      <c r="MMO29" t="s">
        <v>11396</v>
      </c>
      <c r="MMP29" t="s">
        <v>11397</v>
      </c>
      <c r="MMQ29" t="s">
        <v>11398</v>
      </c>
      <c r="MMR29" t="s">
        <v>11399</v>
      </c>
      <c r="MMS29" t="s">
        <v>11400</v>
      </c>
      <c r="MMT29" t="s">
        <v>11401</v>
      </c>
      <c r="MMU29" t="s">
        <v>11402</v>
      </c>
      <c r="MMV29" t="s">
        <v>11403</v>
      </c>
      <c r="MMW29" t="s">
        <v>11404</v>
      </c>
      <c r="MMX29" t="s">
        <v>11405</v>
      </c>
      <c r="MMY29" t="s">
        <v>11406</v>
      </c>
      <c r="MMZ29" t="s">
        <v>11407</v>
      </c>
      <c r="MNA29" t="s">
        <v>11408</v>
      </c>
      <c r="MNB29" t="s">
        <v>11409</v>
      </c>
      <c r="MNC29" t="s">
        <v>11410</v>
      </c>
      <c r="MND29" t="s">
        <v>11411</v>
      </c>
      <c r="MNE29" t="s">
        <v>11412</v>
      </c>
      <c r="MNF29" t="s">
        <v>11413</v>
      </c>
      <c r="MNG29" t="s">
        <v>11414</v>
      </c>
      <c r="MNH29" t="s">
        <v>11415</v>
      </c>
      <c r="MNI29" t="s">
        <v>11416</v>
      </c>
      <c r="MNJ29" t="s">
        <v>11417</v>
      </c>
      <c r="MNK29" t="s">
        <v>11418</v>
      </c>
      <c r="MNL29" t="s">
        <v>11419</v>
      </c>
      <c r="MNM29" t="s">
        <v>11420</v>
      </c>
      <c r="MNN29" t="s">
        <v>11421</v>
      </c>
      <c r="MNO29" t="s">
        <v>11422</v>
      </c>
      <c r="MNP29" t="s">
        <v>11423</v>
      </c>
      <c r="MNQ29" t="s">
        <v>11424</v>
      </c>
      <c r="MNR29" t="s">
        <v>11425</v>
      </c>
      <c r="MNS29" t="s">
        <v>11426</v>
      </c>
      <c r="MNT29" t="s">
        <v>11427</v>
      </c>
      <c r="MNU29" t="s">
        <v>11428</v>
      </c>
      <c r="MNV29" t="s">
        <v>11429</v>
      </c>
      <c r="MNW29" t="s">
        <v>11430</v>
      </c>
      <c r="MNX29" t="s">
        <v>11431</v>
      </c>
      <c r="MNY29" t="s">
        <v>11432</v>
      </c>
      <c r="MNZ29" t="s">
        <v>11433</v>
      </c>
      <c r="MOA29" t="s">
        <v>11434</v>
      </c>
      <c r="MOB29" t="s">
        <v>11435</v>
      </c>
      <c r="MOC29" t="s">
        <v>11436</v>
      </c>
      <c r="MOD29" t="s">
        <v>11437</v>
      </c>
      <c r="MOE29" t="s">
        <v>11438</v>
      </c>
      <c r="MOF29" t="s">
        <v>11439</v>
      </c>
      <c r="MOG29" t="s">
        <v>11440</v>
      </c>
      <c r="MOH29" t="s">
        <v>11441</v>
      </c>
      <c r="MOI29" t="s">
        <v>11442</v>
      </c>
      <c r="MOJ29" t="s">
        <v>11443</v>
      </c>
      <c r="MOK29" t="s">
        <v>11444</v>
      </c>
      <c r="MOL29" t="s">
        <v>11445</v>
      </c>
      <c r="MOM29" t="s">
        <v>11446</v>
      </c>
      <c r="MON29" t="s">
        <v>11447</v>
      </c>
      <c r="MOO29" t="s">
        <v>11448</v>
      </c>
      <c r="MOP29" t="s">
        <v>11449</v>
      </c>
      <c r="MOQ29" t="s">
        <v>11450</v>
      </c>
      <c r="MOR29" t="s">
        <v>11451</v>
      </c>
      <c r="MOS29" t="s">
        <v>11452</v>
      </c>
      <c r="MOT29" t="s">
        <v>11453</v>
      </c>
      <c r="MOU29" t="s">
        <v>11454</v>
      </c>
      <c r="MOV29" t="s">
        <v>11455</v>
      </c>
      <c r="MOW29" t="s">
        <v>11456</v>
      </c>
      <c r="MOX29" t="s">
        <v>11457</v>
      </c>
      <c r="MOY29" t="s">
        <v>11458</v>
      </c>
      <c r="MOZ29" t="s">
        <v>11459</v>
      </c>
      <c r="MPA29" t="s">
        <v>11460</v>
      </c>
      <c r="MPB29" t="s">
        <v>11461</v>
      </c>
      <c r="MPC29" t="s">
        <v>11462</v>
      </c>
      <c r="MPD29" t="s">
        <v>11463</v>
      </c>
      <c r="MPE29" t="s">
        <v>11464</v>
      </c>
      <c r="MPF29" t="s">
        <v>11465</v>
      </c>
      <c r="MPG29" t="s">
        <v>11466</v>
      </c>
      <c r="MPH29" t="s">
        <v>11467</v>
      </c>
      <c r="MPI29" t="s">
        <v>11468</v>
      </c>
      <c r="MPJ29" t="s">
        <v>11469</v>
      </c>
      <c r="MPK29" t="s">
        <v>11470</v>
      </c>
      <c r="MPL29" t="s">
        <v>11471</v>
      </c>
      <c r="MPM29" t="s">
        <v>11472</v>
      </c>
      <c r="MPN29" t="s">
        <v>11473</v>
      </c>
      <c r="MPO29" t="s">
        <v>11474</v>
      </c>
      <c r="MPP29" t="s">
        <v>11475</v>
      </c>
      <c r="MPQ29" t="s">
        <v>11476</v>
      </c>
      <c r="MPR29" t="s">
        <v>11477</v>
      </c>
      <c r="MPS29" t="s">
        <v>11478</v>
      </c>
      <c r="MPT29" t="s">
        <v>11479</v>
      </c>
      <c r="MPU29" t="s">
        <v>11480</v>
      </c>
      <c r="MPV29" t="s">
        <v>11481</v>
      </c>
      <c r="MPW29" t="s">
        <v>11482</v>
      </c>
      <c r="MPX29" t="s">
        <v>11483</v>
      </c>
      <c r="MPY29" t="s">
        <v>11484</v>
      </c>
      <c r="MPZ29" t="s">
        <v>11485</v>
      </c>
      <c r="MQA29" t="s">
        <v>11486</v>
      </c>
      <c r="MQB29" t="s">
        <v>11487</v>
      </c>
      <c r="MQC29" t="s">
        <v>11488</v>
      </c>
      <c r="MQD29" t="s">
        <v>11489</v>
      </c>
      <c r="MQE29" t="s">
        <v>11490</v>
      </c>
      <c r="MQF29" t="s">
        <v>11491</v>
      </c>
      <c r="MQG29" t="s">
        <v>11492</v>
      </c>
      <c r="MQH29" t="s">
        <v>11493</v>
      </c>
      <c r="MQI29" t="s">
        <v>11494</v>
      </c>
      <c r="MQJ29" t="s">
        <v>11495</v>
      </c>
      <c r="MQK29" t="s">
        <v>11496</v>
      </c>
      <c r="MQL29" t="s">
        <v>11497</v>
      </c>
      <c r="MQM29" t="s">
        <v>11498</v>
      </c>
      <c r="MQN29" t="s">
        <v>11499</v>
      </c>
      <c r="MQO29" t="s">
        <v>11500</v>
      </c>
      <c r="MQP29" t="s">
        <v>11501</v>
      </c>
      <c r="MQQ29" t="s">
        <v>11502</v>
      </c>
      <c r="MQR29" t="s">
        <v>11503</v>
      </c>
      <c r="MQS29" t="s">
        <v>11504</v>
      </c>
      <c r="MQT29" t="s">
        <v>11505</v>
      </c>
      <c r="MQU29" t="s">
        <v>11506</v>
      </c>
      <c r="MQV29" t="s">
        <v>11507</v>
      </c>
      <c r="MQW29" t="s">
        <v>11508</v>
      </c>
      <c r="MQX29" t="s">
        <v>11509</v>
      </c>
      <c r="MQY29" t="s">
        <v>11510</v>
      </c>
      <c r="MQZ29" t="s">
        <v>11511</v>
      </c>
      <c r="MRA29" t="s">
        <v>11512</v>
      </c>
      <c r="MRB29" t="s">
        <v>11513</v>
      </c>
      <c r="MRC29" t="s">
        <v>11514</v>
      </c>
      <c r="MRD29" t="s">
        <v>11515</v>
      </c>
      <c r="MRE29" t="s">
        <v>11516</v>
      </c>
      <c r="MRF29" t="s">
        <v>11517</v>
      </c>
      <c r="MRG29" t="s">
        <v>11518</v>
      </c>
      <c r="MRH29" t="s">
        <v>11519</v>
      </c>
      <c r="MRI29" t="s">
        <v>11520</v>
      </c>
      <c r="MRJ29" t="s">
        <v>11521</v>
      </c>
      <c r="MRK29" t="s">
        <v>11522</v>
      </c>
      <c r="MRL29" t="s">
        <v>11523</v>
      </c>
      <c r="MRM29" t="s">
        <v>11524</v>
      </c>
      <c r="MRN29" t="s">
        <v>11525</v>
      </c>
      <c r="MRO29" t="s">
        <v>11526</v>
      </c>
      <c r="MRP29" t="s">
        <v>11527</v>
      </c>
      <c r="MRQ29" t="s">
        <v>11528</v>
      </c>
      <c r="MRR29" t="s">
        <v>11529</v>
      </c>
      <c r="MRS29" t="s">
        <v>11530</v>
      </c>
      <c r="MRT29" t="s">
        <v>11531</v>
      </c>
      <c r="MRU29" t="s">
        <v>11532</v>
      </c>
      <c r="MRV29" t="s">
        <v>11533</v>
      </c>
      <c r="MRW29" t="s">
        <v>11534</v>
      </c>
      <c r="MRX29" t="s">
        <v>11535</v>
      </c>
      <c r="MRY29" t="s">
        <v>11536</v>
      </c>
      <c r="MRZ29" t="s">
        <v>11537</v>
      </c>
      <c r="MSA29" t="s">
        <v>11538</v>
      </c>
      <c r="MSB29" t="s">
        <v>11539</v>
      </c>
      <c r="MSC29" t="s">
        <v>11540</v>
      </c>
      <c r="MSD29" t="s">
        <v>11541</v>
      </c>
      <c r="MSE29" t="s">
        <v>11542</v>
      </c>
      <c r="MSF29" t="s">
        <v>11543</v>
      </c>
      <c r="MSG29" t="s">
        <v>11544</v>
      </c>
      <c r="MSH29" t="s">
        <v>11545</v>
      </c>
      <c r="MSI29" t="s">
        <v>11546</v>
      </c>
      <c r="MSJ29" t="s">
        <v>11547</v>
      </c>
      <c r="MSK29" t="s">
        <v>11548</v>
      </c>
      <c r="MSL29" t="s">
        <v>11549</v>
      </c>
      <c r="MSM29" t="s">
        <v>11550</v>
      </c>
      <c r="MSN29" t="s">
        <v>11551</v>
      </c>
      <c r="MSO29" t="s">
        <v>11552</v>
      </c>
      <c r="MSP29" t="s">
        <v>11553</v>
      </c>
      <c r="MSQ29" t="s">
        <v>11554</v>
      </c>
      <c r="MSR29" t="s">
        <v>11555</v>
      </c>
      <c r="MSS29" t="s">
        <v>11556</v>
      </c>
      <c r="MST29" t="s">
        <v>11557</v>
      </c>
      <c r="MSU29" t="s">
        <v>11558</v>
      </c>
      <c r="MSV29" t="s">
        <v>11559</v>
      </c>
      <c r="MSW29" t="s">
        <v>11560</v>
      </c>
      <c r="MSX29" t="s">
        <v>11561</v>
      </c>
      <c r="MSY29" t="s">
        <v>11562</v>
      </c>
      <c r="MSZ29" t="s">
        <v>11563</v>
      </c>
      <c r="MTA29" t="s">
        <v>11564</v>
      </c>
      <c r="MTB29" t="s">
        <v>11565</v>
      </c>
      <c r="MTC29" t="s">
        <v>11566</v>
      </c>
      <c r="MTD29" t="s">
        <v>11567</v>
      </c>
      <c r="MTE29" t="s">
        <v>11568</v>
      </c>
      <c r="MTF29" t="s">
        <v>11569</v>
      </c>
      <c r="MTG29" t="s">
        <v>11570</v>
      </c>
      <c r="MTH29" t="s">
        <v>11571</v>
      </c>
      <c r="MTI29" t="s">
        <v>11572</v>
      </c>
      <c r="MTJ29" t="s">
        <v>11573</v>
      </c>
      <c r="MTK29" t="s">
        <v>11574</v>
      </c>
      <c r="MTL29" t="s">
        <v>11575</v>
      </c>
      <c r="MTM29" t="s">
        <v>11576</v>
      </c>
      <c r="MTN29" t="s">
        <v>11577</v>
      </c>
      <c r="MTO29" t="s">
        <v>11578</v>
      </c>
      <c r="MTP29" t="s">
        <v>11579</v>
      </c>
      <c r="MTQ29" t="s">
        <v>11580</v>
      </c>
      <c r="MTR29" t="s">
        <v>11581</v>
      </c>
      <c r="MTS29" t="s">
        <v>11582</v>
      </c>
      <c r="MTT29" t="s">
        <v>11583</v>
      </c>
      <c r="MTU29" t="s">
        <v>11584</v>
      </c>
      <c r="MTV29" t="s">
        <v>11585</v>
      </c>
      <c r="MTW29" t="s">
        <v>11586</v>
      </c>
      <c r="MTX29" t="s">
        <v>11587</v>
      </c>
      <c r="MTY29" t="s">
        <v>11588</v>
      </c>
      <c r="MTZ29" t="s">
        <v>11589</v>
      </c>
      <c r="MUA29" t="s">
        <v>11590</v>
      </c>
      <c r="MUB29" t="s">
        <v>11591</v>
      </c>
      <c r="MUC29" t="s">
        <v>11592</v>
      </c>
      <c r="MUD29" t="s">
        <v>11593</v>
      </c>
      <c r="MUE29" t="s">
        <v>11594</v>
      </c>
      <c r="MUF29" t="s">
        <v>11595</v>
      </c>
      <c r="MUG29" t="s">
        <v>11596</v>
      </c>
      <c r="MUH29" t="s">
        <v>11597</v>
      </c>
      <c r="MUI29" t="s">
        <v>11598</v>
      </c>
      <c r="MUJ29" t="s">
        <v>11599</v>
      </c>
      <c r="MUK29" t="s">
        <v>11600</v>
      </c>
      <c r="MUL29" t="s">
        <v>11601</v>
      </c>
      <c r="MUM29" t="s">
        <v>11602</v>
      </c>
      <c r="MUN29" t="s">
        <v>11603</v>
      </c>
      <c r="MUO29" t="s">
        <v>11604</v>
      </c>
      <c r="MUP29" t="s">
        <v>11605</v>
      </c>
      <c r="MUQ29" t="s">
        <v>11606</v>
      </c>
      <c r="MUR29" t="s">
        <v>11607</v>
      </c>
      <c r="MUS29" t="s">
        <v>11608</v>
      </c>
      <c r="MUT29" t="s">
        <v>11609</v>
      </c>
      <c r="MUU29" t="s">
        <v>11610</v>
      </c>
      <c r="MUV29" t="s">
        <v>11611</v>
      </c>
      <c r="MUW29" t="s">
        <v>11612</v>
      </c>
      <c r="MUX29" t="s">
        <v>11613</v>
      </c>
      <c r="MUY29" t="s">
        <v>11614</v>
      </c>
      <c r="MUZ29" t="s">
        <v>11615</v>
      </c>
      <c r="MVA29" t="s">
        <v>11616</v>
      </c>
      <c r="MVB29" t="s">
        <v>11617</v>
      </c>
      <c r="MVC29" t="s">
        <v>11618</v>
      </c>
      <c r="MVD29" t="s">
        <v>11619</v>
      </c>
      <c r="MVE29" t="s">
        <v>11620</v>
      </c>
      <c r="MVF29" t="s">
        <v>11621</v>
      </c>
      <c r="MVG29" t="s">
        <v>11622</v>
      </c>
      <c r="MVH29" t="s">
        <v>11623</v>
      </c>
      <c r="MVI29" t="s">
        <v>11624</v>
      </c>
      <c r="MVJ29" t="s">
        <v>11625</v>
      </c>
      <c r="MVK29" t="s">
        <v>11626</v>
      </c>
      <c r="MVL29" t="s">
        <v>11627</v>
      </c>
      <c r="MVM29" t="s">
        <v>11628</v>
      </c>
      <c r="MVN29" t="s">
        <v>11629</v>
      </c>
      <c r="MVO29" t="s">
        <v>11630</v>
      </c>
      <c r="MVP29" t="s">
        <v>11631</v>
      </c>
      <c r="MVQ29" t="s">
        <v>11632</v>
      </c>
      <c r="MVR29" t="s">
        <v>11633</v>
      </c>
      <c r="MVS29" t="s">
        <v>11634</v>
      </c>
      <c r="MVT29" t="s">
        <v>11635</v>
      </c>
      <c r="MVU29" t="s">
        <v>11636</v>
      </c>
      <c r="MVV29" t="s">
        <v>11637</v>
      </c>
      <c r="MVW29" t="s">
        <v>11638</v>
      </c>
      <c r="MVX29" t="s">
        <v>11639</v>
      </c>
      <c r="MVY29" t="s">
        <v>11640</v>
      </c>
      <c r="MVZ29" t="s">
        <v>11641</v>
      </c>
      <c r="MWA29" t="s">
        <v>11642</v>
      </c>
      <c r="MWB29" t="s">
        <v>11643</v>
      </c>
      <c r="MWC29" t="s">
        <v>11644</v>
      </c>
      <c r="MWD29" t="s">
        <v>11645</v>
      </c>
      <c r="MWE29" t="s">
        <v>11646</v>
      </c>
      <c r="MWF29" t="s">
        <v>11647</v>
      </c>
      <c r="MWG29" t="s">
        <v>11648</v>
      </c>
      <c r="MWH29" t="s">
        <v>11649</v>
      </c>
      <c r="MWI29" t="s">
        <v>11650</v>
      </c>
      <c r="MWJ29" t="s">
        <v>11651</v>
      </c>
      <c r="MWK29" t="s">
        <v>11652</v>
      </c>
      <c r="MWL29" t="s">
        <v>11653</v>
      </c>
      <c r="MWM29" t="s">
        <v>11654</v>
      </c>
      <c r="MWN29" t="s">
        <v>11655</v>
      </c>
      <c r="MWO29" t="s">
        <v>11656</v>
      </c>
      <c r="MWP29" t="s">
        <v>11657</v>
      </c>
      <c r="MWQ29" t="s">
        <v>11658</v>
      </c>
      <c r="MWR29" t="s">
        <v>11659</v>
      </c>
      <c r="MWS29" t="s">
        <v>11660</v>
      </c>
      <c r="MWT29" t="s">
        <v>11661</v>
      </c>
      <c r="MWU29" t="s">
        <v>11662</v>
      </c>
      <c r="MWV29" t="s">
        <v>11663</v>
      </c>
      <c r="MWW29" t="s">
        <v>11664</v>
      </c>
      <c r="MWX29" t="s">
        <v>11665</v>
      </c>
      <c r="MWY29" t="s">
        <v>11666</v>
      </c>
      <c r="MWZ29" t="s">
        <v>11667</v>
      </c>
      <c r="MXA29" t="s">
        <v>11668</v>
      </c>
      <c r="MXB29" t="s">
        <v>11669</v>
      </c>
      <c r="MXC29" t="s">
        <v>11670</v>
      </c>
      <c r="MXD29" t="s">
        <v>11671</v>
      </c>
      <c r="MXE29" t="s">
        <v>11672</v>
      </c>
      <c r="MXF29" t="s">
        <v>11673</v>
      </c>
      <c r="MXG29" t="s">
        <v>11674</v>
      </c>
      <c r="MXH29" t="s">
        <v>11675</v>
      </c>
      <c r="MXI29" t="s">
        <v>11676</v>
      </c>
      <c r="MXJ29" t="s">
        <v>11677</v>
      </c>
      <c r="MXK29" t="s">
        <v>11678</v>
      </c>
      <c r="MXL29" t="s">
        <v>11679</v>
      </c>
      <c r="MXM29" t="s">
        <v>11680</v>
      </c>
      <c r="MXN29" t="s">
        <v>11681</v>
      </c>
      <c r="MXO29" t="s">
        <v>11682</v>
      </c>
      <c r="MXP29" t="s">
        <v>11683</v>
      </c>
      <c r="MXQ29" t="s">
        <v>11684</v>
      </c>
      <c r="MXR29" t="s">
        <v>11685</v>
      </c>
      <c r="MXS29" t="s">
        <v>11686</v>
      </c>
      <c r="MXT29" t="s">
        <v>11687</v>
      </c>
      <c r="MXU29" t="s">
        <v>11688</v>
      </c>
      <c r="MXV29" t="s">
        <v>11689</v>
      </c>
      <c r="MXW29" t="s">
        <v>11690</v>
      </c>
      <c r="MXX29" t="s">
        <v>11691</v>
      </c>
      <c r="MXY29" t="s">
        <v>11692</v>
      </c>
      <c r="MXZ29" t="s">
        <v>11693</v>
      </c>
      <c r="MYA29" t="s">
        <v>11694</v>
      </c>
      <c r="MYB29" t="s">
        <v>11695</v>
      </c>
      <c r="MYC29" t="s">
        <v>11696</v>
      </c>
      <c r="MYD29" t="s">
        <v>11697</v>
      </c>
      <c r="MYE29" t="s">
        <v>11698</v>
      </c>
      <c r="MYF29" t="s">
        <v>11699</v>
      </c>
      <c r="MYG29" t="s">
        <v>11700</v>
      </c>
      <c r="MYH29" t="s">
        <v>11701</v>
      </c>
      <c r="MYI29" t="s">
        <v>11702</v>
      </c>
      <c r="MYJ29" t="s">
        <v>11703</v>
      </c>
      <c r="MYK29" t="s">
        <v>11704</v>
      </c>
      <c r="MYL29" t="s">
        <v>11705</v>
      </c>
      <c r="MYM29" t="s">
        <v>11706</v>
      </c>
      <c r="MYN29" t="s">
        <v>11707</v>
      </c>
      <c r="MYO29" t="s">
        <v>11708</v>
      </c>
      <c r="MYP29" t="s">
        <v>11709</v>
      </c>
      <c r="MYQ29" t="s">
        <v>11710</v>
      </c>
      <c r="MYR29" t="s">
        <v>11711</v>
      </c>
      <c r="MYS29" t="s">
        <v>11712</v>
      </c>
      <c r="MYT29" t="s">
        <v>11713</v>
      </c>
      <c r="MYU29" t="s">
        <v>11714</v>
      </c>
      <c r="MYV29" t="s">
        <v>11715</v>
      </c>
      <c r="MYW29" t="s">
        <v>11716</v>
      </c>
      <c r="MYX29" t="s">
        <v>11717</v>
      </c>
      <c r="MYY29" t="s">
        <v>11718</v>
      </c>
      <c r="MYZ29" t="s">
        <v>11719</v>
      </c>
      <c r="MZA29" t="s">
        <v>11720</v>
      </c>
      <c r="MZB29" t="s">
        <v>11721</v>
      </c>
      <c r="MZC29" t="s">
        <v>11722</v>
      </c>
      <c r="MZD29" t="s">
        <v>11723</v>
      </c>
      <c r="MZE29" t="s">
        <v>11724</v>
      </c>
      <c r="MZF29" t="s">
        <v>11725</v>
      </c>
      <c r="MZG29" t="s">
        <v>11726</v>
      </c>
      <c r="MZH29" t="s">
        <v>11727</v>
      </c>
      <c r="MZI29" t="s">
        <v>11728</v>
      </c>
      <c r="MZJ29" t="s">
        <v>11729</v>
      </c>
      <c r="MZK29" t="s">
        <v>11730</v>
      </c>
      <c r="MZL29" t="s">
        <v>11731</v>
      </c>
      <c r="MZM29" t="s">
        <v>11732</v>
      </c>
      <c r="MZN29" t="s">
        <v>11733</v>
      </c>
      <c r="MZO29" t="s">
        <v>11734</v>
      </c>
      <c r="MZP29" t="s">
        <v>11735</v>
      </c>
      <c r="MZQ29" t="s">
        <v>11736</v>
      </c>
      <c r="MZR29" t="s">
        <v>11737</v>
      </c>
      <c r="MZS29" t="s">
        <v>11738</v>
      </c>
      <c r="MZT29" t="s">
        <v>11739</v>
      </c>
      <c r="MZU29" t="s">
        <v>11740</v>
      </c>
      <c r="MZV29" t="s">
        <v>11741</v>
      </c>
      <c r="MZW29" t="s">
        <v>11742</v>
      </c>
      <c r="MZX29" t="s">
        <v>11743</v>
      </c>
      <c r="MZY29" t="s">
        <v>11744</v>
      </c>
      <c r="MZZ29" t="s">
        <v>11745</v>
      </c>
      <c r="NAA29" t="s">
        <v>11746</v>
      </c>
      <c r="NAB29" t="s">
        <v>11747</v>
      </c>
      <c r="NAC29" t="s">
        <v>11748</v>
      </c>
      <c r="NAD29" t="s">
        <v>11749</v>
      </c>
      <c r="NAE29" t="s">
        <v>11750</v>
      </c>
      <c r="NAF29" t="s">
        <v>11751</v>
      </c>
      <c r="NAG29" t="s">
        <v>11752</v>
      </c>
      <c r="NAH29" t="s">
        <v>11753</v>
      </c>
      <c r="NAI29" t="s">
        <v>11754</v>
      </c>
      <c r="NAJ29" t="s">
        <v>11755</v>
      </c>
      <c r="NAK29" t="s">
        <v>11756</v>
      </c>
      <c r="NAL29" t="s">
        <v>11757</v>
      </c>
      <c r="NAM29" t="s">
        <v>11758</v>
      </c>
      <c r="NAN29" t="s">
        <v>11759</v>
      </c>
      <c r="NAO29" t="s">
        <v>11760</v>
      </c>
      <c r="NAP29" t="s">
        <v>11761</v>
      </c>
      <c r="NAQ29" t="s">
        <v>11762</v>
      </c>
      <c r="NAR29" t="s">
        <v>11763</v>
      </c>
      <c r="NAS29" t="s">
        <v>11764</v>
      </c>
      <c r="NAT29" t="s">
        <v>11765</v>
      </c>
      <c r="NAU29" t="s">
        <v>11766</v>
      </c>
      <c r="NAV29" t="s">
        <v>11767</v>
      </c>
      <c r="NAW29" t="s">
        <v>11768</v>
      </c>
      <c r="NAX29" t="s">
        <v>11769</v>
      </c>
      <c r="NAY29" t="s">
        <v>11770</v>
      </c>
      <c r="NAZ29" t="s">
        <v>11771</v>
      </c>
      <c r="NBA29" t="s">
        <v>11772</v>
      </c>
      <c r="NBB29" t="s">
        <v>11773</v>
      </c>
      <c r="NBC29" t="s">
        <v>11774</v>
      </c>
      <c r="NBD29" t="s">
        <v>11775</v>
      </c>
      <c r="NBE29" t="s">
        <v>11776</v>
      </c>
      <c r="NBF29" t="s">
        <v>11777</v>
      </c>
      <c r="NBG29" t="s">
        <v>11778</v>
      </c>
      <c r="NBH29" t="s">
        <v>11779</v>
      </c>
      <c r="NBI29" t="s">
        <v>11780</v>
      </c>
      <c r="NBJ29" t="s">
        <v>11781</v>
      </c>
      <c r="NBK29" t="s">
        <v>11782</v>
      </c>
      <c r="NBL29" t="s">
        <v>11783</v>
      </c>
      <c r="NBM29" t="s">
        <v>11784</v>
      </c>
      <c r="NBN29" t="s">
        <v>11785</v>
      </c>
      <c r="NBO29" t="s">
        <v>11786</v>
      </c>
      <c r="NBP29" t="s">
        <v>11787</v>
      </c>
      <c r="NBQ29" t="s">
        <v>11788</v>
      </c>
      <c r="NBR29" t="s">
        <v>11789</v>
      </c>
      <c r="NBS29" t="s">
        <v>11790</v>
      </c>
      <c r="NBT29" t="s">
        <v>11791</v>
      </c>
      <c r="NBU29" t="s">
        <v>11792</v>
      </c>
      <c r="NBV29" t="s">
        <v>11793</v>
      </c>
      <c r="NBW29" t="s">
        <v>11794</v>
      </c>
      <c r="NBX29" t="s">
        <v>11795</v>
      </c>
      <c r="NBY29" t="s">
        <v>11796</v>
      </c>
      <c r="NBZ29" t="s">
        <v>11797</v>
      </c>
      <c r="NCA29" t="s">
        <v>11798</v>
      </c>
      <c r="NCB29" t="s">
        <v>11799</v>
      </c>
      <c r="NCC29" t="s">
        <v>11800</v>
      </c>
      <c r="NCD29" t="s">
        <v>11801</v>
      </c>
      <c r="NCE29" t="s">
        <v>11802</v>
      </c>
      <c r="NCF29" t="s">
        <v>11803</v>
      </c>
      <c r="NCG29" t="s">
        <v>11804</v>
      </c>
      <c r="NCH29" t="s">
        <v>11805</v>
      </c>
      <c r="NCI29" t="s">
        <v>11806</v>
      </c>
      <c r="NCJ29" t="s">
        <v>11807</v>
      </c>
      <c r="NCK29" t="s">
        <v>11808</v>
      </c>
      <c r="NCL29" t="s">
        <v>11809</v>
      </c>
      <c r="NCM29" t="s">
        <v>11810</v>
      </c>
      <c r="NCN29" t="s">
        <v>11811</v>
      </c>
      <c r="NCO29" t="s">
        <v>11812</v>
      </c>
      <c r="NCP29" t="s">
        <v>11813</v>
      </c>
      <c r="NCQ29" t="s">
        <v>11814</v>
      </c>
      <c r="NCR29" t="s">
        <v>11815</v>
      </c>
      <c r="NCS29" t="s">
        <v>11816</v>
      </c>
      <c r="NCT29" t="s">
        <v>11817</v>
      </c>
      <c r="NCU29" t="s">
        <v>11818</v>
      </c>
      <c r="NCV29" t="s">
        <v>11819</v>
      </c>
      <c r="NCW29" t="s">
        <v>11820</v>
      </c>
      <c r="NCX29" t="s">
        <v>11821</v>
      </c>
      <c r="NCY29" t="s">
        <v>11822</v>
      </c>
      <c r="NCZ29" t="s">
        <v>11823</v>
      </c>
      <c r="NDA29" t="s">
        <v>11824</v>
      </c>
      <c r="NDB29" t="s">
        <v>11825</v>
      </c>
      <c r="NDC29" t="s">
        <v>11826</v>
      </c>
      <c r="NDD29" t="s">
        <v>11827</v>
      </c>
      <c r="NDE29" t="s">
        <v>11828</v>
      </c>
      <c r="NDF29" t="s">
        <v>11829</v>
      </c>
      <c r="NDG29" t="s">
        <v>11830</v>
      </c>
      <c r="NDH29" t="s">
        <v>11831</v>
      </c>
      <c r="NDI29" t="s">
        <v>11832</v>
      </c>
      <c r="NDJ29" t="s">
        <v>11833</v>
      </c>
      <c r="NDK29" t="s">
        <v>11834</v>
      </c>
      <c r="NDL29" t="s">
        <v>11835</v>
      </c>
      <c r="NDM29" t="s">
        <v>11836</v>
      </c>
      <c r="NDN29" t="s">
        <v>11837</v>
      </c>
      <c r="NDO29" t="s">
        <v>11838</v>
      </c>
      <c r="NDP29" t="s">
        <v>11839</v>
      </c>
      <c r="NDQ29" t="s">
        <v>11840</v>
      </c>
      <c r="NDR29" t="s">
        <v>11841</v>
      </c>
      <c r="NDS29" t="s">
        <v>11842</v>
      </c>
      <c r="NDT29" t="s">
        <v>11843</v>
      </c>
      <c r="NDU29" t="s">
        <v>11844</v>
      </c>
      <c r="NDV29" t="s">
        <v>11845</v>
      </c>
      <c r="NDW29" t="s">
        <v>11846</v>
      </c>
      <c r="NDX29" t="s">
        <v>11847</v>
      </c>
      <c r="NDY29" t="s">
        <v>11848</v>
      </c>
      <c r="NDZ29" t="s">
        <v>11849</v>
      </c>
      <c r="NEA29" t="s">
        <v>11850</v>
      </c>
      <c r="NEB29" t="s">
        <v>11851</v>
      </c>
      <c r="NEC29" t="s">
        <v>11852</v>
      </c>
      <c r="NED29" t="s">
        <v>11853</v>
      </c>
      <c r="NEE29" t="s">
        <v>11854</v>
      </c>
      <c r="NEF29" t="s">
        <v>11855</v>
      </c>
      <c r="NEG29" t="s">
        <v>11856</v>
      </c>
      <c r="NEH29" t="s">
        <v>11857</v>
      </c>
      <c r="NEI29" t="s">
        <v>11858</v>
      </c>
      <c r="NEJ29" t="s">
        <v>11859</v>
      </c>
      <c r="NEK29" t="s">
        <v>11860</v>
      </c>
      <c r="NEL29" t="s">
        <v>11861</v>
      </c>
      <c r="NEM29" t="s">
        <v>11862</v>
      </c>
      <c r="NEN29" t="s">
        <v>11863</v>
      </c>
      <c r="NEO29" t="s">
        <v>11864</v>
      </c>
      <c r="NEP29" t="s">
        <v>11865</v>
      </c>
      <c r="NEQ29" t="s">
        <v>11866</v>
      </c>
      <c r="NER29" t="s">
        <v>11867</v>
      </c>
      <c r="NES29" t="s">
        <v>11868</v>
      </c>
      <c r="NET29" t="s">
        <v>11869</v>
      </c>
      <c r="NEU29" t="s">
        <v>11870</v>
      </c>
      <c r="NEV29" t="s">
        <v>11871</v>
      </c>
      <c r="NEW29" t="s">
        <v>11872</v>
      </c>
      <c r="NEX29" t="s">
        <v>11873</v>
      </c>
      <c r="NEY29" t="s">
        <v>11874</v>
      </c>
      <c r="NEZ29" t="s">
        <v>11875</v>
      </c>
      <c r="NFA29" t="s">
        <v>11876</v>
      </c>
      <c r="NFB29" t="s">
        <v>11877</v>
      </c>
      <c r="NFC29" t="s">
        <v>11878</v>
      </c>
      <c r="NFD29" t="s">
        <v>11879</v>
      </c>
      <c r="NFE29" t="s">
        <v>11880</v>
      </c>
      <c r="NFF29" t="s">
        <v>11881</v>
      </c>
      <c r="NFG29" t="s">
        <v>11882</v>
      </c>
      <c r="NFH29" t="s">
        <v>11883</v>
      </c>
      <c r="NFI29" t="s">
        <v>11884</v>
      </c>
      <c r="NFJ29" t="s">
        <v>11885</v>
      </c>
      <c r="NFK29" t="s">
        <v>11886</v>
      </c>
      <c r="NFL29" t="s">
        <v>11887</v>
      </c>
      <c r="NFM29" t="s">
        <v>11888</v>
      </c>
      <c r="NFN29" t="s">
        <v>11889</v>
      </c>
      <c r="NFO29" t="s">
        <v>11890</v>
      </c>
      <c r="NFP29" t="s">
        <v>11891</v>
      </c>
      <c r="NFQ29" t="s">
        <v>11892</v>
      </c>
      <c r="NFR29" t="s">
        <v>11893</v>
      </c>
      <c r="NFS29" t="s">
        <v>11894</v>
      </c>
      <c r="NFT29" t="s">
        <v>11895</v>
      </c>
      <c r="NFU29" t="s">
        <v>11896</v>
      </c>
      <c r="NFV29" t="s">
        <v>11897</v>
      </c>
      <c r="NFW29" t="s">
        <v>11898</v>
      </c>
      <c r="NFX29" t="s">
        <v>11899</v>
      </c>
      <c r="NFY29" t="s">
        <v>11900</v>
      </c>
      <c r="NFZ29" t="s">
        <v>11901</v>
      </c>
      <c r="NGA29" t="s">
        <v>11902</v>
      </c>
      <c r="NGB29" t="s">
        <v>11903</v>
      </c>
      <c r="NGC29" t="s">
        <v>11904</v>
      </c>
      <c r="NGD29" t="s">
        <v>11905</v>
      </c>
      <c r="NGE29" t="s">
        <v>11906</v>
      </c>
      <c r="NGF29" t="s">
        <v>11907</v>
      </c>
      <c r="NGG29" t="s">
        <v>11908</v>
      </c>
      <c r="NGH29" t="s">
        <v>11909</v>
      </c>
      <c r="NGI29" t="s">
        <v>11910</v>
      </c>
      <c r="NGJ29" t="s">
        <v>11911</v>
      </c>
      <c r="NGK29" t="s">
        <v>11912</v>
      </c>
      <c r="NGL29" t="s">
        <v>11913</v>
      </c>
      <c r="NGM29" t="s">
        <v>11914</v>
      </c>
      <c r="NGN29" t="s">
        <v>11915</v>
      </c>
      <c r="NGO29" t="s">
        <v>11916</v>
      </c>
      <c r="NGP29" t="s">
        <v>11917</v>
      </c>
      <c r="NGQ29" t="s">
        <v>11918</v>
      </c>
      <c r="NGR29" t="s">
        <v>11919</v>
      </c>
      <c r="NGS29" t="s">
        <v>11920</v>
      </c>
      <c r="NGT29" t="s">
        <v>11921</v>
      </c>
      <c r="NGU29" t="s">
        <v>11922</v>
      </c>
      <c r="NGV29" t="s">
        <v>11923</v>
      </c>
      <c r="NGW29" t="s">
        <v>11924</v>
      </c>
      <c r="NGX29" t="s">
        <v>11925</v>
      </c>
      <c r="NGY29" t="s">
        <v>11926</v>
      </c>
      <c r="NGZ29" t="s">
        <v>11927</v>
      </c>
      <c r="NHA29" t="s">
        <v>11928</v>
      </c>
      <c r="NHB29" t="s">
        <v>11929</v>
      </c>
      <c r="NHC29" t="s">
        <v>11930</v>
      </c>
      <c r="NHD29" t="s">
        <v>11931</v>
      </c>
      <c r="NHE29" t="s">
        <v>11932</v>
      </c>
      <c r="NHF29" t="s">
        <v>11933</v>
      </c>
      <c r="NHG29" t="s">
        <v>11934</v>
      </c>
      <c r="NHH29" t="s">
        <v>11935</v>
      </c>
      <c r="NHI29" t="s">
        <v>11936</v>
      </c>
      <c r="NHJ29" t="s">
        <v>11937</v>
      </c>
      <c r="NHK29" t="s">
        <v>11938</v>
      </c>
      <c r="NHL29" t="s">
        <v>11939</v>
      </c>
      <c r="NHM29" t="s">
        <v>11940</v>
      </c>
      <c r="NHN29" t="s">
        <v>11941</v>
      </c>
      <c r="NHO29" t="s">
        <v>11942</v>
      </c>
      <c r="NHP29" t="s">
        <v>11943</v>
      </c>
      <c r="NHQ29" t="s">
        <v>11944</v>
      </c>
      <c r="NHR29" t="s">
        <v>11945</v>
      </c>
      <c r="NHS29" t="s">
        <v>11946</v>
      </c>
      <c r="NHT29" t="s">
        <v>11947</v>
      </c>
      <c r="NHU29" t="s">
        <v>11948</v>
      </c>
      <c r="NHV29" t="s">
        <v>11949</v>
      </c>
      <c r="NHW29" t="s">
        <v>11950</v>
      </c>
      <c r="NHX29" t="s">
        <v>11951</v>
      </c>
      <c r="NHY29" t="s">
        <v>11952</v>
      </c>
      <c r="NHZ29" t="s">
        <v>11953</v>
      </c>
      <c r="NIA29" t="s">
        <v>11954</v>
      </c>
      <c r="NIB29" t="s">
        <v>11955</v>
      </c>
      <c r="NIC29" t="s">
        <v>11956</v>
      </c>
      <c r="NID29" t="s">
        <v>11957</v>
      </c>
      <c r="NIE29" t="s">
        <v>11958</v>
      </c>
      <c r="NIF29" t="s">
        <v>11959</v>
      </c>
      <c r="NIG29" t="s">
        <v>11960</v>
      </c>
      <c r="NIH29" t="s">
        <v>11961</v>
      </c>
      <c r="NII29" t="s">
        <v>11962</v>
      </c>
      <c r="NIJ29" t="s">
        <v>11963</v>
      </c>
      <c r="NIK29" t="s">
        <v>11964</v>
      </c>
      <c r="NIL29" t="s">
        <v>11965</v>
      </c>
      <c r="NIM29" t="s">
        <v>11966</v>
      </c>
      <c r="NIN29" t="s">
        <v>11967</v>
      </c>
      <c r="NIO29" t="s">
        <v>11968</v>
      </c>
      <c r="NIP29" t="s">
        <v>11969</v>
      </c>
      <c r="NIQ29" t="s">
        <v>11970</v>
      </c>
      <c r="NIR29" t="s">
        <v>11971</v>
      </c>
      <c r="NIS29" t="s">
        <v>11972</v>
      </c>
      <c r="NIT29" t="s">
        <v>11973</v>
      </c>
      <c r="NIU29" t="s">
        <v>11974</v>
      </c>
      <c r="NIV29" t="s">
        <v>11975</v>
      </c>
      <c r="NIW29" t="s">
        <v>11976</v>
      </c>
      <c r="NIX29" t="s">
        <v>11977</v>
      </c>
      <c r="NIY29" t="s">
        <v>11978</v>
      </c>
      <c r="NIZ29" t="s">
        <v>11979</v>
      </c>
      <c r="NJA29" t="s">
        <v>11980</v>
      </c>
      <c r="NJB29" t="s">
        <v>11981</v>
      </c>
      <c r="NJC29" t="s">
        <v>11982</v>
      </c>
      <c r="NJD29" t="s">
        <v>11983</v>
      </c>
      <c r="NJE29" t="s">
        <v>11984</v>
      </c>
      <c r="NJF29" t="s">
        <v>11985</v>
      </c>
      <c r="NJG29" t="s">
        <v>11986</v>
      </c>
      <c r="NJH29" t="s">
        <v>11987</v>
      </c>
      <c r="NJI29" t="s">
        <v>11988</v>
      </c>
      <c r="NJJ29" t="s">
        <v>11989</v>
      </c>
      <c r="NJK29" t="s">
        <v>11990</v>
      </c>
      <c r="NJL29" t="s">
        <v>11991</v>
      </c>
      <c r="NJM29" t="s">
        <v>11992</v>
      </c>
      <c r="NJN29" t="s">
        <v>11993</v>
      </c>
      <c r="NJO29" t="s">
        <v>11994</v>
      </c>
      <c r="NJP29" t="s">
        <v>11995</v>
      </c>
      <c r="NJQ29" t="s">
        <v>11996</v>
      </c>
      <c r="NJR29" t="s">
        <v>11997</v>
      </c>
      <c r="NJS29" t="s">
        <v>11998</v>
      </c>
      <c r="NJT29" t="s">
        <v>11999</v>
      </c>
      <c r="NJU29" t="s">
        <v>12000</v>
      </c>
      <c r="NJV29" t="s">
        <v>12001</v>
      </c>
      <c r="NJW29" t="s">
        <v>12002</v>
      </c>
      <c r="NJX29" t="s">
        <v>12003</v>
      </c>
      <c r="NJY29" t="s">
        <v>12004</v>
      </c>
      <c r="NJZ29" t="s">
        <v>12005</v>
      </c>
      <c r="NKA29" t="s">
        <v>12006</v>
      </c>
      <c r="NKB29" t="s">
        <v>12007</v>
      </c>
      <c r="NKC29" t="s">
        <v>12008</v>
      </c>
      <c r="NKD29" t="s">
        <v>12009</v>
      </c>
      <c r="NKE29" t="s">
        <v>12010</v>
      </c>
      <c r="NKF29" t="s">
        <v>12011</v>
      </c>
      <c r="NKG29" t="s">
        <v>12012</v>
      </c>
      <c r="NKH29" t="s">
        <v>12013</v>
      </c>
      <c r="NKI29" t="s">
        <v>12014</v>
      </c>
      <c r="NKJ29" t="s">
        <v>12015</v>
      </c>
      <c r="NKK29" t="s">
        <v>12016</v>
      </c>
      <c r="NKL29" t="s">
        <v>12017</v>
      </c>
      <c r="NKM29" t="s">
        <v>12018</v>
      </c>
      <c r="NKN29" t="s">
        <v>12019</v>
      </c>
      <c r="NKO29" t="s">
        <v>12020</v>
      </c>
      <c r="NKP29" t="s">
        <v>12021</v>
      </c>
      <c r="NKQ29" t="s">
        <v>12022</v>
      </c>
      <c r="NKR29" t="s">
        <v>12023</v>
      </c>
      <c r="NKS29" t="s">
        <v>12024</v>
      </c>
      <c r="NKT29" t="s">
        <v>12025</v>
      </c>
      <c r="NKU29" t="s">
        <v>12026</v>
      </c>
      <c r="NKV29" t="s">
        <v>12027</v>
      </c>
      <c r="NKW29" t="s">
        <v>12028</v>
      </c>
      <c r="NKX29" t="s">
        <v>12029</v>
      </c>
      <c r="NKY29" t="s">
        <v>12030</v>
      </c>
      <c r="NKZ29" t="s">
        <v>12031</v>
      </c>
      <c r="NLA29" t="s">
        <v>12032</v>
      </c>
      <c r="NLB29" t="s">
        <v>12033</v>
      </c>
      <c r="NLC29" t="s">
        <v>12034</v>
      </c>
      <c r="NLD29" t="s">
        <v>12035</v>
      </c>
      <c r="NLE29" t="s">
        <v>12036</v>
      </c>
      <c r="NLF29" t="s">
        <v>12037</v>
      </c>
      <c r="NLG29" t="s">
        <v>12038</v>
      </c>
      <c r="NLH29" t="s">
        <v>12039</v>
      </c>
      <c r="NLI29" t="s">
        <v>12040</v>
      </c>
      <c r="NLJ29" t="s">
        <v>12041</v>
      </c>
      <c r="NLK29" t="s">
        <v>12042</v>
      </c>
      <c r="NLL29" t="s">
        <v>12043</v>
      </c>
      <c r="NLM29" t="s">
        <v>12044</v>
      </c>
      <c r="NLN29" t="s">
        <v>12045</v>
      </c>
      <c r="NLO29" t="s">
        <v>12046</v>
      </c>
      <c r="NLP29" t="s">
        <v>12047</v>
      </c>
      <c r="NLQ29" t="s">
        <v>12048</v>
      </c>
      <c r="NLR29" t="s">
        <v>12049</v>
      </c>
      <c r="NLS29" t="s">
        <v>12050</v>
      </c>
      <c r="NLT29" t="s">
        <v>12051</v>
      </c>
      <c r="NLU29" t="s">
        <v>12052</v>
      </c>
      <c r="NLV29" t="s">
        <v>12053</v>
      </c>
      <c r="NLW29" t="s">
        <v>12054</v>
      </c>
      <c r="NLX29" t="s">
        <v>12055</v>
      </c>
      <c r="NLY29" t="s">
        <v>12056</v>
      </c>
      <c r="NLZ29" t="s">
        <v>12057</v>
      </c>
      <c r="NMA29" t="s">
        <v>12058</v>
      </c>
      <c r="NMB29" t="s">
        <v>12059</v>
      </c>
      <c r="NMC29" t="s">
        <v>12060</v>
      </c>
      <c r="NMD29" t="s">
        <v>12061</v>
      </c>
      <c r="NME29" t="s">
        <v>12062</v>
      </c>
      <c r="NMF29" t="s">
        <v>12063</v>
      </c>
      <c r="NMG29" t="s">
        <v>12064</v>
      </c>
      <c r="NMH29" t="s">
        <v>12065</v>
      </c>
      <c r="NMI29" t="s">
        <v>12066</v>
      </c>
      <c r="NMJ29" t="s">
        <v>12067</v>
      </c>
      <c r="NMK29" t="s">
        <v>12068</v>
      </c>
      <c r="NML29" t="s">
        <v>12069</v>
      </c>
      <c r="NMM29" t="s">
        <v>12070</v>
      </c>
      <c r="NMN29" t="s">
        <v>12071</v>
      </c>
      <c r="NMO29" t="s">
        <v>12072</v>
      </c>
      <c r="NMP29" t="s">
        <v>12073</v>
      </c>
      <c r="NMQ29" t="s">
        <v>12074</v>
      </c>
      <c r="NMR29" t="s">
        <v>12075</v>
      </c>
      <c r="NMS29" t="s">
        <v>12076</v>
      </c>
      <c r="NMT29" t="s">
        <v>12077</v>
      </c>
      <c r="NMU29" t="s">
        <v>12078</v>
      </c>
      <c r="NMV29" t="s">
        <v>12079</v>
      </c>
      <c r="NMW29" t="s">
        <v>12080</v>
      </c>
      <c r="NMX29" t="s">
        <v>12081</v>
      </c>
      <c r="NMY29" t="s">
        <v>12082</v>
      </c>
      <c r="NMZ29" t="s">
        <v>12083</v>
      </c>
      <c r="NNA29" t="s">
        <v>12084</v>
      </c>
      <c r="NNB29" t="s">
        <v>12085</v>
      </c>
      <c r="NNC29" t="s">
        <v>12086</v>
      </c>
      <c r="NND29" t="s">
        <v>12087</v>
      </c>
      <c r="NNE29" t="s">
        <v>12088</v>
      </c>
      <c r="NNF29" t="s">
        <v>12089</v>
      </c>
      <c r="NNG29" t="s">
        <v>12090</v>
      </c>
      <c r="NNH29" t="s">
        <v>12091</v>
      </c>
      <c r="NNI29" t="s">
        <v>12092</v>
      </c>
      <c r="NNJ29" t="s">
        <v>12093</v>
      </c>
      <c r="NNK29" t="s">
        <v>12094</v>
      </c>
      <c r="NNL29" t="s">
        <v>12095</v>
      </c>
      <c r="NNM29" t="s">
        <v>12096</v>
      </c>
      <c r="NNN29" t="s">
        <v>12097</v>
      </c>
      <c r="NNO29" t="s">
        <v>12098</v>
      </c>
      <c r="NNP29" t="s">
        <v>12099</v>
      </c>
      <c r="NNQ29" t="s">
        <v>12100</v>
      </c>
      <c r="NNR29" t="s">
        <v>12101</v>
      </c>
      <c r="NNS29" t="s">
        <v>12102</v>
      </c>
      <c r="NNT29" t="s">
        <v>12103</v>
      </c>
      <c r="NNU29" t="s">
        <v>12104</v>
      </c>
      <c r="NNV29" t="s">
        <v>12105</v>
      </c>
      <c r="NNW29" t="s">
        <v>12106</v>
      </c>
      <c r="NNX29" t="s">
        <v>12107</v>
      </c>
      <c r="NNY29" t="s">
        <v>12108</v>
      </c>
      <c r="NNZ29" t="s">
        <v>12109</v>
      </c>
      <c r="NOA29" t="s">
        <v>12110</v>
      </c>
      <c r="NOB29" t="s">
        <v>12111</v>
      </c>
      <c r="NOC29" t="s">
        <v>12112</v>
      </c>
      <c r="NOD29" t="s">
        <v>12113</v>
      </c>
      <c r="NOE29" t="s">
        <v>12114</v>
      </c>
      <c r="NOF29" t="s">
        <v>12115</v>
      </c>
      <c r="NOG29" t="s">
        <v>12116</v>
      </c>
      <c r="NOH29" t="s">
        <v>12117</v>
      </c>
      <c r="NOI29" t="s">
        <v>12118</v>
      </c>
      <c r="NOJ29" t="s">
        <v>12119</v>
      </c>
      <c r="NOK29" t="s">
        <v>12120</v>
      </c>
      <c r="NOL29" t="s">
        <v>12121</v>
      </c>
      <c r="NOM29" t="s">
        <v>12122</v>
      </c>
      <c r="NON29" t="s">
        <v>12123</v>
      </c>
      <c r="NOO29" t="s">
        <v>12124</v>
      </c>
      <c r="NOP29" t="s">
        <v>12125</v>
      </c>
      <c r="NOQ29" t="s">
        <v>12126</v>
      </c>
      <c r="NOR29" t="s">
        <v>12127</v>
      </c>
      <c r="NOS29" t="s">
        <v>12128</v>
      </c>
      <c r="NOT29" t="s">
        <v>12129</v>
      </c>
      <c r="NOU29" t="s">
        <v>12130</v>
      </c>
      <c r="NOV29" t="s">
        <v>12131</v>
      </c>
      <c r="NOW29" t="s">
        <v>12132</v>
      </c>
      <c r="NOX29" t="s">
        <v>12133</v>
      </c>
      <c r="NOY29" t="s">
        <v>12134</v>
      </c>
      <c r="NOZ29" t="s">
        <v>12135</v>
      </c>
      <c r="NPA29" t="s">
        <v>12136</v>
      </c>
      <c r="NPB29" t="s">
        <v>12137</v>
      </c>
      <c r="NPC29" t="s">
        <v>12138</v>
      </c>
      <c r="NPD29" t="s">
        <v>12139</v>
      </c>
      <c r="NPE29" t="s">
        <v>12140</v>
      </c>
      <c r="NPF29" t="s">
        <v>12141</v>
      </c>
      <c r="NPG29" t="s">
        <v>12142</v>
      </c>
      <c r="NPH29" t="s">
        <v>12143</v>
      </c>
      <c r="NPI29" t="s">
        <v>12144</v>
      </c>
      <c r="NPJ29" t="s">
        <v>12145</v>
      </c>
      <c r="NPK29" t="s">
        <v>12146</v>
      </c>
      <c r="NPL29" t="s">
        <v>12147</v>
      </c>
      <c r="NPM29" t="s">
        <v>12148</v>
      </c>
      <c r="NPN29" t="s">
        <v>12149</v>
      </c>
      <c r="NPO29" t="s">
        <v>12150</v>
      </c>
      <c r="NPP29" t="s">
        <v>12151</v>
      </c>
      <c r="NPQ29" t="s">
        <v>12152</v>
      </c>
      <c r="NPR29" t="s">
        <v>12153</v>
      </c>
      <c r="NPS29" t="s">
        <v>12154</v>
      </c>
      <c r="NPT29" t="s">
        <v>12155</v>
      </c>
      <c r="NPU29" t="s">
        <v>12156</v>
      </c>
      <c r="NPV29" t="s">
        <v>12157</v>
      </c>
      <c r="NPW29" t="s">
        <v>12158</v>
      </c>
      <c r="NPX29" t="s">
        <v>12159</v>
      </c>
      <c r="NPY29" t="s">
        <v>12160</v>
      </c>
      <c r="NPZ29" t="s">
        <v>12161</v>
      </c>
      <c r="NQA29" t="s">
        <v>12162</v>
      </c>
      <c r="NQB29" t="s">
        <v>12163</v>
      </c>
      <c r="NQC29" t="s">
        <v>12164</v>
      </c>
      <c r="NQD29" t="s">
        <v>12165</v>
      </c>
      <c r="NQE29" t="s">
        <v>12166</v>
      </c>
      <c r="NQF29" t="s">
        <v>12167</v>
      </c>
      <c r="NQG29" t="s">
        <v>12168</v>
      </c>
      <c r="NQH29" t="s">
        <v>12169</v>
      </c>
      <c r="NQI29" t="s">
        <v>12170</v>
      </c>
      <c r="NQJ29" t="s">
        <v>12171</v>
      </c>
      <c r="NQK29" t="s">
        <v>12172</v>
      </c>
      <c r="NQL29" t="s">
        <v>12173</v>
      </c>
      <c r="NQM29" t="s">
        <v>12174</v>
      </c>
      <c r="NQN29" t="s">
        <v>12175</v>
      </c>
      <c r="NQO29" t="s">
        <v>12176</v>
      </c>
      <c r="NQP29" t="s">
        <v>12177</v>
      </c>
      <c r="NQQ29" t="s">
        <v>12178</v>
      </c>
      <c r="NQR29" t="s">
        <v>12179</v>
      </c>
      <c r="NQS29" t="s">
        <v>12180</v>
      </c>
      <c r="NQT29" t="s">
        <v>12181</v>
      </c>
      <c r="NQU29" t="s">
        <v>12182</v>
      </c>
      <c r="NQV29" t="s">
        <v>12183</v>
      </c>
      <c r="NQW29" t="s">
        <v>12184</v>
      </c>
      <c r="NQX29" t="s">
        <v>12185</v>
      </c>
      <c r="NQY29" t="s">
        <v>12186</v>
      </c>
      <c r="NQZ29" t="s">
        <v>12187</v>
      </c>
      <c r="NRA29" t="s">
        <v>12188</v>
      </c>
      <c r="NRB29" t="s">
        <v>12189</v>
      </c>
      <c r="NRC29" t="s">
        <v>12190</v>
      </c>
      <c r="NRD29" t="s">
        <v>12191</v>
      </c>
      <c r="NRE29" t="s">
        <v>12192</v>
      </c>
      <c r="NRF29" t="s">
        <v>12193</v>
      </c>
      <c r="NRG29" t="s">
        <v>12194</v>
      </c>
      <c r="NRH29" t="s">
        <v>12195</v>
      </c>
      <c r="NRI29" t="s">
        <v>12196</v>
      </c>
      <c r="NRJ29" t="s">
        <v>12197</v>
      </c>
      <c r="NRK29" t="s">
        <v>12198</v>
      </c>
      <c r="NRL29" t="s">
        <v>12199</v>
      </c>
      <c r="NRM29" t="s">
        <v>12200</v>
      </c>
      <c r="NRN29" t="s">
        <v>12201</v>
      </c>
      <c r="NRO29" t="s">
        <v>12202</v>
      </c>
      <c r="NRP29" t="s">
        <v>12203</v>
      </c>
      <c r="NRQ29" t="s">
        <v>12204</v>
      </c>
      <c r="NRR29" t="s">
        <v>12205</v>
      </c>
      <c r="NRS29" t="s">
        <v>12206</v>
      </c>
      <c r="NRT29" t="s">
        <v>12207</v>
      </c>
      <c r="NRU29" t="s">
        <v>12208</v>
      </c>
      <c r="NRV29" t="s">
        <v>12209</v>
      </c>
      <c r="NRW29" t="s">
        <v>12210</v>
      </c>
      <c r="NRX29" t="s">
        <v>12211</v>
      </c>
      <c r="NRY29" t="s">
        <v>12212</v>
      </c>
      <c r="NRZ29" t="s">
        <v>12213</v>
      </c>
      <c r="NSA29" t="s">
        <v>12214</v>
      </c>
      <c r="NSB29" t="s">
        <v>12215</v>
      </c>
      <c r="NSC29" t="s">
        <v>12216</v>
      </c>
      <c r="NSD29" t="s">
        <v>12217</v>
      </c>
      <c r="NSE29" t="s">
        <v>12218</v>
      </c>
      <c r="NSF29" t="s">
        <v>12219</v>
      </c>
      <c r="NSG29" t="s">
        <v>12220</v>
      </c>
      <c r="NSH29" t="s">
        <v>12221</v>
      </c>
      <c r="NSI29" t="s">
        <v>12222</v>
      </c>
      <c r="NSJ29" t="s">
        <v>12223</v>
      </c>
      <c r="NSK29" t="s">
        <v>12224</v>
      </c>
      <c r="NSL29" t="s">
        <v>12225</v>
      </c>
      <c r="NSM29" t="s">
        <v>12226</v>
      </c>
      <c r="NSN29" t="s">
        <v>12227</v>
      </c>
      <c r="NSO29" t="s">
        <v>12228</v>
      </c>
      <c r="NSP29" t="s">
        <v>12229</v>
      </c>
      <c r="NSQ29" t="s">
        <v>12230</v>
      </c>
      <c r="NSR29" t="s">
        <v>12231</v>
      </c>
      <c r="NSS29" t="s">
        <v>12232</v>
      </c>
      <c r="NST29" t="s">
        <v>12233</v>
      </c>
      <c r="NSU29" t="s">
        <v>12234</v>
      </c>
      <c r="NSV29" t="s">
        <v>12235</v>
      </c>
      <c r="NSW29" t="s">
        <v>12236</v>
      </c>
      <c r="NSX29" t="s">
        <v>12237</v>
      </c>
      <c r="NSY29" t="s">
        <v>12238</v>
      </c>
      <c r="NSZ29" t="s">
        <v>12239</v>
      </c>
      <c r="NTA29" t="s">
        <v>12240</v>
      </c>
      <c r="NTB29" t="s">
        <v>12241</v>
      </c>
      <c r="NTC29" t="s">
        <v>12242</v>
      </c>
      <c r="NTD29" t="s">
        <v>12243</v>
      </c>
      <c r="NTE29" t="s">
        <v>12244</v>
      </c>
      <c r="NTF29" t="s">
        <v>12245</v>
      </c>
      <c r="NTG29" t="s">
        <v>12246</v>
      </c>
      <c r="NTH29" t="s">
        <v>12247</v>
      </c>
      <c r="NTI29" t="s">
        <v>12248</v>
      </c>
      <c r="NTJ29" t="s">
        <v>12249</v>
      </c>
      <c r="NTK29" t="s">
        <v>12250</v>
      </c>
      <c r="NTL29" t="s">
        <v>12251</v>
      </c>
      <c r="NTM29" t="s">
        <v>12252</v>
      </c>
      <c r="NTN29" t="s">
        <v>12253</v>
      </c>
      <c r="NTO29" t="s">
        <v>12254</v>
      </c>
      <c r="NTP29" t="s">
        <v>12255</v>
      </c>
      <c r="NTQ29" t="s">
        <v>12256</v>
      </c>
      <c r="NTR29" t="s">
        <v>12257</v>
      </c>
      <c r="NTS29" t="s">
        <v>12258</v>
      </c>
      <c r="NTT29" t="s">
        <v>12259</v>
      </c>
      <c r="NTU29" t="s">
        <v>12260</v>
      </c>
      <c r="NTV29" t="s">
        <v>12261</v>
      </c>
      <c r="NTW29" t="s">
        <v>12262</v>
      </c>
      <c r="NTX29" t="s">
        <v>12263</v>
      </c>
      <c r="NTY29" t="s">
        <v>12264</v>
      </c>
      <c r="NTZ29" t="s">
        <v>12265</v>
      </c>
      <c r="NUA29" t="s">
        <v>12266</v>
      </c>
      <c r="NUB29" t="s">
        <v>12267</v>
      </c>
      <c r="NUC29" t="s">
        <v>12268</v>
      </c>
      <c r="NUD29" t="s">
        <v>12269</v>
      </c>
      <c r="NUE29" t="s">
        <v>12270</v>
      </c>
      <c r="NUF29" t="s">
        <v>12271</v>
      </c>
      <c r="NUG29" t="s">
        <v>12272</v>
      </c>
      <c r="NUH29" t="s">
        <v>12273</v>
      </c>
      <c r="NUI29" t="s">
        <v>12274</v>
      </c>
      <c r="NUJ29" t="s">
        <v>12275</v>
      </c>
      <c r="NUK29" t="s">
        <v>12276</v>
      </c>
      <c r="NUL29" t="s">
        <v>12277</v>
      </c>
      <c r="NUM29" t="s">
        <v>12278</v>
      </c>
      <c r="NUN29" t="s">
        <v>12279</v>
      </c>
      <c r="NUO29" t="s">
        <v>12280</v>
      </c>
      <c r="NUP29" t="s">
        <v>12281</v>
      </c>
      <c r="NUQ29" t="s">
        <v>12282</v>
      </c>
      <c r="NUR29" t="s">
        <v>12283</v>
      </c>
      <c r="NUS29" t="s">
        <v>12284</v>
      </c>
      <c r="NUT29" t="s">
        <v>12285</v>
      </c>
      <c r="NUU29" t="s">
        <v>12286</v>
      </c>
      <c r="NUV29" t="s">
        <v>12287</v>
      </c>
      <c r="NUW29" t="s">
        <v>12288</v>
      </c>
      <c r="NUX29" t="s">
        <v>12289</v>
      </c>
      <c r="NUY29" t="s">
        <v>12290</v>
      </c>
      <c r="NUZ29" t="s">
        <v>12291</v>
      </c>
      <c r="NVA29" t="s">
        <v>12292</v>
      </c>
      <c r="NVB29" t="s">
        <v>12293</v>
      </c>
      <c r="NVC29" t="s">
        <v>12294</v>
      </c>
      <c r="NVD29" t="s">
        <v>12295</v>
      </c>
      <c r="NVE29" t="s">
        <v>12296</v>
      </c>
      <c r="NVF29" t="s">
        <v>12297</v>
      </c>
      <c r="NVG29" t="s">
        <v>12298</v>
      </c>
      <c r="NVH29" t="s">
        <v>12299</v>
      </c>
      <c r="NVI29" t="s">
        <v>12300</v>
      </c>
      <c r="NVJ29" t="s">
        <v>12301</v>
      </c>
      <c r="NVK29" t="s">
        <v>12302</v>
      </c>
      <c r="NVL29" t="s">
        <v>12303</v>
      </c>
      <c r="NVM29" t="s">
        <v>12304</v>
      </c>
      <c r="NVN29" t="s">
        <v>12305</v>
      </c>
      <c r="NVO29" t="s">
        <v>12306</v>
      </c>
      <c r="NVP29" t="s">
        <v>12307</v>
      </c>
      <c r="NVQ29" t="s">
        <v>12308</v>
      </c>
      <c r="NVR29" t="s">
        <v>12309</v>
      </c>
      <c r="NVS29" t="s">
        <v>12310</v>
      </c>
      <c r="NVT29" t="s">
        <v>12311</v>
      </c>
      <c r="NVU29" t="s">
        <v>12312</v>
      </c>
      <c r="NVV29" t="s">
        <v>12313</v>
      </c>
      <c r="NVW29" t="s">
        <v>12314</v>
      </c>
      <c r="NVX29" t="s">
        <v>12315</v>
      </c>
      <c r="NVY29" t="s">
        <v>12316</v>
      </c>
      <c r="NVZ29" t="s">
        <v>12317</v>
      </c>
      <c r="NWA29" t="s">
        <v>12318</v>
      </c>
      <c r="NWB29" t="s">
        <v>12319</v>
      </c>
      <c r="NWC29" t="s">
        <v>12320</v>
      </c>
      <c r="NWD29" t="s">
        <v>12321</v>
      </c>
      <c r="NWE29" t="s">
        <v>12322</v>
      </c>
      <c r="NWF29" t="s">
        <v>12323</v>
      </c>
      <c r="NWG29" t="s">
        <v>12324</v>
      </c>
      <c r="NWH29" t="s">
        <v>12325</v>
      </c>
      <c r="NWI29" t="s">
        <v>12326</v>
      </c>
      <c r="NWJ29" t="s">
        <v>12327</v>
      </c>
      <c r="NWK29" t="s">
        <v>12328</v>
      </c>
      <c r="NWL29" t="s">
        <v>12329</v>
      </c>
      <c r="NWM29" t="s">
        <v>12330</v>
      </c>
      <c r="NWN29" t="s">
        <v>12331</v>
      </c>
      <c r="NWO29" t="s">
        <v>12332</v>
      </c>
      <c r="NWP29" t="s">
        <v>12333</v>
      </c>
      <c r="NWQ29" t="s">
        <v>12334</v>
      </c>
      <c r="NWR29" t="s">
        <v>12335</v>
      </c>
      <c r="NWS29" t="s">
        <v>12336</v>
      </c>
      <c r="NWT29" t="s">
        <v>12337</v>
      </c>
      <c r="NWU29" t="s">
        <v>12338</v>
      </c>
      <c r="NWV29" t="s">
        <v>12339</v>
      </c>
      <c r="NWW29" t="s">
        <v>12340</v>
      </c>
      <c r="NWX29" t="s">
        <v>12341</v>
      </c>
      <c r="NWY29" t="s">
        <v>12342</v>
      </c>
      <c r="NWZ29" t="s">
        <v>12343</v>
      </c>
      <c r="NXA29" t="s">
        <v>12344</v>
      </c>
      <c r="NXB29" t="s">
        <v>12345</v>
      </c>
      <c r="NXC29" t="s">
        <v>12346</v>
      </c>
      <c r="NXD29" t="s">
        <v>12347</v>
      </c>
      <c r="NXE29" t="s">
        <v>12348</v>
      </c>
      <c r="NXF29" t="s">
        <v>12349</v>
      </c>
      <c r="NXG29" t="s">
        <v>12350</v>
      </c>
      <c r="NXH29" t="s">
        <v>12351</v>
      </c>
      <c r="NXI29" t="s">
        <v>12352</v>
      </c>
      <c r="NXJ29" t="s">
        <v>12353</v>
      </c>
      <c r="NXK29" t="s">
        <v>12354</v>
      </c>
      <c r="NXL29" t="s">
        <v>12355</v>
      </c>
      <c r="NXM29" t="s">
        <v>12356</v>
      </c>
      <c r="NXN29" t="s">
        <v>12357</v>
      </c>
      <c r="NXO29" t="s">
        <v>12358</v>
      </c>
      <c r="NXP29" t="s">
        <v>12359</v>
      </c>
      <c r="NXQ29" t="s">
        <v>12360</v>
      </c>
      <c r="NXR29" t="s">
        <v>12361</v>
      </c>
      <c r="NXS29" t="s">
        <v>12362</v>
      </c>
      <c r="NXT29" t="s">
        <v>12363</v>
      </c>
      <c r="NXU29" t="s">
        <v>12364</v>
      </c>
      <c r="NXV29" t="s">
        <v>12365</v>
      </c>
      <c r="NXW29" t="s">
        <v>12366</v>
      </c>
      <c r="NXX29" t="s">
        <v>12367</v>
      </c>
      <c r="NXY29" t="s">
        <v>12368</v>
      </c>
      <c r="NXZ29" t="s">
        <v>12369</v>
      </c>
      <c r="NYA29" t="s">
        <v>12370</v>
      </c>
      <c r="NYB29" t="s">
        <v>12371</v>
      </c>
      <c r="NYC29" t="s">
        <v>12372</v>
      </c>
      <c r="NYD29" t="s">
        <v>12373</v>
      </c>
      <c r="NYE29" t="s">
        <v>12374</v>
      </c>
      <c r="NYF29" t="s">
        <v>12375</v>
      </c>
      <c r="NYG29" t="s">
        <v>12376</v>
      </c>
      <c r="NYH29" t="s">
        <v>12377</v>
      </c>
      <c r="NYI29" t="s">
        <v>12378</v>
      </c>
      <c r="NYJ29" t="s">
        <v>12379</v>
      </c>
      <c r="NYK29" t="s">
        <v>12380</v>
      </c>
      <c r="NYL29" t="s">
        <v>12381</v>
      </c>
      <c r="NYM29" t="s">
        <v>12382</v>
      </c>
      <c r="NYN29" t="s">
        <v>12383</v>
      </c>
      <c r="NYO29" t="s">
        <v>12384</v>
      </c>
      <c r="NYP29" t="s">
        <v>12385</v>
      </c>
      <c r="NYQ29" t="s">
        <v>12386</v>
      </c>
      <c r="NYR29" t="s">
        <v>12387</v>
      </c>
      <c r="NYS29" t="s">
        <v>12388</v>
      </c>
      <c r="NYT29" t="s">
        <v>12389</v>
      </c>
      <c r="NYU29" t="s">
        <v>12390</v>
      </c>
      <c r="NYV29" t="s">
        <v>12391</v>
      </c>
      <c r="NYW29" t="s">
        <v>12392</v>
      </c>
      <c r="NYX29" t="s">
        <v>12393</v>
      </c>
      <c r="NYY29" t="s">
        <v>12394</v>
      </c>
      <c r="NYZ29" t="s">
        <v>12395</v>
      </c>
      <c r="NZA29" t="s">
        <v>12396</v>
      </c>
      <c r="NZB29" t="s">
        <v>12397</v>
      </c>
      <c r="NZC29" t="s">
        <v>12398</v>
      </c>
      <c r="NZD29" t="s">
        <v>12399</v>
      </c>
      <c r="NZE29" t="s">
        <v>12400</v>
      </c>
      <c r="NZF29" t="s">
        <v>12401</v>
      </c>
      <c r="NZG29" t="s">
        <v>12402</v>
      </c>
      <c r="NZH29" t="s">
        <v>12403</v>
      </c>
      <c r="NZI29" t="s">
        <v>12404</v>
      </c>
      <c r="NZJ29" t="s">
        <v>12405</v>
      </c>
      <c r="NZK29" t="s">
        <v>12406</v>
      </c>
      <c r="NZL29" t="s">
        <v>12407</v>
      </c>
      <c r="NZM29" t="s">
        <v>12408</v>
      </c>
      <c r="NZN29" t="s">
        <v>12409</v>
      </c>
      <c r="NZO29" t="s">
        <v>12410</v>
      </c>
      <c r="NZP29" t="s">
        <v>12411</v>
      </c>
      <c r="NZQ29" t="s">
        <v>12412</v>
      </c>
      <c r="NZR29" t="s">
        <v>12413</v>
      </c>
      <c r="NZS29" t="s">
        <v>12414</v>
      </c>
      <c r="NZT29" t="s">
        <v>12415</v>
      </c>
      <c r="NZU29" t="s">
        <v>12416</v>
      </c>
      <c r="NZV29" t="s">
        <v>12417</v>
      </c>
      <c r="NZW29" t="s">
        <v>12418</v>
      </c>
      <c r="NZX29" t="s">
        <v>12419</v>
      </c>
      <c r="NZY29" t="s">
        <v>12420</v>
      </c>
      <c r="NZZ29" t="s">
        <v>12421</v>
      </c>
      <c r="OAA29" t="s">
        <v>12422</v>
      </c>
      <c r="OAB29" t="s">
        <v>12423</v>
      </c>
      <c r="OAC29" t="s">
        <v>12424</v>
      </c>
      <c r="OAD29" t="s">
        <v>12425</v>
      </c>
      <c r="OAE29" t="s">
        <v>12426</v>
      </c>
      <c r="OAF29" t="s">
        <v>12427</v>
      </c>
      <c r="OAG29" t="s">
        <v>12428</v>
      </c>
      <c r="OAH29" t="s">
        <v>12429</v>
      </c>
      <c r="OAI29" t="s">
        <v>12430</v>
      </c>
      <c r="OAJ29" t="s">
        <v>12431</v>
      </c>
      <c r="OAK29" t="s">
        <v>12432</v>
      </c>
      <c r="OAL29" t="s">
        <v>12433</v>
      </c>
      <c r="OAM29" t="s">
        <v>12434</v>
      </c>
      <c r="OAN29" t="s">
        <v>12435</v>
      </c>
      <c r="OAO29" t="s">
        <v>12436</v>
      </c>
      <c r="OAP29" t="s">
        <v>12437</v>
      </c>
      <c r="OAQ29" t="s">
        <v>12438</v>
      </c>
      <c r="OAR29" t="s">
        <v>12439</v>
      </c>
      <c r="OAS29" t="s">
        <v>12440</v>
      </c>
      <c r="OAT29" t="s">
        <v>12441</v>
      </c>
      <c r="OAU29" t="s">
        <v>12442</v>
      </c>
      <c r="OAV29" t="s">
        <v>12443</v>
      </c>
      <c r="OAW29" t="s">
        <v>12444</v>
      </c>
      <c r="OAX29" t="s">
        <v>12445</v>
      </c>
      <c r="OAY29" t="s">
        <v>12446</v>
      </c>
      <c r="OAZ29" t="s">
        <v>12447</v>
      </c>
      <c r="OBA29" t="s">
        <v>12448</v>
      </c>
      <c r="OBB29" t="s">
        <v>12449</v>
      </c>
      <c r="OBC29" t="s">
        <v>12450</v>
      </c>
      <c r="OBD29" t="s">
        <v>12451</v>
      </c>
      <c r="OBE29" t="s">
        <v>12452</v>
      </c>
      <c r="OBF29" t="s">
        <v>12453</v>
      </c>
      <c r="OBG29" t="s">
        <v>12454</v>
      </c>
      <c r="OBH29" t="s">
        <v>12455</v>
      </c>
      <c r="OBI29" t="s">
        <v>12456</v>
      </c>
      <c r="OBJ29" t="s">
        <v>12457</v>
      </c>
      <c r="OBK29" t="s">
        <v>12458</v>
      </c>
      <c r="OBL29" t="s">
        <v>12459</v>
      </c>
      <c r="OBM29" t="s">
        <v>12460</v>
      </c>
      <c r="OBN29" t="s">
        <v>12461</v>
      </c>
      <c r="OBO29" t="s">
        <v>12462</v>
      </c>
      <c r="OBP29" t="s">
        <v>12463</v>
      </c>
      <c r="OBQ29" t="s">
        <v>12464</v>
      </c>
      <c r="OBR29" t="s">
        <v>12465</v>
      </c>
      <c r="OBS29" t="s">
        <v>12466</v>
      </c>
      <c r="OBT29" t="s">
        <v>12467</v>
      </c>
      <c r="OBU29" t="s">
        <v>12468</v>
      </c>
      <c r="OBV29" t="s">
        <v>12469</v>
      </c>
      <c r="OBW29" t="s">
        <v>12470</v>
      </c>
      <c r="OBX29" t="s">
        <v>12471</v>
      </c>
      <c r="OBY29" t="s">
        <v>12472</v>
      </c>
      <c r="OBZ29" t="s">
        <v>12473</v>
      </c>
      <c r="OCA29" t="s">
        <v>12474</v>
      </c>
      <c r="OCB29" t="s">
        <v>12475</v>
      </c>
      <c r="OCC29" t="s">
        <v>12476</v>
      </c>
      <c r="OCD29" t="s">
        <v>12477</v>
      </c>
      <c r="OCE29" t="s">
        <v>12478</v>
      </c>
      <c r="OCF29" t="s">
        <v>12479</v>
      </c>
      <c r="OCG29" t="s">
        <v>12480</v>
      </c>
      <c r="OCH29" t="s">
        <v>12481</v>
      </c>
      <c r="OCI29" t="s">
        <v>12482</v>
      </c>
      <c r="OCJ29" t="s">
        <v>12483</v>
      </c>
      <c r="OCK29" t="s">
        <v>12484</v>
      </c>
      <c r="OCL29" t="s">
        <v>12485</v>
      </c>
      <c r="OCM29" t="s">
        <v>12486</v>
      </c>
      <c r="OCN29" t="s">
        <v>12487</v>
      </c>
      <c r="OCO29" t="s">
        <v>12488</v>
      </c>
      <c r="OCP29" t="s">
        <v>12489</v>
      </c>
      <c r="OCQ29" t="s">
        <v>12490</v>
      </c>
      <c r="OCR29" t="s">
        <v>12491</v>
      </c>
      <c r="OCS29" t="s">
        <v>12492</v>
      </c>
      <c r="OCT29" t="s">
        <v>12493</v>
      </c>
      <c r="OCU29" t="s">
        <v>12494</v>
      </c>
      <c r="OCV29" t="s">
        <v>12495</v>
      </c>
      <c r="OCW29" t="s">
        <v>12496</v>
      </c>
      <c r="OCX29" t="s">
        <v>12497</v>
      </c>
      <c r="OCY29" t="s">
        <v>12498</v>
      </c>
      <c r="OCZ29" t="s">
        <v>12499</v>
      </c>
      <c r="ODA29" t="s">
        <v>12500</v>
      </c>
      <c r="ODB29" t="s">
        <v>12501</v>
      </c>
      <c r="ODC29" t="s">
        <v>12502</v>
      </c>
      <c r="ODD29" t="s">
        <v>12503</v>
      </c>
      <c r="ODE29" t="s">
        <v>12504</v>
      </c>
      <c r="ODF29" t="s">
        <v>12505</v>
      </c>
      <c r="ODG29" t="s">
        <v>12506</v>
      </c>
      <c r="ODH29" t="s">
        <v>12507</v>
      </c>
      <c r="ODI29" t="s">
        <v>12508</v>
      </c>
      <c r="ODJ29" t="s">
        <v>12509</v>
      </c>
      <c r="ODK29" t="s">
        <v>12510</v>
      </c>
      <c r="ODL29" t="s">
        <v>12511</v>
      </c>
      <c r="ODM29" t="s">
        <v>12512</v>
      </c>
      <c r="ODN29" t="s">
        <v>12513</v>
      </c>
      <c r="ODO29" t="s">
        <v>12514</v>
      </c>
      <c r="ODP29" t="s">
        <v>12515</v>
      </c>
      <c r="ODQ29" t="s">
        <v>12516</v>
      </c>
      <c r="ODR29" t="s">
        <v>12517</v>
      </c>
      <c r="ODS29" t="s">
        <v>12518</v>
      </c>
      <c r="ODT29" t="s">
        <v>12519</v>
      </c>
      <c r="ODU29" t="s">
        <v>12520</v>
      </c>
      <c r="ODV29" t="s">
        <v>12521</v>
      </c>
      <c r="ODW29" t="s">
        <v>12522</v>
      </c>
      <c r="ODX29" t="s">
        <v>12523</v>
      </c>
      <c r="ODY29" t="s">
        <v>12524</v>
      </c>
      <c r="ODZ29" t="s">
        <v>12525</v>
      </c>
      <c r="OEA29" t="s">
        <v>12526</v>
      </c>
      <c r="OEB29" t="s">
        <v>12527</v>
      </c>
      <c r="OEC29" t="s">
        <v>12528</v>
      </c>
      <c r="OED29" t="s">
        <v>12529</v>
      </c>
      <c r="OEE29" t="s">
        <v>12530</v>
      </c>
      <c r="OEF29" t="s">
        <v>12531</v>
      </c>
      <c r="OEG29" t="s">
        <v>12532</v>
      </c>
      <c r="OEH29" t="s">
        <v>12533</v>
      </c>
      <c r="OEI29" t="s">
        <v>12534</v>
      </c>
      <c r="OEJ29" t="s">
        <v>12535</v>
      </c>
      <c r="OEK29" t="s">
        <v>12536</v>
      </c>
      <c r="OEL29" t="s">
        <v>12537</v>
      </c>
      <c r="OEM29" t="s">
        <v>12538</v>
      </c>
      <c r="OEN29" t="s">
        <v>12539</v>
      </c>
      <c r="OEO29" t="s">
        <v>12540</v>
      </c>
      <c r="OEP29" t="s">
        <v>12541</v>
      </c>
      <c r="OEQ29" t="s">
        <v>12542</v>
      </c>
      <c r="OER29" t="s">
        <v>12543</v>
      </c>
      <c r="OES29" t="s">
        <v>12544</v>
      </c>
      <c r="OET29" t="s">
        <v>12545</v>
      </c>
      <c r="OEU29" t="s">
        <v>12546</v>
      </c>
      <c r="OEV29" t="s">
        <v>12547</v>
      </c>
      <c r="OEW29" t="s">
        <v>12548</v>
      </c>
      <c r="OEX29" t="s">
        <v>12549</v>
      </c>
      <c r="OEY29" t="s">
        <v>12550</v>
      </c>
      <c r="OEZ29" t="s">
        <v>12551</v>
      </c>
      <c r="OFA29" t="s">
        <v>12552</v>
      </c>
      <c r="OFB29" t="s">
        <v>12553</v>
      </c>
      <c r="OFC29" t="s">
        <v>12554</v>
      </c>
      <c r="OFD29" t="s">
        <v>12555</v>
      </c>
      <c r="OFE29" t="s">
        <v>12556</v>
      </c>
      <c r="OFF29" t="s">
        <v>12557</v>
      </c>
      <c r="OFG29" t="s">
        <v>12558</v>
      </c>
      <c r="OFH29" t="s">
        <v>12559</v>
      </c>
      <c r="OFI29" t="s">
        <v>12560</v>
      </c>
      <c r="OFJ29" t="s">
        <v>12561</v>
      </c>
      <c r="OFK29" t="s">
        <v>12562</v>
      </c>
      <c r="OFL29" t="s">
        <v>12563</v>
      </c>
      <c r="OFM29" t="s">
        <v>12564</v>
      </c>
      <c r="OFN29" t="s">
        <v>12565</v>
      </c>
      <c r="OFO29" t="s">
        <v>12566</v>
      </c>
      <c r="OFP29" t="s">
        <v>12567</v>
      </c>
      <c r="OFQ29" t="s">
        <v>12568</v>
      </c>
      <c r="OFR29" t="s">
        <v>12569</v>
      </c>
      <c r="OFS29" t="s">
        <v>12570</v>
      </c>
      <c r="OFT29" t="s">
        <v>12571</v>
      </c>
      <c r="OFU29" t="s">
        <v>12572</v>
      </c>
      <c r="OFV29" t="s">
        <v>12573</v>
      </c>
      <c r="OFW29" t="s">
        <v>12574</v>
      </c>
      <c r="OFX29" t="s">
        <v>12575</v>
      </c>
      <c r="OFY29" t="s">
        <v>12576</v>
      </c>
      <c r="OFZ29" t="s">
        <v>12577</v>
      </c>
      <c r="OGA29" t="s">
        <v>12578</v>
      </c>
      <c r="OGB29" t="s">
        <v>12579</v>
      </c>
      <c r="OGC29" t="s">
        <v>12580</v>
      </c>
      <c r="OGD29" t="s">
        <v>12581</v>
      </c>
      <c r="OGE29" t="s">
        <v>12582</v>
      </c>
      <c r="OGF29" t="s">
        <v>12583</v>
      </c>
      <c r="OGG29" t="s">
        <v>12584</v>
      </c>
      <c r="OGH29" t="s">
        <v>12585</v>
      </c>
      <c r="OGI29" t="s">
        <v>12586</v>
      </c>
      <c r="OGJ29" t="s">
        <v>12587</v>
      </c>
      <c r="OGK29" t="s">
        <v>12588</v>
      </c>
      <c r="OGL29" t="s">
        <v>12589</v>
      </c>
      <c r="OGM29" t="s">
        <v>12590</v>
      </c>
      <c r="OGN29" t="s">
        <v>12591</v>
      </c>
      <c r="OGO29" t="s">
        <v>12592</v>
      </c>
      <c r="OGP29" t="s">
        <v>12593</v>
      </c>
      <c r="OGQ29" t="s">
        <v>12594</v>
      </c>
      <c r="OGR29" t="s">
        <v>12595</v>
      </c>
      <c r="OGS29" t="s">
        <v>12596</v>
      </c>
      <c r="OGT29" t="s">
        <v>12597</v>
      </c>
      <c r="OGU29" t="s">
        <v>12598</v>
      </c>
      <c r="OGV29" t="s">
        <v>12599</v>
      </c>
      <c r="OGW29" t="s">
        <v>12600</v>
      </c>
      <c r="OGX29" t="s">
        <v>12601</v>
      </c>
      <c r="OGY29" t="s">
        <v>12602</v>
      </c>
      <c r="OGZ29" t="s">
        <v>12603</v>
      </c>
      <c r="OHA29" t="s">
        <v>12604</v>
      </c>
      <c r="OHB29" t="s">
        <v>12605</v>
      </c>
      <c r="OHC29" t="s">
        <v>12606</v>
      </c>
      <c r="OHD29" t="s">
        <v>12607</v>
      </c>
      <c r="OHE29" t="s">
        <v>12608</v>
      </c>
      <c r="OHF29" t="s">
        <v>12609</v>
      </c>
      <c r="OHG29" t="s">
        <v>12610</v>
      </c>
      <c r="OHH29" t="s">
        <v>12611</v>
      </c>
      <c r="OHI29" t="s">
        <v>12612</v>
      </c>
      <c r="OHJ29" t="s">
        <v>12613</v>
      </c>
      <c r="OHK29" t="s">
        <v>12614</v>
      </c>
      <c r="OHL29" t="s">
        <v>12615</v>
      </c>
      <c r="OHM29" t="s">
        <v>12616</v>
      </c>
      <c r="OHN29" t="s">
        <v>12617</v>
      </c>
      <c r="OHO29" t="s">
        <v>12618</v>
      </c>
      <c r="OHP29" t="s">
        <v>12619</v>
      </c>
      <c r="OHQ29" t="s">
        <v>12620</v>
      </c>
      <c r="OHR29" t="s">
        <v>12621</v>
      </c>
      <c r="OHS29" t="s">
        <v>12622</v>
      </c>
      <c r="OHT29" t="s">
        <v>12623</v>
      </c>
      <c r="OHU29" t="s">
        <v>12624</v>
      </c>
      <c r="OHV29" t="s">
        <v>12625</v>
      </c>
      <c r="OHW29" t="s">
        <v>12626</v>
      </c>
      <c r="OHX29" t="s">
        <v>12627</v>
      </c>
      <c r="OHY29" t="s">
        <v>12628</v>
      </c>
      <c r="OHZ29" t="s">
        <v>12629</v>
      </c>
      <c r="OIA29" t="s">
        <v>12630</v>
      </c>
      <c r="OIB29" t="s">
        <v>12631</v>
      </c>
      <c r="OIC29" t="s">
        <v>12632</v>
      </c>
      <c r="OID29" t="s">
        <v>12633</v>
      </c>
      <c r="OIE29" t="s">
        <v>12634</v>
      </c>
      <c r="OIF29" t="s">
        <v>12635</v>
      </c>
      <c r="OIG29" t="s">
        <v>12636</v>
      </c>
      <c r="OIH29" t="s">
        <v>12637</v>
      </c>
      <c r="OII29" t="s">
        <v>12638</v>
      </c>
      <c r="OIJ29" t="s">
        <v>12639</v>
      </c>
      <c r="OIK29" t="s">
        <v>12640</v>
      </c>
      <c r="OIL29" t="s">
        <v>12641</v>
      </c>
      <c r="OIM29" t="s">
        <v>12642</v>
      </c>
      <c r="OIN29" t="s">
        <v>12643</v>
      </c>
      <c r="OIO29" t="s">
        <v>12644</v>
      </c>
      <c r="OIP29" t="s">
        <v>12645</v>
      </c>
      <c r="OIQ29" t="s">
        <v>12646</v>
      </c>
      <c r="OIR29" t="s">
        <v>12647</v>
      </c>
      <c r="OIS29" t="s">
        <v>12648</v>
      </c>
      <c r="OIT29" t="s">
        <v>12649</v>
      </c>
      <c r="OIU29" t="s">
        <v>12650</v>
      </c>
      <c r="OIV29" t="s">
        <v>12651</v>
      </c>
      <c r="OIW29" t="s">
        <v>12652</v>
      </c>
      <c r="OIX29" t="s">
        <v>12653</v>
      </c>
      <c r="OIY29" t="s">
        <v>12654</v>
      </c>
      <c r="OIZ29" t="s">
        <v>12655</v>
      </c>
      <c r="OJA29" t="s">
        <v>12656</v>
      </c>
      <c r="OJB29" t="s">
        <v>12657</v>
      </c>
      <c r="OJC29" t="s">
        <v>12658</v>
      </c>
      <c r="OJD29" t="s">
        <v>12659</v>
      </c>
      <c r="OJE29" t="s">
        <v>12660</v>
      </c>
      <c r="OJF29" t="s">
        <v>12661</v>
      </c>
      <c r="OJG29" t="s">
        <v>12662</v>
      </c>
      <c r="OJH29" t="s">
        <v>12663</v>
      </c>
      <c r="OJI29" t="s">
        <v>12664</v>
      </c>
      <c r="OJJ29" t="s">
        <v>12665</v>
      </c>
      <c r="OJK29" t="s">
        <v>12666</v>
      </c>
      <c r="OJL29" t="s">
        <v>12667</v>
      </c>
      <c r="OJM29" t="s">
        <v>12668</v>
      </c>
      <c r="OJN29" t="s">
        <v>12669</v>
      </c>
      <c r="OJO29" t="s">
        <v>12670</v>
      </c>
      <c r="OJP29" t="s">
        <v>12671</v>
      </c>
      <c r="OJQ29" t="s">
        <v>12672</v>
      </c>
      <c r="OJR29" t="s">
        <v>12673</v>
      </c>
      <c r="OJS29" t="s">
        <v>12674</v>
      </c>
      <c r="OJT29" t="s">
        <v>12675</v>
      </c>
      <c r="OJU29" t="s">
        <v>12676</v>
      </c>
      <c r="OJV29" t="s">
        <v>12677</v>
      </c>
      <c r="OJW29" t="s">
        <v>12678</v>
      </c>
      <c r="OJX29" t="s">
        <v>12679</v>
      </c>
      <c r="OJY29" t="s">
        <v>12680</v>
      </c>
      <c r="OJZ29" t="s">
        <v>12681</v>
      </c>
      <c r="OKA29" t="s">
        <v>12682</v>
      </c>
      <c r="OKB29" t="s">
        <v>12683</v>
      </c>
      <c r="OKC29" t="s">
        <v>12684</v>
      </c>
      <c r="OKD29" t="s">
        <v>12685</v>
      </c>
      <c r="OKE29" t="s">
        <v>12686</v>
      </c>
      <c r="OKF29" t="s">
        <v>12687</v>
      </c>
      <c r="OKG29" t="s">
        <v>12688</v>
      </c>
      <c r="OKH29" t="s">
        <v>12689</v>
      </c>
      <c r="OKI29" t="s">
        <v>12690</v>
      </c>
      <c r="OKJ29" t="s">
        <v>12691</v>
      </c>
      <c r="OKK29" t="s">
        <v>12692</v>
      </c>
      <c r="OKL29" t="s">
        <v>12693</v>
      </c>
      <c r="OKM29" t="s">
        <v>12694</v>
      </c>
      <c r="OKN29" t="s">
        <v>12695</v>
      </c>
      <c r="OKO29" t="s">
        <v>12696</v>
      </c>
      <c r="OKP29" t="s">
        <v>12697</v>
      </c>
      <c r="OKQ29" t="s">
        <v>12698</v>
      </c>
      <c r="OKR29" t="s">
        <v>12699</v>
      </c>
      <c r="OKS29" t="s">
        <v>12700</v>
      </c>
      <c r="OKT29" t="s">
        <v>12701</v>
      </c>
      <c r="OKU29" t="s">
        <v>12702</v>
      </c>
      <c r="OKV29" t="s">
        <v>12703</v>
      </c>
      <c r="OKW29" t="s">
        <v>12704</v>
      </c>
      <c r="OKX29" t="s">
        <v>12705</v>
      </c>
      <c r="OKY29" t="s">
        <v>12706</v>
      </c>
      <c r="OKZ29" t="s">
        <v>12707</v>
      </c>
      <c r="OLA29" t="s">
        <v>12708</v>
      </c>
      <c r="OLB29" t="s">
        <v>12709</v>
      </c>
      <c r="OLC29" t="s">
        <v>12710</v>
      </c>
      <c r="OLD29" t="s">
        <v>12711</v>
      </c>
      <c r="OLE29" t="s">
        <v>12712</v>
      </c>
      <c r="OLF29" t="s">
        <v>12713</v>
      </c>
      <c r="OLG29" t="s">
        <v>12714</v>
      </c>
      <c r="OLH29" t="s">
        <v>12715</v>
      </c>
      <c r="OLI29" t="s">
        <v>12716</v>
      </c>
      <c r="OLJ29" t="s">
        <v>12717</v>
      </c>
      <c r="OLK29" t="s">
        <v>12718</v>
      </c>
      <c r="OLL29" t="s">
        <v>12719</v>
      </c>
      <c r="OLM29" t="s">
        <v>12720</v>
      </c>
      <c r="OLN29" t="s">
        <v>12721</v>
      </c>
      <c r="OLO29" t="s">
        <v>12722</v>
      </c>
      <c r="OLP29" t="s">
        <v>12723</v>
      </c>
      <c r="OLQ29" t="s">
        <v>12724</v>
      </c>
      <c r="OLR29" t="s">
        <v>12725</v>
      </c>
      <c r="OLS29" t="s">
        <v>12726</v>
      </c>
      <c r="OLT29" t="s">
        <v>12727</v>
      </c>
      <c r="OLU29" t="s">
        <v>12728</v>
      </c>
      <c r="OLV29" t="s">
        <v>12729</v>
      </c>
      <c r="OLW29" t="s">
        <v>12730</v>
      </c>
      <c r="OLX29" t="s">
        <v>12731</v>
      </c>
      <c r="OLY29" t="s">
        <v>12732</v>
      </c>
      <c r="OLZ29" t="s">
        <v>12733</v>
      </c>
      <c r="OMA29" t="s">
        <v>12734</v>
      </c>
      <c r="OMB29" t="s">
        <v>12735</v>
      </c>
      <c r="OMC29" t="s">
        <v>12736</v>
      </c>
      <c r="OMD29" t="s">
        <v>12737</v>
      </c>
      <c r="OME29" t="s">
        <v>12738</v>
      </c>
      <c r="OMF29" t="s">
        <v>12739</v>
      </c>
      <c r="OMG29" t="s">
        <v>12740</v>
      </c>
      <c r="OMH29" t="s">
        <v>12741</v>
      </c>
      <c r="OMI29" t="s">
        <v>12742</v>
      </c>
      <c r="OMJ29" t="s">
        <v>12743</v>
      </c>
      <c r="OMK29" t="s">
        <v>12744</v>
      </c>
      <c r="OML29" t="s">
        <v>12745</v>
      </c>
      <c r="OMM29" t="s">
        <v>12746</v>
      </c>
      <c r="OMN29" t="s">
        <v>12747</v>
      </c>
      <c r="OMO29" t="s">
        <v>12748</v>
      </c>
      <c r="OMP29" t="s">
        <v>12749</v>
      </c>
      <c r="OMQ29" t="s">
        <v>12750</v>
      </c>
      <c r="OMR29" t="s">
        <v>12751</v>
      </c>
      <c r="OMS29" t="s">
        <v>12752</v>
      </c>
      <c r="OMT29" t="s">
        <v>12753</v>
      </c>
      <c r="OMU29" t="s">
        <v>12754</v>
      </c>
      <c r="OMV29" t="s">
        <v>12755</v>
      </c>
      <c r="OMW29" t="s">
        <v>12756</v>
      </c>
      <c r="OMX29" t="s">
        <v>12757</v>
      </c>
      <c r="OMY29" t="s">
        <v>12758</v>
      </c>
      <c r="OMZ29" t="s">
        <v>12759</v>
      </c>
      <c r="ONA29" t="s">
        <v>12760</v>
      </c>
      <c r="ONB29" t="s">
        <v>12761</v>
      </c>
      <c r="ONC29" t="s">
        <v>12762</v>
      </c>
      <c r="OND29" t="s">
        <v>12763</v>
      </c>
      <c r="ONE29" t="s">
        <v>12764</v>
      </c>
      <c r="ONF29" t="s">
        <v>12765</v>
      </c>
      <c r="ONG29" t="s">
        <v>12766</v>
      </c>
      <c r="ONH29" t="s">
        <v>12767</v>
      </c>
      <c r="ONI29" t="s">
        <v>12768</v>
      </c>
      <c r="ONJ29" t="s">
        <v>12769</v>
      </c>
      <c r="ONK29" t="s">
        <v>12770</v>
      </c>
      <c r="ONL29" t="s">
        <v>12771</v>
      </c>
      <c r="ONM29" t="s">
        <v>12772</v>
      </c>
      <c r="ONN29" t="s">
        <v>12773</v>
      </c>
      <c r="ONO29" t="s">
        <v>12774</v>
      </c>
      <c r="ONP29" t="s">
        <v>12775</v>
      </c>
      <c r="ONQ29" t="s">
        <v>12776</v>
      </c>
      <c r="ONR29" t="s">
        <v>12777</v>
      </c>
      <c r="ONS29" t="s">
        <v>12778</v>
      </c>
      <c r="ONT29" t="s">
        <v>12779</v>
      </c>
      <c r="ONU29" t="s">
        <v>12780</v>
      </c>
      <c r="ONV29" t="s">
        <v>12781</v>
      </c>
      <c r="ONW29" t="s">
        <v>12782</v>
      </c>
      <c r="ONX29" t="s">
        <v>12783</v>
      </c>
      <c r="ONY29" t="s">
        <v>12784</v>
      </c>
      <c r="ONZ29" t="s">
        <v>12785</v>
      </c>
      <c r="OOA29" t="s">
        <v>12786</v>
      </c>
      <c r="OOB29" t="s">
        <v>12787</v>
      </c>
      <c r="OOC29" t="s">
        <v>12788</v>
      </c>
      <c r="OOD29" t="s">
        <v>12789</v>
      </c>
      <c r="OOE29" t="s">
        <v>12790</v>
      </c>
      <c r="OOF29" t="s">
        <v>12791</v>
      </c>
      <c r="OOG29" t="s">
        <v>12792</v>
      </c>
      <c r="OOH29" t="s">
        <v>12793</v>
      </c>
      <c r="OOI29" t="s">
        <v>12794</v>
      </c>
      <c r="OOJ29" t="s">
        <v>12795</v>
      </c>
      <c r="OOK29" t="s">
        <v>12796</v>
      </c>
      <c r="OOL29" t="s">
        <v>12797</v>
      </c>
      <c r="OOM29" t="s">
        <v>12798</v>
      </c>
      <c r="OON29" t="s">
        <v>12799</v>
      </c>
      <c r="OOO29" t="s">
        <v>12800</v>
      </c>
      <c r="OOP29" t="s">
        <v>12801</v>
      </c>
      <c r="OOQ29" t="s">
        <v>12802</v>
      </c>
      <c r="OOR29" t="s">
        <v>12803</v>
      </c>
      <c r="OOS29" t="s">
        <v>12804</v>
      </c>
      <c r="OOT29" t="s">
        <v>12805</v>
      </c>
      <c r="OOU29" t="s">
        <v>12806</v>
      </c>
      <c r="OOV29" t="s">
        <v>12807</v>
      </c>
      <c r="OOW29" t="s">
        <v>12808</v>
      </c>
      <c r="OOX29" t="s">
        <v>12809</v>
      </c>
      <c r="OOY29" t="s">
        <v>12810</v>
      </c>
      <c r="OOZ29" t="s">
        <v>12811</v>
      </c>
      <c r="OPA29" t="s">
        <v>12812</v>
      </c>
      <c r="OPB29" t="s">
        <v>12813</v>
      </c>
      <c r="OPC29" t="s">
        <v>12814</v>
      </c>
      <c r="OPD29" t="s">
        <v>12815</v>
      </c>
      <c r="OPE29" t="s">
        <v>12816</v>
      </c>
      <c r="OPF29" t="s">
        <v>12817</v>
      </c>
      <c r="OPG29" t="s">
        <v>12818</v>
      </c>
      <c r="OPH29" t="s">
        <v>12819</v>
      </c>
      <c r="OPI29" t="s">
        <v>12820</v>
      </c>
      <c r="OPJ29" t="s">
        <v>12821</v>
      </c>
      <c r="OPK29" t="s">
        <v>12822</v>
      </c>
      <c r="OPL29" t="s">
        <v>12823</v>
      </c>
      <c r="OPM29" t="s">
        <v>12824</v>
      </c>
      <c r="OPN29" t="s">
        <v>12825</v>
      </c>
      <c r="OPO29" t="s">
        <v>12826</v>
      </c>
      <c r="OPP29" t="s">
        <v>12827</v>
      </c>
      <c r="OPQ29" t="s">
        <v>12828</v>
      </c>
      <c r="OPR29" t="s">
        <v>12829</v>
      </c>
      <c r="OPS29" t="s">
        <v>12830</v>
      </c>
      <c r="OPT29" t="s">
        <v>12831</v>
      </c>
      <c r="OPU29" t="s">
        <v>12832</v>
      </c>
      <c r="OPV29" t="s">
        <v>12833</v>
      </c>
      <c r="OPW29" t="s">
        <v>12834</v>
      </c>
      <c r="OPX29" t="s">
        <v>12835</v>
      </c>
      <c r="OPY29" t="s">
        <v>12836</v>
      </c>
      <c r="OPZ29" t="s">
        <v>12837</v>
      </c>
      <c r="OQA29" t="s">
        <v>12838</v>
      </c>
      <c r="OQB29" t="s">
        <v>12839</v>
      </c>
      <c r="OQC29" t="s">
        <v>12840</v>
      </c>
      <c r="OQD29" t="s">
        <v>12841</v>
      </c>
      <c r="OQE29" t="s">
        <v>12842</v>
      </c>
      <c r="OQF29" t="s">
        <v>12843</v>
      </c>
      <c r="OQG29" t="s">
        <v>12844</v>
      </c>
      <c r="OQH29" t="s">
        <v>12845</v>
      </c>
      <c r="OQI29" t="s">
        <v>12846</v>
      </c>
      <c r="OQJ29" t="s">
        <v>12847</v>
      </c>
      <c r="OQK29" t="s">
        <v>12848</v>
      </c>
      <c r="OQL29" t="s">
        <v>12849</v>
      </c>
      <c r="OQM29" t="s">
        <v>12850</v>
      </c>
      <c r="OQN29" t="s">
        <v>12851</v>
      </c>
      <c r="OQO29" t="s">
        <v>12852</v>
      </c>
      <c r="OQP29" t="s">
        <v>12853</v>
      </c>
      <c r="OQQ29" t="s">
        <v>12854</v>
      </c>
      <c r="OQR29" t="s">
        <v>12855</v>
      </c>
      <c r="OQS29" t="s">
        <v>12856</v>
      </c>
      <c r="OQT29" t="s">
        <v>12857</v>
      </c>
      <c r="OQU29" t="s">
        <v>12858</v>
      </c>
      <c r="OQV29" t="s">
        <v>12859</v>
      </c>
      <c r="OQW29" t="s">
        <v>12860</v>
      </c>
      <c r="OQX29" t="s">
        <v>12861</v>
      </c>
      <c r="OQY29" t="s">
        <v>12862</v>
      </c>
      <c r="OQZ29" t="s">
        <v>12863</v>
      </c>
      <c r="ORA29" t="s">
        <v>12864</v>
      </c>
      <c r="ORB29" t="s">
        <v>12865</v>
      </c>
      <c r="ORC29" t="s">
        <v>12866</v>
      </c>
      <c r="ORD29" t="s">
        <v>12867</v>
      </c>
      <c r="ORE29" t="s">
        <v>12868</v>
      </c>
      <c r="ORF29" t="s">
        <v>12869</v>
      </c>
      <c r="ORG29" t="s">
        <v>12870</v>
      </c>
      <c r="ORH29" t="s">
        <v>12871</v>
      </c>
      <c r="ORI29" t="s">
        <v>12872</v>
      </c>
      <c r="ORJ29" t="s">
        <v>12873</v>
      </c>
      <c r="ORK29" t="s">
        <v>12874</v>
      </c>
      <c r="ORL29" t="s">
        <v>12875</v>
      </c>
      <c r="ORM29" t="s">
        <v>12876</v>
      </c>
      <c r="ORN29" t="s">
        <v>12877</v>
      </c>
      <c r="ORO29" t="s">
        <v>12878</v>
      </c>
      <c r="ORP29" t="s">
        <v>12879</v>
      </c>
      <c r="ORQ29" t="s">
        <v>12880</v>
      </c>
      <c r="ORR29" t="s">
        <v>12881</v>
      </c>
      <c r="ORS29" t="s">
        <v>12882</v>
      </c>
      <c r="ORT29" t="s">
        <v>12883</v>
      </c>
      <c r="ORU29" t="s">
        <v>12884</v>
      </c>
      <c r="ORV29" t="s">
        <v>12885</v>
      </c>
      <c r="ORW29" t="s">
        <v>12886</v>
      </c>
      <c r="ORX29" t="s">
        <v>12887</v>
      </c>
      <c r="ORY29" t="s">
        <v>12888</v>
      </c>
      <c r="ORZ29" t="s">
        <v>12889</v>
      </c>
      <c r="OSA29" t="s">
        <v>12890</v>
      </c>
      <c r="OSB29" t="s">
        <v>12891</v>
      </c>
      <c r="OSC29" t="s">
        <v>12892</v>
      </c>
      <c r="OSD29" t="s">
        <v>12893</v>
      </c>
      <c r="OSE29" t="s">
        <v>12894</v>
      </c>
      <c r="OSF29" t="s">
        <v>12895</v>
      </c>
      <c r="OSG29" t="s">
        <v>12896</v>
      </c>
      <c r="OSH29" t="s">
        <v>12897</v>
      </c>
      <c r="OSI29" t="s">
        <v>12898</v>
      </c>
      <c r="OSJ29" t="s">
        <v>12899</v>
      </c>
      <c r="OSK29" t="s">
        <v>12900</v>
      </c>
      <c r="OSL29" t="s">
        <v>12901</v>
      </c>
      <c r="OSM29" t="s">
        <v>12902</v>
      </c>
      <c r="OSN29" t="s">
        <v>12903</v>
      </c>
      <c r="OSO29" t="s">
        <v>12904</v>
      </c>
      <c r="OSP29" t="s">
        <v>12905</v>
      </c>
      <c r="OSQ29" t="s">
        <v>12906</v>
      </c>
      <c r="OSR29" t="s">
        <v>12907</v>
      </c>
      <c r="OSS29" t="s">
        <v>12908</v>
      </c>
      <c r="OST29" t="s">
        <v>12909</v>
      </c>
      <c r="OSU29" t="s">
        <v>12910</v>
      </c>
      <c r="OSV29" t="s">
        <v>12911</v>
      </c>
      <c r="OSW29" t="s">
        <v>12912</v>
      </c>
      <c r="OSX29" t="s">
        <v>12913</v>
      </c>
      <c r="OSY29" t="s">
        <v>12914</v>
      </c>
      <c r="OSZ29" t="s">
        <v>12915</v>
      </c>
      <c r="OTA29" t="s">
        <v>12916</v>
      </c>
      <c r="OTB29" t="s">
        <v>12917</v>
      </c>
      <c r="OTC29" t="s">
        <v>12918</v>
      </c>
      <c r="OTD29" t="s">
        <v>12919</v>
      </c>
      <c r="OTE29" t="s">
        <v>12920</v>
      </c>
      <c r="OTF29" t="s">
        <v>12921</v>
      </c>
      <c r="OTG29" t="s">
        <v>12922</v>
      </c>
      <c r="OTH29" t="s">
        <v>12923</v>
      </c>
      <c r="OTI29" t="s">
        <v>12924</v>
      </c>
      <c r="OTJ29" t="s">
        <v>12925</v>
      </c>
      <c r="OTK29" t="s">
        <v>12926</v>
      </c>
      <c r="OTL29" t="s">
        <v>12927</v>
      </c>
      <c r="OTM29" t="s">
        <v>12928</v>
      </c>
      <c r="OTN29" t="s">
        <v>12929</v>
      </c>
      <c r="OTO29" t="s">
        <v>12930</v>
      </c>
      <c r="OTP29" t="s">
        <v>12931</v>
      </c>
      <c r="OTQ29" t="s">
        <v>12932</v>
      </c>
      <c r="OTR29" t="s">
        <v>12933</v>
      </c>
      <c r="OTS29" t="s">
        <v>12934</v>
      </c>
      <c r="OTT29" t="s">
        <v>12935</v>
      </c>
      <c r="OTU29" t="s">
        <v>12936</v>
      </c>
      <c r="OTV29" t="s">
        <v>12937</v>
      </c>
      <c r="OTW29" t="s">
        <v>12938</v>
      </c>
      <c r="OTX29" t="s">
        <v>12939</v>
      </c>
      <c r="OTY29" t="s">
        <v>12940</v>
      </c>
      <c r="OTZ29" t="s">
        <v>12941</v>
      </c>
      <c r="OUA29" t="s">
        <v>12942</v>
      </c>
      <c r="OUB29" t="s">
        <v>12943</v>
      </c>
      <c r="OUC29" t="s">
        <v>12944</v>
      </c>
      <c r="OUD29" t="s">
        <v>12945</v>
      </c>
      <c r="OUE29" t="s">
        <v>12946</v>
      </c>
      <c r="OUF29" t="s">
        <v>12947</v>
      </c>
      <c r="OUG29" t="s">
        <v>12948</v>
      </c>
      <c r="OUH29" t="s">
        <v>12949</v>
      </c>
      <c r="OUI29" t="s">
        <v>12950</v>
      </c>
      <c r="OUJ29" t="s">
        <v>12951</v>
      </c>
      <c r="OUK29" t="s">
        <v>12952</v>
      </c>
      <c r="OUL29" t="s">
        <v>12953</v>
      </c>
      <c r="OUM29" t="s">
        <v>12954</v>
      </c>
      <c r="OUN29" t="s">
        <v>12955</v>
      </c>
      <c r="OUO29" t="s">
        <v>12956</v>
      </c>
      <c r="OUP29" t="s">
        <v>12957</v>
      </c>
      <c r="OUQ29" t="s">
        <v>12958</v>
      </c>
      <c r="OUR29" t="s">
        <v>12959</v>
      </c>
      <c r="OUS29" t="s">
        <v>12960</v>
      </c>
      <c r="OUT29" t="s">
        <v>12961</v>
      </c>
      <c r="OUU29" t="s">
        <v>12962</v>
      </c>
      <c r="OUV29" t="s">
        <v>12963</v>
      </c>
      <c r="OUW29" t="s">
        <v>12964</v>
      </c>
      <c r="OUX29" t="s">
        <v>12965</v>
      </c>
      <c r="OUY29" t="s">
        <v>12966</v>
      </c>
      <c r="OUZ29" t="s">
        <v>12967</v>
      </c>
      <c r="OVA29" t="s">
        <v>12968</v>
      </c>
      <c r="OVB29" t="s">
        <v>12969</v>
      </c>
      <c r="OVC29" t="s">
        <v>12970</v>
      </c>
      <c r="OVD29" t="s">
        <v>12971</v>
      </c>
      <c r="OVE29" t="s">
        <v>12972</v>
      </c>
      <c r="OVF29" t="s">
        <v>12973</v>
      </c>
      <c r="OVG29" t="s">
        <v>12974</v>
      </c>
      <c r="OVH29" t="s">
        <v>12975</v>
      </c>
      <c r="OVI29" t="s">
        <v>12976</v>
      </c>
      <c r="OVJ29" t="s">
        <v>12977</v>
      </c>
      <c r="OVK29" t="s">
        <v>12978</v>
      </c>
      <c r="OVL29" t="s">
        <v>12979</v>
      </c>
      <c r="OVM29" t="s">
        <v>12980</v>
      </c>
      <c r="OVN29" t="s">
        <v>12981</v>
      </c>
      <c r="OVO29" t="s">
        <v>12982</v>
      </c>
      <c r="OVP29" t="s">
        <v>12983</v>
      </c>
      <c r="OVQ29" t="s">
        <v>12984</v>
      </c>
      <c r="OVR29" t="s">
        <v>12985</v>
      </c>
      <c r="OVS29" t="s">
        <v>12986</v>
      </c>
      <c r="OVT29" t="s">
        <v>12987</v>
      </c>
      <c r="OVU29" t="s">
        <v>12988</v>
      </c>
      <c r="OVV29" t="s">
        <v>12989</v>
      </c>
      <c r="OVW29" t="s">
        <v>12990</v>
      </c>
      <c r="OVX29" t="s">
        <v>12991</v>
      </c>
      <c r="OVY29" t="s">
        <v>12992</v>
      </c>
      <c r="OVZ29" t="s">
        <v>12993</v>
      </c>
      <c r="OWA29" t="s">
        <v>12994</v>
      </c>
      <c r="OWB29" t="s">
        <v>12995</v>
      </c>
      <c r="OWC29" t="s">
        <v>12996</v>
      </c>
      <c r="OWD29" t="s">
        <v>12997</v>
      </c>
      <c r="OWE29" t="s">
        <v>12998</v>
      </c>
      <c r="OWF29" t="s">
        <v>12999</v>
      </c>
      <c r="OWG29" t="s">
        <v>13000</v>
      </c>
      <c r="OWH29" t="s">
        <v>13001</v>
      </c>
      <c r="OWI29" t="s">
        <v>13002</v>
      </c>
      <c r="OWJ29" t="s">
        <v>13003</v>
      </c>
      <c r="OWK29" t="s">
        <v>13004</v>
      </c>
      <c r="OWL29" t="s">
        <v>13005</v>
      </c>
      <c r="OWM29" t="s">
        <v>13006</v>
      </c>
      <c r="OWN29" t="s">
        <v>13007</v>
      </c>
      <c r="OWO29" t="s">
        <v>13008</v>
      </c>
      <c r="OWP29" t="s">
        <v>13009</v>
      </c>
      <c r="OWQ29" t="s">
        <v>13010</v>
      </c>
      <c r="OWR29" t="s">
        <v>13011</v>
      </c>
      <c r="OWS29" t="s">
        <v>13012</v>
      </c>
      <c r="OWT29" t="s">
        <v>13013</v>
      </c>
      <c r="OWU29" t="s">
        <v>13014</v>
      </c>
      <c r="OWV29" t="s">
        <v>13015</v>
      </c>
      <c r="OWW29" t="s">
        <v>13016</v>
      </c>
      <c r="OWX29" t="s">
        <v>13017</v>
      </c>
      <c r="OWY29" t="s">
        <v>13018</v>
      </c>
      <c r="OWZ29" t="s">
        <v>13019</v>
      </c>
      <c r="OXA29" t="s">
        <v>13020</v>
      </c>
      <c r="OXB29" t="s">
        <v>13021</v>
      </c>
      <c r="OXC29" t="s">
        <v>13022</v>
      </c>
      <c r="OXD29" t="s">
        <v>13023</v>
      </c>
      <c r="OXE29" t="s">
        <v>13024</v>
      </c>
      <c r="OXF29" t="s">
        <v>13025</v>
      </c>
      <c r="OXG29" t="s">
        <v>13026</v>
      </c>
      <c r="OXH29" t="s">
        <v>13027</v>
      </c>
      <c r="OXI29" t="s">
        <v>13028</v>
      </c>
      <c r="OXJ29" t="s">
        <v>13029</v>
      </c>
      <c r="OXK29" t="s">
        <v>13030</v>
      </c>
      <c r="OXL29" t="s">
        <v>13031</v>
      </c>
      <c r="OXM29" t="s">
        <v>13032</v>
      </c>
      <c r="OXN29" t="s">
        <v>13033</v>
      </c>
      <c r="OXO29" t="s">
        <v>13034</v>
      </c>
      <c r="OXP29" t="s">
        <v>13035</v>
      </c>
      <c r="OXQ29" t="s">
        <v>13036</v>
      </c>
      <c r="OXR29" t="s">
        <v>13037</v>
      </c>
      <c r="OXS29" t="s">
        <v>13038</v>
      </c>
      <c r="OXT29" t="s">
        <v>13039</v>
      </c>
      <c r="OXU29" t="s">
        <v>13040</v>
      </c>
      <c r="OXV29" t="s">
        <v>13041</v>
      </c>
      <c r="OXW29" t="s">
        <v>13042</v>
      </c>
      <c r="OXX29" t="s">
        <v>13043</v>
      </c>
      <c r="OXY29" t="s">
        <v>13044</v>
      </c>
      <c r="OXZ29" t="s">
        <v>13045</v>
      </c>
      <c r="OYA29" t="s">
        <v>13046</v>
      </c>
      <c r="OYB29" t="s">
        <v>13047</v>
      </c>
      <c r="OYC29" t="s">
        <v>13048</v>
      </c>
      <c r="OYD29" t="s">
        <v>13049</v>
      </c>
      <c r="OYE29" t="s">
        <v>13050</v>
      </c>
      <c r="OYF29" t="s">
        <v>13051</v>
      </c>
      <c r="OYG29" t="s">
        <v>13052</v>
      </c>
      <c r="OYH29" t="s">
        <v>13053</v>
      </c>
      <c r="OYI29" t="s">
        <v>13054</v>
      </c>
      <c r="OYJ29" t="s">
        <v>13055</v>
      </c>
      <c r="OYK29" t="s">
        <v>13056</v>
      </c>
      <c r="OYL29" t="s">
        <v>13057</v>
      </c>
      <c r="OYM29" t="s">
        <v>13058</v>
      </c>
      <c r="OYN29" t="s">
        <v>13059</v>
      </c>
      <c r="OYO29" t="s">
        <v>13060</v>
      </c>
      <c r="OYP29" t="s">
        <v>13061</v>
      </c>
      <c r="OYQ29" t="s">
        <v>13062</v>
      </c>
      <c r="OYR29" t="s">
        <v>13063</v>
      </c>
      <c r="OYS29" t="s">
        <v>13064</v>
      </c>
      <c r="OYT29" t="s">
        <v>13065</v>
      </c>
      <c r="OYU29" t="s">
        <v>13066</v>
      </c>
      <c r="OYV29" t="s">
        <v>13067</v>
      </c>
      <c r="OYW29" t="s">
        <v>13068</v>
      </c>
      <c r="OYX29" t="s">
        <v>13069</v>
      </c>
      <c r="OYY29" t="s">
        <v>13070</v>
      </c>
      <c r="OYZ29" t="s">
        <v>13071</v>
      </c>
      <c r="OZA29" t="s">
        <v>13072</v>
      </c>
      <c r="OZB29" t="s">
        <v>13073</v>
      </c>
      <c r="OZC29" t="s">
        <v>13074</v>
      </c>
      <c r="OZD29" t="s">
        <v>13075</v>
      </c>
      <c r="OZE29" t="s">
        <v>13076</v>
      </c>
      <c r="OZF29" t="s">
        <v>13077</v>
      </c>
      <c r="OZG29" t="s">
        <v>13078</v>
      </c>
      <c r="OZH29" t="s">
        <v>13079</v>
      </c>
      <c r="OZI29" t="s">
        <v>13080</v>
      </c>
      <c r="OZJ29" t="s">
        <v>13081</v>
      </c>
      <c r="OZK29" t="s">
        <v>13082</v>
      </c>
      <c r="OZL29" t="s">
        <v>13083</v>
      </c>
      <c r="OZM29" t="s">
        <v>13084</v>
      </c>
      <c r="OZN29" t="s">
        <v>13085</v>
      </c>
      <c r="OZO29" t="s">
        <v>13086</v>
      </c>
      <c r="OZP29" t="s">
        <v>13087</v>
      </c>
      <c r="OZQ29" t="s">
        <v>13088</v>
      </c>
      <c r="OZR29" t="s">
        <v>13089</v>
      </c>
      <c r="OZS29" t="s">
        <v>13090</v>
      </c>
      <c r="OZT29" t="s">
        <v>13091</v>
      </c>
      <c r="OZU29" t="s">
        <v>13092</v>
      </c>
      <c r="OZV29" t="s">
        <v>13093</v>
      </c>
      <c r="OZW29" t="s">
        <v>13094</v>
      </c>
      <c r="OZX29" t="s">
        <v>13095</v>
      </c>
      <c r="OZY29" t="s">
        <v>13096</v>
      </c>
      <c r="OZZ29" t="s">
        <v>13097</v>
      </c>
      <c r="PAA29" t="s">
        <v>13098</v>
      </c>
      <c r="PAB29" t="s">
        <v>13099</v>
      </c>
      <c r="PAC29" t="s">
        <v>13100</v>
      </c>
      <c r="PAD29" t="s">
        <v>13101</v>
      </c>
      <c r="PAE29" t="s">
        <v>13102</v>
      </c>
      <c r="PAF29" t="s">
        <v>13103</v>
      </c>
      <c r="PAG29" t="s">
        <v>13104</v>
      </c>
      <c r="PAH29" t="s">
        <v>13105</v>
      </c>
      <c r="PAI29" t="s">
        <v>13106</v>
      </c>
      <c r="PAJ29" t="s">
        <v>13107</v>
      </c>
      <c r="PAK29" t="s">
        <v>13108</v>
      </c>
      <c r="PAL29" t="s">
        <v>13109</v>
      </c>
      <c r="PAM29" t="s">
        <v>13110</v>
      </c>
      <c r="PAN29" t="s">
        <v>13111</v>
      </c>
      <c r="PAO29" t="s">
        <v>13112</v>
      </c>
      <c r="PAP29" t="s">
        <v>13113</v>
      </c>
      <c r="PAQ29" t="s">
        <v>13114</v>
      </c>
      <c r="PAR29" t="s">
        <v>13115</v>
      </c>
      <c r="PAS29" t="s">
        <v>13116</v>
      </c>
      <c r="PAT29" t="s">
        <v>13117</v>
      </c>
      <c r="PAU29" t="s">
        <v>13118</v>
      </c>
      <c r="PAV29" t="s">
        <v>13119</v>
      </c>
      <c r="PAW29" t="s">
        <v>13120</v>
      </c>
      <c r="PAX29" t="s">
        <v>13121</v>
      </c>
      <c r="PAY29" t="s">
        <v>13122</v>
      </c>
      <c r="PAZ29" t="s">
        <v>13123</v>
      </c>
      <c r="PBA29" t="s">
        <v>13124</v>
      </c>
      <c r="PBB29" t="s">
        <v>13125</v>
      </c>
      <c r="PBC29" t="s">
        <v>13126</v>
      </c>
      <c r="PBD29" t="s">
        <v>13127</v>
      </c>
      <c r="PBE29" t="s">
        <v>13128</v>
      </c>
      <c r="PBF29" t="s">
        <v>13129</v>
      </c>
      <c r="PBG29" t="s">
        <v>13130</v>
      </c>
      <c r="PBH29" t="s">
        <v>13131</v>
      </c>
      <c r="PBI29" t="s">
        <v>13132</v>
      </c>
      <c r="PBJ29" t="s">
        <v>13133</v>
      </c>
      <c r="PBK29" t="s">
        <v>13134</v>
      </c>
      <c r="PBL29" t="s">
        <v>13135</v>
      </c>
      <c r="PBM29" t="s">
        <v>13136</v>
      </c>
      <c r="PBN29" t="s">
        <v>13137</v>
      </c>
      <c r="PBO29" t="s">
        <v>13138</v>
      </c>
      <c r="PBP29" t="s">
        <v>13139</v>
      </c>
      <c r="PBQ29" t="s">
        <v>13140</v>
      </c>
      <c r="PBR29" t="s">
        <v>13141</v>
      </c>
      <c r="PBS29" t="s">
        <v>13142</v>
      </c>
      <c r="PBT29" t="s">
        <v>13143</v>
      </c>
      <c r="PBU29" t="s">
        <v>13144</v>
      </c>
      <c r="PBV29" t="s">
        <v>13145</v>
      </c>
      <c r="PBW29" t="s">
        <v>13146</v>
      </c>
      <c r="PBX29" t="s">
        <v>13147</v>
      </c>
      <c r="PBY29" t="s">
        <v>13148</v>
      </c>
      <c r="PBZ29" t="s">
        <v>13149</v>
      </c>
      <c r="PCA29" t="s">
        <v>13150</v>
      </c>
      <c r="PCB29" t="s">
        <v>13151</v>
      </c>
      <c r="PCC29" t="s">
        <v>13152</v>
      </c>
      <c r="PCD29" t="s">
        <v>13153</v>
      </c>
      <c r="PCE29" t="s">
        <v>13154</v>
      </c>
      <c r="PCF29" t="s">
        <v>13155</v>
      </c>
      <c r="PCG29" t="s">
        <v>13156</v>
      </c>
      <c r="PCH29" t="s">
        <v>13157</v>
      </c>
      <c r="PCI29" t="s">
        <v>13158</v>
      </c>
      <c r="PCJ29" t="s">
        <v>13159</v>
      </c>
      <c r="PCK29" t="s">
        <v>13160</v>
      </c>
      <c r="PCL29" t="s">
        <v>13161</v>
      </c>
      <c r="PCM29" t="s">
        <v>13162</v>
      </c>
      <c r="PCN29" t="s">
        <v>13163</v>
      </c>
      <c r="PCO29" t="s">
        <v>13164</v>
      </c>
      <c r="PCP29" t="s">
        <v>13165</v>
      </c>
      <c r="PCQ29" t="s">
        <v>13166</v>
      </c>
      <c r="PCR29" t="s">
        <v>13167</v>
      </c>
      <c r="PCS29" t="s">
        <v>13168</v>
      </c>
      <c r="PCT29" t="s">
        <v>13169</v>
      </c>
      <c r="PCU29" t="s">
        <v>13170</v>
      </c>
      <c r="PCV29" t="s">
        <v>13171</v>
      </c>
      <c r="PCW29" t="s">
        <v>13172</v>
      </c>
      <c r="PCX29" t="s">
        <v>13173</v>
      </c>
      <c r="PCY29" t="s">
        <v>13174</v>
      </c>
      <c r="PCZ29" t="s">
        <v>13175</v>
      </c>
      <c r="PDA29" t="s">
        <v>13176</v>
      </c>
      <c r="PDB29" t="s">
        <v>13177</v>
      </c>
      <c r="PDC29" t="s">
        <v>13178</v>
      </c>
      <c r="PDD29" t="s">
        <v>13179</v>
      </c>
      <c r="PDE29" t="s">
        <v>13180</v>
      </c>
      <c r="PDF29" t="s">
        <v>13181</v>
      </c>
      <c r="PDG29" t="s">
        <v>13182</v>
      </c>
      <c r="PDH29" t="s">
        <v>13183</v>
      </c>
      <c r="PDI29" t="s">
        <v>13184</v>
      </c>
      <c r="PDJ29" t="s">
        <v>13185</v>
      </c>
      <c r="PDK29" t="s">
        <v>13186</v>
      </c>
      <c r="PDL29" t="s">
        <v>13187</v>
      </c>
      <c r="PDM29" t="s">
        <v>13188</v>
      </c>
      <c r="PDN29" t="s">
        <v>13189</v>
      </c>
      <c r="PDO29" t="s">
        <v>13190</v>
      </c>
      <c r="PDP29" t="s">
        <v>13191</v>
      </c>
      <c r="PDQ29" t="s">
        <v>13192</v>
      </c>
      <c r="PDR29" t="s">
        <v>13193</v>
      </c>
      <c r="PDS29" t="s">
        <v>13194</v>
      </c>
      <c r="PDT29" t="s">
        <v>13195</v>
      </c>
      <c r="PDU29" t="s">
        <v>13196</v>
      </c>
      <c r="PDV29" t="s">
        <v>13197</v>
      </c>
      <c r="PDW29" t="s">
        <v>13198</v>
      </c>
      <c r="PDX29" t="s">
        <v>13199</v>
      </c>
      <c r="PDY29" t="s">
        <v>13200</v>
      </c>
      <c r="PDZ29" t="s">
        <v>13201</v>
      </c>
      <c r="PEA29" t="s">
        <v>13202</v>
      </c>
      <c r="PEB29" t="s">
        <v>13203</v>
      </c>
      <c r="PEC29" t="s">
        <v>13204</v>
      </c>
      <c r="PED29" t="s">
        <v>13205</v>
      </c>
      <c r="PEE29" t="s">
        <v>13206</v>
      </c>
      <c r="PEF29" t="s">
        <v>13207</v>
      </c>
      <c r="PEG29" t="s">
        <v>13208</v>
      </c>
      <c r="PEH29" t="s">
        <v>13209</v>
      </c>
      <c r="PEI29" t="s">
        <v>13210</v>
      </c>
      <c r="PEJ29" t="s">
        <v>13211</v>
      </c>
      <c r="PEK29" t="s">
        <v>13212</v>
      </c>
      <c r="PEL29" t="s">
        <v>13213</v>
      </c>
      <c r="PEM29" t="s">
        <v>13214</v>
      </c>
      <c r="PEN29" t="s">
        <v>13215</v>
      </c>
      <c r="PEO29" t="s">
        <v>13216</v>
      </c>
      <c r="PEP29" t="s">
        <v>13217</v>
      </c>
      <c r="PEQ29" t="s">
        <v>13218</v>
      </c>
      <c r="PER29" t="s">
        <v>13219</v>
      </c>
      <c r="PES29" t="s">
        <v>13220</v>
      </c>
      <c r="PET29" t="s">
        <v>13221</v>
      </c>
      <c r="PEU29" t="s">
        <v>13222</v>
      </c>
      <c r="PEV29" t="s">
        <v>13223</v>
      </c>
      <c r="PEW29" t="s">
        <v>13224</v>
      </c>
      <c r="PEX29" t="s">
        <v>13225</v>
      </c>
      <c r="PEY29" t="s">
        <v>13226</v>
      </c>
      <c r="PEZ29" t="s">
        <v>13227</v>
      </c>
      <c r="PFA29" t="s">
        <v>13228</v>
      </c>
      <c r="PFB29" t="s">
        <v>13229</v>
      </c>
      <c r="PFC29" t="s">
        <v>13230</v>
      </c>
      <c r="PFD29" t="s">
        <v>13231</v>
      </c>
      <c r="PFE29" t="s">
        <v>13232</v>
      </c>
      <c r="PFF29" t="s">
        <v>13233</v>
      </c>
      <c r="PFG29" t="s">
        <v>13234</v>
      </c>
      <c r="PFH29" t="s">
        <v>13235</v>
      </c>
      <c r="PFI29" t="s">
        <v>13236</v>
      </c>
      <c r="PFJ29" t="s">
        <v>13237</v>
      </c>
      <c r="PFK29" t="s">
        <v>13238</v>
      </c>
      <c r="PFL29" t="s">
        <v>13239</v>
      </c>
      <c r="PFM29" t="s">
        <v>13240</v>
      </c>
      <c r="PFN29" t="s">
        <v>13241</v>
      </c>
      <c r="PFO29" t="s">
        <v>13242</v>
      </c>
      <c r="PFP29" t="s">
        <v>13243</v>
      </c>
      <c r="PFQ29" t="s">
        <v>13244</v>
      </c>
      <c r="PFR29" t="s">
        <v>13245</v>
      </c>
      <c r="PFS29" t="s">
        <v>13246</v>
      </c>
      <c r="PFT29" t="s">
        <v>13247</v>
      </c>
      <c r="PFU29" t="s">
        <v>13248</v>
      </c>
      <c r="PFV29" t="s">
        <v>13249</v>
      </c>
      <c r="PFW29" t="s">
        <v>13250</v>
      </c>
      <c r="PFX29" t="s">
        <v>13251</v>
      </c>
      <c r="PFY29" t="s">
        <v>13252</v>
      </c>
      <c r="PFZ29" t="s">
        <v>13253</v>
      </c>
      <c r="PGA29" t="s">
        <v>13254</v>
      </c>
      <c r="PGB29" t="s">
        <v>13255</v>
      </c>
      <c r="PGC29" t="s">
        <v>13256</v>
      </c>
      <c r="PGD29" t="s">
        <v>13257</v>
      </c>
      <c r="PGE29" t="s">
        <v>13258</v>
      </c>
      <c r="PGF29" t="s">
        <v>13259</v>
      </c>
      <c r="PGG29" t="s">
        <v>13260</v>
      </c>
      <c r="PGH29" t="s">
        <v>13261</v>
      </c>
      <c r="PGI29" t="s">
        <v>13262</v>
      </c>
      <c r="PGJ29" t="s">
        <v>13263</v>
      </c>
      <c r="PGK29" t="s">
        <v>13264</v>
      </c>
      <c r="PGL29" t="s">
        <v>13265</v>
      </c>
      <c r="PGM29" t="s">
        <v>13266</v>
      </c>
      <c r="PGN29" t="s">
        <v>13267</v>
      </c>
      <c r="PGO29" t="s">
        <v>13268</v>
      </c>
      <c r="PGP29" t="s">
        <v>13269</v>
      </c>
      <c r="PGQ29" t="s">
        <v>13270</v>
      </c>
      <c r="PGR29" t="s">
        <v>13271</v>
      </c>
      <c r="PGS29" t="s">
        <v>13272</v>
      </c>
      <c r="PGT29" t="s">
        <v>13273</v>
      </c>
      <c r="PGU29" t="s">
        <v>13274</v>
      </c>
      <c r="PGV29" t="s">
        <v>13275</v>
      </c>
      <c r="PGW29" t="s">
        <v>13276</v>
      </c>
      <c r="PGX29" t="s">
        <v>13277</v>
      </c>
      <c r="PGY29" t="s">
        <v>13278</v>
      </c>
      <c r="PGZ29" t="s">
        <v>13279</v>
      </c>
      <c r="PHA29" t="s">
        <v>13280</v>
      </c>
      <c r="PHB29" t="s">
        <v>13281</v>
      </c>
      <c r="PHC29" t="s">
        <v>13282</v>
      </c>
      <c r="PHD29" t="s">
        <v>13283</v>
      </c>
      <c r="PHE29" t="s">
        <v>13284</v>
      </c>
      <c r="PHF29" t="s">
        <v>13285</v>
      </c>
      <c r="PHG29" t="s">
        <v>13286</v>
      </c>
      <c r="PHH29" t="s">
        <v>13287</v>
      </c>
      <c r="PHI29" t="s">
        <v>13288</v>
      </c>
      <c r="PHJ29" t="s">
        <v>13289</v>
      </c>
      <c r="PHK29" t="s">
        <v>13290</v>
      </c>
      <c r="PHL29" t="s">
        <v>13291</v>
      </c>
      <c r="PHM29" t="s">
        <v>13292</v>
      </c>
      <c r="PHN29" t="s">
        <v>13293</v>
      </c>
      <c r="PHO29" t="s">
        <v>13294</v>
      </c>
      <c r="PHP29" t="s">
        <v>13295</v>
      </c>
      <c r="PHQ29" t="s">
        <v>13296</v>
      </c>
      <c r="PHR29" t="s">
        <v>13297</v>
      </c>
      <c r="PHS29" t="s">
        <v>13298</v>
      </c>
      <c r="PHT29" t="s">
        <v>13299</v>
      </c>
      <c r="PHU29" t="s">
        <v>13300</v>
      </c>
      <c r="PHV29" t="s">
        <v>13301</v>
      </c>
      <c r="PHW29" t="s">
        <v>13302</v>
      </c>
      <c r="PHX29" t="s">
        <v>13303</v>
      </c>
      <c r="PHY29" t="s">
        <v>13304</v>
      </c>
      <c r="PHZ29" t="s">
        <v>13305</v>
      </c>
      <c r="PIA29" t="s">
        <v>13306</v>
      </c>
      <c r="PIB29" t="s">
        <v>13307</v>
      </c>
      <c r="PIC29" t="s">
        <v>13308</v>
      </c>
      <c r="PID29" t="s">
        <v>13309</v>
      </c>
      <c r="PIE29" t="s">
        <v>13310</v>
      </c>
      <c r="PIF29" t="s">
        <v>13311</v>
      </c>
      <c r="PIG29" t="s">
        <v>13312</v>
      </c>
      <c r="PIH29" t="s">
        <v>13313</v>
      </c>
      <c r="PII29" t="s">
        <v>13314</v>
      </c>
      <c r="PIJ29" t="s">
        <v>13315</v>
      </c>
      <c r="PIK29" t="s">
        <v>13316</v>
      </c>
      <c r="PIL29" t="s">
        <v>13317</v>
      </c>
      <c r="PIM29" t="s">
        <v>13318</v>
      </c>
      <c r="PIN29" t="s">
        <v>13319</v>
      </c>
      <c r="PIO29" t="s">
        <v>13320</v>
      </c>
      <c r="PIP29" t="s">
        <v>13321</v>
      </c>
      <c r="PIQ29" t="s">
        <v>13322</v>
      </c>
      <c r="PIR29" t="s">
        <v>13323</v>
      </c>
      <c r="PIS29" t="s">
        <v>13324</v>
      </c>
      <c r="PIT29" t="s">
        <v>13325</v>
      </c>
      <c r="PIU29" t="s">
        <v>13326</v>
      </c>
      <c r="PIV29" t="s">
        <v>13327</v>
      </c>
      <c r="PIW29" t="s">
        <v>13328</v>
      </c>
      <c r="PIX29" t="s">
        <v>13329</v>
      </c>
      <c r="PIY29" t="s">
        <v>13330</v>
      </c>
      <c r="PIZ29" t="s">
        <v>13331</v>
      </c>
      <c r="PJA29" t="s">
        <v>13332</v>
      </c>
      <c r="PJB29" t="s">
        <v>13333</v>
      </c>
      <c r="PJC29" t="s">
        <v>13334</v>
      </c>
      <c r="PJD29" t="s">
        <v>13335</v>
      </c>
      <c r="PJE29" t="s">
        <v>13336</v>
      </c>
      <c r="PJF29" t="s">
        <v>13337</v>
      </c>
      <c r="PJG29" t="s">
        <v>13338</v>
      </c>
      <c r="PJH29" t="s">
        <v>13339</v>
      </c>
      <c r="PJI29" t="s">
        <v>13340</v>
      </c>
      <c r="PJJ29" t="s">
        <v>13341</v>
      </c>
      <c r="PJK29" t="s">
        <v>13342</v>
      </c>
      <c r="PJL29" t="s">
        <v>13343</v>
      </c>
      <c r="PJM29" t="s">
        <v>13344</v>
      </c>
      <c r="PJN29" t="s">
        <v>13345</v>
      </c>
      <c r="PJO29" t="s">
        <v>13346</v>
      </c>
      <c r="PJP29" t="s">
        <v>13347</v>
      </c>
      <c r="PJQ29" t="s">
        <v>13348</v>
      </c>
      <c r="PJR29" t="s">
        <v>13349</v>
      </c>
      <c r="PJS29" t="s">
        <v>13350</v>
      </c>
      <c r="PJT29" t="s">
        <v>13351</v>
      </c>
      <c r="PJU29" t="s">
        <v>13352</v>
      </c>
      <c r="PJV29" t="s">
        <v>13353</v>
      </c>
      <c r="PJW29" t="s">
        <v>13354</v>
      </c>
      <c r="PJX29" t="s">
        <v>13355</v>
      </c>
      <c r="PJY29" t="s">
        <v>13356</v>
      </c>
      <c r="PJZ29" t="s">
        <v>13357</v>
      </c>
      <c r="PKA29" t="s">
        <v>13358</v>
      </c>
      <c r="PKB29" t="s">
        <v>13359</v>
      </c>
      <c r="PKC29" t="s">
        <v>13360</v>
      </c>
      <c r="PKD29" t="s">
        <v>13361</v>
      </c>
      <c r="PKE29" t="s">
        <v>13362</v>
      </c>
      <c r="PKF29" t="s">
        <v>13363</v>
      </c>
      <c r="PKG29" t="s">
        <v>13364</v>
      </c>
      <c r="PKH29" t="s">
        <v>13365</v>
      </c>
      <c r="PKI29" t="s">
        <v>13366</v>
      </c>
      <c r="PKJ29" t="s">
        <v>13367</v>
      </c>
      <c r="PKK29" t="s">
        <v>13368</v>
      </c>
      <c r="PKL29" t="s">
        <v>13369</v>
      </c>
      <c r="PKM29" t="s">
        <v>13370</v>
      </c>
      <c r="PKN29" t="s">
        <v>13371</v>
      </c>
      <c r="PKO29" t="s">
        <v>13372</v>
      </c>
      <c r="PKP29" t="s">
        <v>13373</v>
      </c>
      <c r="PKQ29" t="s">
        <v>13374</v>
      </c>
      <c r="PKR29" t="s">
        <v>13375</v>
      </c>
      <c r="PKS29" t="s">
        <v>13376</v>
      </c>
      <c r="PKT29" t="s">
        <v>13377</v>
      </c>
      <c r="PKU29" t="s">
        <v>13378</v>
      </c>
      <c r="PKV29" t="s">
        <v>13379</v>
      </c>
      <c r="PKW29" t="s">
        <v>13380</v>
      </c>
      <c r="PKX29" t="s">
        <v>13381</v>
      </c>
      <c r="PKY29" t="s">
        <v>13382</v>
      </c>
      <c r="PKZ29" t="s">
        <v>13383</v>
      </c>
      <c r="PLA29" t="s">
        <v>13384</v>
      </c>
      <c r="PLB29" t="s">
        <v>13385</v>
      </c>
      <c r="PLC29" t="s">
        <v>13386</v>
      </c>
      <c r="PLD29" t="s">
        <v>13387</v>
      </c>
      <c r="PLE29" t="s">
        <v>13388</v>
      </c>
      <c r="PLF29" t="s">
        <v>13389</v>
      </c>
      <c r="PLG29" t="s">
        <v>13390</v>
      </c>
      <c r="PLH29" t="s">
        <v>13391</v>
      </c>
      <c r="PLI29" t="s">
        <v>13392</v>
      </c>
      <c r="PLJ29" t="s">
        <v>13393</v>
      </c>
      <c r="PLK29" t="s">
        <v>13394</v>
      </c>
      <c r="PLL29" t="s">
        <v>13395</v>
      </c>
      <c r="PLM29" t="s">
        <v>13396</v>
      </c>
      <c r="PLN29" t="s">
        <v>13397</v>
      </c>
      <c r="PLO29" t="s">
        <v>13398</v>
      </c>
      <c r="PLP29" t="s">
        <v>13399</v>
      </c>
      <c r="PLQ29" t="s">
        <v>13400</v>
      </c>
      <c r="PLR29" t="s">
        <v>13401</v>
      </c>
      <c r="PLS29" t="s">
        <v>13402</v>
      </c>
      <c r="PLT29" t="s">
        <v>13403</v>
      </c>
      <c r="PLU29" t="s">
        <v>13404</v>
      </c>
      <c r="PLV29" t="s">
        <v>13405</v>
      </c>
      <c r="PLW29" t="s">
        <v>13406</v>
      </c>
      <c r="PLX29" t="s">
        <v>13407</v>
      </c>
      <c r="PLY29" t="s">
        <v>13408</v>
      </c>
      <c r="PLZ29" t="s">
        <v>13409</v>
      </c>
      <c r="PMA29" t="s">
        <v>13410</v>
      </c>
      <c r="PMB29" t="s">
        <v>13411</v>
      </c>
      <c r="PMC29" t="s">
        <v>13412</v>
      </c>
      <c r="PMD29" t="s">
        <v>13413</v>
      </c>
      <c r="PME29" t="s">
        <v>13414</v>
      </c>
      <c r="PMF29" t="s">
        <v>13415</v>
      </c>
      <c r="PMG29" t="s">
        <v>13416</v>
      </c>
      <c r="PMH29" t="s">
        <v>13417</v>
      </c>
      <c r="PMI29" t="s">
        <v>13418</v>
      </c>
      <c r="PMJ29" t="s">
        <v>13419</v>
      </c>
      <c r="PMK29" t="s">
        <v>13420</v>
      </c>
      <c r="PML29" t="s">
        <v>13421</v>
      </c>
      <c r="PMM29" t="s">
        <v>13422</v>
      </c>
      <c r="PMN29" t="s">
        <v>13423</v>
      </c>
      <c r="PMO29" t="s">
        <v>13424</v>
      </c>
      <c r="PMP29" t="s">
        <v>13425</v>
      </c>
      <c r="PMQ29" t="s">
        <v>13426</v>
      </c>
      <c r="PMR29" t="s">
        <v>13427</v>
      </c>
      <c r="PMS29" t="s">
        <v>13428</v>
      </c>
      <c r="PMT29" t="s">
        <v>13429</v>
      </c>
      <c r="PMU29" t="s">
        <v>13430</v>
      </c>
      <c r="PMV29" t="s">
        <v>13431</v>
      </c>
      <c r="PMW29" t="s">
        <v>13432</v>
      </c>
      <c r="PMX29" t="s">
        <v>13433</v>
      </c>
      <c r="PMY29" t="s">
        <v>13434</v>
      </c>
      <c r="PMZ29" t="s">
        <v>13435</v>
      </c>
      <c r="PNA29" t="s">
        <v>13436</v>
      </c>
      <c r="PNB29" t="s">
        <v>13437</v>
      </c>
      <c r="PNC29" t="s">
        <v>13438</v>
      </c>
      <c r="PND29" t="s">
        <v>13439</v>
      </c>
      <c r="PNE29" t="s">
        <v>13440</v>
      </c>
      <c r="PNF29" t="s">
        <v>13441</v>
      </c>
      <c r="PNG29" t="s">
        <v>13442</v>
      </c>
      <c r="PNH29" t="s">
        <v>13443</v>
      </c>
      <c r="PNI29" t="s">
        <v>13444</v>
      </c>
      <c r="PNJ29" t="s">
        <v>13445</v>
      </c>
      <c r="PNK29" t="s">
        <v>13446</v>
      </c>
      <c r="PNL29" t="s">
        <v>13447</v>
      </c>
      <c r="PNM29" t="s">
        <v>13448</v>
      </c>
      <c r="PNN29" t="s">
        <v>13449</v>
      </c>
      <c r="PNO29" t="s">
        <v>13450</v>
      </c>
      <c r="PNP29" t="s">
        <v>13451</v>
      </c>
      <c r="PNQ29" t="s">
        <v>13452</v>
      </c>
      <c r="PNR29" t="s">
        <v>13453</v>
      </c>
      <c r="PNS29" t="s">
        <v>13454</v>
      </c>
      <c r="PNT29" t="s">
        <v>13455</v>
      </c>
      <c r="PNU29" t="s">
        <v>13456</v>
      </c>
      <c r="PNV29" t="s">
        <v>13457</v>
      </c>
      <c r="PNW29" t="s">
        <v>13458</v>
      </c>
      <c r="PNX29" t="s">
        <v>13459</v>
      </c>
      <c r="PNY29" t="s">
        <v>13460</v>
      </c>
      <c r="PNZ29" t="s">
        <v>13461</v>
      </c>
      <c r="POA29" t="s">
        <v>13462</v>
      </c>
      <c r="POB29" t="s">
        <v>13463</v>
      </c>
      <c r="POC29" t="s">
        <v>13464</v>
      </c>
      <c r="POD29" t="s">
        <v>13465</v>
      </c>
      <c r="POE29" t="s">
        <v>13466</v>
      </c>
      <c r="POF29" t="s">
        <v>13467</v>
      </c>
      <c r="POG29" t="s">
        <v>13468</v>
      </c>
      <c r="POH29" t="s">
        <v>13469</v>
      </c>
      <c r="POI29" t="s">
        <v>13470</v>
      </c>
      <c r="POJ29" t="s">
        <v>13471</v>
      </c>
      <c r="POK29" t="s">
        <v>13472</v>
      </c>
      <c r="POL29" t="s">
        <v>13473</v>
      </c>
      <c r="POM29" t="s">
        <v>13474</v>
      </c>
      <c r="PON29" t="s">
        <v>13475</v>
      </c>
      <c r="POO29" t="s">
        <v>13476</v>
      </c>
      <c r="POP29" t="s">
        <v>13477</v>
      </c>
      <c r="POQ29" t="s">
        <v>13478</v>
      </c>
      <c r="POR29" t="s">
        <v>13479</v>
      </c>
      <c r="POS29" t="s">
        <v>13480</v>
      </c>
      <c r="POT29" t="s">
        <v>13481</v>
      </c>
      <c r="POU29" t="s">
        <v>13482</v>
      </c>
      <c r="POV29" t="s">
        <v>13483</v>
      </c>
      <c r="POW29" t="s">
        <v>13484</v>
      </c>
      <c r="POX29" t="s">
        <v>13485</v>
      </c>
      <c r="POY29" t="s">
        <v>13486</v>
      </c>
      <c r="POZ29" t="s">
        <v>13487</v>
      </c>
      <c r="PPA29" t="s">
        <v>13488</v>
      </c>
      <c r="PPB29" t="s">
        <v>13489</v>
      </c>
      <c r="PPC29" t="s">
        <v>13490</v>
      </c>
      <c r="PPD29" t="s">
        <v>13491</v>
      </c>
      <c r="PPE29" t="s">
        <v>13492</v>
      </c>
      <c r="PPF29" t="s">
        <v>13493</v>
      </c>
      <c r="PPG29" t="s">
        <v>13494</v>
      </c>
      <c r="PPH29" t="s">
        <v>13495</v>
      </c>
      <c r="PPI29" t="s">
        <v>13496</v>
      </c>
      <c r="PPJ29" t="s">
        <v>13497</v>
      </c>
      <c r="PPK29" t="s">
        <v>13498</v>
      </c>
      <c r="PPL29" t="s">
        <v>13499</v>
      </c>
      <c r="PPM29" t="s">
        <v>13500</v>
      </c>
      <c r="PPN29" t="s">
        <v>13501</v>
      </c>
      <c r="PPO29" t="s">
        <v>13502</v>
      </c>
      <c r="PPP29" t="s">
        <v>13503</v>
      </c>
      <c r="PPQ29" t="s">
        <v>13504</v>
      </c>
      <c r="PPR29" t="s">
        <v>13505</v>
      </c>
      <c r="PPS29" t="s">
        <v>13506</v>
      </c>
      <c r="PPT29" t="s">
        <v>13507</v>
      </c>
      <c r="PPU29" t="s">
        <v>13508</v>
      </c>
      <c r="PPV29" t="s">
        <v>13509</v>
      </c>
      <c r="PPW29" t="s">
        <v>13510</v>
      </c>
      <c r="PPX29" t="s">
        <v>13511</v>
      </c>
      <c r="PPY29" t="s">
        <v>13512</v>
      </c>
      <c r="PPZ29" t="s">
        <v>13513</v>
      </c>
      <c r="PQA29" t="s">
        <v>13514</v>
      </c>
      <c r="PQB29" t="s">
        <v>13515</v>
      </c>
      <c r="PQC29" t="s">
        <v>13516</v>
      </c>
      <c r="PQD29" t="s">
        <v>13517</v>
      </c>
      <c r="PQE29" t="s">
        <v>13518</v>
      </c>
      <c r="PQF29" t="s">
        <v>13519</v>
      </c>
      <c r="PQG29" t="s">
        <v>13520</v>
      </c>
      <c r="PQH29" t="s">
        <v>13521</v>
      </c>
      <c r="PQI29" t="s">
        <v>13522</v>
      </c>
      <c r="PQJ29" t="s">
        <v>13523</v>
      </c>
      <c r="PQK29" t="s">
        <v>13524</v>
      </c>
      <c r="PQL29" t="s">
        <v>13525</v>
      </c>
      <c r="PQM29" t="s">
        <v>13526</v>
      </c>
      <c r="PQN29" t="s">
        <v>13527</v>
      </c>
      <c r="PQO29" t="s">
        <v>13528</v>
      </c>
      <c r="PQP29" t="s">
        <v>13529</v>
      </c>
      <c r="PQQ29" t="s">
        <v>13530</v>
      </c>
      <c r="PQR29" t="s">
        <v>13531</v>
      </c>
      <c r="PQS29" t="s">
        <v>13532</v>
      </c>
      <c r="PQT29" t="s">
        <v>13533</v>
      </c>
      <c r="PQU29" t="s">
        <v>13534</v>
      </c>
      <c r="PQV29" t="s">
        <v>13535</v>
      </c>
      <c r="PQW29" t="s">
        <v>13536</v>
      </c>
      <c r="PQX29" t="s">
        <v>13537</v>
      </c>
      <c r="PQY29" t="s">
        <v>13538</v>
      </c>
      <c r="PQZ29" t="s">
        <v>13539</v>
      </c>
      <c r="PRA29" t="s">
        <v>13540</v>
      </c>
      <c r="PRB29" t="s">
        <v>13541</v>
      </c>
      <c r="PRC29" t="s">
        <v>13542</v>
      </c>
      <c r="PRD29" t="s">
        <v>13543</v>
      </c>
      <c r="PRE29" t="s">
        <v>13544</v>
      </c>
      <c r="PRF29" t="s">
        <v>13545</v>
      </c>
      <c r="PRG29" t="s">
        <v>13546</v>
      </c>
      <c r="PRH29" t="s">
        <v>13547</v>
      </c>
      <c r="PRI29" t="s">
        <v>13548</v>
      </c>
      <c r="PRJ29" t="s">
        <v>13549</v>
      </c>
      <c r="PRK29" t="s">
        <v>13550</v>
      </c>
      <c r="PRL29" t="s">
        <v>13551</v>
      </c>
      <c r="PRM29" t="s">
        <v>13552</v>
      </c>
      <c r="PRN29" t="s">
        <v>13553</v>
      </c>
      <c r="PRO29" t="s">
        <v>13554</v>
      </c>
      <c r="PRP29" t="s">
        <v>13555</v>
      </c>
      <c r="PRQ29" t="s">
        <v>13556</v>
      </c>
      <c r="PRR29" t="s">
        <v>13557</v>
      </c>
      <c r="PRS29" t="s">
        <v>13558</v>
      </c>
      <c r="PRT29" t="s">
        <v>13559</v>
      </c>
      <c r="PRU29" t="s">
        <v>13560</v>
      </c>
      <c r="PRV29" t="s">
        <v>13561</v>
      </c>
      <c r="PRW29" t="s">
        <v>13562</v>
      </c>
      <c r="PRX29" t="s">
        <v>13563</v>
      </c>
      <c r="PRY29" t="s">
        <v>13564</v>
      </c>
      <c r="PRZ29" t="s">
        <v>13565</v>
      </c>
      <c r="PSA29" t="s">
        <v>13566</v>
      </c>
      <c r="PSB29" t="s">
        <v>13567</v>
      </c>
      <c r="PSC29" t="s">
        <v>13568</v>
      </c>
      <c r="PSD29" t="s">
        <v>13569</v>
      </c>
      <c r="PSE29" t="s">
        <v>13570</v>
      </c>
      <c r="PSF29" t="s">
        <v>13571</v>
      </c>
      <c r="PSG29" t="s">
        <v>13572</v>
      </c>
      <c r="PSH29" t="s">
        <v>13573</v>
      </c>
      <c r="PSI29" t="s">
        <v>13574</v>
      </c>
      <c r="PSJ29" t="s">
        <v>13575</v>
      </c>
      <c r="PSK29" t="s">
        <v>13576</v>
      </c>
      <c r="PSL29" t="s">
        <v>13577</v>
      </c>
      <c r="PSM29" t="s">
        <v>13578</v>
      </c>
      <c r="PSN29" t="s">
        <v>13579</v>
      </c>
      <c r="PSO29" t="s">
        <v>13580</v>
      </c>
      <c r="PSP29" t="s">
        <v>13581</v>
      </c>
      <c r="PSQ29" t="s">
        <v>13582</v>
      </c>
      <c r="PSR29" t="s">
        <v>13583</v>
      </c>
      <c r="PSS29" t="s">
        <v>13584</v>
      </c>
      <c r="PST29" t="s">
        <v>13585</v>
      </c>
      <c r="PSU29" t="s">
        <v>13586</v>
      </c>
      <c r="PSV29" t="s">
        <v>13587</v>
      </c>
      <c r="PSW29" t="s">
        <v>13588</v>
      </c>
      <c r="PSX29" t="s">
        <v>13589</v>
      </c>
      <c r="PSY29" t="s">
        <v>13590</v>
      </c>
      <c r="PSZ29" t="s">
        <v>13591</v>
      </c>
      <c r="PTA29" t="s">
        <v>13592</v>
      </c>
      <c r="PTB29" t="s">
        <v>13593</v>
      </c>
      <c r="PTC29" t="s">
        <v>13594</v>
      </c>
      <c r="PTD29" t="s">
        <v>13595</v>
      </c>
      <c r="PTE29" t="s">
        <v>13596</v>
      </c>
      <c r="PTF29" t="s">
        <v>13597</v>
      </c>
      <c r="PTG29" t="s">
        <v>13598</v>
      </c>
      <c r="PTH29" t="s">
        <v>13599</v>
      </c>
      <c r="PTI29" t="s">
        <v>13600</v>
      </c>
      <c r="PTJ29" t="s">
        <v>13601</v>
      </c>
      <c r="PTK29" t="s">
        <v>13602</v>
      </c>
      <c r="PTL29" t="s">
        <v>13603</v>
      </c>
      <c r="PTM29" t="s">
        <v>13604</v>
      </c>
      <c r="PTN29" t="s">
        <v>13605</v>
      </c>
      <c r="PTO29" t="s">
        <v>13606</v>
      </c>
      <c r="PTP29" t="s">
        <v>13607</v>
      </c>
      <c r="PTQ29" t="s">
        <v>13608</v>
      </c>
      <c r="PTR29" t="s">
        <v>13609</v>
      </c>
      <c r="PTS29" t="s">
        <v>13610</v>
      </c>
      <c r="PTT29" t="s">
        <v>13611</v>
      </c>
      <c r="PTU29" t="s">
        <v>13612</v>
      </c>
      <c r="PTV29" t="s">
        <v>13613</v>
      </c>
      <c r="PTW29" t="s">
        <v>13614</v>
      </c>
      <c r="PTX29" t="s">
        <v>13615</v>
      </c>
      <c r="PTY29" t="s">
        <v>13616</v>
      </c>
      <c r="PTZ29" t="s">
        <v>13617</v>
      </c>
      <c r="PUA29" t="s">
        <v>13618</v>
      </c>
      <c r="PUB29" t="s">
        <v>13619</v>
      </c>
      <c r="PUC29" t="s">
        <v>13620</v>
      </c>
      <c r="PUD29" t="s">
        <v>13621</v>
      </c>
      <c r="PUE29" t="s">
        <v>13622</v>
      </c>
      <c r="PUF29" t="s">
        <v>13623</v>
      </c>
      <c r="PUG29" t="s">
        <v>13624</v>
      </c>
      <c r="PUH29" t="s">
        <v>13625</v>
      </c>
      <c r="PUI29" t="s">
        <v>13626</v>
      </c>
      <c r="PUJ29" t="s">
        <v>13627</v>
      </c>
      <c r="PUK29" t="s">
        <v>13628</v>
      </c>
      <c r="PUL29" t="s">
        <v>13629</v>
      </c>
      <c r="PUM29" t="s">
        <v>13630</v>
      </c>
      <c r="PUN29" t="s">
        <v>13631</v>
      </c>
      <c r="PUO29" t="s">
        <v>13632</v>
      </c>
      <c r="PUP29" t="s">
        <v>13633</v>
      </c>
      <c r="PUQ29" t="s">
        <v>13634</v>
      </c>
      <c r="PUR29" t="s">
        <v>13635</v>
      </c>
      <c r="PUS29" t="s">
        <v>13636</v>
      </c>
      <c r="PUT29" t="s">
        <v>13637</v>
      </c>
      <c r="PUU29" t="s">
        <v>13638</v>
      </c>
      <c r="PUV29" t="s">
        <v>13639</v>
      </c>
      <c r="PUW29" t="s">
        <v>13640</v>
      </c>
      <c r="PUX29" t="s">
        <v>13641</v>
      </c>
      <c r="PUY29" t="s">
        <v>13642</v>
      </c>
      <c r="PUZ29" t="s">
        <v>13643</v>
      </c>
      <c r="PVA29" t="s">
        <v>13644</v>
      </c>
      <c r="PVB29" t="s">
        <v>13645</v>
      </c>
      <c r="PVC29" t="s">
        <v>13646</v>
      </c>
      <c r="PVD29" t="s">
        <v>13647</v>
      </c>
      <c r="PVE29" t="s">
        <v>13648</v>
      </c>
      <c r="PVF29" t="s">
        <v>13649</v>
      </c>
      <c r="PVG29" t="s">
        <v>13650</v>
      </c>
      <c r="PVH29" t="s">
        <v>13651</v>
      </c>
      <c r="PVI29" t="s">
        <v>13652</v>
      </c>
      <c r="PVJ29" t="s">
        <v>13653</v>
      </c>
      <c r="PVK29" t="s">
        <v>13654</v>
      </c>
      <c r="PVL29" t="s">
        <v>13655</v>
      </c>
      <c r="PVM29" t="s">
        <v>13656</v>
      </c>
      <c r="PVN29" t="s">
        <v>13657</v>
      </c>
      <c r="PVO29" t="s">
        <v>13658</v>
      </c>
      <c r="PVP29" t="s">
        <v>13659</v>
      </c>
      <c r="PVQ29" t="s">
        <v>13660</v>
      </c>
      <c r="PVR29" t="s">
        <v>13661</v>
      </c>
      <c r="PVS29" t="s">
        <v>13662</v>
      </c>
      <c r="PVT29" t="s">
        <v>13663</v>
      </c>
      <c r="PVU29" t="s">
        <v>13664</v>
      </c>
      <c r="PVV29" t="s">
        <v>13665</v>
      </c>
      <c r="PVW29" t="s">
        <v>13666</v>
      </c>
      <c r="PVX29" t="s">
        <v>13667</v>
      </c>
      <c r="PVY29" t="s">
        <v>13668</v>
      </c>
      <c r="PVZ29" t="s">
        <v>13669</v>
      </c>
      <c r="PWA29" t="s">
        <v>13670</v>
      </c>
      <c r="PWB29" t="s">
        <v>13671</v>
      </c>
      <c r="PWC29" t="s">
        <v>13672</v>
      </c>
      <c r="PWD29" t="s">
        <v>13673</v>
      </c>
      <c r="PWE29" t="s">
        <v>13674</v>
      </c>
      <c r="PWF29" t="s">
        <v>13675</v>
      </c>
      <c r="PWG29" t="s">
        <v>13676</v>
      </c>
      <c r="PWH29" t="s">
        <v>13677</v>
      </c>
      <c r="PWI29" t="s">
        <v>13678</v>
      </c>
      <c r="PWJ29" t="s">
        <v>13679</v>
      </c>
      <c r="PWK29" t="s">
        <v>13680</v>
      </c>
      <c r="PWL29" t="s">
        <v>13681</v>
      </c>
      <c r="PWM29" t="s">
        <v>13682</v>
      </c>
      <c r="PWN29" t="s">
        <v>13683</v>
      </c>
      <c r="PWO29" t="s">
        <v>13684</v>
      </c>
      <c r="PWP29" t="s">
        <v>13685</v>
      </c>
      <c r="PWQ29" t="s">
        <v>13686</v>
      </c>
      <c r="PWR29" t="s">
        <v>13687</v>
      </c>
      <c r="PWS29" t="s">
        <v>13688</v>
      </c>
      <c r="PWT29" t="s">
        <v>13689</v>
      </c>
      <c r="PWU29" t="s">
        <v>13690</v>
      </c>
      <c r="PWV29" t="s">
        <v>13691</v>
      </c>
      <c r="PWW29" t="s">
        <v>13692</v>
      </c>
      <c r="PWX29" t="s">
        <v>13693</v>
      </c>
      <c r="PWY29" t="s">
        <v>13694</v>
      </c>
      <c r="PWZ29" t="s">
        <v>13695</v>
      </c>
      <c r="PXA29" t="s">
        <v>13696</v>
      </c>
      <c r="PXB29" t="s">
        <v>13697</v>
      </c>
      <c r="PXC29" t="s">
        <v>13698</v>
      </c>
      <c r="PXD29" t="s">
        <v>13699</v>
      </c>
      <c r="PXE29" t="s">
        <v>13700</v>
      </c>
      <c r="PXF29" t="s">
        <v>13701</v>
      </c>
      <c r="PXG29" t="s">
        <v>13702</v>
      </c>
      <c r="PXH29" t="s">
        <v>13703</v>
      </c>
      <c r="PXI29" t="s">
        <v>13704</v>
      </c>
      <c r="PXJ29" t="s">
        <v>13705</v>
      </c>
      <c r="PXK29" t="s">
        <v>13706</v>
      </c>
      <c r="PXL29" t="s">
        <v>13707</v>
      </c>
      <c r="PXM29" t="s">
        <v>13708</v>
      </c>
      <c r="PXN29" t="s">
        <v>13709</v>
      </c>
      <c r="PXO29" t="s">
        <v>13710</v>
      </c>
      <c r="PXP29" t="s">
        <v>13711</v>
      </c>
      <c r="PXQ29" t="s">
        <v>13712</v>
      </c>
      <c r="PXR29" t="s">
        <v>13713</v>
      </c>
      <c r="PXS29" t="s">
        <v>13714</v>
      </c>
      <c r="PXT29" t="s">
        <v>13715</v>
      </c>
      <c r="PXU29" t="s">
        <v>13716</v>
      </c>
      <c r="PXV29" t="s">
        <v>13717</v>
      </c>
      <c r="PXW29" t="s">
        <v>13718</v>
      </c>
      <c r="PXX29" t="s">
        <v>13719</v>
      </c>
      <c r="PXY29" t="s">
        <v>13720</v>
      </c>
      <c r="PXZ29" t="s">
        <v>13721</v>
      </c>
      <c r="PYA29" t="s">
        <v>13722</v>
      </c>
      <c r="PYB29" t="s">
        <v>13723</v>
      </c>
      <c r="PYC29" t="s">
        <v>13724</v>
      </c>
      <c r="PYD29" t="s">
        <v>13725</v>
      </c>
      <c r="PYE29" t="s">
        <v>13726</v>
      </c>
      <c r="PYF29" t="s">
        <v>13727</v>
      </c>
      <c r="PYG29" t="s">
        <v>13728</v>
      </c>
      <c r="PYH29" t="s">
        <v>13729</v>
      </c>
      <c r="PYI29" t="s">
        <v>13730</v>
      </c>
      <c r="PYJ29" t="s">
        <v>13731</v>
      </c>
      <c r="PYK29" t="s">
        <v>13732</v>
      </c>
      <c r="PYL29" t="s">
        <v>13733</v>
      </c>
      <c r="PYM29" t="s">
        <v>13734</v>
      </c>
      <c r="PYN29" t="s">
        <v>13735</v>
      </c>
      <c r="PYO29" t="s">
        <v>13736</v>
      </c>
      <c r="PYP29" t="s">
        <v>13737</v>
      </c>
      <c r="PYQ29" t="s">
        <v>13738</v>
      </c>
      <c r="PYR29" t="s">
        <v>13739</v>
      </c>
      <c r="PYS29" t="s">
        <v>13740</v>
      </c>
      <c r="PYT29" t="s">
        <v>13741</v>
      </c>
      <c r="PYU29" t="s">
        <v>13742</v>
      </c>
      <c r="PYV29" t="s">
        <v>13743</v>
      </c>
      <c r="PYW29" t="s">
        <v>13744</v>
      </c>
      <c r="PYX29" t="s">
        <v>13745</v>
      </c>
      <c r="PYY29" t="s">
        <v>13746</v>
      </c>
      <c r="PYZ29" t="s">
        <v>13747</v>
      </c>
      <c r="PZA29" t="s">
        <v>13748</v>
      </c>
      <c r="PZB29" t="s">
        <v>13749</v>
      </c>
      <c r="PZC29" t="s">
        <v>13750</v>
      </c>
      <c r="PZD29" t="s">
        <v>13751</v>
      </c>
      <c r="PZE29" t="s">
        <v>13752</v>
      </c>
      <c r="PZF29" t="s">
        <v>13753</v>
      </c>
      <c r="PZG29" t="s">
        <v>13754</v>
      </c>
      <c r="PZH29" t="s">
        <v>13755</v>
      </c>
      <c r="PZI29" t="s">
        <v>13756</v>
      </c>
      <c r="PZJ29" t="s">
        <v>13757</v>
      </c>
      <c r="PZK29" t="s">
        <v>13758</v>
      </c>
      <c r="PZL29" t="s">
        <v>13759</v>
      </c>
      <c r="PZM29" t="s">
        <v>13760</v>
      </c>
      <c r="PZN29" t="s">
        <v>13761</v>
      </c>
      <c r="PZO29" t="s">
        <v>13762</v>
      </c>
      <c r="PZP29" t="s">
        <v>13763</v>
      </c>
      <c r="PZQ29" t="s">
        <v>13764</v>
      </c>
      <c r="PZR29" t="s">
        <v>13765</v>
      </c>
      <c r="PZS29" t="s">
        <v>13766</v>
      </c>
      <c r="PZT29" t="s">
        <v>13767</v>
      </c>
      <c r="PZU29" t="s">
        <v>13768</v>
      </c>
      <c r="PZV29" t="s">
        <v>13769</v>
      </c>
      <c r="PZW29" t="s">
        <v>13770</v>
      </c>
      <c r="PZX29" t="s">
        <v>13771</v>
      </c>
      <c r="PZY29" t="s">
        <v>13772</v>
      </c>
      <c r="PZZ29" t="s">
        <v>13773</v>
      </c>
      <c r="QAA29" t="s">
        <v>13774</v>
      </c>
      <c r="QAB29" t="s">
        <v>13775</v>
      </c>
      <c r="QAC29" t="s">
        <v>13776</v>
      </c>
      <c r="QAD29" t="s">
        <v>13777</v>
      </c>
      <c r="QAE29" t="s">
        <v>13778</v>
      </c>
      <c r="QAF29" t="s">
        <v>13779</v>
      </c>
      <c r="QAG29" t="s">
        <v>13780</v>
      </c>
      <c r="QAH29" t="s">
        <v>13781</v>
      </c>
      <c r="QAI29" t="s">
        <v>13782</v>
      </c>
      <c r="QAJ29" t="s">
        <v>13783</v>
      </c>
      <c r="QAK29" t="s">
        <v>13784</v>
      </c>
      <c r="QAL29" t="s">
        <v>13785</v>
      </c>
      <c r="QAM29" t="s">
        <v>13786</v>
      </c>
      <c r="QAN29" t="s">
        <v>13787</v>
      </c>
      <c r="QAO29" t="s">
        <v>13788</v>
      </c>
      <c r="QAP29" t="s">
        <v>13789</v>
      </c>
      <c r="QAQ29" t="s">
        <v>13790</v>
      </c>
      <c r="QAR29" t="s">
        <v>13791</v>
      </c>
      <c r="QAS29" t="s">
        <v>13792</v>
      </c>
      <c r="QAT29" t="s">
        <v>13793</v>
      </c>
      <c r="QAU29" t="s">
        <v>13794</v>
      </c>
      <c r="QAV29" t="s">
        <v>13795</v>
      </c>
      <c r="QAW29" t="s">
        <v>13796</v>
      </c>
      <c r="QAX29" t="s">
        <v>13797</v>
      </c>
      <c r="QAY29" t="s">
        <v>13798</v>
      </c>
      <c r="QAZ29" t="s">
        <v>13799</v>
      </c>
      <c r="QBA29" t="s">
        <v>13800</v>
      </c>
      <c r="QBB29" t="s">
        <v>13801</v>
      </c>
      <c r="QBC29" t="s">
        <v>13802</v>
      </c>
      <c r="QBD29" t="s">
        <v>13803</v>
      </c>
      <c r="QBE29" t="s">
        <v>13804</v>
      </c>
      <c r="QBF29" t="s">
        <v>13805</v>
      </c>
      <c r="QBG29" t="s">
        <v>13806</v>
      </c>
      <c r="QBH29" t="s">
        <v>13807</v>
      </c>
      <c r="QBI29" t="s">
        <v>13808</v>
      </c>
      <c r="QBJ29" t="s">
        <v>13809</v>
      </c>
      <c r="QBK29" t="s">
        <v>13810</v>
      </c>
      <c r="QBL29" t="s">
        <v>13811</v>
      </c>
      <c r="QBM29" t="s">
        <v>13812</v>
      </c>
      <c r="QBN29" t="s">
        <v>13813</v>
      </c>
      <c r="QBO29" t="s">
        <v>13814</v>
      </c>
      <c r="QBP29" t="s">
        <v>13815</v>
      </c>
      <c r="QBQ29" t="s">
        <v>13816</v>
      </c>
      <c r="QBR29" t="s">
        <v>13817</v>
      </c>
      <c r="QBS29" t="s">
        <v>13818</v>
      </c>
      <c r="QBT29" t="s">
        <v>13819</v>
      </c>
      <c r="QBU29" t="s">
        <v>13820</v>
      </c>
      <c r="QBV29" t="s">
        <v>13821</v>
      </c>
      <c r="QBW29" t="s">
        <v>13822</v>
      </c>
      <c r="QBX29" t="s">
        <v>13823</v>
      </c>
      <c r="QBY29" t="s">
        <v>13824</v>
      </c>
      <c r="QBZ29" t="s">
        <v>13825</v>
      </c>
      <c r="QCA29" t="s">
        <v>13826</v>
      </c>
      <c r="QCB29" t="s">
        <v>13827</v>
      </c>
      <c r="QCC29" t="s">
        <v>13828</v>
      </c>
      <c r="QCD29" t="s">
        <v>13829</v>
      </c>
      <c r="QCE29" t="s">
        <v>13830</v>
      </c>
      <c r="QCF29" t="s">
        <v>13831</v>
      </c>
      <c r="QCG29" t="s">
        <v>13832</v>
      </c>
      <c r="QCH29" t="s">
        <v>13833</v>
      </c>
      <c r="QCI29" t="s">
        <v>13834</v>
      </c>
      <c r="QCJ29" t="s">
        <v>13835</v>
      </c>
      <c r="QCK29" t="s">
        <v>13836</v>
      </c>
      <c r="QCL29" t="s">
        <v>13837</v>
      </c>
      <c r="QCM29" t="s">
        <v>13838</v>
      </c>
      <c r="QCN29" t="s">
        <v>13839</v>
      </c>
      <c r="QCO29" t="s">
        <v>13840</v>
      </c>
      <c r="QCP29" t="s">
        <v>13841</v>
      </c>
      <c r="QCQ29" t="s">
        <v>13842</v>
      </c>
      <c r="QCR29" t="s">
        <v>13843</v>
      </c>
      <c r="QCS29" t="s">
        <v>13844</v>
      </c>
      <c r="QCT29" t="s">
        <v>13845</v>
      </c>
      <c r="QCU29" t="s">
        <v>13846</v>
      </c>
      <c r="QCV29" t="s">
        <v>13847</v>
      </c>
      <c r="QCW29" t="s">
        <v>13848</v>
      </c>
      <c r="QCX29" t="s">
        <v>13849</v>
      </c>
      <c r="QCY29" t="s">
        <v>13850</v>
      </c>
      <c r="QCZ29" t="s">
        <v>13851</v>
      </c>
      <c r="QDA29" t="s">
        <v>13852</v>
      </c>
      <c r="QDB29" t="s">
        <v>13853</v>
      </c>
      <c r="QDC29" t="s">
        <v>13854</v>
      </c>
      <c r="QDD29" t="s">
        <v>13855</v>
      </c>
      <c r="QDE29" t="s">
        <v>13856</v>
      </c>
      <c r="QDF29" t="s">
        <v>13857</v>
      </c>
      <c r="QDG29" t="s">
        <v>13858</v>
      </c>
      <c r="QDH29" t="s">
        <v>13859</v>
      </c>
      <c r="QDI29" t="s">
        <v>13860</v>
      </c>
      <c r="QDJ29" t="s">
        <v>13861</v>
      </c>
      <c r="QDK29" t="s">
        <v>13862</v>
      </c>
      <c r="QDL29" t="s">
        <v>13863</v>
      </c>
      <c r="QDM29" t="s">
        <v>13864</v>
      </c>
      <c r="QDN29" t="s">
        <v>13865</v>
      </c>
      <c r="QDO29" t="s">
        <v>13866</v>
      </c>
      <c r="QDP29" t="s">
        <v>13867</v>
      </c>
      <c r="QDQ29" t="s">
        <v>13868</v>
      </c>
      <c r="QDR29" t="s">
        <v>13869</v>
      </c>
      <c r="QDS29" t="s">
        <v>13870</v>
      </c>
      <c r="QDT29" t="s">
        <v>13871</v>
      </c>
      <c r="QDU29" t="s">
        <v>13872</v>
      </c>
      <c r="QDV29" t="s">
        <v>13873</v>
      </c>
      <c r="QDW29" t="s">
        <v>13874</v>
      </c>
      <c r="QDX29" t="s">
        <v>13875</v>
      </c>
      <c r="QDY29" t="s">
        <v>13876</v>
      </c>
      <c r="QDZ29" t="s">
        <v>13877</v>
      </c>
      <c r="QEA29" t="s">
        <v>13878</v>
      </c>
      <c r="QEB29" t="s">
        <v>13879</v>
      </c>
      <c r="QEC29" t="s">
        <v>13880</v>
      </c>
      <c r="QED29" t="s">
        <v>13881</v>
      </c>
      <c r="QEE29" t="s">
        <v>13882</v>
      </c>
      <c r="QEF29" t="s">
        <v>13883</v>
      </c>
      <c r="QEG29" t="s">
        <v>13884</v>
      </c>
      <c r="QEH29" t="s">
        <v>13885</v>
      </c>
      <c r="QEI29" t="s">
        <v>13886</v>
      </c>
      <c r="QEJ29" t="s">
        <v>13887</v>
      </c>
      <c r="QEK29" t="s">
        <v>13888</v>
      </c>
      <c r="QEL29" t="s">
        <v>13889</v>
      </c>
      <c r="QEM29" t="s">
        <v>13890</v>
      </c>
      <c r="QEN29" t="s">
        <v>13891</v>
      </c>
      <c r="QEO29" t="s">
        <v>13892</v>
      </c>
      <c r="QEP29" t="s">
        <v>13893</v>
      </c>
      <c r="QEQ29" t="s">
        <v>13894</v>
      </c>
      <c r="QER29" t="s">
        <v>13895</v>
      </c>
      <c r="QES29" t="s">
        <v>13896</v>
      </c>
      <c r="QET29" t="s">
        <v>13897</v>
      </c>
      <c r="QEU29" t="s">
        <v>13898</v>
      </c>
      <c r="QEV29" t="s">
        <v>13899</v>
      </c>
      <c r="QEW29" t="s">
        <v>13900</v>
      </c>
      <c r="QEX29" t="s">
        <v>13901</v>
      </c>
      <c r="QEY29" t="s">
        <v>13902</v>
      </c>
      <c r="QEZ29" t="s">
        <v>13903</v>
      </c>
      <c r="QFA29" t="s">
        <v>13904</v>
      </c>
      <c r="QFB29" t="s">
        <v>13905</v>
      </c>
      <c r="QFC29" t="s">
        <v>13906</v>
      </c>
      <c r="QFD29" t="s">
        <v>13907</v>
      </c>
      <c r="QFE29" t="s">
        <v>13908</v>
      </c>
      <c r="QFF29" t="s">
        <v>13909</v>
      </c>
      <c r="QFG29" t="s">
        <v>13910</v>
      </c>
      <c r="QFH29" t="s">
        <v>13911</v>
      </c>
      <c r="QFI29" t="s">
        <v>13912</v>
      </c>
      <c r="QFJ29" t="s">
        <v>13913</v>
      </c>
      <c r="QFK29" t="s">
        <v>13914</v>
      </c>
      <c r="QFL29" t="s">
        <v>13915</v>
      </c>
      <c r="QFM29" t="s">
        <v>13916</v>
      </c>
      <c r="QFN29" t="s">
        <v>13917</v>
      </c>
      <c r="QFO29" t="s">
        <v>13918</v>
      </c>
      <c r="QFP29" t="s">
        <v>13919</v>
      </c>
      <c r="QFQ29" t="s">
        <v>13920</v>
      </c>
      <c r="QFR29" t="s">
        <v>13921</v>
      </c>
      <c r="QFS29" t="s">
        <v>13922</v>
      </c>
      <c r="QFT29" t="s">
        <v>13923</v>
      </c>
      <c r="QFU29" t="s">
        <v>13924</v>
      </c>
      <c r="QFV29" t="s">
        <v>13925</v>
      </c>
      <c r="QFW29" t="s">
        <v>13926</v>
      </c>
      <c r="QFX29" t="s">
        <v>13927</v>
      </c>
      <c r="QFY29" t="s">
        <v>13928</v>
      </c>
      <c r="QFZ29" t="s">
        <v>13929</v>
      </c>
      <c r="QGA29" t="s">
        <v>13930</v>
      </c>
      <c r="QGB29" t="s">
        <v>13931</v>
      </c>
      <c r="QGC29" t="s">
        <v>13932</v>
      </c>
      <c r="QGD29" t="s">
        <v>13933</v>
      </c>
      <c r="QGE29" t="s">
        <v>13934</v>
      </c>
      <c r="QGF29" t="s">
        <v>13935</v>
      </c>
      <c r="QGG29" t="s">
        <v>13936</v>
      </c>
      <c r="QGH29" t="s">
        <v>13937</v>
      </c>
      <c r="QGI29" t="s">
        <v>13938</v>
      </c>
      <c r="QGJ29" t="s">
        <v>13939</v>
      </c>
      <c r="QGK29" t="s">
        <v>13940</v>
      </c>
      <c r="QGL29" t="s">
        <v>13941</v>
      </c>
      <c r="QGM29" t="s">
        <v>13942</v>
      </c>
      <c r="QGN29" t="s">
        <v>13943</v>
      </c>
      <c r="QGO29" t="s">
        <v>13944</v>
      </c>
      <c r="QGP29" t="s">
        <v>13945</v>
      </c>
      <c r="QGQ29" t="s">
        <v>13946</v>
      </c>
      <c r="QGR29" t="s">
        <v>13947</v>
      </c>
      <c r="QGS29" t="s">
        <v>13948</v>
      </c>
      <c r="QGT29" t="s">
        <v>13949</v>
      </c>
      <c r="QGU29" t="s">
        <v>13950</v>
      </c>
      <c r="QGV29" t="s">
        <v>13951</v>
      </c>
      <c r="QGW29" t="s">
        <v>13952</v>
      </c>
      <c r="QGX29" t="s">
        <v>13953</v>
      </c>
      <c r="QGY29" t="s">
        <v>13954</v>
      </c>
      <c r="QGZ29" t="s">
        <v>13955</v>
      </c>
      <c r="QHA29" t="s">
        <v>13956</v>
      </c>
      <c r="QHB29" t="s">
        <v>13957</v>
      </c>
      <c r="QHC29" t="s">
        <v>13958</v>
      </c>
      <c r="QHD29" t="s">
        <v>13959</v>
      </c>
      <c r="QHE29" t="s">
        <v>13960</v>
      </c>
      <c r="QHF29" t="s">
        <v>13961</v>
      </c>
      <c r="QHG29" t="s">
        <v>13962</v>
      </c>
      <c r="QHH29" t="s">
        <v>13963</v>
      </c>
      <c r="QHI29" t="s">
        <v>13964</v>
      </c>
      <c r="QHJ29" t="s">
        <v>13965</v>
      </c>
      <c r="QHK29" t="s">
        <v>13966</v>
      </c>
      <c r="QHL29" t="s">
        <v>13967</v>
      </c>
      <c r="QHM29" t="s">
        <v>13968</v>
      </c>
      <c r="QHN29" t="s">
        <v>13969</v>
      </c>
      <c r="QHO29" t="s">
        <v>13970</v>
      </c>
      <c r="QHP29" t="s">
        <v>13971</v>
      </c>
      <c r="QHQ29" t="s">
        <v>13972</v>
      </c>
      <c r="QHR29" t="s">
        <v>13973</v>
      </c>
      <c r="QHS29" t="s">
        <v>13974</v>
      </c>
      <c r="QHT29" t="s">
        <v>13975</v>
      </c>
      <c r="QHU29" t="s">
        <v>13976</v>
      </c>
      <c r="QHV29" t="s">
        <v>13977</v>
      </c>
      <c r="QHW29" t="s">
        <v>13978</v>
      </c>
      <c r="QHX29" t="s">
        <v>13979</v>
      </c>
      <c r="QHY29" t="s">
        <v>13980</v>
      </c>
      <c r="QHZ29" t="s">
        <v>13981</v>
      </c>
      <c r="QIA29" t="s">
        <v>13982</v>
      </c>
      <c r="QIB29" t="s">
        <v>13983</v>
      </c>
      <c r="QIC29" t="s">
        <v>13984</v>
      </c>
      <c r="QID29" t="s">
        <v>13985</v>
      </c>
      <c r="QIE29" t="s">
        <v>13986</v>
      </c>
      <c r="QIF29" t="s">
        <v>13987</v>
      </c>
      <c r="QIG29" t="s">
        <v>13988</v>
      </c>
      <c r="QIH29" t="s">
        <v>13989</v>
      </c>
      <c r="QII29" t="s">
        <v>13990</v>
      </c>
      <c r="QIJ29" t="s">
        <v>13991</v>
      </c>
      <c r="QIK29" t="s">
        <v>13992</v>
      </c>
      <c r="QIL29" t="s">
        <v>13993</v>
      </c>
      <c r="QIM29" t="s">
        <v>13994</v>
      </c>
      <c r="QIN29" t="s">
        <v>13995</v>
      </c>
      <c r="QIO29" t="s">
        <v>13996</v>
      </c>
      <c r="QIP29" t="s">
        <v>13997</v>
      </c>
      <c r="QIQ29" t="s">
        <v>13998</v>
      </c>
      <c r="QIR29" t="s">
        <v>13999</v>
      </c>
      <c r="QIS29" t="s">
        <v>14000</v>
      </c>
      <c r="QIT29" t="s">
        <v>14001</v>
      </c>
      <c r="QIU29" t="s">
        <v>14002</v>
      </c>
      <c r="QIV29" t="s">
        <v>14003</v>
      </c>
      <c r="QIW29" t="s">
        <v>14004</v>
      </c>
      <c r="QIX29" t="s">
        <v>14005</v>
      </c>
      <c r="QIY29" t="s">
        <v>14006</v>
      </c>
      <c r="QIZ29" t="s">
        <v>14007</v>
      </c>
      <c r="QJA29" t="s">
        <v>14008</v>
      </c>
      <c r="QJB29" t="s">
        <v>14009</v>
      </c>
      <c r="QJC29" t="s">
        <v>14010</v>
      </c>
      <c r="QJD29" t="s">
        <v>14011</v>
      </c>
      <c r="QJE29" t="s">
        <v>14012</v>
      </c>
      <c r="QJF29" t="s">
        <v>14013</v>
      </c>
      <c r="QJG29" t="s">
        <v>14014</v>
      </c>
      <c r="QJH29" t="s">
        <v>14015</v>
      </c>
      <c r="QJI29" t="s">
        <v>14016</v>
      </c>
      <c r="QJJ29" t="s">
        <v>14017</v>
      </c>
      <c r="QJK29" t="s">
        <v>14018</v>
      </c>
      <c r="QJL29" t="s">
        <v>14019</v>
      </c>
      <c r="QJM29" t="s">
        <v>14020</v>
      </c>
      <c r="QJN29" t="s">
        <v>14021</v>
      </c>
      <c r="QJO29" t="s">
        <v>14022</v>
      </c>
      <c r="QJP29" t="s">
        <v>14023</v>
      </c>
      <c r="QJQ29" t="s">
        <v>14024</v>
      </c>
      <c r="QJR29" t="s">
        <v>14025</v>
      </c>
      <c r="QJS29" t="s">
        <v>14026</v>
      </c>
      <c r="QJT29" t="s">
        <v>14027</v>
      </c>
      <c r="QJU29" t="s">
        <v>14028</v>
      </c>
      <c r="QJV29" t="s">
        <v>14029</v>
      </c>
      <c r="QJW29" t="s">
        <v>14030</v>
      </c>
      <c r="QJX29" t="s">
        <v>14031</v>
      </c>
      <c r="QJY29" t="s">
        <v>14032</v>
      </c>
      <c r="QJZ29" t="s">
        <v>14033</v>
      </c>
      <c r="QKA29" t="s">
        <v>14034</v>
      </c>
      <c r="QKB29" t="s">
        <v>14035</v>
      </c>
      <c r="QKC29" t="s">
        <v>14036</v>
      </c>
      <c r="QKD29" t="s">
        <v>14037</v>
      </c>
      <c r="QKE29" t="s">
        <v>14038</v>
      </c>
      <c r="QKF29" t="s">
        <v>14039</v>
      </c>
      <c r="QKG29" t="s">
        <v>14040</v>
      </c>
      <c r="QKH29" t="s">
        <v>14041</v>
      </c>
      <c r="QKI29" t="s">
        <v>14042</v>
      </c>
      <c r="QKJ29" t="s">
        <v>14043</v>
      </c>
      <c r="QKK29" t="s">
        <v>14044</v>
      </c>
      <c r="QKL29" t="s">
        <v>14045</v>
      </c>
      <c r="QKM29" t="s">
        <v>14046</v>
      </c>
      <c r="QKN29" t="s">
        <v>14047</v>
      </c>
      <c r="QKO29" t="s">
        <v>14048</v>
      </c>
      <c r="QKP29" t="s">
        <v>14049</v>
      </c>
      <c r="QKQ29" t="s">
        <v>14050</v>
      </c>
      <c r="QKR29" t="s">
        <v>14051</v>
      </c>
      <c r="QKS29" t="s">
        <v>14052</v>
      </c>
      <c r="QKT29" t="s">
        <v>14053</v>
      </c>
      <c r="QKU29" t="s">
        <v>14054</v>
      </c>
      <c r="QKV29" t="s">
        <v>14055</v>
      </c>
      <c r="QKW29" t="s">
        <v>14056</v>
      </c>
      <c r="QKX29" t="s">
        <v>14057</v>
      </c>
      <c r="QKY29" t="s">
        <v>14058</v>
      </c>
      <c r="QKZ29" t="s">
        <v>14059</v>
      </c>
      <c r="QLA29" t="s">
        <v>14060</v>
      </c>
      <c r="QLB29" t="s">
        <v>14061</v>
      </c>
      <c r="QLC29" t="s">
        <v>14062</v>
      </c>
      <c r="QLD29" t="s">
        <v>14063</v>
      </c>
      <c r="QLE29" t="s">
        <v>14064</v>
      </c>
      <c r="QLF29" t="s">
        <v>14065</v>
      </c>
      <c r="QLG29" t="s">
        <v>14066</v>
      </c>
      <c r="QLH29" t="s">
        <v>14067</v>
      </c>
      <c r="QLI29" t="s">
        <v>14068</v>
      </c>
      <c r="QLJ29" t="s">
        <v>14069</v>
      </c>
      <c r="QLK29" t="s">
        <v>14070</v>
      </c>
      <c r="QLL29" t="s">
        <v>14071</v>
      </c>
      <c r="QLM29" t="s">
        <v>14072</v>
      </c>
      <c r="QLN29" t="s">
        <v>14073</v>
      </c>
      <c r="QLO29" t="s">
        <v>14074</v>
      </c>
      <c r="QLP29" t="s">
        <v>14075</v>
      </c>
      <c r="QLQ29" t="s">
        <v>14076</v>
      </c>
      <c r="QLR29" t="s">
        <v>14077</v>
      </c>
      <c r="QLS29" t="s">
        <v>14078</v>
      </c>
      <c r="QLT29" t="s">
        <v>14079</v>
      </c>
      <c r="QLU29" t="s">
        <v>14080</v>
      </c>
      <c r="QLV29" t="s">
        <v>14081</v>
      </c>
      <c r="QLW29" t="s">
        <v>14082</v>
      </c>
      <c r="QLX29" t="s">
        <v>14083</v>
      </c>
      <c r="QLY29" t="s">
        <v>14084</v>
      </c>
      <c r="QLZ29" t="s">
        <v>14085</v>
      </c>
      <c r="QMA29" t="s">
        <v>14086</v>
      </c>
      <c r="QMB29" t="s">
        <v>14087</v>
      </c>
      <c r="QMC29" t="s">
        <v>14088</v>
      </c>
      <c r="QMD29" t="s">
        <v>14089</v>
      </c>
      <c r="QME29" t="s">
        <v>14090</v>
      </c>
      <c r="QMF29" t="s">
        <v>14091</v>
      </c>
      <c r="QMG29" t="s">
        <v>14092</v>
      </c>
      <c r="QMH29" t="s">
        <v>14093</v>
      </c>
      <c r="QMI29" t="s">
        <v>14094</v>
      </c>
      <c r="QMJ29" t="s">
        <v>14095</v>
      </c>
      <c r="QMK29" t="s">
        <v>14096</v>
      </c>
      <c r="QML29" t="s">
        <v>14097</v>
      </c>
      <c r="QMM29" t="s">
        <v>14098</v>
      </c>
      <c r="QMN29" t="s">
        <v>14099</v>
      </c>
      <c r="QMO29" t="s">
        <v>14100</v>
      </c>
      <c r="QMP29" t="s">
        <v>14101</v>
      </c>
      <c r="QMQ29" t="s">
        <v>14102</v>
      </c>
      <c r="QMR29" t="s">
        <v>14103</v>
      </c>
      <c r="QMS29" t="s">
        <v>14104</v>
      </c>
      <c r="QMT29" t="s">
        <v>14105</v>
      </c>
      <c r="QMU29" t="s">
        <v>14106</v>
      </c>
      <c r="QMV29" t="s">
        <v>14107</v>
      </c>
      <c r="QMW29" t="s">
        <v>14108</v>
      </c>
      <c r="QMX29" t="s">
        <v>14109</v>
      </c>
      <c r="QMY29" t="s">
        <v>14110</v>
      </c>
      <c r="QMZ29" t="s">
        <v>14111</v>
      </c>
      <c r="QNA29" t="s">
        <v>14112</v>
      </c>
      <c r="QNB29" t="s">
        <v>14113</v>
      </c>
      <c r="QNC29" t="s">
        <v>14114</v>
      </c>
      <c r="QND29" t="s">
        <v>14115</v>
      </c>
      <c r="QNE29" t="s">
        <v>14116</v>
      </c>
      <c r="QNF29" t="s">
        <v>14117</v>
      </c>
      <c r="QNG29" t="s">
        <v>14118</v>
      </c>
      <c r="QNH29" t="s">
        <v>14119</v>
      </c>
      <c r="QNI29" t="s">
        <v>14120</v>
      </c>
      <c r="QNJ29" t="s">
        <v>14121</v>
      </c>
      <c r="QNK29" t="s">
        <v>14122</v>
      </c>
      <c r="QNL29" t="s">
        <v>14123</v>
      </c>
      <c r="QNM29" t="s">
        <v>14124</v>
      </c>
      <c r="QNN29" t="s">
        <v>14125</v>
      </c>
      <c r="QNO29" t="s">
        <v>14126</v>
      </c>
      <c r="QNP29" t="s">
        <v>14127</v>
      </c>
      <c r="QNQ29" t="s">
        <v>14128</v>
      </c>
      <c r="QNR29" t="s">
        <v>14129</v>
      </c>
      <c r="QNS29" t="s">
        <v>14130</v>
      </c>
      <c r="QNT29" t="s">
        <v>14131</v>
      </c>
      <c r="QNU29" t="s">
        <v>14132</v>
      </c>
      <c r="QNV29" t="s">
        <v>14133</v>
      </c>
      <c r="QNW29" t="s">
        <v>14134</v>
      </c>
      <c r="QNX29" t="s">
        <v>14135</v>
      </c>
      <c r="QNY29" t="s">
        <v>14136</v>
      </c>
      <c r="QNZ29" t="s">
        <v>14137</v>
      </c>
      <c r="QOA29" t="s">
        <v>14138</v>
      </c>
      <c r="QOB29" t="s">
        <v>14139</v>
      </c>
      <c r="QOC29" t="s">
        <v>14140</v>
      </c>
      <c r="QOD29" t="s">
        <v>14141</v>
      </c>
      <c r="QOE29" t="s">
        <v>14142</v>
      </c>
      <c r="QOF29" t="s">
        <v>14143</v>
      </c>
      <c r="QOG29" t="s">
        <v>14144</v>
      </c>
      <c r="QOH29" t="s">
        <v>14145</v>
      </c>
      <c r="QOI29" t="s">
        <v>14146</v>
      </c>
      <c r="QOJ29" t="s">
        <v>14147</v>
      </c>
      <c r="QOK29" t="s">
        <v>14148</v>
      </c>
      <c r="QOL29" t="s">
        <v>14149</v>
      </c>
      <c r="QOM29" t="s">
        <v>14150</v>
      </c>
      <c r="QON29" t="s">
        <v>14151</v>
      </c>
      <c r="QOO29" t="s">
        <v>14152</v>
      </c>
      <c r="QOP29" t="s">
        <v>14153</v>
      </c>
      <c r="QOQ29" t="s">
        <v>14154</v>
      </c>
      <c r="QOR29" t="s">
        <v>14155</v>
      </c>
      <c r="QOS29" t="s">
        <v>14156</v>
      </c>
      <c r="QOT29" t="s">
        <v>14157</v>
      </c>
      <c r="QOU29" t="s">
        <v>14158</v>
      </c>
      <c r="QOV29" t="s">
        <v>14159</v>
      </c>
      <c r="QOW29" t="s">
        <v>14160</v>
      </c>
      <c r="QOX29" t="s">
        <v>14161</v>
      </c>
      <c r="QOY29" t="s">
        <v>14162</v>
      </c>
      <c r="QOZ29" t="s">
        <v>14163</v>
      </c>
      <c r="QPA29" t="s">
        <v>14164</v>
      </c>
      <c r="QPB29" t="s">
        <v>14165</v>
      </c>
      <c r="QPC29" t="s">
        <v>14166</v>
      </c>
      <c r="QPD29" t="s">
        <v>14167</v>
      </c>
      <c r="QPE29" t="s">
        <v>14168</v>
      </c>
      <c r="QPF29" t="s">
        <v>14169</v>
      </c>
      <c r="QPG29" t="s">
        <v>14170</v>
      </c>
      <c r="QPH29" t="s">
        <v>14171</v>
      </c>
      <c r="QPI29" t="s">
        <v>14172</v>
      </c>
      <c r="QPJ29" t="s">
        <v>14173</v>
      </c>
      <c r="QPK29" t="s">
        <v>14174</v>
      </c>
      <c r="QPL29" t="s">
        <v>14175</v>
      </c>
      <c r="QPM29" t="s">
        <v>14176</v>
      </c>
      <c r="QPN29" t="s">
        <v>14177</v>
      </c>
      <c r="QPO29" t="s">
        <v>14178</v>
      </c>
      <c r="QPP29" t="s">
        <v>14179</v>
      </c>
      <c r="QPQ29" t="s">
        <v>14180</v>
      </c>
      <c r="QPR29" t="s">
        <v>14181</v>
      </c>
      <c r="QPS29" t="s">
        <v>14182</v>
      </c>
      <c r="QPT29" t="s">
        <v>14183</v>
      </c>
      <c r="QPU29" t="s">
        <v>14184</v>
      </c>
      <c r="QPV29" t="s">
        <v>14185</v>
      </c>
      <c r="QPW29" t="s">
        <v>14186</v>
      </c>
      <c r="QPX29" t="s">
        <v>14187</v>
      </c>
      <c r="QPY29" t="s">
        <v>14188</v>
      </c>
      <c r="QPZ29" t="s">
        <v>14189</v>
      </c>
      <c r="QQA29" t="s">
        <v>14190</v>
      </c>
      <c r="QQB29" t="s">
        <v>14191</v>
      </c>
      <c r="QQC29" t="s">
        <v>14192</v>
      </c>
      <c r="QQD29" t="s">
        <v>14193</v>
      </c>
      <c r="QQE29" t="s">
        <v>14194</v>
      </c>
      <c r="QQF29" t="s">
        <v>14195</v>
      </c>
      <c r="QQG29" t="s">
        <v>14196</v>
      </c>
      <c r="QQH29" t="s">
        <v>14197</v>
      </c>
      <c r="QQI29" t="s">
        <v>14198</v>
      </c>
      <c r="QQJ29" t="s">
        <v>14199</v>
      </c>
      <c r="QQK29" t="s">
        <v>14200</v>
      </c>
      <c r="QQL29" t="s">
        <v>14201</v>
      </c>
      <c r="QQM29" t="s">
        <v>14202</v>
      </c>
      <c r="QQN29" t="s">
        <v>14203</v>
      </c>
      <c r="QQO29" t="s">
        <v>14204</v>
      </c>
      <c r="QQP29" t="s">
        <v>14205</v>
      </c>
      <c r="QQQ29" t="s">
        <v>14206</v>
      </c>
      <c r="QQR29" t="s">
        <v>14207</v>
      </c>
      <c r="QQS29" t="s">
        <v>14208</v>
      </c>
      <c r="QQT29" t="s">
        <v>14209</v>
      </c>
      <c r="QQU29" t="s">
        <v>14210</v>
      </c>
      <c r="QQV29" t="s">
        <v>14211</v>
      </c>
      <c r="QQW29" t="s">
        <v>14212</v>
      </c>
      <c r="QQX29" t="s">
        <v>14213</v>
      </c>
      <c r="QQY29" t="s">
        <v>14214</v>
      </c>
      <c r="QQZ29" t="s">
        <v>14215</v>
      </c>
      <c r="QRA29" t="s">
        <v>14216</v>
      </c>
      <c r="QRB29" t="s">
        <v>14217</v>
      </c>
      <c r="QRC29" t="s">
        <v>14218</v>
      </c>
      <c r="QRD29" t="s">
        <v>14219</v>
      </c>
      <c r="QRE29" t="s">
        <v>14220</v>
      </c>
      <c r="QRF29" t="s">
        <v>14221</v>
      </c>
      <c r="QRG29" t="s">
        <v>14222</v>
      </c>
      <c r="QRH29" t="s">
        <v>14223</v>
      </c>
      <c r="QRI29" t="s">
        <v>14224</v>
      </c>
      <c r="QRJ29" t="s">
        <v>14225</v>
      </c>
      <c r="QRK29" t="s">
        <v>14226</v>
      </c>
      <c r="QRL29" t="s">
        <v>14227</v>
      </c>
      <c r="QRM29" t="s">
        <v>14228</v>
      </c>
      <c r="QRN29" t="s">
        <v>14229</v>
      </c>
      <c r="QRO29" t="s">
        <v>14230</v>
      </c>
      <c r="QRP29" t="s">
        <v>14231</v>
      </c>
      <c r="QRQ29" t="s">
        <v>14232</v>
      </c>
      <c r="QRR29" t="s">
        <v>14233</v>
      </c>
      <c r="QRS29" t="s">
        <v>14234</v>
      </c>
      <c r="QRT29" t="s">
        <v>14235</v>
      </c>
      <c r="QRU29" t="s">
        <v>14236</v>
      </c>
      <c r="QRV29" t="s">
        <v>14237</v>
      </c>
      <c r="QRW29" t="s">
        <v>14238</v>
      </c>
      <c r="QRX29" t="s">
        <v>14239</v>
      </c>
      <c r="QRY29" t="s">
        <v>14240</v>
      </c>
      <c r="QRZ29" t="s">
        <v>14241</v>
      </c>
      <c r="QSA29" t="s">
        <v>14242</v>
      </c>
      <c r="QSB29" t="s">
        <v>14243</v>
      </c>
      <c r="QSC29" t="s">
        <v>14244</v>
      </c>
      <c r="QSD29" t="s">
        <v>14245</v>
      </c>
      <c r="QSE29" t="s">
        <v>14246</v>
      </c>
      <c r="QSF29" t="s">
        <v>14247</v>
      </c>
      <c r="QSG29" t="s">
        <v>14248</v>
      </c>
      <c r="QSH29" t="s">
        <v>14249</v>
      </c>
      <c r="QSI29" t="s">
        <v>14250</v>
      </c>
      <c r="QSJ29" t="s">
        <v>14251</v>
      </c>
      <c r="QSK29" t="s">
        <v>14252</v>
      </c>
      <c r="QSL29" t="s">
        <v>14253</v>
      </c>
      <c r="QSM29" t="s">
        <v>14254</v>
      </c>
      <c r="QSN29" t="s">
        <v>14255</v>
      </c>
      <c r="QSO29" t="s">
        <v>14256</v>
      </c>
      <c r="QSP29" t="s">
        <v>14257</v>
      </c>
      <c r="QSQ29" t="s">
        <v>14258</v>
      </c>
      <c r="QSR29" t="s">
        <v>14259</v>
      </c>
      <c r="QSS29" t="s">
        <v>14260</v>
      </c>
      <c r="QST29" t="s">
        <v>14261</v>
      </c>
      <c r="QSU29" t="s">
        <v>14262</v>
      </c>
      <c r="QSV29" t="s">
        <v>14263</v>
      </c>
      <c r="QSW29" t="s">
        <v>14264</v>
      </c>
      <c r="QSX29" t="s">
        <v>14265</v>
      </c>
      <c r="QSY29" t="s">
        <v>14266</v>
      </c>
      <c r="QSZ29" t="s">
        <v>14267</v>
      </c>
      <c r="QTA29" t="s">
        <v>14268</v>
      </c>
      <c r="QTB29" t="s">
        <v>14269</v>
      </c>
      <c r="QTC29" t="s">
        <v>14270</v>
      </c>
      <c r="QTD29" t="s">
        <v>14271</v>
      </c>
      <c r="QTE29" t="s">
        <v>14272</v>
      </c>
      <c r="QTF29" t="s">
        <v>14273</v>
      </c>
      <c r="QTG29" t="s">
        <v>14274</v>
      </c>
      <c r="QTH29" t="s">
        <v>14275</v>
      </c>
      <c r="QTI29" t="s">
        <v>14276</v>
      </c>
      <c r="QTJ29" t="s">
        <v>14277</v>
      </c>
      <c r="QTK29" t="s">
        <v>14278</v>
      </c>
      <c r="QTL29" t="s">
        <v>14279</v>
      </c>
      <c r="QTM29" t="s">
        <v>14280</v>
      </c>
      <c r="QTN29" t="s">
        <v>14281</v>
      </c>
      <c r="QTO29" t="s">
        <v>14282</v>
      </c>
      <c r="QTP29" t="s">
        <v>14283</v>
      </c>
      <c r="QTQ29" t="s">
        <v>14284</v>
      </c>
      <c r="QTR29" t="s">
        <v>14285</v>
      </c>
      <c r="QTS29" t="s">
        <v>14286</v>
      </c>
      <c r="QTT29" t="s">
        <v>14287</v>
      </c>
      <c r="QTU29" t="s">
        <v>14288</v>
      </c>
      <c r="QTV29" t="s">
        <v>14289</v>
      </c>
      <c r="QTW29" t="s">
        <v>14290</v>
      </c>
      <c r="QTX29" t="s">
        <v>14291</v>
      </c>
      <c r="QTY29" t="s">
        <v>14292</v>
      </c>
      <c r="QTZ29" t="s">
        <v>14293</v>
      </c>
      <c r="QUA29" t="s">
        <v>14294</v>
      </c>
      <c r="QUB29" t="s">
        <v>14295</v>
      </c>
      <c r="QUC29" t="s">
        <v>14296</v>
      </c>
      <c r="QUD29" t="s">
        <v>14297</v>
      </c>
      <c r="QUE29" t="s">
        <v>14298</v>
      </c>
      <c r="QUF29" t="s">
        <v>14299</v>
      </c>
      <c r="QUG29" t="s">
        <v>14300</v>
      </c>
      <c r="QUH29" t="s">
        <v>14301</v>
      </c>
      <c r="QUI29" t="s">
        <v>14302</v>
      </c>
      <c r="QUJ29" t="s">
        <v>14303</v>
      </c>
      <c r="QUK29" t="s">
        <v>14304</v>
      </c>
      <c r="QUL29" t="s">
        <v>14305</v>
      </c>
      <c r="QUM29" t="s">
        <v>14306</v>
      </c>
      <c r="QUN29" t="s">
        <v>14307</v>
      </c>
      <c r="QUO29" t="s">
        <v>14308</v>
      </c>
      <c r="QUP29" t="s">
        <v>14309</v>
      </c>
      <c r="QUQ29" t="s">
        <v>14310</v>
      </c>
      <c r="QUR29" t="s">
        <v>14311</v>
      </c>
      <c r="QUS29" t="s">
        <v>14312</v>
      </c>
      <c r="QUT29" t="s">
        <v>14313</v>
      </c>
      <c r="QUU29" t="s">
        <v>14314</v>
      </c>
      <c r="QUV29" t="s">
        <v>14315</v>
      </c>
      <c r="QUW29" t="s">
        <v>14316</v>
      </c>
      <c r="QUX29" t="s">
        <v>14317</v>
      </c>
      <c r="QUY29" t="s">
        <v>14318</v>
      </c>
      <c r="QUZ29" t="s">
        <v>14319</v>
      </c>
      <c r="QVA29" t="s">
        <v>14320</v>
      </c>
      <c r="QVB29" t="s">
        <v>14321</v>
      </c>
      <c r="QVC29" t="s">
        <v>14322</v>
      </c>
      <c r="QVD29" t="s">
        <v>14323</v>
      </c>
      <c r="QVE29" t="s">
        <v>14324</v>
      </c>
      <c r="QVF29" t="s">
        <v>14325</v>
      </c>
      <c r="QVG29" t="s">
        <v>14326</v>
      </c>
      <c r="QVH29" t="s">
        <v>14327</v>
      </c>
      <c r="QVI29" t="s">
        <v>14328</v>
      </c>
      <c r="QVJ29" t="s">
        <v>14329</v>
      </c>
      <c r="QVK29" t="s">
        <v>14330</v>
      </c>
      <c r="QVL29" t="s">
        <v>14331</v>
      </c>
      <c r="QVM29" t="s">
        <v>14332</v>
      </c>
      <c r="QVN29" t="s">
        <v>14333</v>
      </c>
      <c r="QVO29" t="s">
        <v>14334</v>
      </c>
      <c r="QVP29" t="s">
        <v>14335</v>
      </c>
      <c r="QVQ29" t="s">
        <v>14336</v>
      </c>
      <c r="QVR29" t="s">
        <v>14337</v>
      </c>
      <c r="QVS29" t="s">
        <v>14338</v>
      </c>
      <c r="QVT29" t="s">
        <v>14339</v>
      </c>
      <c r="QVU29" t="s">
        <v>14340</v>
      </c>
      <c r="QVV29" t="s">
        <v>14341</v>
      </c>
      <c r="QVW29" t="s">
        <v>14342</v>
      </c>
      <c r="QVX29" t="s">
        <v>14343</v>
      </c>
      <c r="QVY29" t="s">
        <v>14344</v>
      </c>
      <c r="QVZ29" t="s">
        <v>14345</v>
      </c>
      <c r="QWA29" t="s">
        <v>14346</v>
      </c>
      <c r="QWB29" t="s">
        <v>14347</v>
      </c>
      <c r="QWC29" t="s">
        <v>14348</v>
      </c>
      <c r="QWD29" t="s">
        <v>14349</v>
      </c>
      <c r="QWE29" t="s">
        <v>14350</v>
      </c>
      <c r="QWF29" t="s">
        <v>14351</v>
      </c>
      <c r="QWG29" t="s">
        <v>14352</v>
      </c>
      <c r="QWH29" t="s">
        <v>14353</v>
      </c>
      <c r="QWI29" t="s">
        <v>14354</v>
      </c>
      <c r="QWJ29" t="s">
        <v>14355</v>
      </c>
      <c r="QWK29" t="s">
        <v>14356</v>
      </c>
      <c r="QWL29" t="s">
        <v>14357</v>
      </c>
      <c r="QWM29" t="s">
        <v>14358</v>
      </c>
      <c r="QWN29" t="s">
        <v>14359</v>
      </c>
      <c r="QWO29" t="s">
        <v>14360</v>
      </c>
      <c r="QWP29" t="s">
        <v>14361</v>
      </c>
      <c r="QWQ29" t="s">
        <v>14362</v>
      </c>
      <c r="QWR29" t="s">
        <v>14363</v>
      </c>
      <c r="QWS29" t="s">
        <v>14364</v>
      </c>
      <c r="QWT29" t="s">
        <v>14365</v>
      </c>
      <c r="QWU29" t="s">
        <v>14366</v>
      </c>
      <c r="QWV29" t="s">
        <v>14367</v>
      </c>
      <c r="QWW29" t="s">
        <v>14368</v>
      </c>
      <c r="QWX29" t="s">
        <v>14369</v>
      </c>
      <c r="QWY29" t="s">
        <v>14370</v>
      </c>
      <c r="QWZ29" t="s">
        <v>14371</v>
      </c>
      <c r="QXA29" t="s">
        <v>14372</v>
      </c>
      <c r="QXB29" t="s">
        <v>14373</v>
      </c>
      <c r="QXC29" t="s">
        <v>14374</v>
      </c>
      <c r="QXD29" t="s">
        <v>14375</v>
      </c>
      <c r="QXE29" t="s">
        <v>14376</v>
      </c>
      <c r="QXF29" t="s">
        <v>14377</v>
      </c>
      <c r="QXG29" t="s">
        <v>14378</v>
      </c>
      <c r="QXH29" t="s">
        <v>14379</v>
      </c>
      <c r="QXI29" t="s">
        <v>14380</v>
      </c>
      <c r="QXJ29" t="s">
        <v>14381</v>
      </c>
      <c r="QXK29" t="s">
        <v>14382</v>
      </c>
      <c r="QXL29" t="s">
        <v>14383</v>
      </c>
      <c r="QXM29" t="s">
        <v>14384</v>
      </c>
      <c r="QXN29" t="s">
        <v>14385</v>
      </c>
      <c r="QXO29" t="s">
        <v>14386</v>
      </c>
      <c r="QXP29" t="s">
        <v>14387</v>
      </c>
      <c r="QXQ29" t="s">
        <v>14388</v>
      </c>
      <c r="QXR29" t="s">
        <v>14389</v>
      </c>
      <c r="QXS29" t="s">
        <v>14390</v>
      </c>
      <c r="QXT29" t="s">
        <v>14391</v>
      </c>
      <c r="QXU29" t="s">
        <v>14392</v>
      </c>
      <c r="QXV29" t="s">
        <v>14393</v>
      </c>
      <c r="QXW29" t="s">
        <v>14394</v>
      </c>
      <c r="QXX29" t="s">
        <v>14395</v>
      </c>
      <c r="QXY29" t="s">
        <v>14396</v>
      </c>
      <c r="QXZ29" t="s">
        <v>14397</v>
      </c>
      <c r="QYA29" t="s">
        <v>14398</v>
      </c>
      <c r="QYB29" t="s">
        <v>14399</v>
      </c>
      <c r="QYC29" t="s">
        <v>14400</v>
      </c>
      <c r="QYD29" t="s">
        <v>14401</v>
      </c>
      <c r="QYE29" t="s">
        <v>14402</v>
      </c>
      <c r="QYF29" t="s">
        <v>14403</v>
      </c>
      <c r="QYG29" t="s">
        <v>14404</v>
      </c>
      <c r="QYH29" t="s">
        <v>14405</v>
      </c>
      <c r="QYI29" t="s">
        <v>14406</v>
      </c>
      <c r="QYJ29" t="s">
        <v>14407</v>
      </c>
      <c r="QYK29" t="s">
        <v>14408</v>
      </c>
      <c r="QYL29" t="s">
        <v>14409</v>
      </c>
      <c r="QYM29" t="s">
        <v>14410</v>
      </c>
      <c r="QYN29" t="s">
        <v>14411</v>
      </c>
      <c r="QYO29" t="s">
        <v>14412</v>
      </c>
      <c r="QYP29" t="s">
        <v>14413</v>
      </c>
      <c r="QYQ29" t="s">
        <v>14414</v>
      </c>
      <c r="QYR29" t="s">
        <v>14415</v>
      </c>
      <c r="QYS29" t="s">
        <v>14416</v>
      </c>
      <c r="QYT29" t="s">
        <v>14417</v>
      </c>
      <c r="QYU29" t="s">
        <v>14418</v>
      </c>
      <c r="QYV29" t="s">
        <v>14419</v>
      </c>
      <c r="QYW29" t="s">
        <v>14420</v>
      </c>
      <c r="QYX29" t="s">
        <v>14421</v>
      </c>
      <c r="QYY29" t="s">
        <v>14422</v>
      </c>
      <c r="QYZ29" t="s">
        <v>14423</v>
      </c>
      <c r="QZA29" t="s">
        <v>14424</v>
      </c>
      <c r="QZB29" t="s">
        <v>14425</v>
      </c>
      <c r="QZC29" t="s">
        <v>14426</v>
      </c>
      <c r="QZD29" t="s">
        <v>14427</v>
      </c>
      <c r="QZE29" t="s">
        <v>14428</v>
      </c>
      <c r="QZF29" t="s">
        <v>14429</v>
      </c>
      <c r="QZG29" t="s">
        <v>14430</v>
      </c>
      <c r="QZH29" t="s">
        <v>14431</v>
      </c>
      <c r="QZI29" t="s">
        <v>14432</v>
      </c>
      <c r="QZJ29" t="s">
        <v>14433</v>
      </c>
      <c r="QZK29" t="s">
        <v>14434</v>
      </c>
      <c r="QZL29" t="s">
        <v>14435</v>
      </c>
      <c r="QZM29" t="s">
        <v>14436</v>
      </c>
      <c r="QZN29" t="s">
        <v>14437</v>
      </c>
      <c r="QZO29" t="s">
        <v>14438</v>
      </c>
      <c r="QZP29" t="s">
        <v>14439</v>
      </c>
      <c r="QZQ29" t="s">
        <v>14440</v>
      </c>
      <c r="QZR29" t="s">
        <v>14441</v>
      </c>
      <c r="QZS29" t="s">
        <v>14442</v>
      </c>
      <c r="QZT29" t="s">
        <v>14443</v>
      </c>
      <c r="QZU29" t="s">
        <v>14444</v>
      </c>
      <c r="QZV29" t="s">
        <v>14445</v>
      </c>
      <c r="QZW29" t="s">
        <v>14446</v>
      </c>
      <c r="QZX29" t="s">
        <v>14447</v>
      </c>
      <c r="QZY29" t="s">
        <v>14448</v>
      </c>
      <c r="QZZ29" t="s">
        <v>14449</v>
      </c>
      <c r="RAA29" t="s">
        <v>14450</v>
      </c>
      <c r="RAB29" t="s">
        <v>14451</v>
      </c>
      <c r="RAC29" t="s">
        <v>14452</v>
      </c>
      <c r="RAD29" t="s">
        <v>14453</v>
      </c>
      <c r="RAE29" t="s">
        <v>14454</v>
      </c>
      <c r="RAF29" t="s">
        <v>14455</v>
      </c>
      <c r="RAG29" t="s">
        <v>14456</v>
      </c>
      <c r="RAH29" t="s">
        <v>14457</v>
      </c>
      <c r="RAI29" t="s">
        <v>14458</v>
      </c>
      <c r="RAJ29" t="s">
        <v>14459</v>
      </c>
      <c r="RAK29" t="s">
        <v>14460</v>
      </c>
      <c r="RAL29" t="s">
        <v>14461</v>
      </c>
      <c r="RAM29" t="s">
        <v>14462</v>
      </c>
      <c r="RAN29" t="s">
        <v>14463</v>
      </c>
      <c r="RAO29" t="s">
        <v>14464</v>
      </c>
      <c r="RAP29" t="s">
        <v>14465</v>
      </c>
      <c r="RAQ29" t="s">
        <v>14466</v>
      </c>
      <c r="RAR29" t="s">
        <v>14467</v>
      </c>
      <c r="RAS29" t="s">
        <v>14468</v>
      </c>
      <c r="RAT29" t="s">
        <v>14469</v>
      </c>
      <c r="RAU29" t="s">
        <v>14470</v>
      </c>
      <c r="RAV29" t="s">
        <v>14471</v>
      </c>
      <c r="RAW29" t="s">
        <v>14472</v>
      </c>
      <c r="RAX29" t="s">
        <v>14473</v>
      </c>
      <c r="RAY29" t="s">
        <v>14474</v>
      </c>
      <c r="RAZ29" t="s">
        <v>14475</v>
      </c>
      <c r="RBA29" t="s">
        <v>14476</v>
      </c>
      <c r="RBB29" t="s">
        <v>14477</v>
      </c>
      <c r="RBC29" t="s">
        <v>14478</v>
      </c>
      <c r="RBD29" t="s">
        <v>14479</v>
      </c>
      <c r="RBE29" t="s">
        <v>14480</v>
      </c>
      <c r="RBF29" t="s">
        <v>14481</v>
      </c>
      <c r="RBG29" t="s">
        <v>14482</v>
      </c>
      <c r="RBH29" t="s">
        <v>14483</v>
      </c>
      <c r="RBI29" t="s">
        <v>14484</v>
      </c>
      <c r="RBJ29" t="s">
        <v>14485</v>
      </c>
      <c r="RBK29" t="s">
        <v>14486</v>
      </c>
      <c r="RBL29" t="s">
        <v>14487</v>
      </c>
      <c r="RBM29" t="s">
        <v>14488</v>
      </c>
      <c r="RBN29" t="s">
        <v>14489</v>
      </c>
      <c r="RBO29" t="s">
        <v>14490</v>
      </c>
      <c r="RBP29" t="s">
        <v>14491</v>
      </c>
      <c r="RBQ29" t="s">
        <v>14492</v>
      </c>
      <c r="RBR29" t="s">
        <v>14493</v>
      </c>
      <c r="RBS29" t="s">
        <v>14494</v>
      </c>
      <c r="RBT29" t="s">
        <v>14495</v>
      </c>
      <c r="RBU29" t="s">
        <v>14496</v>
      </c>
      <c r="RBV29" t="s">
        <v>14497</v>
      </c>
      <c r="RBW29" t="s">
        <v>14498</v>
      </c>
      <c r="RBX29" t="s">
        <v>14499</v>
      </c>
      <c r="RBY29" t="s">
        <v>14500</v>
      </c>
      <c r="RBZ29" t="s">
        <v>14501</v>
      </c>
      <c r="RCA29" t="s">
        <v>14502</v>
      </c>
      <c r="RCB29" t="s">
        <v>14503</v>
      </c>
      <c r="RCC29" t="s">
        <v>14504</v>
      </c>
      <c r="RCD29" t="s">
        <v>14505</v>
      </c>
      <c r="RCE29" t="s">
        <v>14506</v>
      </c>
      <c r="RCF29" t="s">
        <v>14507</v>
      </c>
      <c r="RCG29" t="s">
        <v>14508</v>
      </c>
      <c r="RCH29" t="s">
        <v>14509</v>
      </c>
      <c r="RCI29" t="s">
        <v>14510</v>
      </c>
      <c r="RCJ29" t="s">
        <v>14511</v>
      </c>
      <c r="RCK29" t="s">
        <v>14512</v>
      </c>
      <c r="RCL29" t="s">
        <v>14513</v>
      </c>
      <c r="RCM29" t="s">
        <v>14514</v>
      </c>
      <c r="RCN29" t="s">
        <v>14515</v>
      </c>
      <c r="RCO29" t="s">
        <v>14516</v>
      </c>
      <c r="RCP29" t="s">
        <v>14517</v>
      </c>
      <c r="RCQ29" t="s">
        <v>14518</v>
      </c>
      <c r="RCR29" t="s">
        <v>14519</v>
      </c>
      <c r="RCS29" t="s">
        <v>14520</v>
      </c>
      <c r="RCT29" t="s">
        <v>14521</v>
      </c>
      <c r="RCU29" t="s">
        <v>14522</v>
      </c>
      <c r="RCV29" t="s">
        <v>14523</v>
      </c>
      <c r="RCW29" t="s">
        <v>14524</v>
      </c>
      <c r="RCX29" t="s">
        <v>14525</v>
      </c>
      <c r="RCY29" t="s">
        <v>14526</v>
      </c>
      <c r="RCZ29" t="s">
        <v>14527</v>
      </c>
      <c r="RDA29" t="s">
        <v>14528</v>
      </c>
      <c r="RDB29" t="s">
        <v>14529</v>
      </c>
      <c r="RDC29" t="s">
        <v>14530</v>
      </c>
      <c r="RDD29" t="s">
        <v>14531</v>
      </c>
      <c r="RDE29" t="s">
        <v>14532</v>
      </c>
      <c r="RDF29" t="s">
        <v>14533</v>
      </c>
      <c r="RDG29" t="s">
        <v>14534</v>
      </c>
      <c r="RDH29" t="s">
        <v>14535</v>
      </c>
      <c r="RDI29" t="s">
        <v>14536</v>
      </c>
      <c r="RDJ29" t="s">
        <v>14537</v>
      </c>
      <c r="RDK29" t="s">
        <v>14538</v>
      </c>
      <c r="RDL29" t="s">
        <v>14539</v>
      </c>
      <c r="RDM29" t="s">
        <v>14540</v>
      </c>
      <c r="RDN29" t="s">
        <v>14541</v>
      </c>
      <c r="RDO29" t="s">
        <v>14542</v>
      </c>
      <c r="RDP29" t="s">
        <v>14543</v>
      </c>
      <c r="RDQ29" t="s">
        <v>14544</v>
      </c>
      <c r="RDR29" t="s">
        <v>14545</v>
      </c>
      <c r="RDS29" t="s">
        <v>14546</v>
      </c>
      <c r="RDT29" t="s">
        <v>14547</v>
      </c>
      <c r="RDU29" t="s">
        <v>14548</v>
      </c>
      <c r="RDV29" t="s">
        <v>14549</v>
      </c>
      <c r="RDW29" t="s">
        <v>14550</v>
      </c>
      <c r="RDX29" t="s">
        <v>14551</v>
      </c>
      <c r="RDY29" t="s">
        <v>14552</v>
      </c>
      <c r="RDZ29" t="s">
        <v>14553</v>
      </c>
      <c r="REA29" t="s">
        <v>14554</v>
      </c>
      <c r="REB29" t="s">
        <v>14555</v>
      </c>
      <c r="REC29" t="s">
        <v>14556</v>
      </c>
      <c r="RED29" t="s">
        <v>14557</v>
      </c>
      <c r="REE29" t="s">
        <v>14558</v>
      </c>
      <c r="REF29" t="s">
        <v>14559</v>
      </c>
      <c r="REG29" t="s">
        <v>14560</v>
      </c>
      <c r="REH29" t="s">
        <v>14561</v>
      </c>
      <c r="REI29" t="s">
        <v>14562</v>
      </c>
      <c r="REJ29" t="s">
        <v>14563</v>
      </c>
      <c r="REK29" t="s">
        <v>14564</v>
      </c>
      <c r="REL29" t="s">
        <v>14565</v>
      </c>
      <c r="REM29" t="s">
        <v>14566</v>
      </c>
      <c r="REN29" t="s">
        <v>14567</v>
      </c>
      <c r="REO29" t="s">
        <v>14568</v>
      </c>
      <c r="REP29" t="s">
        <v>14569</v>
      </c>
      <c r="REQ29" t="s">
        <v>14570</v>
      </c>
      <c r="RER29" t="s">
        <v>14571</v>
      </c>
      <c r="RES29" t="s">
        <v>14572</v>
      </c>
      <c r="RET29" t="s">
        <v>14573</v>
      </c>
      <c r="REU29" t="s">
        <v>14574</v>
      </c>
      <c r="REV29" t="s">
        <v>14575</v>
      </c>
      <c r="REW29" t="s">
        <v>14576</v>
      </c>
      <c r="REX29" t="s">
        <v>14577</v>
      </c>
      <c r="REY29" t="s">
        <v>14578</v>
      </c>
      <c r="REZ29" t="s">
        <v>14579</v>
      </c>
      <c r="RFA29" t="s">
        <v>14580</v>
      </c>
      <c r="RFB29" t="s">
        <v>14581</v>
      </c>
      <c r="RFC29" t="s">
        <v>14582</v>
      </c>
      <c r="RFD29" t="s">
        <v>14583</v>
      </c>
      <c r="RFE29" t="s">
        <v>14584</v>
      </c>
      <c r="RFF29" t="s">
        <v>14585</v>
      </c>
      <c r="RFG29" t="s">
        <v>14586</v>
      </c>
      <c r="RFH29" t="s">
        <v>14587</v>
      </c>
      <c r="RFI29" t="s">
        <v>14588</v>
      </c>
      <c r="RFJ29" t="s">
        <v>14589</v>
      </c>
      <c r="RFK29" t="s">
        <v>14590</v>
      </c>
      <c r="RFL29" t="s">
        <v>14591</v>
      </c>
      <c r="RFM29" t="s">
        <v>14592</v>
      </c>
      <c r="RFN29" t="s">
        <v>14593</v>
      </c>
      <c r="RFO29" t="s">
        <v>14594</v>
      </c>
      <c r="RFP29" t="s">
        <v>14595</v>
      </c>
      <c r="RFQ29" t="s">
        <v>14596</v>
      </c>
      <c r="RFR29" t="s">
        <v>14597</v>
      </c>
      <c r="RFS29" t="s">
        <v>14598</v>
      </c>
      <c r="RFT29" t="s">
        <v>14599</v>
      </c>
      <c r="RFU29" t="s">
        <v>14600</v>
      </c>
      <c r="RFV29" t="s">
        <v>14601</v>
      </c>
      <c r="RFW29" t="s">
        <v>14602</v>
      </c>
      <c r="RFX29" t="s">
        <v>14603</v>
      </c>
      <c r="RFY29" t="s">
        <v>14604</v>
      </c>
      <c r="RFZ29" t="s">
        <v>14605</v>
      </c>
      <c r="RGA29" t="s">
        <v>14606</v>
      </c>
      <c r="RGB29" t="s">
        <v>14607</v>
      </c>
      <c r="RGC29" t="s">
        <v>14608</v>
      </c>
      <c r="RGD29" t="s">
        <v>14609</v>
      </c>
      <c r="RGE29" t="s">
        <v>14610</v>
      </c>
      <c r="RGF29" t="s">
        <v>14611</v>
      </c>
      <c r="RGG29" t="s">
        <v>14612</v>
      </c>
      <c r="RGH29" t="s">
        <v>14613</v>
      </c>
      <c r="RGI29" t="s">
        <v>14614</v>
      </c>
      <c r="RGJ29" t="s">
        <v>14615</v>
      </c>
      <c r="RGK29" t="s">
        <v>14616</v>
      </c>
      <c r="RGL29" t="s">
        <v>14617</v>
      </c>
      <c r="RGM29" t="s">
        <v>14618</v>
      </c>
      <c r="RGN29" t="s">
        <v>14619</v>
      </c>
      <c r="RGO29" t="s">
        <v>14620</v>
      </c>
      <c r="RGP29" t="s">
        <v>14621</v>
      </c>
      <c r="RGQ29" t="s">
        <v>14622</v>
      </c>
      <c r="RGR29" t="s">
        <v>14623</v>
      </c>
      <c r="RGS29" t="s">
        <v>14624</v>
      </c>
      <c r="RGT29" t="s">
        <v>14625</v>
      </c>
      <c r="RGU29" t="s">
        <v>14626</v>
      </c>
      <c r="RGV29" t="s">
        <v>14627</v>
      </c>
      <c r="RGW29" t="s">
        <v>14628</v>
      </c>
      <c r="RGX29" t="s">
        <v>14629</v>
      </c>
      <c r="RGY29" t="s">
        <v>14630</v>
      </c>
      <c r="RGZ29" t="s">
        <v>14631</v>
      </c>
      <c r="RHA29" t="s">
        <v>14632</v>
      </c>
      <c r="RHB29" t="s">
        <v>14633</v>
      </c>
      <c r="RHC29" t="s">
        <v>14634</v>
      </c>
      <c r="RHD29" t="s">
        <v>14635</v>
      </c>
      <c r="RHE29" t="s">
        <v>14636</v>
      </c>
      <c r="RHF29" t="s">
        <v>14637</v>
      </c>
      <c r="RHG29" t="s">
        <v>14638</v>
      </c>
      <c r="RHH29" t="s">
        <v>14639</v>
      </c>
      <c r="RHI29" t="s">
        <v>14640</v>
      </c>
      <c r="RHJ29" t="s">
        <v>14641</v>
      </c>
      <c r="RHK29" t="s">
        <v>14642</v>
      </c>
      <c r="RHL29" t="s">
        <v>14643</v>
      </c>
      <c r="RHM29" t="s">
        <v>14644</v>
      </c>
      <c r="RHN29" t="s">
        <v>14645</v>
      </c>
      <c r="RHO29" t="s">
        <v>14646</v>
      </c>
      <c r="RHP29" t="s">
        <v>14647</v>
      </c>
      <c r="RHQ29" t="s">
        <v>14648</v>
      </c>
      <c r="RHR29" t="s">
        <v>14649</v>
      </c>
      <c r="RHS29" t="s">
        <v>14650</v>
      </c>
      <c r="RHT29" t="s">
        <v>14651</v>
      </c>
      <c r="RHU29" t="s">
        <v>14652</v>
      </c>
      <c r="RHV29" t="s">
        <v>14653</v>
      </c>
      <c r="RHW29" t="s">
        <v>14654</v>
      </c>
      <c r="RHX29" t="s">
        <v>14655</v>
      </c>
      <c r="RHY29" t="s">
        <v>14656</v>
      </c>
      <c r="RHZ29" t="s">
        <v>14657</v>
      </c>
      <c r="RIA29" t="s">
        <v>14658</v>
      </c>
      <c r="RIB29" t="s">
        <v>14659</v>
      </c>
      <c r="RIC29" t="s">
        <v>14660</v>
      </c>
      <c r="RID29" t="s">
        <v>14661</v>
      </c>
      <c r="RIE29" t="s">
        <v>14662</v>
      </c>
      <c r="RIF29" t="s">
        <v>14663</v>
      </c>
      <c r="RIG29" t="s">
        <v>14664</v>
      </c>
      <c r="RIH29" t="s">
        <v>14665</v>
      </c>
      <c r="RII29" t="s">
        <v>14666</v>
      </c>
      <c r="RIJ29" t="s">
        <v>14667</v>
      </c>
      <c r="RIK29" t="s">
        <v>14668</v>
      </c>
      <c r="RIL29" t="s">
        <v>14669</v>
      </c>
      <c r="RIM29" t="s">
        <v>14670</v>
      </c>
      <c r="RIN29" t="s">
        <v>14671</v>
      </c>
      <c r="RIO29" t="s">
        <v>14672</v>
      </c>
      <c r="RIP29" t="s">
        <v>14673</v>
      </c>
      <c r="RIQ29" t="s">
        <v>14674</v>
      </c>
      <c r="RIR29" t="s">
        <v>14675</v>
      </c>
      <c r="RIS29" t="s">
        <v>14676</v>
      </c>
      <c r="RIT29" t="s">
        <v>14677</v>
      </c>
      <c r="RIU29" t="s">
        <v>14678</v>
      </c>
      <c r="RIV29" t="s">
        <v>14679</v>
      </c>
      <c r="RIW29" t="s">
        <v>14680</v>
      </c>
      <c r="RIX29" t="s">
        <v>14681</v>
      </c>
      <c r="RIY29" t="s">
        <v>14682</v>
      </c>
      <c r="RIZ29" t="s">
        <v>14683</v>
      </c>
      <c r="RJA29" t="s">
        <v>14684</v>
      </c>
      <c r="RJB29" t="s">
        <v>14685</v>
      </c>
      <c r="RJC29" t="s">
        <v>14686</v>
      </c>
      <c r="RJD29" t="s">
        <v>14687</v>
      </c>
      <c r="RJE29" t="s">
        <v>14688</v>
      </c>
      <c r="RJF29" t="s">
        <v>14689</v>
      </c>
      <c r="RJG29" t="s">
        <v>14690</v>
      </c>
      <c r="RJH29" t="s">
        <v>14691</v>
      </c>
      <c r="RJI29" t="s">
        <v>14692</v>
      </c>
      <c r="RJJ29" t="s">
        <v>14693</v>
      </c>
      <c r="RJK29" t="s">
        <v>14694</v>
      </c>
      <c r="RJL29" t="s">
        <v>14695</v>
      </c>
      <c r="RJM29" t="s">
        <v>14696</v>
      </c>
      <c r="RJN29" t="s">
        <v>14697</v>
      </c>
      <c r="RJO29" t="s">
        <v>14698</v>
      </c>
      <c r="RJP29" t="s">
        <v>14699</v>
      </c>
      <c r="RJQ29" t="s">
        <v>14700</v>
      </c>
      <c r="RJR29" t="s">
        <v>14701</v>
      </c>
      <c r="RJS29" t="s">
        <v>14702</v>
      </c>
      <c r="RJT29" t="s">
        <v>14703</v>
      </c>
      <c r="RJU29" t="s">
        <v>14704</v>
      </c>
      <c r="RJV29" t="s">
        <v>14705</v>
      </c>
      <c r="RJW29" t="s">
        <v>14706</v>
      </c>
      <c r="RJX29" t="s">
        <v>14707</v>
      </c>
      <c r="RJY29" t="s">
        <v>14708</v>
      </c>
      <c r="RJZ29" t="s">
        <v>14709</v>
      </c>
      <c r="RKA29" t="s">
        <v>14710</v>
      </c>
      <c r="RKB29" t="s">
        <v>14711</v>
      </c>
      <c r="RKC29" t="s">
        <v>14712</v>
      </c>
      <c r="RKD29" t="s">
        <v>14713</v>
      </c>
      <c r="RKE29" t="s">
        <v>14714</v>
      </c>
      <c r="RKF29" t="s">
        <v>14715</v>
      </c>
      <c r="RKG29" t="s">
        <v>14716</v>
      </c>
      <c r="RKH29" t="s">
        <v>14717</v>
      </c>
      <c r="RKI29" t="s">
        <v>14718</v>
      </c>
      <c r="RKJ29" t="s">
        <v>14719</v>
      </c>
      <c r="RKK29" t="s">
        <v>14720</v>
      </c>
      <c r="RKL29" t="s">
        <v>14721</v>
      </c>
      <c r="RKM29" t="s">
        <v>14722</v>
      </c>
      <c r="RKN29" t="s">
        <v>14723</v>
      </c>
      <c r="RKO29" t="s">
        <v>14724</v>
      </c>
      <c r="RKP29" t="s">
        <v>14725</v>
      </c>
      <c r="RKQ29" t="s">
        <v>14726</v>
      </c>
      <c r="RKR29" t="s">
        <v>14727</v>
      </c>
      <c r="RKS29" t="s">
        <v>14728</v>
      </c>
      <c r="RKT29" t="s">
        <v>14729</v>
      </c>
      <c r="RKU29" t="s">
        <v>14730</v>
      </c>
      <c r="RKV29" t="s">
        <v>14731</v>
      </c>
      <c r="RKW29" t="s">
        <v>14732</v>
      </c>
      <c r="RKX29" t="s">
        <v>14733</v>
      </c>
      <c r="RKY29" t="s">
        <v>14734</v>
      </c>
      <c r="RKZ29" t="s">
        <v>14735</v>
      </c>
      <c r="RLA29" t="s">
        <v>14736</v>
      </c>
      <c r="RLB29" t="s">
        <v>14737</v>
      </c>
      <c r="RLC29" t="s">
        <v>14738</v>
      </c>
      <c r="RLD29" t="s">
        <v>14739</v>
      </c>
      <c r="RLE29" t="s">
        <v>14740</v>
      </c>
      <c r="RLF29" t="s">
        <v>14741</v>
      </c>
      <c r="RLG29" t="s">
        <v>14742</v>
      </c>
      <c r="RLH29" t="s">
        <v>14743</v>
      </c>
      <c r="RLI29" t="s">
        <v>14744</v>
      </c>
      <c r="RLJ29" t="s">
        <v>14745</v>
      </c>
      <c r="RLK29" t="s">
        <v>14746</v>
      </c>
      <c r="RLL29" t="s">
        <v>14747</v>
      </c>
      <c r="RLM29" t="s">
        <v>14748</v>
      </c>
      <c r="RLN29" t="s">
        <v>14749</v>
      </c>
      <c r="RLO29" t="s">
        <v>14750</v>
      </c>
      <c r="RLP29" t="s">
        <v>14751</v>
      </c>
      <c r="RLQ29" t="s">
        <v>14752</v>
      </c>
      <c r="RLR29" t="s">
        <v>14753</v>
      </c>
      <c r="RLS29" t="s">
        <v>14754</v>
      </c>
      <c r="RLT29" t="s">
        <v>14755</v>
      </c>
      <c r="RLU29" t="s">
        <v>14756</v>
      </c>
      <c r="RLV29" t="s">
        <v>14757</v>
      </c>
      <c r="RLW29" t="s">
        <v>14758</v>
      </c>
      <c r="RLX29" t="s">
        <v>14759</v>
      </c>
      <c r="RLY29" t="s">
        <v>14760</v>
      </c>
      <c r="RLZ29" t="s">
        <v>14761</v>
      </c>
      <c r="RMA29" t="s">
        <v>14762</v>
      </c>
      <c r="RMB29" t="s">
        <v>14763</v>
      </c>
      <c r="RMC29" t="s">
        <v>14764</v>
      </c>
      <c r="RMD29" t="s">
        <v>14765</v>
      </c>
      <c r="RME29" t="s">
        <v>14766</v>
      </c>
      <c r="RMF29" t="s">
        <v>14767</v>
      </c>
      <c r="RMG29" t="s">
        <v>14768</v>
      </c>
      <c r="RMH29" t="s">
        <v>14769</v>
      </c>
      <c r="RMI29" t="s">
        <v>14770</v>
      </c>
      <c r="RMJ29" t="s">
        <v>14771</v>
      </c>
      <c r="RMK29" t="s">
        <v>14772</v>
      </c>
      <c r="RML29" t="s">
        <v>14773</v>
      </c>
      <c r="RMM29" t="s">
        <v>14774</v>
      </c>
      <c r="RMN29" t="s">
        <v>14775</v>
      </c>
      <c r="RMO29" t="s">
        <v>14776</v>
      </c>
      <c r="RMP29" t="s">
        <v>14777</v>
      </c>
      <c r="RMQ29" t="s">
        <v>14778</v>
      </c>
      <c r="RMR29" t="s">
        <v>14779</v>
      </c>
      <c r="RMS29" t="s">
        <v>14780</v>
      </c>
      <c r="RMT29" t="s">
        <v>14781</v>
      </c>
      <c r="RMU29" t="s">
        <v>14782</v>
      </c>
      <c r="RMV29" t="s">
        <v>14783</v>
      </c>
      <c r="RMW29" t="s">
        <v>14784</v>
      </c>
      <c r="RMX29" t="s">
        <v>14785</v>
      </c>
      <c r="RMY29" t="s">
        <v>14786</v>
      </c>
      <c r="RMZ29" t="s">
        <v>14787</v>
      </c>
      <c r="RNA29" t="s">
        <v>14788</v>
      </c>
      <c r="RNB29" t="s">
        <v>14789</v>
      </c>
      <c r="RNC29" t="s">
        <v>14790</v>
      </c>
      <c r="RND29" t="s">
        <v>14791</v>
      </c>
      <c r="RNE29" t="s">
        <v>14792</v>
      </c>
      <c r="RNF29" t="s">
        <v>14793</v>
      </c>
      <c r="RNG29" t="s">
        <v>14794</v>
      </c>
      <c r="RNH29" t="s">
        <v>14795</v>
      </c>
      <c r="RNI29" t="s">
        <v>14796</v>
      </c>
      <c r="RNJ29" t="s">
        <v>14797</v>
      </c>
      <c r="RNK29" t="s">
        <v>14798</v>
      </c>
      <c r="RNL29" t="s">
        <v>14799</v>
      </c>
      <c r="RNM29" t="s">
        <v>14800</v>
      </c>
      <c r="RNN29" t="s">
        <v>14801</v>
      </c>
      <c r="RNO29" t="s">
        <v>14802</v>
      </c>
      <c r="RNP29" t="s">
        <v>14803</v>
      </c>
      <c r="RNQ29" t="s">
        <v>14804</v>
      </c>
      <c r="RNR29" t="s">
        <v>14805</v>
      </c>
      <c r="RNS29" t="s">
        <v>14806</v>
      </c>
      <c r="RNT29" t="s">
        <v>14807</v>
      </c>
      <c r="RNU29" t="s">
        <v>14808</v>
      </c>
      <c r="RNV29" t="s">
        <v>14809</v>
      </c>
      <c r="RNW29" t="s">
        <v>14810</v>
      </c>
      <c r="RNX29" t="s">
        <v>14811</v>
      </c>
      <c r="RNY29" t="s">
        <v>14812</v>
      </c>
      <c r="RNZ29" t="s">
        <v>14813</v>
      </c>
      <c r="ROA29" t="s">
        <v>14814</v>
      </c>
      <c r="ROB29" t="s">
        <v>14815</v>
      </c>
      <c r="ROC29" t="s">
        <v>14816</v>
      </c>
      <c r="ROD29" t="s">
        <v>14817</v>
      </c>
      <c r="ROE29" t="s">
        <v>14818</v>
      </c>
      <c r="ROF29" t="s">
        <v>14819</v>
      </c>
      <c r="ROG29" t="s">
        <v>14820</v>
      </c>
      <c r="ROH29" t="s">
        <v>14821</v>
      </c>
      <c r="ROI29" t="s">
        <v>14822</v>
      </c>
      <c r="ROJ29" t="s">
        <v>14823</v>
      </c>
      <c r="ROK29" t="s">
        <v>14824</v>
      </c>
      <c r="ROL29" t="s">
        <v>14825</v>
      </c>
      <c r="ROM29" t="s">
        <v>14826</v>
      </c>
      <c r="RON29" t="s">
        <v>14827</v>
      </c>
      <c r="ROO29" t="s">
        <v>14828</v>
      </c>
      <c r="ROP29" t="s">
        <v>14829</v>
      </c>
      <c r="ROQ29" t="s">
        <v>14830</v>
      </c>
      <c r="ROR29" t="s">
        <v>14831</v>
      </c>
      <c r="ROS29" t="s">
        <v>14832</v>
      </c>
      <c r="ROT29" t="s">
        <v>14833</v>
      </c>
      <c r="ROU29" t="s">
        <v>14834</v>
      </c>
      <c r="ROV29" t="s">
        <v>14835</v>
      </c>
      <c r="ROW29" t="s">
        <v>14836</v>
      </c>
      <c r="ROX29" t="s">
        <v>14837</v>
      </c>
      <c r="ROY29" t="s">
        <v>14838</v>
      </c>
      <c r="ROZ29" t="s">
        <v>14839</v>
      </c>
      <c r="RPA29" t="s">
        <v>14840</v>
      </c>
      <c r="RPB29" t="s">
        <v>14841</v>
      </c>
      <c r="RPC29" t="s">
        <v>14842</v>
      </c>
      <c r="RPD29" t="s">
        <v>14843</v>
      </c>
      <c r="RPE29" t="s">
        <v>14844</v>
      </c>
      <c r="RPF29" t="s">
        <v>14845</v>
      </c>
      <c r="RPG29" t="s">
        <v>14846</v>
      </c>
      <c r="RPH29" t="s">
        <v>14847</v>
      </c>
      <c r="RPI29" t="s">
        <v>14848</v>
      </c>
      <c r="RPJ29" t="s">
        <v>14849</v>
      </c>
      <c r="RPK29" t="s">
        <v>14850</v>
      </c>
      <c r="RPL29" t="s">
        <v>14851</v>
      </c>
      <c r="RPM29" t="s">
        <v>14852</v>
      </c>
      <c r="RPN29" t="s">
        <v>14853</v>
      </c>
      <c r="RPO29" t="s">
        <v>14854</v>
      </c>
      <c r="RPP29" t="s">
        <v>14855</v>
      </c>
      <c r="RPQ29" t="s">
        <v>14856</v>
      </c>
      <c r="RPR29" t="s">
        <v>14857</v>
      </c>
      <c r="RPS29" t="s">
        <v>14858</v>
      </c>
      <c r="RPT29" t="s">
        <v>14859</v>
      </c>
      <c r="RPU29" t="s">
        <v>14860</v>
      </c>
      <c r="RPV29" t="s">
        <v>14861</v>
      </c>
      <c r="RPW29" t="s">
        <v>14862</v>
      </c>
      <c r="RPX29" t="s">
        <v>14863</v>
      </c>
      <c r="RPY29" t="s">
        <v>14864</v>
      </c>
      <c r="RPZ29" t="s">
        <v>14865</v>
      </c>
      <c r="RQA29" t="s">
        <v>14866</v>
      </c>
      <c r="RQB29" t="s">
        <v>14867</v>
      </c>
      <c r="RQC29" t="s">
        <v>14868</v>
      </c>
      <c r="RQD29" t="s">
        <v>14869</v>
      </c>
      <c r="RQE29" t="s">
        <v>14870</v>
      </c>
      <c r="RQF29" t="s">
        <v>14871</v>
      </c>
      <c r="RQG29" t="s">
        <v>14872</v>
      </c>
      <c r="RQH29" t="s">
        <v>14873</v>
      </c>
      <c r="RQI29" t="s">
        <v>14874</v>
      </c>
      <c r="RQJ29" t="s">
        <v>14875</v>
      </c>
      <c r="RQK29" t="s">
        <v>14876</v>
      </c>
      <c r="RQL29" t="s">
        <v>14877</v>
      </c>
      <c r="RQM29" t="s">
        <v>14878</v>
      </c>
      <c r="RQN29" t="s">
        <v>14879</v>
      </c>
      <c r="RQO29" t="s">
        <v>14880</v>
      </c>
      <c r="RQP29" t="s">
        <v>14881</v>
      </c>
      <c r="RQQ29" t="s">
        <v>14882</v>
      </c>
      <c r="RQR29" t="s">
        <v>14883</v>
      </c>
      <c r="RQS29" t="s">
        <v>14884</v>
      </c>
      <c r="RQT29" t="s">
        <v>14885</v>
      </c>
      <c r="RQU29" t="s">
        <v>14886</v>
      </c>
      <c r="RQV29" t="s">
        <v>14887</v>
      </c>
      <c r="RQW29" t="s">
        <v>14888</v>
      </c>
      <c r="RQX29" t="s">
        <v>14889</v>
      </c>
      <c r="RQY29" t="s">
        <v>14890</v>
      </c>
      <c r="RQZ29" t="s">
        <v>14891</v>
      </c>
      <c r="RRA29" t="s">
        <v>14892</v>
      </c>
      <c r="RRB29" t="s">
        <v>14893</v>
      </c>
      <c r="RRC29" t="s">
        <v>14894</v>
      </c>
      <c r="RRD29" t="s">
        <v>14895</v>
      </c>
      <c r="RRE29" t="s">
        <v>14896</v>
      </c>
      <c r="RRF29" t="s">
        <v>14897</v>
      </c>
      <c r="RRG29" t="s">
        <v>14898</v>
      </c>
      <c r="RRH29" t="s">
        <v>14899</v>
      </c>
      <c r="RRI29" t="s">
        <v>14900</v>
      </c>
      <c r="RRJ29" t="s">
        <v>14901</v>
      </c>
      <c r="RRK29" t="s">
        <v>14902</v>
      </c>
      <c r="RRL29" t="s">
        <v>14903</v>
      </c>
      <c r="RRM29" t="s">
        <v>14904</v>
      </c>
      <c r="RRN29" t="s">
        <v>14905</v>
      </c>
      <c r="RRO29" t="s">
        <v>14906</v>
      </c>
      <c r="RRP29" t="s">
        <v>14907</v>
      </c>
      <c r="RRQ29" t="s">
        <v>14908</v>
      </c>
      <c r="RRR29" t="s">
        <v>14909</v>
      </c>
      <c r="RRS29" t="s">
        <v>14910</v>
      </c>
      <c r="RRT29" t="s">
        <v>14911</v>
      </c>
      <c r="RRU29" t="s">
        <v>14912</v>
      </c>
      <c r="RRV29" t="s">
        <v>14913</v>
      </c>
      <c r="RRW29" t="s">
        <v>14914</v>
      </c>
      <c r="RRX29" t="s">
        <v>14915</v>
      </c>
      <c r="RRY29" t="s">
        <v>14916</v>
      </c>
      <c r="RRZ29" t="s">
        <v>14917</v>
      </c>
      <c r="RSA29" t="s">
        <v>14918</v>
      </c>
      <c r="RSB29" t="s">
        <v>14919</v>
      </c>
      <c r="RSC29" t="s">
        <v>14920</v>
      </c>
      <c r="RSD29" t="s">
        <v>14921</v>
      </c>
      <c r="RSE29" t="s">
        <v>14922</v>
      </c>
      <c r="RSF29" t="s">
        <v>14923</v>
      </c>
      <c r="RSG29" t="s">
        <v>14924</v>
      </c>
      <c r="RSH29" t="s">
        <v>14925</v>
      </c>
      <c r="RSI29" t="s">
        <v>14926</v>
      </c>
      <c r="RSJ29" t="s">
        <v>14927</v>
      </c>
      <c r="RSK29" t="s">
        <v>14928</v>
      </c>
      <c r="RSL29" t="s">
        <v>14929</v>
      </c>
      <c r="RSM29" t="s">
        <v>14930</v>
      </c>
      <c r="RSN29" t="s">
        <v>14931</v>
      </c>
      <c r="RSO29" t="s">
        <v>14932</v>
      </c>
      <c r="RSP29" t="s">
        <v>14933</v>
      </c>
      <c r="RSQ29" t="s">
        <v>14934</v>
      </c>
      <c r="RSR29" t="s">
        <v>14935</v>
      </c>
      <c r="RSS29" t="s">
        <v>14936</v>
      </c>
      <c r="RST29" t="s">
        <v>14937</v>
      </c>
      <c r="RSU29" t="s">
        <v>14938</v>
      </c>
      <c r="RSV29" t="s">
        <v>14939</v>
      </c>
      <c r="RSW29" t="s">
        <v>14940</v>
      </c>
      <c r="RSX29" t="s">
        <v>14941</v>
      </c>
      <c r="RSY29" t="s">
        <v>14942</v>
      </c>
      <c r="RSZ29" t="s">
        <v>14943</v>
      </c>
      <c r="RTA29" t="s">
        <v>14944</v>
      </c>
      <c r="RTB29" t="s">
        <v>14945</v>
      </c>
      <c r="RTC29" t="s">
        <v>14946</v>
      </c>
      <c r="RTD29" t="s">
        <v>14947</v>
      </c>
      <c r="RTE29" t="s">
        <v>14948</v>
      </c>
      <c r="RTF29" t="s">
        <v>14949</v>
      </c>
      <c r="RTG29" t="s">
        <v>14950</v>
      </c>
      <c r="RTH29" t="s">
        <v>14951</v>
      </c>
      <c r="RTI29" t="s">
        <v>14952</v>
      </c>
      <c r="RTJ29" t="s">
        <v>14953</v>
      </c>
      <c r="RTK29" t="s">
        <v>14954</v>
      </c>
      <c r="RTL29" t="s">
        <v>14955</v>
      </c>
      <c r="RTM29" t="s">
        <v>14956</v>
      </c>
      <c r="RTN29" t="s">
        <v>14957</v>
      </c>
      <c r="RTO29" t="s">
        <v>14958</v>
      </c>
      <c r="RTP29" t="s">
        <v>14959</v>
      </c>
      <c r="RTQ29" t="s">
        <v>14960</v>
      </c>
      <c r="RTR29" t="s">
        <v>14961</v>
      </c>
      <c r="RTS29" t="s">
        <v>14962</v>
      </c>
      <c r="RTT29" t="s">
        <v>14963</v>
      </c>
      <c r="RTU29" t="s">
        <v>14964</v>
      </c>
      <c r="RTV29" t="s">
        <v>14965</v>
      </c>
      <c r="RTW29" t="s">
        <v>14966</v>
      </c>
      <c r="RTX29" t="s">
        <v>14967</v>
      </c>
      <c r="RTY29" t="s">
        <v>14968</v>
      </c>
      <c r="RTZ29" t="s">
        <v>14969</v>
      </c>
      <c r="RUA29" t="s">
        <v>14970</v>
      </c>
      <c r="RUB29" t="s">
        <v>14971</v>
      </c>
      <c r="RUC29" t="s">
        <v>14972</v>
      </c>
      <c r="RUD29" t="s">
        <v>14973</v>
      </c>
      <c r="RUE29" t="s">
        <v>14974</v>
      </c>
      <c r="RUF29" t="s">
        <v>14975</v>
      </c>
      <c r="RUG29" t="s">
        <v>14976</v>
      </c>
      <c r="RUH29" t="s">
        <v>14977</v>
      </c>
      <c r="RUI29" t="s">
        <v>14978</v>
      </c>
      <c r="RUJ29" t="s">
        <v>14979</v>
      </c>
      <c r="RUK29" t="s">
        <v>14980</v>
      </c>
      <c r="RUL29" t="s">
        <v>14981</v>
      </c>
      <c r="RUM29" t="s">
        <v>14982</v>
      </c>
      <c r="RUN29" t="s">
        <v>14983</v>
      </c>
      <c r="RUO29" t="s">
        <v>14984</v>
      </c>
      <c r="RUP29" t="s">
        <v>14985</v>
      </c>
      <c r="RUQ29" t="s">
        <v>14986</v>
      </c>
      <c r="RUR29" t="s">
        <v>14987</v>
      </c>
      <c r="RUS29" t="s">
        <v>14988</v>
      </c>
      <c r="RUT29" t="s">
        <v>14989</v>
      </c>
      <c r="RUU29" t="s">
        <v>14990</v>
      </c>
      <c r="RUV29" t="s">
        <v>14991</v>
      </c>
      <c r="RUW29" t="s">
        <v>14992</v>
      </c>
      <c r="RUX29" t="s">
        <v>14993</v>
      </c>
      <c r="RUY29" t="s">
        <v>14994</v>
      </c>
      <c r="RUZ29" t="s">
        <v>14995</v>
      </c>
      <c r="RVA29" t="s">
        <v>14996</v>
      </c>
      <c r="RVB29" t="s">
        <v>14997</v>
      </c>
      <c r="RVC29" t="s">
        <v>14998</v>
      </c>
      <c r="RVD29" t="s">
        <v>14999</v>
      </c>
      <c r="RVE29" t="s">
        <v>15000</v>
      </c>
      <c r="RVF29" t="s">
        <v>15001</v>
      </c>
      <c r="RVG29" t="s">
        <v>15002</v>
      </c>
      <c r="RVH29" t="s">
        <v>15003</v>
      </c>
      <c r="RVI29" t="s">
        <v>15004</v>
      </c>
      <c r="RVJ29" t="s">
        <v>15005</v>
      </c>
      <c r="RVK29" t="s">
        <v>15006</v>
      </c>
      <c r="RVL29" t="s">
        <v>15007</v>
      </c>
      <c r="RVM29" t="s">
        <v>15008</v>
      </c>
      <c r="RVN29" t="s">
        <v>15009</v>
      </c>
      <c r="RVO29" t="s">
        <v>15010</v>
      </c>
      <c r="RVP29" t="s">
        <v>15011</v>
      </c>
      <c r="RVQ29" t="s">
        <v>15012</v>
      </c>
      <c r="RVR29" t="s">
        <v>15013</v>
      </c>
      <c r="RVS29" t="s">
        <v>15014</v>
      </c>
      <c r="RVT29" t="s">
        <v>15015</v>
      </c>
      <c r="RVU29" t="s">
        <v>15016</v>
      </c>
      <c r="RVV29" t="s">
        <v>15017</v>
      </c>
      <c r="RVW29" t="s">
        <v>15018</v>
      </c>
      <c r="RVX29" t="s">
        <v>15019</v>
      </c>
      <c r="RVY29" t="s">
        <v>15020</v>
      </c>
      <c r="RVZ29" t="s">
        <v>15021</v>
      </c>
      <c r="RWA29" t="s">
        <v>15022</v>
      </c>
      <c r="RWB29" t="s">
        <v>15023</v>
      </c>
      <c r="RWC29" t="s">
        <v>15024</v>
      </c>
      <c r="RWD29" t="s">
        <v>15025</v>
      </c>
      <c r="RWE29" t="s">
        <v>15026</v>
      </c>
      <c r="RWF29" t="s">
        <v>15027</v>
      </c>
      <c r="RWG29" t="s">
        <v>15028</v>
      </c>
      <c r="RWH29" t="s">
        <v>15029</v>
      </c>
      <c r="RWI29" t="s">
        <v>15030</v>
      </c>
      <c r="RWJ29" t="s">
        <v>15031</v>
      </c>
      <c r="RWK29" t="s">
        <v>15032</v>
      </c>
      <c r="RWL29" t="s">
        <v>15033</v>
      </c>
      <c r="RWM29" t="s">
        <v>15034</v>
      </c>
      <c r="RWN29" t="s">
        <v>15035</v>
      </c>
      <c r="RWO29" t="s">
        <v>15036</v>
      </c>
      <c r="RWP29" t="s">
        <v>15037</v>
      </c>
      <c r="RWQ29" t="s">
        <v>15038</v>
      </c>
      <c r="RWR29" t="s">
        <v>15039</v>
      </c>
      <c r="RWS29" t="s">
        <v>15040</v>
      </c>
      <c r="RWT29" t="s">
        <v>15041</v>
      </c>
      <c r="RWU29" t="s">
        <v>15042</v>
      </c>
      <c r="RWV29" t="s">
        <v>15043</v>
      </c>
      <c r="RWW29" t="s">
        <v>15044</v>
      </c>
      <c r="RWX29" t="s">
        <v>15045</v>
      </c>
      <c r="RWY29" t="s">
        <v>15046</v>
      </c>
      <c r="RWZ29" t="s">
        <v>15047</v>
      </c>
      <c r="RXA29" t="s">
        <v>15048</v>
      </c>
      <c r="RXB29" t="s">
        <v>15049</v>
      </c>
      <c r="RXC29" t="s">
        <v>15050</v>
      </c>
      <c r="RXD29" t="s">
        <v>15051</v>
      </c>
      <c r="RXE29" t="s">
        <v>15052</v>
      </c>
      <c r="RXF29" t="s">
        <v>15053</v>
      </c>
      <c r="RXG29" t="s">
        <v>15054</v>
      </c>
      <c r="RXH29" t="s">
        <v>15055</v>
      </c>
      <c r="RXI29" t="s">
        <v>15056</v>
      </c>
      <c r="RXJ29" t="s">
        <v>15057</v>
      </c>
      <c r="RXK29" t="s">
        <v>15058</v>
      </c>
      <c r="RXL29" t="s">
        <v>15059</v>
      </c>
      <c r="RXM29" t="s">
        <v>15060</v>
      </c>
      <c r="RXN29" t="s">
        <v>15061</v>
      </c>
      <c r="RXO29" t="s">
        <v>15062</v>
      </c>
      <c r="RXP29" t="s">
        <v>15063</v>
      </c>
      <c r="RXQ29" t="s">
        <v>15064</v>
      </c>
      <c r="RXR29" t="s">
        <v>15065</v>
      </c>
      <c r="RXS29" t="s">
        <v>15066</v>
      </c>
      <c r="RXT29" t="s">
        <v>15067</v>
      </c>
      <c r="RXU29" t="s">
        <v>15068</v>
      </c>
      <c r="RXV29" t="s">
        <v>15069</v>
      </c>
      <c r="RXW29" t="s">
        <v>15070</v>
      </c>
      <c r="RXX29" t="s">
        <v>15071</v>
      </c>
      <c r="RXY29" t="s">
        <v>15072</v>
      </c>
      <c r="RXZ29" t="s">
        <v>15073</v>
      </c>
      <c r="RYA29" t="s">
        <v>15074</v>
      </c>
      <c r="RYB29" t="s">
        <v>15075</v>
      </c>
      <c r="RYC29" t="s">
        <v>15076</v>
      </c>
      <c r="RYD29" t="s">
        <v>15077</v>
      </c>
      <c r="RYE29" t="s">
        <v>15078</v>
      </c>
      <c r="RYF29" t="s">
        <v>15079</v>
      </c>
      <c r="RYG29" t="s">
        <v>15080</v>
      </c>
      <c r="RYH29" t="s">
        <v>15081</v>
      </c>
      <c r="RYI29" t="s">
        <v>15082</v>
      </c>
      <c r="RYJ29" t="s">
        <v>15083</v>
      </c>
      <c r="RYK29" t="s">
        <v>15084</v>
      </c>
      <c r="RYL29" t="s">
        <v>15085</v>
      </c>
      <c r="RYM29" t="s">
        <v>15086</v>
      </c>
      <c r="RYN29" t="s">
        <v>15087</v>
      </c>
      <c r="RYO29" t="s">
        <v>15088</v>
      </c>
      <c r="RYP29" t="s">
        <v>15089</v>
      </c>
      <c r="RYQ29" t="s">
        <v>15090</v>
      </c>
      <c r="RYR29" t="s">
        <v>15091</v>
      </c>
      <c r="RYS29" t="s">
        <v>15092</v>
      </c>
      <c r="RYT29" t="s">
        <v>15093</v>
      </c>
      <c r="RYU29" t="s">
        <v>15094</v>
      </c>
      <c r="RYV29" t="s">
        <v>15095</v>
      </c>
      <c r="RYW29" t="s">
        <v>15096</v>
      </c>
      <c r="RYX29" t="s">
        <v>15097</v>
      </c>
      <c r="RYY29" t="s">
        <v>15098</v>
      </c>
      <c r="RYZ29" t="s">
        <v>15099</v>
      </c>
      <c r="RZA29" t="s">
        <v>15100</v>
      </c>
      <c r="RZB29" t="s">
        <v>15101</v>
      </c>
      <c r="RZC29" t="s">
        <v>15102</v>
      </c>
      <c r="RZD29" t="s">
        <v>15103</v>
      </c>
      <c r="RZE29" t="s">
        <v>15104</v>
      </c>
      <c r="RZF29" t="s">
        <v>15105</v>
      </c>
      <c r="RZG29" t="s">
        <v>15106</v>
      </c>
      <c r="RZH29" t="s">
        <v>15107</v>
      </c>
      <c r="RZI29" t="s">
        <v>15108</v>
      </c>
      <c r="RZJ29" t="s">
        <v>15109</v>
      </c>
      <c r="RZK29" t="s">
        <v>15110</v>
      </c>
      <c r="RZL29" t="s">
        <v>15111</v>
      </c>
      <c r="RZM29" t="s">
        <v>15112</v>
      </c>
      <c r="RZN29" t="s">
        <v>15113</v>
      </c>
      <c r="RZO29" t="s">
        <v>15114</v>
      </c>
      <c r="RZP29" t="s">
        <v>15115</v>
      </c>
      <c r="RZQ29" t="s">
        <v>15116</v>
      </c>
      <c r="RZR29" t="s">
        <v>15117</v>
      </c>
      <c r="RZS29" t="s">
        <v>15118</v>
      </c>
      <c r="RZT29" t="s">
        <v>15119</v>
      </c>
      <c r="RZU29" t="s">
        <v>15120</v>
      </c>
      <c r="RZV29" t="s">
        <v>15121</v>
      </c>
      <c r="RZW29" t="s">
        <v>15122</v>
      </c>
      <c r="RZX29" t="s">
        <v>15123</v>
      </c>
      <c r="RZY29" t="s">
        <v>15124</v>
      </c>
      <c r="RZZ29" t="s">
        <v>15125</v>
      </c>
      <c r="SAA29" t="s">
        <v>15126</v>
      </c>
      <c r="SAB29" t="s">
        <v>15127</v>
      </c>
      <c r="SAC29" t="s">
        <v>15128</v>
      </c>
      <c r="SAD29" t="s">
        <v>15129</v>
      </c>
      <c r="SAE29" t="s">
        <v>15130</v>
      </c>
      <c r="SAF29" t="s">
        <v>15131</v>
      </c>
      <c r="SAG29" t="s">
        <v>15132</v>
      </c>
      <c r="SAH29" t="s">
        <v>15133</v>
      </c>
      <c r="SAI29" t="s">
        <v>15134</v>
      </c>
      <c r="SAJ29" t="s">
        <v>15135</v>
      </c>
      <c r="SAK29" t="s">
        <v>15136</v>
      </c>
      <c r="SAL29" t="s">
        <v>15137</v>
      </c>
      <c r="SAM29" t="s">
        <v>15138</v>
      </c>
      <c r="SAN29" t="s">
        <v>15139</v>
      </c>
      <c r="SAO29" t="s">
        <v>15140</v>
      </c>
      <c r="SAP29" t="s">
        <v>15141</v>
      </c>
      <c r="SAQ29" t="s">
        <v>15142</v>
      </c>
      <c r="SAR29" t="s">
        <v>15143</v>
      </c>
      <c r="SAS29" t="s">
        <v>15144</v>
      </c>
      <c r="SAT29" t="s">
        <v>15145</v>
      </c>
      <c r="SAU29" t="s">
        <v>15146</v>
      </c>
      <c r="SAV29" t="s">
        <v>15147</v>
      </c>
      <c r="SAW29" t="s">
        <v>15148</v>
      </c>
      <c r="SAX29" t="s">
        <v>15149</v>
      </c>
      <c r="SAY29" t="s">
        <v>15150</v>
      </c>
      <c r="SAZ29" t="s">
        <v>15151</v>
      </c>
      <c r="SBA29" t="s">
        <v>15152</v>
      </c>
      <c r="SBB29" t="s">
        <v>15153</v>
      </c>
      <c r="SBC29" t="s">
        <v>15154</v>
      </c>
      <c r="SBD29" t="s">
        <v>15155</v>
      </c>
      <c r="SBE29" t="s">
        <v>15156</v>
      </c>
      <c r="SBF29" t="s">
        <v>15157</v>
      </c>
      <c r="SBG29" t="s">
        <v>15158</v>
      </c>
      <c r="SBH29" t="s">
        <v>15159</v>
      </c>
      <c r="SBI29" t="s">
        <v>15160</v>
      </c>
      <c r="SBJ29" t="s">
        <v>15161</v>
      </c>
      <c r="SBK29" t="s">
        <v>15162</v>
      </c>
      <c r="SBL29" t="s">
        <v>15163</v>
      </c>
      <c r="SBM29" t="s">
        <v>15164</v>
      </c>
      <c r="SBN29" t="s">
        <v>15165</v>
      </c>
      <c r="SBO29" t="s">
        <v>15166</v>
      </c>
      <c r="SBP29" t="s">
        <v>15167</v>
      </c>
      <c r="SBQ29" t="s">
        <v>15168</v>
      </c>
      <c r="SBR29" t="s">
        <v>15169</v>
      </c>
      <c r="SBS29" t="s">
        <v>15170</v>
      </c>
      <c r="SBT29" t="s">
        <v>15171</v>
      </c>
      <c r="SBU29" t="s">
        <v>15172</v>
      </c>
      <c r="SBV29" t="s">
        <v>15173</v>
      </c>
      <c r="SBW29" t="s">
        <v>15174</v>
      </c>
      <c r="SBX29" t="s">
        <v>15175</v>
      </c>
      <c r="SBY29" t="s">
        <v>15176</v>
      </c>
      <c r="SBZ29" t="s">
        <v>15177</v>
      </c>
      <c r="SCA29" t="s">
        <v>15178</v>
      </c>
      <c r="SCB29" t="s">
        <v>15179</v>
      </c>
      <c r="SCC29" t="s">
        <v>15180</v>
      </c>
      <c r="SCD29" t="s">
        <v>15181</v>
      </c>
      <c r="SCE29" t="s">
        <v>15182</v>
      </c>
      <c r="SCF29" t="s">
        <v>15183</v>
      </c>
      <c r="SCG29" t="s">
        <v>15184</v>
      </c>
      <c r="SCH29" t="s">
        <v>15185</v>
      </c>
      <c r="SCI29" t="s">
        <v>15186</v>
      </c>
      <c r="SCJ29" t="s">
        <v>15187</v>
      </c>
      <c r="SCK29" t="s">
        <v>15188</v>
      </c>
      <c r="SCL29" t="s">
        <v>15189</v>
      </c>
      <c r="SCM29" t="s">
        <v>15190</v>
      </c>
      <c r="SCN29" t="s">
        <v>15191</v>
      </c>
      <c r="SCO29" t="s">
        <v>15192</v>
      </c>
      <c r="SCP29" t="s">
        <v>15193</v>
      </c>
      <c r="SCQ29" t="s">
        <v>15194</v>
      </c>
      <c r="SCR29" t="s">
        <v>15195</v>
      </c>
      <c r="SCS29" t="s">
        <v>15196</v>
      </c>
      <c r="SCT29" t="s">
        <v>15197</v>
      </c>
      <c r="SCU29" t="s">
        <v>15198</v>
      </c>
      <c r="SCV29" t="s">
        <v>15199</v>
      </c>
      <c r="SCW29" t="s">
        <v>15200</v>
      </c>
      <c r="SCX29" t="s">
        <v>15201</v>
      </c>
      <c r="SCY29" t="s">
        <v>15202</v>
      </c>
      <c r="SCZ29" t="s">
        <v>15203</v>
      </c>
      <c r="SDA29" t="s">
        <v>15204</v>
      </c>
      <c r="SDB29" t="s">
        <v>15205</v>
      </c>
      <c r="SDC29" t="s">
        <v>15206</v>
      </c>
      <c r="SDD29" t="s">
        <v>15207</v>
      </c>
      <c r="SDE29" t="s">
        <v>15208</v>
      </c>
      <c r="SDF29" t="s">
        <v>15209</v>
      </c>
      <c r="SDG29" t="s">
        <v>15210</v>
      </c>
      <c r="SDH29" t="s">
        <v>15211</v>
      </c>
      <c r="SDI29" t="s">
        <v>15212</v>
      </c>
      <c r="SDJ29" t="s">
        <v>15213</v>
      </c>
      <c r="SDK29" t="s">
        <v>15214</v>
      </c>
      <c r="SDL29" t="s">
        <v>15215</v>
      </c>
      <c r="SDM29" t="s">
        <v>15216</v>
      </c>
      <c r="SDN29" t="s">
        <v>15217</v>
      </c>
      <c r="SDO29" t="s">
        <v>15218</v>
      </c>
      <c r="SDP29" t="s">
        <v>15219</v>
      </c>
      <c r="SDQ29" t="s">
        <v>15220</v>
      </c>
      <c r="SDR29" t="s">
        <v>15221</v>
      </c>
      <c r="SDS29" t="s">
        <v>15222</v>
      </c>
      <c r="SDT29" t="s">
        <v>15223</v>
      </c>
      <c r="SDU29" t="s">
        <v>15224</v>
      </c>
      <c r="SDV29" t="s">
        <v>15225</v>
      </c>
      <c r="SDW29" t="s">
        <v>15226</v>
      </c>
      <c r="SDX29" t="s">
        <v>15227</v>
      </c>
      <c r="SDY29" t="s">
        <v>15228</v>
      </c>
      <c r="SDZ29" t="s">
        <v>15229</v>
      </c>
      <c r="SEA29" t="s">
        <v>15230</v>
      </c>
      <c r="SEB29" t="s">
        <v>15231</v>
      </c>
      <c r="SEC29" t="s">
        <v>15232</v>
      </c>
      <c r="SED29" t="s">
        <v>15233</v>
      </c>
      <c r="SEE29" t="s">
        <v>15234</v>
      </c>
      <c r="SEF29" t="s">
        <v>15235</v>
      </c>
      <c r="SEG29" t="s">
        <v>15236</v>
      </c>
      <c r="SEH29" t="s">
        <v>15237</v>
      </c>
      <c r="SEI29" t="s">
        <v>15238</v>
      </c>
      <c r="SEJ29" t="s">
        <v>15239</v>
      </c>
      <c r="SEK29" t="s">
        <v>15240</v>
      </c>
      <c r="SEL29" t="s">
        <v>15241</v>
      </c>
      <c r="SEM29" t="s">
        <v>15242</v>
      </c>
      <c r="SEN29" t="s">
        <v>15243</v>
      </c>
      <c r="SEO29" t="s">
        <v>15244</v>
      </c>
      <c r="SEP29" t="s">
        <v>15245</v>
      </c>
      <c r="SEQ29" t="s">
        <v>15246</v>
      </c>
      <c r="SER29" t="s">
        <v>15247</v>
      </c>
      <c r="SES29" t="s">
        <v>15248</v>
      </c>
      <c r="SET29" t="s">
        <v>15249</v>
      </c>
      <c r="SEU29" t="s">
        <v>15250</v>
      </c>
      <c r="SEV29" t="s">
        <v>15251</v>
      </c>
      <c r="SEW29" t="s">
        <v>15252</v>
      </c>
      <c r="SEX29" t="s">
        <v>15253</v>
      </c>
      <c r="SEY29" t="s">
        <v>15254</v>
      </c>
      <c r="SEZ29" t="s">
        <v>15255</v>
      </c>
      <c r="SFA29" t="s">
        <v>15256</v>
      </c>
      <c r="SFB29" t="s">
        <v>15257</v>
      </c>
      <c r="SFC29" t="s">
        <v>15258</v>
      </c>
      <c r="SFD29" t="s">
        <v>15259</v>
      </c>
      <c r="SFE29" t="s">
        <v>15260</v>
      </c>
      <c r="SFF29" t="s">
        <v>15261</v>
      </c>
      <c r="SFG29" t="s">
        <v>15262</v>
      </c>
      <c r="SFH29" t="s">
        <v>15263</v>
      </c>
      <c r="SFI29" t="s">
        <v>15264</v>
      </c>
      <c r="SFJ29" t="s">
        <v>15265</v>
      </c>
      <c r="SFK29" t="s">
        <v>15266</v>
      </c>
      <c r="SFL29" t="s">
        <v>15267</v>
      </c>
      <c r="SFM29" t="s">
        <v>15268</v>
      </c>
      <c r="SFN29" t="s">
        <v>15269</v>
      </c>
      <c r="SFO29" t="s">
        <v>15270</v>
      </c>
      <c r="SFP29" t="s">
        <v>15271</v>
      </c>
      <c r="SFQ29" t="s">
        <v>15272</v>
      </c>
      <c r="SFR29" t="s">
        <v>15273</v>
      </c>
      <c r="SFS29" t="s">
        <v>15274</v>
      </c>
      <c r="SFT29" t="s">
        <v>15275</v>
      </c>
      <c r="SFU29" t="s">
        <v>15276</v>
      </c>
      <c r="SFV29" t="s">
        <v>15277</v>
      </c>
      <c r="SFW29" t="s">
        <v>15278</v>
      </c>
      <c r="SFX29" t="s">
        <v>15279</v>
      </c>
      <c r="SFY29" t="s">
        <v>15280</v>
      </c>
      <c r="SFZ29" t="s">
        <v>15281</v>
      </c>
      <c r="SGA29" t="s">
        <v>15282</v>
      </c>
      <c r="SGB29" t="s">
        <v>15283</v>
      </c>
      <c r="SGC29" t="s">
        <v>15284</v>
      </c>
      <c r="SGD29" t="s">
        <v>15285</v>
      </c>
      <c r="SGE29" t="s">
        <v>15286</v>
      </c>
      <c r="SGF29" t="s">
        <v>15287</v>
      </c>
      <c r="SGG29" t="s">
        <v>15288</v>
      </c>
      <c r="SGH29" t="s">
        <v>15289</v>
      </c>
      <c r="SGI29" t="s">
        <v>15290</v>
      </c>
      <c r="SGJ29" t="s">
        <v>15291</v>
      </c>
      <c r="SGK29" t="s">
        <v>15292</v>
      </c>
      <c r="SGL29" t="s">
        <v>15293</v>
      </c>
      <c r="SGM29" t="s">
        <v>15294</v>
      </c>
      <c r="SGN29" t="s">
        <v>15295</v>
      </c>
      <c r="SGO29" t="s">
        <v>15296</v>
      </c>
      <c r="SGP29" t="s">
        <v>15297</v>
      </c>
      <c r="SGQ29" t="s">
        <v>15298</v>
      </c>
      <c r="SGR29" t="s">
        <v>15299</v>
      </c>
      <c r="SGS29" t="s">
        <v>15300</v>
      </c>
      <c r="SGT29" t="s">
        <v>15301</v>
      </c>
      <c r="SGU29" t="s">
        <v>15302</v>
      </c>
      <c r="SGV29" t="s">
        <v>15303</v>
      </c>
      <c r="SGW29" t="s">
        <v>15304</v>
      </c>
      <c r="SGX29" t="s">
        <v>15305</v>
      </c>
      <c r="SGY29" t="s">
        <v>15306</v>
      </c>
      <c r="SGZ29" t="s">
        <v>15307</v>
      </c>
      <c r="SHA29" t="s">
        <v>15308</v>
      </c>
      <c r="SHB29" t="s">
        <v>15309</v>
      </c>
      <c r="SHC29" t="s">
        <v>15310</v>
      </c>
      <c r="SHD29" t="s">
        <v>15311</v>
      </c>
      <c r="SHE29" t="s">
        <v>15312</v>
      </c>
      <c r="SHF29" t="s">
        <v>15313</v>
      </c>
      <c r="SHG29" t="s">
        <v>15314</v>
      </c>
      <c r="SHH29" t="s">
        <v>15315</v>
      </c>
      <c r="SHI29" t="s">
        <v>15316</v>
      </c>
      <c r="SHJ29" t="s">
        <v>15317</v>
      </c>
      <c r="SHK29" t="s">
        <v>15318</v>
      </c>
      <c r="SHL29" t="s">
        <v>15319</v>
      </c>
      <c r="SHM29" t="s">
        <v>15320</v>
      </c>
      <c r="SHN29" t="s">
        <v>15321</v>
      </c>
      <c r="SHO29" t="s">
        <v>15322</v>
      </c>
      <c r="SHP29" t="s">
        <v>15323</v>
      </c>
      <c r="SHQ29" t="s">
        <v>15324</v>
      </c>
      <c r="SHR29" t="s">
        <v>15325</v>
      </c>
      <c r="SHS29" t="s">
        <v>15326</v>
      </c>
      <c r="SHT29" t="s">
        <v>15327</v>
      </c>
      <c r="SHU29" t="s">
        <v>15328</v>
      </c>
      <c r="SHV29" t="s">
        <v>15329</v>
      </c>
      <c r="SHW29" t="s">
        <v>15330</v>
      </c>
      <c r="SHX29" t="s">
        <v>15331</v>
      </c>
      <c r="SHY29" t="s">
        <v>15332</v>
      </c>
      <c r="SHZ29" t="s">
        <v>15333</v>
      </c>
      <c r="SIA29" t="s">
        <v>15334</v>
      </c>
      <c r="SIB29" t="s">
        <v>15335</v>
      </c>
      <c r="SIC29" t="s">
        <v>15336</v>
      </c>
      <c r="SID29" t="s">
        <v>15337</v>
      </c>
      <c r="SIE29" t="s">
        <v>15338</v>
      </c>
      <c r="SIF29" t="s">
        <v>15339</v>
      </c>
      <c r="SIG29" t="s">
        <v>15340</v>
      </c>
      <c r="SIH29" t="s">
        <v>15341</v>
      </c>
      <c r="SII29" t="s">
        <v>15342</v>
      </c>
      <c r="SIJ29" t="s">
        <v>15343</v>
      </c>
      <c r="SIK29" t="s">
        <v>15344</v>
      </c>
      <c r="SIL29" t="s">
        <v>15345</v>
      </c>
      <c r="SIM29" t="s">
        <v>15346</v>
      </c>
      <c r="SIN29" t="s">
        <v>15347</v>
      </c>
      <c r="SIO29" t="s">
        <v>15348</v>
      </c>
      <c r="SIP29" t="s">
        <v>15349</v>
      </c>
      <c r="SIQ29" t="s">
        <v>15350</v>
      </c>
      <c r="SIR29" t="s">
        <v>15351</v>
      </c>
      <c r="SIS29" t="s">
        <v>15352</v>
      </c>
      <c r="SIT29" t="s">
        <v>15353</v>
      </c>
      <c r="SIU29" t="s">
        <v>15354</v>
      </c>
      <c r="SIV29" t="s">
        <v>15355</v>
      </c>
      <c r="SIW29" t="s">
        <v>15356</v>
      </c>
      <c r="SIX29" t="s">
        <v>15357</v>
      </c>
      <c r="SIY29" t="s">
        <v>15358</v>
      </c>
      <c r="SIZ29" t="s">
        <v>15359</v>
      </c>
      <c r="SJA29" t="s">
        <v>15360</v>
      </c>
      <c r="SJB29" t="s">
        <v>15361</v>
      </c>
      <c r="SJC29" t="s">
        <v>15362</v>
      </c>
      <c r="SJD29" t="s">
        <v>15363</v>
      </c>
      <c r="SJE29" t="s">
        <v>15364</v>
      </c>
      <c r="SJF29" t="s">
        <v>15365</v>
      </c>
      <c r="SJG29" t="s">
        <v>15366</v>
      </c>
      <c r="SJH29" t="s">
        <v>15367</v>
      </c>
      <c r="SJI29" t="s">
        <v>15368</v>
      </c>
      <c r="SJJ29" t="s">
        <v>15369</v>
      </c>
      <c r="SJK29" t="s">
        <v>15370</v>
      </c>
      <c r="SJL29" t="s">
        <v>15371</v>
      </c>
      <c r="SJM29" t="s">
        <v>15372</v>
      </c>
      <c r="SJN29" t="s">
        <v>15373</v>
      </c>
      <c r="SJO29" t="s">
        <v>15374</v>
      </c>
      <c r="SJP29" t="s">
        <v>15375</v>
      </c>
      <c r="SJQ29" t="s">
        <v>15376</v>
      </c>
      <c r="SJR29" t="s">
        <v>15377</v>
      </c>
      <c r="SJS29" t="s">
        <v>15378</v>
      </c>
      <c r="SJT29" t="s">
        <v>15379</v>
      </c>
      <c r="SJU29" t="s">
        <v>15380</v>
      </c>
      <c r="SJV29" t="s">
        <v>15381</v>
      </c>
      <c r="SJW29" t="s">
        <v>15382</v>
      </c>
      <c r="SJX29" t="s">
        <v>15383</v>
      </c>
      <c r="SJY29" t="s">
        <v>15384</v>
      </c>
      <c r="SJZ29" t="s">
        <v>15385</v>
      </c>
      <c r="SKA29" t="s">
        <v>15386</v>
      </c>
      <c r="SKB29" t="s">
        <v>15387</v>
      </c>
      <c r="SKC29" t="s">
        <v>15388</v>
      </c>
      <c r="SKD29" t="s">
        <v>15389</v>
      </c>
      <c r="SKE29" t="s">
        <v>15390</v>
      </c>
      <c r="SKF29" t="s">
        <v>15391</v>
      </c>
      <c r="SKG29" t="s">
        <v>15392</v>
      </c>
      <c r="SKH29" t="s">
        <v>15393</v>
      </c>
      <c r="SKI29" t="s">
        <v>15394</v>
      </c>
      <c r="SKJ29" t="s">
        <v>15395</v>
      </c>
      <c r="SKK29" t="s">
        <v>15396</v>
      </c>
      <c r="SKL29" t="s">
        <v>15397</v>
      </c>
      <c r="SKM29" t="s">
        <v>15398</v>
      </c>
      <c r="SKN29" t="s">
        <v>15399</v>
      </c>
      <c r="SKO29" t="s">
        <v>15400</v>
      </c>
      <c r="SKP29" t="s">
        <v>15401</v>
      </c>
      <c r="SKQ29" t="s">
        <v>15402</v>
      </c>
      <c r="SKR29" t="s">
        <v>15403</v>
      </c>
      <c r="SKS29" t="s">
        <v>15404</v>
      </c>
      <c r="SKT29" t="s">
        <v>15405</v>
      </c>
      <c r="SKU29" t="s">
        <v>15406</v>
      </c>
      <c r="SKV29" t="s">
        <v>15407</v>
      </c>
      <c r="SKW29" t="s">
        <v>15408</v>
      </c>
      <c r="SKX29" t="s">
        <v>15409</v>
      </c>
      <c r="SKY29" t="s">
        <v>15410</v>
      </c>
      <c r="SKZ29" t="s">
        <v>15411</v>
      </c>
      <c r="SLA29" t="s">
        <v>15412</v>
      </c>
      <c r="SLB29" t="s">
        <v>15413</v>
      </c>
      <c r="SLC29" t="s">
        <v>15414</v>
      </c>
      <c r="SLD29" t="s">
        <v>15415</v>
      </c>
      <c r="SLE29" t="s">
        <v>15416</v>
      </c>
      <c r="SLF29" t="s">
        <v>15417</v>
      </c>
      <c r="SLG29" t="s">
        <v>15418</v>
      </c>
      <c r="SLH29" t="s">
        <v>15419</v>
      </c>
      <c r="SLI29" t="s">
        <v>15420</v>
      </c>
      <c r="SLJ29" t="s">
        <v>15421</v>
      </c>
      <c r="SLK29" t="s">
        <v>15422</v>
      </c>
      <c r="SLL29" t="s">
        <v>15423</v>
      </c>
      <c r="SLM29" t="s">
        <v>15424</v>
      </c>
      <c r="SLN29" t="s">
        <v>15425</v>
      </c>
      <c r="SLO29" t="s">
        <v>15426</v>
      </c>
      <c r="SLP29" t="s">
        <v>15427</v>
      </c>
      <c r="SLQ29" t="s">
        <v>15428</v>
      </c>
      <c r="SLR29" t="s">
        <v>15429</v>
      </c>
      <c r="SLS29" t="s">
        <v>15430</v>
      </c>
      <c r="SLT29" t="s">
        <v>15431</v>
      </c>
      <c r="SLU29" t="s">
        <v>15432</v>
      </c>
      <c r="SLV29" t="s">
        <v>15433</v>
      </c>
      <c r="SLW29" t="s">
        <v>15434</v>
      </c>
      <c r="SLX29" t="s">
        <v>15435</v>
      </c>
      <c r="SLY29" t="s">
        <v>15436</v>
      </c>
      <c r="SLZ29" t="s">
        <v>15437</v>
      </c>
      <c r="SMA29" t="s">
        <v>15438</v>
      </c>
      <c r="SMB29" t="s">
        <v>15439</v>
      </c>
      <c r="SMC29" t="s">
        <v>15440</v>
      </c>
      <c r="SMD29" t="s">
        <v>15441</v>
      </c>
      <c r="SME29" t="s">
        <v>15442</v>
      </c>
      <c r="SMF29" t="s">
        <v>15443</v>
      </c>
      <c r="SMG29" t="s">
        <v>15444</v>
      </c>
      <c r="SMH29" t="s">
        <v>15445</v>
      </c>
      <c r="SMI29" t="s">
        <v>15446</v>
      </c>
      <c r="SMJ29" t="s">
        <v>15447</v>
      </c>
      <c r="SMK29" t="s">
        <v>15448</v>
      </c>
      <c r="SML29" t="s">
        <v>15449</v>
      </c>
      <c r="SMM29" t="s">
        <v>15450</v>
      </c>
      <c r="SMN29" t="s">
        <v>15451</v>
      </c>
      <c r="SMO29" t="s">
        <v>15452</v>
      </c>
      <c r="SMP29" t="s">
        <v>15453</v>
      </c>
      <c r="SMQ29" t="s">
        <v>15454</v>
      </c>
      <c r="SMR29" t="s">
        <v>15455</v>
      </c>
      <c r="SMS29" t="s">
        <v>15456</v>
      </c>
      <c r="SMT29" t="s">
        <v>15457</v>
      </c>
      <c r="SMU29" t="s">
        <v>15458</v>
      </c>
      <c r="SMV29" t="s">
        <v>15459</v>
      </c>
      <c r="SMW29" t="s">
        <v>15460</v>
      </c>
      <c r="SMX29" t="s">
        <v>15461</v>
      </c>
      <c r="SMY29" t="s">
        <v>15462</v>
      </c>
      <c r="SMZ29" t="s">
        <v>15463</v>
      </c>
      <c r="SNA29" t="s">
        <v>15464</v>
      </c>
      <c r="SNB29" t="s">
        <v>15465</v>
      </c>
      <c r="SNC29" t="s">
        <v>15466</v>
      </c>
      <c r="SND29" t="s">
        <v>15467</v>
      </c>
      <c r="SNE29" t="s">
        <v>15468</v>
      </c>
      <c r="SNF29" t="s">
        <v>15469</v>
      </c>
      <c r="SNG29" t="s">
        <v>15470</v>
      </c>
      <c r="SNH29" t="s">
        <v>15471</v>
      </c>
      <c r="SNI29" t="s">
        <v>15472</v>
      </c>
      <c r="SNJ29" t="s">
        <v>15473</v>
      </c>
      <c r="SNK29" t="s">
        <v>15474</v>
      </c>
      <c r="SNL29" t="s">
        <v>15475</v>
      </c>
      <c r="SNM29" t="s">
        <v>15476</v>
      </c>
      <c r="SNN29" t="s">
        <v>15477</v>
      </c>
      <c r="SNO29" t="s">
        <v>15478</v>
      </c>
      <c r="SNP29" t="s">
        <v>15479</v>
      </c>
      <c r="SNQ29" t="s">
        <v>15480</v>
      </c>
      <c r="SNR29" t="s">
        <v>15481</v>
      </c>
      <c r="SNS29" t="s">
        <v>15482</v>
      </c>
      <c r="SNT29" t="s">
        <v>15483</v>
      </c>
      <c r="SNU29" t="s">
        <v>15484</v>
      </c>
      <c r="SNV29" t="s">
        <v>15485</v>
      </c>
      <c r="SNW29" t="s">
        <v>15486</v>
      </c>
      <c r="SNX29" t="s">
        <v>15487</v>
      </c>
      <c r="SNY29" t="s">
        <v>15488</v>
      </c>
      <c r="SNZ29" t="s">
        <v>15489</v>
      </c>
      <c r="SOA29" t="s">
        <v>15490</v>
      </c>
      <c r="SOB29" t="s">
        <v>15491</v>
      </c>
      <c r="SOC29" t="s">
        <v>15492</v>
      </c>
      <c r="SOD29" t="s">
        <v>15493</v>
      </c>
      <c r="SOE29" t="s">
        <v>15494</v>
      </c>
      <c r="SOF29" t="s">
        <v>15495</v>
      </c>
      <c r="SOG29" t="s">
        <v>15496</v>
      </c>
      <c r="SOH29" t="s">
        <v>15497</v>
      </c>
      <c r="SOI29" t="s">
        <v>15498</v>
      </c>
      <c r="SOJ29" t="s">
        <v>15499</v>
      </c>
      <c r="SOK29" t="s">
        <v>15500</v>
      </c>
      <c r="SOL29" t="s">
        <v>15501</v>
      </c>
      <c r="SOM29" t="s">
        <v>15502</v>
      </c>
      <c r="SON29" t="s">
        <v>15503</v>
      </c>
      <c r="SOO29" t="s">
        <v>15504</v>
      </c>
      <c r="SOP29" t="s">
        <v>15505</v>
      </c>
      <c r="SOQ29" t="s">
        <v>15506</v>
      </c>
      <c r="SOR29" t="s">
        <v>15507</v>
      </c>
      <c r="SOS29" t="s">
        <v>15508</v>
      </c>
      <c r="SOT29" t="s">
        <v>15509</v>
      </c>
      <c r="SOU29" t="s">
        <v>15510</v>
      </c>
      <c r="SOV29" t="s">
        <v>15511</v>
      </c>
      <c r="SOW29" t="s">
        <v>15512</v>
      </c>
      <c r="SOX29" t="s">
        <v>15513</v>
      </c>
      <c r="SOY29" t="s">
        <v>15514</v>
      </c>
      <c r="SOZ29" t="s">
        <v>15515</v>
      </c>
      <c r="SPA29" t="s">
        <v>15516</v>
      </c>
      <c r="SPB29" t="s">
        <v>15517</v>
      </c>
      <c r="SPC29" t="s">
        <v>15518</v>
      </c>
      <c r="SPD29" t="s">
        <v>15519</v>
      </c>
      <c r="SPE29" t="s">
        <v>15520</v>
      </c>
      <c r="SPF29" t="s">
        <v>15521</v>
      </c>
      <c r="SPG29" t="s">
        <v>15522</v>
      </c>
      <c r="SPH29" t="s">
        <v>15523</v>
      </c>
      <c r="SPI29" t="s">
        <v>15524</v>
      </c>
      <c r="SPJ29" t="s">
        <v>15525</v>
      </c>
      <c r="SPK29" t="s">
        <v>15526</v>
      </c>
      <c r="SPL29" t="s">
        <v>15527</v>
      </c>
      <c r="SPM29" t="s">
        <v>15528</v>
      </c>
      <c r="SPN29" t="s">
        <v>15529</v>
      </c>
      <c r="SPO29" t="s">
        <v>15530</v>
      </c>
      <c r="SPP29" t="s">
        <v>15531</v>
      </c>
      <c r="SPQ29" t="s">
        <v>15532</v>
      </c>
      <c r="SPR29" t="s">
        <v>15533</v>
      </c>
      <c r="SPS29" t="s">
        <v>15534</v>
      </c>
      <c r="SPT29" t="s">
        <v>15535</v>
      </c>
      <c r="SPU29" t="s">
        <v>15536</v>
      </c>
      <c r="SPV29" t="s">
        <v>15537</v>
      </c>
      <c r="SPW29" t="s">
        <v>15538</v>
      </c>
      <c r="SPX29" t="s">
        <v>15539</v>
      </c>
      <c r="SPY29" t="s">
        <v>15540</v>
      </c>
      <c r="SPZ29" t="s">
        <v>15541</v>
      </c>
      <c r="SQA29" t="s">
        <v>15542</v>
      </c>
      <c r="SQB29" t="s">
        <v>15543</v>
      </c>
      <c r="SQC29" t="s">
        <v>15544</v>
      </c>
      <c r="SQD29" t="s">
        <v>15545</v>
      </c>
      <c r="SQE29" t="s">
        <v>15546</v>
      </c>
      <c r="SQF29" t="s">
        <v>15547</v>
      </c>
      <c r="SQG29" t="s">
        <v>15548</v>
      </c>
      <c r="SQH29" t="s">
        <v>15549</v>
      </c>
      <c r="SQI29" t="s">
        <v>15550</v>
      </c>
      <c r="SQJ29" t="s">
        <v>15551</v>
      </c>
      <c r="SQK29" t="s">
        <v>15552</v>
      </c>
      <c r="SQL29" t="s">
        <v>15553</v>
      </c>
      <c r="SQM29" t="s">
        <v>15554</v>
      </c>
      <c r="SQN29" t="s">
        <v>15555</v>
      </c>
      <c r="SQO29" t="s">
        <v>15556</v>
      </c>
      <c r="SQP29" t="s">
        <v>15557</v>
      </c>
      <c r="SQQ29" t="s">
        <v>15558</v>
      </c>
      <c r="SQR29" t="s">
        <v>15559</v>
      </c>
      <c r="SQS29" t="s">
        <v>15560</v>
      </c>
      <c r="SQT29" t="s">
        <v>15561</v>
      </c>
      <c r="SQU29" t="s">
        <v>15562</v>
      </c>
      <c r="SQV29" t="s">
        <v>15563</v>
      </c>
      <c r="SQW29" t="s">
        <v>15564</v>
      </c>
      <c r="SQX29" t="s">
        <v>15565</v>
      </c>
      <c r="SQY29" t="s">
        <v>15566</v>
      </c>
      <c r="SQZ29" t="s">
        <v>15567</v>
      </c>
      <c r="SRA29" t="s">
        <v>15568</v>
      </c>
      <c r="SRB29" t="s">
        <v>15569</v>
      </c>
      <c r="SRC29" t="s">
        <v>15570</v>
      </c>
      <c r="SRD29" t="s">
        <v>15571</v>
      </c>
      <c r="SRE29" t="s">
        <v>15572</v>
      </c>
      <c r="SRF29" t="s">
        <v>15573</v>
      </c>
      <c r="SRG29" t="s">
        <v>15574</v>
      </c>
      <c r="SRH29" t="s">
        <v>15575</v>
      </c>
      <c r="SRI29" t="s">
        <v>15576</v>
      </c>
      <c r="SRJ29" t="s">
        <v>15577</v>
      </c>
      <c r="SRK29" t="s">
        <v>15578</v>
      </c>
      <c r="SRL29" t="s">
        <v>15579</v>
      </c>
      <c r="SRM29" t="s">
        <v>15580</v>
      </c>
      <c r="SRN29" t="s">
        <v>15581</v>
      </c>
      <c r="SRO29" t="s">
        <v>15582</v>
      </c>
      <c r="SRP29" t="s">
        <v>15583</v>
      </c>
      <c r="SRQ29" t="s">
        <v>15584</v>
      </c>
      <c r="SRR29" t="s">
        <v>15585</v>
      </c>
      <c r="SRS29" t="s">
        <v>15586</v>
      </c>
      <c r="SRT29" t="s">
        <v>15587</v>
      </c>
      <c r="SRU29" t="s">
        <v>15588</v>
      </c>
      <c r="SRV29" t="s">
        <v>15589</v>
      </c>
      <c r="SRW29" t="s">
        <v>15590</v>
      </c>
      <c r="SRX29" t="s">
        <v>15591</v>
      </c>
      <c r="SRY29" t="s">
        <v>15592</v>
      </c>
      <c r="SRZ29" t="s">
        <v>15593</v>
      </c>
      <c r="SSA29" t="s">
        <v>15594</v>
      </c>
      <c r="SSB29" t="s">
        <v>15595</v>
      </c>
      <c r="SSC29" t="s">
        <v>15596</v>
      </c>
      <c r="SSD29" t="s">
        <v>15597</v>
      </c>
      <c r="SSE29" t="s">
        <v>15598</v>
      </c>
      <c r="SSF29" t="s">
        <v>15599</v>
      </c>
      <c r="SSG29" t="s">
        <v>15600</v>
      </c>
      <c r="SSH29" t="s">
        <v>15601</v>
      </c>
      <c r="SSI29" t="s">
        <v>15602</v>
      </c>
      <c r="SSJ29" t="s">
        <v>15603</v>
      </c>
      <c r="SSK29" t="s">
        <v>15604</v>
      </c>
      <c r="SSL29" t="s">
        <v>15605</v>
      </c>
      <c r="SSM29" t="s">
        <v>15606</v>
      </c>
      <c r="SSN29" t="s">
        <v>15607</v>
      </c>
      <c r="SSO29" t="s">
        <v>15608</v>
      </c>
      <c r="SSP29" t="s">
        <v>15609</v>
      </c>
      <c r="SSQ29" t="s">
        <v>15610</v>
      </c>
      <c r="SSR29" t="s">
        <v>15611</v>
      </c>
      <c r="SSS29" t="s">
        <v>15612</v>
      </c>
      <c r="SST29" t="s">
        <v>15613</v>
      </c>
      <c r="SSU29" t="s">
        <v>15614</v>
      </c>
      <c r="SSV29" t="s">
        <v>15615</v>
      </c>
      <c r="SSW29" t="s">
        <v>15616</v>
      </c>
      <c r="SSX29" t="s">
        <v>15617</v>
      </c>
      <c r="SSY29" t="s">
        <v>15618</v>
      </c>
      <c r="SSZ29" t="s">
        <v>15619</v>
      </c>
      <c r="STA29" t="s">
        <v>15620</v>
      </c>
      <c r="STB29" t="s">
        <v>15621</v>
      </c>
      <c r="STC29" t="s">
        <v>15622</v>
      </c>
      <c r="STD29" t="s">
        <v>15623</v>
      </c>
      <c r="STE29" t="s">
        <v>15624</v>
      </c>
      <c r="STF29" t="s">
        <v>15625</v>
      </c>
      <c r="STG29" t="s">
        <v>15626</v>
      </c>
      <c r="STH29" t="s">
        <v>15627</v>
      </c>
      <c r="STI29" t="s">
        <v>15628</v>
      </c>
      <c r="STJ29" t="s">
        <v>15629</v>
      </c>
      <c r="STK29" t="s">
        <v>15630</v>
      </c>
      <c r="STL29" t="s">
        <v>15631</v>
      </c>
      <c r="STM29" t="s">
        <v>15632</v>
      </c>
      <c r="STN29" t="s">
        <v>15633</v>
      </c>
      <c r="STO29" t="s">
        <v>15634</v>
      </c>
      <c r="STP29" t="s">
        <v>15635</v>
      </c>
      <c r="STQ29" t="s">
        <v>15636</v>
      </c>
      <c r="STR29" t="s">
        <v>15637</v>
      </c>
      <c r="STS29" t="s">
        <v>15638</v>
      </c>
      <c r="STT29" t="s">
        <v>15639</v>
      </c>
      <c r="STU29" t="s">
        <v>15640</v>
      </c>
      <c r="STV29" t="s">
        <v>15641</v>
      </c>
      <c r="STW29" t="s">
        <v>15642</v>
      </c>
      <c r="STX29" t="s">
        <v>15643</v>
      </c>
      <c r="STY29" t="s">
        <v>15644</v>
      </c>
      <c r="STZ29" t="s">
        <v>15645</v>
      </c>
      <c r="SUA29" t="s">
        <v>15646</v>
      </c>
      <c r="SUB29" t="s">
        <v>15647</v>
      </c>
      <c r="SUC29" t="s">
        <v>15648</v>
      </c>
      <c r="SUD29" t="s">
        <v>15649</v>
      </c>
      <c r="SUE29" t="s">
        <v>15650</v>
      </c>
      <c r="SUF29" t="s">
        <v>15651</v>
      </c>
      <c r="SUG29" t="s">
        <v>15652</v>
      </c>
      <c r="SUH29" t="s">
        <v>15653</v>
      </c>
      <c r="SUI29" t="s">
        <v>15654</v>
      </c>
      <c r="SUJ29" t="s">
        <v>15655</v>
      </c>
      <c r="SUK29" t="s">
        <v>15656</v>
      </c>
      <c r="SUL29" t="s">
        <v>15657</v>
      </c>
      <c r="SUM29" t="s">
        <v>15658</v>
      </c>
      <c r="SUN29" t="s">
        <v>15659</v>
      </c>
      <c r="SUO29" t="s">
        <v>15660</v>
      </c>
      <c r="SUP29" t="s">
        <v>15661</v>
      </c>
      <c r="SUQ29" t="s">
        <v>15662</v>
      </c>
      <c r="SUR29" t="s">
        <v>15663</v>
      </c>
      <c r="SUS29" t="s">
        <v>15664</v>
      </c>
      <c r="SUT29" t="s">
        <v>15665</v>
      </c>
      <c r="SUU29" t="s">
        <v>15666</v>
      </c>
      <c r="SUV29" t="s">
        <v>15667</v>
      </c>
      <c r="SUW29" t="s">
        <v>15668</v>
      </c>
      <c r="SUX29" t="s">
        <v>15669</v>
      </c>
      <c r="SUY29" t="s">
        <v>15670</v>
      </c>
      <c r="SUZ29" t="s">
        <v>15671</v>
      </c>
      <c r="SVA29" t="s">
        <v>15672</v>
      </c>
      <c r="SVB29" t="s">
        <v>15673</v>
      </c>
      <c r="SVC29" t="s">
        <v>15674</v>
      </c>
      <c r="SVD29" t="s">
        <v>15675</v>
      </c>
      <c r="SVE29" t="s">
        <v>15676</v>
      </c>
      <c r="SVF29" t="s">
        <v>15677</v>
      </c>
      <c r="SVG29" t="s">
        <v>15678</v>
      </c>
      <c r="SVH29" t="s">
        <v>15679</v>
      </c>
      <c r="SVI29" t="s">
        <v>15680</v>
      </c>
      <c r="SVJ29" t="s">
        <v>15681</v>
      </c>
      <c r="SVK29" t="s">
        <v>15682</v>
      </c>
      <c r="SVL29" t="s">
        <v>15683</v>
      </c>
      <c r="SVM29" t="s">
        <v>15684</v>
      </c>
      <c r="SVN29" t="s">
        <v>15685</v>
      </c>
      <c r="SVO29" t="s">
        <v>15686</v>
      </c>
      <c r="SVP29" t="s">
        <v>15687</v>
      </c>
      <c r="SVQ29" t="s">
        <v>15688</v>
      </c>
      <c r="SVR29" t="s">
        <v>15689</v>
      </c>
      <c r="SVS29" t="s">
        <v>15690</v>
      </c>
      <c r="SVT29" t="s">
        <v>15691</v>
      </c>
      <c r="SVU29" t="s">
        <v>15692</v>
      </c>
      <c r="SVV29" t="s">
        <v>15693</v>
      </c>
      <c r="SVW29" t="s">
        <v>15694</v>
      </c>
      <c r="SVX29" t="s">
        <v>15695</v>
      </c>
      <c r="SVY29" t="s">
        <v>15696</v>
      </c>
      <c r="SVZ29" t="s">
        <v>15697</v>
      </c>
      <c r="SWA29" t="s">
        <v>15698</v>
      </c>
      <c r="SWB29" t="s">
        <v>15699</v>
      </c>
      <c r="SWC29" t="s">
        <v>15700</v>
      </c>
      <c r="SWD29" t="s">
        <v>15701</v>
      </c>
      <c r="SWE29" t="s">
        <v>15702</v>
      </c>
      <c r="SWF29" t="s">
        <v>15703</v>
      </c>
      <c r="SWG29" t="s">
        <v>15704</v>
      </c>
      <c r="SWH29" t="s">
        <v>15705</v>
      </c>
      <c r="SWI29" t="s">
        <v>15706</v>
      </c>
      <c r="SWJ29" t="s">
        <v>15707</v>
      </c>
      <c r="SWK29" t="s">
        <v>15708</v>
      </c>
      <c r="SWL29" t="s">
        <v>15709</v>
      </c>
      <c r="SWM29" t="s">
        <v>15710</v>
      </c>
      <c r="SWN29" t="s">
        <v>15711</v>
      </c>
      <c r="SWO29" t="s">
        <v>15712</v>
      </c>
      <c r="SWP29" t="s">
        <v>15713</v>
      </c>
      <c r="SWQ29" t="s">
        <v>15714</v>
      </c>
      <c r="SWR29" t="s">
        <v>15715</v>
      </c>
      <c r="SWS29" t="s">
        <v>15716</v>
      </c>
      <c r="SWT29" t="s">
        <v>15717</v>
      </c>
      <c r="SWU29" t="s">
        <v>15718</v>
      </c>
      <c r="SWV29" t="s">
        <v>15719</v>
      </c>
      <c r="SWW29" t="s">
        <v>15720</v>
      </c>
      <c r="SWX29" t="s">
        <v>15721</v>
      </c>
      <c r="SWY29" t="s">
        <v>15722</v>
      </c>
      <c r="SWZ29" t="s">
        <v>15723</v>
      </c>
      <c r="SXA29" t="s">
        <v>15724</v>
      </c>
      <c r="SXB29" t="s">
        <v>15725</v>
      </c>
      <c r="SXC29" t="s">
        <v>15726</v>
      </c>
      <c r="SXD29" t="s">
        <v>15727</v>
      </c>
      <c r="SXE29" t="s">
        <v>15728</v>
      </c>
      <c r="SXF29" t="s">
        <v>15729</v>
      </c>
      <c r="SXG29" t="s">
        <v>15730</v>
      </c>
      <c r="SXH29" t="s">
        <v>15731</v>
      </c>
      <c r="SXI29" t="s">
        <v>15732</v>
      </c>
      <c r="SXJ29" t="s">
        <v>15733</v>
      </c>
      <c r="SXK29" t="s">
        <v>15734</v>
      </c>
      <c r="SXL29" t="s">
        <v>15735</v>
      </c>
      <c r="SXM29" t="s">
        <v>15736</v>
      </c>
      <c r="SXN29" t="s">
        <v>15737</v>
      </c>
      <c r="SXO29" t="s">
        <v>15738</v>
      </c>
      <c r="SXP29" t="s">
        <v>15739</v>
      </c>
      <c r="SXQ29" t="s">
        <v>15740</v>
      </c>
      <c r="SXR29" t="s">
        <v>15741</v>
      </c>
      <c r="SXS29" t="s">
        <v>15742</v>
      </c>
      <c r="SXT29" t="s">
        <v>15743</v>
      </c>
      <c r="SXU29" t="s">
        <v>15744</v>
      </c>
      <c r="SXV29" t="s">
        <v>15745</v>
      </c>
      <c r="SXW29" t="s">
        <v>15746</v>
      </c>
      <c r="SXX29" t="s">
        <v>15747</v>
      </c>
      <c r="SXY29" t="s">
        <v>15748</v>
      </c>
      <c r="SXZ29" t="s">
        <v>15749</v>
      </c>
      <c r="SYA29" t="s">
        <v>15750</v>
      </c>
      <c r="SYB29" t="s">
        <v>15751</v>
      </c>
      <c r="SYC29" t="s">
        <v>15752</v>
      </c>
      <c r="SYD29" t="s">
        <v>15753</v>
      </c>
      <c r="SYE29" t="s">
        <v>15754</v>
      </c>
      <c r="SYF29" t="s">
        <v>15755</v>
      </c>
      <c r="SYG29" t="s">
        <v>15756</v>
      </c>
      <c r="SYH29" t="s">
        <v>15757</v>
      </c>
      <c r="SYI29" t="s">
        <v>15758</v>
      </c>
      <c r="SYJ29" t="s">
        <v>15759</v>
      </c>
      <c r="SYK29" t="s">
        <v>15760</v>
      </c>
      <c r="SYL29" t="s">
        <v>15761</v>
      </c>
      <c r="SYM29" t="s">
        <v>15762</v>
      </c>
      <c r="SYN29" t="s">
        <v>15763</v>
      </c>
      <c r="SYO29" t="s">
        <v>15764</v>
      </c>
      <c r="SYP29" t="s">
        <v>15765</v>
      </c>
      <c r="SYQ29" t="s">
        <v>15766</v>
      </c>
      <c r="SYR29" t="s">
        <v>15767</v>
      </c>
      <c r="SYS29" t="s">
        <v>15768</v>
      </c>
      <c r="SYT29" t="s">
        <v>15769</v>
      </c>
      <c r="SYU29" t="s">
        <v>15770</v>
      </c>
      <c r="SYV29" t="s">
        <v>15771</v>
      </c>
      <c r="SYW29" t="s">
        <v>15772</v>
      </c>
      <c r="SYX29" t="s">
        <v>15773</v>
      </c>
      <c r="SYY29" t="s">
        <v>15774</v>
      </c>
      <c r="SYZ29" t="s">
        <v>15775</v>
      </c>
      <c r="SZA29" t="s">
        <v>15776</v>
      </c>
      <c r="SZB29" t="s">
        <v>15777</v>
      </c>
      <c r="SZC29" t="s">
        <v>15778</v>
      </c>
      <c r="SZD29" t="s">
        <v>15779</v>
      </c>
      <c r="SZE29" t="s">
        <v>15780</v>
      </c>
      <c r="SZF29" t="s">
        <v>15781</v>
      </c>
      <c r="SZG29" t="s">
        <v>15782</v>
      </c>
      <c r="SZH29" t="s">
        <v>15783</v>
      </c>
      <c r="SZI29" t="s">
        <v>15784</v>
      </c>
      <c r="SZJ29" t="s">
        <v>15785</v>
      </c>
      <c r="SZK29" t="s">
        <v>15786</v>
      </c>
      <c r="SZL29" t="s">
        <v>15787</v>
      </c>
      <c r="SZM29" t="s">
        <v>15788</v>
      </c>
      <c r="SZN29" t="s">
        <v>15789</v>
      </c>
      <c r="SZO29" t="s">
        <v>15790</v>
      </c>
      <c r="SZP29" t="s">
        <v>15791</v>
      </c>
      <c r="SZQ29" t="s">
        <v>15792</v>
      </c>
      <c r="SZR29" t="s">
        <v>15793</v>
      </c>
      <c r="SZS29" t="s">
        <v>15794</v>
      </c>
      <c r="SZT29" t="s">
        <v>15795</v>
      </c>
      <c r="SZU29" t="s">
        <v>15796</v>
      </c>
      <c r="SZV29" t="s">
        <v>15797</v>
      </c>
      <c r="SZW29" t="s">
        <v>15798</v>
      </c>
      <c r="SZX29" t="s">
        <v>15799</v>
      </c>
      <c r="SZY29" t="s">
        <v>15800</v>
      </c>
      <c r="SZZ29" t="s">
        <v>15801</v>
      </c>
      <c r="TAA29" t="s">
        <v>15802</v>
      </c>
      <c r="TAB29" t="s">
        <v>15803</v>
      </c>
      <c r="TAC29" t="s">
        <v>15804</v>
      </c>
      <c r="TAD29" t="s">
        <v>15805</v>
      </c>
      <c r="TAE29" t="s">
        <v>15806</v>
      </c>
      <c r="TAF29" t="s">
        <v>15807</v>
      </c>
      <c r="TAG29" t="s">
        <v>15808</v>
      </c>
      <c r="TAH29" t="s">
        <v>15809</v>
      </c>
      <c r="TAI29" t="s">
        <v>15810</v>
      </c>
      <c r="TAJ29" t="s">
        <v>15811</v>
      </c>
      <c r="TAK29" t="s">
        <v>15812</v>
      </c>
      <c r="TAL29" t="s">
        <v>15813</v>
      </c>
      <c r="TAM29" t="s">
        <v>15814</v>
      </c>
      <c r="TAN29" t="s">
        <v>15815</v>
      </c>
      <c r="TAO29" t="s">
        <v>15816</v>
      </c>
      <c r="TAP29" t="s">
        <v>15817</v>
      </c>
      <c r="TAQ29" t="s">
        <v>15818</v>
      </c>
      <c r="TAR29" t="s">
        <v>15819</v>
      </c>
      <c r="TAS29" t="s">
        <v>15820</v>
      </c>
      <c r="TAT29" t="s">
        <v>15821</v>
      </c>
      <c r="TAU29" t="s">
        <v>15822</v>
      </c>
      <c r="TAV29" t="s">
        <v>15823</v>
      </c>
      <c r="TAW29" t="s">
        <v>15824</v>
      </c>
      <c r="TAX29" t="s">
        <v>15825</v>
      </c>
      <c r="TAY29" t="s">
        <v>15826</v>
      </c>
      <c r="TAZ29" t="s">
        <v>15827</v>
      </c>
      <c r="TBA29" t="s">
        <v>15828</v>
      </c>
      <c r="TBB29" t="s">
        <v>15829</v>
      </c>
      <c r="TBC29" t="s">
        <v>15830</v>
      </c>
      <c r="TBD29" t="s">
        <v>15831</v>
      </c>
      <c r="TBE29" t="s">
        <v>15832</v>
      </c>
      <c r="TBF29" t="s">
        <v>15833</v>
      </c>
      <c r="TBG29" t="s">
        <v>15834</v>
      </c>
      <c r="TBH29" t="s">
        <v>15835</v>
      </c>
      <c r="TBI29" t="s">
        <v>15836</v>
      </c>
      <c r="TBJ29" t="s">
        <v>15837</v>
      </c>
      <c r="TBK29" t="s">
        <v>15838</v>
      </c>
      <c r="TBL29" t="s">
        <v>15839</v>
      </c>
      <c r="TBM29" t="s">
        <v>15840</v>
      </c>
      <c r="TBN29" t="s">
        <v>15841</v>
      </c>
      <c r="TBO29" t="s">
        <v>15842</v>
      </c>
      <c r="TBP29" t="s">
        <v>15843</v>
      </c>
      <c r="TBQ29" t="s">
        <v>15844</v>
      </c>
      <c r="TBR29" t="s">
        <v>15845</v>
      </c>
      <c r="TBS29" t="s">
        <v>15846</v>
      </c>
      <c r="TBT29" t="s">
        <v>15847</v>
      </c>
      <c r="TBU29" t="s">
        <v>15848</v>
      </c>
      <c r="TBV29" t="s">
        <v>15849</v>
      </c>
      <c r="TBW29" t="s">
        <v>15850</v>
      </c>
      <c r="TBX29" t="s">
        <v>15851</v>
      </c>
      <c r="TBY29" t="s">
        <v>15852</v>
      </c>
      <c r="TBZ29" t="s">
        <v>15853</v>
      </c>
      <c r="TCA29" t="s">
        <v>15854</v>
      </c>
      <c r="TCB29" t="s">
        <v>15855</v>
      </c>
      <c r="TCC29" t="s">
        <v>15856</v>
      </c>
      <c r="TCD29" t="s">
        <v>15857</v>
      </c>
      <c r="TCE29" t="s">
        <v>15858</v>
      </c>
      <c r="TCF29" t="s">
        <v>15859</v>
      </c>
      <c r="TCG29" t="s">
        <v>15860</v>
      </c>
      <c r="TCH29" t="s">
        <v>15861</v>
      </c>
      <c r="TCI29" t="s">
        <v>15862</v>
      </c>
      <c r="TCJ29" t="s">
        <v>15863</v>
      </c>
      <c r="TCK29" t="s">
        <v>15864</v>
      </c>
      <c r="TCL29" t="s">
        <v>15865</v>
      </c>
      <c r="TCM29" t="s">
        <v>15866</v>
      </c>
      <c r="TCN29" t="s">
        <v>15867</v>
      </c>
      <c r="TCO29" t="s">
        <v>15868</v>
      </c>
      <c r="TCP29" t="s">
        <v>15869</v>
      </c>
      <c r="TCQ29" t="s">
        <v>15870</v>
      </c>
      <c r="TCR29" t="s">
        <v>15871</v>
      </c>
      <c r="TCS29" t="s">
        <v>15872</v>
      </c>
      <c r="TCT29" t="s">
        <v>15873</v>
      </c>
      <c r="TCU29" t="s">
        <v>15874</v>
      </c>
      <c r="TCV29" t="s">
        <v>15875</v>
      </c>
      <c r="TCW29" t="s">
        <v>15876</v>
      </c>
      <c r="TCX29" t="s">
        <v>15877</v>
      </c>
      <c r="TCY29" t="s">
        <v>15878</v>
      </c>
      <c r="TCZ29" t="s">
        <v>15879</v>
      </c>
      <c r="TDA29" t="s">
        <v>15880</v>
      </c>
      <c r="TDB29" t="s">
        <v>15881</v>
      </c>
      <c r="TDC29" t="s">
        <v>15882</v>
      </c>
      <c r="TDD29" t="s">
        <v>15883</v>
      </c>
      <c r="TDE29" t="s">
        <v>15884</v>
      </c>
      <c r="TDF29" t="s">
        <v>15885</v>
      </c>
      <c r="TDG29" t="s">
        <v>15886</v>
      </c>
      <c r="TDH29" t="s">
        <v>15887</v>
      </c>
      <c r="TDI29" t="s">
        <v>15888</v>
      </c>
      <c r="TDJ29" t="s">
        <v>15889</v>
      </c>
      <c r="TDK29" t="s">
        <v>15890</v>
      </c>
      <c r="TDL29" t="s">
        <v>15891</v>
      </c>
      <c r="TDM29" t="s">
        <v>15892</v>
      </c>
      <c r="TDN29" t="s">
        <v>15893</v>
      </c>
      <c r="TDO29" t="s">
        <v>15894</v>
      </c>
      <c r="TDP29" t="s">
        <v>15895</v>
      </c>
      <c r="TDQ29" t="s">
        <v>15896</v>
      </c>
      <c r="TDR29" t="s">
        <v>15897</v>
      </c>
      <c r="TDS29" t="s">
        <v>15898</v>
      </c>
      <c r="TDT29" t="s">
        <v>15899</v>
      </c>
      <c r="TDU29" t="s">
        <v>15900</v>
      </c>
      <c r="TDV29" t="s">
        <v>15901</v>
      </c>
      <c r="TDW29" t="s">
        <v>15902</v>
      </c>
      <c r="TDX29" t="s">
        <v>15903</v>
      </c>
      <c r="TDY29" t="s">
        <v>15904</v>
      </c>
      <c r="TDZ29" t="s">
        <v>15905</v>
      </c>
      <c r="TEA29" t="s">
        <v>15906</v>
      </c>
      <c r="TEB29" t="s">
        <v>15907</v>
      </c>
      <c r="TEC29" t="s">
        <v>15908</v>
      </c>
      <c r="TED29" t="s">
        <v>15909</v>
      </c>
      <c r="TEE29" t="s">
        <v>15910</v>
      </c>
      <c r="TEF29" t="s">
        <v>15911</v>
      </c>
      <c r="TEG29" t="s">
        <v>15912</v>
      </c>
      <c r="TEH29" t="s">
        <v>15913</v>
      </c>
      <c r="TEI29" t="s">
        <v>15914</v>
      </c>
      <c r="TEJ29" t="s">
        <v>15915</v>
      </c>
      <c r="TEK29" t="s">
        <v>15916</v>
      </c>
      <c r="TEL29" t="s">
        <v>15917</v>
      </c>
      <c r="TEM29" t="s">
        <v>15918</v>
      </c>
      <c r="TEN29" t="s">
        <v>15919</v>
      </c>
      <c r="TEO29" t="s">
        <v>15920</v>
      </c>
      <c r="TEP29" t="s">
        <v>15921</v>
      </c>
      <c r="TEQ29" t="s">
        <v>15922</v>
      </c>
      <c r="TER29" t="s">
        <v>15923</v>
      </c>
      <c r="TES29" t="s">
        <v>15924</v>
      </c>
      <c r="TET29" t="s">
        <v>15925</v>
      </c>
      <c r="TEU29" t="s">
        <v>15926</v>
      </c>
      <c r="TEV29" t="s">
        <v>15927</v>
      </c>
      <c r="TEW29" t="s">
        <v>15928</v>
      </c>
      <c r="TEX29" t="s">
        <v>15929</v>
      </c>
      <c r="TEY29" t="s">
        <v>15930</v>
      </c>
      <c r="TEZ29" t="s">
        <v>15931</v>
      </c>
      <c r="TFA29" t="s">
        <v>15932</v>
      </c>
      <c r="TFB29" t="s">
        <v>15933</v>
      </c>
      <c r="TFC29" t="s">
        <v>15934</v>
      </c>
      <c r="TFD29" t="s">
        <v>15935</v>
      </c>
      <c r="TFE29" t="s">
        <v>15936</v>
      </c>
      <c r="TFF29" t="s">
        <v>15937</v>
      </c>
      <c r="TFG29" t="s">
        <v>15938</v>
      </c>
      <c r="TFH29" t="s">
        <v>15939</v>
      </c>
      <c r="TFI29" t="s">
        <v>15940</v>
      </c>
      <c r="TFJ29" t="s">
        <v>15941</v>
      </c>
      <c r="TFK29" t="s">
        <v>15942</v>
      </c>
      <c r="TFL29" t="s">
        <v>15943</v>
      </c>
      <c r="TFM29" t="s">
        <v>15944</v>
      </c>
      <c r="TFN29" t="s">
        <v>15945</v>
      </c>
      <c r="TFO29" t="s">
        <v>15946</v>
      </c>
      <c r="TFP29" t="s">
        <v>15947</v>
      </c>
      <c r="TFQ29" t="s">
        <v>15948</v>
      </c>
      <c r="TFR29" t="s">
        <v>15949</v>
      </c>
      <c r="TFS29" t="s">
        <v>15950</v>
      </c>
      <c r="TFT29" t="s">
        <v>15951</v>
      </c>
      <c r="TFU29" t="s">
        <v>15952</v>
      </c>
      <c r="TFV29" t="s">
        <v>15953</v>
      </c>
      <c r="TFW29" t="s">
        <v>15954</v>
      </c>
      <c r="TFX29" t="s">
        <v>15955</v>
      </c>
      <c r="TFY29" t="s">
        <v>15956</v>
      </c>
      <c r="TFZ29" t="s">
        <v>15957</v>
      </c>
      <c r="TGA29" t="s">
        <v>15958</v>
      </c>
      <c r="TGB29" t="s">
        <v>15959</v>
      </c>
      <c r="TGC29" t="s">
        <v>15960</v>
      </c>
      <c r="TGD29" t="s">
        <v>15961</v>
      </c>
      <c r="TGE29" t="s">
        <v>15962</v>
      </c>
      <c r="TGF29" t="s">
        <v>15963</v>
      </c>
      <c r="TGG29" t="s">
        <v>15964</v>
      </c>
      <c r="TGH29" t="s">
        <v>15965</v>
      </c>
      <c r="TGI29" t="s">
        <v>15966</v>
      </c>
      <c r="TGJ29" t="s">
        <v>15967</v>
      </c>
      <c r="TGK29" t="s">
        <v>15968</v>
      </c>
      <c r="TGL29" t="s">
        <v>15969</v>
      </c>
      <c r="TGM29" t="s">
        <v>15970</v>
      </c>
      <c r="TGN29" t="s">
        <v>15971</v>
      </c>
      <c r="TGO29" t="s">
        <v>15972</v>
      </c>
      <c r="TGP29" t="s">
        <v>15973</v>
      </c>
      <c r="TGQ29" t="s">
        <v>15974</v>
      </c>
      <c r="TGR29" t="s">
        <v>15975</v>
      </c>
      <c r="TGS29" t="s">
        <v>15976</v>
      </c>
      <c r="TGT29" t="s">
        <v>15977</v>
      </c>
      <c r="TGU29" t="s">
        <v>15978</v>
      </c>
      <c r="TGV29" t="s">
        <v>15979</v>
      </c>
      <c r="TGW29" t="s">
        <v>15980</v>
      </c>
      <c r="TGX29" t="s">
        <v>15981</v>
      </c>
      <c r="TGY29" t="s">
        <v>15982</v>
      </c>
      <c r="TGZ29" t="s">
        <v>15983</v>
      </c>
      <c r="THA29" t="s">
        <v>15984</v>
      </c>
      <c r="THB29" t="s">
        <v>15985</v>
      </c>
      <c r="THC29" t="s">
        <v>15986</v>
      </c>
      <c r="THD29" t="s">
        <v>15987</v>
      </c>
      <c r="THE29" t="s">
        <v>15988</v>
      </c>
      <c r="THF29" t="s">
        <v>15989</v>
      </c>
      <c r="THG29" t="s">
        <v>15990</v>
      </c>
      <c r="THH29" t="s">
        <v>15991</v>
      </c>
      <c r="THI29" t="s">
        <v>15992</v>
      </c>
      <c r="THJ29" t="s">
        <v>15993</v>
      </c>
      <c r="THK29" t="s">
        <v>15994</v>
      </c>
      <c r="THL29" t="s">
        <v>15995</v>
      </c>
      <c r="THM29" t="s">
        <v>15996</v>
      </c>
      <c r="THN29" t="s">
        <v>15997</v>
      </c>
      <c r="THO29" t="s">
        <v>15998</v>
      </c>
      <c r="THP29" t="s">
        <v>15999</v>
      </c>
      <c r="THQ29" t="s">
        <v>16000</v>
      </c>
      <c r="THR29" t="s">
        <v>16001</v>
      </c>
      <c r="THS29" t="s">
        <v>16002</v>
      </c>
      <c r="THT29" t="s">
        <v>16003</v>
      </c>
      <c r="THU29" t="s">
        <v>16004</v>
      </c>
      <c r="THV29" t="s">
        <v>16005</v>
      </c>
      <c r="THW29" t="s">
        <v>16006</v>
      </c>
      <c r="THX29" t="s">
        <v>16007</v>
      </c>
      <c r="THY29" t="s">
        <v>16008</v>
      </c>
      <c r="THZ29" t="s">
        <v>16009</v>
      </c>
      <c r="TIA29" t="s">
        <v>16010</v>
      </c>
      <c r="TIB29" t="s">
        <v>16011</v>
      </c>
      <c r="TIC29" t="s">
        <v>16012</v>
      </c>
      <c r="TID29" t="s">
        <v>16013</v>
      </c>
      <c r="TIE29" t="s">
        <v>16014</v>
      </c>
      <c r="TIF29" t="s">
        <v>16015</v>
      </c>
      <c r="TIG29" t="s">
        <v>16016</v>
      </c>
      <c r="TIH29" t="s">
        <v>16017</v>
      </c>
      <c r="TII29" t="s">
        <v>16018</v>
      </c>
      <c r="TIJ29" t="s">
        <v>16019</v>
      </c>
      <c r="TIK29" t="s">
        <v>16020</v>
      </c>
      <c r="TIL29" t="s">
        <v>16021</v>
      </c>
      <c r="TIM29" t="s">
        <v>16022</v>
      </c>
      <c r="TIN29" t="s">
        <v>16023</v>
      </c>
      <c r="TIO29" t="s">
        <v>16024</v>
      </c>
      <c r="TIP29" t="s">
        <v>16025</v>
      </c>
      <c r="TIQ29" t="s">
        <v>16026</v>
      </c>
      <c r="TIR29" t="s">
        <v>16027</v>
      </c>
      <c r="TIS29" t="s">
        <v>16028</v>
      </c>
      <c r="TIT29" t="s">
        <v>16029</v>
      </c>
      <c r="TIU29" t="s">
        <v>16030</v>
      </c>
      <c r="TIV29" t="s">
        <v>16031</v>
      </c>
      <c r="TIW29" t="s">
        <v>16032</v>
      </c>
      <c r="TIX29" t="s">
        <v>16033</v>
      </c>
      <c r="TIY29" t="s">
        <v>16034</v>
      </c>
      <c r="TIZ29" t="s">
        <v>16035</v>
      </c>
      <c r="TJA29" t="s">
        <v>16036</v>
      </c>
      <c r="TJB29" t="s">
        <v>16037</v>
      </c>
      <c r="TJC29" t="s">
        <v>16038</v>
      </c>
      <c r="TJD29" t="s">
        <v>16039</v>
      </c>
      <c r="TJE29" t="s">
        <v>16040</v>
      </c>
      <c r="TJF29" t="s">
        <v>16041</v>
      </c>
      <c r="TJG29" t="s">
        <v>16042</v>
      </c>
      <c r="TJH29" t="s">
        <v>16043</v>
      </c>
      <c r="TJI29" t="s">
        <v>16044</v>
      </c>
      <c r="TJJ29" t="s">
        <v>16045</v>
      </c>
      <c r="TJK29" t="s">
        <v>16046</v>
      </c>
      <c r="TJL29" t="s">
        <v>16047</v>
      </c>
      <c r="TJM29" t="s">
        <v>16048</v>
      </c>
      <c r="TJN29" t="s">
        <v>16049</v>
      </c>
      <c r="TJO29" t="s">
        <v>16050</v>
      </c>
      <c r="TJP29" t="s">
        <v>16051</v>
      </c>
      <c r="TJQ29" t="s">
        <v>16052</v>
      </c>
      <c r="TJR29" t="s">
        <v>16053</v>
      </c>
      <c r="TJS29" t="s">
        <v>16054</v>
      </c>
      <c r="TJT29" t="s">
        <v>16055</v>
      </c>
      <c r="TJU29" t="s">
        <v>16056</v>
      </c>
      <c r="TJV29" t="s">
        <v>16057</v>
      </c>
      <c r="TJW29" t="s">
        <v>16058</v>
      </c>
      <c r="TJX29" t="s">
        <v>16059</v>
      </c>
      <c r="TJY29" t="s">
        <v>16060</v>
      </c>
      <c r="TJZ29" t="s">
        <v>16061</v>
      </c>
      <c r="TKA29" t="s">
        <v>16062</v>
      </c>
      <c r="TKB29" t="s">
        <v>16063</v>
      </c>
      <c r="TKC29" t="s">
        <v>16064</v>
      </c>
      <c r="TKD29" t="s">
        <v>16065</v>
      </c>
      <c r="TKE29" t="s">
        <v>16066</v>
      </c>
      <c r="TKF29" t="s">
        <v>16067</v>
      </c>
      <c r="TKG29" t="s">
        <v>16068</v>
      </c>
      <c r="TKH29" t="s">
        <v>16069</v>
      </c>
      <c r="TKI29" t="s">
        <v>16070</v>
      </c>
      <c r="TKJ29" t="s">
        <v>16071</v>
      </c>
      <c r="TKK29" t="s">
        <v>16072</v>
      </c>
      <c r="TKL29" t="s">
        <v>16073</v>
      </c>
      <c r="TKM29" t="s">
        <v>16074</v>
      </c>
      <c r="TKN29" t="s">
        <v>16075</v>
      </c>
      <c r="TKO29" t="s">
        <v>16076</v>
      </c>
      <c r="TKP29" t="s">
        <v>16077</v>
      </c>
      <c r="TKQ29" t="s">
        <v>16078</v>
      </c>
      <c r="TKR29" t="s">
        <v>16079</v>
      </c>
      <c r="TKS29" t="s">
        <v>16080</v>
      </c>
      <c r="TKT29" t="s">
        <v>16081</v>
      </c>
      <c r="TKU29" t="s">
        <v>16082</v>
      </c>
      <c r="TKV29" t="s">
        <v>16083</v>
      </c>
      <c r="TKW29" t="s">
        <v>16084</v>
      </c>
      <c r="TKX29" t="s">
        <v>16085</v>
      </c>
      <c r="TKY29" t="s">
        <v>16086</v>
      </c>
      <c r="TKZ29" t="s">
        <v>16087</v>
      </c>
      <c r="TLA29" t="s">
        <v>16088</v>
      </c>
      <c r="TLB29" t="s">
        <v>16089</v>
      </c>
      <c r="TLC29" t="s">
        <v>16090</v>
      </c>
      <c r="TLD29" t="s">
        <v>16091</v>
      </c>
      <c r="TLE29" t="s">
        <v>16092</v>
      </c>
      <c r="TLF29" t="s">
        <v>16093</v>
      </c>
      <c r="TLG29" t="s">
        <v>16094</v>
      </c>
      <c r="TLH29" t="s">
        <v>16095</v>
      </c>
      <c r="TLI29" t="s">
        <v>16096</v>
      </c>
      <c r="TLJ29" t="s">
        <v>16097</v>
      </c>
      <c r="TLK29" t="s">
        <v>16098</v>
      </c>
      <c r="TLL29" t="s">
        <v>16099</v>
      </c>
      <c r="TLM29" t="s">
        <v>16100</v>
      </c>
      <c r="TLN29" t="s">
        <v>16101</v>
      </c>
      <c r="TLO29" t="s">
        <v>16102</v>
      </c>
      <c r="TLP29" t="s">
        <v>16103</v>
      </c>
      <c r="TLQ29" t="s">
        <v>16104</v>
      </c>
      <c r="TLR29" t="s">
        <v>16105</v>
      </c>
      <c r="TLS29" t="s">
        <v>16106</v>
      </c>
      <c r="TLT29" t="s">
        <v>16107</v>
      </c>
      <c r="TLU29" t="s">
        <v>16108</v>
      </c>
      <c r="TLV29" t="s">
        <v>16109</v>
      </c>
      <c r="TLW29" t="s">
        <v>16110</v>
      </c>
      <c r="TLX29" t="s">
        <v>16111</v>
      </c>
      <c r="TLY29" t="s">
        <v>16112</v>
      </c>
      <c r="TLZ29" t="s">
        <v>16113</v>
      </c>
      <c r="TMA29" t="s">
        <v>16114</v>
      </c>
      <c r="TMB29" t="s">
        <v>16115</v>
      </c>
      <c r="TMC29" t="s">
        <v>16116</v>
      </c>
      <c r="TMD29" t="s">
        <v>16117</v>
      </c>
      <c r="TME29" t="s">
        <v>16118</v>
      </c>
      <c r="TMF29" t="s">
        <v>16119</v>
      </c>
      <c r="TMG29" t="s">
        <v>16120</v>
      </c>
      <c r="TMH29" t="s">
        <v>16121</v>
      </c>
      <c r="TMI29" t="s">
        <v>16122</v>
      </c>
      <c r="TMJ29" t="s">
        <v>16123</v>
      </c>
      <c r="TMK29" t="s">
        <v>16124</v>
      </c>
      <c r="TML29" t="s">
        <v>16125</v>
      </c>
      <c r="TMM29" t="s">
        <v>16126</v>
      </c>
      <c r="TMN29" t="s">
        <v>16127</v>
      </c>
      <c r="TMO29" t="s">
        <v>16128</v>
      </c>
      <c r="TMP29" t="s">
        <v>16129</v>
      </c>
      <c r="TMQ29" t="s">
        <v>16130</v>
      </c>
      <c r="TMR29" t="s">
        <v>16131</v>
      </c>
      <c r="TMS29" t="s">
        <v>16132</v>
      </c>
      <c r="TMT29" t="s">
        <v>16133</v>
      </c>
      <c r="TMU29" t="s">
        <v>16134</v>
      </c>
      <c r="TMV29" t="s">
        <v>16135</v>
      </c>
      <c r="TMW29" t="s">
        <v>16136</v>
      </c>
      <c r="TMX29" t="s">
        <v>16137</v>
      </c>
      <c r="TMY29" t="s">
        <v>16138</v>
      </c>
      <c r="TMZ29" t="s">
        <v>16139</v>
      </c>
      <c r="TNA29" t="s">
        <v>16140</v>
      </c>
      <c r="TNB29" t="s">
        <v>16141</v>
      </c>
      <c r="TNC29" t="s">
        <v>16142</v>
      </c>
      <c r="TND29" t="s">
        <v>16143</v>
      </c>
      <c r="TNE29" t="s">
        <v>16144</v>
      </c>
      <c r="TNF29" t="s">
        <v>16145</v>
      </c>
      <c r="TNG29" t="s">
        <v>16146</v>
      </c>
      <c r="TNH29" t="s">
        <v>16147</v>
      </c>
      <c r="TNI29" t="s">
        <v>16148</v>
      </c>
      <c r="TNJ29" t="s">
        <v>16149</v>
      </c>
      <c r="TNK29" t="s">
        <v>16150</v>
      </c>
      <c r="TNL29" t="s">
        <v>16151</v>
      </c>
      <c r="TNM29" t="s">
        <v>16152</v>
      </c>
      <c r="TNN29" t="s">
        <v>16153</v>
      </c>
      <c r="TNO29" t="s">
        <v>16154</v>
      </c>
      <c r="TNP29" t="s">
        <v>16155</v>
      </c>
      <c r="TNQ29" t="s">
        <v>16156</v>
      </c>
      <c r="TNR29" t="s">
        <v>16157</v>
      </c>
      <c r="TNS29" t="s">
        <v>16158</v>
      </c>
      <c r="TNT29" t="s">
        <v>16159</v>
      </c>
      <c r="TNU29" t="s">
        <v>16160</v>
      </c>
      <c r="TNV29" t="s">
        <v>16161</v>
      </c>
      <c r="TNW29" t="s">
        <v>16162</v>
      </c>
      <c r="TNX29" t="s">
        <v>16163</v>
      </c>
      <c r="TNY29" t="s">
        <v>16164</v>
      </c>
      <c r="TNZ29" t="s">
        <v>16165</v>
      </c>
      <c r="TOA29" t="s">
        <v>16166</v>
      </c>
      <c r="TOB29" t="s">
        <v>16167</v>
      </c>
      <c r="TOC29" t="s">
        <v>16168</v>
      </c>
      <c r="TOD29" t="s">
        <v>16169</v>
      </c>
      <c r="TOE29" t="s">
        <v>16170</v>
      </c>
      <c r="TOF29" t="s">
        <v>16171</v>
      </c>
      <c r="TOG29" t="s">
        <v>16172</v>
      </c>
      <c r="TOH29" t="s">
        <v>16173</v>
      </c>
      <c r="TOI29" t="s">
        <v>16174</v>
      </c>
      <c r="TOJ29" t="s">
        <v>16175</v>
      </c>
      <c r="TOK29" t="s">
        <v>16176</v>
      </c>
      <c r="TOL29" t="s">
        <v>16177</v>
      </c>
      <c r="TOM29" t="s">
        <v>16178</v>
      </c>
      <c r="TON29" t="s">
        <v>16179</v>
      </c>
      <c r="TOO29" t="s">
        <v>16180</v>
      </c>
      <c r="TOP29" t="s">
        <v>16181</v>
      </c>
      <c r="TOQ29" t="s">
        <v>16182</v>
      </c>
      <c r="TOR29" t="s">
        <v>16183</v>
      </c>
      <c r="TOS29" t="s">
        <v>16184</v>
      </c>
      <c r="TOT29" t="s">
        <v>16185</v>
      </c>
      <c r="TOU29" t="s">
        <v>16186</v>
      </c>
      <c r="TOV29" t="s">
        <v>16187</v>
      </c>
      <c r="TOW29" t="s">
        <v>16188</v>
      </c>
      <c r="TOX29" t="s">
        <v>16189</v>
      </c>
      <c r="TOY29" t="s">
        <v>16190</v>
      </c>
      <c r="TOZ29" t="s">
        <v>16191</v>
      </c>
      <c r="TPA29" t="s">
        <v>16192</v>
      </c>
      <c r="TPB29" t="s">
        <v>16193</v>
      </c>
      <c r="TPC29" t="s">
        <v>16194</v>
      </c>
      <c r="TPD29" t="s">
        <v>16195</v>
      </c>
      <c r="TPE29" t="s">
        <v>16196</v>
      </c>
      <c r="TPF29" t="s">
        <v>16197</v>
      </c>
      <c r="TPG29" t="s">
        <v>16198</v>
      </c>
      <c r="TPH29" t="s">
        <v>16199</v>
      </c>
      <c r="TPI29" t="s">
        <v>16200</v>
      </c>
      <c r="TPJ29" t="s">
        <v>16201</v>
      </c>
      <c r="TPK29" t="s">
        <v>16202</v>
      </c>
      <c r="TPL29" t="s">
        <v>16203</v>
      </c>
      <c r="TPM29" t="s">
        <v>16204</v>
      </c>
      <c r="TPN29" t="s">
        <v>16205</v>
      </c>
      <c r="TPO29" t="s">
        <v>16206</v>
      </c>
      <c r="TPP29" t="s">
        <v>16207</v>
      </c>
      <c r="TPQ29" t="s">
        <v>16208</v>
      </c>
      <c r="TPR29" t="s">
        <v>16209</v>
      </c>
      <c r="TPS29" t="s">
        <v>16210</v>
      </c>
      <c r="TPT29" t="s">
        <v>16211</v>
      </c>
      <c r="TPU29" t="s">
        <v>16212</v>
      </c>
      <c r="TPV29" t="s">
        <v>16213</v>
      </c>
      <c r="TPW29" t="s">
        <v>16214</v>
      </c>
      <c r="TPX29" t="s">
        <v>16215</v>
      </c>
      <c r="TPY29" t="s">
        <v>16216</v>
      </c>
      <c r="TPZ29" t="s">
        <v>16217</v>
      </c>
      <c r="TQA29" t="s">
        <v>16218</v>
      </c>
      <c r="TQB29" t="s">
        <v>16219</v>
      </c>
      <c r="TQC29" t="s">
        <v>16220</v>
      </c>
      <c r="TQD29" t="s">
        <v>16221</v>
      </c>
      <c r="TQE29" t="s">
        <v>16222</v>
      </c>
      <c r="TQF29" t="s">
        <v>16223</v>
      </c>
      <c r="TQG29" t="s">
        <v>16224</v>
      </c>
      <c r="TQH29" t="s">
        <v>16225</v>
      </c>
      <c r="TQI29" t="s">
        <v>16226</v>
      </c>
      <c r="TQJ29" t="s">
        <v>16227</v>
      </c>
      <c r="TQK29" t="s">
        <v>16228</v>
      </c>
      <c r="TQL29" t="s">
        <v>16229</v>
      </c>
      <c r="TQM29" t="s">
        <v>16230</v>
      </c>
      <c r="TQN29" t="s">
        <v>16231</v>
      </c>
      <c r="TQO29" t="s">
        <v>16232</v>
      </c>
      <c r="TQP29" t="s">
        <v>16233</v>
      </c>
      <c r="TQQ29" t="s">
        <v>16234</v>
      </c>
      <c r="TQR29" t="s">
        <v>16235</v>
      </c>
      <c r="TQS29" t="s">
        <v>16236</v>
      </c>
      <c r="TQT29" t="s">
        <v>16237</v>
      </c>
      <c r="TQU29" t="s">
        <v>16238</v>
      </c>
      <c r="TQV29" t="s">
        <v>16239</v>
      </c>
      <c r="TQW29" t="s">
        <v>16240</v>
      </c>
      <c r="TQX29" t="s">
        <v>16241</v>
      </c>
      <c r="TQY29" t="s">
        <v>16242</v>
      </c>
      <c r="TQZ29" t="s">
        <v>16243</v>
      </c>
      <c r="TRA29" t="s">
        <v>16244</v>
      </c>
      <c r="TRB29" t="s">
        <v>16245</v>
      </c>
      <c r="TRC29" t="s">
        <v>16246</v>
      </c>
      <c r="TRD29" t="s">
        <v>16247</v>
      </c>
      <c r="TRE29" t="s">
        <v>16248</v>
      </c>
      <c r="TRF29" t="s">
        <v>16249</v>
      </c>
      <c r="TRG29" t="s">
        <v>16250</v>
      </c>
      <c r="TRH29" t="s">
        <v>16251</v>
      </c>
      <c r="TRI29" t="s">
        <v>16252</v>
      </c>
      <c r="TRJ29" t="s">
        <v>16253</v>
      </c>
      <c r="TRK29" t="s">
        <v>16254</v>
      </c>
      <c r="TRL29" t="s">
        <v>16255</v>
      </c>
      <c r="TRM29" t="s">
        <v>16256</v>
      </c>
      <c r="TRN29" t="s">
        <v>16257</v>
      </c>
      <c r="TRO29" t="s">
        <v>16258</v>
      </c>
      <c r="TRP29" t="s">
        <v>16259</v>
      </c>
      <c r="TRQ29" t="s">
        <v>16260</v>
      </c>
      <c r="TRR29" t="s">
        <v>16261</v>
      </c>
      <c r="TRS29" t="s">
        <v>16262</v>
      </c>
      <c r="TRT29" t="s">
        <v>16263</v>
      </c>
      <c r="TRU29" t="s">
        <v>16264</v>
      </c>
      <c r="TRV29" t="s">
        <v>16265</v>
      </c>
      <c r="TRW29" t="s">
        <v>16266</v>
      </c>
      <c r="TRX29" t="s">
        <v>16267</v>
      </c>
      <c r="TRY29" t="s">
        <v>16268</v>
      </c>
      <c r="TRZ29" t="s">
        <v>16269</v>
      </c>
      <c r="TSA29" t="s">
        <v>16270</v>
      </c>
      <c r="TSB29" t="s">
        <v>16271</v>
      </c>
      <c r="TSC29" t="s">
        <v>16272</v>
      </c>
      <c r="TSD29" t="s">
        <v>16273</v>
      </c>
      <c r="TSE29" t="s">
        <v>16274</v>
      </c>
      <c r="TSF29" t="s">
        <v>16275</v>
      </c>
      <c r="TSG29" t="s">
        <v>16276</v>
      </c>
      <c r="TSH29" t="s">
        <v>16277</v>
      </c>
      <c r="TSI29" t="s">
        <v>16278</v>
      </c>
      <c r="TSJ29" t="s">
        <v>16279</v>
      </c>
      <c r="TSK29" t="s">
        <v>16280</v>
      </c>
      <c r="TSL29" t="s">
        <v>16281</v>
      </c>
      <c r="TSM29" t="s">
        <v>16282</v>
      </c>
      <c r="TSN29" t="s">
        <v>16283</v>
      </c>
      <c r="TSO29" t="s">
        <v>16284</v>
      </c>
      <c r="TSP29" t="s">
        <v>16285</v>
      </c>
      <c r="TSQ29" t="s">
        <v>16286</v>
      </c>
      <c r="TSR29" t="s">
        <v>16287</v>
      </c>
      <c r="TSS29" t="s">
        <v>16288</v>
      </c>
      <c r="TST29" t="s">
        <v>16289</v>
      </c>
      <c r="TSU29" t="s">
        <v>16290</v>
      </c>
      <c r="TSV29" t="s">
        <v>16291</v>
      </c>
      <c r="TSW29" t="s">
        <v>16292</v>
      </c>
      <c r="TSX29" t="s">
        <v>16293</v>
      </c>
      <c r="TSY29" t="s">
        <v>16294</v>
      </c>
      <c r="TSZ29" t="s">
        <v>16295</v>
      </c>
      <c r="TTA29" t="s">
        <v>16296</v>
      </c>
      <c r="TTB29" t="s">
        <v>16297</v>
      </c>
      <c r="TTC29" t="s">
        <v>16298</v>
      </c>
      <c r="TTD29" t="s">
        <v>16299</v>
      </c>
      <c r="TTE29" t="s">
        <v>16300</v>
      </c>
      <c r="TTF29" t="s">
        <v>16301</v>
      </c>
      <c r="TTG29" t="s">
        <v>16302</v>
      </c>
      <c r="TTH29" t="s">
        <v>16303</v>
      </c>
      <c r="TTI29" t="s">
        <v>16304</v>
      </c>
      <c r="TTJ29" t="s">
        <v>16305</v>
      </c>
      <c r="TTK29" t="s">
        <v>16306</v>
      </c>
      <c r="TTL29" t="s">
        <v>16307</v>
      </c>
      <c r="TTM29" t="s">
        <v>16308</v>
      </c>
      <c r="TTN29" t="s">
        <v>16309</v>
      </c>
      <c r="TTO29" t="s">
        <v>16310</v>
      </c>
      <c r="TTP29" t="s">
        <v>16311</v>
      </c>
      <c r="TTQ29" t="s">
        <v>16312</v>
      </c>
      <c r="TTR29" t="s">
        <v>16313</v>
      </c>
      <c r="TTS29" t="s">
        <v>16314</v>
      </c>
      <c r="TTT29" t="s">
        <v>16315</v>
      </c>
      <c r="TTU29" t="s">
        <v>16316</v>
      </c>
      <c r="TTV29" t="s">
        <v>16317</v>
      </c>
      <c r="TTW29" t="s">
        <v>16318</v>
      </c>
      <c r="TTX29" t="s">
        <v>16319</v>
      </c>
      <c r="TTY29" t="s">
        <v>16320</v>
      </c>
      <c r="TTZ29" t="s">
        <v>16321</v>
      </c>
      <c r="TUA29" t="s">
        <v>16322</v>
      </c>
      <c r="TUB29" t="s">
        <v>16323</v>
      </c>
      <c r="TUC29" t="s">
        <v>16324</v>
      </c>
      <c r="TUD29" t="s">
        <v>16325</v>
      </c>
      <c r="TUE29" t="s">
        <v>16326</v>
      </c>
      <c r="TUF29" t="s">
        <v>16327</v>
      </c>
      <c r="TUG29" t="s">
        <v>16328</v>
      </c>
      <c r="TUH29" t="s">
        <v>16329</v>
      </c>
      <c r="TUI29" t="s">
        <v>16330</v>
      </c>
      <c r="TUJ29" t="s">
        <v>16331</v>
      </c>
      <c r="TUK29" t="s">
        <v>16332</v>
      </c>
      <c r="TUL29" t="s">
        <v>16333</v>
      </c>
      <c r="TUM29" t="s">
        <v>16334</v>
      </c>
      <c r="TUN29" t="s">
        <v>16335</v>
      </c>
      <c r="TUO29" t="s">
        <v>16336</v>
      </c>
      <c r="TUP29" t="s">
        <v>16337</v>
      </c>
      <c r="TUQ29" t="s">
        <v>16338</v>
      </c>
      <c r="TUR29" t="s">
        <v>16339</v>
      </c>
      <c r="TUS29" t="s">
        <v>16340</v>
      </c>
      <c r="TUT29" t="s">
        <v>16341</v>
      </c>
      <c r="TUU29" t="s">
        <v>16342</v>
      </c>
      <c r="TUV29" t="s">
        <v>16343</v>
      </c>
      <c r="TUW29" t="s">
        <v>16344</v>
      </c>
      <c r="TUX29" t="s">
        <v>16345</v>
      </c>
      <c r="TUY29" t="s">
        <v>16346</v>
      </c>
      <c r="TUZ29" t="s">
        <v>16347</v>
      </c>
      <c r="TVA29" t="s">
        <v>16348</v>
      </c>
      <c r="TVB29" t="s">
        <v>16349</v>
      </c>
      <c r="TVC29" t="s">
        <v>16350</v>
      </c>
      <c r="TVD29" t="s">
        <v>16351</v>
      </c>
      <c r="TVE29" t="s">
        <v>16352</v>
      </c>
      <c r="TVF29" t="s">
        <v>16353</v>
      </c>
      <c r="TVG29" t="s">
        <v>16354</v>
      </c>
      <c r="TVH29" t="s">
        <v>16355</v>
      </c>
      <c r="TVI29" t="s">
        <v>16356</v>
      </c>
      <c r="TVJ29" t="s">
        <v>16357</v>
      </c>
      <c r="TVK29" t="s">
        <v>16358</v>
      </c>
      <c r="TVL29" t="s">
        <v>16359</v>
      </c>
      <c r="TVM29" t="s">
        <v>16360</v>
      </c>
      <c r="TVN29" t="s">
        <v>16361</v>
      </c>
      <c r="TVO29" t="s">
        <v>16362</v>
      </c>
      <c r="TVP29" t="s">
        <v>16363</v>
      </c>
      <c r="TVQ29" t="s">
        <v>16364</v>
      </c>
      <c r="TVR29" t="s">
        <v>16365</v>
      </c>
      <c r="TVS29" t="s">
        <v>16366</v>
      </c>
      <c r="TVT29" t="s">
        <v>16367</v>
      </c>
      <c r="TVU29" t="s">
        <v>16368</v>
      </c>
      <c r="TVV29" t="s">
        <v>16369</v>
      </c>
      <c r="TVW29" t="s">
        <v>16370</v>
      </c>
      <c r="TVX29" t="s">
        <v>16371</v>
      </c>
      <c r="TVY29" t="s">
        <v>16372</v>
      </c>
      <c r="TVZ29" t="s">
        <v>16373</v>
      </c>
      <c r="TWA29" t="s">
        <v>16374</v>
      </c>
      <c r="TWB29" t="s">
        <v>16375</v>
      </c>
      <c r="TWC29" t="s">
        <v>16376</v>
      </c>
      <c r="TWD29" t="s">
        <v>16377</v>
      </c>
      <c r="TWE29" t="s">
        <v>16378</v>
      </c>
      <c r="TWF29" t="s">
        <v>16379</v>
      </c>
      <c r="TWG29" t="s">
        <v>16380</v>
      </c>
      <c r="TWH29" t="s">
        <v>16381</v>
      </c>
      <c r="TWI29" t="s">
        <v>16382</v>
      </c>
      <c r="TWJ29" t="s">
        <v>16383</v>
      </c>
      <c r="TWK29" t="s">
        <v>16384</v>
      </c>
      <c r="TWL29" t="s">
        <v>16385</v>
      </c>
      <c r="TWM29" t="s">
        <v>16386</v>
      </c>
      <c r="TWN29" t="s">
        <v>16387</v>
      </c>
      <c r="TWO29" t="s">
        <v>16388</v>
      </c>
      <c r="TWP29" t="s">
        <v>16389</v>
      </c>
      <c r="TWQ29" t="s">
        <v>16390</v>
      </c>
      <c r="TWR29" t="s">
        <v>16391</v>
      </c>
      <c r="TWS29" t="s">
        <v>16392</v>
      </c>
      <c r="TWT29" t="s">
        <v>16393</v>
      </c>
      <c r="TWU29" t="s">
        <v>16394</v>
      </c>
      <c r="TWV29" t="s">
        <v>16395</v>
      </c>
      <c r="TWW29" t="s">
        <v>16396</v>
      </c>
      <c r="TWX29" t="s">
        <v>16397</v>
      </c>
      <c r="TWY29" t="s">
        <v>16398</v>
      </c>
      <c r="TWZ29" t="s">
        <v>16399</v>
      </c>
      <c r="TXA29" t="s">
        <v>16400</v>
      </c>
      <c r="TXB29" t="s">
        <v>16401</v>
      </c>
      <c r="TXC29" t="s">
        <v>16402</v>
      </c>
      <c r="TXD29" t="s">
        <v>16403</v>
      </c>
      <c r="TXE29" t="s">
        <v>16404</v>
      </c>
      <c r="TXF29" t="s">
        <v>16405</v>
      </c>
      <c r="TXG29" t="s">
        <v>16406</v>
      </c>
      <c r="TXH29" t="s">
        <v>16407</v>
      </c>
      <c r="TXI29" t="s">
        <v>16408</v>
      </c>
      <c r="TXJ29" t="s">
        <v>16409</v>
      </c>
      <c r="TXK29" t="s">
        <v>16410</v>
      </c>
      <c r="TXL29" t="s">
        <v>16411</v>
      </c>
      <c r="TXM29" t="s">
        <v>16412</v>
      </c>
      <c r="TXN29" t="s">
        <v>16413</v>
      </c>
      <c r="TXO29" t="s">
        <v>16414</v>
      </c>
      <c r="TXP29" t="s">
        <v>16415</v>
      </c>
      <c r="TXQ29" t="s">
        <v>16416</v>
      </c>
      <c r="TXR29" t="s">
        <v>16417</v>
      </c>
      <c r="TXS29" t="s">
        <v>16418</v>
      </c>
      <c r="TXT29" t="s">
        <v>16419</v>
      </c>
      <c r="TXU29" t="s">
        <v>16420</v>
      </c>
      <c r="TXV29" t="s">
        <v>16421</v>
      </c>
      <c r="TXW29" t="s">
        <v>16422</v>
      </c>
      <c r="TXX29" t="s">
        <v>16423</v>
      </c>
      <c r="TXY29" t="s">
        <v>16424</v>
      </c>
      <c r="TXZ29" t="s">
        <v>16425</v>
      </c>
      <c r="TYA29" t="s">
        <v>16426</v>
      </c>
      <c r="TYB29" t="s">
        <v>16427</v>
      </c>
      <c r="TYC29" t="s">
        <v>16428</v>
      </c>
      <c r="TYD29" t="s">
        <v>16429</v>
      </c>
      <c r="TYE29" t="s">
        <v>16430</v>
      </c>
      <c r="TYF29" t="s">
        <v>16431</v>
      </c>
      <c r="TYG29" t="s">
        <v>16432</v>
      </c>
      <c r="TYH29" t="s">
        <v>16433</v>
      </c>
      <c r="TYI29" t="s">
        <v>16434</v>
      </c>
      <c r="TYJ29" t="s">
        <v>16435</v>
      </c>
      <c r="TYK29" t="s">
        <v>16436</v>
      </c>
      <c r="TYL29" t="s">
        <v>16437</v>
      </c>
      <c r="TYM29" t="s">
        <v>16438</v>
      </c>
      <c r="TYN29" t="s">
        <v>16439</v>
      </c>
      <c r="TYO29" t="s">
        <v>16440</v>
      </c>
      <c r="TYP29" t="s">
        <v>16441</v>
      </c>
      <c r="TYQ29" t="s">
        <v>16442</v>
      </c>
      <c r="TYR29" t="s">
        <v>16443</v>
      </c>
      <c r="TYS29" t="s">
        <v>16444</v>
      </c>
      <c r="TYT29" t="s">
        <v>16445</v>
      </c>
      <c r="TYU29" t="s">
        <v>16446</v>
      </c>
      <c r="TYV29" t="s">
        <v>16447</v>
      </c>
      <c r="TYW29" t="s">
        <v>16448</v>
      </c>
      <c r="TYX29" t="s">
        <v>16449</v>
      </c>
      <c r="TYY29" t="s">
        <v>16450</v>
      </c>
      <c r="TYZ29" t="s">
        <v>16451</v>
      </c>
      <c r="TZA29" t="s">
        <v>16452</v>
      </c>
      <c r="TZB29" t="s">
        <v>16453</v>
      </c>
      <c r="TZC29" t="s">
        <v>16454</v>
      </c>
      <c r="TZD29" t="s">
        <v>16455</v>
      </c>
      <c r="TZE29" t="s">
        <v>16456</v>
      </c>
      <c r="TZF29" t="s">
        <v>16457</v>
      </c>
      <c r="TZG29" t="s">
        <v>16458</v>
      </c>
      <c r="TZH29" t="s">
        <v>16459</v>
      </c>
      <c r="TZI29" t="s">
        <v>16460</v>
      </c>
      <c r="TZJ29" t="s">
        <v>16461</v>
      </c>
      <c r="TZK29" t="s">
        <v>16462</v>
      </c>
      <c r="TZL29" t="s">
        <v>16463</v>
      </c>
      <c r="TZM29" t="s">
        <v>16464</v>
      </c>
      <c r="TZN29" t="s">
        <v>16465</v>
      </c>
      <c r="TZO29" t="s">
        <v>16466</v>
      </c>
      <c r="TZP29" t="s">
        <v>16467</v>
      </c>
      <c r="TZQ29" t="s">
        <v>16468</v>
      </c>
      <c r="TZR29" t="s">
        <v>16469</v>
      </c>
      <c r="TZS29" t="s">
        <v>16470</v>
      </c>
      <c r="TZT29" t="s">
        <v>16471</v>
      </c>
      <c r="TZU29" t="s">
        <v>16472</v>
      </c>
      <c r="TZV29" t="s">
        <v>16473</v>
      </c>
      <c r="TZW29" t="s">
        <v>16474</v>
      </c>
      <c r="TZX29" t="s">
        <v>16475</v>
      </c>
      <c r="TZY29" t="s">
        <v>16476</v>
      </c>
      <c r="TZZ29" t="s">
        <v>16477</v>
      </c>
      <c r="UAA29" t="s">
        <v>16478</v>
      </c>
      <c r="UAB29" t="s">
        <v>16479</v>
      </c>
      <c r="UAC29" t="s">
        <v>16480</v>
      </c>
      <c r="UAD29" t="s">
        <v>16481</v>
      </c>
      <c r="UAE29" t="s">
        <v>16482</v>
      </c>
      <c r="UAF29" t="s">
        <v>16483</v>
      </c>
      <c r="UAG29" t="s">
        <v>16484</v>
      </c>
      <c r="UAH29" t="s">
        <v>16485</v>
      </c>
      <c r="UAI29" t="s">
        <v>16486</v>
      </c>
      <c r="UAJ29" t="s">
        <v>16487</v>
      </c>
      <c r="UAK29" t="s">
        <v>16488</v>
      </c>
      <c r="UAL29" t="s">
        <v>16489</v>
      </c>
      <c r="UAM29" t="s">
        <v>16490</v>
      </c>
      <c r="UAN29" t="s">
        <v>16491</v>
      </c>
      <c r="UAO29" t="s">
        <v>16492</v>
      </c>
      <c r="UAP29" t="s">
        <v>16493</v>
      </c>
      <c r="UAQ29" t="s">
        <v>16494</v>
      </c>
      <c r="UAR29" t="s">
        <v>16495</v>
      </c>
      <c r="UAS29" t="s">
        <v>16496</v>
      </c>
      <c r="UAT29" t="s">
        <v>16497</v>
      </c>
      <c r="UAU29" t="s">
        <v>16498</v>
      </c>
      <c r="UAV29" t="s">
        <v>16499</v>
      </c>
      <c r="UAW29" t="s">
        <v>16500</v>
      </c>
      <c r="UAX29" t="s">
        <v>16501</v>
      </c>
      <c r="UAY29" t="s">
        <v>16502</v>
      </c>
      <c r="UAZ29" t="s">
        <v>16503</v>
      </c>
      <c r="UBA29" t="s">
        <v>16504</v>
      </c>
      <c r="UBB29" t="s">
        <v>16505</v>
      </c>
      <c r="UBC29" t="s">
        <v>16506</v>
      </c>
      <c r="UBD29" t="s">
        <v>16507</v>
      </c>
      <c r="UBE29" t="s">
        <v>16508</v>
      </c>
      <c r="UBF29" t="s">
        <v>16509</v>
      </c>
      <c r="UBG29" t="s">
        <v>16510</v>
      </c>
      <c r="UBH29" t="s">
        <v>16511</v>
      </c>
      <c r="UBI29" t="s">
        <v>16512</v>
      </c>
      <c r="UBJ29" t="s">
        <v>16513</v>
      </c>
      <c r="UBK29" t="s">
        <v>16514</v>
      </c>
      <c r="UBL29" t="s">
        <v>16515</v>
      </c>
      <c r="UBM29" t="s">
        <v>16516</v>
      </c>
      <c r="UBN29" t="s">
        <v>16517</v>
      </c>
      <c r="UBO29" t="s">
        <v>16518</v>
      </c>
      <c r="UBP29" t="s">
        <v>16519</v>
      </c>
      <c r="UBQ29" t="s">
        <v>16520</v>
      </c>
      <c r="UBR29" t="s">
        <v>16521</v>
      </c>
      <c r="UBS29" t="s">
        <v>16522</v>
      </c>
      <c r="UBT29" t="s">
        <v>16523</v>
      </c>
      <c r="UBU29" t="s">
        <v>16524</v>
      </c>
      <c r="UBV29" t="s">
        <v>16525</v>
      </c>
      <c r="UBW29" t="s">
        <v>16526</v>
      </c>
      <c r="UBX29" t="s">
        <v>16527</v>
      </c>
      <c r="UBY29" t="s">
        <v>16528</v>
      </c>
      <c r="UBZ29" t="s">
        <v>16529</v>
      </c>
      <c r="UCA29" t="s">
        <v>16530</v>
      </c>
      <c r="UCB29" t="s">
        <v>16531</v>
      </c>
      <c r="UCC29" t="s">
        <v>16532</v>
      </c>
      <c r="UCD29" t="s">
        <v>16533</v>
      </c>
      <c r="UCE29" t="s">
        <v>16534</v>
      </c>
      <c r="UCF29" t="s">
        <v>16535</v>
      </c>
      <c r="UCG29" t="s">
        <v>16536</v>
      </c>
      <c r="UCH29" t="s">
        <v>16537</v>
      </c>
      <c r="UCI29" t="s">
        <v>16538</v>
      </c>
      <c r="UCJ29" t="s">
        <v>16539</v>
      </c>
      <c r="UCK29" t="s">
        <v>16540</v>
      </c>
      <c r="UCL29" t="s">
        <v>16541</v>
      </c>
      <c r="UCM29" t="s">
        <v>16542</v>
      </c>
      <c r="UCN29" t="s">
        <v>16543</v>
      </c>
      <c r="UCO29" t="s">
        <v>16544</v>
      </c>
      <c r="UCP29" t="s">
        <v>16545</v>
      </c>
      <c r="UCQ29" t="s">
        <v>16546</v>
      </c>
      <c r="UCR29" t="s">
        <v>16547</v>
      </c>
      <c r="UCS29" t="s">
        <v>16548</v>
      </c>
      <c r="UCT29" t="s">
        <v>16549</v>
      </c>
      <c r="UCU29" t="s">
        <v>16550</v>
      </c>
      <c r="UCV29" t="s">
        <v>16551</v>
      </c>
      <c r="UCW29" t="s">
        <v>16552</v>
      </c>
      <c r="UCX29" t="s">
        <v>16553</v>
      </c>
      <c r="UCY29" t="s">
        <v>16554</v>
      </c>
      <c r="UCZ29" t="s">
        <v>16555</v>
      </c>
      <c r="UDA29" t="s">
        <v>16556</v>
      </c>
      <c r="UDB29" t="s">
        <v>16557</v>
      </c>
      <c r="UDC29" t="s">
        <v>16558</v>
      </c>
      <c r="UDD29" t="s">
        <v>16559</v>
      </c>
      <c r="UDE29" t="s">
        <v>16560</v>
      </c>
      <c r="UDF29" t="s">
        <v>16561</v>
      </c>
      <c r="UDG29" t="s">
        <v>16562</v>
      </c>
      <c r="UDH29" t="s">
        <v>16563</v>
      </c>
      <c r="UDI29" t="s">
        <v>16564</v>
      </c>
      <c r="UDJ29" t="s">
        <v>16565</v>
      </c>
      <c r="UDK29" t="s">
        <v>16566</v>
      </c>
      <c r="UDL29" t="s">
        <v>16567</v>
      </c>
      <c r="UDM29" t="s">
        <v>16568</v>
      </c>
      <c r="UDN29" t="s">
        <v>16569</v>
      </c>
      <c r="UDO29" t="s">
        <v>16570</v>
      </c>
      <c r="UDP29" t="s">
        <v>16571</v>
      </c>
      <c r="UDQ29" t="s">
        <v>16572</v>
      </c>
      <c r="UDR29" t="s">
        <v>16573</v>
      </c>
      <c r="UDS29" t="s">
        <v>16574</v>
      </c>
      <c r="UDT29" t="s">
        <v>16575</v>
      </c>
      <c r="UDU29" t="s">
        <v>16576</v>
      </c>
      <c r="UDV29" t="s">
        <v>16577</v>
      </c>
      <c r="UDW29" t="s">
        <v>16578</v>
      </c>
      <c r="UDX29" t="s">
        <v>16579</v>
      </c>
      <c r="UDY29" t="s">
        <v>16580</v>
      </c>
      <c r="UDZ29" t="s">
        <v>16581</v>
      </c>
      <c r="UEA29" t="s">
        <v>16582</v>
      </c>
      <c r="UEB29" t="s">
        <v>16583</v>
      </c>
      <c r="UEC29" t="s">
        <v>16584</v>
      </c>
      <c r="UED29" t="s">
        <v>16585</v>
      </c>
      <c r="UEE29" t="s">
        <v>16586</v>
      </c>
      <c r="UEF29" t="s">
        <v>16587</v>
      </c>
      <c r="UEG29" t="s">
        <v>16588</v>
      </c>
      <c r="UEH29" t="s">
        <v>16589</v>
      </c>
      <c r="UEI29" t="s">
        <v>16590</v>
      </c>
      <c r="UEJ29" t="s">
        <v>16591</v>
      </c>
      <c r="UEK29" t="s">
        <v>16592</v>
      </c>
      <c r="UEL29" t="s">
        <v>16593</v>
      </c>
      <c r="UEM29" t="s">
        <v>16594</v>
      </c>
      <c r="UEN29" t="s">
        <v>16595</v>
      </c>
      <c r="UEO29" t="s">
        <v>16596</v>
      </c>
      <c r="UEP29" t="s">
        <v>16597</v>
      </c>
      <c r="UEQ29" t="s">
        <v>16598</v>
      </c>
      <c r="UER29" t="s">
        <v>16599</v>
      </c>
      <c r="UES29" t="s">
        <v>16600</v>
      </c>
      <c r="UET29" t="s">
        <v>16601</v>
      </c>
      <c r="UEU29" t="s">
        <v>16602</v>
      </c>
      <c r="UEV29" t="s">
        <v>16603</v>
      </c>
      <c r="UEW29" t="s">
        <v>16604</v>
      </c>
      <c r="UEX29" t="s">
        <v>16605</v>
      </c>
      <c r="UEY29" t="s">
        <v>16606</v>
      </c>
      <c r="UEZ29" t="s">
        <v>16607</v>
      </c>
      <c r="UFA29" t="s">
        <v>16608</v>
      </c>
      <c r="UFB29" t="s">
        <v>16609</v>
      </c>
      <c r="UFC29" t="s">
        <v>16610</v>
      </c>
      <c r="UFD29" t="s">
        <v>16611</v>
      </c>
      <c r="UFE29" t="s">
        <v>16612</v>
      </c>
      <c r="UFF29" t="s">
        <v>16613</v>
      </c>
      <c r="UFG29" t="s">
        <v>16614</v>
      </c>
      <c r="UFH29" t="s">
        <v>16615</v>
      </c>
      <c r="UFI29" t="s">
        <v>16616</v>
      </c>
      <c r="UFJ29" t="s">
        <v>16617</v>
      </c>
      <c r="UFK29" t="s">
        <v>16618</v>
      </c>
      <c r="UFL29" t="s">
        <v>16619</v>
      </c>
      <c r="UFM29" t="s">
        <v>16620</v>
      </c>
      <c r="UFN29" t="s">
        <v>16621</v>
      </c>
      <c r="UFO29" t="s">
        <v>16622</v>
      </c>
      <c r="UFP29" t="s">
        <v>16623</v>
      </c>
      <c r="UFQ29" t="s">
        <v>16624</v>
      </c>
      <c r="UFR29" t="s">
        <v>16625</v>
      </c>
      <c r="UFS29" t="s">
        <v>16626</v>
      </c>
      <c r="UFT29" t="s">
        <v>16627</v>
      </c>
      <c r="UFU29" t="s">
        <v>16628</v>
      </c>
      <c r="UFV29" t="s">
        <v>16629</v>
      </c>
      <c r="UFW29" t="s">
        <v>16630</v>
      </c>
      <c r="UFX29" t="s">
        <v>16631</v>
      </c>
      <c r="UFY29" t="s">
        <v>16632</v>
      </c>
      <c r="UFZ29" t="s">
        <v>16633</v>
      </c>
      <c r="UGA29" t="s">
        <v>16634</v>
      </c>
      <c r="UGB29" t="s">
        <v>16635</v>
      </c>
      <c r="UGC29" t="s">
        <v>16636</v>
      </c>
      <c r="UGD29" t="s">
        <v>16637</v>
      </c>
      <c r="UGE29" t="s">
        <v>16638</v>
      </c>
      <c r="UGF29" t="s">
        <v>16639</v>
      </c>
      <c r="UGG29" t="s">
        <v>16640</v>
      </c>
      <c r="UGH29" t="s">
        <v>16641</v>
      </c>
      <c r="UGI29" t="s">
        <v>16642</v>
      </c>
      <c r="UGJ29" t="s">
        <v>16643</v>
      </c>
      <c r="UGK29" t="s">
        <v>16644</v>
      </c>
      <c r="UGL29" t="s">
        <v>16645</v>
      </c>
      <c r="UGM29" t="s">
        <v>16646</v>
      </c>
      <c r="UGN29" t="s">
        <v>16647</v>
      </c>
      <c r="UGO29" t="s">
        <v>16648</v>
      </c>
      <c r="UGP29" t="s">
        <v>16649</v>
      </c>
      <c r="UGQ29" t="s">
        <v>16650</v>
      </c>
      <c r="UGR29" t="s">
        <v>16651</v>
      </c>
      <c r="UGS29" t="s">
        <v>16652</v>
      </c>
      <c r="UGT29" t="s">
        <v>16653</v>
      </c>
      <c r="UGU29" t="s">
        <v>16654</v>
      </c>
      <c r="UGV29" t="s">
        <v>16655</v>
      </c>
      <c r="UGW29" t="s">
        <v>16656</v>
      </c>
      <c r="UGX29" t="s">
        <v>16657</v>
      </c>
      <c r="UGY29" t="s">
        <v>16658</v>
      </c>
      <c r="UGZ29" t="s">
        <v>16659</v>
      </c>
      <c r="UHA29" t="s">
        <v>16660</v>
      </c>
      <c r="UHB29" t="s">
        <v>16661</v>
      </c>
      <c r="UHC29" t="s">
        <v>16662</v>
      </c>
      <c r="UHD29" t="s">
        <v>16663</v>
      </c>
      <c r="UHE29" t="s">
        <v>16664</v>
      </c>
      <c r="UHF29" t="s">
        <v>16665</v>
      </c>
      <c r="UHG29" t="s">
        <v>16666</v>
      </c>
      <c r="UHH29" t="s">
        <v>16667</v>
      </c>
      <c r="UHI29" t="s">
        <v>16668</v>
      </c>
      <c r="UHJ29" t="s">
        <v>16669</v>
      </c>
      <c r="UHK29" t="s">
        <v>16670</v>
      </c>
      <c r="UHL29" t="s">
        <v>16671</v>
      </c>
      <c r="UHM29" t="s">
        <v>16672</v>
      </c>
      <c r="UHN29" t="s">
        <v>16673</v>
      </c>
      <c r="UHO29" t="s">
        <v>16674</v>
      </c>
      <c r="UHP29" t="s">
        <v>16675</v>
      </c>
      <c r="UHQ29" t="s">
        <v>16676</v>
      </c>
      <c r="UHR29" t="s">
        <v>16677</v>
      </c>
      <c r="UHS29" t="s">
        <v>16678</v>
      </c>
      <c r="UHT29" t="s">
        <v>16679</v>
      </c>
      <c r="UHU29" t="s">
        <v>16680</v>
      </c>
      <c r="UHV29" t="s">
        <v>16681</v>
      </c>
      <c r="UHW29" t="s">
        <v>16682</v>
      </c>
      <c r="UHX29" t="s">
        <v>16683</v>
      </c>
      <c r="UHY29" t="s">
        <v>16684</v>
      </c>
      <c r="UHZ29" t="s">
        <v>16685</v>
      </c>
      <c r="UIA29" t="s">
        <v>16686</v>
      </c>
      <c r="UIB29" t="s">
        <v>16687</v>
      </c>
      <c r="UIC29" t="s">
        <v>16688</v>
      </c>
      <c r="UID29" t="s">
        <v>16689</v>
      </c>
      <c r="UIE29" t="s">
        <v>16690</v>
      </c>
      <c r="UIF29" t="s">
        <v>16691</v>
      </c>
      <c r="UIG29" t="s">
        <v>16692</v>
      </c>
      <c r="UIH29" t="s">
        <v>16693</v>
      </c>
      <c r="UII29" t="s">
        <v>16694</v>
      </c>
      <c r="UIJ29" t="s">
        <v>16695</v>
      </c>
      <c r="UIK29" t="s">
        <v>16696</v>
      </c>
      <c r="UIL29" t="s">
        <v>16697</v>
      </c>
      <c r="UIM29" t="s">
        <v>16698</v>
      </c>
      <c r="UIN29" t="s">
        <v>16699</v>
      </c>
      <c r="UIO29" t="s">
        <v>16700</v>
      </c>
      <c r="UIP29" t="s">
        <v>16701</v>
      </c>
      <c r="UIQ29" t="s">
        <v>16702</v>
      </c>
      <c r="UIR29" t="s">
        <v>16703</v>
      </c>
      <c r="UIS29" t="s">
        <v>16704</v>
      </c>
      <c r="UIT29" t="s">
        <v>16705</v>
      </c>
      <c r="UIU29" t="s">
        <v>16706</v>
      </c>
      <c r="UIV29" t="s">
        <v>16707</v>
      </c>
      <c r="UIW29" t="s">
        <v>16708</v>
      </c>
      <c r="UIX29" t="s">
        <v>16709</v>
      </c>
      <c r="UIY29" t="s">
        <v>16710</v>
      </c>
      <c r="UIZ29" t="s">
        <v>16711</v>
      </c>
      <c r="UJA29" t="s">
        <v>16712</v>
      </c>
      <c r="UJB29" t="s">
        <v>16713</v>
      </c>
      <c r="UJC29" t="s">
        <v>16714</v>
      </c>
      <c r="UJD29" t="s">
        <v>16715</v>
      </c>
      <c r="UJE29" t="s">
        <v>16716</v>
      </c>
      <c r="UJF29" t="s">
        <v>16717</v>
      </c>
      <c r="UJG29" t="s">
        <v>16718</v>
      </c>
      <c r="UJH29" t="s">
        <v>16719</v>
      </c>
      <c r="UJI29" t="s">
        <v>16720</v>
      </c>
      <c r="UJJ29" t="s">
        <v>16721</v>
      </c>
      <c r="UJK29" t="s">
        <v>16722</v>
      </c>
      <c r="UJL29" t="s">
        <v>16723</v>
      </c>
      <c r="UJM29" t="s">
        <v>16724</v>
      </c>
      <c r="UJN29" t="s">
        <v>16725</v>
      </c>
      <c r="UJO29" t="s">
        <v>16726</v>
      </c>
      <c r="UJP29" t="s">
        <v>16727</v>
      </c>
      <c r="UJQ29" t="s">
        <v>16728</v>
      </c>
      <c r="UJR29" t="s">
        <v>16729</v>
      </c>
      <c r="UJS29" t="s">
        <v>16730</v>
      </c>
      <c r="UJT29" t="s">
        <v>16731</v>
      </c>
      <c r="UJU29" t="s">
        <v>16732</v>
      </c>
      <c r="UJV29" t="s">
        <v>16733</v>
      </c>
      <c r="UJW29" t="s">
        <v>16734</v>
      </c>
      <c r="UJX29" t="s">
        <v>16735</v>
      </c>
      <c r="UJY29" t="s">
        <v>16736</v>
      </c>
      <c r="UJZ29" t="s">
        <v>16737</v>
      </c>
      <c r="UKA29" t="s">
        <v>16738</v>
      </c>
      <c r="UKB29" t="s">
        <v>16739</v>
      </c>
      <c r="UKC29" t="s">
        <v>16740</v>
      </c>
      <c r="UKD29" t="s">
        <v>16741</v>
      </c>
      <c r="UKE29" t="s">
        <v>16742</v>
      </c>
      <c r="UKF29" t="s">
        <v>16743</v>
      </c>
      <c r="UKG29" t="s">
        <v>16744</v>
      </c>
      <c r="UKH29" t="s">
        <v>16745</v>
      </c>
      <c r="UKI29" t="s">
        <v>16746</v>
      </c>
      <c r="UKJ29" t="s">
        <v>16747</v>
      </c>
      <c r="UKK29" t="s">
        <v>16748</v>
      </c>
      <c r="UKL29" t="s">
        <v>16749</v>
      </c>
      <c r="UKM29" t="s">
        <v>16750</v>
      </c>
      <c r="UKN29" t="s">
        <v>16751</v>
      </c>
      <c r="UKO29" t="s">
        <v>16752</v>
      </c>
      <c r="UKP29" t="s">
        <v>16753</v>
      </c>
      <c r="UKQ29" t="s">
        <v>16754</v>
      </c>
      <c r="UKR29" t="s">
        <v>16755</v>
      </c>
      <c r="UKS29" t="s">
        <v>16756</v>
      </c>
      <c r="UKT29" t="s">
        <v>16757</v>
      </c>
      <c r="UKU29" t="s">
        <v>16758</v>
      </c>
      <c r="UKV29" t="s">
        <v>16759</v>
      </c>
      <c r="UKW29" t="s">
        <v>16760</v>
      </c>
      <c r="UKX29" t="s">
        <v>16761</v>
      </c>
      <c r="UKY29" t="s">
        <v>16762</v>
      </c>
      <c r="UKZ29" t="s">
        <v>16763</v>
      </c>
      <c r="ULA29" t="s">
        <v>16764</v>
      </c>
      <c r="ULB29" t="s">
        <v>16765</v>
      </c>
      <c r="ULC29" t="s">
        <v>16766</v>
      </c>
      <c r="ULD29" t="s">
        <v>16767</v>
      </c>
      <c r="ULE29" t="s">
        <v>16768</v>
      </c>
      <c r="ULF29" t="s">
        <v>16769</v>
      </c>
      <c r="ULG29" t="s">
        <v>16770</v>
      </c>
      <c r="ULH29" t="s">
        <v>16771</v>
      </c>
      <c r="ULI29" t="s">
        <v>16772</v>
      </c>
      <c r="ULJ29" t="s">
        <v>16773</v>
      </c>
      <c r="ULK29" t="s">
        <v>16774</v>
      </c>
      <c r="ULL29" t="s">
        <v>16775</v>
      </c>
      <c r="ULM29" t="s">
        <v>16776</v>
      </c>
      <c r="ULN29" t="s">
        <v>16777</v>
      </c>
      <c r="ULO29" t="s">
        <v>16778</v>
      </c>
      <c r="ULP29" t="s">
        <v>16779</v>
      </c>
      <c r="ULQ29" t="s">
        <v>16780</v>
      </c>
      <c r="ULR29" t="s">
        <v>16781</v>
      </c>
      <c r="ULS29" t="s">
        <v>16782</v>
      </c>
      <c r="ULT29" t="s">
        <v>16783</v>
      </c>
      <c r="ULU29" t="s">
        <v>16784</v>
      </c>
      <c r="ULV29" t="s">
        <v>16785</v>
      </c>
      <c r="ULW29" t="s">
        <v>16786</v>
      </c>
      <c r="ULX29" t="s">
        <v>16787</v>
      </c>
      <c r="ULY29" t="s">
        <v>16788</v>
      </c>
      <c r="ULZ29" t="s">
        <v>16789</v>
      </c>
      <c r="UMA29" t="s">
        <v>16790</v>
      </c>
      <c r="UMB29" t="s">
        <v>16791</v>
      </c>
      <c r="UMC29" t="s">
        <v>16792</v>
      </c>
      <c r="UMD29" t="s">
        <v>16793</v>
      </c>
      <c r="UME29" t="s">
        <v>16794</v>
      </c>
      <c r="UMF29" t="s">
        <v>16795</v>
      </c>
      <c r="UMG29" t="s">
        <v>16796</v>
      </c>
      <c r="UMH29" t="s">
        <v>16797</v>
      </c>
      <c r="UMI29" t="s">
        <v>16798</v>
      </c>
      <c r="UMJ29" t="s">
        <v>16799</v>
      </c>
      <c r="UMK29" t="s">
        <v>16800</v>
      </c>
      <c r="UML29" t="s">
        <v>16801</v>
      </c>
      <c r="UMM29" t="s">
        <v>16802</v>
      </c>
      <c r="UMN29" t="s">
        <v>16803</v>
      </c>
      <c r="UMO29" t="s">
        <v>16804</v>
      </c>
      <c r="UMP29" t="s">
        <v>16805</v>
      </c>
      <c r="UMQ29" t="s">
        <v>16806</v>
      </c>
      <c r="UMR29" t="s">
        <v>16807</v>
      </c>
      <c r="UMS29" t="s">
        <v>16808</v>
      </c>
      <c r="UMT29" t="s">
        <v>16809</v>
      </c>
      <c r="UMU29" t="s">
        <v>16810</v>
      </c>
      <c r="UMV29" t="s">
        <v>16811</v>
      </c>
      <c r="UMW29" t="s">
        <v>16812</v>
      </c>
      <c r="UMX29" t="s">
        <v>16813</v>
      </c>
      <c r="UMY29" t="s">
        <v>16814</v>
      </c>
      <c r="UMZ29" t="s">
        <v>16815</v>
      </c>
      <c r="UNA29" t="s">
        <v>16816</v>
      </c>
      <c r="UNB29" t="s">
        <v>16817</v>
      </c>
      <c r="UNC29" t="s">
        <v>16818</v>
      </c>
      <c r="UND29" t="s">
        <v>16819</v>
      </c>
      <c r="UNE29" t="s">
        <v>16820</v>
      </c>
      <c r="UNF29" t="s">
        <v>16821</v>
      </c>
      <c r="UNG29" t="s">
        <v>16822</v>
      </c>
      <c r="UNH29" t="s">
        <v>16823</v>
      </c>
      <c r="UNI29" t="s">
        <v>16824</v>
      </c>
      <c r="UNJ29" t="s">
        <v>16825</v>
      </c>
      <c r="UNK29" t="s">
        <v>16826</v>
      </c>
      <c r="UNL29" t="s">
        <v>16827</v>
      </c>
      <c r="UNM29" t="s">
        <v>16828</v>
      </c>
      <c r="UNN29" t="s">
        <v>16829</v>
      </c>
      <c r="UNO29" t="s">
        <v>16830</v>
      </c>
      <c r="UNP29" t="s">
        <v>16831</v>
      </c>
      <c r="UNQ29" t="s">
        <v>16832</v>
      </c>
      <c r="UNR29" t="s">
        <v>16833</v>
      </c>
      <c r="UNS29" t="s">
        <v>16834</v>
      </c>
      <c r="UNT29" t="s">
        <v>16835</v>
      </c>
      <c r="UNU29" t="s">
        <v>16836</v>
      </c>
      <c r="UNV29" t="s">
        <v>16837</v>
      </c>
      <c r="UNW29" t="s">
        <v>16838</v>
      </c>
      <c r="UNX29" t="s">
        <v>16839</v>
      </c>
      <c r="UNY29" t="s">
        <v>16840</v>
      </c>
      <c r="UNZ29" t="s">
        <v>16841</v>
      </c>
      <c r="UOA29" t="s">
        <v>16842</v>
      </c>
      <c r="UOB29" t="s">
        <v>16843</v>
      </c>
      <c r="UOC29" t="s">
        <v>16844</v>
      </c>
      <c r="UOD29" t="s">
        <v>16845</v>
      </c>
      <c r="UOE29" t="s">
        <v>16846</v>
      </c>
      <c r="UOF29" t="s">
        <v>16847</v>
      </c>
      <c r="UOG29" t="s">
        <v>16848</v>
      </c>
      <c r="UOH29" t="s">
        <v>16849</v>
      </c>
      <c r="UOI29" t="s">
        <v>16850</v>
      </c>
      <c r="UOJ29" t="s">
        <v>16851</v>
      </c>
      <c r="UOK29" t="s">
        <v>16852</v>
      </c>
      <c r="UOL29" t="s">
        <v>16853</v>
      </c>
      <c r="UOM29" t="s">
        <v>16854</v>
      </c>
      <c r="UON29" t="s">
        <v>16855</v>
      </c>
      <c r="UOO29" t="s">
        <v>16856</v>
      </c>
      <c r="UOP29" t="s">
        <v>16857</v>
      </c>
      <c r="UOQ29" t="s">
        <v>16858</v>
      </c>
      <c r="UOR29" t="s">
        <v>16859</v>
      </c>
      <c r="UOS29" t="s">
        <v>16860</v>
      </c>
      <c r="UOT29" t="s">
        <v>16861</v>
      </c>
      <c r="UOU29" t="s">
        <v>16862</v>
      </c>
      <c r="UOV29" t="s">
        <v>16863</v>
      </c>
      <c r="UOW29" t="s">
        <v>16864</v>
      </c>
      <c r="UOX29" t="s">
        <v>16865</v>
      </c>
      <c r="UOY29" t="s">
        <v>16866</v>
      </c>
      <c r="UOZ29" t="s">
        <v>16867</v>
      </c>
      <c r="UPA29" t="s">
        <v>16868</v>
      </c>
      <c r="UPB29" t="s">
        <v>16869</v>
      </c>
      <c r="UPC29" t="s">
        <v>16870</v>
      </c>
      <c r="UPD29" t="s">
        <v>16871</v>
      </c>
      <c r="UPE29" t="s">
        <v>16872</v>
      </c>
      <c r="UPF29" t="s">
        <v>16873</v>
      </c>
      <c r="UPG29" t="s">
        <v>16874</v>
      </c>
      <c r="UPH29" t="s">
        <v>16875</v>
      </c>
      <c r="UPI29" t="s">
        <v>16876</v>
      </c>
      <c r="UPJ29" t="s">
        <v>16877</v>
      </c>
      <c r="UPK29" t="s">
        <v>16878</v>
      </c>
      <c r="UPL29" t="s">
        <v>16879</v>
      </c>
      <c r="UPM29" t="s">
        <v>16880</v>
      </c>
      <c r="UPN29" t="s">
        <v>16881</v>
      </c>
      <c r="UPO29" t="s">
        <v>16882</v>
      </c>
      <c r="UPP29" t="s">
        <v>16883</v>
      </c>
      <c r="UPQ29" t="s">
        <v>16884</v>
      </c>
      <c r="UPR29" t="s">
        <v>16885</v>
      </c>
      <c r="UPS29" t="s">
        <v>16886</v>
      </c>
      <c r="UPT29" t="s">
        <v>16887</v>
      </c>
      <c r="UPU29" t="s">
        <v>16888</v>
      </c>
      <c r="UPV29" t="s">
        <v>16889</v>
      </c>
      <c r="UPW29" t="s">
        <v>16890</v>
      </c>
      <c r="UPX29" t="s">
        <v>16891</v>
      </c>
      <c r="UPY29" t="s">
        <v>16892</v>
      </c>
      <c r="UPZ29" t="s">
        <v>16893</v>
      </c>
      <c r="UQA29" t="s">
        <v>16894</v>
      </c>
      <c r="UQB29" t="s">
        <v>16895</v>
      </c>
      <c r="UQC29" t="s">
        <v>16896</v>
      </c>
      <c r="UQD29" t="s">
        <v>16897</v>
      </c>
      <c r="UQE29" t="s">
        <v>16898</v>
      </c>
      <c r="UQF29" t="s">
        <v>16899</v>
      </c>
      <c r="UQG29" t="s">
        <v>16900</v>
      </c>
      <c r="UQH29" t="s">
        <v>16901</v>
      </c>
      <c r="UQI29" t="s">
        <v>16902</v>
      </c>
      <c r="UQJ29" t="s">
        <v>16903</v>
      </c>
      <c r="UQK29" t="s">
        <v>16904</v>
      </c>
      <c r="UQL29" t="s">
        <v>16905</v>
      </c>
      <c r="UQM29" t="s">
        <v>16906</v>
      </c>
      <c r="UQN29" t="s">
        <v>16907</v>
      </c>
      <c r="UQO29" t="s">
        <v>16908</v>
      </c>
      <c r="UQP29" t="s">
        <v>16909</v>
      </c>
      <c r="UQQ29" t="s">
        <v>16910</v>
      </c>
      <c r="UQR29" t="s">
        <v>16911</v>
      </c>
      <c r="UQS29" t="s">
        <v>16912</v>
      </c>
      <c r="UQT29" t="s">
        <v>16913</v>
      </c>
      <c r="UQU29" t="s">
        <v>16914</v>
      </c>
      <c r="UQV29" t="s">
        <v>16915</v>
      </c>
      <c r="UQW29" t="s">
        <v>16916</v>
      </c>
      <c r="UQX29" t="s">
        <v>16917</v>
      </c>
      <c r="UQY29" t="s">
        <v>16918</v>
      </c>
      <c r="UQZ29" t="s">
        <v>16919</v>
      </c>
      <c r="URA29" t="s">
        <v>16920</v>
      </c>
      <c r="URB29" t="s">
        <v>16921</v>
      </c>
      <c r="URC29" t="s">
        <v>16922</v>
      </c>
      <c r="URD29" t="s">
        <v>16923</v>
      </c>
      <c r="URE29" t="s">
        <v>16924</v>
      </c>
      <c r="URF29" t="s">
        <v>16925</v>
      </c>
      <c r="URG29" t="s">
        <v>16926</v>
      </c>
      <c r="URH29" t="s">
        <v>16927</v>
      </c>
      <c r="URI29" t="s">
        <v>16928</v>
      </c>
      <c r="URJ29" t="s">
        <v>16929</v>
      </c>
      <c r="URK29" t="s">
        <v>16930</v>
      </c>
      <c r="URL29" t="s">
        <v>16931</v>
      </c>
      <c r="URM29" t="s">
        <v>16932</v>
      </c>
      <c r="URN29" t="s">
        <v>16933</v>
      </c>
      <c r="URO29" t="s">
        <v>16934</v>
      </c>
      <c r="URP29" t="s">
        <v>16935</v>
      </c>
      <c r="URQ29" t="s">
        <v>16936</v>
      </c>
      <c r="URR29" t="s">
        <v>16937</v>
      </c>
      <c r="URS29" t="s">
        <v>16938</v>
      </c>
      <c r="URT29" t="s">
        <v>16939</v>
      </c>
      <c r="URU29" t="s">
        <v>16940</v>
      </c>
      <c r="URV29" t="s">
        <v>16941</v>
      </c>
      <c r="URW29" t="s">
        <v>16942</v>
      </c>
      <c r="URX29" t="s">
        <v>16943</v>
      </c>
      <c r="URY29" t="s">
        <v>16944</v>
      </c>
      <c r="URZ29" t="s">
        <v>16945</v>
      </c>
      <c r="USA29" t="s">
        <v>16946</v>
      </c>
      <c r="USB29" t="s">
        <v>16947</v>
      </c>
      <c r="USC29" t="s">
        <v>16948</v>
      </c>
      <c r="USD29" t="s">
        <v>16949</v>
      </c>
      <c r="USE29" t="s">
        <v>16950</v>
      </c>
      <c r="USF29" t="s">
        <v>16951</v>
      </c>
      <c r="USG29" t="s">
        <v>16952</v>
      </c>
      <c r="USH29" t="s">
        <v>16953</v>
      </c>
      <c r="USI29" t="s">
        <v>16954</v>
      </c>
      <c r="USJ29" t="s">
        <v>16955</v>
      </c>
      <c r="USK29" t="s">
        <v>16956</v>
      </c>
      <c r="USL29" t="s">
        <v>16957</v>
      </c>
      <c r="USM29" t="s">
        <v>16958</v>
      </c>
      <c r="USN29" t="s">
        <v>16959</v>
      </c>
      <c r="USO29" t="s">
        <v>16960</v>
      </c>
      <c r="USP29" t="s">
        <v>16961</v>
      </c>
      <c r="USQ29" t="s">
        <v>16962</v>
      </c>
      <c r="USR29" t="s">
        <v>16963</v>
      </c>
      <c r="USS29" t="s">
        <v>16964</v>
      </c>
      <c r="UST29" t="s">
        <v>16965</v>
      </c>
      <c r="USU29" t="s">
        <v>16966</v>
      </c>
      <c r="USV29" t="s">
        <v>16967</v>
      </c>
      <c r="USW29" t="s">
        <v>16968</v>
      </c>
      <c r="USX29" t="s">
        <v>16969</v>
      </c>
      <c r="USY29" t="s">
        <v>16970</v>
      </c>
      <c r="USZ29" t="s">
        <v>16971</v>
      </c>
      <c r="UTA29" t="s">
        <v>16972</v>
      </c>
      <c r="UTB29" t="s">
        <v>16973</v>
      </c>
      <c r="UTC29" t="s">
        <v>16974</v>
      </c>
      <c r="UTD29" t="s">
        <v>16975</v>
      </c>
      <c r="UTE29" t="s">
        <v>16976</v>
      </c>
      <c r="UTF29" t="s">
        <v>16977</v>
      </c>
      <c r="UTG29" t="s">
        <v>16978</v>
      </c>
      <c r="UTH29" t="s">
        <v>16979</v>
      </c>
      <c r="UTI29" t="s">
        <v>16980</v>
      </c>
      <c r="UTJ29" t="s">
        <v>16981</v>
      </c>
      <c r="UTK29" t="s">
        <v>16982</v>
      </c>
      <c r="UTL29" t="s">
        <v>16983</v>
      </c>
      <c r="UTM29" t="s">
        <v>16984</v>
      </c>
      <c r="UTN29" t="s">
        <v>16985</v>
      </c>
      <c r="UTO29" t="s">
        <v>16986</v>
      </c>
      <c r="UTP29" t="s">
        <v>16987</v>
      </c>
      <c r="UTQ29" t="s">
        <v>16988</v>
      </c>
      <c r="UTR29" t="s">
        <v>16989</v>
      </c>
      <c r="UTS29" t="s">
        <v>16990</v>
      </c>
      <c r="UTT29" t="s">
        <v>16991</v>
      </c>
      <c r="UTU29" t="s">
        <v>16992</v>
      </c>
      <c r="UTV29" t="s">
        <v>16993</v>
      </c>
      <c r="UTW29" t="s">
        <v>16994</v>
      </c>
      <c r="UTX29" t="s">
        <v>16995</v>
      </c>
      <c r="UTY29" t="s">
        <v>16996</v>
      </c>
      <c r="UTZ29" t="s">
        <v>16997</v>
      </c>
      <c r="UUA29" t="s">
        <v>16998</v>
      </c>
      <c r="UUB29" t="s">
        <v>16999</v>
      </c>
      <c r="UUC29" t="s">
        <v>17000</v>
      </c>
      <c r="UUD29" t="s">
        <v>17001</v>
      </c>
      <c r="UUE29" t="s">
        <v>17002</v>
      </c>
      <c r="UUF29" t="s">
        <v>17003</v>
      </c>
      <c r="UUG29" t="s">
        <v>17004</v>
      </c>
      <c r="UUH29" t="s">
        <v>17005</v>
      </c>
      <c r="UUI29" t="s">
        <v>17006</v>
      </c>
      <c r="UUJ29" t="s">
        <v>17007</v>
      </c>
      <c r="UUK29" t="s">
        <v>17008</v>
      </c>
      <c r="UUL29" t="s">
        <v>17009</v>
      </c>
      <c r="UUM29" t="s">
        <v>17010</v>
      </c>
      <c r="UUN29" t="s">
        <v>17011</v>
      </c>
      <c r="UUO29" t="s">
        <v>17012</v>
      </c>
      <c r="UUP29" t="s">
        <v>17013</v>
      </c>
      <c r="UUQ29" t="s">
        <v>17014</v>
      </c>
      <c r="UUR29" t="s">
        <v>17015</v>
      </c>
      <c r="UUS29" t="s">
        <v>17016</v>
      </c>
      <c r="UUT29" t="s">
        <v>17017</v>
      </c>
      <c r="UUU29" t="s">
        <v>17018</v>
      </c>
      <c r="UUV29" t="s">
        <v>17019</v>
      </c>
      <c r="UUW29" t="s">
        <v>17020</v>
      </c>
      <c r="UUX29" t="s">
        <v>17021</v>
      </c>
      <c r="UUY29" t="s">
        <v>17022</v>
      </c>
      <c r="UUZ29" t="s">
        <v>17023</v>
      </c>
      <c r="UVA29" t="s">
        <v>17024</v>
      </c>
      <c r="UVB29" t="s">
        <v>17025</v>
      </c>
      <c r="UVC29" t="s">
        <v>17026</v>
      </c>
      <c r="UVD29" t="s">
        <v>17027</v>
      </c>
      <c r="UVE29" t="s">
        <v>17028</v>
      </c>
      <c r="UVF29" t="s">
        <v>17029</v>
      </c>
      <c r="UVG29" t="s">
        <v>17030</v>
      </c>
      <c r="UVH29" t="s">
        <v>17031</v>
      </c>
      <c r="UVI29" t="s">
        <v>17032</v>
      </c>
      <c r="UVJ29" t="s">
        <v>17033</v>
      </c>
      <c r="UVK29" t="s">
        <v>17034</v>
      </c>
      <c r="UVL29" t="s">
        <v>17035</v>
      </c>
      <c r="UVM29" t="s">
        <v>17036</v>
      </c>
      <c r="UVN29" t="s">
        <v>17037</v>
      </c>
      <c r="UVO29" t="s">
        <v>17038</v>
      </c>
      <c r="UVP29" t="s">
        <v>17039</v>
      </c>
      <c r="UVQ29" t="s">
        <v>17040</v>
      </c>
      <c r="UVR29" t="s">
        <v>17041</v>
      </c>
      <c r="UVS29" t="s">
        <v>17042</v>
      </c>
      <c r="UVT29" t="s">
        <v>17043</v>
      </c>
      <c r="UVU29" t="s">
        <v>17044</v>
      </c>
      <c r="UVV29" t="s">
        <v>17045</v>
      </c>
      <c r="UVW29" t="s">
        <v>17046</v>
      </c>
      <c r="UVX29" t="s">
        <v>17047</v>
      </c>
      <c r="UVY29" t="s">
        <v>17048</v>
      </c>
      <c r="UVZ29" t="s">
        <v>17049</v>
      </c>
      <c r="UWA29" t="s">
        <v>17050</v>
      </c>
      <c r="UWB29" t="s">
        <v>17051</v>
      </c>
      <c r="UWC29" t="s">
        <v>17052</v>
      </c>
      <c r="UWD29" t="s">
        <v>17053</v>
      </c>
      <c r="UWE29" t="s">
        <v>17054</v>
      </c>
      <c r="UWF29" t="s">
        <v>17055</v>
      </c>
      <c r="UWG29" t="s">
        <v>17056</v>
      </c>
      <c r="UWH29" t="s">
        <v>17057</v>
      </c>
      <c r="UWI29" t="s">
        <v>17058</v>
      </c>
      <c r="UWJ29" t="s">
        <v>17059</v>
      </c>
      <c r="UWK29" t="s">
        <v>17060</v>
      </c>
      <c r="UWL29" t="s">
        <v>17061</v>
      </c>
      <c r="UWM29" t="s">
        <v>17062</v>
      </c>
      <c r="UWN29" t="s">
        <v>17063</v>
      </c>
      <c r="UWO29" t="s">
        <v>17064</v>
      </c>
      <c r="UWP29" t="s">
        <v>17065</v>
      </c>
      <c r="UWQ29" t="s">
        <v>17066</v>
      </c>
      <c r="UWR29" t="s">
        <v>17067</v>
      </c>
      <c r="UWS29" t="s">
        <v>17068</v>
      </c>
      <c r="UWT29" t="s">
        <v>17069</v>
      </c>
      <c r="UWU29" t="s">
        <v>17070</v>
      </c>
      <c r="UWV29" t="s">
        <v>17071</v>
      </c>
      <c r="UWW29" t="s">
        <v>17072</v>
      </c>
      <c r="UWX29" t="s">
        <v>17073</v>
      </c>
      <c r="UWY29" t="s">
        <v>17074</v>
      </c>
      <c r="UWZ29" t="s">
        <v>17075</v>
      </c>
      <c r="UXA29" t="s">
        <v>17076</v>
      </c>
      <c r="UXB29" t="s">
        <v>17077</v>
      </c>
      <c r="UXC29" t="s">
        <v>17078</v>
      </c>
      <c r="UXD29" t="s">
        <v>17079</v>
      </c>
      <c r="UXE29" t="s">
        <v>17080</v>
      </c>
      <c r="UXF29" t="s">
        <v>17081</v>
      </c>
      <c r="UXG29" t="s">
        <v>17082</v>
      </c>
      <c r="UXH29" t="s">
        <v>17083</v>
      </c>
      <c r="UXI29" t="s">
        <v>17084</v>
      </c>
      <c r="UXJ29" t="s">
        <v>17085</v>
      </c>
      <c r="UXK29" t="s">
        <v>17086</v>
      </c>
      <c r="UXL29" t="s">
        <v>17087</v>
      </c>
      <c r="UXM29" t="s">
        <v>17088</v>
      </c>
      <c r="UXN29" t="s">
        <v>17089</v>
      </c>
      <c r="UXO29" t="s">
        <v>17090</v>
      </c>
      <c r="UXP29" t="s">
        <v>17091</v>
      </c>
      <c r="UXQ29" t="s">
        <v>17092</v>
      </c>
      <c r="UXR29" t="s">
        <v>17093</v>
      </c>
      <c r="UXS29" t="s">
        <v>17094</v>
      </c>
      <c r="UXT29" t="s">
        <v>17095</v>
      </c>
      <c r="UXU29" t="s">
        <v>17096</v>
      </c>
      <c r="UXV29" t="s">
        <v>17097</v>
      </c>
      <c r="UXW29" t="s">
        <v>17098</v>
      </c>
      <c r="UXX29" t="s">
        <v>17099</v>
      </c>
      <c r="UXY29" t="s">
        <v>17100</v>
      </c>
      <c r="UXZ29" t="s">
        <v>17101</v>
      </c>
      <c r="UYA29" t="s">
        <v>17102</v>
      </c>
      <c r="UYB29" t="s">
        <v>17103</v>
      </c>
      <c r="UYC29" t="s">
        <v>17104</v>
      </c>
      <c r="UYD29" t="s">
        <v>17105</v>
      </c>
      <c r="UYE29" t="s">
        <v>17106</v>
      </c>
      <c r="UYF29" t="s">
        <v>17107</v>
      </c>
      <c r="UYG29" t="s">
        <v>17108</v>
      </c>
      <c r="UYH29" t="s">
        <v>17109</v>
      </c>
      <c r="UYI29" t="s">
        <v>17110</v>
      </c>
      <c r="UYJ29" t="s">
        <v>17111</v>
      </c>
      <c r="UYK29" t="s">
        <v>17112</v>
      </c>
      <c r="UYL29" t="s">
        <v>17113</v>
      </c>
      <c r="UYM29" t="s">
        <v>17114</v>
      </c>
      <c r="UYN29" t="s">
        <v>17115</v>
      </c>
      <c r="UYO29" t="s">
        <v>17116</v>
      </c>
      <c r="UYP29" t="s">
        <v>17117</v>
      </c>
      <c r="UYQ29" t="s">
        <v>17118</v>
      </c>
      <c r="UYR29" t="s">
        <v>17119</v>
      </c>
      <c r="UYS29" t="s">
        <v>17120</v>
      </c>
      <c r="UYT29" t="s">
        <v>17121</v>
      </c>
      <c r="UYU29" t="s">
        <v>17122</v>
      </c>
      <c r="UYV29" t="s">
        <v>17123</v>
      </c>
      <c r="UYW29" t="s">
        <v>17124</v>
      </c>
      <c r="UYX29" t="s">
        <v>17125</v>
      </c>
      <c r="UYY29" t="s">
        <v>17126</v>
      </c>
      <c r="UYZ29" t="s">
        <v>17127</v>
      </c>
      <c r="UZA29" t="s">
        <v>17128</v>
      </c>
      <c r="UZB29" t="s">
        <v>17129</v>
      </c>
      <c r="UZC29" t="s">
        <v>17130</v>
      </c>
      <c r="UZD29" t="s">
        <v>17131</v>
      </c>
      <c r="UZE29" t="s">
        <v>17132</v>
      </c>
      <c r="UZF29" t="s">
        <v>17133</v>
      </c>
      <c r="UZG29" t="s">
        <v>17134</v>
      </c>
      <c r="UZH29" t="s">
        <v>17135</v>
      </c>
      <c r="UZI29" t="s">
        <v>17136</v>
      </c>
      <c r="UZJ29" t="s">
        <v>17137</v>
      </c>
      <c r="UZK29" t="s">
        <v>17138</v>
      </c>
      <c r="UZL29" t="s">
        <v>17139</v>
      </c>
      <c r="UZM29" t="s">
        <v>17140</v>
      </c>
      <c r="UZN29" t="s">
        <v>17141</v>
      </c>
      <c r="UZO29" t="s">
        <v>17142</v>
      </c>
      <c r="UZP29" t="s">
        <v>17143</v>
      </c>
      <c r="UZQ29" t="s">
        <v>17144</v>
      </c>
      <c r="UZR29" t="s">
        <v>17145</v>
      </c>
      <c r="UZS29" t="s">
        <v>17146</v>
      </c>
      <c r="UZT29" t="s">
        <v>17147</v>
      </c>
      <c r="UZU29" t="s">
        <v>17148</v>
      </c>
      <c r="UZV29" t="s">
        <v>17149</v>
      </c>
      <c r="UZW29" t="s">
        <v>17150</v>
      </c>
      <c r="UZX29" t="s">
        <v>17151</v>
      </c>
      <c r="UZY29" t="s">
        <v>17152</v>
      </c>
      <c r="UZZ29" t="s">
        <v>17153</v>
      </c>
      <c r="VAA29" t="s">
        <v>17154</v>
      </c>
      <c r="VAB29" t="s">
        <v>17155</v>
      </c>
      <c r="VAC29" t="s">
        <v>17156</v>
      </c>
      <c r="VAD29" t="s">
        <v>17157</v>
      </c>
      <c r="VAE29" t="s">
        <v>17158</v>
      </c>
      <c r="VAF29" t="s">
        <v>17159</v>
      </c>
      <c r="VAG29" t="s">
        <v>17160</v>
      </c>
      <c r="VAH29" t="s">
        <v>17161</v>
      </c>
      <c r="VAI29" t="s">
        <v>17162</v>
      </c>
      <c r="VAJ29" t="s">
        <v>17163</v>
      </c>
      <c r="VAK29" t="s">
        <v>17164</v>
      </c>
      <c r="VAL29" t="s">
        <v>17165</v>
      </c>
      <c r="VAM29" t="s">
        <v>17166</v>
      </c>
      <c r="VAN29" t="s">
        <v>17167</v>
      </c>
      <c r="VAO29" t="s">
        <v>17168</v>
      </c>
      <c r="VAP29" t="s">
        <v>17169</v>
      </c>
      <c r="VAQ29" t="s">
        <v>17170</v>
      </c>
      <c r="VAR29" t="s">
        <v>17171</v>
      </c>
      <c r="VAS29" t="s">
        <v>17172</v>
      </c>
      <c r="VAT29" t="s">
        <v>17173</v>
      </c>
      <c r="VAU29" t="s">
        <v>17174</v>
      </c>
      <c r="VAV29" t="s">
        <v>17175</v>
      </c>
      <c r="VAW29" t="s">
        <v>17176</v>
      </c>
      <c r="VAX29" t="s">
        <v>17177</v>
      </c>
      <c r="VAY29" t="s">
        <v>17178</v>
      </c>
      <c r="VAZ29" t="s">
        <v>17179</v>
      </c>
      <c r="VBA29" t="s">
        <v>17180</v>
      </c>
      <c r="VBB29" t="s">
        <v>17181</v>
      </c>
      <c r="VBC29" t="s">
        <v>17182</v>
      </c>
      <c r="VBD29" t="s">
        <v>17183</v>
      </c>
      <c r="VBE29" t="s">
        <v>17184</v>
      </c>
      <c r="VBF29" t="s">
        <v>17185</v>
      </c>
      <c r="VBG29" t="s">
        <v>17186</v>
      </c>
      <c r="VBH29" t="s">
        <v>17187</v>
      </c>
      <c r="VBI29" t="s">
        <v>17188</v>
      </c>
      <c r="VBJ29" t="s">
        <v>17189</v>
      </c>
      <c r="VBK29" t="s">
        <v>17190</v>
      </c>
      <c r="VBL29" t="s">
        <v>17191</v>
      </c>
      <c r="VBM29" t="s">
        <v>17192</v>
      </c>
      <c r="VBN29" t="s">
        <v>17193</v>
      </c>
      <c r="VBO29" t="s">
        <v>17194</v>
      </c>
      <c r="VBP29" t="s">
        <v>17195</v>
      </c>
      <c r="VBQ29" t="s">
        <v>17196</v>
      </c>
      <c r="VBR29" t="s">
        <v>17197</v>
      </c>
      <c r="VBS29" t="s">
        <v>17198</v>
      </c>
      <c r="VBT29" t="s">
        <v>17199</v>
      </c>
      <c r="VBU29" t="s">
        <v>17200</v>
      </c>
      <c r="VBV29" t="s">
        <v>17201</v>
      </c>
      <c r="VBW29" t="s">
        <v>17202</v>
      </c>
      <c r="VBX29" t="s">
        <v>17203</v>
      </c>
      <c r="VBY29" t="s">
        <v>17204</v>
      </c>
      <c r="VBZ29" t="s">
        <v>17205</v>
      </c>
      <c r="VCA29" t="s">
        <v>17206</v>
      </c>
      <c r="VCB29" t="s">
        <v>17207</v>
      </c>
      <c r="VCC29" t="s">
        <v>17208</v>
      </c>
      <c r="VCD29" t="s">
        <v>17209</v>
      </c>
      <c r="VCE29" t="s">
        <v>17210</v>
      </c>
      <c r="VCF29" t="s">
        <v>17211</v>
      </c>
      <c r="VCG29" t="s">
        <v>17212</v>
      </c>
      <c r="VCH29" t="s">
        <v>17213</v>
      </c>
      <c r="VCI29" t="s">
        <v>17214</v>
      </c>
      <c r="VCJ29" t="s">
        <v>17215</v>
      </c>
      <c r="VCK29" t="s">
        <v>17216</v>
      </c>
      <c r="VCL29" t="s">
        <v>17217</v>
      </c>
      <c r="VCM29" t="s">
        <v>17218</v>
      </c>
      <c r="VCN29" t="s">
        <v>17219</v>
      </c>
      <c r="VCO29" t="s">
        <v>17220</v>
      </c>
      <c r="VCP29" t="s">
        <v>17221</v>
      </c>
      <c r="VCQ29" t="s">
        <v>17222</v>
      </c>
      <c r="VCR29" t="s">
        <v>17223</v>
      </c>
      <c r="VCS29" t="s">
        <v>17224</v>
      </c>
      <c r="VCT29" t="s">
        <v>17225</v>
      </c>
      <c r="VCU29" t="s">
        <v>17226</v>
      </c>
      <c r="VCV29" t="s">
        <v>17227</v>
      </c>
      <c r="VCW29" t="s">
        <v>17228</v>
      </c>
      <c r="VCX29" t="s">
        <v>17229</v>
      </c>
      <c r="VCY29" t="s">
        <v>17230</v>
      </c>
      <c r="VCZ29" t="s">
        <v>17231</v>
      </c>
      <c r="VDA29" t="s">
        <v>17232</v>
      </c>
      <c r="VDB29" t="s">
        <v>17233</v>
      </c>
      <c r="VDC29" t="s">
        <v>17234</v>
      </c>
      <c r="VDD29" t="s">
        <v>17235</v>
      </c>
      <c r="VDE29" t="s">
        <v>17236</v>
      </c>
      <c r="VDF29" t="s">
        <v>17237</v>
      </c>
      <c r="VDG29" t="s">
        <v>17238</v>
      </c>
      <c r="VDH29" t="s">
        <v>17239</v>
      </c>
      <c r="VDI29" t="s">
        <v>17240</v>
      </c>
      <c r="VDJ29" t="s">
        <v>17241</v>
      </c>
      <c r="VDK29" t="s">
        <v>17242</v>
      </c>
      <c r="VDL29" t="s">
        <v>17243</v>
      </c>
      <c r="VDM29" t="s">
        <v>17244</v>
      </c>
      <c r="VDN29" t="s">
        <v>17245</v>
      </c>
      <c r="VDO29" t="s">
        <v>17246</v>
      </c>
      <c r="VDP29" t="s">
        <v>17247</v>
      </c>
      <c r="VDQ29" t="s">
        <v>17248</v>
      </c>
      <c r="VDR29" t="s">
        <v>17249</v>
      </c>
      <c r="VDS29" t="s">
        <v>17250</v>
      </c>
      <c r="VDT29" t="s">
        <v>17251</v>
      </c>
      <c r="VDU29" t="s">
        <v>17252</v>
      </c>
      <c r="VDV29" t="s">
        <v>17253</v>
      </c>
      <c r="VDW29" t="s">
        <v>17254</v>
      </c>
      <c r="VDX29" t="s">
        <v>17255</v>
      </c>
      <c r="VDY29" t="s">
        <v>17256</v>
      </c>
      <c r="VDZ29" t="s">
        <v>17257</v>
      </c>
      <c r="VEA29" t="s">
        <v>17258</v>
      </c>
      <c r="VEB29" t="s">
        <v>17259</v>
      </c>
      <c r="VEC29" t="s">
        <v>17260</v>
      </c>
      <c r="VED29" t="s">
        <v>17261</v>
      </c>
      <c r="VEE29" t="s">
        <v>17262</v>
      </c>
      <c r="VEF29" t="s">
        <v>17263</v>
      </c>
      <c r="VEG29" t="s">
        <v>17264</v>
      </c>
      <c r="VEH29" t="s">
        <v>17265</v>
      </c>
      <c r="VEI29" t="s">
        <v>17266</v>
      </c>
      <c r="VEJ29" t="s">
        <v>17267</v>
      </c>
      <c r="VEK29" t="s">
        <v>17268</v>
      </c>
      <c r="VEL29" t="s">
        <v>17269</v>
      </c>
      <c r="VEM29" t="s">
        <v>17270</v>
      </c>
      <c r="VEN29" t="s">
        <v>17271</v>
      </c>
      <c r="VEO29" t="s">
        <v>17272</v>
      </c>
      <c r="VEP29" t="s">
        <v>17273</v>
      </c>
      <c r="VEQ29" t="s">
        <v>17274</v>
      </c>
      <c r="VER29" t="s">
        <v>17275</v>
      </c>
      <c r="VES29" t="s">
        <v>17276</v>
      </c>
      <c r="VET29" t="s">
        <v>17277</v>
      </c>
      <c r="VEU29" t="s">
        <v>17278</v>
      </c>
      <c r="VEV29" t="s">
        <v>17279</v>
      </c>
      <c r="VEW29" t="s">
        <v>17280</v>
      </c>
      <c r="VEX29" t="s">
        <v>17281</v>
      </c>
      <c r="VEY29" t="s">
        <v>17282</v>
      </c>
      <c r="VEZ29" t="s">
        <v>17283</v>
      </c>
      <c r="VFA29" t="s">
        <v>17284</v>
      </c>
      <c r="VFB29" t="s">
        <v>17285</v>
      </c>
      <c r="VFC29" t="s">
        <v>17286</v>
      </c>
      <c r="VFD29" t="s">
        <v>17287</v>
      </c>
      <c r="VFE29" t="s">
        <v>17288</v>
      </c>
      <c r="VFF29" t="s">
        <v>17289</v>
      </c>
      <c r="VFG29" t="s">
        <v>17290</v>
      </c>
      <c r="VFH29" t="s">
        <v>17291</v>
      </c>
      <c r="VFI29" t="s">
        <v>17292</v>
      </c>
      <c r="VFJ29" t="s">
        <v>17293</v>
      </c>
      <c r="VFK29" t="s">
        <v>17294</v>
      </c>
      <c r="VFL29" t="s">
        <v>17295</v>
      </c>
      <c r="VFM29" t="s">
        <v>17296</v>
      </c>
      <c r="VFN29" t="s">
        <v>17297</v>
      </c>
      <c r="VFO29" t="s">
        <v>17298</v>
      </c>
      <c r="VFP29" t="s">
        <v>17299</v>
      </c>
      <c r="VFQ29" t="s">
        <v>17300</v>
      </c>
      <c r="VFR29" t="s">
        <v>17301</v>
      </c>
      <c r="VFS29" t="s">
        <v>17302</v>
      </c>
      <c r="VFT29" t="s">
        <v>17303</v>
      </c>
      <c r="VFU29" t="s">
        <v>17304</v>
      </c>
      <c r="VFV29" t="s">
        <v>17305</v>
      </c>
      <c r="VFW29" t="s">
        <v>17306</v>
      </c>
      <c r="VFX29" t="s">
        <v>17307</v>
      </c>
      <c r="VFY29" t="s">
        <v>17308</v>
      </c>
      <c r="VFZ29" t="s">
        <v>17309</v>
      </c>
      <c r="VGA29" t="s">
        <v>17310</v>
      </c>
      <c r="VGB29" t="s">
        <v>17311</v>
      </c>
      <c r="VGC29" t="s">
        <v>17312</v>
      </c>
      <c r="VGD29" t="s">
        <v>17313</v>
      </c>
      <c r="VGE29" t="s">
        <v>17314</v>
      </c>
      <c r="VGF29" t="s">
        <v>17315</v>
      </c>
      <c r="VGG29" t="s">
        <v>17316</v>
      </c>
      <c r="VGH29" t="s">
        <v>17317</v>
      </c>
      <c r="VGI29" t="s">
        <v>17318</v>
      </c>
      <c r="VGJ29" t="s">
        <v>17319</v>
      </c>
      <c r="VGK29" t="s">
        <v>17320</v>
      </c>
      <c r="VGL29" t="s">
        <v>17321</v>
      </c>
      <c r="VGM29" t="s">
        <v>17322</v>
      </c>
      <c r="VGN29" t="s">
        <v>17323</v>
      </c>
      <c r="VGO29" t="s">
        <v>17324</v>
      </c>
      <c r="VGP29" t="s">
        <v>17325</v>
      </c>
      <c r="VGQ29" t="s">
        <v>17326</v>
      </c>
      <c r="VGR29" t="s">
        <v>17327</v>
      </c>
      <c r="VGS29" t="s">
        <v>17328</v>
      </c>
      <c r="VGT29" t="s">
        <v>17329</v>
      </c>
      <c r="VGU29" t="s">
        <v>17330</v>
      </c>
      <c r="VGV29" t="s">
        <v>17331</v>
      </c>
      <c r="VGW29" t="s">
        <v>17332</v>
      </c>
      <c r="VGX29" t="s">
        <v>17333</v>
      </c>
      <c r="VGY29" t="s">
        <v>17334</v>
      </c>
      <c r="VGZ29" t="s">
        <v>17335</v>
      </c>
      <c r="VHA29" t="s">
        <v>17336</v>
      </c>
      <c r="VHB29" t="s">
        <v>17337</v>
      </c>
      <c r="VHC29" t="s">
        <v>17338</v>
      </c>
      <c r="VHD29" t="s">
        <v>17339</v>
      </c>
      <c r="VHE29" t="s">
        <v>17340</v>
      </c>
      <c r="VHF29" t="s">
        <v>17341</v>
      </c>
      <c r="VHG29" t="s">
        <v>17342</v>
      </c>
      <c r="VHH29" t="s">
        <v>17343</v>
      </c>
      <c r="VHI29" t="s">
        <v>17344</v>
      </c>
      <c r="VHJ29" t="s">
        <v>17345</v>
      </c>
      <c r="VHK29" t="s">
        <v>17346</v>
      </c>
      <c r="VHL29" t="s">
        <v>17347</v>
      </c>
      <c r="VHM29" t="s">
        <v>17348</v>
      </c>
      <c r="VHN29" t="s">
        <v>17349</v>
      </c>
      <c r="VHO29" t="s">
        <v>17350</v>
      </c>
      <c r="VHP29" t="s">
        <v>17351</v>
      </c>
      <c r="VHQ29" t="s">
        <v>17352</v>
      </c>
      <c r="VHR29" t="s">
        <v>17353</v>
      </c>
      <c r="VHS29" t="s">
        <v>17354</v>
      </c>
      <c r="VHT29" t="s">
        <v>17355</v>
      </c>
      <c r="VHU29" t="s">
        <v>17356</v>
      </c>
      <c r="VHV29" t="s">
        <v>17357</v>
      </c>
      <c r="VHW29" t="s">
        <v>17358</v>
      </c>
      <c r="VHX29" t="s">
        <v>17359</v>
      </c>
      <c r="VHY29" t="s">
        <v>17360</v>
      </c>
      <c r="VHZ29" t="s">
        <v>17361</v>
      </c>
      <c r="VIA29" t="s">
        <v>17362</v>
      </c>
      <c r="VIB29" t="s">
        <v>17363</v>
      </c>
      <c r="VIC29" t="s">
        <v>17364</v>
      </c>
      <c r="VID29" t="s">
        <v>17365</v>
      </c>
      <c r="VIE29" t="s">
        <v>17366</v>
      </c>
      <c r="VIF29" t="s">
        <v>17367</v>
      </c>
      <c r="VIG29" t="s">
        <v>17368</v>
      </c>
      <c r="VIH29" t="s">
        <v>17369</v>
      </c>
      <c r="VII29" t="s">
        <v>17370</v>
      </c>
      <c r="VIJ29" t="s">
        <v>17371</v>
      </c>
      <c r="VIK29" t="s">
        <v>17372</v>
      </c>
      <c r="VIL29" t="s">
        <v>17373</v>
      </c>
      <c r="VIM29" t="s">
        <v>17374</v>
      </c>
      <c r="VIN29" t="s">
        <v>17375</v>
      </c>
      <c r="VIO29" t="s">
        <v>17376</v>
      </c>
      <c r="VIP29" t="s">
        <v>17377</v>
      </c>
      <c r="VIQ29" t="s">
        <v>17378</v>
      </c>
      <c r="VIR29" t="s">
        <v>17379</v>
      </c>
      <c r="VIS29" t="s">
        <v>17380</v>
      </c>
      <c r="VIT29" t="s">
        <v>17381</v>
      </c>
      <c r="VIU29" t="s">
        <v>17382</v>
      </c>
      <c r="VIV29" t="s">
        <v>17383</v>
      </c>
      <c r="VIW29" t="s">
        <v>17384</v>
      </c>
      <c r="VIX29" t="s">
        <v>17385</v>
      </c>
      <c r="VIY29" t="s">
        <v>17386</v>
      </c>
      <c r="VIZ29" t="s">
        <v>17387</v>
      </c>
      <c r="VJA29" t="s">
        <v>17388</v>
      </c>
      <c r="VJB29" t="s">
        <v>17389</v>
      </c>
      <c r="VJC29" t="s">
        <v>17390</v>
      </c>
      <c r="VJD29" t="s">
        <v>17391</v>
      </c>
      <c r="VJE29" t="s">
        <v>17392</v>
      </c>
      <c r="VJF29" t="s">
        <v>17393</v>
      </c>
      <c r="VJG29" t="s">
        <v>17394</v>
      </c>
      <c r="VJH29" t="s">
        <v>17395</v>
      </c>
      <c r="VJI29" t="s">
        <v>17396</v>
      </c>
      <c r="VJJ29" t="s">
        <v>17397</v>
      </c>
      <c r="VJK29" t="s">
        <v>17398</v>
      </c>
      <c r="VJL29" t="s">
        <v>17399</v>
      </c>
      <c r="VJM29" t="s">
        <v>17400</v>
      </c>
      <c r="VJN29" t="s">
        <v>17401</v>
      </c>
      <c r="VJO29" t="s">
        <v>17402</v>
      </c>
      <c r="VJP29" t="s">
        <v>17403</v>
      </c>
      <c r="VJQ29" t="s">
        <v>17404</v>
      </c>
      <c r="VJR29" t="s">
        <v>17405</v>
      </c>
      <c r="VJS29" t="s">
        <v>17406</v>
      </c>
      <c r="VJT29" t="s">
        <v>17407</v>
      </c>
      <c r="VJU29" t="s">
        <v>17408</v>
      </c>
      <c r="VJV29" t="s">
        <v>17409</v>
      </c>
      <c r="VJW29" t="s">
        <v>17410</v>
      </c>
      <c r="VJX29" t="s">
        <v>17411</v>
      </c>
      <c r="VJY29" t="s">
        <v>17412</v>
      </c>
      <c r="VJZ29" t="s">
        <v>17413</v>
      </c>
      <c r="VKA29" t="s">
        <v>17414</v>
      </c>
      <c r="VKB29" t="s">
        <v>17415</v>
      </c>
      <c r="VKC29" t="s">
        <v>17416</v>
      </c>
      <c r="VKD29" t="s">
        <v>17417</v>
      </c>
      <c r="VKE29" t="s">
        <v>17418</v>
      </c>
      <c r="VKF29" t="s">
        <v>17419</v>
      </c>
      <c r="VKG29" t="s">
        <v>17420</v>
      </c>
      <c r="VKH29" t="s">
        <v>17421</v>
      </c>
      <c r="VKI29" t="s">
        <v>17422</v>
      </c>
      <c r="VKJ29" t="s">
        <v>17423</v>
      </c>
      <c r="VKK29" t="s">
        <v>17424</v>
      </c>
      <c r="VKL29" t="s">
        <v>17425</v>
      </c>
      <c r="VKM29" t="s">
        <v>17426</v>
      </c>
      <c r="VKN29" t="s">
        <v>17427</v>
      </c>
      <c r="VKO29" t="s">
        <v>17428</v>
      </c>
      <c r="VKP29" t="s">
        <v>17429</v>
      </c>
      <c r="VKQ29" t="s">
        <v>17430</v>
      </c>
      <c r="VKR29" t="s">
        <v>17431</v>
      </c>
      <c r="VKS29" t="s">
        <v>17432</v>
      </c>
      <c r="VKT29" t="s">
        <v>17433</v>
      </c>
      <c r="VKU29" t="s">
        <v>17434</v>
      </c>
      <c r="VKV29" t="s">
        <v>17435</v>
      </c>
      <c r="VKW29" t="s">
        <v>17436</v>
      </c>
      <c r="VKX29" t="s">
        <v>17437</v>
      </c>
      <c r="VKY29" t="s">
        <v>17438</v>
      </c>
      <c r="VKZ29" t="s">
        <v>17439</v>
      </c>
      <c r="VLA29" t="s">
        <v>17440</v>
      </c>
      <c r="VLB29" t="s">
        <v>17441</v>
      </c>
      <c r="VLC29" t="s">
        <v>17442</v>
      </c>
      <c r="VLD29" t="s">
        <v>17443</v>
      </c>
      <c r="VLE29" t="s">
        <v>17444</v>
      </c>
      <c r="VLF29" t="s">
        <v>17445</v>
      </c>
      <c r="VLG29" t="s">
        <v>17446</v>
      </c>
      <c r="VLH29" t="s">
        <v>17447</v>
      </c>
      <c r="VLI29" t="s">
        <v>17448</v>
      </c>
      <c r="VLJ29" t="s">
        <v>17449</v>
      </c>
      <c r="VLK29" t="s">
        <v>17450</v>
      </c>
      <c r="VLL29" t="s">
        <v>17451</v>
      </c>
      <c r="VLM29" t="s">
        <v>17452</v>
      </c>
      <c r="VLN29" t="s">
        <v>17453</v>
      </c>
      <c r="VLO29" t="s">
        <v>17454</v>
      </c>
      <c r="VLP29" t="s">
        <v>17455</v>
      </c>
      <c r="VLQ29" t="s">
        <v>17456</v>
      </c>
      <c r="VLR29" t="s">
        <v>17457</v>
      </c>
      <c r="VLS29" t="s">
        <v>17458</v>
      </c>
      <c r="VLT29" t="s">
        <v>17459</v>
      </c>
      <c r="VLU29" t="s">
        <v>17460</v>
      </c>
      <c r="VLV29" t="s">
        <v>17461</v>
      </c>
      <c r="VLW29" t="s">
        <v>17462</v>
      </c>
      <c r="VLX29" t="s">
        <v>17463</v>
      </c>
      <c r="VLY29" t="s">
        <v>17464</v>
      </c>
      <c r="VLZ29" t="s">
        <v>17465</v>
      </c>
      <c r="VMA29" t="s">
        <v>17466</v>
      </c>
      <c r="VMB29" t="s">
        <v>17467</v>
      </c>
      <c r="VMC29" t="s">
        <v>17468</v>
      </c>
      <c r="VMD29" t="s">
        <v>17469</v>
      </c>
      <c r="VME29" t="s">
        <v>17470</v>
      </c>
      <c r="VMF29" t="s">
        <v>17471</v>
      </c>
      <c r="VMG29" t="s">
        <v>17472</v>
      </c>
      <c r="VMH29" t="s">
        <v>17473</v>
      </c>
      <c r="VMI29" t="s">
        <v>17474</v>
      </c>
      <c r="VMJ29" t="s">
        <v>17475</v>
      </c>
      <c r="VMK29" t="s">
        <v>17476</v>
      </c>
      <c r="VML29" t="s">
        <v>17477</v>
      </c>
      <c r="VMM29" t="s">
        <v>17478</v>
      </c>
      <c r="VMN29" t="s">
        <v>17479</v>
      </c>
      <c r="VMO29" t="s">
        <v>17480</v>
      </c>
      <c r="VMP29" t="s">
        <v>17481</v>
      </c>
      <c r="VMQ29" t="s">
        <v>17482</v>
      </c>
      <c r="VMR29" t="s">
        <v>17483</v>
      </c>
      <c r="VMS29" t="s">
        <v>17484</v>
      </c>
      <c r="VMT29" t="s">
        <v>17485</v>
      </c>
      <c r="VMU29" t="s">
        <v>17486</v>
      </c>
      <c r="VMV29" t="s">
        <v>17487</v>
      </c>
      <c r="VMW29" t="s">
        <v>17488</v>
      </c>
      <c r="VMX29" t="s">
        <v>17489</v>
      </c>
      <c r="VMY29" t="s">
        <v>17490</v>
      </c>
      <c r="VMZ29" t="s">
        <v>17491</v>
      </c>
      <c r="VNA29" t="s">
        <v>17492</v>
      </c>
      <c r="VNB29" t="s">
        <v>17493</v>
      </c>
      <c r="VNC29" t="s">
        <v>17494</v>
      </c>
      <c r="VND29" t="s">
        <v>17495</v>
      </c>
      <c r="VNE29" t="s">
        <v>17496</v>
      </c>
      <c r="VNF29" t="s">
        <v>17497</v>
      </c>
      <c r="VNG29" t="s">
        <v>17498</v>
      </c>
      <c r="VNH29" t="s">
        <v>17499</v>
      </c>
      <c r="VNI29" t="s">
        <v>17500</v>
      </c>
      <c r="VNJ29" t="s">
        <v>17501</v>
      </c>
      <c r="VNK29" t="s">
        <v>17502</v>
      </c>
      <c r="VNL29" t="s">
        <v>17503</v>
      </c>
      <c r="VNM29" t="s">
        <v>17504</v>
      </c>
      <c r="VNN29" t="s">
        <v>17505</v>
      </c>
      <c r="VNO29" t="s">
        <v>17506</v>
      </c>
      <c r="VNP29" t="s">
        <v>17507</v>
      </c>
      <c r="VNQ29" t="s">
        <v>17508</v>
      </c>
      <c r="VNR29" t="s">
        <v>17509</v>
      </c>
      <c r="VNS29" t="s">
        <v>17510</v>
      </c>
      <c r="VNT29" t="s">
        <v>17511</v>
      </c>
      <c r="VNU29" t="s">
        <v>17512</v>
      </c>
      <c r="VNV29" t="s">
        <v>17513</v>
      </c>
      <c r="VNW29" t="s">
        <v>17514</v>
      </c>
      <c r="VNX29" t="s">
        <v>17515</v>
      </c>
      <c r="VNY29" t="s">
        <v>17516</v>
      </c>
      <c r="VNZ29" t="s">
        <v>17517</v>
      </c>
      <c r="VOA29" t="s">
        <v>17518</v>
      </c>
      <c r="VOB29" t="s">
        <v>17519</v>
      </c>
      <c r="VOC29" t="s">
        <v>17520</v>
      </c>
      <c r="VOD29" t="s">
        <v>17521</v>
      </c>
      <c r="VOE29" t="s">
        <v>17522</v>
      </c>
      <c r="VOF29" t="s">
        <v>17523</v>
      </c>
      <c r="VOG29" t="s">
        <v>17524</v>
      </c>
      <c r="VOH29" t="s">
        <v>17525</v>
      </c>
      <c r="VOI29" t="s">
        <v>17526</v>
      </c>
      <c r="VOJ29" t="s">
        <v>17527</v>
      </c>
      <c r="VOK29" t="s">
        <v>17528</v>
      </c>
      <c r="VOL29" t="s">
        <v>17529</v>
      </c>
      <c r="VOM29" t="s">
        <v>17530</v>
      </c>
      <c r="VON29" t="s">
        <v>17531</v>
      </c>
      <c r="VOO29" t="s">
        <v>17532</v>
      </c>
      <c r="VOP29" t="s">
        <v>17533</v>
      </c>
      <c r="VOQ29" t="s">
        <v>17534</v>
      </c>
      <c r="VOR29" t="s">
        <v>17535</v>
      </c>
      <c r="VOS29" t="s">
        <v>17536</v>
      </c>
      <c r="VOT29" t="s">
        <v>17537</v>
      </c>
      <c r="VOU29" t="s">
        <v>17538</v>
      </c>
      <c r="VOV29" t="s">
        <v>17539</v>
      </c>
      <c r="VOW29" t="s">
        <v>17540</v>
      </c>
      <c r="VOX29" t="s">
        <v>17541</v>
      </c>
      <c r="VOY29" t="s">
        <v>17542</v>
      </c>
      <c r="VOZ29" t="s">
        <v>17543</v>
      </c>
      <c r="VPA29" t="s">
        <v>17544</v>
      </c>
      <c r="VPB29" t="s">
        <v>17545</v>
      </c>
      <c r="VPC29" t="s">
        <v>17546</v>
      </c>
      <c r="VPD29" t="s">
        <v>17547</v>
      </c>
      <c r="VPE29" t="s">
        <v>17548</v>
      </c>
      <c r="VPF29" t="s">
        <v>17549</v>
      </c>
      <c r="VPG29" t="s">
        <v>17550</v>
      </c>
      <c r="VPH29" t="s">
        <v>17551</v>
      </c>
      <c r="VPI29" t="s">
        <v>17552</v>
      </c>
      <c r="VPJ29" t="s">
        <v>17553</v>
      </c>
      <c r="VPK29" t="s">
        <v>17554</v>
      </c>
      <c r="VPL29" t="s">
        <v>17555</v>
      </c>
      <c r="VPM29" t="s">
        <v>17556</v>
      </c>
      <c r="VPN29" t="s">
        <v>17557</v>
      </c>
      <c r="VPO29" t="s">
        <v>17558</v>
      </c>
      <c r="VPP29" t="s">
        <v>17559</v>
      </c>
      <c r="VPQ29" t="s">
        <v>17560</v>
      </c>
      <c r="VPR29" t="s">
        <v>17561</v>
      </c>
      <c r="VPS29" t="s">
        <v>17562</v>
      </c>
      <c r="VPT29" t="s">
        <v>17563</v>
      </c>
      <c r="VPU29" t="s">
        <v>17564</v>
      </c>
      <c r="VPV29" t="s">
        <v>17565</v>
      </c>
      <c r="VPW29" t="s">
        <v>17566</v>
      </c>
      <c r="VPX29" t="s">
        <v>17567</v>
      </c>
      <c r="VPY29" t="s">
        <v>17568</v>
      </c>
      <c r="VPZ29" t="s">
        <v>17569</v>
      </c>
      <c r="VQA29" t="s">
        <v>17570</v>
      </c>
      <c r="VQB29" t="s">
        <v>17571</v>
      </c>
      <c r="VQC29" t="s">
        <v>17572</v>
      </c>
      <c r="VQD29" t="s">
        <v>17573</v>
      </c>
      <c r="VQE29" t="s">
        <v>17574</v>
      </c>
      <c r="VQF29" t="s">
        <v>17575</v>
      </c>
      <c r="VQG29" t="s">
        <v>17576</v>
      </c>
      <c r="VQH29" t="s">
        <v>17577</v>
      </c>
      <c r="VQI29" t="s">
        <v>17578</v>
      </c>
      <c r="VQJ29" t="s">
        <v>17579</v>
      </c>
      <c r="VQK29" t="s">
        <v>17580</v>
      </c>
      <c r="VQL29" t="s">
        <v>17581</v>
      </c>
      <c r="VQM29" t="s">
        <v>17582</v>
      </c>
      <c r="VQN29" t="s">
        <v>17583</v>
      </c>
      <c r="VQO29" t="s">
        <v>17584</v>
      </c>
      <c r="VQP29" t="s">
        <v>17585</v>
      </c>
      <c r="VQQ29" t="s">
        <v>17586</v>
      </c>
      <c r="VQR29" t="s">
        <v>17587</v>
      </c>
      <c r="VQS29" t="s">
        <v>17588</v>
      </c>
      <c r="VQT29" t="s">
        <v>17589</v>
      </c>
      <c r="VQU29" t="s">
        <v>17590</v>
      </c>
      <c r="VQV29" t="s">
        <v>17591</v>
      </c>
      <c r="VQW29" t="s">
        <v>17592</v>
      </c>
      <c r="VQX29" t="s">
        <v>17593</v>
      </c>
      <c r="VQY29" t="s">
        <v>17594</v>
      </c>
      <c r="VQZ29" t="s">
        <v>17595</v>
      </c>
      <c r="VRA29" t="s">
        <v>17596</v>
      </c>
      <c r="VRB29" t="s">
        <v>17597</v>
      </c>
      <c r="VRC29" t="s">
        <v>17598</v>
      </c>
      <c r="VRD29" t="s">
        <v>17599</v>
      </c>
      <c r="VRE29" t="s">
        <v>17600</v>
      </c>
      <c r="VRF29" t="s">
        <v>17601</v>
      </c>
      <c r="VRG29" t="s">
        <v>17602</v>
      </c>
      <c r="VRH29" t="s">
        <v>17603</v>
      </c>
      <c r="VRI29" t="s">
        <v>17604</v>
      </c>
      <c r="VRJ29" t="s">
        <v>17605</v>
      </c>
      <c r="VRK29" t="s">
        <v>17606</v>
      </c>
      <c r="VRL29" t="s">
        <v>17607</v>
      </c>
      <c r="VRM29" t="s">
        <v>17608</v>
      </c>
      <c r="VRN29" t="s">
        <v>17609</v>
      </c>
      <c r="VRO29" t="s">
        <v>17610</v>
      </c>
      <c r="VRP29" t="s">
        <v>17611</v>
      </c>
      <c r="VRQ29" t="s">
        <v>17612</v>
      </c>
      <c r="VRR29" t="s">
        <v>17613</v>
      </c>
      <c r="VRS29" t="s">
        <v>17614</v>
      </c>
      <c r="VRT29" t="s">
        <v>17615</v>
      </c>
      <c r="VRU29" t="s">
        <v>17616</v>
      </c>
      <c r="VRV29" t="s">
        <v>17617</v>
      </c>
      <c r="VRW29" t="s">
        <v>17618</v>
      </c>
      <c r="VRX29" t="s">
        <v>17619</v>
      </c>
      <c r="VRY29" t="s">
        <v>17620</v>
      </c>
      <c r="VRZ29" t="s">
        <v>17621</v>
      </c>
      <c r="VSA29" t="s">
        <v>17622</v>
      </c>
      <c r="VSB29" t="s">
        <v>17623</v>
      </c>
      <c r="VSC29" t="s">
        <v>17624</v>
      </c>
      <c r="VSD29" t="s">
        <v>17625</v>
      </c>
      <c r="VSE29" t="s">
        <v>17626</v>
      </c>
      <c r="VSF29" t="s">
        <v>17627</v>
      </c>
      <c r="VSG29" t="s">
        <v>17628</v>
      </c>
      <c r="VSH29" t="s">
        <v>17629</v>
      </c>
      <c r="VSI29" t="s">
        <v>17630</v>
      </c>
      <c r="VSJ29" t="s">
        <v>17631</v>
      </c>
      <c r="VSK29" t="s">
        <v>17632</v>
      </c>
      <c r="VSL29" t="s">
        <v>17633</v>
      </c>
      <c r="VSM29" t="s">
        <v>17634</v>
      </c>
      <c r="VSN29" t="s">
        <v>17635</v>
      </c>
      <c r="VSO29" t="s">
        <v>17636</v>
      </c>
      <c r="VSP29" t="s">
        <v>17637</v>
      </c>
      <c r="VSQ29" t="s">
        <v>17638</v>
      </c>
      <c r="VSR29" t="s">
        <v>17639</v>
      </c>
      <c r="VSS29" t="s">
        <v>17640</v>
      </c>
      <c r="VST29" t="s">
        <v>17641</v>
      </c>
      <c r="VSU29" t="s">
        <v>17642</v>
      </c>
      <c r="VSV29" t="s">
        <v>17643</v>
      </c>
      <c r="VSW29" t="s">
        <v>17644</v>
      </c>
      <c r="VSX29" t="s">
        <v>17645</v>
      </c>
      <c r="VSY29" t="s">
        <v>17646</v>
      </c>
      <c r="VSZ29" t="s">
        <v>17647</v>
      </c>
      <c r="VTA29" t="s">
        <v>17648</v>
      </c>
      <c r="VTB29" t="s">
        <v>17649</v>
      </c>
      <c r="VTC29" t="s">
        <v>17650</v>
      </c>
      <c r="VTD29" t="s">
        <v>17651</v>
      </c>
      <c r="VTE29" t="s">
        <v>17652</v>
      </c>
      <c r="VTF29" t="s">
        <v>17653</v>
      </c>
      <c r="VTG29" t="s">
        <v>17654</v>
      </c>
      <c r="VTH29" t="s">
        <v>17655</v>
      </c>
      <c r="VTI29" t="s">
        <v>17656</v>
      </c>
      <c r="VTJ29" t="s">
        <v>17657</v>
      </c>
      <c r="VTK29" t="s">
        <v>17658</v>
      </c>
      <c r="VTL29" t="s">
        <v>17659</v>
      </c>
      <c r="VTM29" t="s">
        <v>17660</v>
      </c>
      <c r="VTN29" t="s">
        <v>17661</v>
      </c>
      <c r="VTO29" t="s">
        <v>17662</v>
      </c>
      <c r="VTP29" t="s">
        <v>17663</v>
      </c>
      <c r="VTQ29" t="s">
        <v>17664</v>
      </c>
      <c r="VTR29" t="s">
        <v>17665</v>
      </c>
      <c r="VTS29" t="s">
        <v>17666</v>
      </c>
      <c r="VTT29" t="s">
        <v>17667</v>
      </c>
      <c r="VTU29" t="s">
        <v>17668</v>
      </c>
      <c r="VTV29" t="s">
        <v>17669</v>
      </c>
      <c r="VTW29" t="s">
        <v>17670</v>
      </c>
      <c r="VTX29" t="s">
        <v>17671</v>
      </c>
      <c r="VTY29" t="s">
        <v>17672</v>
      </c>
      <c r="VTZ29" t="s">
        <v>17673</v>
      </c>
      <c r="VUA29" t="s">
        <v>17674</v>
      </c>
      <c r="VUB29" t="s">
        <v>17675</v>
      </c>
      <c r="VUC29" t="s">
        <v>17676</v>
      </c>
      <c r="VUD29" t="s">
        <v>17677</v>
      </c>
      <c r="VUE29" t="s">
        <v>17678</v>
      </c>
      <c r="VUF29" t="s">
        <v>17679</v>
      </c>
      <c r="VUG29" t="s">
        <v>17680</v>
      </c>
      <c r="VUH29" t="s">
        <v>17681</v>
      </c>
      <c r="VUI29" t="s">
        <v>17682</v>
      </c>
      <c r="VUJ29" t="s">
        <v>17683</v>
      </c>
      <c r="VUK29" t="s">
        <v>17684</v>
      </c>
      <c r="VUL29" t="s">
        <v>17685</v>
      </c>
      <c r="VUM29" t="s">
        <v>17686</v>
      </c>
      <c r="VUN29" t="s">
        <v>17687</v>
      </c>
      <c r="VUO29" t="s">
        <v>17688</v>
      </c>
      <c r="VUP29" t="s">
        <v>17689</v>
      </c>
      <c r="VUQ29" t="s">
        <v>17690</v>
      </c>
      <c r="VUR29" t="s">
        <v>17691</v>
      </c>
      <c r="VUS29" t="s">
        <v>17692</v>
      </c>
      <c r="VUT29" t="s">
        <v>17693</v>
      </c>
      <c r="VUU29" t="s">
        <v>17694</v>
      </c>
      <c r="VUV29" t="s">
        <v>17695</v>
      </c>
      <c r="VUW29" t="s">
        <v>17696</v>
      </c>
      <c r="VUX29" t="s">
        <v>17697</v>
      </c>
      <c r="VUY29" t="s">
        <v>17698</v>
      </c>
      <c r="VUZ29" t="s">
        <v>17699</v>
      </c>
      <c r="VVA29" t="s">
        <v>17700</v>
      </c>
      <c r="VVB29" t="s">
        <v>17701</v>
      </c>
      <c r="VVC29" t="s">
        <v>17702</v>
      </c>
      <c r="VVD29" t="s">
        <v>17703</v>
      </c>
      <c r="VVE29" t="s">
        <v>17704</v>
      </c>
      <c r="VVF29" t="s">
        <v>17705</v>
      </c>
      <c r="VVG29" t="s">
        <v>17706</v>
      </c>
      <c r="VVH29" t="s">
        <v>17707</v>
      </c>
      <c r="VVI29" t="s">
        <v>17708</v>
      </c>
      <c r="VVJ29" t="s">
        <v>17709</v>
      </c>
      <c r="VVK29" t="s">
        <v>17710</v>
      </c>
      <c r="VVL29" t="s">
        <v>17711</v>
      </c>
      <c r="VVM29" t="s">
        <v>17712</v>
      </c>
      <c r="VVN29" t="s">
        <v>17713</v>
      </c>
      <c r="VVO29" t="s">
        <v>17714</v>
      </c>
      <c r="VVP29" t="s">
        <v>17715</v>
      </c>
      <c r="VVQ29" t="s">
        <v>17716</v>
      </c>
      <c r="VVR29" t="s">
        <v>17717</v>
      </c>
      <c r="VVS29" t="s">
        <v>17718</v>
      </c>
      <c r="VVT29" t="s">
        <v>17719</v>
      </c>
      <c r="VVU29" t="s">
        <v>17720</v>
      </c>
      <c r="VVV29" t="s">
        <v>17721</v>
      </c>
      <c r="VVW29" t="s">
        <v>17722</v>
      </c>
      <c r="VVX29" t="s">
        <v>17723</v>
      </c>
      <c r="VVY29" t="s">
        <v>17724</v>
      </c>
      <c r="VVZ29" t="s">
        <v>17725</v>
      </c>
      <c r="VWA29" t="s">
        <v>17726</v>
      </c>
      <c r="VWB29" t="s">
        <v>17727</v>
      </c>
      <c r="VWC29" t="s">
        <v>17728</v>
      </c>
      <c r="VWD29" t="s">
        <v>17729</v>
      </c>
      <c r="VWE29" t="s">
        <v>17730</v>
      </c>
      <c r="VWF29" t="s">
        <v>17731</v>
      </c>
      <c r="VWG29" t="s">
        <v>17732</v>
      </c>
      <c r="VWH29" t="s">
        <v>17733</v>
      </c>
      <c r="VWI29" t="s">
        <v>17734</v>
      </c>
      <c r="VWJ29" t="s">
        <v>17735</v>
      </c>
      <c r="VWK29" t="s">
        <v>17736</v>
      </c>
      <c r="VWL29" t="s">
        <v>17737</v>
      </c>
      <c r="VWM29" t="s">
        <v>17738</v>
      </c>
      <c r="VWN29" t="s">
        <v>17739</v>
      </c>
      <c r="VWO29" t="s">
        <v>17740</v>
      </c>
      <c r="VWP29" t="s">
        <v>17741</v>
      </c>
      <c r="VWQ29" t="s">
        <v>17742</v>
      </c>
      <c r="VWR29" t="s">
        <v>17743</v>
      </c>
      <c r="VWS29" t="s">
        <v>17744</v>
      </c>
      <c r="VWT29" t="s">
        <v>17745</v>
      </c>
      <c r="VWU29" t="s">
        <v>17746</v>
      </c>
      <c r="VWV29" t="s">
        <v>17747</v>
      </c>
      <c r="VWW29" t="s">
        <v>17748</v>
      </c>
      <c r="VWX29" t="s">
        <v>17749</v>
      </c>
      <c r="VWY29" t="s">
        <v>17750</v>
      </c>
      <c r="VWZ29" t="s">
        <v>17751</v>
      </c>
      <c r="VXA29" t="s">
        <v>17752</v>
      </c>
      <c r="VXB29" t="s">
        <v>17753</v>
      </c>
      <c r="VXC29" t="s">
        <v>17754</v>
      </c>
      <c r="VXD29" t="s">
        <v>17755</v>
      </c>
      <c r="VXE29" t="s">
        <v>17756</v>
      </c>
      <c r="VXF29" t="s">
        <v>17757</v>
      </c>
      <c r="VXG29" t="s">
        <v>17758</v>
      </c>
      <c r="VXH29" t="s">
        <v>17759</v>
      </c>
      <c r="VXI29" t="s">
        <v>17760</v>
      </c>
      <c r="VXJ29" t="s">
        <v>17761</v>
      </c>
      <c r="VXK29" t="s">
        <v>17762</v>
      </c>
      <c r="VXL29" t="s">
        <v>17763</v>
      </c>
      <c r="VXM29" t="s">
        <v>17764</v>
      </c>
      <c r="VXN29" t="s">
        <v>17765</v>
      </c>
      <c r="VXO29" t="s">
        <v>17766</v>
      </c>
      <c r="VXP29" t="s">
        <v>17767</v>
      </c>
      <c r="VXQ29" t="s">
        <v>17768</v>
      </c>
      <c r="VXR29" t="s">
        <v>17769</v>
      </c>
      <c r="VXS29" t="s">
        <v>17770</v>
      </c>
      <c r="VXT29" t="s">
        <v>17771</v>
      </c>
      <c r="VXU29" t="s">
        <v>17772</v>
      </c>
      <c r="VXV29" t="s">
        <v>17773</v>
      </c>
      <c r="VXW29" t="s">
        <v>17774</v>
      </c>
      <c r="VXX29" t="s">
        <v>17775</v>
      </c>
      <c r="VXY29" t="s">
        <v>17776</v>
      </c>
      <c r="VXZ29" t="s">
        <v>17777</v>
      </c>
      <c r="VYA29" t="s">
        <v>17778</v>
      </c>
      <c r="VYB29" t="s">
        <v>17779</v>
      </c>
      <c r="VYC29" t="s">
        <v>17780</v>
      </c>
      <c r="VYD29" t="s">
        <v>17781</v>
      </c>
      <c r="VYE29" t="s">
        <v>17782</v>
      </c>
      <c r="VYF29" t="s">
        <v>17783</v>
      </c>
      <c r="VYG29" t="s">
        <v>17784</v>
      </c>
      <c r="VYH29" t="s">
        <v>17785</v>
      </c>
      <c r="VYI29" t="s">
        <v>17786</v>
      </c>
      <c r="VYJ29" t="s">
        <v>17787</v>
      </c>
      <c r="VYK29" t="s">
        <v>17788</v>
      </c>
      <c r="VYL29" t="s">
        <v>17789</v>
      </c>
      <c r="VYM29" t="s">
        <v>17790</v>
      </c>
      <c r="VYN29" t="s">
        <v>17791</v>
      </c>
      <c r="VYO29" t="s">
        <v>17792</v>
      </c>
      <c r="VYP29" t="s">
        <v>17793</v>
      </c>
      <c r="VYQ29" t="s">
        <v>17794</v>
      </c>
      <c r="VYR29" t="s">
        <v>17795</v>
      </c>
      <c r="VYS29" t="s">
        <v>17796</v>
      </c>
      <c r="VYT29" t="s">
        <v>17797</v>
      </c>
      <c r="VYU29" t="s">
        <v>17798</v>
      </c>
      <c r="VYV29" t="s">
        <v>17799</v>
      </c>
      <c r="VYW29" t="s">
        <v>17800</v>
      </c>
      <c r="VYX29" t="s">
        <v>17801</v>
      </c>
      <c r="VYY29" t="s">
        <v>17802</v>
      </c>
      <c r="VYZ29" t="s">
        <v>17803</v>
      </c>
      <c r="VZA29" t="s">
        <v>17804</v>
      </c>
      <c r="VZB29" t="s">
        <v>17805</v>
      </c>
      <c r="VZC29" t="s">
        <v>17806</v>
      </c>
      <c r="VZD29" t="s">
        <v>17807</v>
      </c>
      <c r="VZE29" t="s">
        <v>17808</v>
      </c>
      <c r="VZF29" t="s">
        <v>17809</v>
      </c>
      <c r="VZG29" t="s">
        <v>17810</v>
      </c>
      <c r="VZH29" t="s">
        <v>17811</v>
      </c>
      <c r="VZI29" t="s">
        <v>17812</v>
      </c>
      <c r="VZJ29" t="s">
        <v>17813</v>
      </c>
      <c r="VZK29" t="s">
        <v>17814</v>
      </c>
      <c r="VZL29" t="s">
        <v>17815</v>
      </c>
      <c r="VZM29" t="s">
        <v>17816</v>
      </c>
      <c r="VZN29" t="s">
        <v>17817</v>
      </c>
      <c r="VZO29" t="s">
        <v>17818</v>
      </c>
      <c r="VZP29" t="s">
        <v>17819</v>
      </c>
      <c r="VZQ29" t="s">
        <v>17820</v>
      </c>
      <c r="VZR29" t="s">
        <v>17821</v>
      </c>
      <c r="VZS29" t="s">
        <v>17822</v>
      </c>
      <c r="VZT29" t="s">
        <v>17823</v>
      </c>
      <c r="VZU29" t="s">
        <v>17824</v>
      </c>
      <c r="VZV29" t="s">
        <v>17825</v>
      </c>
      <c r="VZW29" t="s">
        <v>17826</v>
      </c>
      <c r="VZX29" t="s">
        <v>17827</v>
      </c>
      <c r="VZY29" t="s">
        <v>17828</v>
      </c>
      <c r="VZZ29" t="s">
        <v>17829</v>
      </c>
      <c r="WAA29" t="s">
        <v>17830</v>
      </c>
      <c r="WAB29" t="s">
        <v>17831</v>
      </c>
      <c r="WAC29" t="s">
        <v>17832</v>
      </c>
      <c r="WAD29" t="s">
        <v>17833</v>
      </c>
      <c r="WAE29" t="s">
        <v>17834</v>
      </c>
      <c r="WAF29" t="s">
        <v>17835</v>
      </c>
      <c r="WAG29" t="s">
        <v>17836</v>
      </c>
      <c r="WAH29" t="s">
        <v>17837</v>
      </c>
      <c r="WAI29" t="s">
        <v>17838</v>
      </c>
      <c r="WAJ29" t="s">
        <v>17839</v>
      </c>
      <c r="WAK29" t="s">
        <v>17840</v>
      </c>
      <c r="WAL29" t="s">
        <v>17841</v>
      </c>
      <c r="WAM29" t="s">
        <v>17842</v>
      </c>
      <c r="WAN29" t="s">
        <v>17843</v>
      </c>
      <c r="WAO29" t="s">
        <v>17844</v>
      </c>
      <c r="WAP29" t="s">
        <v>17845</v>
      </c>
      <c r="WAQ29" t="s">
        <v>17846</v>
      </c>
      <c r="WAR29" t="s">
        <v>17847</v>
      </c>
      <c r="WAS29" t="s">
        <v>17848</v>
      </c>
      <c r="WAT29" t="s">
        <v>17849</v>
      </c>
      <c r="WAU29" t="s">
        <v>17850</v>
      </c>
      <c r="WAV29" t="s">
        <v>17851</v>
      </c>
      <c r="WAW29" t="s">
        <v>17852</v>
      </c>
      <c r="WAX29" t="s">
        <v>17853</v>
      </c>
      <c r="WAY29" t="s">
        <v>17854</v>
      </c>
      <c r="WAZ29" t="s">
        <v>17855</v>
      </c>
      <c r="WBA29" t="s">
        <v>17856</v>
      </c>
      <c r="WBB29" t="s">
        <v>17857</v>
      </c>
      <c r="WBC29" t="s">
        <v>17858</v>
      </c>
      <c r="WBD29" t="s">
        <v>17859</v>
      </c>
      <c r="WBE29" t="s">
        <v>17860</v>
      </c>
      <c r="WBF29" t="s">
        <v>17861</v>
      </c>
      <c r="WBG29" t="s">
        <v>17862</v>
      </c>
      <c r="WBH29" t="s">
        <v>17863</v>
      </c>
      <c r="WBI29" t="s">
        <v>17864</v>
      </c>
      <c r="WBJ29" t="s">
        <v>17865</v>
      </c>
      <c r="WBK29" t="s">
        <v>17866</v>
      </c>
      <c r="WBL29" t="s">
        <v>17867</v>
      </c>
      <c r="WBM29" t="s">
        <v>17868</v>
      </c>
      <c r="WBN29" t="s">
        <v>17869</v>
      </c>
      <c r="WBO29" t="s">
        <v>17870</v>
      </c>
      <c r="WBP29" t="s">
        <v>17871</v>
      </c>
      <c r="WBQ29" t="s">
        <v>17872</v>
      </c>
      <c r="WBR29" t="s">
        <v>17873</v>
      </c>
      <c r="WBS29" t="s">
        <v>17874</v>
      </c>
      <c r="WBT29" t="s">
        <v>17875</v>
      </c>
      <c r="WBU29" t="s">
        <v>17876</v>
      </c>
      <c r="WBV29" t="s">
        <v>17877</v>
      </c>
      <c r="WBW29" t="s">
        <v>17878</v>
      </c>
      <c r="WBX29" t="s">
        <v>17879</v>
      </c>
      <c r="WBY29" t="s">
        <v>17880</v>
      </c>
      <c r="WBZ29" t="s">
        <v>17881</v>
      </c>
      <c r="WCA29" t="s">
        <v>17882</v>
      </c>
      <c r="WCB29" t="s">
        <v>17883</v>
      </c>
      <c r="WCC29" t="s">
        <v>17884</v>
      </c>
      <c r="WCD29" t="s">
        <v>17885</v>
      </c>
      <c r="WCE29" t="s">
        <v>17886</v>
      </c>
      <c r="WCF29" t="s">
        <v>17887</v>
      </c>
      <c r="WCG29" t="s">
        <v>17888</v>
      </c>
      <c r="WCH29" t="s">
        <v>17889</v>
      </c>
      <c r="WCI29" t="s">
        <v>17890</v>
      </c>
      <c r="WCJ29" t="s">
        <v>17891</v>
      </c>
      <c r="WCK29" t="s">
        <v>17892</v>
      </c>
      <c r="WCL29" t="s">
        <v>17893</v>
      </c>
      <c r="WCM29" t="s">
        <v>17894</v>
      </c>
      <c r="WCN29" t="s">
        <v>17895</v>
      </c>
      <c r="WCO29" t="s">
        <v>17896</v>
      </c>
      <c r="WCP29" t="s">
        <v>17897</v>
      </c>
      <c r="WCQ29" t="s">
        <v>17898</v>
      </c>
      <c r="WCR29" t="s">
        <v>17899</v>
      </c>
      <c r="WCS29" t="s">
        <v>17900</v>
      </c>
      <c r="WCT29" t="s">
        <v>17901</v>
      </c>
      <c r="WCU29" t="s">
        <v>17902</v>
      </c>
      <c r="WCV29" t="s">
        <v>17903</v>
      </c>
      <c r="WCW29" t="s">
        <v>17904</v>
      </c>
      <c r="WCX29" t="s">
        <v>17905</v>
      </c>
      <c r="WCY29" t="s">
        <v>17906</v>
      </c>
      <c r="WCZ29" t="s">
        <v>17907</v>
      </c>
      <c r="WDA29" t="s">
        <v>17908</v>
      </c>
      <c r="WDB29" t="s">
        <v>17909</v>
      </c>
      <c r="WDC29" t="s">
        <v>17910</v>
      </c>
      <c r="WDD29" t="s">
        <v>17911</v>
      </c>
      <c r="WDE29" t="s">
        <v>17912</v>
      </c>
      <c r="WDF29" t="s">
        <v>17913</v>
      </c>
      <c r="WDG29" t="s">
        <v>17914</v>
      </c>
      <c r="WDH29" t="s">
        <v>17915</v>
      </c>
      <c r="WDI29" t="s">
        <v>17916</v>
      </c>
      <c r="WDJ29" t="s">
        <v>17917</v>
      </c>
      <c r="WDK29" t="s">
        <v>17918</v>
      </c>
      <c r="WDL29" t="s">
        <v>17919</v>
      </c>
      <c r="WDM29" t="s">
        <v>17920</v>
      </c>
      <c r="WDN29" t="s">
        <v>17921</v>
      </c>
      <c r="WDO29" t="s">
        <v>17922</v>
      </c>
      <c r="WDP29" t="s">
        <v>17923</v>
      </c>
      <c r="WDQ29" t="s">
        <v>17924</v>
      </c>
      <c r="WDR29" t="s">
        <v>17925</v>
      </c>
      <c r="WDS29" t="s">
        <v>17926</v>
      </c>
      <c r="WDT29" t="s">
        <v>17927</v>
      </c>
      <c r="WDU29" t="s">
        <v>17928</v>
      </c>
      <c r="WDV29" t="s">
        <v>17929</v>
      </c>
      <c r="WDW29" t="s">
        <v>17930</v>
      </c>
      <c r="WDX29" t="s">
        <v>17931</v>
      </c>
      <c r="WDY29" t="s">
        <v>17932</v>
      </c>
      <c r="WDZ29" t="s">
        <v>17933</v>
      </c>
      <c r="WEA29" t="s">
        <v>17934</v>
      </c>
      <c r="WEB29" t="s">
        <v>17935</v>
      </c>
      <c r="WEC29" t="s">
        <v>17936</v>
      </c>
      <c r="WED29" t="s">
        <v>17937</v>
      </c>
      <c r="WEE29" t="s">
        <v>17938</v>
      </c>
      <c r="WEF29" t="s">
        <v>17939</v>
      </c>
      <c r="WEG29" t="s">
        <v>17940</v>
      </c>
      <c r="WEH29" t="s">
        <v>17941</v>
      </c>
      <c r="WEI29" t="s">
        <v>17942</v>
      </c>
      <c r="WEJ29" t="s">
        <v>17943</v>
      </c>
      <c r="WEK29" t="s">
        <v>17944</v>
      </c>
      <c r="WEL29" t="s">
        <v>17945</v>
      </c>
      <c r="WEM29" t="s">
        <v>17946</v>
      </c>
      <c r="WEN29" t="s">
        <v>17947</v>
      </c>
      <c r="WEO29" t="s">
        <v>17948</v>
      </c>
      <c r="WEP29" t="s">
        <v>17949</v>
      </c>
      <c r="WEQ29" t="s">
        <v>17950</v>
      </c>
      <c r="WER29" t="s">
        <v>17951</v>
      </c>
      <c r="WES29" t="s">
        <v>17952</v>
      </c>
      <c r="WET29" t="s">
        <v>17953</v>
      </c>
      <c r="WEU29" t="s">
        <v>17954</v>
      </c>
      <c r="WEV29" t="s">
        <v>17955</v>
      </c>
      <c r="WEW29" t="s">
        <v>17956</v>
      </c>
      <c r="WEX29" t="s">
        <v>17957</v>
      </c>
      <c r="WEY29" t="s">
        <v>17958</v>
      </c>
      <c r="WEZ29" t="s">
        <v>17959</v>
      </c>
      <c r="WFA29" t="s">
        <v>17960</v>
      </c>
      <c r="WFB29" t="s">
        <v>17961</v>
      </c>
      <c r="WFC29" t="s">
        <v>17962</v>
      </c>
      <c r="WFD29" t="s">
        <v>17963</v>
      </c>
      <c r="WFE29" t="s">
        <v>17964</v>
      </c>
      <c r="WFF29" t="s">
        <v>17965</v>
      </c>
      <c r="WFG29" t="s">
        <v>17966</v>
      </c>
      <c r="WFH29" t="s">
        <v>17967</v>
      </c>
      <c r="WFI29" t="s">
        <v>17968</v>
      </c>
      <c r="WFJ29" t="s">
        <v>17969</v>
      </c>
      <c r="WFK29" t="s">
        <v>17970</v>
      </c>
      <c r="WFL29" t="s">
        <v>17971</v>
      </c>
      <c r="WFM29" t="s">
        <v>17972</v>
      </c>
      <c r="WFN29" t="s">
        <v>17973</v>
      </c>
      <c r="WFO29" t="s">
        <v>17974</v>
      </c>
      <c r="WFP29" t="s">
        <v>17975</v>
      </c>
      <c r="WFQ29" t="s">
        <v>17976</v>
      </c>
      <c r="WFR29" t="s">
        <v>17977</v>
      </c>
      <c r="WFS29" t="s">
        <v>17978</v>
      </c>
      <c r="WFT29" t="s">
        <v>17979</v>
      </c>
      <c r="WFU29" t="s">
        <v>17980</v>
      </c>
      <c r="WFV29" t="s">
        <v>17981</v>
      </c>
      <c r="WFW29" t="s">
        <v>17982</v>
      </c>
      <c r="WFX29" t="s">
        <v>17983</v>
      </c>
      <c r="WFY29" t="s">
        <v>17984</v>
      </c>
      <c r="WFZ29" t="s">
        <v>17985</v>
      </c>
      <c r="WGA29" t="s">
        <v>17986</v>
      </c>
      <c r="WGB29" t="s">
        <v>17987</v>
      </c>
      <c r="WGC29" t="s">
        <v>17988</v>
      </c>
      <c r="WGD29" t="s">
        <v>17989</v>
      </c>
      <c r="WGE29" t="s">
        <v>17990</v>
      </c>
      <c r="WGF29" t="s">
        <v>17991</v>
      </c>
      <c r="WGG29" t="s">
        <v>17992</v>
      </c>
      <c r="WGH29" t="s">
        <v>17993</v>
      </c>
      <c r="WGI29" t="s">
        <v>17994</v>
      </c>
      <c r="WGJ29" t="s">
        <v>17995</v>
      </c>
      <c r="WGK29" t="s">
        <v>17996</v>
      </c>
      <c r="WGL29" t="s">
        <v>17997</v>
      </c>
      <c r="WGM29" t="s">
        <v>17998</v>
      </c>
      <c r="WGN29" t="s">
        <v>17999</v>
      </c>
      <c r="WGO29" t="s">
        <v>18000</v>
      </c>
      <c r="WGP29" t="s">
        <v>18001</v>
      </c>
      <c r="WGQ29" t="s">
        <v>18002</v>
      </c>
      <c r="WGR29" t="s">
        <v>18003</v>
      </c>
      <c r="WGS29" t="s">
        <v>18004</v>
      </c>
      <c r="WGT29" t="s">
        <v>18005</v>
      </c>
      <c r="WGU29" t="s">
        <v>18006</v>
      </c>
      <c r="WGV29" t="s">
        <v>18007</v>
      </c>
      <c r="WGW29" t="s">
        <v>18008</v>
      </c>
      <c r="WGX29" t="s">
        <v>18009</v>
      </c>
      <c r="WGY29" t="s">
        <v>18010</v>
      </c>
      <c r="WGZ29" t="s">
        <v>18011</v>
      </c>
      <c r="WHA29" t="s">
        <v>18012</v>
      </c>
      <c r="WHB29" t="s">
        <v>18013</v>
      </c>
      <c r="WHC29" t="s">
        <v>18014</v>
      </c>
      <c r="WHD29" t="s">
        <v>18015</v>
      </c>
      <c r="WHE29" t="s">
        <v>18016</v>
      </c>
      <c r="WHF29" t="s">
        <v>18017</v>
      </c>
      <c r="WHG29" t="s">
        <v>18018</v>
      </c>
      <c r="WHH29" t="s">
        <v>18019</v>
      </c>
      <c r="WHI29" t="s">
        <v>18020</v>
      </c>
      <c r="WHJ29" t="s">
        <v>18021</v>
      </c>
      <c r="WHK29" t="s">
        <v>18022</v>
      </c>
      <c r="WHL29" t="s">
        <v>18023</v>
      </c>
      <c r="WHM29" t="s">
        <v>18024</v>
      </c>
      <c r="WHN29" t="s">
        <v>18025</v>
      </c>
      <c r="WHO29" t="s">
        <v>18026</v>
      </c>
      <c r="WHP29" t="s">
        <v>18027</v>
      </c>
      <c r="WHQ29" t="s">
        <v>18028</v>
      </c>
      <c r="WHR29" t="s">
        <v>18029</v>
      </c>
      <c r="WHS29" t="s">
        <v>18030</v>
      </c>
      <c r="WHT29" t="s">
        <v>18031</v>
      </c>
      <c r="WHU29" t="s">
        <v>18032</v>
      </c>
      <c r="WHV29" t="s">
        <v>18033</v>
      </c>
      <c r="WHW29" t="s">
        <v>18034</v>
      </c>
      <c r="WHX29" t="s">
        <v>18035</v>
      </c>
      <c r="WHY29" t="s">
        <v>18036</v>
      </c>
      <c r="WHZ29" t="s">
        <v>18037</v>
      </c>
      <c r="WIA29" t="s">
        <v>18038</v>
      </c>
      <c r="WIB29" t="s">
        <v>18039</v>
      </c>
      <c r="WIC29" t="s">
        <v>18040</v>
      </c>
      <c r="WID29" t="s">
        <v>18041</v>
      </c>
      <c r="WIE29" t="s">
        <v>18042</v>
      </c>
      <c r="WIF29" t="s">
        <v>18043</v>
      </c>
      <c r="WIG29" t="s">
        <v>18044</v>
      </c>
      <c r="WIH29" t="s">
        <v>18045</v>
      </c>
      <c r="WII29" t="s">
        <v>18046</v>
      </c>
      <c r="WIJ29" t="s">
        <v>18047</v>
      </c>
      <c r="WIK29" t="s">
        <v>18048</v>
      </c>
      <c r="WIL29" t="s">
        <v>18049</v>
      </c>
      <c r="WIM29" t="s">
        <v>18050</v>
      </c>
      <c r="WIN29" t="s">
        <v>18051</v>
      </c>
      <c r="WIO29" t="s">
        <v>18052</v>
      </c>
      <c r="WIP29" t="s">
        <v>18053</v>
      </c>
      <c r="WIQ29" t="s">
        <v>18054</v>
      </c>
      <c r="WIR29" t="s">
        <v>18055</v>
      </c>
      <c r="WIS29" t="s">
        <v>18056</v>
      </c>
      <c r="WIT29" t="s">
        <v>18057</v>
      </c>
      <c r="WIU29" t="s">
        <v>18058</v>
      </c>
      <c r="WIV29" t="s">
        <v>18059</v>
      </c>
      <c r="WIW29" t="s">
        <v>18060</v>
      </c>
      <c r="WIX29" t="s">
        <v>18061</v>
      </c>
      <c r="WIY29" t="s">
        <v>18062</v>
      </c>
      <c r="WIZ29" t="s">
        <v>18063</v>
      </c>
      <c r="WJA29" t="s">
        <v>18064</v>
      </c>
      <c r="WJB29" t="s">
        <v>18065</v>
      </c>
      <c r="WJC29" t="s">
        <v>18066</v>
      </c>
      <c r="WJD29" t="s">
        <v>18067</v>
      </c>
      <c r="WJE29" t="s">
        <v>18068</v>
      </c>
      <c r="WJF29" t="s">
        <v>18069</v>
      </c>
      <c r="WJG29" t="s">
        <v>18070</v>
      </c>
      <c r="WJH29" t="s">
        <v>18071</v>
      </c>
      <c r="WJI29" t="s">
        <v>18072</v>
      </c>
      <c r="WJJ29" t="s">
        <v>18073</v>
      </c>
      <c r="WJK29" t="s">
        <v>18074</v>
      </c>
      <c r="WJL29" t="s">
        <v>18075</v>
      </c>
      <c r="WJM29" t="s">
        <v>18076</v>
      </c>
      <c r="WJN29" t="s">
        <v>18077</v>
      </c>
      <c r="WJO29" t="s">
        <v>18078</v>
      </c>
      <c r="WJP29" t="s">
        <v>18079</v>
      </c>
      <c r="WJQ29" t="s">
        <v>18080</v>
      </c>
      <c r="WJR29" t="s">
        <v>18081</v>
      </c>
      <c r="WJS29" t="s">
        <v>18082</v>
      </c>
      <c r="WJT29" t="s">
        <v>18083</v>
      </c>
      <c r="WJU29" t="s">
        <v>18084</v>
      </c>
      <c r="WJV29" t="s">
        <v>18085</v>
      </c>
      <c r="WJW29" t="s">
        <v>18086</v>
      </c>
      <c r="WJX29" t="s">
        <v>18087</v>
      </c>
      <c r="WJY29" t="s">
        <v>18088</v>
      </c>
      <c r="WJZ29" t="s">
        <v>18089</v>
      </c>
      <c r="WKA29" t="s">
        <v>18090</v>
      </c>
      <c r="WKB29" t="s">
        <v>18091</v>
      </c>
      <c r="WKC29" t="s">
        <v>18092</v>
      </c>
      <c r="WKD29" t="s">
        <v>18093</v>
      </c>
      <c r="WKE29" t="s">
        <v>18094</v>
      </c>
      <c r="WKF29" t="s">
        <v>18095</v>
      </c>
      <c r="WKG29" t="s">
        <v>18096</v>
      </c>
      <c r="WKH29" t="s">
        <v>18097</v>
      </c>
      <c r="WKI29" t="s">
        <v>18098</v>
      </c>
      <c r="WKJ29" t="s">
        <v>18099</v>
      </c>
      <c r="WKK29" t="s">
        <v>18100</v>
      </c>
      <c r="WKL29" t="s">
        <v>18101</v>
      </c>
      <c r="WKM29" t="s">
        <v>18102</v>
      </c>
      <c r="WKN29" t="s">
        <v>18103</v>
      </c>
      <c r="WKO29" t="s">
        <v>18104</v>
      </c>
      <c r="WKP29" t="s">
        <v>18105</v>
      </c>
      <c r="WKQ29" t="s">
        <v>18106</v>
      </c>
      <c r="WKR29" t="s">
        <v>18107</v>
      </c>
      <c r="WKS29" t="s">
        <v>18108</v>
      </c>
      <c r="WKT29" t="s">
        <v>18109</v>
      </c>
      <c r="WKU29" t="s">
        <v>18110</v>
      </c>
      <c r="WKV29" t="s">
        <v>18111</v>
      </c>
      <c r="WKW29" t="s">
        <v>18112</v>
      </c>
      <c r="WKX29" t="s">
        <v>18113</v>
      </c>
      <c r="WKY29" t="s">
        <v>18114</v>
      </c>
      <c r="WKZ29" t="s">
        <v>18115</v>
      </c>
      <c r="WLA29" t="s">
        <v>18116</v>
      </c>
      <c r="WLB29" t="s">
        <v>18117</v>
      </c>
      <c r="WLC29" t="s">
        <v>18118</v>
      </c>
      <c r="WLD29" t="s">
        <v>18119</v>
      </c>
      <c r="WLE29" t="s">
        <v>18120</v>
      </c>
      <c r="WLF29" t="s">
        <v>18121</v>
      </c>
      <c r="WLG29" t="s">
        <v>18122</v>
      </c>
      <c r="WLH29" t="s">
        <v>18123</v>
      </c>
      <c r="WLI29" t="s">
        <v>18124</v>
      </c>
      <c r="WLJ29" t="s">
        <v>18125</v>
      </c>
      <c r="WLK29" t="s">
        <v>18126</v>
      </c>
      <c r="WLL29" t="s">
        <v>18127</v>
      </c>
      <c r="WLM29" t="s">
        <v>18128</v>
      </c>
      <c r="WLN29" t="s">
        <v>18129</v>
      </c>
      <c r="WLO29" t="s">
        <v>18130</v>
      </c>
      <c r="WLP29" t="s">
        <v>18131</v>
      </c>
      <c r="WLQ29" t="s">
        <v>18132</v>
      </c>
      <c r="WLR29" t="s">
        <v>18133</v>
      </c>
      <c r="WLS29" t="s">
        <v>18134</v>
      </c>
      <c r="WLT29" t="s">
        <v>18135</v>
      </c>
      <c r="WLU29" t="s">
        <v>18136</v>
      </c>
      <c r="WLV29" t="s">
        <v>18137</v>
      </c>
      <c r="WLW29" t="s">
        <v>18138</v>
      </c>
      <c r="WLX29" t="s">
        <v>18139</v>
      </c>
      <c r="WLY29" t="s">
        <v>18140</v>
      </c>
      <c r="WLZ29" t="s">
        <v>18141</v>
      </c>
      <c r="WMA29" t="s">
        <v>18142</v>
      </c>
      <c r="WMB29" t="s">
        <v>18143</v>
      </c>
      <c r="WMC29" t="s">
        <v>18144</v>
      </c>
      <c r="WMD29" t="s">
        <v>18145</v>
      </c>
      <c r="WME29" t="s">
        <v>18146</v>
      </c>
      <c r="WMF29" t="s">
        <v>18147</v>
      </c>
      <c r="WMG29" t="s">
        <v>18148</v>
      </c>
      <c r="WMH29" t="s">
        <v>18149</v>
      </c>
      <c r="WMI29" t="s">
        <v>18150</v>
      </c>
      <c r="WMJ29" t="s">
        <v>18151</v>
      </c>
      <c r="WMK29" t="s">
        <v>18152</v>
      </c>
      <c r="WML29" t="s">
        <v>18153</v>
      </c>
      <c r="WMM29" t="s">
        <v>18154</v>
      </c>
      <c r="WMN29" t="s">
        <v>18155</v>
      </c>
      <c r="WMO29" t="s">
        <v>18156</v>
      </c>
      <c r="WMP29" t="s">
        <v>18157</v>
      </c>
      <c r="WMQ29" t="s">
        <v>18158</v>
      </c>
      <c r="WMR29" t="s">
        <v>18159</v>
      </c>
      <c r="WMS29" t="s">
        <v>18160</v>
      </c>
      <c r="WMT29" t="s">
        <v>18161</v>
      </c>
      <c r="WMU29" t="s">
        <v>18162</v>
      </c>
      <c r="WMV29" t="s">
        <v>18163</v>
      </c>
      <c r="WMW29" t="s">
        <v>18164</v>
      </c>
      <c r="WMX29" t="s">
        <v>18165</v>
      </c>
      <c r="WMY29" t="s">
        <v>18166</v>
      </c>
      <c r="WMZ29" t="s">
        <v>18167</v>
      </c>
      <c r="WNA29" t="s">
        <v>18168</v>
      </c>
      <c r="WNB29" t="s">
        <v>18169</v>
      </c>
      <c r="WNC29" t="s">
        <v>18170</v>
      </c>
      <c r="WND29" t="s">
        <v>18171</v>
      </c>
      <c r="WNE29" t="s">
        <v>18172</v>
      </c>
      <c r="WNF29" t="s">
        <v>18173</v>
      </c>
      <c r="WNG29" t="s">
        <v>18174</v>
      </c>
      <c r="WNH29" t="s">
        <v>18175</v>
      </c>
      <c r="WNI29" t="s">
        <v>18176</v>
      </c>
      <c r="WNJ29" t="s">
        <v>18177</v>
      </c>
      <c r="WNK29" t="s">
        <v>18178</v>
      </c>
      <c r="WNL29" t="s">
        <v>18179</v>
      </c>
      <c r="WNM29" t="s">
        <v>18180</v>
      </c>
      <c r="WNN29" t="s">
        <v>18181</v>
      </c>
      <c r="WNO29" t="s">
        <v>18182</v>
      </c>
      <c r="WNP29" t="s">
        <v>18183</v>
      </c>
      <c r="WNQ29" t="s">
        <v>18184</v>
      </c>
      <c r="WNR29" t="s">
        <v>18185</v>
      </c>
      <c r="WNS29" t="s">
        <v>18186</v>
      </c>
      <c r="WNT29" t="s">
        <v>18187</v>
      </c>
      <c r="WNU29" t="s">
        <v>18188</v>
      </c>
      <c r="WNV29" t="s">
        <v>18189</v>
      </c>
      <c r="WNW29" t="s">
        <v>18190</v>
      </c>
      <c r="WNX29" t="s">
        <v>18191</v>
      </c>
      <c r="WNY29" t="s">
        <v>18192</v>
      </c>
      <c r="WNZ29" t="s">
        <v>18193</v>
      </c>
      <c r="WOA29" t="s">
        <v>18194</v>
      </c>
      <c r="WOB29" t="s">
        <v>18195</v>
      </c>
      <c r="WOC29" t="s">
        <v>18196</v>
      </c>
      <c r="WOD29" t="s">
        <v>18197</v>
      </c>
      <c r="WOE29" t="s">
        <v>18198</v>
      </c>
      <c r="WOF29" t="s">
        <v>18199</v>
      </c>
      <c r="WOG29" t="s">
        <v>18200</v>
      </c>
      <c r="WOH29" t="s">
        <v>18201</v>
      </c>
      <c r="WOI29" t="s">
        <v>18202</v>
      </c>
      <c r="WOJ29" t="s">
        <v>18203</v>
      </c>
      <c r="WOK29" t="s">
        <v>18204</v>
      </c>
      <c r="WOL29" t="s">
        <v>18205</v>
      </c>
      <c r="WOM29" t="s">
        <v>18206</v>
      </c>
      <c r="WON29" t="s">
        <v>18207</v>
      </c>
      <c r="WOO29" t="s">
        <v>18208</v>
      </c>
      <c r="WOP29" t="s">
        <v>18209</v>
      </c>
      <c r="WOQ29" t="s">
        <v>18210</v>
      </c>
      <c r="WOR29" t="s">
        <v>18211</v>
      </c>
      <c r="WOS29" t="s">
        <v>18212</v>
      </c>
      <c r="WOT29" t="s">
        <v>18213</v>
      </c>
      <c r="WOU29" t="s">
        <v>18214</v>
      </c>
      <c r="WOV29" t="s">
        <v>18215</v>
      </c>
      <c r="WOW29" t="s">
        <v>18216</v>
      </c>
      <c r="WOX29" t="s">
        <v>18217</v>
      </c>
      <c r="WOY29" t="s">
        <v>18218</v>
      </c>
      <c r="WOZ29" t="s">
        <v>18219</v>
      </c>
      <c r="WPA29" t="s">
        <v>18220</v>
      </c>
      <c r="WPB29" t="s">
        <v>18221</v>
      </c>
      <c r="WPC29" t="s">
        <v>18222</v>
      </c>
      <c r="WPD29" t="s">
        <v>18223</v>
      </c>
      <c r="WPE29" t="s">
        <v>18224</v>
      </c>
      <c r="WPF29" t="s">
        <v>18225</v>
      </c>
      <c r="WPG29" t="s">
        <v>18226</v>
      </c>
      <c r="WPH29" t="s">
        <v>18227</v>
      </c>
      <c r="WPI29" t="s">
        <v>18228</v>
      </c>
      <c r="WPJ29" t="s">
        <v>18229</v>
      </c>
      <c r="WPK29" t="s">
        <v>18230</v>
      </c>
      <c r="WPL29" t="s">
        <v>18231</v>
      </c>
      <c r="WPM29" t="s">
        <v>18232</v>
      </c>
      <c r="WPN29" t="s">
        <v>18233</v>
      </c>
      <c r="WPO29" t="s">
        <v>18234</v>
      </c>
      <c r="WPP29" t="s">
        <v>18235</v>
      </c>
      <c r="WPQ29" t="s">
        <v>18236</v>
      </c>
      <c r="WPR29" t="s">
        <v>18237</v>
      </c>
      <c r="WPS29" t="s">
        <v>18238</v>
      </c>
      <c r="WPT29" t="s">
        <v>18239</v>
      </c>
      <c r="WPU29" t="s">
        <v>18240</v>
      </c>
      <c r="WPV29" t="s">
        <v>18241</v>
      </c>
      <c r="WPW29" t="s">
        <v>18242</v>
      </c>
      <c r="WPX29" t="s">
        <v>18243</v>
      </c>
      <c r="WPY29" t="s">
        <v>18244</v>
      </c>
      <c r="WPZ29" t="s">
        <v>18245</v>
      </c>
      <c r="WQA29" t="s">
        <v>18246</v>
      </c>
      <c r="WQB29" t="s">
        <v>18247</v>
      </c>
      <c r="WQC29" t="s">
        <v>18248</v>
      </c>
      <c r="WQD29" t="s">
        <v>18249</v>
      </c>
      <c r="WQE29" t="s">
        <v>18250</v>
      </c>
      <c r="WQF29" t="s">
        <v>18251</v>
      </c>
      <c r="WQG29" t="s">
        <v>18252</v>
      </c>
      <c r="WQH29" t="s">
        <v>18253</v>
      </c>
      <c r="WQI29" t="s">
        <v>18254</v>
      </c>
      <c r="WQJ29" t="s">
        <v>18255</v>
      </c>
      <c r="WQK29" t="s">
        <v>18256</v>
      </c>
      <c r="WQL29" t="s">
        <v>18257</v>
      </c>
      <c r="WQM29" t="s">
        <v>18258</v>
      </c>
      <c r="WQN29" t="s">
        <v>18259</v>
      </c>
      <c r="WQO29" t="s">
        <v>18260</v>
      </c>
      <c r="WQP29" t="s">
        <v>18261</v>
      </c>
      <c r="WQQ29" t="s">
        <v>18262</v>
      </c>
      <c r="WQR29" t="s">
        <v>18263</v>
      </c>
      <c r="WQS29" t="s">
        <v>18264</v>
      </c>
      <c r="WQT29" t="s">
        <v>18265</v>
      </c>
      <c r="WQU29" t="s">
        <v>18266</v>
      </c>
      <c r="WQV29" t="s">
        <v>18267</v>
      </c>
      <c r="WQW29" t="s">
        <v>18268</v>
      </c>
      <c r="WQX29" t="s">
        <v>18269</v>
      </c>
      <c r="WQY29" t="s">
        <v>18270</v>
      </c>
      <c r="WQZ29" t="s">
        <v>18271</v>
      </c>
      <c r="WRA29" t="s">
        <v>18272</v>
      </c>
      <c r="WRB29" t="s">
        <v>18273</v>
      </c>
      <c r="WRC29" t="s">
        <v>18274</v>
      </c>
      <c r="WRD29" t="s">
        <v>18275</v>
      </c>
      <c r="WRE29" t="s">
        <v>18276</v>
      </c>
      <c r="WRF29" t="s">
        <v>18277</v>
      </c>
      <c r="WRG29" t="s">
        <v>18278</v>
      </c>
      <c r="WRH29" t="s">
        <v>18279</v>
      </c>
      <c r="WRI29" t="s">
        <v>18280</v>
      </c>
      <c r="WRJ29" t="s">
        <v>18281</v>
      </c>
      <c r="WRK29" t="s">
        <v>18282</v>
      </c>
      <c r="WRL29" t="s">
        <v>18283</v>
      </c>
      <c r="WRM29" t="s">
        <v>18284</v>
      </c>
      <c r="WRN29" t="s">
        <v>18285</v>
      </c>
      <c r="WRO29" t="s">
        <v>18286</v>
      </c>
      <c r="WRP29" t="s">
        <v>18287</v>
      </c>
      <c r="WRQ29" t="s">
        <v>18288</v>
      </c>
      <c r="WRR29" t="s">
        <v>18289</v>
      </c>
      <c r="WRS29" t="s">
        <v>18290</v>
      </c>
      <c r="WRT29" t="s">
        <v>18291</v>
      </c>
      <c r="WRU29" t="s">
        <v>18292</v>
      </c>
      <c r="WRV29" t="s">
        <v>18293</v>
      </c>
      <c r="WRW29" t="s">
        <v>18294</v>
      </c>
      <c r="WRX29" t="s">
        <v>18295</v>
      </c>
      <c r="WRY29" t="s">
        <v>18296</v>
      </c>
      <c r="WRZ29" t="s">
        <v>18297</v>
      </c>
      <c r="WSA29" t="s">
        <v>18298</v>
      </c>
      <c r="WSB29" t="s">
        <v>18299</v>
      </c>
      <c r="WSC29" t="s">
        <v>18300</v>
      </c>
      <c r="WSD29" t="s">
        <v>18301</v>
      </c>
      <c r="WSE29" t="s">
        <v>18302</v>
      </c>
      <c r="WSF29" t="s">
        <v>18303</v>
      </c>
      <c r="WSG29" t="s">
        <v>18304</v>
      </c>
      <c r="WSH29" t="s">
        <v>18305</v>
      </c>
      <c r="WSI29" t="s">
        <v>18306</v>
      </c>
      <c r="WSJ29" t="s">
        <v>18307</v>
      </c>
      <c r="WSK29" t="s">
        <v>18308</v>
      </c>
      <c r="WSL29" t="s">
        <v>18309</v>
      </c>
      <c r="WSM29" t="s">
        <v>18310</v>
      </c>
      <c r="WSN29" t="s">
        <v>18311</v>
      </c>
      <c r="WSO29" t="s">
        <v>18312</v>
      </c>
      <c r="WSP29" t="s">
        <v>18313</v>
      </c>
      <c r="WSQ29" t="s">
        <v>18314</v>
      </c>
      <c r="WSR29" t="s">
        <v>18315</v>
      </c>
      <c r="WSS29" t="s">
        <v>18316</v>
      </c>
      <c r="WST29" t="s">
        <v>18317</v>
      </c>
      <c r="WSU29" t="s">
        <v>18318</v>
      </c>
      <c r="WSV29" t="s">
        <v>18319</v>
      </c>
      <c r="WSW29" t="s">
        <v>18320</v>
      </c>
      <c r="WSX29" t="s">
        <v>18321</v>
      </c>
      <c r="WSY29" t="s">
        <v>18322</v>
      </c>
      <c r="WSZ29" t="s">
        <v>18323</v>
      </c>
      <c r="WTA29" t="s">
        <v>18324</v>
      </c>
      <c r="WTB29" t="s">
        <v>18325</v>
      </c>
      <c r="WTC29" t="s">
        <v>18326</v>
      </c>
      <c r="WTD29" t="s">
        <v>18327</v>
      </c>
      <c r="WTE29" t="s">
        <v>18328</v>
      </c>
      <c r="WTF29" t="s">
        <v>18329</v>
      </c>
      <c r="WTG29" t="s">
        <v>18330</v>
      </c>
      <c r="WTH29" t="s">
        <v>18331</v>
      </c>
      <c r="WTI29" t="s">
        <v>18332</v>
      </c>
      <c r="WTJ29" t="s">
        <v>18333</v>
      </c>
      <c r="WTK29" t="s">
        <v>18334</v>
      </c>
      <c r="WTL29" t="s">
        <v>18335</v>
      </c>
      <c r="WTM29" t="s">
        <v>18336</v>
      </c>
      <c r="WTN29" t="s">
        <v>18337</v>
      </c>
      <c r="WTO29" t="s">
        <v>18338</v>
      </c>
      <c r="WTP29" t="s">
        <v>18339</v>
      </c>
      <c r="WTQ29" t="s">
        <v>18340</v>
      </c>
      <c r="WTR29" t="s">
        <v>18341</v>
      </c>
      <c r="WTS29" t="s">
        <v>18342</v>
      </c>
      <c r="WTT29" t="s">
        <v>18343</v>
      </c>
      <c r="WTU29" t="s">
        <v>18344</v>
      </c>
      <c r="WTV29" t="s">
        <v>18345</v>
      </c>
      <c r="WTW29" t="s">
        <v>18346</v>
      </c>
      <c r="WTX29" t="s">
        <v>18347</v>
      </c>
      <c r="WTY29" t="s">
        <v>18348</v>
      </c>
      <c r="WTZ29" t="s">
        <v>18349</v>
      </c>
      <c r="WUA29" t="s">
        <v>18350</v>
      </c>
      <c r="WUB29" t="s">
        <v>18351</v>
      </c>
      <c r="WUC29" t="s">
        <v>18352</v>
      </c>
      <c r="WUD29" t="s">
        <v>18353</v>
      </c>
      <c r="WUE29" t="s">
        <v>18354</v>
      </c>
      <c r="WUF29" t="s">
        <v>18355</v>
      </c>
      <c r="WUG29" t="s">
        <v>18356</v>
      </c>
      <c r="WUH29" t="s">
        <v>18357</v>
      </c>
      <c r="WUI29" t="s">
        <v>18358</v>
      </c>
      <c r="WUJ29" t="s">
        <v>18359</v>
      </c>
      <c r="WUK29" t="s">
        <v>18360</v>
      </c>
      <c r="WUL29" t="s">
        <v>18361</v>
      </c>
      <c r="WUM29" t="s">
        <v>18362</v>
      </c>
      <c r="WUN29" t="s">
        <v>18363</v>
      </c>
      <c r="WUO29" t="s">
        <v>18364</v>
      </c>
      <c r="WUP29" t="s">
        <v>18365</v>
      </c>
      <c r="WUQ29" t="s">
        <v>18366</v>
      </c>
      <c r="WUR29" t="s">
        <v>18367</v>
      </c>
      <c r="WUS29" t="s">
        <v>18368</v>
      </c>
      <c r="WUT29" t="s">
        <v>18369</v>
      </c>
      <c r="WUU29" t="s">
        <v>18370</v>
      </c>
      <c r="WUV29" t="s">
        <v>18371</v>
      </c>
      <c r="WUW29" t="s">
        <v>18372</v>
      </c>
      <c r="WUX29" t="s">
        <v>18373</v>
      </c>
      <c r="WUY29" t="s">
        <v>18374</v>
      </c>
      <c r="WUZ29" t="s">
        <v>18375</v>
      </c>
      <c r="WVA29" t="s">
        <v>18376</v>
      </c>
      <c r="WVB29" t="s">
        <v>18377</v>
      </c>
      <c r="WVC29" t="s">
        <v>18378</v>
      </c>
      <c r="WVD29" t="s">
        <v>18379</v>
      </c>
      <c r="WVE29" t="s">
        <v>18380</v>
      </c>
      <c r="WVF29" t="s">
        <v>18381</v>
      </c>
      <c r="WVG29" t="s">
        <v>18382</v>
      </c>
      <c r="WVH29" t="s">
        <v>18383</v>
      </c>
      <c r="WVI29" t="s">
        <v>18384</v>
      </c>
      <c r="WVJ29" t="s">
        <v>18385</v>
      </c>
      <c r="WVK29" t="s">
        <v>18386</v>
      </c>
      <c r="WVL29" t="s">
        <v>18387</v>
      </c>
      <c r="WVM29" t="s">
        <v>18388</v>
      </c>
      <c r="WVN29" t="s">
        <v>18389</v>
      </c>
      <c r="WVO29" t="s">
        <v>18390</v>
      </c>
      <c r="WVP29" t="s">
        <v>18391</v>
      </c>
      <c r="WVQ29" t="s">
        <v>18392</v>
      </c>
      <c r="WVR29" t="s">
        <v>18393</v>
      </c>
      <c r="WVS29" t="s">
        <v>18394</v>
      </c>
      <c r="WVT29" t="s">
        <v>18395</v>
      </c>
      <c r="WVU29" t="s">
        <v>18396</v>
      </c>
      <c r="WVV29" t="s">
        <v>18397</v>
      </c>
      <c r="WVW29" t="s">
        <v>18398</v>
      </c>
      <c r="WVX29" t="s">
        <v>18399</v>
      </c>
      <c r="WVY29" t="s">
        <v>18400</v>
      </c>
      <c r="WVZ29" t="s">
        <v>18401</v>
      </c>
      <c r="WWA29" t="s">
        <v>18402</v>
      </c>
      <c r="WWB29" t="s">
        <v>18403</v>
      </c>
      <c r="WWC29" t="s">
        <v>18404</v>
      </c>
      <c r="WWD29" t="s">
        <v>18405</v>
      </c>
      <c r="WWE29" t="s">
        <v>18406</v>
      </c>
      <c r="WWF29" t="s">
        <v>18407</v>
      </c>
      <c r="WWG29" t="s">
        <v>18408</v>
      </c>
      <c r="WWH29" t="s">
        <v>18409</v>
      </c>
      <c r="WWI29" t="s">
        <v>18410</v>
      </c>
      <c r="WWJ29" t="s">
        <v>18411</v>
      </c>
      <c r="WWK29" t="s">
        <v>18412</v>
      </c>
      <c r="WWL29" t="s">
        <v>18413</v>
      </c>
      <c r="WWM29" t="s">
        <v>18414</v>
      </c>
      <c r="WWN29" t="s">
        <v>18415</v>
      </c>
      <c r="WWO29" t="s">
        <v>18416</v>
      </c>
      <c r="WWP29" t="s">
        <v>18417</v>
      </c>
      <c r="WWQ29" t="s">
        <v>18418</v>
      </c>
      <c r="WWR29" t="s">
        <v>18419</v>
      </c>
      <c r="WWS29" t="s">
        <v>18420</v>
      </c>
      <c r="WWT29" t="s">
        <v>18421</v>
      </c>
      <c r="WWU29" t="s">
        <v>18422</v>
      </c>
      <c r="WWV29" t="s">
        <v>18423</v>
      </c>
      <c r="WWW29" t="s">
        <v>18424</v>
      </c>
      <c r="WWX29" t="s">
        <v>18425</v>
      </c>
      <c r="WWY29" t="s">
        <v>18426</v>
      </c>
      <c r="WWZ29" t="s">
        <v>18427</v>
      </c>
      <c r="WXA29" t="s">
        <v>18428</v>
      </c>
      <c r="WXB29" t="s">
        <v>18429</v>
      </c>
      <c r="WXC29" t="s">
        <v>18430</v>
      </c>
      <c r="WXD29" t="s">
        <v>18431</v>
      </c>
      <c r="WXE29" t="s">
        <v>18432</v>
      </c>
      <c r="WXF29" t="s">
        <v>18433</v>
      </c>
      <c r="WXG29" t="s">
        <v>18434</v>
      </c>
      <c r="WXH29" t="s">
        <v>18435</v>
      </c>
      <c r="WXI29" t="s">
        <v>18436</v>
      </c>
      <c r="WXJ29" t="s">
        <v>18437</v>
      </c>
      <c r="WXK29" t="s">
        <v>18438</v>
      </c>
      <c r="WXL29" t="s">
        <v>18439</v>
      </c>
      <c r="WXM29" t="s">
        <v>18440</v>
      </c>
      <c r="WXN29" t="s">
        <v>18441</v>
      </c>
      <c r="WXO29" t="s">
        <v>18442</v>
      </c>
      <c r="WXP29" t="s">
        <v>18443</v>
      </c>
      <c r="WXQ29" t="s">
        <v>18444</v>
      </c>
      <c r="WXR29" t="s">
        <v>18445</v>
      </c>
      <c r="WXS29" t="s">
        <v>18446</v>
      </c>
      <c r="WXT29" t="s">
        <v>18447</v>
      </c>
      <c r="WXU29" t="s">
        <v>18448</v>
      </c>
      <c r="WXV29" t="s">
        <v>18449</v>
      </c>
      <c r="WXW29" t="s">
        <v>18450</v>
      </c>
      <c r="WXX29" t="s">
        <v>18451</v>
      </c>
      <c r="WXY29" t="s">
        <v>18452</v>
      </c>
      <c r="WXZ29" t="s">
        <v>18453</v>
      </c>
      <c r="WYA29" t="s">
        <v>18454</v>
      </c>
      <c r="WYB29" t="s">
        <v>18455</v>
      </c>
      <c r="WYC29" t="s">
        <v>18456</v>
      </c>
      <c r="WYD29" t="s">
        <v>18457</v>
      </c>
      <c r="WYE29" t="s">
        <v>18458</v>
      </c>
      <c r="WYF29" t="s">
        <v>18459</v>
      </c>
      <c r="WYG29" t="s">
        <v>18460</v>
      </c>
      <c r="WYH29" t="s">
        <v>18461</v>
      </c>
      <c r="WYI29" t="s">
        <v>18462</v>
      </c>
      <c r="WYJ29" t="s">
        <v>18463</v>
      </c>
      <c r="WYK29" t="s">
        <v>18464</v>
      </c>
      <c r="WYL29" t="s">
        <v>18465</v>
      </c>
      <c r="WYM29" t="s">
        <v>18466</v>
      </c>
      <c r="WYN29" t="s">
        <v>18467</v>
      </c>
      <c r="WYO29" t="s">
        <v>18468</v>
      </c>
      <c r="WYP29" t="s">
        <v>18469</v>
      </c>
      <c r="WYQ29" t="s">
        <v>18470</v>
      </c>
      <c r="WYR29" t="s">
        <v>18471</v>
      </c>
      <c r="WYS29" t="s">
        <v>18472</v>
      </c>
      <c r="WYT29" t="s">
        <v>18473</v>
      </c>
      <c r="WYU29" t="s">
        <v>18474</v>
      </c>
      <c r="WYV29" t="s">
        <v>18475</v>
      </c>
      <c r="WYW29" t="s">
        <v>18476</v>
      </c>
      <c r="WYX29" t="s">
        <v>18477</v>
      </c>
      <c r="WYY29" t="s">
        <v>18478</v>
      </c>
      <c r="WYZ29" t="s">
        <v>18479</v>
      </c>
      <c r="WZA29" t="s">
        <v>18480</v>
      </c>
      <c r="WZB29" t="s">
        <v>18481</v>
      </c>
      <c r="WZC29" t="s">
        <v>18482</v>
      </c>
      <c r="WZD29" t="s">
        <v>18483</v>
      </c>
      <c r="WZE29" t="s">
        <v>18484</v>
      </c>
      <c r="WZF29" t="s">
        <v>18485</v>
      </c>
      <c r="WZG29" t="s">
        <v>18486</v>
      </c>
      <c r="WZH29" t="s">
        <v>18487</v>
      </c>
      <c r="WZI29" t="s">
        <v>18488</v>
      </c>
      <c r="WZJ29" t="s">
        <v>18489</v>
      </c>
      <c r="WZK29" t="s">
        <v>18490</v>
      </c>
      <c r="WZL29" t="s">
        <v>18491</v>
      </c>
      <c r="WZM29" t="s">
        <v>18492</v>
      </c>
      <c r="WZN29" t="s">
        <v>18493</v>
      </c>
      <c r="WZO29" t="s">
        <v>18494</v>
      </c>
      <c r="WZP29" t="s">
        <v>18495</v>
      </c>
      <c r="WZQ29" t="s">
        <v>18496</v>
      </c>
      <c r="WZR29" t="s">
        <v>18497</v>
      </c>
      <c r="WZS29" t="s">
        <v>18498</v>
      </c>
      <c r="WZT29" t="s">
        <v>18499</v>
      </c>
      <c r="WZU29" t="s">
        <v>18500</v>
      </c>
      <c r="WZV29" t="s">
        <v>18501</v>
      </c>
      <c r="WZW29" t="s">
        <v>18502</v>
      </c>
      <c r="WZX29" t="s">
        <v>18503</v>
      </c>
      <c r="WZY29" t="s">
        <v>18504</v>
      </c>
      <c r="WZZ29" t="s">
        <v>18505</v>
      </c>
      <c r="XAA29" t="s">
        <v>18506</v>
      </c>
      <c r="XAB29" t="s">
        <v>18507</v>
      </c>
      <c r="XAC29" t="s">
        <v>18508</v>
      </c>
      <c r="XAD29" t="s">
        <v>18509</v>
      </c>
      <c r="XAE29" t="s">
        <v>18510</v>
      </c>
      <c r="XAF29" t="s">
        <v>18511</v>
      </c>
      <c r="XAG29" t="s">
        <v>18512</v>
      </c>
      <c r="XAH29" t="s">
        <v>18513</v>
      </c>
      <c r="XAI29" t="s">
        <v>18514</v>
      </c>
      <c r="XAJ29" t="s">
        <v>18515</v>
      </c>
      <c r="XAK29" t="s">
        <v>18516</v>
      </c>
      <c r="XAL29" t="s">
        <v>18517</v>
      </c>
      <c r="XAM29" t="s">
        <v>18518</v>
      </c>
      <c r="XAN29" t="s">
        <v>18519</v>
      </c>
      <c r="XAO29" t="s">
        <v>18520</v>
      </c>
      <c r="XAP29" t="s">
        <v>18521</v>
      </c>
      <c r="XAQ29" t="s">
        <v>18522</v>
      </c>
      <c r="XAR29" t="s">
        <v>18523</v>
      </c>
      <c r="XAS29" t="s">
        <v>18524</v>
      </c>
      <c r="XAT29" t="s">
        <v>18525</v>
      </c>
      <c r="XAU29" t="s">
        <v>18526</v>
      </c>
      <c r="XAV29" t="s">
        <v>18527</v>
      </c>
      <c r="XAW29" t="s">
        <v>18528</v>
      </c>
      <c r="XAX29" t="s">
        <v>18529</v>
      </c>
      <c r="XAY29" t="s">
        <v>18530</v>
      </c>
      <c r="XAZ29" t="s">
        <v>18531</v>
      </c>
      <c r="XBA29" t="s">
        <v>18532</v>
      </c>
      <c r="XBB29" t="s">
        <v>18533</v>
      </c>
      <c r="XBC29" t="s">
        <v>18534</v>
      </c>
      <c r="XBD29" t="s">
        <v>18535</v>
      </c>
      <c r="XBE29" t="s">
        <v>18536</v>
      </c>
      <c r="XBF29" t="s">
        <v>18537</v>
      </c>
      <c r="XBG29" t="s">
        <v>18538</v>
      </c>
      <c r="XBH29" t="s">
        <v>18539</v>
      </c>
      <c r="XBI29" t="s">
        <v>18540</v>
      </c>
      <c r="XBJ29" t="s">
        <v>18541</v>
      </c>
      <c r="XBK29" t="s">
        <v>18542</v>
      </c>
      <c r="XBL29" t="s">
        <v>18543</v>
      </c>
      <c r="XBM29" t="s">
        <v>18544</v>
      </c>
      <c r="XBN29" t="s">
        <v>18545</v>
      </c>
      <c r="XBO29" t="s">
        <v>18546</v>
      </c>
      <c r="XBP29" t="s">
        <v>18547</v>
      </c>
      <c r="XBQ29" t="s">
        <v>18548</v>
      </c>
      <c r="XBR29" t="s">
        <v>18549</v>
      </c>
      <c r="XBS29" t="s">
        <v>18550</v>
      </c>
      <c r="XBT29" t="s">
        <v>18551</v>
      </c>
      <c r="XBU29" t="s">
        <v>18552</v>
      </c>
      <c r="XBV29" t="s">
        <v>18553</v>
      </c>
      <c r="XBW29" t="s">
        <v>18554</v>
      </c>
      <c r="XBX29" t="s">
        <v>18555</v>
      </c>
      <c r="XBY29" t="s">
        <v>18556</v>
      </c>
      <c r="XBZ29" t="s">
        <v>18557</v>
      </c>
      <c r="XCA29" t="s">
        <v>18558</v>
      </c>
      <c r="XCB29" t="s">
        <v>18559</v>
      </c>
      <c r="XCC29" t="s">
        <v>18560</v>
      </c>
      <c r="XCD29" t="s">
        <v>18561</v>
      </c>
      <c r="XCE29" t="s">
        <v>18562</v>
      </c>
      <c r="XCF29" t="s">
        <v>18563</v>
      </c>
      <c r="XCG29" t="s">
        <v>18564</v>
      </c>
      <c r="XCH29" t="s">
        <v>18565</v>
      </c>
      <c r="XCI29" t="s">
        <v>18566</v>
      </c>
      <c r="XCJ29" t="s">
        <v>18567</v>
      </c>
      <c r="XCK29" t="s">
        <v>18568</v>
      </c>
      <c r="XCL29" t="s">
        <v>18569</v>
      </c>
      <c r="XCM29" t="s">
        <v>18570</v>
      </c>
      <c r="XCN29" t="s">
        <v>18571</v>
      </c>
      <c r="XCO29" t="s">
        <v>18572</v>
      </c>
      <c r="XCP29" t="s">
        <v>18573</v>
      </c>
      <c r="XCQ29" t="s">
        <v>18574</v>
      </c>
      <c r="XCR29" t="s">
        <v>18575</v>
      </c>
      <c r="XCS29" t="s">
        <v>18576</v>
      </c>
      <c r="XCT29" t="s">
        <v>18577</v>
      </c>
      <c r="XCU29" t="s">
        <v>18578</v>
      </c>
      <c r="XCV29" t="s">
        <v>18579</v>
      </c>
      <c r="XCW29" t="s">
        <v>18580</v>
      </c>
      <c r="XCX29" t="s">
        <v>18581</v>
      </c>
      <c r="XCY29" t="s">
        <v>18582</v>
      </c>
      <c r="XCZ29" t="s">
        <v>18583</v>
      </c>
      <c r="XDA29" t="s">
        <v>18584</v>
      </c>
      <c r="XDB29" t="s">
        <v>18585</v>
      </c>
      <c r="XDC29" t="s">
        <v>18586</v>
      </c>
      <c r="XDD29" t="s">
        <v>18587</v>
      </c>
      <c r="XDE29" t="s">
        <v>18588</v>
      </c>
      <c r="XDF29" t="s">
        <v>18589</v>
      </c>
      <c r="XDG29" t="s">
        <v>18590</v>
      </c>
      <c r="XDH29" t="s">
        <v>18591</v>
      </c>
      <c r="XDI29" t="s">
        <v>18592</v>
      </c>
      <c r="XDJ29" t="s">
        <v>18593</v>
      </c>
      <c r="XDK29" t="s">
        <v>18594</v>
      </c>
      <c r="XDL29" t="s">
        <v>18595</v>
      </c>
      <c r="XDM29" t="s">
        <v>18596</v>
      </c>
      <c r="XDN29" t="s">
        <v>18597</v>
      </c>
      <c r="XDO29" t="s">
        <v>18598</v>
      </c>
      <c r="XDP29" t="s">
        <v>18599</v>
      </c>
      <c r="XDQ29" t="s">
        <v>18600</v>
      </c>
      <c r="XDR29" t="s">
        <v>18601</v>
      </c>
      <c r="XDS29" t="s">
        <v>18602</v>
      </c>
      <c r="XDT29" t="s">
        <v>18603</v>
      </c>
      <c r="XDU29" t="s">
        <v>18604</v>
      </c>
      <c r="XDV29" t="s">
        <v>18605</v>
      </c>
      <c r="XDW29" t="s">
        <v>18606</v>
      </c>
      <c r="XDX29" t="s">
        <v>18607</v>
      </c>
      <c r="XDY29" t="s">
        <v>18608</v>
      </c>
      <c r="XDZ29" t="s">
        <v>18609</v>
      </c>
      <c r="XEA29" t="s">
        <v>18610</v>
      </c>
      <c r="XEB29" t="s">
        <v>18611</v>
      </c>
      <c r="XEC29" t="s">
        <v>18612</v>
      </c>
      <c r="XED29" t="s">
        <v>18613</v>
      </c>
      <c r="XEE29" t="s">
        <v>18614</v>
      </c>
      <c r="XEF29" t="s">
        <v>18615</v>
      </c>
      <c r="XEG29" t="s">
        <v>18616</v>
      </c>
      <c r="XEH29" t="s">
        <v>18617</v>
      </c>
      <c r="XEI29" t="s">
        <v>18618</v>
      </c>
      <c r="XEJ29" t="s">
        <v>18619</v>
      </c>
      <c r="XEK29" t="s">
        <v>18620</v>
      </c>
      <c r="XEL29" t="s">
        <v>18621</v>
      </c>
      <c r="XEM29" t="s">
        <v>18622</v>
      </c>
      <c r="XEN29" t="s">
        <v>18623</v>
      </c>
      <c r="XEO29" t="s">
        <v>18624</v>
      </c>
      <c r="XEP29" t="s">
        <v>18625</v>
      </c>
      <c r="XEQ29" t="s">
        <v>18626</v>
      </c>
      <c r="XER29" t="s">
        <v>18627</v>
      </c>
      <c r="XES29" t="s">
        <v>18628</v>
      </c>
      <c r="XET29" t="s">
        <v>18629</v>
      </c>
      <c r="XEU29" t="s">
        <v>18630</v>
      </c>
      <c r="XEV29" t="s">
        <v>18631</v>
      </c>
      <c r="XEW29" t="s">
        <v>18632</v>
      </c>
      <c r="XEX29" t="s">
        <v>18633</v>
      </c>
      <c r="XEY29" t="s">
        <v>18634</v>
      </c>
      <c r="XEZ29" t="s">
        <v>18635</v>
      </c>
      <c r="XFA29" t="s">
        <v>18636</v>
      </c>
      <c r="XFB29" t="s">
        <v>18637</v>
      </c>
      <c r="XFC29" t="s">
        <v>18638</v>
      </c>
      <c r="XFD29" t="s">
        <v>18639</v>
      </c>
    </row>
    <row r="30" spans="1:16384">
      <c r="A30" t="s">
        <v>2269</v>
      </c>
      <c r="B30" t="s">
        <v>18640</v>
      </c>
      <c r="C30" t="s">
        <v>1382</v>
      </c>
      <c r="D30" t="s">
        <v>1274</v>
      </c>
      <c r="E30" t="s">
        <v>973</v>
      </c>
      <c r="F30" t="s">
        <v>598</v>
      </c>
      <c r="G30" t="s">
        <v>478</v>
      </c>
      <c r="H30" t="s">
        <v>2266</v>
      </c>
      <c r="I30" t="s">
        <v>2267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</row>
    <row r="31" spans="1:16384">
      <c r="A31" t="s">
        <v>2269</v>
      </c>
      <c r="B31" t="s">
        <v>18641</v>
      </c>
      <c r="C31" t="s">
        <v>1382</v>
      </c>
      <c r="D31" t="s">
        <v>1285</v>
      </c>
      <c r="E31" t="s">
        <v>973</v>
      </c>
      <c r="F31" t="s">
        <v>598</v>
      </c>
      <c r="G31" t="s">
        <v>478</v>
      </c>
      <c r="H31" t="s">
        <v>2266</v>
      </c>
      <c r="I31" t="s">
        <v>2267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</row>
    <row r="32" spans="1:16384">
      <c r="A32" t="s">
        <v>2269</v>
      </c>
      <c r="B32" t="s">
        <v>18642</v>
      </c>
      <c r="C32" t="s">
        <v>1382</v>
      </c>
      <c r="D32" t="s">
        <v>1305</v>
      </c>
      <c r="E32" t="s">
        <v>973</v>
      </c>
      <c r="F32" t="s">
        <v>598</v>
      </c>
      <c r="G32" t="s">
        <v>478</v>
      </c>
      <c r="H32" t="s">
        <v>2266</v>
      </c>
      <c r="I32" t="s">
        <v>2267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</row>
    <row r="33" spans="1:33">
      <c r="A33" t="s">
        <v>2269</v>
      </c>
      <c r="B33" t="s">
        <v>18643</v>
      </c>
      <c r="C33" t="s">
        <v>1382</v>
      </c>
      <c r="D33" t="s">
        <v>1311</v>
      </c>
      <c r="E33" t="s">
        <v>973</v>
      </c>
      <c r="F33" t="s">
        <v>598</v>
      </c>
      <c r="G33" t="s">
        <v>478</v>
      </c>
      <c r="H33" t="s">
        <v>2266</v>
      </c>
      <c r="I33" t="s">
        <v>2267</v>
      </c>
      <c r="J33">
        <v>4.4580830000000002E-2</v>
      </c>
      <c r="K33">
        <v>4.4974649999999998E-2</v>
      </c>
      <c r="L33">
        <v>4.5329090000000002E-2</v>
      </c>
      <c r="M33">
        <v>4.568353E-2</v>
      </c>
      <c r="N33">
        <v>4.6077359999999998E-2</v>
      </c>
      <c r="O33">
        <v>4.6825619999999998E-2</v>
      </c>
      <c r="P33">
        <v>4.7180060000000003E-2</v>
      </c>
      <c r="Q33">
        <v>4.7573879999999999E-2</v>
      </c>
      <c r="R33">
        <v>4.7573879999999999E-2</v>
      </c>
      <c r="S33">
        <v>4.7573879999999999E-2</v>
      </c>
      <c r="T33">
        <v>4.7573879999999999E-2</v>
      </c>
      <c r="U33">
        <v>4.7573879999999999E-2</v>
      </c>
      <c r="V33">
        <v>4.7573879999999999E-2</v>
      </c>
      <c r="W33">
        <v>4.7573879999999999E-2</v>
      </c>
      <c r="X33">
        <v>4.7573879999999999E-2</v>
      </c>
      <c r="Y33">
        <v>4.7573879999999999E-2</v>
      </c>
      <c r="Z33">
        <v>4.7573879999999999E-2</v>
      </c>
      <c r="AA33">
        <v>4.7573879999999999E-2</v>
      </c>
      <c r="AB33">
        <v>4.7573879999999999E-2</v>
      </c>
      <c r="AC33">
        <v>4.7573879999999999E-2</v>
      </c>
      <c r="AD33">
        <v>4.7573879999999999E-2</v>
      </c>
      <c r="AE33">
        <v>4.7573879999999999E-2</v>
      </c>
      <c r="AF33">
        <v>4.7573879999999999E-2</v>
      </c>
      <c r="AG33">
        <v>4.7573879999999999E-2</v>
      </c>
    </row>
    <row r="34" spans="1:33">
      <c r="A34" t="s">
        <v>2269</v>
      </c>
      <c r="B34" t="s">
        <v>2265</v>
      </c>
      <c r="C34" t="s">
        <v>1382</v>
      </c>
      <c r="D34" t="s">
        <v>1311</v>
      </c>
      <c r="E34" t="s">
        <v>597</v>
      </c>
      <c r="F34" t="s">
        <v>598</v>
      </c>
      <c r="G34" t="s">
        <v>478</v>
      </c>
      <c r="H34" t="s">
        <v>2266</v>
      </c>
      <c r="I34" t="s">
        <v>2267</v>
      </c>
      <c r="J34">
        <v>0.11490619000000001</v>
      </c>
      <c r="K34">
        <v>0.11593736</v>
      </c>
      <c r="L34">
        <v>0.11696651</v>
      </c>
      <c r="M34">
        <v>0.11799567</v>
      </c>
      <c r="N34">
        <v>0.11902681</v>
      </c>
      <c r="O34">
        <v>0.12017708000000001</v>
      </c>
      <c r="P34">
        <v>0.12120622</v>
      </c>
      <c r="Q34">
        <v>0.12233848999999999</v>
      </c>
      <c r="R34">
        <v>0.12233848999999999</v>
      </c>
      <c r="S34">
        <v>0.12233848999999999</v>
      </c>
      <c r="T34">
        <v>0.12233848999999999</v>
      </c>
      <c r="U34">
        <v>0.12233848999999999</v>
      </c>
      <c r="V34">
        <v>0.12233848999999999</v>
      </c>
      <c r="W34">
        <v>0.12233848999999999</v>
      </c>
      <c r="X34">
        <v>0.12233848999999999</v>
      </c>
      <c r="Y34">
        <v>0.12233848999999999</v>
      </c>
      <c r="Z34">
        <v>0.12233848999999999</v>
      </c>
      <c r="AA34">
        <v>0.12233848999999999</v>
      </c>
      <c r="AB34">
        <v>0.12233848999999999</v>
      </c>
      <c r="AC34">
        <v>0.12233848999999999</v>
      </c>
      <c r="AD34">
        <v>0.12233848999999999</v>
      </c>
      <c r="AE34">
        <v>0.12233848999999999</v>
      </c>
      <c r="AF34">
        <v>0.12233848999999999</v>
      </c>
      <c r="AG34">
        <v>0.12233848999999999</v>
      </c>
    </row>
    <row r="35" spans="1:33">
      <c r="A35" t="s">
        <v>2269</v>
      </c>
      <c r="B35" t="s">
        <v>18644</v>
      </c>
      <c r="C35" t="s">
        <v>1382</v>
      </c>
      <c r="D35" t="s">
        <v>1311</v>
      </c>
      <c r="E35" t="s">
        <v>605</v>
      </c>
      <c r="F35" t="s">
        <v>598</v>
      </c>
      <c r="G35" t="s">
        <v>478</v>
      </c>
      <c r="H35" t="s">
        <v>2266</v>
      </c>
      <c r="I35" t="s">
        <v>2267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</row>
    <row r="36" spans="1:33">
      <c r="A36" t="s">
        <v>2269</v>
      </c>
      <c r="B36" t="s">
        <v>18645</v>
      </c>
      <c r="C36" t="s">
        <v>1382</v>
      </c>
      <c r="D36" t="s">
        <v>1392</v>
      </c>
      <c r="E36" t="s">
        <v>1393</v>
      </c>
      <c r="F36" t="s">
        <v>598</v>
      </c>
      <c r="G36" t="s">
        <v>478</v>
      </c>
      <c r="H36" t="s">
        <v>2266</v>
      </c>
      <c r="I36" t="s">
        <v>2267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</row>
    <row r="37" spans="1:33">
      <c r="A37" t="s">
        <v>2269</v>
      </c>
      <c r="B37" t="s">
        <v>18646</v>
      </c>
      <c r="C37" t="s">
        <v>1382</v>
      </c>
      <c r="D37" t="s">
        <v>1316</v>
      </c>
      <c r="E37" t="s">
        <v>1018</v>
      </c>
      <c r="F37" t="s">
        <v>598</v>
      </c>
      <c r="G37" t="s">
        <v>478</v>
      </c>
      <c r="H37" t="s">
        <v>2266</v>
      </c>
      <c r="I37" t="s">
        <v>2267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</row>
    <row r="38" spans="1:33">
      <c r="A38" t="s">
        <v>2269</v>
      </c>
      <c r="B38" t="s">
        <v>18647</v>
      </c>
      <c r="C38" t="s">
        <v>1382</v>
      </c>
      <c r="D38" t="s">
        <v>1316</v>
      </c>
      <c r="E38" t="s">
        <v>688</v>
      </c>
      <c r="F38" t="s">
        <v>598</v>
      </c>
      <c r="G38" t="s">
        <v>478</v>
      </c>
      <c r="H38" t="s">
        <v>2266</v>
      </c>
      <c r="I38" t="s">
        <v>2267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</row>
    <row r="39" spans="1:33">
      <c r="A39" t="s">
        <v>2269</v>
      </c>
      <c r="B39" t="s">
        <v>18648</v>
      </c>
      <c r="C39" t="s">
        <v>1382</v>
      </c>
      <c r="D39" t="s">
        <v>1316</v>
      </c>
      <c r="E39" t="s">
        <v>626</v>
      </c>
      <c r="F39" t="s">
        <v>598</v>
      </c>
      <c r="G39" t="s">
        <v>478</v>
      </c>
      <c r="H39" t="s">
        <v>2266</v>
      </c>
      <c r="I39" t="s">
        <v>2267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</row>
    <row r="40" spans="1:33">
      <c r="A40" t="s">
        <v>2269</v>
      </c>
      <c r="B40" t="s">
        <v>18649</v>
      </c>
      <c r="C40" t="s">
        <v>1382</v>
      </c>
      <c r="D40" t="s">
        <v>1316</v>
      </c>
      <c r="E40" t="s">
        <v>1334</v>
      </c>
      <c r="F40" t="s">
        <v>598</v>
      </c>
      <c r="G40" t="s">
        <v>478</v>
      </c>
      <c r="H40" t="s">
        <v>2266</v>
      </c>
      <c r="I40" t="s">
        <v>2267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</row>
    <row r="41" spans="1:33">
      <c r="A41" t="s">
        <v>2269</v>
      </c>
      <c r="B41" t="s">
        <v>18650</v>
      </c>
      <c r="C41" t="s">
        <v>1382</v>
      </c>
      <c r="D41" t="s">
        <v>1316</v>
      </c>
      <c r="E41" t="s">
        <v>1318</v>
      </c>
      <c r="F41" t="s">
        <v>598</v>
      </c>
      <c r="G41" t="s">
        <v>478</v>
      </c>
      <c r="H41" t="s">
        <v>2266</v>
      </c>
      <c r="I41" t="s">
        <v>2267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</row>
    <row r="42" spans="1:33">
      <c r="A42" t="s">
        <v>2269</v>
      </c>
      <c r="B42" t="s">
        <v>18651</v>
      </c>
      <c r="C42" t="s">
        <v>1382</v>
      </c>
      <c r="D42" t="s">
        <v>1316</v>
      </c>
      <c r="E42" t="s">
        <v>1198</v>
      </c>
      <c r="F42" t="s">
        <v>598</v>
      </c>
      <c r="G42" t="s">
        <v>478</v>
      </c>
      <c r="H42" t="s">
        <v>2266</v>
      </c>
      <c r="I42" t="s">
        <v>2267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</row>
    <row r="43" spans="1:33">
      <c r="A43" t="s">
        <v>2269</v>
      </c>
      <c r="B43" t="s">
        <v>18652</v>
      </c>
      <c r="C43" t="s">
        <v>1382</v>
      </c>
      <c r="D43" t="s">
        <v>1316</v>
      </c>
      <c r="E43" t="s">
        <v>630</v>
      </c>
      <c r="F43" t="s">
        <v>598</v>
      </c>
      <c r="G43" t="s">
        <v>478</v>
      </c>
      <c r="H43" t="s">
        <v>2266</v>
      </c>
      <c r="I43" t="s">
        <v>2267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</row>
    <row r="44" spans="1:33">
      <c r="A44" t="s">
        <v>2269</v>
      </c>
      <c r="B44" t="s">
        <v>18653</v>
      </c>
      <c r="C44" t="s">
        <v>1382</v>
      </c>
      <c r="D44" t="s">
        <v>1320</v>
      </c>
      <c r="E44" t="s">
        <v>688</v>
      </c>
      <c r="F44" t="s">
        <v>598</v>
      </c>
      <c r="G44" t="s">
        <v>478</v>
      </c>
      <c r="H44" t="s">
        <v>2266</v>
      </c>
      <c r="I44" t="s">
        <v>2267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</row>
    <row r="45" spans="1:33">
      <c r="A45" t="s">
        <v>2269</v>
      </c>
      <c r="B45" t="s">
        <v>18654</v>
      </c>
      <c r="C45" t="s">
        <v>1382</v>
      </c>
      <c r="D45" t="s">
        <v>1320</v>
      </c>
      <c r="E45" t="s">
        <v>626</v>
      </c>
      <c r="F45" t="s">
        <v>598</v>
      </c>
      <c r="G45" t="s">
        <v>478</v>
      </c>
      <c r="H45" t="s">
        <v>2266</v>
      </c>
      <c r="I45" t="s">
        <v>2267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</row>
    <row r="46" spans="1:33">
      <c r="A46" t="s">
        <v>2269</v>
      </c>
      <c r="B46" t="s">
        <v>18655</v>
      </c>
      <c r="C46" t="s">
        <v>1382</v>
      </c>
      <c r="D46" t="s">
        <v>1320</v>
      </c>
      <c r="E46" t="s">
        <v>678</v>
      </c>
      <c r="F46" t="s">
        <v>598</v>
      </c>
      <c r="G46" t="s">
        <v>478</v>
      </c>
      <c r="H46" t="s">
        <v>2266</v>
      </c>
      <c r="I46" t="s">
        <v>2267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>
      <c r="A47" t="s">
        <v>2269</v>
      </c>
      <c r="B47" t="s">
        <v>18656</v>
      </c>
      <c r="C47" t="s">
        <v>1382</v>
      </c>
      <c r="D47" t="s">
        <v>1324</v>
      </c>
      <c r="E47" t="s">
        <v>1018</v>
      </c>
      <c r="F47" t="s">
        <v>598</v>
      </c>
      <c r="G47" t="s">
        <v>478</v>
      </c>
      <c r="H47" t="s">
        <v>2266</v>
      </c>
      <c r="I47" t="s">
        <v>2267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</row>
    <row r="48" spans="1:33">
      <c r="A48" t="s">
        <v>2269</v>
      </c>
      <c r="B48" t="s">
        <v>18657</v>
      </c>
      <c r="C48" t="s">
        <v>1382</v>
      </c>
      <c r="D48" t="s">
        <v>1324</v>
      </c>
      <c r="E48" t="s">
        <v>688</v>
      </c>
      <c r="F48" t="s">
        <v>598</v>
      </c>
      <c r="G48" t="s">
        <v>478</v>
      </c>
      <c r="H48" t="s">
        <v>2266</v>
      </c>
      <c r="I48" t="s">
        <v>2267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</row>
    <row r="49" spans="1:33">
      <c r="A49" t="s">
        <v>2269</v>
      </c>
      <c r="B49" t="s">
        <v>18658</v>
      </c>
      <c r="C49" t="s">
        <v>1382</v>
      </c>
      <c r="D49" t="s">
        <v>1324</v>
      </c>
      <c r="E49" t="s">
        <v>1326</v>
      </c>
      <c r="F49" t="s">
        <v>598</v>
      </c>
      <c r="G49" t="s">
        <v>478</v>
      </c>
      <c r="H49" t="s">
        <v>2266</v>
      </c>
      <c r="I49" t="s">
        <v>2267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</row>
    <row r="50" spans="1:33">
      <c r="A50" t="s">
        <v>2269</v>
      </c>
      <c r="B50" t="s">
        <v>18659</v>
      </c>
      <c r="C50" t="s">
        <v>1382</v>
      </c>
      <c r="D50" t="s">
        <v>1324</v>
      </c>
      <c r="E50" t="s">
        <v>1402</v>
      </c>
      <c r="F50" t="s">
        <v>598</v>
      </c>
      <c r="G50" t="s">
        <v>478</v>
      </c>
      <c r="H50" t="s">
        <v>2266</v>
      </c>
      <c r="I50" t="s">
        <v>2267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</row>
    <row r="51" spans="1:33">
      <c r="A51" t="s">
        <v>2269</v>
      </c>
      <c r="B51" t="s">
        <v>18660</v>
      </c>
      <c r="C51" t="s">
        <v>1382</v>
      </c>
      <c r="D51" t="s">
        <v>1324</v>
      </c>
      <c r="E51" t="s">
        <v>1318</v>
      </c>
      <c r="F51" t="s">
        <v>598</v>
      </c>
      <c r="G51" t="s">
        <v>478</v>
      </c>
      <c r="H51" t="s">
        <v>2266</v>
      </c>
      <c r="I51" t="s">
        <v>2267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</row>
    <row r="52" spans="1:33">
      <c r="A52" t="s">
        <v>2269</v>
      </c>
      <c r="B52" t="s">
        <v>18661</v>
      </c>
      <c r="C52" t="s">
        <v>1382</v>
      </c>
      <c r="D52" t="s">
        <v>1324</v>
      </c>
      <c r="E52" t="s">
        <v>1423</v>
      </c>
      <c r="F52" t="s">
        <v>598</v>
      </c>
      <c r="G52" t="s">
        <v>478</v>
      </c>
      <c r="H52" t="s">
        <v>2266</v>
      </c>
      <c r="I52" t="s">
        <v>2267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</row>
    <row r="53" spans="1:33">
      <c r="A53" t="s">
        <v>2269</v>
      </c>
      <c r="B53" t="s">
        <v>18662</v>
      </c>
      <c r="C53" t="s">
        <v>1382</v>
      </c>
      <c r="D53" t="s">
        <v>1324</v>
      </c>
      <c r="E53" t="s">
        <v>1469</v>
      </c>
      <c r="F53" t="s">
        <v>598</v>
      </c>
      <c r="G53" t="s">
        <v>478</v>
      </c>
      <c r="H53" t="s">
        <v>2266</v>
      </c>
      <c r="I53" t="s">
        <v>2267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</row>
    <row r="54" spans="1:33">
      <c r="A54" t="s">
        <v>2269</v>
      </c>
      <c r="B54" t="s">
        <v>18663</v>
      </c>
      <c r="C54" t="s">
        <v>1382</v>
      </c>
      <c r="D54" t="s">
        <v>1324</v>
      </c>
      <c r="E54" t="s">
        <v>1028</v>
      </c>
      <c r="F54" t="s">
        <v>598</v>
      </c>
      <c r="G54" t="s">
        <v>478</v>
      </c>
      <c r="H54" t="s">
        <v>2266</v>
      </c>
      <c r="I54" t="s">
        <v>2267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</row>
    <row r="55" spans="1:33">
      <c r="A55" t="s">
        <v>2269</v>
      </c>
      <c r="B55" t="s">
        <v>18664</v>
      </c>
      <c r="C55" t="s">
        <v>1382</v>
      </c>
      <c r="D55" t="s">
        <v>1324</v>
      </c>
      <c r="E55" t="s">
        <v>1211</v>
      </c>
      <c r="F55" t="s">
        <v>598</v>
      </c>
      <c r="G55" t="s">
        <v>478</v>
      </c>
      <c r="H55" t="s">
        <v>2266</v>
      </c>
      <c r="I55" t="s">
        <v>2267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</row>
    <row r="56" spans="1:33">
      <c r="A56" t="s">
        <v>2269</v>
      </c>
      <c r="B56" t="s">
        <v>18665</v>
      </c>
      <c r="C56" t="s">
        <v>1382</v>
      </c>
      <c r="D56" t="s">
        <v>1324</v>
      </c>
      <c r="E56" t="s">
        <v>1058</v>
      </c>
      <c r="F56" t="s">
        <v>598</v>
      </c>
      <c r="G56" t="s">
        <v>478</v>
      </c>
      <c r="H56" t="s">
        <v>2266</v>
      </c>
      <c r="I56" t="s">
        <v>2267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</row>
    <row r="57" spans="1:33">
      <c r="A57" t="s">
        <v>2269</v>
      </c>
      <c r="B57" t="s">
        <v>18666</v>
      </c>
      <c r="C57" t="s">
        <v>1382</v>
      </c>
      <c r="D57" t="s">
        <v>1332</v>
      </c>
      <c r="E57" t="s">
        <v>1018</v>
      </c>
      <c r="F57" t="s">
        <v>598</v>
      </c>
      <c r="G57" t="s">
        <v>478</v>
      </c>
      <c r="H57" t="s">
        <v>2266</v>
      </c>
      <c r="I57" t="s">
        <v>2267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</row>
    <row r="58" spans="1:33">
      <c r="A58" t="s">
        <v>2269</v>
      </c>
      <c r="B58" t="s">
        <v>18667</v>
      </c>
      <c r="C58" t="s">
        <v>1382</v>
      </c>
      <c r="D58" t="s">
        <v>1332</v>
      </c>
      <c r="E58" t="s">
        <v>688</v>
      </c>
      <c r="F58" t="s">
        <v>598</v>
      </c>
      <c r="G58" t="s">
        <v>478</v>
      </c>
      <c r="H58" t="s">
        <v>2266</v>
      </c>
      <c r="I58" t="s">
        <v>2267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</row>
    <row r="59" spans="1:33">
      <c r="A59" t="s">
        <v>2269</v>
      </c>
      <c r="B59" t="s">
        <v>18668</v>
      </c>
      <c r="C59" t="s">
        <v>1382</v>
      </c>
      <c r="D59" t="s">
        <v>1332</v>
      </c>
      <c r="E59" t="s">
        <v>1334</v>
      </c>
      <c r="F59" t="s">
        <v>598</v>
      </c>
      <c r="G59" t="s">
        <v>478</v>
      </c>
      <c r="H59" t="s">
        <v>2266</v>
      </c>
      <c r="I59" t="s">
        <v>2267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</row>
    <row r="60" spans="1:33">
      <c r="A60" t="s">
        <v>2269</v>
      </c>
      <c r="B60" t="s">
        <v>18669</v>
      </c>
      <c r="C60" t="s">
        <v>1382</v>
      </c>
      <c r="D60" t="s">
        <v>1332</v>
      </c>
      <c r="E60" t="s">
        <v>1326</v>
      </c>
      <c r="F60" t="s">
        <v>598</v>
      </c>
      <c r="G60" t="s">
        <v>478</v>
      </c>
      <c r="H60" t="s">
        <v>2266</v>
      </c>
      <c r="I60" t="s">
        <v>2267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</row>
    <row r="61" spans="1:33">
      <c r="A61" t="s">
        <v>2269</v>
      </c>
      <c r="B61" t="s">
        <v>18670</v>
      </c>
      <c r="C61" t="s">
        <v>1382</v>
      </c>
      <c r="D61" t="s">
        <v>1332</v>
      </c>
      <c r="E61" t="s">
        <v>1318</v>
      </c>
      <c r="F61" t="s">
        <v>598</v>
      </c>
      <c r="G61" t="s">
        <v>478</v>
      </c>
      <c r="H61" t="s">
        <v>2266</v>
      </c>
      <c r="I61" t="s">
        <v>2267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</row>
    <row r="62" spans="1:33">
      <c r="A62" t="s">
        <v>2269</v>
      </c>
      <c r="B62" t="s">
        <v>18671</v>
      </c>
      <c r="C62" t="s">
        <v>1382</v>
      </c>
      <c r="D62" t="s">
        <v>1332</v>
      </c>
      <c r="E62" t="s">
        <v>1423</v>
      </c>
      <c r="F62" t="s">
        <v>598</v>
      </c>
      <c r="G62" t="s">
        <v>478</v>
      </c>
      <c r="H62" t="s">
        <v>2266</v>
      </c>
      <c r="I62" t="s">
        <v>2267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</row>
    <row r="63" spans="1:33">
      <c r="A63" t="s">
        <v>2269</v>
      </c>
      <c r="B63" t="s">
        <v>18672</v>
      </c>
      <c r="C63" t="s">
        <v>1382</v>
      </c>
      <c r="D63" t="s">
        <v>1332</v>
      </c>
      <c r="E63" t="s">
        <v>1028</v>
      </c>
      <c r="F63" t="s">
        <v>598</v>
      </c>
      <c r="G63" t="s">
        <v>478</v>
      </c>
      <c r="H63" t="s">
        <v>2266</v>
      </c>
      <c r="I63" t="s">
        <v>2267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</row>
    <row r="64" spans="1:33">
      <c r="A64" t="s">
        <v>2269</v>
      </c>
      <c r="B64" t="s">
        <v>18673</v>
      </c>
      <c r="C64" t="s">
        <v>1382</v>
      </c>
      <c r="D64" t="s">
        <v>1332</v>
      </c>
      <c r="E64" t="s">
        <v>1000</v>
      </c>
      <c r="F64" t="s">
        <v>598</v>
      </c>
      <c r="G64" t="s">
        <v>478</v>
      </c>
      <c r="H64" t="s">
        <v>2266</v>
      </c>
      <c r="I64" t="s">
        <v>2267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</row>
    <row r="65" spans="1:33">
      <c r="A65" t="s">
        <v>2269</v>
      </c>
      <c r="B65" t="s">
        <v>18674</v>
      </c>
      <c r="C65" t="s">
        <v>1382</v>
      </c>
      <c r="D65" t="s">
        <v>1348</v>
      </c>
      <c r="E65" t="s">
        <v>688</v>
      </c>
      <c r="F65" t="s">
        <v>598</v>
      </c>
      <c r="G65" t="s">
        <v>478</v>
      </c>
      <c r="H65" t="s">
        <v>2266</v>
      </c>
      <c r="I65" t="s">
        <v>2267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</row>
    <row r="66" spans="1:33">
      <c r="A66" t="s">
        <v>2269</v>
      </c>
      <c r="B66" t="s">
        <v>18675</v>
      </c>
      <c r="C66" t="s">
        <v>1382</v>
      </c>
      <c r="D66" t="s">
        <v>1435</v>
      </c>
      <c r="E66" t="s">
        <v>973</v>
      </c>
      <c r="F66" t="s">
        <v>598</v>
      </c>
      <c r="G66" t="s">
        <v>478</v>
      </c>
      <c r="H66" t="s">
        <v>2266</v>
      </c>
      <c r="I66" t="s">
        <v>2267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</row>
    <row r="67" spans="1:33">
      <c r="A67" t="s">
        <v>2269</v>
      </c>
      <c r="B67" t="s">
        <v>18676</v>
      </c>
      <c r="C67" t="s">
        <v>1382</v>
      </c>
      <c r="D67" t="s">
        <v>1354</v>
      </c>
      <c r="E67" t="s">
        <v>973</v>
      </c>
      <c r="F67" t="s">
        <v>598</v>
      </c>
      <c r="G67" t="s">
        <v>478</v>
      </c>
      <c r="H67" t="s">
        <v>2266</v>
      </c>
      <c r="I67" t="s">
        <v>2267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</row>
    <row r="68" spans="1:33">
      <c r="A68" t="s">
        <v>2269</v>
      </c>
      <c r="B68" t="s">
        <v>18677</v>
      </c>
      <c r="C68" t="s">
        <v>1382</v>
      </c>
      <c r="D68" t="s">
        <v>1354</v>
      </c>
      <c r="E68" t="s">
        <v>1438</v>
      </c>
      <c r="F68" t="s">
        <v>598</v>
      </c>
      <c r="G68" t="s">
        <v>478</v>
      </c>
      <c r="H68" t="s">
        <v>2266</v>
      </c>
      <c r="I68" t="s">
        <v>2267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</row>
    <row r="69" spans="1:33">
      <c r="A69" t="s">
        <v>2269</v>
      </c>
      <c r="B69" t="s">
        <v>18678</v>
      </c>
      <c r="C69" t="s">
        <v>1382</v>
      </c>
      <c r="D69" t="s">
        <v>1440</v>
      </c>
      <c r="E69" t="s">
        <v>973</v>
      </c>
      <c r="F69" t="s">
        <v>598</v>
      </c>
      <c r="G69" t="s">
        <v>478</v>
      </c>
      <c r="H69" t="s">
        <v>2266</v>
      </c>
      <c r="I69" t="s">
        <v>2267</v>
      </c>
      <c r="J69">
        <v>3.1394299999999999E-3</v>
      </c>
      <c r="K69">
        <v>3.17286E-3</v>
      </c>
      <c r="L69">
        <v>3.2035000000000002E-3</v>
      </c>
      <c r="M69">
        <v>3.2341499999999999E-3</v>
      </c>
      <c r="N69">
        <v>3.26757E-3</v>
      </c>
      <c r="O69">
        <v>3.3010000000000001E-3</v>
      </c>
      <c r="P69">
        <v>3.3316399999999999E-3</v>
      </c>
      <c r="Q69">
        <v>3.3678599999999999E-3</v>
      </c>
      <c r="R69">
        <v>3.3678599999999999E-3</v>
      </c>
      <c r="S69">
        <v>3.3678599999999999E-3</v>
      </c>
      <c r="T69">
        <v>3.3678599999999999E-3</v>
      </c>
      <c r="U69">
        <v>3.3678599999999999E-3</v>
      </c>
      <c r="V69">
        <v>3.3678599999999999E-3</v>
      </c>
      <c r="W69">
        <v>3.3678599999999999E-3</v>
      </c>
      <c r="X69">
        <v>3.3678599999999999E-3</v>
      </c>
      <c r="Y69">
        <v>3.3678599999999999E-3</v>
      </c>
      <c r="Z69">
        <v>3.3678599999999999E-3</v>
      </c>
      <c r="AA69">
        <v>3.3678599999999999E-3</v>
      </c>
      <c r="AB69">
        <v>3.3678599999999999E-3</v>
      </c>
      <c r="AC69">
        <v>3.3678599999999999E-3</v>
      </c>
      <c r="AD69">
        <v>3.3678599999999999E-3</v>
      </c>
      <c r="AE69">
        <v>3.3678599999999999E-3</v>
      </c>
      <c r="AF69">
        <v>3.3678599999999999E-3</v>
      </c>
      <c r="AG69">
        <v>3.3678599999999999E-3</v>
      </c>
    </row>
    <row r="70" spans="1:33">
      <c r="A70" t="s">
        <v>2269</v>
      </c>
      <c r="B70" t="s">
        <v>18679</v>
      </c>
      <c r="C70" t="s">
        <v>1382</v>
      </c>
      <c r="D70" t="s">
        <v>1443</v>
      </c>
      <c r="E70" t="s">
        <v>611</v>
      </c>
      <c r="F70" t="s">
        <v>598</v>
      </c>
      <c r="G70" t="s">
        <v>478</v>
      </c>
      <c r="H70" t="s">
        <v>2266</v>
      </c>
      <c r="I70" t="s">
        <v>2267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</row>
    <row r="71" spans="1:33">
      <c r="A71" t="s">
        <v>2269</v>
      </c>
      <c r="B71" t="s">
        <v>18680</v>
      </c>
      <c r="C71" t="s">
        <v>1382</v>
      </c>
      <c r="D71" t="s">
        <v>1445</v>
      </c>
      <c r="E71" t="s">
        <v>973</v>
      </c>
      <c r="F71" t="s">
        <v>598</v>
      </c>
      <c r="G71" t="s">
        <v>478</v>
      </c>
      <c r="H71" t="s">
        <v>2266</v>
      </c>
      <c r="I71" t="s">
        <v>2267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</row>
    <row r="72" spans="1:33">
      <c r="A72" t="s">
        <v>2269</v>
      </c>
      <c r="B72" t="s">
        <v>18681</v>
      </c>
      <c r="C72" t="s">
        <v>1382</v>
      </c>
      <c r="D72" t="s">
        <v>1449</v>
      </c>
      <c r="E72" t="s">
        <v>1450</v>
      </c>
      <c r="F72" t="s">
        <v>598</v>
      </c>
      <c r="G72" t="s">
        <v>478</v>
      </c>
      <c r="H72" t="s">
        <v>2266</v>
      </c>
      <c r="I72" t="s">
        <v>2267</v>
      </c>
      <c r="J72">
        <v>0.13833461999999999</v>
      </c>
      <c r="K72">
        <v>0.13968480999999999</v>
      </c>
      <c r="L72">
        <v>0.14115776999999999</v>
      </c>
      <c r="M72">
        <v>0.14250798000000001</v>
      </c>
      <c r="N72">
        <v>0.14398092000000001</v>
      </c>
      <c r="O72">
        <v>0.14533113</v>
      </c>
      <c r="P72">
        <v>0.14680408</v>
      </c>
      <c r="Q72">
        <v>0.14827702000000001</v>
      </c>
      <c r="R72">
        <v>0.14827702000000001</v>
      </c>
      <c r="S72">
        <v>0.14827702000000001</v>
      </c>
      <c r="T72">
        <v>0.14827702000000001</v>
      </c>
      <c r="U72">
        <v>0.14827702000000001</v>
      </c>
      <c r="V72">
        <v>0.14827702000000001</v>
      </c>
      <c r="W72">
        <v>0.14827702000000001</v>
      </c>
      <c r="X72">
        <v>0.14827702000000001</v>
      </c>
      <c r="Y72">
        <v>0.14827702000000001</v>
      </c>
      <c r="Z72">
        <v>0.14827702000000001</v>
      </c>
      <c r="AA72">
        <v>0.14827702000000001</v>
      </c>
      <c r="AB72">
        <v>0.14827702000000001</v>
      </c>
      <c r="AC72">
        <v>0.14827702000000001</v>
      </c>
      <c r="AD72">
        <v>0.14827702000000001</v>
      </c>
      <c r="AE72">
        <v>0.14827702000000001</v>
      </c>
      <c r="AF72">
        <v>0.14827702000000001</v>
      </c>
      <c r="AG72">
        <v>0.14827702000000001</v>
      </c>
    </row>
    <row r="73" spans="1:33">
      <c r="A73" t="s">
        <v>2269</v>
      </c>
      <c r="B73" t="s">
        <v>2268</v>
      </c>
      <c r="C73" t="s">
        <v>1382</v>
      </c>
      <c r="D73" t="s">
        <v>648</v>
      </c>
      <c r="E73" t="s">
        <v>920</v>
      </c>
      <c r="F73" t="s">
        <v>598</v>
      </c>
      <c r="G73" t="s">
        <v>478</v>
      </c>
      <c r="H73" t="s">
        <v>2266</v>
      </c>
      <c r="I73" t="s">
        <v>2267</v>
      </c>
      <c r="J73">
        <v>2.7875000000000003E-4</v>
      </c>
      <c r="K73">
        <v>2.8121E-4</v>
      </c>
      <c r="L73">
        <v>2.8342999999999999E-4</v>
      </c>
      <c r="M73">
        <v>2.8564999999999998E-4</v>
      </c>
      <c r="N73">
        <v>2.8811E-4</v>
      </c>
      <c r="O73">
        <v>2.9279000000000002E-4</v>
      </c>
      <c r="P73">
        <v>2.9500000000000001E-4</v>
      </c>
      <c r="Q73">
        <v>2.9746999999999998E-4</v>
      </c>
      <c r="R73">
        <v>2.9746999999999998E-4</v>
      </c>
      <c r="S73">
        <v>2.9746999999999998E-4</v>
      </c>
      <c r="T73">
        <v>2.9746999999999998E-4</v>
      </c>
      <c r="U73">
        <v>2.9746999999999998E-4</v>
      </c>
      <c r="V73">
        <v>2.9746999999999998E-4</v>
      </c>
      <c r="W73">
        <v>2.9746999999999998E-4</v>
      </c>
      <c r="X73">
        <v>2.9746999999999998E-4</v>
      </c>
      <c r="Y73">
        <v>2.9746999999999998E-4</v>
      </c>
      <c r="Z73">
        <v>2.9746999999999998E-4</v>
      </c>
      <c r="AA73">
        <v>2.9746999999999998E-4</v>
      </c>
      <c r="AB73">
        <v>2.9746999999999998E-4</v>
      </c>
      <c r="AC73">
        <v>2.9746999999999998E-4</v>
      </c>
      <c r="AD73">
        <v>2.9746999999999998E-4</v>
      </c>
      <c r="AE73">
        <v>2.9746999999999998E-4</v>
      </c>
      <c r="AF73">
        <v>2.9746999999999998E-4</v>
      </c>
      <c r="AG73">
        <v>2.9746999999999998E-4</v>
      </c>
    </row>
    <row r="74" spans="1:33">
      <c r="A74" t="s">
        <v>2269</v>
      </c>
      <c r="B74" t="s">
        <v>18682</v>
      </c>
      <c r="C74" t="s">
        <v>1382</v>
      </c>
      <c r="D74" t="s">
        <v>648</v>
      </c>
      <c r="E74" t="s">
        <v>973</v>
      </c>
      <c r="F74" t="s">
        <v>598</v>
      </c>
      <c r="G74" t="s">
        <v>478</v>
      </c>
      <c r="H74" t="s">
        <v>2266</v>
      </c>
      <c r="I74" t="s">
        <v>2267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</row>
    <row r="75" spans="1:33">
      <c r="A75" t="s">
        <v>2269</v>
      </c>
      <c r="B75" t="s">
        <v>18683</v>
      </c>
      <c r="C75" t="s">
        <v>1382</v>
      </c>
      <c r="D75" t="s">
        <v>648</v>
      </c>
      <c r="E75" t="s">
        <v>611</v>
      </c>
      <c r="F75" t="s">
        <v>598</v>
      </c>
      <c r="G75" t="s">
        <v>478</v>
      </c>
      <c r="H75" t="s">
        <v>2266</v>
      </c>
      <c r="I75" t="s">
        <v>2267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</row>
    <row r="76" spans="1:33">
      <c r="A76" t="s">
        <v>2269</v>
      </c>
      <c r="B76" t="s">
        <v>18684</v>
      </c>
      <c r="C76" t="s">
        <v>1382</v>
      </c>
      <c r="D76" t="s">
        <v>648</v>
      </c>
      <c r="E76" t="s">
        <v>929</v>
      </c>
      <c r="F76" t="s">
        <v>598</v>
      </c>
      <c r="G76" t="s">
        <v>478</v>
      </c>
      <c r="H76" t="s">
        <v>2266</v>
      </c>
      <c r="I76" t="s">
        <v>2267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</row>
    <row r="77" spans="1:33">
      <c r="A77" t="s">
        <v>2269</v>
      </c>
      <c r="B77" t="s">
        <v>18685</v>
      </c>
      <c r="C77" t="s">
        <v>1382</v>
      </c>
      <c r="D77" t="s">
        <v>648</v>
      </c>
      <c r="E77" t="s">
        <v>1447</v>
      </c>
      <c r="F77" t="s">
        <v>598</v>
      </c>
      <c r="G77" t="s">
        <v>478</v>
      </c>
      <c r="H77" t="s">
        <v>2266</v>
      </c>
      <c r="I77" t="s">
        <v>2267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</row>
    <row r="78" spans="1:33">
      <c r="A78" t="s">
        <v>2269</v>
      </c>
      <c r="B78" t="s">
        <v>18686</v>
      </c>
      <c r="C78" t="s">
        <v>1382</v>
      </c>
      <c r="D78" t="s">
        <v>648</v>
      </c>
      <c r="E78" t="s">
        <v>1467</v>
      </c>
      <c r="F78" t="s">
        <v>598</v>
      </c>
      <c r="G78" t="s">
        <v>478</v>
      </c>
      <c r="H78" t="s">
        <v>2266</v>
      </c>
      <c r="I78" t="s">
        <v>2267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</row>
    <row r="79" spans="1:33">
      <c r="A79" t="s">
        <v>2269</v>
      </c>
      <c r="B79" t="s">
        <v>18687</v>
      </c>
      <c r="C79" t="s">
        <v>1382</v>
      </c>
      <c r="D79" t="s">
        <v>648</v>
      </c>
      <c r="E79" t="s">
        <v>1615</v>
      </c>
      <c r="F79" t="s">
        <v>598</v>
      </c>
      <c r="G79" t="s">
        <v>478</v>
      </c>
      <c r="H79" t="s">
        <v>2266</v>
      </c>
      <c r="I79" t="s">
        <v>2267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</row>
    <row r="80" spans="1:33">
      <c r="A80" t="s">
        <v>2269</v>
      </c>
      <c r="B80" t="s">
        <v>18688</v>
      </c>
      <c r="C80" t="s">
        <v>1382</v>
      </c>
      <c r="D80" t="s">
        <v>648</v>
      </c>
      <c r="E80" t="s">
        <v>1469</v>
      </c>
      <c r="F80" t="s">
        <v>598</v>
      </c>
      <c r="G80" t="s">
        <v>478</v>
      </c>
      <c r="H80" t="s">
        <v>2266</v>
      </c>
      <c r="I80" t="s">
        <v>2267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</row>
    <row r="81" spans="1:33">
      <c r="A81" t="s">
        <v>2269</v>
      </c>
      <c r="B81" t="s">
        <v>18689</v>
      </c>
      <c r="C81" t="s">
        <v>1382</v>
      </c>
      <c r="D81" t="s">
        <v>648</v>
      </c>
      <c r="E81" t="s">
        <v>1393</v>
      </c>
      <c r="F81" t="s">
        <v>598</v>
      </c>
      <c r="G81" t="s">
        <v>478</v>
      </c>
      <c r="H81" t="s">
        <v>2266</v>
      </c>
      <c r="I81" t="s">
        <v>2267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</row>
    <row r="82" spans="1:33">
      <c r="J82">
        <f>SUBTOTAL(109,Table4[2023])</f>
        <v>0.30123981999999999</v>
      </c>
      <c r="K82">
        <f>SUBTOTAL(109,Table4[2024])</f>
        <v>0.30405088999999996</v>
      </c>
      <c r="L82">
        <f>SUBTOTAL(109,Table4[2025])</f>
        <v>0.30694029999999994</v>
      </c>
      <c r="M82">
        <f>SUBTOTAL(109,Table4[2026])</f>
        <v>0.30970698000000002</v>
      </c>
      <c r="N82">
        <f>SUBTOTAL(109,Table4[2027])</f>
        <v>0.31264077000000001</v>
      </c>
      <c r="O82">
        <f>SUBTOTAL(109,Table4[2028])</f>
        <v>0.31592762000000002</v>
      </c>
      <c r="P82">
        <f>SUBTOTAL(109,Table4[2029])</f>
        <v>0.31881699999999996</v>
      </c>
      <c r="Q82">
        <f>SUBTOTAL(109,Table4[2030])</f>
        <v>0.32185472000000004</v>
      </c>
      <c r="R82">
        <f>SUBTOTAL(109,Table4[2031])</f>
        <v>0.32185472000000004</v>
      </c>
      <c r="S82">
        <f>SUBTOTAL(109,Table4[2032])</f>
        <v>0.32185472000000004</v>
      </c>
      <c r="T82">
        <f>SUBTOTAL(109,Table4[2033])</f>
        <v>0.32185472000000004</v>
      </c>
      <c r="U82">
        <f>SUBTOTAL(109,Table4[2034])</f>
        <v>0.32185472000000004</v>
      </c>
      <c r="V82">
        <f>SUBTOTAL(109,Table4[2035])</f>
        <v>0.32185472000000004</v>
      </c>
      <c r="W82">
        <f>SUBTOTAL(109,Table4[2036])</f>
        <v>0.32185472000000004</v>
      </c>
      <c r="X82">
        <f>SUBTOTAL(109,Table4[2037])</f>
        <v>0.32185472000000004</v>
      </c>
      <c r="Y82">
        <f>SUBTOTAL(109,Table4[2038])</f>
        <v>0.32185472000000004</v>
      </c>
      <c r="Z82">
        <f>SUBTOTAL(109,Table4[2039])</f>
        <v>0.32185472000000004</v>
      </c>
      <c r="AA82">
        <f>SUBTOTAL(109,Table4[2040])</f>
        <v>0.32185472000000004</v>
      </c>
      <c r="AB82">
        <f>SUBTOTAL(109,Table4[2041])</f>
        <v>0.32185472000000004</v>
      </c>
      <c r="AC82">
        <f>SUBTOTAL(109,Table4[2042])</f>
        <v>0.32185472000000004</v>
      </c>
      <c r="AD82">
        <f>SUBTOTAL(109,Table4[2043])</f>
        <v>0.32185472000000004</v>
      </c>
      <c r="AE82">
        <f>SUBTOTAL(109,Table4[2044])</f>
        <v>0.32185472000000004</v>
      </c>
      <c r="AF82">
        <f>SUBTOTAL(109,Table4[2045])</f>
        <v>0.32185472000000004</v>
      </c>
      <c r="AG82">
        <f>SUBTOTAL(109,Table4[2046])</f>
        <v>0.32185472000000004</v>
      </c>
    </row>
    <row r="84" spans="1:33">
      <c r="A84" t="s">
        <v>569</v>
      </c>
      <c r="B84" t="s">
        <v>570</v>
      </c>
      <c r="C84" t="s">
        <v>571</v>
      </c>
      <c r="D84" t="s">
        <v>572</v>
      </c>
      <c r="E84" t="s">
        <v>573</v>
      </c>
      <c r="F84" t="s">
        <v>574</v>
      </c>
      <c r="G84" t="s">
        <v>575</v>
      </c>
      <c r="H84" t="s">
        <v>576</v>
      </c>
      <c r="I84" t="s">
        <v>577</v>
      </c>
      <c r="J84" t="s">
        <v>586</v>
      </c>
      <c r="K84" t="s">
        <v>587</v>
      </c>
      <c r="L84" t="s">
        <v>588</v>
      </c>
      <c r="M84" t="s">
        <v>589</v>
      </c>
      <c r="N84" t="s">
        <v>590</v>
      </c>
      <c r="O84" t="s">
        <v>591</v>
      </c>
      <c r="P84" t="s">
        <v>592</v>
      </c>
      <c r="Q84" t="s">
        <v>593</v>
      </c>
      <c r="R84" t="s">
        <v>2248</v>
      </c>
      <c r="S84" t="s">
        <v>2249</v>
      </c>
      <c r="T84" t="s">
        <v>2250</v>
      </c>
      <c r="U84" t="s">
        <v>2251</v>
      </c>
      <c r="V84" t="s">
        <v>2252</v>
      </c>
      <c r="W84" t="s">
        <v>2253</v>
      </c>
      <c r="X84" t="s">
        <v>2254</v>
      </c>
      <c r="Y84" t="s">
        <v>2255</v>
      </c>
      <c r="Z84" t="s">
        <v>2256</v>
      </c>
      <c r="AA84" t="s">
        <v>2257</v>
      </c>
      <c r="AB84" t="s">
        <v>2258</v>
      </c>
      <c r="AC84" t="s">
        <v>2259</v>
      </c>
      <c r="AD84" t="s">
        <v>2260</v>
      </c>
      <c r="AE84" t="s">
        <v>2261</v>
      </c>
      <c r="AF84" t="s">
        <v>2262</v>
      </c>
      <c r="AG84" t="s">
        <v>2263</v>
      </c>
    </row>
    <row r="85" spans="1:33">
      <c r="A85" t="s">
        <v>18690</v>
      </c>
      <c r="B85" t="s">
        <v>2270</v>
      </c>
      <c r="C85" t="s">
        <v>710</v>
      </c>
      <c r="D85" t="s">
        <v>596</v>
      </c>
      <c r="E85" t="s">
        <v>597</v>
      </c>
      <c r="F85" t="s">
        <v>598</v>
      </c>
      <c r="G85" t="s">
        <v>478</v>
      </c>
      <c r="H85" t="s">
        <v>2266</v>
      </c>
      <c r="I85" t="s">
        <v>2267</v>
      </c>
      <c r="J85">
        <v>7.0113900000000007E-2</v>
      </c>
      <c r="K85">
        <v>6.2668829999999995E-2</v>
      </c>
      <c r="L85">
        <v>6.103219E-2</v>
      </c>
      <c r="M85">
        <v>5.9544329999999999E-2</v>
      </c>
      <c r="N85">
        <v>5.7907699999999999E-2</v>
      </c>
      <c r="O85">
        <v>5.6419860000000002E-2</v>
      </c>
      <c r="P85">
        <v>5.4783220000000001E-2</v>
      </c>
      <c r="Q85">
        <v>5.3125899999999997E-2</v>
      </c>
      <c r="R85">
        <v>5.1487289999999998E-2</v>
      </c>
      <c r="S85">
        <v>5.1487289999999998E-2</v>
      </c>
      <c r="T85">
        <v>5.1487289999999998E-2</v>
      </c>
      <c r="U85">
        <v>5.1487289999999998E-2</v>
      </c>
      <c r="V85">
        <v>5.1487289999999998E-2</v>
      </c>
      <c r="W85">
        <v>5.1487289999999998E-2</v>
      </c>
      <c r="X85">
        <v>5.1487289999999998E-2</v>
      </c>
      <c r="Y85">
        <v>5.1487289999999998E-2</v>
      </c>
      <c r="Z85">
        <v>5.1487289999999998E-2</v>
      </c>
      <c r="AA85">
        <v>5.1487289999999998E-2</v>
      </c>
      <c r="AB85">
        <v>5.1487289999999998E-2</v>
      </c>
      <c r="AC85">
        <v>5.1487289999999998E-2</v>
      </c>
      <c r="AD85">
        <v>5.1487289999999998E-2</v>
      </c>
      <c r="AE85">
        <v>5.1487289999999998E-2</v>
      </c>
      <c r="AF85">
        <v>5.1487289999999998E-2</v>
      </c>
      <c r="AG85">
        <v>5.1487289999999998E-2</v>
      </c>
    </row>
    <row r="86" spans="1:33">
      <c r="A86" t="s">
        <v>18690</v>
      </c>
      <c r="B86" t="s">
        <v>18691</v>
      </c>
      <c r="C86" t="s">
        <v>710</v>
      </c>
      <c r="D86" t="s">
        <v>596</v>
      </c>
      <c r="E86" t="s">
        <v>603</v>
      </c>
      <c r="F86" t="s">
        <v>598</v>
      </c>
      <c r="G86" t="s">
        <v>478</v>
      </c>
      <c r="H86" t="s">
        <v>2266</v>
      </c>
      <c r="I86" t="s">
        <v>2267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</row>
    <row r="87" spans="1:33">
      <c r="A87" t="s">
        <v>18690</v>
      </c>
      <c r="B87" t="s">
        <v>2271</v>
      </c>
      <c r="C87" t="s">
        <v>710</v>
      </c>
      <c r="D87" t="s">
        <v>596</v>
      </c>
      <c r="E87" t="s">
        <v>605</v>
      </c>
      <c r="F87" t="s">
        <v>598</v>
      </c>
      <c r="G87" t="s">
        <v>478</v>
      </c>
      <c r="H87" t="s">
        <v>2266</v>
      </c>
      <c r="I87" t="s">
        <v>2267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</row>
    <row r="88" spans="1:33">
      <c r="A88" t="s">
        <v>18690</v>
      </c>
      <c r="B88" t="s">
        <v>2274</v>
      </c>
      <c r="C88" t="s">
        <v>710</v>
      </c>
      <c r="D88" t="s">
        <v>596</v>
      </c>
      <c r="E88" t="s">
        <v>669</v>
      </c>
      <c r="F88" t="s">
        <v>598</v>
      </c>
      <c r="G88" t="s">
        <v>478</v>
      </c>
      <c r="H88" t="s">
        <v>2266</v>
      </c>
      <c r="I88" t="s">
        <v>2267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</row>
    <row r="89" spans="1:33">
      <c r="A89" t="s">
        <v>18690</v>
      </c>
      <c r="B89" t="s">
        <v>2275</v>
      </c>
      <c r="C89" t="s">
        <v>710</v>
      </c>
      <c r="D89" t="s">
        <v>671</v>
      </c>
      <c r="E89" t="s">
        <v>672</v>
      </c>
      <c r="F89" t="s">
        <v>598</v>
      </c>
      <c r="G89" t="s">
        <v>478</v>
      </c>
      <c r="H89" t="s">
        <v>2266</v>
      </c>
      <c r="I89" t="s">
        <v>2267</v>
      </c>
      <c r="J89">
        <v>6.1989000000000002E-3</v>
      </c>
      <c r="K89">
        <v>5.5406700000000001E-3</v>
      </c>
      <c r="L89">
        <v>5.3959699999999999E-3</v>
      </c>
      <c r="M89">
        <v>5.2644199999999997E-3</v>
      </c>
      <c r="N89">
        <v>5.1197300000000003E-3</v>
      </c>
      <c r="O89">
        <v>4.98818E-3</v>
      </c>
      <c r="P89">
        <v>4.8434899999999998E-3</v>
      </c>
      <c r="Q89">
        <v>4.69696E-3</v>
      </c>
      <c r="R89">
        <v>4.55209E-3</v>
      </c>
      <c r="S89">
        <v>4.55209E-3</v>
      </c>
      <c r="T89">
        <v>4.55209E-3</v>
      </c>
      <c r="U89">
        <v>4.55209E-3</v>
      </c>
      <c r="V89">
        <v>4.55209E-3</v>
      </c>
      <c r="W89">
        <v>4.55209E-3</v>
      </c>
      <c r="X89">
        <v>4.55209E-3</v>
      </c>
      <c r="Y89">
        <v>4.55209E-3</v>
      </c>
      <c r="Z89">
        <v>4.55209E-3</v>
      </c>
      <c r="AA89">
        <v>4.55209E-3</v>
      </c>
      <c r="AB89">
        <v>4.55209E-3</v>
      </c>
      <c r="AC89">
        <v>4.55209E-3</v>
      </c>
      <c r="AD89">
        <v>4.55209E-3</v>
      </c>
      <c r="AE89">
        <v>4.55209E-3</v>
      </c>
      <c r="AF89">
        <v>4.55209E-3</v>
      </c>
      <c r="AG89">
        <v>4.55209E-3</v>
      </c>
    </row>
    <row r="90" spans="1:33">
      <c r="A90" t="s">
        <v>18690</v>
      </c>
      <c r="B90" t="s">
        <v>2276</v>
      </c>
      <c r="C90" t="s">
        <v>710</v>
      </c>
      <c r="D90" t="s">
        <v>671</v>
      </c>
      <c r="E90" t="s">
        <v>597</v>
      </c>
      <c r="F90" t="s">
        <v>598</v>
      </c>
      <c r="G90" t="s">
        <v>478</v>
      </c>
      <c r="H90" t="s">
        <v>2266</v>
      </c>
      <c r="I90" t="s">
        <v>2267</v>
      </c>
      <c r="J90">
        <v>0.11610682</v>
      </c>
      <c r="K90">
        <v>0.10377794999999999</v>
      </c>
      <c r="L90">
        <v>0.10106772999999999</v>
      </c>
      <c r="M90">
        <v>9.860389E-2</v>
      </c>
      <c r="N90">
        <v>9.5893660000000006E-2</v>
      </c>
      <c r="O90">
        <v>9.3429830000000005E-2</v>
      </c>
      <c r="P90">
        <v>9.0719599999999997E-2</v>
      </c>
      <c r="Q90">
        <v>8.7975109999999995E-2</v>
      </c>
      <c r="R90">
        <v>8.5261610000000002E-2</v>
      </c>
      <c r="S90">
        <v>8.5261610000000002E-2</v>
      </c>
      <c r="T90">
        <v>8.5261610000000002E-2</v>
      </c>
      <c r="U90">
        <v>8.5261610000000002E-2</v>
      </c>
      <c r="V90">
        <v>8.5261610000000002E-2</v>
      </c>
      <c r="W90">
        <v>8.5261610000000002E-2</v>
      </c>
      <c r="X90">
        <v>8.5261610000000002E-2</v>
      </c>
      <c r="Y90">
        <v>8.5261610000000002E-2</v>
      </c>
      <c r="Z90">
        <v>8.5261610000000002E-2</v>
      </c>
      <c r="AA90">
        <v>8.5261610000000002E-2</v>
      </c>
      <c r="AB90">
        <v>8.5261610000000002E-2</v>
      </c>
      <c r="AC90">
        <v>8.5261610000000002E-2</v>
      </c>
      <c r="AD90">
        <v>8.5261610000000002E-2</v>
      </c>
      <c r="AE90">
        <v>8.5261610000000002E-2</v>
      </c>
      <c r="AF90">
        <v>8.5261610000000002E-2</v>
      </c>
      <c r="AG90">
        <v>8.5261610000000002E-2</v>
      </c>
    </row>
    <row r="91" spans="1:33">
      <c r="A91" t="s">
        <v>18690</v>
      </c>
      <c r="B91" t="s">
        <v>18692</v>
      </c>
      <c r="C91" t="s">
        <v>710</v>
      </c>
      <c r="D91" t="s">
        <v>671</v>
      </c>
      <c r="E91" t="s">
        <v>642</v>
      </c>
      <c r="F91" t="s">
        <v>598</v>
      </c>
      <c r="G91" t="s">
        <v>478</v>
      </c>
      <c r="H91" t="s">
        <v>2266</v>
      </c>
      <c r="I91" t="s">
        <v>2267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</row>
    <row r="92" spans="1:33">
      <c r="A92" t="s">
        <v>18690</v>
      </c>
      <c r="B92" t="s">
        <v>2277</v>
      </c>
      <c r="C92" t="s">
        <v>710</v>
      </c>
      <c r="D92" t="s">
        <v>671</v>
      </c>
      <c r="E92" t="s">
        <v>605</v>
      </c>
      <c r="F92" t="s">
        <v>598</v>
      </c>
      <c r="G92" t="s">
        <v>478</v>
      </c>
      <c r="H92" t="s">
        <v>2266</v>
      </c>
      <c r="I92" t="s">
        <v>2267</v>
      </c>
      <c r="J92">
        <v>1.5744770000000002E-2</v>
      </c>
      <c r="K92">
        <v>1.4072899999999999E-2</v>
      </c>
      <c r="L92">
        <v>1.370538E-2</v>
      </c>
      <c r="M92">
        <v>1.3371269999999999E-2</v>
      </c>
      <c r="N92">
        <v>1.300375E-2</v>
      </c>
      <c r="O92">
        <v>1.2669629999999999E-2</v>
      </c>
      <c r="P92">
        <v>1.230212E-2</v>
      </c>
      <c r="Q92">
        <v>1.192994E-2</v>
      </c>
      <c r="R92">
        <v>1.156197E-2</v>
      </c>
      <c r="S92">
        <v>1.156197E-2</v>
      </c>
      <c r="T92">
        <v>1.156197E-2</v>
      </c>
      <c r="U92">
        <v>1.156197E-2</v>
      </c>
      <c r="V92">
        <v>1.156197E-2</v>
      </c>
      <c r="W92">
        <v>1.156197E-2</v>
      </c>
      <c r="X92">
        <v>1.156197E-2</v>
      </c>
      <c r="Y92">
        <v>1.156197E-2</v>
      </c>
      <c r="Z92">
        <v>1.156197E-2</v>
      </c>
      <c r="AA92">
        <v>1.156197E-2</v>
      </c>
      <c r="AB92">
        <v>1.156197E-2</v>
      </c>
      <c r="AC92">
        <v>1.156197E-2</v>
      </c>
      <c r="AD92">
        <v>1.156197E-2</v>
      </c>
      <c r="AE92">
        <v>1.156197E-2</v>
      </c>
      <c r="AF92">
        <v>1.156197E-2</v>
      </c>
      <c r="AG92">
        <v>1.156197E-2</v>
      </c>
    </row>
    <row r="93" spans="1:33">
      <c r="A93" t="s">
        <v>18690</v>
      </c>
      <c r="B93" t="s">
        <v>2278</v>
      </c>
      <c r="C93" t="s">
        <v>710</v>
      </c>
      <c r="D93" t="s">
        <v>671</v>
      </c>
      <c r="E93" t="s">
        <v>688</v>
      </c>
      <c r="F93" t="s">
        <v>598</v>
      </c>
      <c r="G93" t="s">
        <v>478</v>
      </c>
      <c r="H93" t="s">
        <v>2266</v>
      </c>
      <c r="I93" t="s">
        <v>2267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</row>
    <row r="94" spans="1:33">
      <c r="A94" t="s">
        <v>18690</v>
      </c>
      <c r="B94" t="s">
        <v>2279</v>
      </c>
      <c r="C94" t="s">
        <v>710</v>
      </c>
      <c r="D94" t="s">
        <v>621</v>
      </c>
      <c r="E94" t="s">
        <v>597</v>
      </c>
      <c r="F94" t="s">
        <v>598</v>
      </c>
      <c r="G94" t="s">
        <v>478</v>
      </c>
      <c r="H94" t="s">
        <v>2266</v>
      </c>
      <c r="I94" t="s">
        <v>2267</v>
      </c>
      <c r="J94">
        <v>2.2746099999999998E-3</v>
      </c>
      <c r="K94">
        <v>2.2746099999999998E-3</v>
      </c>
      <c r="L94">
        <v>2.2746099999999998E-3</v>
      </c>
      <c r="M94">
        <v>2.2746099999999998E-3</v>
      </c>
      <c r="N94">
        <v>2.2746099999999998E-3</v>
      </c>
      <c r="O94">
        <v>2.2746099999999998E-3</v>
      </c>
      <c r="P94">
        <v>2.2746099999999998E-3</v>
      </c>
      <c r="Q94">
        <v>2.2746099999999998E-3</v>
      </c>
      <c r="R94">
        <v>2.2746099999999998E-3</v>
      </c>
      <c r="S94">
        <v>2.2746099999999998E-3</v>
      </c>
      <c r="T94">
        <v>2.2746099999999998E-3</v>
      </c>
      <c r="U94">
        <v>2.2746099999999998E-3</v>
      </c>
      <c r="V94">
        <v>2.2746099999999998E-3</v>
      </c>
      <c r="W94">
        <v>2.2746099999999998E-3</v>
      </c>
      <c r="X94">
        <v>2.2746099999999998E-3</v>
      </c>
      <c r="Y94">
        <v>2.2746099999999998E-3</v>
      </c>
      <c r="Z94">
        <v>2.2746099999999998E-3</v>
      </c>
      <c r="AA94">
        <v>2.2746099999999998E-3</v>
      </c>
      <c r="AB94">
        <v>2.2746099999999998E-3</v>
      </c>
      <c r="AC94">
        <v>2.2746099999999998E-3</v>
      </c>
      <c r="AD94">
        <v>2.2746099999999998E-3</v>
      </c>
      <c r="AE94">
        <v>2.2746099999999998E-3</v>
      </c>
      <c r="AF94">
        <v>2.2746099999999998E-3</v>
      </c>
      <c r="AG94">
        <v>2.2746099999999998E-3</v>
      </c>
    </row>
    <row r="95" spans="1:33">
      <c r="A95" t="s">
        <v>18690</v>
      </c>
      <c r="B95" t="s">
        <v>2284</v>
      </c>
      <c r="C95" t="s">
        <v>710</v>
      </c>
      <c r="D95" t="s">
        <v>632</v>
      </c>
      <c r="E95" t="s">
        <v>723</v>
      </c>
      <c r="F95" t="s">
        <v>598</v>
      </c>
      <c r="G95" t="s">
        <v>478</v>
      </c>
      <c r="H95" t="s">
        <v>2266</v>
      </c>
      <c r="I95" t="s">
        <v>2267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</row>
    <row r="96" spans="1:33">
      <c r="A96" t="s">
        <v>18690</v>
      </c>
      <c r="B96" t="s">
        <v>18693</v>
      </c>
      <c r="C96" t="s">
        <v>710</v>
      </c>
      <c r="D96" t="s">
        <v>632</v>
      </c>
      <c r="E96" t="s">
        <v>638</v>
      </c>
      <c r="F96" t="s">
        <v>598</v>
      </c>
      <c r="G96" t="s">
        <v>478</v>
      </c>
      <c r="H96" t="s">
        <v>2266</v>
      </c>
      <c r="I96" t="s">
        <v>2267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</row>
    <row r="97" spans="1:33">
      <c r="J97">
        <f>SUBTOTAL(109,Table22[2023])</f>
        <v>0.21043900000000001</v>
      </c>
      <c r="K97">
        <f>SUBTOTAL(109,Table22[2024])</f>
        <v>0.18833496</v>
      </c>
      <c r="L97">
        <f>SUBTOTAL(109,Table22[2025])</f>
        <v>0.18347587999999998</v>
      </c>
      <c r="M97">
        <f>SUBTOTAL(109,Table22[2026])</f>
        <v>0.17905852</v>
      </c>
      <c r="N97">
        <f>SUBTOTAL(109,Table22[2027])</f>
        <v>0.17419945000000001</v>
      </c>
      <c r="O97">
        <f>SUBTOTAL(109,Table22[2028])</f>
        <v>0.16978211000000001</v>
      </c>
      <c r="P97">
        <f>SUBTOTAL(109,Table22[2029])</f>
        <v>0.16492303999999999</v>
      </c>
      <c r="Q97">
        <f>SUBTOTAL(109,Table22[2030])</f>
        <v>0.16000252000000001</v>
      </c>
      <c r="R97">
        <f>SUBTOTAL(109,Table22[2031])</f>
        <v>0.15513757000000003</v>
      </c>
      <c r="S97">
        <f>SUBTOTAL(109,Table22[2032])</f>
        <v>0.15513757000000003</v>
      </c>
      <c r="T97">
        <f>SUBTOTAL(109,Table22[2033])</f>
        <v>0.15513757000000003</v>
      </c>
      <c r="U97">
        <f>SUBTOTAL(109,Table22[2034])</f>
        <v>0.15513757000000003</v>
      </c>
      <c r="V97">
        <f>SUBTOTAL(109,Table22[2035])</f>
        <v>0.15513757000000003</v>
      </c>
      <c r="W97">
        <f>SUBTOTAL(109,Table22[2036])</f>
        <v>0.15513757000000003</v>
      </c>
      <c r="X97">
        <f>SUBTOTAL(109,Table22[2037])</f>
        <v>0.15513757000000003</v>
      </c>
      <c r="Y97">
        <f>SUBTOTAL(109,Table22[2038])</f>
        <v>0.15513757000000003</v>
      </c>
      <c r="Z97">
        <f>SUBTOTAL(109,Table22[2039])</f>
        <v>0.15513757000000003</v>
      </c>
      <c r="AA97">
        <f>SUBTOTAL(109,Table22[2040])</f>
        <v>0.15513757000000003</v>
      </c>
      <c r="AB97">
        <f>SUBTOTAL(109,Table22[2041])</f>
        <v>0.15513757000000003</v>
      </c>
      <c r="AC97">
        <f>SUBTOTAL(109,Table22[2042])</f>
        <v>0.15513757000000003</v>
      </c>
      <c r="AD97">
        <f>SUBTOTAL(109,Table22[2043])</f>
        <v>0.15513757000000003</v>
      </c>
      <c r="AE97">
        <f>SUBTOTAL(109,Table22[2044])</f>
        <v>0.15513757000000003</v>
      </c>
      <c r="AF97">
        <f>SUBTOTAL(109,Table22[2045])</f>
        <v>0.15513757000000003</v>
      </c>
      <c r="AG97">
        <f>SUBTOTAL(109,Table22[2046])</f>
        <v>0.15513757000000003</v>
      </c>
    </row>
    <row r="100" spans="1:33">
      <c r="A100" t="s">
        <v>569</v>
      </c>
      <c r="B100" t="s">
        <v>570</v>
      </c>
      <c r="C100" t="s">
        <v>571</v>
      </c>
      <c r="D100" t="s">
        <v>572</v>
      </c>
      <c r="E100" t="s">
        <v>573</v>
      </c>
      <c r="F100" t="s">
        <v>574</v>
      </c>
      <c r="G100" t="s">
        <v>575</v>
      </c>
      <c r="H100" t="s">
        <v>576</v>
      </c>
      <c r="I100" t="s">
        <v>577</v>
      </c>
      <c r="J100" t="s">
        <v>586</v>
      </c>
      <c r="K100" t="s">
        <v>587</v>
      </c>
      <c r="L100" t="s">
        <v>588</v>
      </c>
      <c r="M100" t="s">
        <v>589</v>
      </c>
      <c r="N100" t="s">
        <v>590</v>
      </c>
      <c r="O100" t="s">
        <v>591</v>
      </c>
      <c r="P100" t="s">
        <v>592</v>
      </c>
      <c r="Q100" t="s">
        <v>593</v>
      </c>
      <c r="R100" t="s">
        <v>2248</v>
      </c>
      <c r="S100" t="s">
        <v>2249</v>
      </c>
      <c r="T100" t="s">
        <v>2250</v>
      </c>
      <c r="U100" t="s">
        <v>2251</v>
      </c>
      <c r="V100" t="s">
        <v>2252</v>
      </c>
      <c r="W100" t="s">
        <v>2253</v>
      </c>
      <c r="X100" t="s">
        <v>2254</v>
      </c>
      <c r="Y100" t="s">
        <v>2255</v>
      </c>
      <c r="Z100" t="s">
        <v>2256</v>
      </c>
      <c r="AA100" t="s">
        <v>2257</v>
      </c>
      <c r="AB100" t="s">
        <v>2258</v>
      </c>
      <c r="AC100" t="s">
        <v>2259</v>
      </c>
      <c r="AD100" t="s">
        <v>2260</v>
      </c>
      <c r="AE100" t="s">
        <v>2261</v>
      </c>
      <c r="AF100" t="s">
        <v>2262</v>
      </c>
      <c r="AG100" t="s">
        <v>2263</v>
      </c>
    </row>
    <row r="101" spans="1:33">
      <c r="A101" t="s">
        <v>18690</v>
      </c>
      <c r="B101" t="s">
        <v>18640</v>
      </c>
      <c r="C101" t="s">
        <v>1382</v>
      </c>
      <c r="D101" t="s">
        <v>1274</v>
      </c>
      <c r="E101" t="s">
        <v>973</v>
      </c>
      <c r="F101" t="s">
        <v>598</v>
      </c>
      <c r="G101" t="s">
        <v>478</v>
      </c>
      <c r="H101" t="s">
        <v>2266</v>
      </c>
      <c r="I101" t="s">
        <v>2267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</row>
    <row r="102" spans="1:33">
      <c r="A102" t="s">
        <v>18690</v>
      </c>
      <c r="B102" t="s">
        <v>18694</v>
      </c>
      <c r="C102" t="s">
        <v>1382</v>
      </c>
      <c r="D102" t="s">
        <v>1281</v>
      </c>
      <c r="E102" t="s">
        <v>973</v>
      </c>
      <c r="F102" t="s">
        <v>598</v>
      </c>
      <c r="G102" t="s">
        <v>478</v>
      </c>
      <c r="H102" t="s">
        <v>2266</v>
      </c>
      <c r="I102" t="s">
        <v>2267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</row>
    <row r="103" spans="1:33">
      <c r="A103" t="s">
        <v>18690</v>
      </c>
      <c r="B103" t="s">
        <v>18641</v>
      </c>
      <c r="C103" t="s">
        <v>1382</v>
      </c>
      <c r="D103" t="s">
        <v>1285</v>
      </c>
      <c r="E103" t="s">
        <v>973</v>
      </c>
      <c r="F103" t="s">
        <v>598</v>
      </c>
      <c r="G103" t="s">
        <v>478</v>
      </c>
      <c r="H103" t="s">
        <v>2266</v>
      </c>
      <c r="I103" t="s">
        <v>2267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</row>
    <row r="104" spans="1:33">
      <c r="A104" t="s">
        <v>18690</v>
      </c>
      <c r="B104" t="s">
        <v>18695</v>
      </c>
      <c r="C104" t="s">
        <v>1382</v>
      </c>
      <c r="D104" t="s">
        <v>1287</v>
      </c>
      <c r="E104" t="s">
        <v>973</v>
      </c>
      <c r="F104" t="s">
        <v>598</v>
      </c>
      <c r="G104" t="s">
        <v>478</v>
      </c>
      <c r="H104" t="s">
        <v>2266</v>
      </c>
      <c r="I104" t="s">
        <v>2267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</row>
    <row r="105" spans="1:33">
      <c r="A105" t="s">
        <v>18690</v>
      </c>
      <c r="B105" t="s">
        <v>18642</v>
      </c>
      <c r="C105" t="s">
        <v>1382</v>
      </c>
      <c r="D105" t="s">
        <v>1305</v>
      </c>
      <c r="E105" t="s">
        <v>973</v>
      </c>
      <c r="F105" t="s">
        <v>598</v>
      </c>
      <c r="G105" t="s">
        <v>478</v>
      </c>
      <c r="H105" t="s">
        <v>2266</v>
      </c>
      <c r="I105" t="s">
        <v>2267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</row>
    <row r="106" spans="1:33">
      <c r="A106" t="s">
        <v>18690</v>
      </c>
      <c r="B106" t="s">
        <v>18643</v>
      </c>
      <c r="C106" t="s">
        <v>1382</v>
      </c>
      <c r="D106" t="s">
        <v>1311</v>
      </c>
      <c r="E106" t="s">
        <v>973</v>
      </c>
      <c r="F106" t="s">
        <v>598</v>
      </c>
      <c r="G106" t="s">
        <v>478</v>
      </c>
      <c r="H106" t="s">
        <v>2266</v>
      </c>
      <c r="I106" t="s">
        <v>2267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</row>
    <row r="107" spans="1:33">
      <c r="A107" t="s">
        <v>18690</v>
      </c>
      <c r="B107" t="s">
        <v>2265</v>
      </c>
      <c r="C107" t="s">
        <v>1382</v>
      </c>
      <c r="D107" t="s">
        <v>1311</v>
      </c>
      <c r="E107" t="s">
        <v>597</v>
      </c>
      <c r="F107" t="s">
        <v>598</v>
      </c>
      <c r="G107" t="s">
        <v>478</v>
      </c>
      <c r="H107" t="s">
        <v>2266</v>
      </c>
      <c r="I107" t="s">
        <v>2267</v>
      </c>
      <c r="J107">
        <v>2.1334499999999998E-3</v>
      </c>
      <c r="K107">
        <v>2.1334499999999998E-3</v>
      </c>
      <c r="L107">
        <v>2.1334499999999998E-3</v>
      </c>
      <c r="M107">
        <v>2.1334499999999998E-3</v>
      </c>
      <c r="N107">
        <v>2.1334499999999998E-3</v>
      </c>
      <c r="O107">
        <v>2.1334499999999998E-3</v>
      </c>
      <c r="P107">
        <v>2.1334499999999998E-3</v>
      </c>
      <c r="Q107">
        <v>2.1334499999999998E-3</v>
      </c>
      <c r="R107">
        <v>2.1334499999999998E-3</v>
      </c>
      <c r="S107">
        <v>2.1334499999999998E-3</v>
      </c>
      <c r="T107">
        <v>2.1334499999999998E-3</v>
      </c>
      <c r="U107">
        <v>2.1334499999999998E-3</v>
      </c>
      <c r="V107">
        <v>2.1334499999999998E-3</v>
      </c>
      <c r="W107">
        <v>2.1334499999999998E-3</v>
      </c>
      <c r="X107">
        <v>2.1334499999999998E-3</v>
      </c>
      <c r="Y107">
        <v>2.1334499999999998E-3</v>
      </c>
      <c r="Z107">
        <v>2.1334499999999998E-3</v>
      </c>
      <c r="AA107">
        <v>2.1334499999999998E-3</v>
      </c>
      <c r="AB107">
        <v>2.1334499999999998E-3</v>
      </c>
      <c r="AC107">
        <v>2.1334499999999998E-3</v>
      </c>
      <c r="AD107">
        <v>2.1334499999999998E-3</v>
      </c>
      <c r="AE107">
        <v>2.1334499999999998E-3</v>
      </c>
      <c r="AF107">
        <v>2.1334499999999998E-3</v>
      </c>
      <c r="AG107">
        <v>2.1334499999999998E-3</v>
      </c>
    </row>
    <row r="108" spans="1:33">
      <c r="A108" t="s">
        <v>18690</v>
      </c>
      <c r="B108" t="s">
        <v>18696</v>
      </c>
      <c r="C108" t="s">
        <v>1382</v>
      </c>
      <c r="D108" t="s">
        <v>1311</v>
      </c>
      <c r="E108" t="s">
        <v>642</v>
      </c>
      <c r="F108" t="s">
        <v>598</v>
      </c>
      <c r="G108" t="s">
        <v>478</v>
      </c>
      <c r="H108" t="s">
        <v>2266</v>
      </c>
      <c r="I108" t="s">
        <v>2267</v>
      </c>
      <c r="J108">
        <v>4.3000000000000001E-7</v>
      </c>
      <c r="K108">
        <v>4.3000000000000001E-7</v>
      </c>
      <c r="L108">
        <v>4.3000000000000001E-7</v>
      </c>
      <c r="M108">
        <v>4.3000000000000001E-7</v>
      </c>
      <c r="N108">
        <v>4.3000000000000001E-7</v>
      </c>
      <c r="O108">
        <v>4.3000000000000001E-7</v>
      </c>
      <c r="P108">
        <v>4.3000000000000001E-7</v>
      </c>
      <c r="Q108">
        <v>4.3000000000000001E-7</v>
      </c>
      <c r="R108">
        <v>4.3000000000000001E-7</v>
      </c>
      <c r="S108">
        <v>4.3000000000000001E-7</v>
      </c>
      <c r="T108">
        <v>4.3000000000000001E-7</v>
      </c>
      <c r="U108">
        <v>4.3000000000000001E-7</v>
      </c>
      <c r="V108">
        <v>4.3000000000000001E-7</v>
      </c>
      <c r="W108">
        <v>4.3000000000000001E-7</v>
      </c>
      <c r="X108">
        <v>4.3000000000000001E-7</v>
      </c>
      <c r="Y108">
        <v>4.3000000000000001E-7</v>
      </c>
      <c r="Z108">
        <v>4.3000000000000001E-7</v>
      </c>
      <c r="AA108">
        <v>4.3000000000000001E-7</v>
      </c>
      <c r="AB108">
        <v>4.3000000000000001E-7</v>
      </c>
      <c r="AC108">
        <v>4.3000000000000001E-7</v>
      </c>
      <c r="AD108">
        <v>4.3000000000000001E-7</v>
      </c>
      <c r="AE108">
        <v>4.3000000000000001E-7</v>
      </c>
      <c r="AF108">
        <v>4.3000000000000001E-7</v>
      </c>
      <c r="AG108">
        <v>4.3000000000000001E-7</v>
      </c>
    </row>
    <row r="109" spans="1:33">
      <c r="A109" t="s">
        <v>18690</v>
      </c>
      <c r="B109" t="s">
        <v>18644</v>
      </c>
      <c r="C109" t="s">
        <v>1382</v>
      </c>
      <c r="D109" t="s">
        <v>1311</v>
      </c>
      <c r="E109" t="s">
        <v>605</v>
      </c>
      <c r="F109" t="s">
        <v>598</v>
      </c>
      <c r="G109" t="s">
        <v>478</v>
      </c>
      <c r="H109" t="s">
        <v>2266</v>
      </c>
      <c r="I109" t="s">
        <v>2267</v>
      </c>
      <c r="J109">
        <v>7.57269E-3</v>
      </c>
      <c r="K109">
        <v>7.57269E-3</v>
      </c>
      <c r="L109">
        <v>7.57269E-3</v>
      </c>
      <c r="M109">
        <v>7.57269E-3</v>
      </c>
      <c r="N109">
        <v>7.57269E-3</v>
      </c>
      <c r="O109">
        <v>7.57269E-3</v>
      </c>
      <c r="P109">
        <v>7.57269E-3</v>
      </c>
      <c r="Q109">
        <v>7.57269E-3</v>
      </c>
      <c r="R109">
        <v>7.57269E-3</v>
      </c>
      <c r="S109">
        <v>7.57269E-3</v>
      </c>
      <c r="T109">
        <v>7.57269E-3</v>
      </c>
      <c r="U109">
        <v>7.57269E-3</v>
      </c>
      <c r="V109">
        <v>7.57269E-3</v>
      </c>
      <c r="W109">
        <v>7.57269E-3</v>
      </c>
      <c r="X109">
        <v>7.57269E-3</v>
      </c>
      <c r="Y109">
        <v>7.57269E-3</v>
      </c>
      <c r="Z109">
        <v>7.57269E-3</v>
      </c>
      <c r="AA109">
        <v>7.57269E-3</v>
      </c>
      <c r="AB109">
        <v>7.57269E-3</v>
      </c>
      <c r="AC109">
        <v>7.57269E-3</v>
      </c>
      <c r="AD109">
        <v>7.57269E-3</v>
      </c>
      <c r="AE109">
        <v>7.57269E-3</v>
      </c>
      <c r="AF109">
        <v>7.57269E-3</v>
      </c>
      <c r="AG109">
        <v>7.57269E-3</v>
      </c>
    </row>
    <row r="110" spans="1:33">
      <c r="A110" t="s">
        <v>18690</v>
      </c>
      <c r="B110" t="s">
        <v>18647</v>
      </c>
      <c r="C110" t="s">
        <v>1382</v>
      </c>
      <c r="D110" t="s">
        <v>1316</v>
      </c>
      <c r="E110" t="s">
        <v>688</v>
      </c>
      <c r="F110" t="s">
        <v>598</v>
      </c>
      <c r="G110" t="s">
        <v>478</v>
      </c>
      <c r="H110" t="s">
        <v>2266</v>
      </c>
      <c r="I110" t="s">
        <v>2267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</row>
    <row r="111" spans="1:33">
      <c r="A111" t="s">
        <v>18690</v>
      </c>
      <c r="B111" t="s">
        <v>18697</v>
      </c>
      <c r="C111" t="s">
        <v>1382</v>
      </c>
      <c r="D111" t="s">
        <v>1316</v>
      </c>
      <c r="E111" t="s">
        <v>1417</v>
      </c>
      <c r="F111" t="s">
        <v>598</v>
      </c>
      <c r="G111" t="s">
        <v>478</v>
      </c>
      <c r="H111" t="s">
        <v>2266</v>
      </c>
      <c r="I111" t="s">
        <v>2267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</row>
    <row r="112" spans="1:33">
      <c r="A112" t="s">
        <v>18690</v>
      </c>
      <c r="B112" t="s">
        <v>18698</v>
      </c>
      <c r="C112" t="s">
        <v>1382</v>
      </c>
      <c r="D112" t="s">
        <v>1316</v>
      </c>
      <c r="E112" t="s">
        <v>1326</v>
      </c>
      <c r="F112" t="s">
        <v>598</v>
      </c>
      <c r="G112" t="s">
        <v>478</v>
      </c>
      <c r="H112" t="s">
        <v>2266</v>
      </c>
      <c r="I112" t="s">
        <v>2267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</row>
    <row r="113" spans="1:33">
      <c r="A113" t="s">
        <v>18690</v>
      </c>
      <c r="B113" t="s">
        <v>18699</v>
      </c>
      <c r="C113" t="s">
        <v>1382</v>
      </c>
      <c r="D113" t="s">
        <v>1316</v>
      </c>
      <c r="E113" t="s">
        <v>892</v>
      </c>
      <c r="F113" t="s">
        <v>598</v>
      </c>
      <c r="G113" t="s">
        <v>478</v>
      </c>
      <c r="H113" t="s">
        <v>2266</v>
      </c>
      <c r="I113" t="s">
        <v>2267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</row>
    <row r="114" spans="1:33">
      <c r="A114" t="s">
        <v>18690</v>
      </c>
      <c r="B114" t="s">
        <v>18700</v>
      </c>
      <c r="C114" t="s">
        <v>1382</v>
      </c>
      <c r="D114" t="s">
        <v>1316</v>
      </c>
      <c r="E114" t="s">
        <v>678</v>
      </c>
      <c r="F114" t="s">
        <v>598</v>
      </c>
      <c r="G114" t="s">
        <v>478</v>
      </c>
      <c r="H114" t="s">
        <v>2266</v>
      </c>
      <c r="I114" t="s">
        <v>2267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</row>
    <row r="115" spans="1:33">
      <c r="A115" t="s">
        <v>18690</v>
      </c>
      <c r="B115" t="s">
        <v>18650</v>
      </c>
      <c r="C115" t="s">
        <v>1382</v>
      </c>
      <c r="D115" t="s">
        <v>1316</v>
      </c>
      <c r="E115" t="s">
        <v>1318</v>
      </c>
      <c r="F115" t="s">
        <v>598</v>
      </c>
      <c r="G115" t="s">
        <v>478</v>
      </c>
      <c r="H115" t="s">
        <v>2266</v>
      </c>
      <c r="I115" t="s">
        <v>2267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</row>
    <row r="116" spans="1:33">
      <c r="A116" t="s">
        <v>18690</v>
      </c>
      <c r="B116" t="s">
        <v>18653</v>
      </c>
      <c r="C116" t="s">
        <v>1382</v>
      </c>
      <c r="D116" t="s">
        <v>1320</v>
      </c>
      <c r="E116" t="s">
        <v>688</v>
      </c>
      <c r="F116" t="s">
        <v>598</v>
      </c>
      <c r="G116" t="s">
        <v>478</v>
      </c>
      <c r="H116" t="s">
        <v>2266</v>
      </c>
      <c r="I116" t="s">
        <v>2267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</row>
    <row r="117" spans="1:33">
      <c r="A117" t="s">
        <v>18690</v>
      </c>
      <c r="B117" t="s">
        <v>18654</v>
      </c>
      <c r="C117" t="s">
        <v>1382</v>
      </c>
      <c r="D117" t="s">
        <v>1320</v>
      </c>
      <c r="E117" t="s">
        <v>626</v>
      </c>
      <c r="F117" t="s">
        <v>598</v>
      </c>
      <c r="G117" t="s">
        <v>478</v>
      </c>
      <c r="H117" t="s">
        <v>2266</v>
      </c>
      <c r="I117" t="s">
        <v>2267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</row>
    <row r="118" spans="1:33">
      <c r="A118" t="s">
        <v>18690</v>
      </c>
      <c r="B118" t="s">
        <v>18701</v>
      </c>
      <c r="C118" t="s">
        <v>1382</v>
      </c>
      <c r="D118" t="s">
        <v>1320</v>
      </c>
      <c r="E118" t="s">
        <v>1334</v>
      </c>
      <c r="F118" t="s">
        <v>598</v>
      </c>
      <c r="G118" t="s">
        <v>478</v>
      </c>
      <c r="H118" t="s">
        <v>2266</v>
      </c>
      <c r="I118" t="s">
        <v>2267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</row>
    <row r="119" spans="1:33">
      <c r="A119" t="s">
        <v>18690</v>
      </c>
      <c r="B119" t="s">
        <v>18702</v>
      </c>
      <c r="C119" t="s">
        <v>1382</v>
      </c>
      <c r="D119" t="s">
        <v>1320</v>
      </c>
      <c r="E119" t="s">
        <v>750</v>
      </c>
      <c r="F119" t="s">
        <v>598</v>
      </c>
      <c r="G119" t="s">
        <v>478</v>
      </c>
      <c r="H119" t="s">
        <v>2266</v>
      </c>
      <c r="I119" t="s">
        <v>2267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</row>
    <row r="120" spans="1:33">
      <c r="A120" t="s">
        <v>18690</v>
      </c>
      <c r="B120" t="s">
        <v>18655</v>
      </c>
      <c r="C120" t="s">
        <v>1382</v>
      </c>
      <c r="D120" t="s">
        <v>1320</v>
      </c>
      <c r="E120" t="s">
        <v>678</v>
      </c>
      <c r="F120" t="s">
        <v>598</v>
      </c>
      <c r="G120" t="s">
        <v>478</v>
      </c>
      <c r="H120" t="s">
        <v>2266</v>
      </c>
      <c r="I120" t="s">
        <v>2267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</row>
    <row r="121" spans="1:33">
      <c r="A121" t="s">
        <v>18690</v>
      </c>
      <c r="B121" t="s">
        <v>18703</v>
      </c>
      <c r="C121" t="s">
        <v>1382</v>
      </c>
      <c r="D121" t="s">
        <v>1324</v>
      </c>
      <c r="E121" t="s">
        <v>1512</v>
      </c>
      <c r="F121" t="s">
        <v>598</v>
      </c>
      <c r="G121" t="s">
        <v>478</v>
      </c>
      <c r="H121" t="s">
        <v>2266</v>
      </c>
      <c r="I121" t="s">
        <v>2267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</row>
    <row r="122" spans="1:33">
      <c r="A122" t="s">
        <v>18690</v>
      </c>
      <c r="B122" t="s">
        <v>18657</v>
      </c>
      <c r="C122" t="s">
        <v>1382</v>
      </c>
      <c r="D122" t="s">
        <v>1324</v>
      </c>
      <c r="E122" t="s">
        <v>688</v>
      </c>
      <c r="F122" t="s">
        <v>598</v>
      </c>
      <c r="G122" t="s">
        <v>478</v>
      </c>
      <c r="H122" t="s">
        <v>2266</v>
      </c>
      <c r="I122" t="s">
        <v>2267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</row>
    <row r="123" spans="1:33">
      <c r="A123" t="s">
        <v>18690</v>
      </c>
      <c r="B123" t="s">
        <v>18704</v>
      </c>
      <c r="C123" t="s">
        <v>1382</v>
      </c>
      <c r="D123" t="s">
        <v>1324</v>
      </c>
      <c r="E123" t="s">
        <v>1334</v>
      </c>
      <c r="F123" t="s">
        <v>598</v>
      </c>
      <c r="G123" t="s">
        <v>478</v>
      </c>
      <c r="H123" t="s">
        <v>2266</v>
      </c>
      <c r="I123" t="s">
        <v>2267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</row>
    <row r="124" spans="1:33">
      <c r="A124" t="s">
        <v>18690</v>
      </c>
      <c r="B124" t="s">
        <v>18705</v>
      </c>
      <c r="C124" t="s">
        <v>1382</v>
      </c>
      <c r="D124" t="s">
        <v>1324</v>
      </c>
      <c r="E124" t="s">
        <v>1417</v>
      </c>
      <c r="F124" t="s">
        <v>598</v>
      </c>
      <c r="G124" t="s">
        <v>478</v>
      </c>
      <c r="H124" t="s">
        <v>2266</v>
      </c>
      <c r="I124" t="s">
        <v>2267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</row>
    <row r="125" spans="1:33">
      <c r="A125" t="s">
        <v>18690</v>
      </c>
      <c r="B125" t="s">
        <v>18658</v>
      </c>
      <c r="C125" t="s">
        <v>1382</v>
      </c>
      <c r="D125" t="s">
        <v>1324</v>
      </c>
      <c r="E125" t="s">
        <v>1326</v>
      </c>
      <c r="F125" t="s">
        <v>598</v>
      </c>
      <c r="G125" t="s">
        <v>478</v>
      </c>
      <c r="H125" t="s">
        <v>2266</v>
      </c>
      <c r="I125" t="s">
        <v>2267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</row>
    <row r="126" spans="1:33">
      <c r="A126" t="s">
        <v>18690</v>
      </c>
      <c r="B126" t="s">
        <v>18659</v>
      </c>
      <c r="C126" t="s">
        <v>1382</v>
      </c>
      <c r="D126" t="s">
        <v>1324</v>
      </c>
      <c r="E126" t="s">
        <v>1402</v>
      </c>
      <c r="F126" t="s">
        <v>598</v>
      </c>
      <c r="G126" t="s">
        <v>478</v>
      </c>
      <c r="H126" t="s">
        <v>2266</v>
      </c>
      <c r="I126" t="s">
        <v>2267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</row>
    <row r="127" spans="1:33">
      <c r="A127" t="s">
        <v>18690</v>
      </c>
      <c r="B127" t="s">
        <v>18706</v>
      </c>
      <c r="C127" t="s">
        <v>1382</v>
      </c>
      <c r="D127" t="s">
        <v>1324</v>
      </c>
      <c r="E127" t="s">
        <v>669</v>
      </c>
      <c r="F127" t="s">
        <v>598</v>
      </c>
      <c r="G127" t="s">
        <v>478</v>
      </c>
      <c r="H127" t="s">
        <v>2266</v>
      </c>
      <c r="I127" t="s">
        <v>2267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</row>
    <row r="128" spans="1:33">
      <c r="A128" t="s">
        <v>18690</v>
      </c>
      <c r="B128" t="s">
        <v>18660</v>
      </c>
      <c r="C128" t="s">
        <v>1382</v>
      </c>
      <c r="D128" t="s">
        <v>1324</v>
      </c>
      <c r="E128" t="s">
        <v>1318</v>
      </c>
      <c r="F128" t="s">
        <v>598</v>
      </c>
      <c r="G128" t="s">
        <v>478</v>
      </c>
      <c r="H128" t="s">
        <v>2266</v>
      </c>
      <c r="I128" t="s">
        <v>2267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</row>
    <row r="129" spans="1:33">
      <c r="A129" t="s">
        <v>18690</v>
      </c>
      <c r="B129" t="s">
        <v>18663</v>
      </c>
      <c r="C129" t="s">
        <v>1382</v>
      </c>
      <c r="D129" t="s">
        <v>1324</v>
      </c>
      <c r="E129" t="s">
        <v>1028</v>
      </c>
      <c r="F129" t="s">
        <v>598</v>
      </c>
      <c r="G129" t="s">
        <v>478</v>
      </c>
      <c r="H129" t="s">
        <v>2266</v>
      </c>
      <c r="I129" t="s">
        <v>2267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</row>
    <row r="130" spans="1:33">
      <c r="A130" t="s">
        <v>18690</v>
      </c>
      <c r="B130" t="s">
        <v>18707</v>
      </c>
      <c r="C130" t="s">
        <v>1382</v>
      </c>
      <c r="D130" t="s">
        <v>1332</v>
      </c>
      <c r="E130" t="s">
        <v>1512</v>
      </c>
      <c r="F130" t="s">
        <v>598</v>
      </c>
      <c r="G130" t="s">
        <v>478</v>
      </c>
      <c r="H130" t="s">
        <v>2266</v>
      </c>
      <c r="I130" t="s">
        <v>2267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</row>
    <row r="131" spans="1:33">
      <c r="A131" t="s">
        <v>18690</v>
      </c>
      <c r="B131" t="s">
        <v>18667</v>
      </c>
      <c r="C131" t="s">
        <v>1382</v>
      </c>
      <c r="D131" t="s">
        <v>1332</v>
      </c>
      <c r="E131" t="s">
        <v>688</v>
      </c>
      <c r="F131" t="s">
        <v>598</v>
      </c>
      <c r="G131" t="s">
        <v>478</v>
      </c>
      <c r="H131" t="s">
        <v>2266</v>
      </c>
      <c r="I131" t="s">
        <v>2267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</row>
    <row r="132" spans="1:33">
      <c r="A132" t="s">
        <v>18690</v>
      </c>
      <c r="B132" t="s">
        <v>18668</v>
      </c>
      <c r="C132" t="s">
        <v>1382</v>
      </c>
      <c r="D132" t="s">
        <v>1332</v>
      </c>
      <c r="E132" t="s">
        <v>1334</v>
      </c>
      <c r="F132" t="s">
        <v>598</v>
      </c>
      <c r="G132" t="s">
        <v>478</v>
      </c>
      <c r="H132" t="s">
        <v>2266</v>
      </c>
      <c r="I132" t="s">
        <v>2267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</row>
    <row r="133" spans="1:33">
      <c r="A133" t="s">
        <v>18690</v>
      </c>
      <c r="B133" t="s">
        <v>18708</v>
      </c>
      <c r="C133" t="s">
        <v>1382</v>
      </c>
      <c r="D133" t="s">
        <v>1332</v>
      </c>
      <c r="E133" t="s">
        <v>1399</v>
      </c>
      <c r="F133" t="s">
        <v>598</v>
      </c>
      <c r="G133" t="s">
        <v>478</v>
      </c>
      <c r="H133" t="s">
        <v>2266</v>
      </c>
      <c r="I133" t="s">
        <v>2267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</row>
    <row r="134" spans="1:33">
      <c r="A134" t="s">
        <v>18690</v>
      </c>
      <c r="B134" t="s">
        <v>18709</v>
      </c>
      <c r="C134" t="s">
        <v>1382</v>
      </c>
      <c r="D134" t="s">
        <v>1332</v>
      </c>
      <c r="E134" t="s">
        <v>1417</v>
      </c>
      <c r="F134" t="s">
        <v>598</v>
      </c>
      <c r="G134" t="s">
        <v>478</v>
      </c>
      <c r="H134" t="s">
        <v>2266</v>
      </c>
      <c r="I134" t="s">
        <v>2267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</row>
    <row r="135" spans="1:33">
      <c r="A135" t="s">
        <v>18690</v>
      </c>
      <c r="B135" t="s">
        <v>18669</v>
      </c>
      <c r="C135" t="s">
        <v>1382</v>
      </c>
      <c r="D135" t="s">
        <v>1332</v>
      </c>
      <c r="E135" t="s">
        <v>1326</v>
      </c>
      <c r="F135" t="s">
        <v>598</v>
      </c>
      <c r="G135" t="s">
        <v>478</v>
      </c>
      <c r="H135" t="s">
        <v>2266</v>
      </c>
      <c r="I135" t="s">
        <v>2267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</row>
    <row r="136" spans="1:33">
      <c r="A136" t="s">
        <v>18690</v>
      </c>
      <c r="B136" t="s">
        <v>18710</v>
      </c>
      <c r="C136" t="s">
        <v>1382</v>
      </c>
      <c r="D136" t="s">
        <v>1332</v>
      </c>
      <c r="E136" t="s">
        <v>1402</v>
      </c>
      <c r="F136" t="s">
        <v>598</v>
      </c>
      <c r="G136" t="s">
        <v>478</v>
      </c>
      <c r="H136" t="s">
        <v>2266</v>
      </c>
      <c r="I136" t="s">
        <v>2267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</row>
    <row r="137" spans="1:33">
      <c r="A137" t="s">
        <v>18690</v>
      </c>
      <c r="B137" t="s">
        <v>18711</v>
      </c>
      <c r="C137" t="s">
        <v>1382</v>
      </c>
      <c r="D137" t="s">
        <v>1332</v>
      </c>
      <c r="E137" t="s">
        <v>669</v>
      </c>
      <c r="F137" t="s">
        <v>598</v>
      </c>
      <c r="G137" t="s">
        <v>478</v>
      </c>
      <c r="H137" t="s">
        <v>2266</v>
      </c>
      <c r="I137" t="s">
        <v>2267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</row>
    <row r="138" spans="1:33">
      <c r="A138" t="s">
        <v>18690</v>
      </c>
      <c r="B138" t="s">
        <v>18670</v>
      </c>
      <c r="C138" t="s">
        <v>1382</v>
      </c>
      <c r="D138" t="s">
        <v>1332</v>
      </c>
      <c r="E138" t="s">
        <v>1318</v>
      </c>
      <c r="F138" t="s">
        <v>598</v>
      </c>
      <c r="G138" t="s">
        <v>478</v>
      </c>
      <c r="H138" t="s">
        <v>2266</v>
      </c>
      <c r="I138" t="s">
        <v>2267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</row>
    <row r="139" spans="1:33">
      <c r="A139" t="s">
        <v>18690</v>
      </c>
      <c r="B139" t="s">
        <v>18672</v>
      </c>
      <c r="C139" t="s">
        <v>1382</v>
      </c>
      <c r="D139" t="s">
        <v>1332</v>
      </c>
      <c r="E139" t="s">
        <v>1028</v>
      </c>
      <c r="F139" t="s">
        <v>598</v>
      </c>
      <c r="G139" t="s">
        <v>478</v>
      </c>
      <c r="H139" t="s">
        <v>2266</v>
      </c>
      <c r="I139" t="s">
        <v>2267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</row>
    <row r="140" spans="1:33">
      <c r="A140" t="s">
        <v>18690</v>
      </c>
      <c r="B140" t="s">
        <v>18712</v>
      </c>
      <c r="C140" t="s">
        <v>1382</v>
      </c>
      <c r="D140" t="s">
        <v>1332</v>
      </c>
      <c r="E140" t="s">
        <v>630</v>
      </c>
      <c r="F140" t="s">
        <v>598</v>
      </c>
      <c r="G140" t="s">
        <v>478</v>
      </c>
      <c r="H140" t="s">
        <v>2266</v>
      </c>
      <c r="I140" t="s">
        <v>2267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</row>
    <row r="141" spans="1:33">
      <c r="A141" t="s">
        <v>18690</v>
      </c>
      <c r="B141" t="s">
        <v>18713</v>
      </c>
      <c r="C141" t="s">
        <v>1382</v>
      </c>
      <c r="D141" t="s">
        <v>1350</v>
      </c>
      <c r="E141" t="s">
        <v>672</v>
      </c>
      <c r="F141" t="s">
        <v>598</v>
      </c>
      <c r="G141" t="s">
        <v>478</v>
      </c>
      <c r="H141" t="s">
        <v>2266</v>
      </c>
      <c r="I141" t="s">
        <v>2267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</row>
    <row r="142" spans="1:33">
      <c r="A142" t="s">
        <v>18690</v>
      </c>
      <c r="B142" t="s">
        <v>18714</v>
      </c>
      <c r="C142" t="s">
        <v>1382</v>
      </c>
      <c r="D142" t="s">
        <v>1350</v>
      </c>
      <c r="E142" t="s">
        <v>597</v>
      </c>
      <c r="F142" t="s">
        <v>598</v>
      </c>
      <c r="G142" t="s">
        <v>478</v>
      </c>
      <c r="H142" t="s">
        <v>2266</v>
      </c>
      <c r="I142" t="s">
        <v>2267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</row>
    <row r="143" spans="1:33">
      <c r="A143" t="s">
        <v>18690</v>
      </c>
      <c r="B143" t="s">
        <v>18675</v>
      </c>
      <c r="C143" t="s">
        <v>1382</v>
      </c>
      <c r="D143" t="s">
        <v>1435</v>
      </c>
      <c r="E143" t="s">
        <v>973</v>
      </c>
      <c r="F143" t="s">
        <v>598</v>
      </c>
      <c r="G143" t="s">
        <v>478</v>
      </c>
      <c r="H143" t="s">
        <v>2266</v>
      </c>
      <c r="I143" t="s">
        <v>2267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</row>
    <row r="144" spans="1:33">
      <c r="A144" t="s">
        <v>18690</v>
      </c>
      <c r="B144" t="s">
        <v>18676</v>
      </c>
      <c r="C144" t="s">
        <v>1382</v>
      </c>
      <c r="D144" t="s">
        <v>1354</v>
      </c>
      <c r="E144" t="s">
        <v>973</v>
      </c>
      <c r="F144" t="s">
        <v>598</v>
      </c>
      <c r="G144" t="s">
        <v>478</v>
      </c>
      <c r="H144" t="s">
        <v>2266</v>
      </c>
      <c r="I144" t="s">
        <v>2267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</row>
    <row r="145" spans="1:33">
      <c r="A145" t="s">
        <v>18690</v>
      </c>
      <c r="B145" t="s">
        <v>18715</v>
      </c>
      <c r="C145" t="s">
        <v>1382</v>
      </c>
      <c r="D145" t="s">
        <v>1365</v>
      </c>
      <c r="E145" t="s">
        <v>973</v>
      </c>
      <c r="F145" t="s">
        <v>598</v>
      </c>
      <c r="G145" t="s">
        <v>478</v>
      </c>
      <c r="H145" t="s">
        <v>2266</v>
      </c>
      <c r="I145" t="s">
        <v>2267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</row>
    <row r="146" spans="1:33">
      <c r="A146" t="s">
        <v>18690</v>
      </c>
      <c r="B146" t="s">
        <v>18716</v>
      </c>
      <c r="C146" t="s">
        <v>1382</v>
      </c>
      <c r="D146" t="s">
        <v>1365</v>
      </c>
      <c r="E146" t="s">
        <v>678</v>
      </c>
      <c r="F146" t="s">
        <v>598</v>
      </c>
      <c r="G146" t="s">
        <v>478</v>
      </c>
      <c r="H146" t="s">
        <v>2266</v>
      </c>
      <c r="I146" t="s">
        <v>2267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</row>
    <row r="147" spans="1:33">
      <c r="A147" t="s">
        <v>18690</v>
      </c>
      <c r="B147" t="s">
        <v>2268</v>
      </c>
      <c r="C147" t="s">
        <v>1382</v>
      </c>
      <c r="D147" t="s">
        <v>648</v>
      </c>
      <c r="E147" t="s">
        <v>920</v>
      </c>
      <c r="F147" t="s">
        <v>598</v>
      </c>
      <c r="G147" t="s">
        <v>478</v>
      </c>
      <c r="H147" t="s">
        <v>2266</v>
      </c>
      <c r="I147" t="s">
        <v>2267</v>
      </c>
      <c r="J147">
        <v>1.2478000000000001E-4</v>
      </c>
      <c r="K147">
        <v>1.2478000000000001E-4</v>
      </c>
      <c r="L147">
        <v>1.2478000000000001E-4</v>
      </c>
      <c r="M147">
        <v>1.2478000000000001E-4</v>
      </c>
      <c r="N147">
        <v>1.2478000000000001E-4</v>
      </c>
      <c r="O147">
        <v>1.2478000000000001E-4</v>
      </c>
      <c r="P147">
        <v>1.2478000000000001E-4</v>
      </c>
      <c r="Q147">
        <v>1.2478000000000001E-4</v>
      </c>
      <c r="R147">
        <v>1.2478000000000001E-4</v>
      </c>
      <c r="S147">
        <v>1.2478000000000001E-4</v>
      </c>
      <c r="T147">
        <v>1.2478000000000001E-4</v>
      </c>
      <c r="U147">
        <v>1.2478000000000001E-4</v>
      </c>
      <c r="V147">
        <v>1.2478000000000001E-4</v>
      </c>
      <c r="W147">
        <v>1.2478000000000001E-4</v>
      </c>
      <c r="X147">
        <v>1.2478000000000001E-4</v>
      </c>
      <c r="Y147">
        <v>1.2478000000000001E-4</v>
      </c>
      <c r="Z147">
        <v>1.2478000000000001E-4</v>
      </c>
      <c r="AA147">
        <v>1.2478000000000001E-4</v>
      </c>
      <c r="AB147">
        <v>1.2478000000000001E-4</v>
      </c>
      <c r="AC147">
        <v>1.2478000000000001E-4</v>
      </c>
      <c r="AD147">
        <v>1.2478000000000001E-4</v>
      </c>
      <c r="AE147">
        <v>1.2478000000000001E-4</v>
      </c>
      <c r="AF147">
        <v>1.2478000000000001E-4</v>
      </c>
      <c r="AG147">
        <v>1.2478000000000001E-4</v>
      </c>
    </row>
    <row r="148" spans="1:33">
      <c r="A148" t="s">
        <v>18690</v>
      </c>
      <c r="B148" t="s">
        <v>18682</v>
      </c>
      <c r="C148" t="s">
        <v>1382</v>
      </c>
      <c r="D148" t="s">
        <v>648</v>
      </c>
      <c r="E148" t="s">
        <v>973</v>
      </c>
      <c r="F148" t="s">
        <v>598</v>
      </c>
      <c r="G148" t="s">
        <v>478</v>
      </c>
      <c r="H148" t="s">
        <v>2266</v>
      </c>
      <c r="I148" t="s">
        <v>2267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</row>
    <row r="149" spans="1:33">
      <c r="A149" t="s">
        <v>18690</v>
      </c>
      <c r="B149" t="s">
        <v>18717</v>
      </c>
      <c r="C149" t="s">
        <v>1382</v>
      </c>
      <c r="D149" t="s">
        <v>648</v>
      </c>
      <c r="E149" t="s">
        <v>642</v>
      </c>
      <c r="F149" t="s">
        <v>598</v>
      </c>
      <c r="G149" t="s">
        <v>478</v>
      </c>
      <c r="H149" t="s">
        <v>2266</v>
      </c>
      <c r="I149" t="s">
        <v>2267</v>
      </c>
      <c r="J149">
        <v>2.6000000000000001E-6</v>
      </c>
      <c r="K149">
        <v>2.6000000000000001E-6</v>
      </c>
      <c r="L149">
        <v>2.6000000000000001E-6</v>
      </c>
      <c r="M149">
        <v>2.6000000000000001E-6</v>
      </c>
      <c r="N149">
        <v>2.6000000000000001E-6</v>
      </c>
      <c r="O149">
        <v>2.6000000000000001E-6</v>
      </c>
      <c r="P149">
        <v>2.6000000000000001E-6</v>
      </c>
      <c r="Q149">
        <v>2.6000000000000001E-6</v>
      </c>
      <c r="R149">
        <v>2.6000000000000001E-6</v>
      </c>
      <c r="S149">
        <v>2.6000000000000001E-6</v>
      </c>
      <c r="T149">
        <v>2.6000000000000001E-6</v>
      </c>
      <c r="U149">
        <v>2.6000000000000001E-6</v>
      </c>
      <c r="V149">
        <v>2.6000000000000001E-6</v>
      </c>
      <c r="W149">
        <v>2.6000000000000001E-6</v>
      </c>
      <c r="X149">
        <v>2.6000000000000001E-6</v>
      </c>
      <c r="Y149">
        <v>2.6000000000000001E-6</v>
      </c>
      <c r="Z149">
        <v>2.6000000000000001E-6</v>
      </c>
      <c r="AA149">
        <v>2.6000000000000001E-6</v>
      </c>
      <c r="AB149">
        <v>2.6000000000000001E-6</v>
      </c>
      <c r="AC149">
        <v>2.6000000000000001E-6</v>
      </c>
      <c r="AD149">
        <v>2.6000000000000001E-6</v>
      </c>
      <c r="AE149">
        <v>2.6000000000000001E-6</v>
      </c>
      <c r="AF149">
        <v>2.6000000000000001E-6</v>
      </c>
      <c r="AG149">
        <v>2.6000000000000001E-6</v>
      </c>
    </row>
    <row r="150" spans="1:33">
      <c r="A150" t="s">
        <v>18690</v>
      </c>
      <c r="B150" t="s">
        <v>18718</v>
      </c>
      <c r="C150" t="s">
        <v>1382</v>
      </c>
      <c r="D150" t="s">
        <v>648</v>
      </c>
      <c r="E150" t="s">
        <v>1973</v>
      </c>
      <c r="F150" t="s">
        <v>598</v>
      </c>
      <c r="G150" t="s">
        <v>478</v>
      </c>
      <c r="H150" t="s">
        <v>2266</v>
      </c>
      <c r="I150" t="s">
        <v>2267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</row>
    <row r="151" spans="1:33">
      <c r="A151" t="s">
        <v>18690</v>
      </c>
      <c r="B151" t="s">
        <v>18683</v>
      </c>
      <c r="C151" t="s">
        <v>1382</v>
      </c>
      <c r="D151" t="s">
        <v>648</v>
      </c>
      <c r="E151" t="s">
        <v>611</v>
      </c>
      <c r="F151" t="s">
        <v>598</v>
      </c>
      <c r="G151" t="s">
        <v>478</v>
      </c>
      <c r="H151" t="s">
        <v>2266</v>
      </c>
      <c r="I151" t="s">
        <v>2267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</row>
    <row r="152" spans="1:33">
      <c r="A152" t="s">
        <v>18690</v>
      </c>
      <c r="B152" t="s">
        <v>18719</v>
      </c>
      <c r="C152" t="s">
        <v>1382</v>
      </c>
      <c r="D152" t="s">
        <v>648</v>
      </c>
      <c r="E152" t="s">
        <v>1464</v>
      </c>
      <c r="F152" t="s">
        <v>598</v>
      </c>
      <c r="G152" t="s">
        <v>478</v>
      </c>
      <c r="H152" t="s">
        <v>2266</v>
      </c>
      <c r="I152" t="s">
        <v>2267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</row>
    <row r="153" spans="1:33">
      <c r="A153" t="s">
        <v>18690</v>
      </c>
      <c r="B153" t="s">
        <v>18686</v>
      </c>
      <c r="C153" t="s">
        <v>1382</v>
      </c>
      <c r="D153" t="s">
        <v>648</v>
      </c>
      <c r="E153" t="s">
        <v>1467</v>
      </c>
      <c r="F153" t="s">
        <v>598</v>
      </c>
      <c r="G153" t="s">
        <v>478</v>
      </c>
      <c r="H153" t="s">
        <v>2266</v>
      </c>
      <c r="I153" t="s">
        <v>2267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</row>
    <row r="154" spans="1:33">
      <c r="A154" t="s">
        <v>18690</v>
      </c>
      <c r="B154" t="s">
        <v>18720</v>
      </c>
      <c r="C154" t="s">
        <v>1382</v>
      </c>
      <c r="D154" t="s">
        <v>648</v>
      </c>
      <c r="E154" t="s">
        <v>1970</v>
      </c>
      <c r="F154" t="s">
        <v>598</v>
      </c>
      <c r="G154" t="s">
        <v>478</v>
      </c>
      <c r="H154" t="s">
        <v>2266</v>
      </c>
      <c r="I154" t="s">
        <v>2267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</row>
    <row r="155" spans="1:33">
      <c r="J155">
        <f>SUBTOTAL(109,Table7[2023])</f>
        <v>9.8339499999999993E-3</v>
      </c>
      <c r="K155">
        <f>SUBTOTAL(109,Table7[2024])</f>
        <v>9.8339499999999993E-3</v>
      </c>
      <c r="L155">
        <f>SUBTOTAL(109,Table7[2025])</f>
        <v>9.8339499999999993E-3</v>
      </c>
      <c r="M155">
        <f>SUBTOTAL(109,Table7[2026])</f>
        <v>9.8339499999999993E-3</v>
      </c>
      <c r="N155">
        <f>SUBTOTAL(109,Table7[2027])</f>
        <v>9.8339499999999993E-3</v>
      </c>
      <c r="O155">
        <f>SUBTOTAL(109,Table7[2028])</f>
        <v>9.8339499999999993E-3</v>
      </c>
      <c r="P155">
        <f>SUBTOTAL(109,Table7[2029])</f>
        <v>9.8339499999999993E-3</v>
      </c>
      <c r="Q155">
        <f>SUBTOTAL(109,Table7[2030])</f>
        <v>9.8339499999999993E-3</v>
      </c>
      <c r="R155">
        <f>SUBTOTAL(109,Table7[2031])</f>
        <v>9.8339499999999993E-3</v>
      </c>
      <c r="S155">
        <f>SUBTOTAL(109,Table7[2032])</f>
        <v>9.8339499999999993E-3</v>
      </c>
      <c r="T155">
        <f>SUBTOTAL(109,Table7[2033])</f>
        <v>9.8339499999999993E-3</v>
      </c>
      <c r="U155">
        <f>SUBTOTAL(109,Table7[2034])</f>
        <v>9.8339499999999993E-3</v>
      </c>
      <c r="V155">
        <f>SUBTOTAL(109,Table7[2035])</f>
        <v>9.8339499999999993E-3</v>
      </c>
      <c r="W155">
        <f>SUBTOTAL(109,Table7[2036])</f>
        <v>9.8339499999999993E-3</v>
      </c>
      <c r="X155">
        <f>SUBTOTAL(109,Table7[2037])</f>
        <v>9.8339499999999993E-3</v>
      </c>
      <c r="Y155">
        <f>SUBTOTAL(109,Table7[2038])</f>
        <v>9.8339499999999993E-3</v>
      </c>
      <c r="Z155">
        <f>SUBTOTAL(109,Table7[2039])</f>
        <v>9.8339499999999993E-3</v>
      </c>
      <c r="AA155">
        <f>SUBTOTAL(109,Table7[2040])</f>
        <v>9.8339499999999993E-3</v>
      </c>
      <c r="AB155">
        <f>SUBTOTAL(109,Table7[2041])</f>
        <v>9.8339499999999993E-3</v>
      </c>
      <c r="AC155">
        <f>SUBTOTAL(109,Table7[2042])</f>
        <v>9.8339499999999993E-3</v>
      </c>
      <c r="AD155">
        <f>SUBTOTAL(109,Table7[2043])</f>
        <v>9.8339499999999993E-3</v>
      </c>
      <c r="AE155">
        <f>SUBTOTAL(109,Table7[2044])</f>
        <v>9.8339499999999993E-3</v>
      </c>
      <c r="AF155">
        <f>SUBTOTAL(109,Table7[2045])</f>
        <v>9.8339499999999993E-3</v>
      </c>
      <c r="AG155">
        <f>SUBTOTAL(109,Table7[2046])</f>
        <v>9.8339499999999993E-3</v>
      </c>
    </row>
    <row r="157" spans="1:33">
      <c r="A157" t="s">
        <v>569</v>
      </c>
      <c r="B157" t="s">
        <v>570</v>
      </c>
      <c r="C157" t="s">
        <v>571</v>
      </c>
      <c r="D157" t="s">
        <v>572</v>
      </c>
      <c r="E157" t="s">
        <v>573</v>
      </c>
      <c r="F157" t="s">
        <v>574</v>
      </c>
      <c r="G157" t="s">
        <v>575</v>
      </c>
      <c r="H157" t="s">
        <v>576</v>
      </c>
      <c r="I157" t="s">
        <v>577</v>
      </c>
      <c r="J157" t="s">
        <v>586</v>
      </c>
      <c r="K157" t="s">
        <v>587</v>
      </c>
      <c r="L157" t="s">
        <v>588</v>
      </c>
      <c r="M157" t="s">
        <v>589</v>
      </c>
      <c r="N157" t="s">
        <v>590</v>
      </c>
      <c r="O157" t="s">
        <v>591</v>
      </c>
      <c r="P157" t="s">
        <v>592</v>
      </c>
      <c r="Q157" t="s">
        <v>593</v>
      </c>
      <c r="R157" t="s">
        <v>2248</v>
      </c>
      <c r="S157" t="s">
        <v>2249</v>
      </c>
      <c r="T157" t="s">
        <v>2250</v>
      </c>
      <c r="U157" t="s">
        <v>2251</v>
      </c>
      <c r="V157" t="s">
        <v>2252</v>
      </c>
      <c r="W157" t="s">
        <v>2253</v>
      </c>
      <c r="X157" t="s">
        <v>2254</v>
      </c>
      <c r="Y157" t="s">
        <v>2255</v>
      </c>
      <c r="Z157" t="s">
        <v>2256</v>
      </c>
      <c r="AA157" t="s">
        <v>2257</v>
      </c>
      <c r="AB157" t="s">
        <v>2258</v>
      </c>
      <c r="AC157" t="s">
        <v>2259</v>
      </c>
      <c r="AD157" t="s">
        <v>2260</v>
      </c>
      <c r="AE157" t="s">
        <v>2261</v>
      </c>
      <c r="AF157" t="s">
        <v>2262</v>
      </c>
      <c r="AG157" t="s">
        <v>2263</v>
      </c>
    </row>
    <row r="158" spans="1:33">
      <c r="A158" t="s">
        <v>18721</v>
      </c>
      <c r="B158" t="s">
        <v>2270</v>
      </c>
      <c r="C158" t="s">
        <v>710</v>
      </c>
      <c r="D158" t="s">
        <v>596</v>
      </c>
      <c r="E158" t="s">
        <v>597</v>
      </c>
      <c r="F158" t="s">
        <v>598</v>
      </c>
      <c r="G158" t="s">
        <v>478</v>
      </c>
      <c r="H158" t="s">
        <v>2266</v>
      </c>
      <c r="I158" t="s">
        <v>2267</v>
      </c>
      <c r="J158">
        <v>1.1493899999999999E-3</v>
      </c>
      <c r="K158">
        <v>1.1493899999999999E-3</v>
      </c>
      <c r="L158">
        <v>1.1493899999999999E-3</v>
      </c>
      <c r="M158">
        <v>1.1493899999999999E-3</v>
      </c>
      <c r="N158">
        <v>1.1493899999999999E-3</v>
      </c>
      <c r="O158">
        <v>1.1493899999999999E-3</v>
      </c>
      <c r="P158">
        <v>1.1493899999999999E-3</v>
      </c>
      <c r="Q158">
        <v>1.1493899999999999E-3</v>
      </c>
      <c r="R158">
        <v>1.1493899999999999E-3</v>
      </c>
      <c r="S158">
        <v>1.1493899999999999E-3</v>
      </c>
      <c r="T158">
        <v>1.1493899999999999E-3</v>
      </c>
      <c r="U158">
        <v>1.1493899999999999E-3</v>
      </c>
      <c r="V158">
        <v>1.1493899999999999E-3</v>
      </c>
      <c r="W158">
        <v>1.1493899999999999E-3</v>
      </c>
      <c r="X158">
        <v>1.1493899999999999E-3</v>
      </c>
      <c r="Y158">
        <v>1.1493899999999999E-3</v>
      </c>
      <c r="Z158">
        <v>1.1493899999999999E-3</v>
      </c>
      <c r="AA158">
        <v>1.1493899999999999E-3</v>
      </c>
      <c r="AB158">
        <v>1.1493899999999999E-3</v>
      </c>
      <c r="AC158">
        <v>1.1493899999999999E-3</v>
      </c>
      <c r="AD158">
        <v>1.1493899999999999E-3</v>
      </c>
      <c r="AE158">
        <v>1.1493899999999999E-3</v>
      </c>
      <c r="AF158">
        <v>1.1493899999999999E-3</v>
      </c>
      <c r="AG158">
        <v>1.1493899999999999E-3</v>
      </c>
    </row>
    <row r="159" spans="1:33">
      <c r="A159" t="s">
        <v>18721</v>
      </c>
      <c r="B159" t="s">
        <v>2271</v>
      </c>
      <c r="C159" t="s">
        <v>710</v>
      </c>
      <c r="D159" t="s">
        <v>596</v>
      </c>
      <c r="E159" t="s">
        <v>605</v>
      </c>
      <c r="F159" t="s">
        <v>598</v>
      </c>
      <c r="G159" t="s">
        <v>478</v>
      </c>
      <c r="H159" t="s">
        <v>2266</v>
      </c>
      <c r="I159" t="s">
        <v>2267</v>
      </c>
      <c r="J159">
        <v>0.29749708000000002</v>
      </c>
      <c r="K159">
        <v>0.29749708000000002</v>
      </c>
      <c r="L159">
        <v>0.29749708000000002</v>
      </c>
      <c r="M159">
        <v>0.29749708000000002</v>
      </c>
      <c r="N159">
        <v>0.29749708000000002</v>
      </c>
      <c r="O159">
        <v>0.29749708000000002</v>
      </c>
      <c r="P159">
        <v>0.29749708000000002</v>
      </c>
      <c r="Q159">
        <v>0.29749708000000002</v>
      </c>
      <c r="R159">
        <v>0.29749708000000002</v>
      </c>
      <c r="S159">
        <v>0.29749708000000002</v>
      </c>
      <c r="T159">
        <v>0.29749708000000002</v>
      </c>
      <c r="U159">
        <v>0.29749708000000002</v>
      </c>
      <c r="V159">
        <v>0.29749708000000002</v>
      </c>
      <c r="W159">
        <v>0.29749708000000002</v>
      </c>
      <c r="X159">
        <v>0.29749708000000002</v>
      </c>
      <c r="Y159">
        <v>0.29749708000000002</v>
      </c>
      <c r="Z159">
        <v>0.29749708000000002</v>
      </c>
      <c r="AA159">
        <v>0.29749708000000002</v>
      </c>
      <c r="AB159">
        <v>0.29749708000000002</v>
      </c>
      <c r="AC159">
        <v>0.29749708000000002</v>
      </c>
      <c r="AD159">
        <v>0.29749708000000002</v>
      </c>
      <c r="AE159">
        <v>0.29749708000000002</v>
      </c>
      <c r="AF159">
        <v>0.29749708000000002</v>
      </c>
      <c r="AG159">
        <v>0.29749708000000002</v>
      </c>
    </row>
    <row r="160" spans="1:33">
      <c r="A160" t="s">
        <v>18721</v>
      </c>
      <c r="B160" t="s">
        <v>2276</v>
      </c>
      <c r="C160" t="s">
        <v>710</v>
      </c>
      <c r="D160" t="s">
        <v>671</v>
      </c>
      <c r="E160" t="s">
        <v>597</v>
      </c>
      <c r="F160" t="s">
        <v>598</v>
      </c>
      <c r="G160" t="s">
        <v>478</v>
      </c>
      <c r="H160" t="s">
        <v>2266</v>
      </c>
      <c r="I160" t="s">
        <v>2267</v>
      </c>
      <c r="J160">
        <v>2.8174699999999999E-3</v>
      </c>
      <c r="K160">
        <v>2.8174699999999999E-3</v>
      </c>
      <c r="L160">
        <v>2.8174699999999999E-3</v>
      </c>
      <c r="M160">
        <v>2.8174699999999999E-3</v>
      </c>
      <c r="N160">
        <v>2.8174699999999999E-3</v>
      </c>
      <c r="O160">
        <v>2.8174699999999999E-3</v>
      </c>
      <c r="P160">
        <v>2.8174699999999999E-3</v>
      </c>
      <c r="Q160">
        <v>2.8174699999999999E-3</v>
      </c>
      <c r="R160">
        <v>2.8174699999999999E-3</v>
      </c>
      <c r="S160">
        <v>2.8174699999999999E-3</v>
      </c>
      <c r="T160">
        <v>2.8174699999999999E-3</v>
      </c>
      <c r="U160">
        <v>2.8174699999999999E-3</v>
      </c>
      <c r="V160">
        <v>2.8174699999999999E-3</v>
      </c>
      <c r="W160">
        <v>2.8174699999999999E-3</v>
      </c>
      <c r="X160">
        <v>2.8174699999999999E-3</v>
      </c>
      <c r="Y160">
        <v>2.8174699999999999E-3</v>
      </c>
      <c r="Z160">
        <v>2.8174699999999999E-3</v>
      </c>
      <c r="AA160">
        <v>2.8174699999999999E-3</v>
      </c>
      <c r="AB160">
        <v>2.8174699999999999E-3</v>
      </c>
      <c r="AC160">
        <v>2.8174699999999999E-3</v>
      </c>
      <c r="AD160">
        <v>2.8174699999999999E-3</v>
      </c>
      <c r="AE160">
        <v>2.8174699999999999E-3</v>
      </c>
      <c r="AF160">
        <v>2.8174699999999999E-3</v>
      </c>
      <c r="AG160">
        <v>2.8174699999999999E-3</v>
      </c>
    </row>
    <row r="161" spans="1:33">
      <c r="A161" t="s">
        <v>18721</v>
      </c>
      <c r="B161" t="s">
        <v>2277</v>
      </c>
      <c r="C161" t="s">
        <v>710</v>
      </c>
      <c r="D161" t="s">
        <v>671</v>
      </c>
      <c r="E161" t="s">
        <v>605</v>
      </c>
      <c r="F161" t="s">
        <v>598</v>
      </c>
      <c r="G161" t="s">
        <v>478</v>
      </c>
      <c r="H161" t="s">
        <v>2266</v>
      </c>
      <c r="I161" t="s">
        <v>2267</v>
      </c>
      <c r="J161">
        <v>0.23583387</v>
      </c>
      <c r="K161">
        <v>0.23583387</v>
      </c>
      <c r="L161">
        <v>0.23583387</v>
      </c>
      <c r="M161">
        <v>0.23583387</v>
      </c>
      <c r="N161">
        <v>0.23583387</v>
      </c>
      <c r="O161">
        <v>0.23583387</v>
      </c>
      <c r="P161">
        <v>0.23583387</v>
      </c>
      <c r="Q161">
        <v>0.23583387</v>
      </c>
      <c r="R161">
        <v>0.23583387</v>
      </c>
      <c r="S161">
        <v>0.23583387</v>
      </c>
      <c r="T161">
        <v>0.23583387</v>
      </c>
      <c r="U161">
        <v>0.23583387</v>
      </c>
      <c r="V161">
        <v>0.23583387</v>
      </c>
      <c r="W161">
        <v>0.23583387</v>
      </c>
      <c r="X161">
        <v>0.23583387</v>
      </c>
      <c r="Y161">
        <v>0.23583387</v>
      </c>
      <c r="Z161">
        <v>0.23583387</v>
      </c>
      <c r="AA161">
        <v>0.23583387</v>
      </c>
      <c r="AB161">
        <v>0.23583387</v>
      </c>
      <c r="AC161">
        <v>0.23583387</v>
      </c>
      <c r="AD161">
        <v>0.23583387</v>
      </c>
      <c r="AE161">
        <v>0.23583387</v>
      </c>
      <c r="AF161">
        <v>0.23583387</v>
      </c>
      <c r="AG161">
        <v>0.23583387</v>
      </c>
    </row>
    <row r="162" spans="1:33">
      <c r="A162" t="s">
        <v>18721</v>
      </c>
      <c r="B162" t="s">
        <v>2279</v>
      </c>
      <c r="C162" t="s">
        <v>710</v>
      </c>
      <c r="D162" t="s">
        <v>621</v>
      </c>
      <c r="E162" t="s">
        <v>597</v>
      </c>
      <c r="F162" t="s">
        <v>598</v>
      </c>
      <c r="G162" t="s">
        <v>478</v>
      </c>
      <c r="H162" t="s">
        <v>2266</v>
      </c>
      <c r="I162" t="s">
        <v>2267</v>
      </c>
      <c r="J162">
        <v>3.6390400000000001E-3</v>
      </c>
      <c r="K162">
        <v>3.6390400000000001E-3</v>
      </c>
      <c r="L162">
        <v>3.6390400000000001E-3</v>
      </c>
      <c r="M162">
        <v>3.6390400000000001E-3</v>
      </c>
      <c r="N162">
        <v>3.6390400000000001E-3</v>
      </c>
      <c r="O162">
        <v>3.6390400000000001E-3</v>
      </c>
      <c r="P162">
        <v>3.6390400000000001E-3</v>
      </c>
      <c r="Q162">
        <v>3.6390400000000001E-3</v>
      </c>
      <c r="R162">
        <v>3.6390400000000001E-3</v>
      </c>
      <c r="S162">
        <v>3.6390400000000001E-3</v>
      </c>
      <c r="T162">
        <v>3.6390400000000001E-3</v>
      </c>
      <c r="U162">
        <v>3.6390400000000001E-3</v>
      </c>
      <c r="V162">
        <v>3.6390400000000001E-3</v>
      </c>
      <c r="W162">
        <v>3.6390400000000001E-3</v>
      </c>
      <c r="X162">
        <v>3.6390400000000001E-3</v>
      </c>
      <c r="Y162">
        <v>3.6390400000000001E-3</v>
      </c>
      <c r="Z162">
        <v>3.6390400000000001E-3</v>
      </c>
      <c r="AA162">
        <v>3.6390400000000001E-3</v>
      </c>
      <c r="AB162">
        <v>3.6390400000000001E-3</v>
      </c>
      <c r="AC162">
        <v>3.6390400000000001E-3</v>
      </c>
      <c r="AD162">
        <v>3.6390400000000001E-3</v>
      </c>
      <c r="AE162">
        <v>3.6390400000000001E-3</v>
      </c>
      <c r="AF162">
        <v>3.6390400000000001E-3</v>
      </c>
      <c r="AG162">
        <v>3.6390400000000001E-3</v>
      </c>
    </row>
    <row r="163" spans="1:33">
      <c r="J163">
        <f>SUBTOTAL(109,Table58[2023])</f>
        <v>0.54093685000000002</v>
      </c>
      <c r="K163">
        <f>SUBTOTAL(109,Table58[2024])</f>
        <v>0.54093685000000002</v>
      </c>
      <c r="L163">
        <f>SUBTOTAL(109,Table58[2025])</f>
        <v>0.54093685000000002</v>
      </c>
      <c r="M163">
        <f>SUBTOTAL(109,Table58[2026])</f>
        <v>0.54093685000000002</v>
      </c>
      <c r="N163">
        <f>SUBTOTAL(109,Table58[2027])</f>
        <v>0.54093685000000002</v>
      </c>
      <c r="O163">
        <f>SUBTOTAL(109,Table58[2028])</f>
        <v>0.54093685000000002</v>
      </c>
      <c r="P163">
        <f>SUBTOTAL(109,Table58[2029])</f>
        <v>0.54093685000000002</v>
      </c>
      <c r="Q163">
        <f>SUBTOTAL(109,Table58[2030])</f>
        <v>0.54093685000000002</v>
      </c>
      <c r="R163">
        <f>SUBTOTAL(109,Table58[2031])</f>
        <v>0.54093685000000002</v>
      </c>
      <c r="S163">
        <f>SUBTOTAL(109,Table58[2032])</f>
        <v>0.54093685000000002</v>
      </c>
      <c r="T163">
        <f>SUBTOTAL(109,Table58[2033])</f>
        <v>0.54093685000000002</v>
      </c>
      <c r="U163">
        <f>SUBTOTAL(109,Table58[2034])</f>
        <v>0.54093685000000002</v>
      </c>
      <c r="V163">
        <f>SUBTOTAL(109,Table58[2035])</f>
        <v>0.54093685000000002</v>
      </c>
      <c r="W163">
        <f>SUBTOTAL(109,Table58[2036])</f>
        <v>0.54093685000000002</v>
      </c>
      <c r="X163">
        <f>SUBTOTAL(109,Table58[2037])</f>
        <v>0.54093685000000002</v>
      </c>
      <c r="Y163">
        <f>SUBTOTAL(109,Table58[2038])</f>
        <v>0.54093685000000002</v>
      </c>
      <c r="Z163">
        <f>SUBTOTAL(109,Table58[2039])</f>
        <v>0.54093685000000002</v>
      </c>
      <c r="AA163">
        <f>SUBTOTAL(109,Table58[2040])</f>
        <v>0.54093685000000002</v>
      </c>
      <c r="AB163">
        <f>SUBTOTAL(109,Table58[2041])</f>
        <v>0.54093685000000002</v>
      </c>
      <c r="AC163">
        <f>SUBTOTAL(109,Table58[2042])</f>
        <v>0.54093685000000002</v>
      </c>
      <c r="AD163">
        <f>SUBTOTAL(109,Table58[2043])</f>
        <v>0.54093685000000002</v>
      </c>
      <c r="AE163">
        <f>SUBTOTAL(109,Table58[2044])</f>
        <v>0.54093685000000002</v>
      </c>
      <c r="AF163">
        <f>SUBTOTAL(109,Table58[2045])</f>
        <v>0.54093685000000002</v>
      </c>
      <c r="AG163">
        <f>SUBTOTAL(109,Table58[2046])</f>
        <v>0.54093685000000002</v>
      </c>
    </row>
    <row r="165" spans="1:33">
      <c r="A165" t="s">
        <v>569</v>
      </c>
      <c r="B165" t="s">
        <v>570</v>
      </c>
      <c r="C165" t="s">
        <v>571</v>
      </c>
      <c r="D165" t="s">
        <v>572</v>
      </c>
      <c r="E165" t="s">
        <v>573</v>
      </c>
      <c r="F165" t="s">
        <v>574</v>
      </c>
      <c r="G165" t="s">
        <v>575</v>
      </c>
      <c r="H165" t="s">
        <v>576</v>
      </c>
      <c r="I165" t="s">
        <v>577</v>
      </c>
      <c r="J165" t="s">
        <v>586</v>
      </c>
      <c r="K165" t="s">
        <v>587</v>
      </c>
      <c r="L165" t="s">
        <v>588</v>
      </c>
      <c r="M165" t="s">
        <v>589</v>
      </c>
      <c r="N165" t="s">
        <v>590</v>
      </c>
      <c r="O165" t="s">
        <v>591</v>
      </c>
      <c r="P165" t="s">
        <v>592</v>
      </c>
      <c r="Q165" t="s">
        <v>593</v>
      </c>
      <c r="R165" t="s">
        <v>2248</v>
      </c>
      <c r="S165" t="s">
        <v>2249</v>
      </c>
      <c r="T165" t="s">
        <v>2250</v>
      </c>
      <c r="U165" t="s">
        <v>2251</v>
      </c>
      <c r="V165" t="s">
        <v>2252</v>
      </c>
      <c r="W165" t="s">
        <v>2253</v>
      </c>
      <c r="X165" t="s">
        <v>2254</v>
      </c>
      <c r="Y165" t="s">
        <v>2255</v>
      </c>
      <c r="Z165" t="s">
        <v>2256</v>
      </c>
      <c r="AA165" t="s">
        <v>2257</v>
      </c>
      <c r="AB165" t="s">
        <v>2258</v>
      </c>
      <c r="AC165" t="s">
        <v>2259</v>
      </c>
      <c r="AD165" t="s">
        <v>2260</v>
      </c>
      <c r="AE165" t="s">
        <v>2261</v>
      </c>
      <c r="AF165" t="s">
        <v>2262</v>
      </c>
      <c r="AG165" t="s">
        <v>2263</v>
      </c>
    </row>
    <row r="166" spans="1:33">
      <c r="A166" t="s">
        <v>18721</v>
      </c>
      <c r="B166" t="s">
        <v>18640</v>
      </c>
      <c r="C166" t="s">
        <v>1382</v>
      </c>
      <c r="D166" t="s">
        <v>1274</v>
      </c>
      <c r="E166" t="s">
        <v>973</v>
      </c>
      <c r="F166" t="s">
        <v>598</v>
      </c>
      <c r="G166" t="s">
        <v>478</v>
      </c>
      <c r="H166" t="s">
        <v>2266</v>
      </c>
      <c r="I166" t="s">
        <v>2267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</row>
    <row r="167" spans="1:33">
      <c r="A167" t="s">
        <v>18721</v>
      </c>
      <c r="B167" t="s">
        <v>18694</v>
      </c>
      <c r="C167" t="s">
        <v>1382</v>
      </c>
      <c r="D167" t="s">
        <v>1281</v>
      </c>
      <c r="E167" t="s">
        <v>973</v>
      </c>
      <c r="F167" t="s">
        <v>598</v>
      </c>
      <c r="G167" t="s">
        <v>478</v>
      </c>
      <c r="H167" t="s">
        <v>2266</v>
      </c>
      <c r="I167" t="s">
        <v>2267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</row>
    <row r="168" spans="1:33">
      <c r="A168" t="s">
        <v>18721</v>
      </c>
      <c r="B168" t="s">
        <v>18641</v>
      </c>
      <c r="C168" t="s">
        <v>1382</v>
      </c>
      <c r="D168" t="s">
        <v>1285</v>
      </c>
      <c r="E168" t="s">
        <v>973</v>
      </c>
      <c r="F168" t="s">
        <v>598</v>
      </c>
      <c r="G168" t="s">
        <v>478</v>
      </c>
      <c r="H168" t="s">
        <v>2266</v>
      </c>
      <c r="I168" t="s">
        <v>2267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</row>
    <row r="169" spans="1:33">
      <c r="A169" t="s">
        <v>18721</v>
      </c>
      <c r="B169" t="s">
        <v>2265</v>
      </c>
      <c r="C169" t="s">
        <v>1382</v>
      </c>
      <c r="D169" t="s">
        <v>1311</v>
      </c>
      <c r="E169" t="s">
        <v>597</v>
      </c>
      <c r="F169" t="s">
        <v>598</v>
      </c>
      <c r="G169" t="s">
        <v>478</v>
      </c>
      <c r="H169" t="s">
        <v>2266</v>
      </c>
      <c r="I169" t="s">
        <v>2267</v>
      </c>
      <c r="J169">
        <v>2.0547999999999999E-4</v>
      </c>
      <c r="K169">
        <v>2.0547999999999999E-4</v>
      </c>
      <c r="L169">
        <v>2.0547999999999999E-4</v>
      </c>
      <c r="M169">
        <v>2.0547999999999999E-4</v>
      </c>
      <c r="N169">
        <v>2.0547999999999999E-4</v>
      </c>
      <c r="O169">
        <v>2.0547999999999999E-4</v>
      </c>
      <c r="P169">
        <v>2.0547999999999999E-4</v>
      </c>
      <c r="Q169">
        <v>2.0547999999999999E-4</v>
      </c>
      <c r="R169">
        <v>2.0547999999999999E-4</v>
      </c>
      <c r="S169">
        <v>2.0547999999999999E-4</v>
      </c>
      <c r="T169">
        <v>2.0547999999999999E-4</v>
      </c>
      <c r="U169">
        <v>2.0547999999999999E-4</v>
      </c>
      <c r="V169">
        <v>2.0547999999999999E-4</v>
      </c>
      <c r="W169">
        <v>2.0547999999999999E-4</v>
      </c>
      <c r="X169">
        <v>2.0547999999999999E-4</v>
      </c>
      <c r="Y169">
        <v>2.0547999999999999E-4</v>
      </c>
      <c r="Z169">
        <v>2.0547999999999999E-4</v>
      </c>
      <c r="AA169">
        <v>2.0547999999999999E-4</v>
      </c>
      <c r="AB169">
        <v>2.0547999999999999E-4</v>
      </c>
      <c r="AC169">
        <v>2.0547999999999999E-4</v>
      </c>
      <c r="AD169">
        <v>2.0547999999999999E-4</v>
      </c>
      <c r="AE169">
        <v>2.0547999999999999E-4</v>
      </c>
      <c r="AF169">
        <v>2.0547999999999999E-4</v>
      </c>
      <c r="AG169">
        <v>2.0547999999999999E-4</v>
      </c>
    </row>
    <row r="170" spans="1:33">
      <c r="A170" t="s">
        <v>18721</v>
      </c>
      <c r="B170" t="s">
        <v>18644</v>
      </c>
      <c r="C170" t="s">
        <v>1382</v>
      </c>
      <c r="D170" t="s">
        <v>1311</v>
      </c>
      <c r="E170" t="s">
        <v>605</v>
      </c>
      <c r="F170" t="s">
        <v>598</v>
      </c>
      <c r="G170" t="s">
        <v>478</v>
      </c>
      <c r="H170" t="s">
        <v>2266</v>
      </c>
      <c r="I170" t="s">
        <v>2267</v>
      </c>
      <c r="J170">
        <v>1.2772149999999999E-2</v>
      </c>
      <c r="K170">
        <v>1.2772149999999999E-2</v>
      </c>
      <c r="L170">
        <v>1.2772149999999999E-2</v>
      </c>
      <c r="M170">
        <v>1.2772149999999999E-2</v>
      </c>
      <c r="N170">
        <v>1.2772149999999999E-2</v>
      </c>
      <c r="O170">
        <v>1.2772149999999999E-2</v>
      </c>
      <c r="P170">
        <v>1.2772149999999999E-2</v>
      </c>
      <c r="Q170">
        <v>1.2772149999999999E-2</v>
      </c>
      <c r="R170">
        <v>1.2772149999999999E-2</v>
      </c>
      <c r="S170">
        <v>1.2772149999999999E-2</v>
      </c>
      <c r="T170">
        <v>1.2772149999999999E-2</v>
      </c>
      <c r="U170">
        <v>1.2772149999999999E-2</v>
      </c>
      <c r="V170">
        <v>1.2772149999999999E-2</v>
      </c>
      <c r="W170">
        <v>1.2772149999999999E-2</v>
      </c>
      <c r="X170">
        <v>1.2772149999999999E-2</v>
      </c>
      <c r="Y170">
        <v>1.2772149999999999E-2</v>
      </c>
      <c r="Z170">
        <v>1.2772149999999999E-2</v>
      </c>
      <c r="AA170">
        <v>1.2772149999999999E-2</v>
      </c>
      <c r="AB170">
        <v>1.2772149999999999E-2</v>
      </c>
      <c r="AC170">
        <v>1.2772149999999999E-2</v>
      </c>
      <c r="AD170">
        <v>1.2772149999999999E-2</v>
      </c>
      <c r="AE170">
        <v>1.2772149999999999E-2</v>
      </c>
      <c r="AF170">
        <v>1.2772149999999999E-2</v>
      </c>
      <c r="AG170">
        <v>1.2772149999999999E-2</v>
      </c>
    </row>
    <row r="171" spans="1:33">
      <c r="A171" t="s">
        <v>18721</v>
      </c>
      <c r="B171" t="s">
        <v>18699</v>
      </c>
      <c r="C171" t="s">
        <v>1382</v>
      </c>
      <c r="D171" t="s">
        <v>1316</v>
      </c>
      <c r="E171" t="s">
        <v>892</v>
      </c>
      <c r="F171" t="s">
        <v>598</v>
      </c>
      <c r="G171" t="s">
        <v>478</v>
      </c>
      <c r="H171" t="s">
        <v>2266</v>
      </c>
      <c r="I171" t="s">
        <v>2267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</row>
    <row r="172" spans="1:33">
      <c r="A172" t="s">
        <v>18721</v>
      </c>
      <c r="B172" t="s">
        <v>18650</v>
      </c>
      <c r="C172" t="s">
        <v>1382</v>
      </c>
      <c r="D172" t="s">
        <v>1316</v>
      </c>
      <c r="E172" t="s">
        <v>1318</v>
      </c>
      <c r="F172" t="s">
        <v>598</v>
      </c>
      <c r="G172" t="s">
        <v>478</v>
      </c>
      <c r="H172" t="s">
        <v>2266</v>
      </c>
      <c r="I172" t="s">
        <v>2267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</row>
    <row r="173" spans="1:33">
      <c r="A173" t="s">
        <v>18721</v>
      </c>
      <c r="B173" t="s">
        <v>18653</v>
      </c>
      <c r="C173" t="s">
        <v>1382</v>
      </c>
      <c r="D173" t="s">
        <v>1320</v>
      </c>
      <c r="E173" t="s">
        <v>688</v>
      </c>
      <c r="F173" t="s">
        <v>598</v>
      </c>
      <c r="G173" t="s">
        <v>478</v>
      </c>
      <c r="H173" t="s">
        <v>2266</v>
      </c>
      <c r="I173" t="s">
        <v>2267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</row>
    <row r="174" spans="1:33">
      <c r="A174" t="s">
        <v>18721</v>
      </c>
      <c r="B174" t="s">
        <v>18702</v>
      </c>
      <c r="C174" t="s">
        <v>1382</v>
      </c>
      <c r="D174" t="s">
        <v>1320</v>
      </c>
      <c r="E174" t="s">
        <v>750</v>
      </c>
      <c r="F174" t="s">
        <v>598</v>
      </c>
      <c r="G174" t="s">
        <v>478</v>
      </c>
      <c r="H174" t="s">
        <v>2266</v>
      </c>
      <c r="I174" t="s">
        <v>2267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</row>
    <row r="175" spans="1:33">
      <c r="A175" t="s">
        <v>18721</v>
      </c>
      <c r="B175" t="s">
        <v>18722</v>
      </c>
      <c r="C175" t="s">
        <v>1382</v>
      </c>
      <c r="D175" t="s">
        <v>1320</v>
      </c>
      <c r="E175" t="s">
        <v>1402</v>
      </c>
      <c r="F175" t="s">
        <v>598</v>
      </c>
      <c r="G175" t="s">
        <v>478</v>
      </c>
      <c r="H175" t="s">
        <v>2266</v>
      </c>
      <c r="I175" t="s">
        <v>2267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</row>
    <row r="176" spans="1:33">
      <c r="A176" t="s">
        <v>18721</v>
      </c>
      <c r="B176" t="s">
        <v>18723</v>
      </c>
      <c r="C176" t="s">
        <v>1382</v>
      </c>
      <c r="D176" t="s">
        <v>1320</v>
      </c>
      <c r="E176" t="s">
        <v>892</v>
      </c>
      <c r="F176" t="s">
        <v>598</v>
      </c>
      <c r="G176" t="s">
        <v>478</v>
      </c>
      <c r="H176" t="s">
        <v>2266</v>
      </c>
      <c r="I176" t="s">
        <v>2267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</row>
    <row r="177" spans="1:33">
      <c r="A177" t="s">
        <v>18721</v>
      </c>
      <c r="B177" t="s">
        <v>18655</v>
      </c>
      <c r="C177" t="s">
        <v>1382</v>
      </c>
      <c r="D177" t="s">
        <v>1320</v>
      </c>
      <c r="E177" t="s">
        <v>678</v>
      </c>
      <c r="F177" t="s">
        <v>598</v>
      </c>
      <c r="G177" t="s">
        <v>478</v>
      </c>
      <c r="H177" t="s">
        <v>2266</v>
      </c>
      <c r="I177" t="s">
        <v>2267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</row>
    <row r="178" spans="1:33">
      <c r="A178" t="s">
        <v>18721</v>
      </c>
      <c r="B178" t="s">
        <v>18658</v>
      </c>
      <c r="C178" t="s">
        <v>1382</v>
      </c>
      <c r="D178" t="s">
        <v>1324</v>
      </c>
      <c r="E178" t="s">
        <v>1326</v>
      </c>
      <c r="F178" t="s">
        <v>598</v>
      </c>
      <c r="G178" t="s">
        <v>478</v>
      </c>
      <c r="H178" t="s">
        <v>2266</v>
      </c>
      <c r="I178" t="s">
        <v>2267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</row>
    <row r="179" spans="1:33">
      <c r="A179" t="s">
        <v>18721</v>
      </c>
      <c r="B179" t="s">
        <v>18660</v>
      </c>
      <c r="C179" t="s">
        <v>1382</v>
      </c>
      <c r="D179" t="s">
        <v>1324</v>
      </c>
      <c r="E179" t="s">
        <v>1318</v>
      </c>
      <c r="F179" t="s">
        <v>598</v>
      </c>
      <c r="G179" t="s">
        <v>478</v>
      </c>
      <c r="H179" t="s">
        <v>2266</v>
      </c>
      <c r="I179" t="s">
        <v>2267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</row>
    <row r="180" spans="1:33">
      <c r="A180" t="s">
        <v>18721</v>
      </c>
      <c r="B180" t="s">
        <v>18667</v>
      </c>
      <c r="C180" t="s">
        <v>1382</v>
      </c>
      <c r="D180" t="s">
        <v>1332</v>
      </c>
      <c r="E180" t="s">
        <v>688</v>
      </c>
      <c r="F180" t="s">
        <v>598</v>
      </c>
      <c r="G180" t="s">
        <v>478</v>
      </c>
      <c r="H180" t="s">
        <v>2266</v>
      </c>
      <c r="I180" t="s">
        <v>2267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</row>
    <row r="181" spans="1:33">
      <c r="A181" t="s">
        <v>18721</v>
      </c>
      <c r="B181" t="s">
        <v>18669</v>
      </c>
      <c r="C181" t="s">
        <v>1382</v>
      </c>
      <c r="D181" t="s">
        <v>1332</v>
      </c>
      <c r="E181" t="s">
        <v>1326</v>
      </c>
      <c r="F181" t="s">
        <v>598</v>
      </c>
      <c r="G181" t="s">
        <v>478</v>
      </c>
      <c r="H181" t="s">
        <v>2266</v>
      </c>
      <c r="I181" t="s">
        <v>2267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</row>
    <row r="182" spans="1:33">
      <c r="A182" t="s">
        <v>18721</v>
      </c>
      <c r="B182" t="s">
        <v>18724</v>
      </c>
      <c r="C182" t="s">
        <v>1382</v>
      </c>
      <c r="D182" t="s">
        <v>1332</v>
      </c>
      <c r="E182" t="s">
        <v>892</v>
      </c>
      <c r="F182" t="s">
        <v>598</v>
      </c>
      <c r="G182" t="s">
        <v>478</v>
      </c>
      <c r="H182" t="s">
        <v>2266</v>
      </c>
      <c r="I182" t="s">
        <v>2267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</row>
    <row r="183" spans="1:33">
      <c r="A183" t="s">
        <v>18721</v>
      </c>
      <c r="B183" t="s">
        <v>18670</v>
      </c>
      <c r="C183" t="s">
        <v>1382</v>
      </c>
      <c r="D183" t="s">
        <v>1332</v>
      </c>
      <c r="E183" t="s">
        <v>1318</v>
      </c>
      <c r="F183" t="s">
        <v>598</v>
      </c>
      <c r="G183" t="s">
        <v>478</v>
      </c>
      <c r="H183" t="s">
        <v>2266</v>
      </c>
      <c r="I183" t="s">
        <v>2267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</row>
    <row r="184" spans="1:33">
      <c r="A184" t="s">
        <v>18721</v>
      </c>
      <c r="B184" t="s">
        <v>18675</v>
      </c>
      <c r="C184" t="s">
        <v>1382</v>
      </c>
      <c r="D184" t="s">
        <v>1435</v>
      </c>
      <c r="E184" t="s">
        <v>973</v>
      </c>
      <c r="F184" t="s">
        <v>598</v>
      </c>
      <c r="G184" t="s">
        <v>478</v>
      </c>
      <c r="H184" t="s">
        <v>2266</v>
      </c>
      <c r="I184" t="s">
        <v>2267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</row>
    <row r="185" spans="1:33">
      <c r="A185" t="s">
        <v>18721</v>
      </c>
      <c r="B185" t="s">
        <v>18676</v>
      </c>
      <c r="C185" t="s">
        <v>1382</v>
      </c>
      <c r="D185" t="s">
        <v>1354</v>
      </c>
      <c r="E185" t="s">
        <v>973</v>
      </c>
      <c r="F185" t="s">
        <v>598</v>
      </c>
      <c r="G185" t="s">
        <v>478</v>
      </c>
      <c r="H185" t="s">
        <v>2266</v>
      </c>
      <c r="I185" t="s">
        <v>2267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</row>
    <row r="186" spans="1:33">
      <c r="A186" t="s">
        <v>18721</v>
      </c>
      <c r="B186" t="s">
        <v>18679</v>
      </c>
      <c r="C186" t="s">
        <v>1382</v>
      </c>
      <c r="D186" t="s">
        <v>1443</v>
      </c>
      <c r="E186" t="s">
        <v>611</v>
      </c>
      <c r="F186" t="s">
        <v>598</v>
      </c>
      <c r="G186" t="s">
        <v>478</v>
      </c>
      <c r="H186" t="s">
        <v>2266</v>
      </c>
      <c r="I186" t="s">
        <v>2267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</row>
    <row r="187" spans="1:33">
      <c r="A187" t="s">
        <v>18721</v>
      </c>
      <c r="B187" t="s">
        <v>18725</v>
      </c>
      <c r="C187" t="s">
        <v>1382</v>
      </c>
      <c r="D187" t="s">
        <v>1365</v>
      </c>
      <c r="E187" t="s">
        <v>628</v>
      </c>
      <c r="F187" t="s">
        <v>598</v>
      </c>
      <c r="G187" t="s">
        <v>478</v>
      </c>
      <c r="H187" t="s">
        <v>2266</v>
      </c>
      <c r="I187" t="s">
        <v>2267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</row>
    <row r="188" spans="1:33">
      <c r="A188" t="s">
        <v>18721</v>
      </c>
      <c r="B188" t="s">
        <v>18726</v>
      </c>
      <c r="C188" t="s">
        <v>1382</v>
      </c>
      <c r="D188" t="s">
        <v>1365</v>
      </c>
      <c r="E188" t="s">
        <v>781</v>
      </c>
      <c r="F188" t="s">
        <v>598</v>
      </c>
      <c r="G188" t="s">
        <v>478</v>
      </c>
      <c r="H188" t="s">
        <v>2266</v>
      </c>
      <c r="I188" t="s">
        <v>2267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</row>
    <row r="189" spans="1:33">
      <c r="A189" t="s">
        <v>18721</v>
      </c>
      <c r="B189" t="s">
        <v>18716</v>
      </c>
      <c r="C189" t="s">
        <v>1382</v>
      </c>
      <c r="D189" t="s">
        <v>1365</v>
      </c>
      <c r="E189" t="s">
        <v>678</v>
      </c>
      <c r="F189" t="s">
        <v>598</v>
      </c>
      <c r="G189" t="s">
        <v>478</v>
      </c>
      <c r="H189" t="s">
        <v>2266</v>
      </c>
      <c r="I189" t="s">
        <v>2267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</row>
    <row r="190" spans="1:33">
      <c r="A190" t="s">
        <v>18721</v>
      </c>
      <c r="B190" t="s">
        <v>18682</v>
      </c>
      <c r="C190" t="s">
        <v>1382</v>
      </c>
      <c r="D190" t="s">
        <v>648</v>
      </c>
      <c r="E190" t="s">
        <v>973</v>
      </c>
      <c r="F190" t="s">
        <v>598</v>
      </c>
      <c r="G190" t="s">
        <v>478</v>
      </c>
      <c r="H190" t="s">
        <v>2266</v>
      </c>
      <c r="I190" t="s">
        <v>2267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</row>
    <row r="191" spans="1:33">
      <c r="A191" t="s">
        <v>18721</v>
      </c>
      <c r="B191" t="s">
        <v>18683</v>
      </c>
      <c r="C191" t="s">
        <v>1382</v>
      </c>
      <c r="D191" t="s">
        <v>648</v>
      </c>
      <c r="E191" t="s">
        <v>611</v>
      </c>
      <c r="F191" t="s">
        <v>598</v>
      </c>
      <c r="G191" t="s">
        <v>478</v>
      </c>
      <c r="H191" t="s">
        <v>2266</v>
      </c>
      <c r="I191" t="s">
        <v>2267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</row>
    <row r="192" spans="1:33">
      <c r="J192" cm="1">
        <f t="array" ref="J192">SUBTOTAL(109,SCC_NOx_Refinery,Table8[[#Headers],[2023]])</f>
        <v>0.31146311999999998</v>
      </c>
      <c r="K192" cm="1">
        <f t="array" ref="K192">SUBTOTAL(109,SCC_NOx_Refinery,Table8[[#Headers],[2024]])</f>
        <v>0.31146311999999998</v>
      </c>
      <c r="L192" cm="1">
        <f t="array" ref="L192">SUBTOTAL(109,SCC_NOx_Refinery,Table8[[#Headers],[2025]])</f>
        <v>0.31146311999999998</v>
      </c>
      <c r="M192" cm="1">
        <f t="array" ref="M192">SUBTOTAL(109,SCC_NOx_Refinery,Table8[[#Headers],[2026]])</f>
        <v>0.31146311999999998</v>
      </c>
      <c r="N192" cm="1">
        <f t="array" ref="N192">SUBTOTAL(109,SCC_NOx_Refinery,Table8[[#Headers],[2027]])</f>
        <v>0.31146311999999998</v>
      </c>
      <c r="O192" cm="1">
        <f t="array" ref="O192">SUBTOTAL(109,SCC_NOx_Refinery,Table8[[#Headers],[2028]])</f>
        <v>0.31146311999999998</v>
      </c>
      <c r="P192" cm="1">
        <f t="array" ref="P192">SUBTOTAL(109,SCC_NOx_Refinery,Table8[[#Headers],[2029]])</f>
        <v>0.31146311999999998</v>
      </c>
      <c r="Q192" cm="1">
        <f t="array" ref="Q192">SUBTOTAL(109,SCC_NOx_Refinery,Table8[[#Headers],[2030]])</f>
        <v>0.31146311999999998</v>
      </c>
      <c r="R192" cm="1">
        <f t="array" ref="R192">SUBTOTAL(109,SCC_NOx_Refinery,Table8[[#Headers],[2031]])</f>
        <v>0.31146311999999998</v>
      </c>
      <c r="S192" cm="1">
        <f t="array" ref="S192">SUBTOTAL(109,SCC_NOx_Refinery,Table8[[#Headers],[2032]])</f>
        <v>0.31146311999999998</v>
      </c>
      <c r="T192" cm="1">
        <f t="array" ref="T192">SUBTOTAL(109,SCC_NOx_Refinery,Table8[[#Headers],[2033]])</f>
        <v>0.31146311999999998</v>
      </c>
      <c r="U192" cm="1">
        <f t="array" ref="U192">SUBTOTAL(109,SCC_NOx_Refinery,Table8[[#Headers],[2034]])</f>
        <v>0.31146311999999998</v>
      </c>
      <c r="V192" cm="1">
        <f t="array" ref="V192">SUBTOTAL(109,SCC_NOx_Refinery,Table8[[#Headers],[2035]])</f>
        <v>0.31146311999999998</v>
      </c>
      <c r="W192" cm="1">
        <f t="array" ref="W192">SUBTOTAL(109,SCC_NOx_Refinery,Table8[[#Headers],[2036]])</f>
        <v>0.31146311999999998</v>
      </c>
      <c r="X192" cm="1">
        <f t="array" ref="X192">SUBTOTAL(109,SCC_NOx_Refinery,Table8[[#Headers],[2037]])</f>
        <v>0.31146311999999998</v>
      </c>
      <c r="Y192" cm="1">
        <f t="array" ref="Y192">SUBTOTAL(109,SCC_NOx_Refinery,Table8[[#Headers],[2038]])</f>
        <v>0.31146311999999998</v>
      </c>
      <c r="Z192" cm="1">
        <f t="array" ref="Z192">SUBTOTAL(109,SCC_NOx_Refinery,Table8[[#Headers],[2039]])</f>
        <v>0.31146311999999998</v>
      </c>
      <c r="AA192" cm="1">
        <f t="array" ref="AA192">SUBTOTAL(109,SCC_NOx_Refinery,Table8[[#Headers],[2040]])</f>
        <v>0.31146311999999998</v>
      </c>
      <c r="AB192" cm="1">
        <f t="array" ref="AB192">SUBTOTAL(109,SCC_NOx_Refinery,Table8[[#Headers],[2041]])</f>
        <v>0.31146311999999998</v>
      </c>
      <c r="AC192" cm="1">
        <f t="array" ref="AC192">SUBTOTAL(109,SCC_NOx_Refinery,Table8[[#Headers],[2042]])</f>
        <v>0.31146311999999998</v>
      </c>
      <c r="AD192" cm="1">
        <f t="array" ref="AD192">SUBTOTAL(109,SCC_NOx_Refinery,Table8[[#Headers],[2043]])</f>
        <v>0.31146311999999998</v>
      </c>
      <c r="AE192" cm="1">
        <f t="array" ref="AE192">SUBTOTAL(109,SCC_NOx_Refinery,Table8[[#Headers],[2044]])</f>
        <v>0.31146311999999998</v>
      </c>
      <c r="AF192" cm="1">
        <f t="array" ref="AF192">SUBTOTAL(109,SCC_NOx_Refinery,Table8[[#Headers],[2045]])</f>
        <v>0.31146311999999998</v>
      </c>
      <c r="AG192" cm="1">
        <f t="array" ref="AG192">SUBTOTAL(109,SCC_NOx_Refinery,Table8[[#Headers],[2046]])</f>
        <v>0.31146311999999998</v>
      </c>
    </row>
    <row r="194" spans="1:33">
      <c r="A194" t="s">
        <v>569</v>
      </c>
      <c r="B194" t="s">
        <v>570</v>
      </c>
      <c r="C194" t="s">
        <v>571</v>
      </c>
      <c r="D194" t="s">
        <v>572</v>
      </c>
      <c r="E194" t="s">
        <v>573</v>
      </c>
      <c r="F194" t="s">
        <v>574</v>
      </c>
      <c r="G194" t="s">
        <v>575</v>
      </c>
      <c r="H194" t="s">
        <v>576</v>
      </c>
      <c r="I194" t="s">
        <v>577</v>
      </c>
      <c r="J194" t="s">
        <v>586</v>
      </c>
      <c r="K194" t="s">
        <v>587</v>
      </c>
      <c r="L194" t="s">
        <v>588</v>
      </c>
      <c r="M194" t="s">
        <v>589</v>
      </c>
      <c r="N194" t="s">
        <v>590</v>
      </c>
      <c r="O194" t="s">
        <v>591</v>
      </c>
      <c r="P194" t="s">
        <v>592</v>
      </c>
      <c r="Q194" t="s">
        <v>593</v>
      </c>
      <c r="R194" t="s">
        <v>2248</v>
      </c>
      <c r="S194" t="s">
        <v>2249</v>
      </c>
      <c r="T194" t="s">
        <v>2250</v>
      </c>
      <c r="U194" t="s">
        <v>2251</v>
      </c>
      <c r="V194" t="s">
        <v>2252</v>
      </c>
      <c r="W194" t="s">
        <v>2253</v>
      </c>
      <c r="X194" t="s">
        <v>2254</v>
      </c>
      <c r="Y194" t="s">
        <v>2255</v>
      </c>
      <c r="Z194" t="s">
        <v>2256</v>
      </c>
      <c r="AA194" t="s">
        <v>2257</v>
      </c>
      <c r="AB194" t="s">
        <v>2258</v>
      </c>
      <c r="AC194" t="s">
        <v>2259</v>
      </c>
      <c r="AD194" t="s">
        <v>2260</v>
      </c>
      <c r="AE194" t="s">
        <v>2261</v>
      </c>
      <c r="AF194" t="s">
        <v>2262</v>
      </c>
      <c r="AG194" t="s">
        <v>2263</v>
      </c>
    </row>
    <row r="195" spans="1:33">
      <c r="A195" t="s">
        <v>18727</v>
      </c>
      <c r="B195" t="s">
        <v>2270</v>
      </c>
      <c r="C195" t="s">
        <v>710</v>
      </c>
      <c r="D195" t="s">
        <v>596</v>
      </c>
      <c r="E195" t="s">
        <v>597</v>
      </c>
      <c r="F195" t="s">
        <v>598</v>
      </c>
      <c r="G195" t="s">
        <v>478</v>
      </c>
      <c r="H195" t="s">
        <v>2266</v>
      </c>
      <c r="I195" t="s">
        <v>2267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</row>
    <row r="196" spans="1:33">
      <c r="A196" t="s">
        <v>18727</v>
      </c>
      <c r="B196" t="s">
        <v>18691</v>
      </c>
      <c r="C196" t="s">
        <v>710</v>
      </c>
      <c r="D196" t="s">
        <v>596</v>
      </c>
      <c r="E196" t="s">
        <v>603</v>
      </c>
      <c r="F196" t="s">
        <v>598</v>
      </c>
      <c r="G196" t="s">
        <v>478</v>
      </c>
      <c r="H196" t="s">
        <v>2266</v>
      </c>
      <c r="I196" t="s">
        <v>2267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</row>
    <row r="197" spans="1:33">
      <c r="A197" t="s">
        <v>18727</v>
      </c>
      <c r="B197" t="s">
        <v>2271</v>
      </c>
      <c r="C197" t="s">
        <v>710</v>
      </c>
      <c r="D197" t="s">
        <v>596</v>
      </c>
      <c r="E197" t="s">
        <v>605</v>
      </c>
      <c r="F197" t="s">
        <v>598</v>
      </c>
      <c r="G197" t="s">
        <v>478</v>
      </c>
      <c r="H197" t="s">
        <v>2266</v>
      </c>
      <c r="I197" t="s">
        <v>2267</v>
      </c>
      <c r="J197">
        <v>1.24676936</v>
      </c>
      <c r="K197">
        <v>1.24676936</v>
      </c>
      <c r="L197">
        <v>1.1902914</v>
      </c>
      <c r="M197">
        <v>1.09430015</v>
      </c>
      <c r="N197">
        <v>1.0199069999999999</v>
      </c>
      <c r="O197">
        <v>0.96701574000000001</v>
      </c>
      <c r="P197">
        <v>0.90745317999999997</v>
      </c>
      <c r="Q197">
        <v>0.85840172000000003</v>
      </c>
      <c r="R197">
        <v>0.83737952000000004</v>
      </c>
      <c r="S197">
        <v>0.82686853000000005</v>
      </c>
      <c r="T197">
        <v>0.81635749000000002</v>
      </c>
      <c r="U197">
        <v>0.80584650999999996</v>
      </c>
      <c r="V197">
        <v>0.77272229999999997</v>
      </c>
      <c r="W197">
        <v>0.77272229999999997</v>
      </c>
      <c r="X197">
        <v>0.77272229999999997</v>
      </c>
      <c r="Y197">
        <v>0.77272229999999997</v>
      </c>
      <c r="Z197">
        <v>0.77272229999999997</v>
      </c>
      <c r="AA197">
        <v>0.77272229999999997</v>
      </c>
      <c r="AB197">
        <v>0.77272229999999997</v>
      </c>
      <c r="AC197">
        <v>0.77272229999999997</v>
      </c>
      <c r="AD197">
        <v>0.77272229999999997</v>
      </c>
      <c r="AE197">
        <v>0.77272229999999997</v>
      </c>
      <c r="AF197">
        <v>0.77272229999999997</v>
      </c>
      <c r="AG197">
        <v>0.77272229999999997</v>
      </c>
    </row>
    <row r="198" spans="1:33">
      <c r="A198" t="s">
        <v>18727</v>
      </c>
      <c r="B198" t="s">
        <v>2275</v>
      </c>
      <c r="C198" t="s">
        <v>710</v>
      </c>
      <c r="D198" t="s">
        <v>671</v>
      </c>
      <c r="E198" t="s">
        <v>672</v>
      </c>
      <c r="F198" t="s">
        <v>598</v>
      </c>
      <c r="G198" t="s">
        <v>478</v>
      </c>
      <c r="H198" t="s">
        <v>2266</v>
      </c>
      <c r="I198" t="s">
        <v>2267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</row>
    <row r="199" spans="1:33">
      <c r="A199" t="s">
        <v>18727</v>
      </c>
      <c r="B199" t="s">
        <v>2276</v>
      </c>
      <c r="C199" t="s">
        <v>710</v>
      </c>
      <c r="D199" t="s">
        <v>671</v>
      </c>
      <c r="E199" t="s">
        <v>597</v>
      </c>
      <c r="F199" t="s">
        <v>598</v>
      </c>
      <c r="G199" t="s">
        <v>478</v>
      </c>
      <c r="H199" t="s">
        <v>2266</v>
      </c>
      <c r="I199" t="s">
        <v>2267</v>
      </c>
      <c r="J199">
        <v>2.2819999999999998E-5</v>
      </c>
      <c r="K199">
        <v>2.2819999999999998E-5</v>
      </c>
      <c r="L199">
        <v>3.3680000000000003E-5</v>
      </c>
      <c r="M199">
        <v>3.375E-5</v>
      </c>
      <c r="N199">
        <v>3.375E-5</v>
      </c>
      <c r="O199">
        <v>3.3779999999999998E-5</v>
      </c>
      <c r="P199">
        <v>3.3779999999999998E-5</v>
      </c>
      <c r="Q199">
        <v>3.3779999999999998E-5</v>
      </c>
      <c r="R199">
        <v>3.3850000000000003E-5</v>
      </c>
      <c r="S199">
        <v>3.3850000000000003E-5</v>
      </c>
      <c r="T199">
        <v>3.3880000000000001E-5</v>
      </c>
      <c r="U199">
        <v>3.3880000000000001E-5</v>
      </c>
      <c r="V199">
        <v>3.392E-5</v>
      </c>
      <c r="W199">
        <v>3.3949999999999999E-5</v>
      </c>
      <c r="X199">
        <v>3.3980000000000003E-5</v>
      </c>
      <c r="Y199">
        <v>3.4020000000000003E-5</v>
      </c>
      <c r="Z199">
        <v>3.4090000000000001E-5</v>
      </c>
      <c r="AA199">
        <v>3.4119999999999999E-5</v>
      </c>
      <c r="AB199">
        <v>3.4119999999999999E-5</v>
      </c>
      <c r="AC199">
        <v>3.4090000000000001E-5</v>
      </c>
      <c r="AD199">
        <v>3.4090000000000001E-5</v>
      </c>
      <c r="AE199">
        <v>3.4050000000000001E-5</v>
      </c>
      <c r="AF199">
        <v>3.4050000000000001E-5</v>
      </c>
      <c r="AG199">
        <v>3.4050000000000001E-5</v>
      </c>
    </row>
    <row r="200" spans="1:33">
      <c r="A200" t="s">
        <v>18727</v>
      </c>
      <c r="B200" t="s">
        <v>2277</v>
      </c>
      <c r="C200" t="s">
        <v>710</v>
      </c>
      <c r="D200" t="s">
        <v>671</v>
      </c>
      <c r="E200" t="s">
        <v>605</v>
      </c>
      <c r="F200" t="s">
        <v>598</v>
      </c>
      <c r="G200" t="s">
        <v>478</v>
      </c>
      <c r="H200" t="s">
        <v>2266</v>
      </c>
      <c r="I200" t="s">
        <v>2267</v>
      </c>
      <c r="J200">
        <v>4.0540516100000001</v>
      </c>
      <c r="K200">
        <v>4.0540516100000001</v>
      </c>
      <c r="L200">
        <v>3.5308368699999999</v>
      </c>
      <c r="M200">
        <v>3.2444742199999999</v>
      </c>
      <c r="N200">
        <v>3.02824121</v>
      </c>
      <c r="O200">
        <v>2.86945586</v>
      </c>
      <c r="P200">
        <v>2.6945410299999999</v>
      </c>
      <c r="Q200">
        <v>2.54522329</v>
      </c>
      <c r="R200">
        <v>2.4854960899999998</v>
      </c>
      <c r="S200">
        <v>2.4556325000000001</v>
      </c>
      <c r="T200">
        <v>2.4215026399999999</v>
      </c>
      <c r="U200">
        <v>2.3916392800000001</v>
      </c>
      <c r="V200">
        <v>2.2920785399999999</v>
      </c>
      <c r="W200">
        <v>2.2920785399999999</v>
      </c>
      <c r="X200">
        <v>2.2920785399999999</v>
      </c>
      <c r="Y200">
        <v>2.2920785399999999</v>
      </c>
      <c r="Z200">
        <v>2.2920785399999999</v>
      </c>
      <c r="AA200">
        <v>2.2920785399999999</v>
      </c>
      <c r="AB200">
        <v>2.2920785399999999</v>
      </c>
      <c r="AC200">
        <v>2.2920785399999999</v>
      </c>
      <c r="AD200">
        <v>2.2920785399999999</v>
      </c>
      <c r="AE200">
        <v>2.2920785399999999</v>
      </c>
      <c r="AF200">
        <v>2.2920785399999999</v>
      </c>
      <c r="AG200">
        <v>2.2920785399999999</v>
      </c>
    </row>
    <row r="201" spans="1:33">
      <c r="A201" t="s">
        <v>18727</v>
      </c>
      <c r="B201" t="s">
        <v>2278</v>
      </c>
      <c r="C201" t="s">
        <v>710</v>
      </c>
      <c r="D201" t="s">
        <v>671</v>
      </c>
      <c r="E201" t="s">
        <v>688</v>
      </c>
      <c r="F201" t="s">
        <v>598</v>
      </c>
      <c r="G201" t="s">
        <v>478</v>
      </c>
      <c r="H201" t="s">
        <v>2266</v>
      </c>
      <c r="I201" t="s">
        <v>2267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</row>
    <row r="202" spans="1:33">
      <c r="A202" t="s">
        <v>18727</v>
      </c>
      <c r="B202" t="s">
        <v>18728</v>
      </c>
      <c r="C202" t="s">
        <v>710</v>
      </c>
      <c r="D202" t="s">
        <v>671</v>
      </c>
      <c r="E202" t="s">
        <v>619</v>
      </c>
      <c r="F202" t="s">
        <v>598</v>
      </c>
      <c r="G202" t="s">
        <v>478</v>
      </c>
      <c r="H202" t="s">
        <v>2266</v>
      </c>
      <c r="I202" t="s">
        <v>2267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</row>
    <row r="203" spans="1:33">
      <c r="A203" t="s">
        <v>18727</v>
      </c>
      <c r="B203" t="s">
        <v>18729</v>
      </c>
      <c r="C203" t="s">
        <v>710</v>
      </c>
      <c r="D203" t="s">
        <v>671</v>
      </c>
      <c r="E203" t="s">
        <v>676</v>
      </c>
      <c r="F203" t="s">
        <v>598</v>
      </c>
      <c r="G203" t="s">
        <v>478</v>
      </c>
      <c r="H203" t="s">
        <v>2266</v>
      </c>
      <c r="I203" t="s">
        <v>2267</v>
      </c>
      <c r="J203">
        <v>0.18965963999999999</v>
      </c>
      <c r="K203">
        <v>0.18965963999999999</v>
      </c>
      <c r="L203">
        <v>0.26471233</v>
      </c>
      <c r="M203">
        <v>0.26471233</v>
      </c>
      <c r="N203">
        <v>0.26471233</v>
      </c>
      <c r="O203">
        <v>0.26471233</v>
      </c>
      <c r="P203">
        <v>0.26471233</v>
      </c>
      <c r="Q203">
        <v>0.26471233</v>
      </c>
      <c r="R203">
        <v>0.26471233</v>
      </c>
      <c r="S203">
        <v>0.26471233</v>
      </c>
      <c r="T203">
        <v>0.26471233</v>
      </c>
      <c r="U203">
        <v>0.26471233</v>
      </c>
      <c r="V203">
        <v>0.26471233</v>
      </c>
      <c r="W203">
        <v>0.26471233</v>
      </c>
      <c r="X203">
        <v>0.26471233</v>
      </c>
      <c r="Y203">
        <v>0.26471233</v>
      </c>
      <c r="Z203">
        <v>0.26471233</v>
      </c>
      <c r="AA203">
        <v>0.26471233</v>
      </c>
      <c r="AB203">
        <v>0.26471233</v>
      </c>
      <c r="AC203">
        <v>0.26471233</v>
      </c>
      <c r="AD203">
        <v>0.26471233</v>
      </c>
      <c r="AE203">
        <v>0.26471233</v>
      </c>
      <c r="AF203">
        <v>0.26471233</v>
      </c>
      <c r="AG203">
        <v>0.26471233</v>
      </c>
    </row>
    <row r="204" spans="1:33">
      <c r="A204" t="s">
        <v>18727</v>
      </c>
      <c r="B204" t="s">
        <v>18730</v>
      </c>
      <c r="C204" t="s">
        <v>710</v>
      </c>
      <c r="D204" t="s">
        <v>756</v>
      </c>
      <c r="E204" t="s">
        <v>597</v>
      </c>
      <c r="F204" t="s">
        <v>598</v>
      </c>
      <c r="G204" t="s">
        <v>478</v>
      </c>
      <c r="H204" t="s">
        <v>2266</v>
      </c>
      <c r="I204" t="s">
        <v>2267</v>
      </c>
      <c r="J204">
        <v>2.2212400000000002E-3</v>
      </c>
      <c r="K204">
        <v>2.2212400000000002E-3</v>
      </c>
      <c r="L204">
        <v>2.11356E-3</v>
      </c>
      <c r="M204">
        <v>2.11356E-3</v>
      </c>
      <c r="N204">
        <v>2.11356E-3</v>
      </c>
      <c r="O204">
        <v>2.11356E-3</v>
      </c>
      <c r="P204">
        <v>2.11356E-3</v>
      </c>
      <c r="Q204">
        <v>2.11356E-3</v>
      </c>
      <c r="R204">
        <v>2.11356E-3</v>
      </c>
      <c r="S204">
        <v>2.11356E-3</v>
      </c>
      <c r="T204">
        <v>1.9381400000000001E-3</v>
      </c>
      <c r="U204">
        <v>1.9381400000000001E-3</v>
      </c>
      <c r="V204">
        <v>1.9381400000000001E-3</v>
      </c>
      <c r="W204">
        <v>1.9381400000000001E-3</v>
      </c>
      <c r="X204">
        <v>1.9381400000000001E-3</v>
      </c>
      <c r="Y204">
        <v>1.9381400000000001E-3</v>
      </c>
      <c r="Z204">
        <v>1.9381400000000001E-3</v>
      </c>
      <c r="AA204">
        <v>1.9381400000000001E-3</v>
      </c>
      <c r="AB204">
        <v>1.9381400000000001E-3</v>
      </c>
      <c r="AC204">
        <v>1.9381400000000001E-3</v>
      </c>
      <c r="AD204">
        <v>1.9381400000000001E-3</v>
      </c>
      <c r="AE204">
        <v>1.9381400000000001E-3</v>
      </c>
      <c r="AF204">
        <v>1.9381400000000001E-3</v>
      </c>
      <c r="AG204">
        <v>1.9381400000000001E-3</v>
      </c>
    </row>
    <row r="205" spans="1:33">
      <c r="A205" t="s">
        <v>18727</v>
      </c>
      <c r="B205" t="s">
        <v>2279</v>
      </c>
      <c r="C205" t="s">
        <v>710</v>
      </c>
      <c r="D205" t="s">
        <v>621</v>
      </c>
      <c r="E205" t="s">
        <v>597</v>
      </c>
      <c r="F205" t="s">
        <v>598</v>
      </c>
      <c r="G205" t="s">
        <v>478</v>
      </c>
      <c r="H205" t="s">
        <v>2266</v>
      </c>
      <c r="I205" t="s">
        <v>2267</v>
      </c>
      <c r="J205">
        <v>8.2949999999999997E-5</v>
      </c>
      <c r="K205">
        <v>8.2949999999999997E-5</v>
      </c>
      <c r="L205">
        <v>7.504E-5</v>
      </c>
      <c r="M205">
        <v>7.504E-5</v>
      </c>
      <c r="N205">
        <v>7.504E-5</v>
      </c>
      <c r="O205">
        <v>7.504E-5</v>
      </c>
      <c r="P205">
        <v>7.504E-5</v>
      </c>
      <c r="Q205">
        <v>7.504E-5</v>
      </c>
      <c r="R205">
        <v>7.504E-5</v>
      </c>
      <c r="S205">
        <v>7.504E-5</v>
      </c>
      <c r="T205">
        <v>7.504E-5</v>
      </c>
      <c r="U205">
        <v>7.504E-5</v>
      </c>
      <c r="V205">
        <v>7.504E-5</v>
      </c>
      <c r="W205">
        <v>7.504E-5</v>
      </c>
      <c r="X205">
        <v>7.504E-5</v>
      </c>
      <c r="Y205">
        <v>7.504E-5</v>
      </c>
      <c r="Z205">
        <v>7.504E-5</v>
      </c>
      <c r="AA205">
        <v>7.504E-5</v>
      </c>
      <c r="AB205">
        <v>7.504E-5</v>
      </c>
      <c r="AC205">
        <v>7.504E-5</v>
      </c>
      <c r="AD205">
        <v>7.504E-5</v>
      </c>
      <c r="AE205">
        <v>7.504E-5</v>
      </c>
      <c r="AF205">
        <v>7.504E-5</v>
      </c>
      <c r="AG205">
        <v>7.504E-5</v>
      </c>
    </row>
    <row r="206" spans="1:33">
      <c r="A206" t="s">
        <v>18727</v>
      </c>
      <c r="B206" t="s">
        <v>18731</v>
      </c>
      <c r="C206" t="s">
        <v>710</v>
      </c>
      <c r="D206" t="s">
        <v>621</v>
      </c>
      <c r="E206" t="s">
        <v>603</v>
      </c>
      <c r="F206" t="s">
        <v>598</v>
      </c>
      <c r="G206" t="s">
        <v>478</v>
      </c>
      <c r="H206" t="s">
        <v>2266</v>
      </c>
      <c r="I206" t="s">
        <v>2267</v>
      </c>
      <c r="J206">
        <v>2.3695000000000001E-3</v>
      </c>
      <c r="K206">
        <v>2.3695000000000001E-3</v>
      </c>
      <c r="L206">
        <v>2.7221900000000002E-3</v>
      </c>
      <c r="M206">
        <v>2.7221900000000002E-3</v>
      </c>
      <c r="N206">
        <v>2.7221900000000002E-3</v>
      </c>
      <c r="O206">
        <v>2.7221900000000002E-3</v>
      </c>
      <c r="P206">
        <v>2.7221900000000002E-3</v>
      </c>
      <c r="Q206">
        <v>2.7221900000000002E-3</v>
      </c>
      <c r="R206">
        <v>2.7221900000000002E-3</v>
      </c>
      <c r="S206">
        <v>2.7221900000000002E-3</v>
      </c>
      <c r="T206">
        <v>2.7221900000000002E-3</v>
      </c>
      <c r="U206">
        <v>2.7221900000000002E-3</v>
      </c>
      <c r="V206">
        <v>2.7221900000000002E-3</v>
      </c>
      <c r="W206">
        <v>2.7221900000000002E-3</v>
      </c>
      <c r="X206">
        <v>2.7221900000000002E-3</v>
      </c>
      <c r="Y206">
        <v>2.7221900000000002E-3</v>
      </c>
      <c r="Z206">
        <v>2.7221900000000002E-3</v>
      </c>
      <c r="AA206">
        <v>2.7221900000000002E-3</v>
      </c>
      <c r="AB206">
        <v>2.7221900000000002E-3</v>
      </c>
      <c r="AC206">
        <v>2.7221900000000002E-3</v>
      </c>
      <c r="AD206">
        <v>2.7221900000000002E-3</v>
      </c>
      <c r="AE206">
        <v>2.7221900000000002E-3</v>
      </c>
      <c r="AF206">
        <v>2.7221900000000002E-3</v>
      </c>
      <c r="AG206">
        <v>2.7221900000000002E-3</v>
      </c>
    </row>
    <row r="207" spans="1:33">
      <c r="A207" t="s">
        <v>18727</v>
      </c>
      <c r="B207" t="s">
        <v>18732</v>
      </c>
      <c r="C207" t="s">
        <v>710</v>
      </c>
      <c r="D207" t="s">
        <v>621</v>
      </c>
      <c r="E207" t="s">
        <v>626</v>
      </c>
      <c r="F207" t="s">
        <v>598</v>
      </c>
      <c r="G207" t="s">
        <v>478</v>
      </c>
      <c r="H207" t="s">
        <v>2266</v>
      </c>
      <c r="I207" t="s">
        <v>2267</v>
      </c>
      <c r="J207">
        <v>2.6646600000000001E-3</v>
      </c>
      <c r="K207">
        <v>2.6646600000000001E-3</v>
      </c>
      <c r="L207">
        <v>3.9227699999999999E-3</v>
      </c>
      <c r="M207">
        <v>3.9227699999999999E-3</v>
      </c>
      <c r="N207">
        <v>3.9227699999999999E-3</v>
      </c>
      <c r="O207">
        <v>3.9227699999999999E-3</v>
      </c>
      <c r="P207">
        <v>3.9227699999999999E-3</v>
      </c>
      <c r="Q207">
        <v>3.9227699999999999E-3</v>
      </c>
      <c r="R207">
        <v>3.9227699999999999E-3</v>
      </c>
      <c r="S207">
        <v>3.9227699999999999E-3</v>
      </c>
      <c r="T207">
        <v>3.9227699999999999E-3</v>
      </c>
      <c r="U207">
        <v>3.9227699999999999E-3</v>
      </c>
      <c r="V207">
        <v>3.9227699999999999E-3</v>
      </c>
      <c r="W207">
        <v>3.9227699999999999E-3</v>
      </c>
      <c r="X207">
        <v>3.9227699999999999E-3</v>
      </c>
      <c r="Y207">
        <v>3.9227699999999999E-3</v>
      </c>
      <c r="Z207">
        <v>3.9227699999999999E-3</v>
      </c>
      <c r="AA207">
        <v>3.9227699999999999E-3</v>
      </c>
      <c r="AB207">
        <v>3.9227699999999999E-3</v>
      </c>
      <c r="AC207">
        <v>3.9227699999999999E-3</v>
      </c>
      <c r="AD207">
        <v>3.9227699999999999E-3</v>
      </c>
      <c r="AE207">
        <v>3.9227699999999999E-3</v>
      </c>
      <c r="AF207">
        <v>3.9227699999999999E-3</v>
      </c>
      <c r="AG207">
        <v>3.9227699999999999E-3</v>
      </c>
    </row>
    <row r="208" spans="1:33">
      <c r="A208" t="s">
        <v>18727</v>
      </c>
      <c r="B208" t="s">
        <v>2280</v>
      </c>
      <c r="C208" t="s">
        <v>710</v>
      </c>
      <c r="D208" t="s">
        <v>621</v>
      </c>
      <c r="E208" t="s">
        <v>692</v>
      </c>
      <c r="F208" t="s">
        <v>598</v>
      </c>
      <c r="G208" t="s">
        <v>478</v>
      </c>
      <c r="H208" t="s">
        <v>2266</v>
      </c>
      <c r="I208" t="s">
        <v>2267</v>
      </c>
      <c r="J208">
        <v>1.021121E-2</v>
      </c>
      <c r="K208">
        <v>1.021121E-2</v>
      </c>
      <c r="L208">
        <v>6.06428E-3</v>
      </c>
      <c r="M208">
        <v>6.07641E-3</v>
      </c>
      <c r="N208">
        <v>6.07641E-3</v>
      </c>
      <c r="O208">
        <v>6.0824700000000004E-3</v>
      </c>
      <c r="P208">
        <v>6.0824700000000004E-3</v>
      </c>
      <c r="Q208">
        <v>6.0824700000000004E-3</v>
      </c>
      <c r="R208">
        <v>6.0946000000000004E-3</v>
      </c>
      <c r="S208">
        <v>6.0946000000000004E-3</v>
      </c>
      <c r="T208">
        <v>6.1006699999999999E-3</v>
      </c>
      <c r="U208">
        <v>6.1006699999999999E-3</v>
      </c>
      <c r="V208">
        <v>6.1067300000000003E-3</v>
      </c>
      <c r="W208">
        <v>6.1127999999999998E-3</v>
      </c>
      <c r="X208">
        <v>6.1188600000000003E-3</v>
      </c>
      <c r="Y208">
        <v>6.1249199999999998E-3</v>
      </c>
      <c r="Z208">
        <v>6.1370599999999997E-3</v>
      </c>
      <c r="AA208">
        <v>6.1431200000000002E-3</v>
      </c>
      <c r="AB208">
        <v>6.1431200000000002E-3</v>
      </c>
      <c r="AC208">
        <v>6.1370599999999997E-3</v>
      </c>
      <c r="AD208">
        <v>6.1370599999999997E-3</v>
      </c>
      <c r="AE208">
        <v>6.1309900000000002E-3</v>
      </c>
      <c r="AF208">
        <v>6.1309900000000002E-3</v>
      </c>
      <c r="AG208">
        <v>6.1309900000000002E-3</v>
      </c>
    </row>
    <row r="209" spans="1:33">
      <c r="A209" t="s">
        <v>18727</v>
      </c>
      <c r="B209" t="s">
        <v>2282</v>
      </c>
      <c r="C209" t="s">
        <v>710</v>
      </c>
      <c r="D209" t="s">
        <v>632</v>
      </c>
      <c r="E209" t="s">
        <v>597</v>
      </c>
      <c r="F209" t="s">
        <v>598</v>
      </c>
      <c r="G209" t="s">
        <v>478</v>
      </c>
      <c r="H209" t="s">
        <v>2266</v>
      </c>
      <c r="I209" t="s">
        <v>2267</v>
      </c>
      <c r="J209">
        <v>0.33584711</v>
      </c>
      <c r="K209">
        <v>0.33584711</v>
      </c>
      <c r="L209">
        <v>0.13451597000000001</v>
      </c>
      <c r="M209">
        <v>7.7728030000000004E-2</v>
      </c>
      <c r="N209">
        <v>7.2565829999999998E-2</v>
      </c>
      <c r="O209">
        <v>6.880037E-2</v>
      </c>
      <c r="P209">
        <v>6.4493620000000002E-2</v>
      </c>
      <c r="Q209">
        <v>6.0940550000000003E-2</v>
      </c>
      <c r="R209">
        <v>5.9540849999999999E-2</v>
      </c>
      <c r="S209">
        <v>5.878717E-2</v>
      </c>
      <c r="T209">
        <v>5.803349E-2</v>
      </c>
      <c r="U209">
        <v>5.7172140000000003E-2</v>
      </c>
      <c r="V209">
        <v>5.4875989999999999E-2</v>
      </c>
      <c r="W209">
        <v>5.4875989999999999E-2</v>
      </c>
      <c r="X209">
        <v>5.4875989999999999E-2</v>
      </c>
      <c r="Y209">
        <v>5.4875989999999999E-2</v>
      </c>
      <c r="Z209">
        <v>5.4875989999999999E-2</v>
      </c>
      <c r="AA209">
        <v>5.4875989999999999E-2</v>
      </c>
      <c r="AB209">
        <v>5.4875989999999999E-2</v>
      </c>
      <c r="AC209">
        <v>5.4875989999999999E-2</v>
      </c>
      <c r="AD209">
        <v>5.4875989999999999E-2</v>
      </c>
      <c r="AE209">
        <v>5.4875989999999999E-2</v>
      </c>
      <c r="AF209">
        <v>5.4875989999999999E-2</v>
      </c>
      <c r="AG209">
        <v>5.4875989999999999E-2</v>
      </c>
    </row>
    <row r="210" spans="1:33">
      <c r="A210" t="s">
        <v>18727</v>
      </c>
      <c r="B210" t="s">
        <v>18733</v>
      </c>
      <c r="C210" t="s">
        <v>710</v>
      </c>
      <c r="D210" t="s">
        <v>632</v>
      </c>
      <c r="E210" t="s">
        <v>605</v>
      </c>
      <c r="F210" t="s">
        <v>598</v>
      </c>
      <c r="G210" t="s">
        <v>478</v>
      </c>
      <c r="H210" t="s">
        <v>2266</v>
      </c>
      <c r="I210" t="s">
        <v>2267</v>
      </c>
      <c r="J210">
        <v>0.54614341</v>
      </c>
      <c r="K210">
        <v>0.54614341</v>
      </c>
      <c r="L210">
        <v>0.27585468000000002</v>
      </c>
      <c r="M210">
        <v>0.15918544000000001</v>
      </c>
      <c r="N210">
        <v>0.14864334000000001</v>
      </c>
      <c r="O210">
        <v>0.14098558999999999</v>
      </c>
      <c r="P210">
        <v>0.13221247</v>
      </c>
      <c r="Q210">
        <v>0.12497849</v>
      </c>
      <c r="R210">
        <v>0.12190019000000001</v>
      </c>
      <c r="S210">
        <v>0.12036106000000001</v>
      </c>
      <c r="T210">
        <v>0.11882191</v>
      </c>
      <c r="U210">
        <v>0.11728278</v>
      </c>
      <c r="V210">
        <v>0.1124469</v>
      </c>
      <c r="W210">
        <v>0.1124469</v>
      </c>
      <c r="X210">
        <v>0.1124469</v>
      </c>
      <c r="Y210">
        <v>0.1124469</v>
      </c>
      <c r="Z210">
        <v>0.1124469</v>
      </c>
      <c r="AA210">
        <v>0.1124469</v>
      </c>
      <c r="AB210">
        <v>0.1124469</v>
      </c>
      <c r="AC210">
        <v>0.1124469</v>
      </c>
      <c r="AD210">
        <v>0.1124469</v>
      </c>
      <c r="AE210">
        <v>0.1124469</v>
      </c>
      <c r="AF210">
        <v>0.1124469</v>
      </c>
      <c r="AG210">
        <v>0.1124469</v>
      </c>
    </row>
    <row r="211" spans="1:33">
      <c r="A211" t="s">
        <v>18727</v>
      </c>
      <c r="B211" t="s">
        <v>2284</v>
      </c>
      <c r="C211" t="s">
        <v>710</v>
      </c>
      <c r="D211" t="s">
        <v>632</v>
      </c>
      <c r="E211" t="s">
        <v>723</v>
      </c>
      <c r="F211" t="s">
        <v>598</v>
      </c>
      <c r="G211" t="s">
        <v>478</v>
      </c>
      <c r="H211" t="s">
        <v>2266</v>
      </c>
      <c r="I211" t="s">
        <v>2267</v>
      </c>
      <c r="J211">
        <v>0.33287650000000002</v>
      </c>
      <c r="K211">
        <v>0.33287650000000002</v>
      </c>
      <c r="L211">
        <v>0.33171254</v>
      </c>
      <c r="M211">
        <v>0.30500688999999997</v>
      </c>
      <c r="N211">
        <v>0.28486049000000002</v>
      </c>
      <c r="O211">
        <v>0.26985376999999999</v>
      </c>
      <c r="P211">
        <v>0.25309479000000001</v>
      </c>
      <c r="Q211">
        <v>0.23941398999999999</v>
      </c>
      <c r="R211">
        <v>0.23359968</v>
      </c>
      <c r="S211">
        <v>0.23052149999999999</v>
      </c>
      <c r="T211">
        <v>0.22744332</v>
      </c>
      <c r="U211">
        <v>0.22436513</v>
      </c>
      <c r="V211">
        <v>0.21530580999999999</v>
      </c>
      <c r="W211">
        <v>0.21530580999999999</v>
      </c>
      <c r="X211">
        <v>0.21530580999999999</v>
      </c>
      <c r="Y211">
        <v>0.21530580999999999</v>
      </c>
      <c r="Z211">
        <v>0.21530580999999999</v>
      </c>
      <c r="AA211">
        <v>0.21530580999999999</v>
      </c>
      <c r="AB211">
        <v>0.21530580999999999</v>
      </c>
      <c r="AC211">
        <v>0.21530580999999999</v>
      </c>
      <c r="AD211">
        <v>0.21530580999999999</v>
      </c>
      <c r="AE211">
        <v>0.21530580999999999</v>
      </c>
      <c r="AF211">
        <v>0.21530580999999999</v>
      </c>
      <c r="AG211">
        <v>0.21530580999999999</v>
      </c>
    </row>
    <row r="212" spans="1:33">
      <c r="A212" t="s">
        <v>18727</v>
      </c>
      <c r="B212" t="s">
        <v>2285</v>
      </c>
      <c r="C212" t="s">
        <v>710</v>
      </c>
      <c r="D212" t="s">
        <v>640</v>
      </c>
      <c r="E212" t="s">
        <v>597</v>
      </c>
      <c r="F212" t="s">
        <v>598</v>
      </c>
      <c r="G212" t="s">
        <v>478</v>
      </c>
      <c r="H212" t="s">
        <v>2266</v>
      </c>
      <c r="I212" t="s">
        <v>2267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</row>
    <row r="213" spans="1:33">
      <c r="A213" t="s">
        <v>18727</v>
      </c>
      <c r="B213" t="s">
        <v>2286</v>
      </c>
      <c r="C213" t="s">
        <v>710</v>
      </c>
      <c r="D213" t="s">
        <v>640</v>
      </c>
      <c r="E213" t="s">
        <v>642</v>
      </c>
      <c r="F213" t="s">
        <v>598</v>
      </c>
      <c r="G213" t="s">
        <v>478</v>
      </c>
      <c r="H213" t="s">
        <v>2266</v>
      </c>
      <c r="I213" t="s">
        <v>2267</v>
      </c>
      <c r="J213">
        <v>2.23003E-3</v>
      </c>
      <c r="K213">
        <v>2.23003E-3</v>
      </c>
      <c r="L213">
        <v>1.063E-4</v>
      </c>
      <c r="M213">
        <v>1.0652E-4</v>
      </c>
      <c r="N213">
        <v>1.0652E-4</v>
      </c>
      <c r="O213">
        <v>1.0662000000000001E-4</v>
      </c>
      <c r="P213">
        <v>1.0662000000000001E-4</v>
      </c>
      <c r="Q213">
        <v>1.0662000000000001E-4</v>
      </c>
      <c r="R213">
        <v>1.0684E-4</v>
      </c>
      <c r="S213">
        <v>1.0684E-4</v>
      </c>
      <c r="T213">
        <v>1.0694E-4</v>
      </c>
      <c r="U213">
        <v>1.0694E-4</v>
      </c>
      <c r="V213">
        <v>1.0705E-4</v>
      </c>
      <c r="W213">
        <v>1.0715E-4</v>
      </c>
      <c r="X213">
        <v>1.0726E-4</v>
      </c>
      <c r="Y213">
        <v>1.0737E-4</v>
      </c>
      <c r="Z213">
        <v>1.0758E-4</v>
      </c>
      <c r="AA213">
        <v>1.0768999999999999E-4</v>
      </c>
      <c r="AB213">
        <v>1.0768999999999999E-4</v>
      </c>
      <c r="AC213">
        <v>1.0758E-4</v>
      </c>
      <c r="AD213">
        <v>1.0758E-4</v>
      </c>
      <c r="AE213">
        <v>1.0747E-4</v>
      </c>
      <c r="AF213">
        <v>1.0747E-4</v>
      </c>
      <c r="AG213">
        <v>1.0747E-4</v>
      </c>
    </row>
    <row r="214" spans="1:33">
      <c r="A214" t="s">
        <v>18727</v>
      </c>
      <c r="B214" t="s">
        <v>2288</v>
      </c>
      <c r="C214" t="s">
        <v>710</v>
      </c>
      <c r="D214" t="s">
        <v>640</v>
      </c>
      <c r="E214" t="s">
        <v>613</v>
      </c>
      <c r="F214" t="s">
        <v>598</v>
      </c>
      <c r="G214" t="s">
        <v>478</v>
      </c>
      <c r="H214" t="s">
        <v>2266</v>
      </c>
      <c r="I214" t="s">
        <v>2267</v>
      </c>
      <c r="J214">
        <v>0.14743848000000001</v>
      </c>
      <c r="K214">
        <v>0.14743848000000001</v>
      </c>
      <c r="L214">
        <v>0.14223901999999999</v>
      </c>
      <c r="M214">
        <v>0.1421278</v>
      </c>
      <c r="N214">
        <v>0.14216081</v>
      </c>
      <c r="O214">
        <v>0.14218307999999999</v>
      </c>
      <c r="P214">
        <v>0.14220453999999999</v>
      </c>
      <c r="Q214">
        <v>0.14220371000000001</v>
      </c>
      <c r="R214">
        <v>0.14222351999999999</v>
      </c>
      <c r="S214">
        <v>0.14223011999999999</v>
      </c>
      <c r="T214">
        <v>0.14223094</v>
      </c>
      <c r="U214">
        <v>0.14223258999999999</v>
      </c>
      <c r="V214">
        <v>0.14223342</v>
      </c>
      <c r="W214">
        <v>0.14223424000000001</v>
      </c>
      <c r="X214">
        <v>0.14223506999999999</v>
      </c>
      <c r="Y214">
        <v>0.14223342</v>
      </c>
      <c r="Z214">
        <v>0.14223258999999999</v>
      </c>
      <c r="AA214">
        <v>0.14223094</v>
      </c>
      <c r="AB214">
        <v>0.14222351999999999</v>
      </c>
      <c r="AC214">
        <v>0.14221691</v>
      </c>
      <c r="AD214">
        <v>0.14220948999999999</v>
      </c>
      <c r="AE214">
        <v>0.14220289</v>
      </c>
      <c r="AF214">
        <v>0.14219546</v>
      </c>
      <c r="AG214">
        <v>0.14218802999999999</v>
      </c>
    </row>
    <row r="215" spans="1:33">
      <c r="J215">
        <f>SUBTOTAL(109,Table133[2023])</f>
        <v>6.8725885200000008</v>
      </c>
      <c r="K215">
        <f>SUBTOTAL(109,Table133[2024])</f>
        <v>6.8725885200000008</v>
      </c>
      <c r="L215">
        <f>SUBTOTAL(109,Table133[2025])</f>
        <v>5.885200629999999</v>
      </c>
      <c r="M215">
        <f>SUBTOTAL(109,Table133[2026])</f>
        <v>5.3025850999999991</v>
      </c>
      <c r="N215">
        <f>SUBTOTAL(109,Table133[2027])</f>
        <v>4.9761412500000004</v>
      </c>
      <c r="O215">
        <f>SUBTOTAL(109,Table133[2028])</f>
        <v>4.7380631699999993</v>
      </c>
      <c r="P215">
        <f>SUBTOTAL(109,Table133[2029])</f>
        <v>4.47376839</v>
      </c>
      <c r="Q215">
        <f>SUBTOTAL(109,Table133[2030])</f>
        <v>4.2509305100000017</v>
      </c>
      <c r="R215">
        <f>SUBTOTAL(109,Table133[2031])</f>
        <v>4.1599210299999996</v>
      </c>
      <c r="S215">
        <f>SUBTOTAL(109,Table133[2032])</f>
        <v>4.1141820600000001</v>
      </c>
      <c r="T215">
        <f>SUBTOTAL(109,Table133[2033])</f>
        <v>4.0640017500000001</v>
      </c>
      <c r="U215">
        <f>SUBTOTAL(109,Table133[2034])</f>
        <v>4.0181503900000006</v>
      </c>
      <c r="V215">
        <f>SUBTOTAL(109,Table133[2035])</f>
        <v>3.8692811300000005</v>
      </c>
      <c r="W215">
        <f>SUBTOTAL(109,Table133[2036])</f>
        <v>3.86928815</v>
      </c>
      <c r="X215">
        <f>SUBTOTAL(109,Table133[2037])</f>
        <v>3.8692951799999999</v>
      </c>
      <c r="Y215">
        <f>SUBTOTAL(109,Table133[2038])</f>
        <v>3.8692997400000002</v>
      </c>
      <c r="Z215">
        <f>SUBTOTAL(109,Table133[2039])</f>
        <v>3.8693113299999999</v>
      </c>
      <c r="AA215">
        <f>SUBTOTAL(109,Table133[2040])</f>
        <v>3.8693158800000003</v>
      </c>
      <c r="AB215">
        <f>SUBTOTAL(109,Table133[2041])</f>
        <v>3.8693084600000001</v>
      </c>
      <c r="AC215">
        <f>SUBTOTAL(109,Table133[2042])</f>
        <v>3.8692956500000002</v>
      </c>
      <c r="AD215">
        <f>SUBTOTAL(109,Table133[2043])</f>
        <v>3.86928823</v>
      </c>
      <c r="AE215">
        <f>SUBTOTAL(109,Table133[2044])</f>
        <v>3.8692754100000002</v>
      </c>
      <c r="AF215">
        <f>SUBTOTAL(109,Table133[2045])</f>
        <v>3.8692679800000001</v>
      </c>
      <c r="AG215">
        <f>SUBTOTAL(109,Table133[2046])</f>
        <v>3.8692605499999999</v>
      </c>
    </row>
    <row r="217" spans="1:33">
      <c r="A217" t="s">
        <v>569</v>
      </c>
      <c r="B217" t="s">
        <v>570</v>
      </c>
      <c r="C217" t="s">
        <v>571</v>
      </c>
      <c r="D217" t="s">
        <v>572</v>
      </c>
      <c r="E217" t="s">
        <v>573</v>
      </c>
      <c r="F217" t="s">
        <v>574</v>
      </c>
      <c r="G217" t="s">
        <v>575</v>
      </c>
      <c r="H217" t="s">
        <v>576</v>
      </c>
      <c r="I217" t="s">
        <v>577</v>
      </c>
      <c r="J217" t="s">
        <v>586</v>
      </c>
      <c r="K217" t="s">
        <v>587</v>
      </c>
      <c r="L217" t="s">
        <v>588</v>
      </c>
      <c r="M217" t="s">
        <v>589</v>
      </c>
      <c r="N217" t="s">
        <v>590</v>
      </c>
      <c r="O217" t="s">
        <v>591</v>
      </c>
      <c r="P217" t="s">
        <v>592</v>
      </c>
      <c r="Q217" t="s">
        <v>593</v>
      </c>
      <c r="R217" t="s">
        <v>2248</v>
      </c>
      <c r="S217" t="s">
        <v>2249</v>
      </c>
      <c r="T217" t="s">
        <v>2250</v>
      </c>
      <c r="U217" t="s">
        <v>2251</v>
      </c>
      <c r="V217" t="s">
        <v>2252</v>
      </c>
      <c r="W217" t="s">
        <v>2253</v>
      </c>
      <c r="X217" t="s">
        <v>2254</v>
      </c>
      <c r="Y217" t="s">
        <v>2255</v>
      </c>
      <c r="Z217" t="s">
        <v>2256</v>
      </c>
      <c r="AA217" t="s">
        <v>2257</v>
      </c>
      <c r="AB217" t="s">
        <v>2258</v>
      </c>
      <c r="AC217" t="s">
        <v>2259</v>
      </c>
      <c r="AD217" t="s">
        <v>2260</v>
      </c>
      <c r="AE217" t="s">
        <v>2261</v>
      </c>
      <c r="AF217" t="s">
        <v>2262</v>
      </c>
      <c r="AG217" t="s">
        <v>2263</v>
      </c>
    </row>
    <row r="218" spans="1:33">
      <c r="A218" t="s">
        <v>18727</v>
      </c>
      <c r="B218" t="s">
        <v>18640</v>
      </c>
      <c r="C218" t="s">
        <v>1382</v>
      </c>
      <c r="D218" t="s">
        <v>1274</v>
      </c>
      <c r="E218" t="s">
        <v>973</v>
      </c>
      <c r="F218" t="s">
        <v>598</v>
      </c>
      <c r="G218" t="s">
        <v>478</v>
      </c>
      <c r="H218" t="s">
        <v>2266</v>
      </c>
      <c r="I218" t="s">
        <v>2267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</row>
    <row r="219" spans="1:33">
      <c r="A219" t="s">
        <v>18727</v>
      </c>
      <c r="B219" t="s">
        <v>18694</v>
      </c>
      <c r="C219" t="s">
        <v>1382</v>
      </c>
      <c r="D219" t="s">
        <v>1281</v>
      </c>
      <c r="E219" t="s">
        <v>973</v>
      </c>
      <c r="F219" t="s">
        <v>598</v>
      </c>
      <c r="G219" t="s">
        <v>478</v>
      </c>
      <c r="H219" t="s">
        <v>2266</v>
      </c>
      <c r="I219" t="s">
        <v>2267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</row>
    <row r="220" spans="1:33">
      <c r="A220" t="s">
        <v>18727</v>
      </c>
      <c r="B220" t="s">
        <v>18641</v>
      </c>
      <c r="C220" t="s">
        <v>1382</v>
      </c>
      <c r="D220" t="s">
        <v>1285</v>
      </c>
      <c r="E220" t="s">
        <v>973</v>
      </c>
      <c r="F220" t="s">
        <v>598</v>
      </c>
      <c r="G220" t="s">
        <v>478</v>
      </c>
      <c r="H220" t="s">
        <v>2266</v>
      </c>
      <c r="I220" t="s">
        <v>2267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</row>
    <row r="221" spans="1:33">
      <c r="A221" t="s">
        <v>18727</v>
      </c>
      <c r="B221" t="s">
        <v>18695</v>
      </c>
      <c r="C221" t="s">
        <v>1382</v>
      </c>
      <c r="D221" t="s">
        <v>1287</v>
      </c>
      <c r="E221" t="s">
        <v>973</v>
      </c>
      <c r="F221" t="s">
        <v>598</v>
      </c>
      <c r="G221" t="s">
        <v>478</v>
      </c>
      <c r="H221" t="s">
        <v>2266</v>
      </c>
      <c r="I221" t="s">
        <v>2267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</row>
    <row r="222" spans="1:33">
      <c r="A222" t="s">
        <v>18727</v>
      </c>
      <c r="B222" t="s">
        <v>18642</v>
      </c>
      <c r="C222" t="s">
        <v>1382</v>
      </c>
      <c r="D222" t="s">
        <v>1305</v>
      </c>
      <c r="E222" t="s">
        <v>973</v>
      </c>
      <c r="F222" t="s">
        <v>598</v>
      </c>
      <c r="G222" t="s">
        <v>478</v>
      </c>
      <c r="H222" t="s">
        <v>2266</v>
      </c>
      <c r="I222" t="s">
        <v>2267</v>
      </c>
      <c r="J222">
        <v>2.54485E-3</v>
      </c>
      <c r="K222">
        <v>2.5869899999999999E-3</v>
      </c>
      <c r="L222">
        <v>2.6291299999999999E-3</v>
      </c>
      <c r="M222">
        <v>2.6783000000000002E-3</v>
      </c>
      <c r="N222">
        <v>2.7251200000000001E-3</v>
      </c>
      <c r="O222">
        <v>2.7649200000000001E-3</v>
      </c>
      <c r="P222">
        <v>2.8047200000000001E-3</v>
      </c>
      <c r="Q222">
        <v>2.8351600000000002E-3</v>
      </c>
      <c r="R222">
        <v>2.8679299999999999E-3</v>
      </c>
      <c r="S222">
        <v>2.9007099999999999E-3</v>
      </c>
      <c r="T222">
        <v>2.93349E-3</v>
      </c>
      <c r="U222">
        <v>2.9662600000000001E-3</v>
      </c>
      <c r="V222">
        <v>2.9990400000000001E-3</v>
      </c>
      <c r="W222">
        <v>3.0341600000000002E-3</v>
      </c>
      <c r="X222">
        <v>3.0669299999999998E-3</v>
      </c>
      <c r="Y222">
        <v>3.0997099999999999E-3</v>
      </c>
      <c r="Z222">
        <v>3.1348299999999999E-3</v>
      </c>
      <c r="AA222">
        <v>3.1676E-3</v>
      </c>
      <c r="AB222">
        <v>3.20272E-3</v>
      </c>
      <c r="AC222">
        <v>3.2355000000000001E-3</v>
      </c>
      <c r="AD222">
        <v>3.2706100000000002E-3</v>
      </c>
      <c r="AE222">
        <v>3.3033899999999998E-3</v>
      </c>
      <c r="AF222">
        <v>3.3385099999999998E-3</v>
      </c>
      <c r="AG222">
        <v>3.3736299999999999E-3</v>
      </c>
    </row>
    <row r="223" spans="1:33">
      <c r="A223" t="s">
        <v>18727</v>
      </c>
      <c r="B223" t="s">
        <v>18643</v>
      </c>
      <c r="C223" t="s">
        <v>1382</v>
      </c>
      <c r="D223" t="s">
        <v>1311</v>
      </c>
      <c r="E223" t="s">
        <v>973</v>
      </c>
      <c r="F223" t="s">
        <v>598</v>
      </c>
      <c r="G223" t="s">
        <v>478</v>
      </c>
      <c r="H223" t="s">
        <v>2266</v>
      </c>
      <c r="I223" t="s">
        <v>2267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</row>
    <row r="224" spans="1:33">
      <c r="A224" t="s">
        <v>18727</v>
      </c>
      <c r="B224" t="s">
        <v>2265</v>
      </c>
      <c r="C224" t="s">
        <v>1382</v>
      </c>
      <c r="D224" t="s">
        <v>1311</v>
      </c>
      <c r="E224" t="s">
        <v>597</v>
      </c>
      <c r="F224" t="s">
        <v>598</v>
      </c>
      <c r="G224" t="s">
        <v>478</v>
      </c>
      <c r="H224" t="s">
        <v>2266</v>
      </c>
      <c r="I224" t="s">
        <v>2267</v>
      </c>
      <c r="J224">
        <v>3.5350560000000003E-2</v>
      </c>
      <c r="K224">
        <v>3.5350560000000003E-2</v>
      </c>
      <c r="L224">
        <v>2.9597399999999999E-2</v>
      </c>
      <c r="M224">
        <v>2.965659E-2</v>
      </c>
      <c r="N224">
        <v>2.965659E-2</v>
      </c>
      <c r="O224">
        <v>2.9686190000000001E-2</v>
      </c>
      <c r="P224">
        <v>2.9686190000000001E-2</v>
      </c>
      <c r="Q224">
        <v>2.9686190000000001E-2</v>
      </c>
      <c r="R224">
        <v>2.9745379999999998E-2</v>
      </c>
      <c r="S224">
        <v>2.9745379999999998E-2</v>
      </c>
      <c r="T224">
        <v>2.977498E-2</v>
      </c>
      <c r="U224">
        <v>2.977498E-2</v>
      </c>
      <c r="V224">
        <v>2.9804580000000001E-2</v>
      </c>
      <c r="W224">
        <v>2.9834179999999998E-2</v>
      </c>
      <c r="X224">
        <v>2.9863770000000001E-2</v>
      </c>
      <c r="Y224">
        <v>2.9893369999999999E-2</v>
      </c>
      <c r="Z224">
        <v>2.9952570000000001E-2</v>
      </c>
      <c r="AA224">
        <v>2.9982160000000001E-2</v>
      </c>
      <c r="AB224">
        <v>2.9982160000000001E-2</v>
      </c>
      <c r="AC224">
        <v>2.9952570000000001E-2</v>
      </c>
      <c r="AD224">
        <v>2.9952570000000001E-2</v>
      </c>
      <c r="AE224">
        <v>2.992297E-2</v>
      </c>
      <c r="AF224">
        <v>2.992297E-2</v>
      </c>
      <c r="AG224">
        <v>2.992297E-2</v>
      </c>
    </row>
    <row r="225" spans="1:33">
      <c r="A225" t="s">
        <v>18727</v>
      </c>
      <c r="B225" t="s">
        <v>18696</v>
      </c>
      <c r="C225" t="s">
        <v>1382</v>
      </c>
      <c r="D225" t="s">
        <v>1311</v>
      </c>
      <c r="E225" t="s">
        <v>642</v>
      </c>
      <c r="F225" t="s">
        <v>598</v>
      </c>
      <c r="G225" t="s">
        <v>478</v>
      </c>
      <c r="H225" t="s">
        <v>2266</v>
      </c>
      <c r="I225" t="s">
        <v>2267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</row>
    <row r="226" spans="1:33">
      <c r="A226" t="s">
        <v>18727</v>
      </c>
      <c r="B226" t="s">
        <v>18644</v>
      </c>
      <c r="C226" t="s">
        <v>1382</v>
      </c>
      <c r="D226" t="s">
        <v>1311</v>
      </c>
      <c r="E226" t="s">
        <v>605</v>
      </c>
      <c r="F226" t="s">
        <v>598</v>
      </c>
      <c r="G226" t="s">
        <v>478</v>
      </c>
      <c r="H226" t="s">
        <v>2266</v>
      </c>
      <c r="I226" t="s">
        <v>2267</v>
      </c>
      <c r="J226">
        <v>8.4164630000000004E-2</v>
      </c>
      <c r="K226">
        <v>7.9896079999999994E-2</v>
      </c>
      <c r="L226">
        <v>7.5534749999999998E-2</v>
      </c>
      <c r="M226">
        <v>7.5534749999999998E-2</v>
      </c>
      <c r="N226">
        <v>7.5534749999999998E-2</v>
      </c>
      <c r="O226">
        <v>7.5534749999999998E-2</v>
      </c>
      <c r="P226">
        <v>7.5534749999999998E-2</v>
      </c>
      <c r="Q226">
        <v>7.5534749999999998E-2</v>
      </c>
      <c r="R226">
        <v>7.5534749999999998E-2</v>
      </c>
      <c r="S226">
        <v>7.5534749999999998E-2</v>
      </c>
      <c r="T226">
        <v>7.5534749999999998E-2</v>
      </c>
      <c r="U226">
        <v>7.5534749999999998E-2</v>
      </c>
      <c r="V226">
        <v>7.5534749999999998E-2</v>
      </c>
      <c r="W226">
        <v>7.5534749999999998E-2</v>
      </c>
      <c r="X226">
        <v>7.5534749999999998E-2</v>
      </c>
      <c r="Y226">
        <v>7.5534749999999998E-2</v>
      </c>
      <c r="Z226">
        <v>7.5534749999999998E-2</v>
      </c>
      <c r="AA226">
        <v>7.5534749999999998E-2</v>
      </c>
      <c r="AB226">
        <v>7.5534749999999998E-2</v>
      </c>
      <c r="AC226">
        <v>7.5534749999999998E-2</v>
      </c>
      <c r="AD226">
        <v>7.5534749999999998E-2</v>
      </c>
      <c r="AE226">
        <v>7.5534749999999998E-2</v>
      </c>
      <c r="AF226">
        <v>7.5534749999999998E-2</v>
      </c>
      <c r="AG226">
        <v>7.5534749999999998E-2</v>
      </c>
    </row>
    <row r="227" spans="1:33">
      <c r="A227" t="s">
        <v>18727</v>
      </c>
      <c r="B227" t="s">
        <v>18645</v>
      </c>
      <c r="C227" t="s">
        <v>1382</v>
      </c>
      <c r="D227" t="s">
        <v>1392</v>
      </c>
      <c r="E227" t="s">
        <v>1393</v>
      </c>
      <c r="F227" t="s">
        <v>598</v>
      </c>
      <c r="G227" t="s">
        <v>478</v>
      </c>
      <c r="H227" t="s">
        <v>2266</v>
      </c>
      <c r="I227" t="s">
        <v>2267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</row>
    <row r="228" spans="1:33">
      <c r="A228" t="s">
        <v>18727</v>
      </c>
      <c r="B228" t="s">
        <v>18647</v>
      </c>
      <c r="C228" t="s">
        <v>1382</v>
      </c>
      <c r="D228" t="s">
        <v>1316</v>
      </c>
      <c r="E228" t="s">
        <v>688</v>
      </c>
      <c r="F228" t="s">
        <v>598</v>
      </c>
      <c r="G228" t="s">
        <v>478</v>
      </c>
      <c r="H228" t="s">
        <v>2266</v>
      </c>
      <c r="I228" t="s">
        <v>2267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</row>
    <row r="229" spans="1:33">
      <c r="A229" t="s">
        <v>18727</v>
      </c>
      <c r="B229" t="s">
        <v>18648</v>
      </c>
      <c r="C229" t="s">
        <v>1382</v>
      </c>
      <c r="D229" t="s">
        <v>1316</v>
      </c>
      <c r="E229" t="s">
        <v>626</v>
      </c>
      <c r="F229" t="s">
        <v>598</v>
      </c>
      <c r="G229" t="s">
        <v>478</v>
      </c>
      <c r="H229" t="s">
        <v>2266</v>
      </c>
      <c r="I229" t="s">
        <v>2267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</row>
    <row r="230" spans="1:33">
      <c r="A230" t="s">
        <v>18727</v>
      </c>
      <c r="B230" t="s">
        <v>18649</v>
      </c>
      <c r="C230" t="s">
        <v>1382</v>
      </c>
      <c r="D230" t="s">
        <v>1316</v>
      </c>
      <c r="E230" t="s">
        <v>1334</v>
      </c>
      <c r="F230" t="s">
        <v>598</v>
      </c>
      <c r="G230" t="s">
        <v>478</v>
      </c>
      <c r="H230" t="s">
        <v>2266</v>
      </c>
      <c r="I230" t="s">
        <v>2267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</row>
    <row r="231" spans="1:33">
      <c r="A231" t="s">
        <v>18727</v>
      </c>
      <c r="B231" t="s">
        <v>18734</v>
      </c>
      <c r="C231" t="s">
        <v>1382</v>
      </c>
      <c r="D231" t="s">
        <v>1316</v>
      </c>
      <c r="E231" t="s">
        <v>1399</v>
      </c>
      <c r="F231" t="s">
        <v>598</v>
      </c>
      <c r="G231" t="s">
        <v>478</v>
      </c>
      <c r="H231" t="s">
        <v>2266</v>
      </c>
      <c r="I231" t="s">
        <v>2267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</row>
    <row r="232" spans="1:33">
      <c r="A232" t="s">
        <v>18727</v>
      </c>
      <c r="B232" t="s">
        <v>18697</v>
      </c>
      <c r="C232" t="s">
        <v>1382</v>
      </c>
      <c r="D232" t="s">
        <v>1316</v>
      </c>
      <c r="E232" t="s">
        <v>1417</v>
      </c>
      <c r="F232" t="s">
        <v>598</v>
      </c>
      <c r="G232" t="s">
        <v>478</v>
      </c>
      <c r="H232" t="s">
        <v>2266</v>
      </c>
      <c r="I232" t="s">
        <v>2267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</row>
    <row r="233" spans="1:33">
      <c r="A233" t="s">
        <v>18727</v>
      </c>
      <c r="B233" t="s">
        <v>18698</v>
      </c>
      <c r="C233" t="s">
        <v>1382</v>
      </c>
      <c r="D233" t="s">
        <v>1316</v>
      </c>
      <c r="E233" t="s">
        <v>1326</v>
      </c>
      <c r="F233" t="s">
        <v>598</v>
      </c>
      <c r="G233" t="s">
        <v>478</v>
      </c>
      <c r="H233" t="s">
        <v>2266</v>
      </c>
      <c r="I233" t="s">
        <v>2267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</row>
    <row r="234" spans="1:33">
      <c r="A234" t="s">
        <v>18727</v>
      </c>
      <c r="B234" t="s">
        <v>18735</v>
      </c>
      <c r="C234" t="s">
        <v>1382</v>
      </c>
      <c r="D234" t="s">
        <v>1316</v>
      </c>
      <c r="E234" t="s">
        <v>1402</v>
      </c>
      <c r="F234" t="s">
        <v>598</v>
      </c>
      <c r="G234" t="s">
        <v>478</v>
      </c>
      <c r="H234" t="s">
        <v>2266</v>
      </c>
      <c r="I234" t="s">
        <v>2267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</row>
    <row r="235" spans="1:33">
      <c r="A235" t="s">
        <v>18727</v>
      </c>
      <c r="B235" t="s">
        <v>18699</v>
      </c>
      <c r="C235" t="s">
        <v>1382</v>
      </c>
      <c r="D235" t="s">
        <v>1316</v>
      </c>
      <c r="E235" t="s">
        <v>892</v>
      </c>
      <c r="F235" t="s">
        <v>598</v>
      </c>
      <c r="G235" t="s">
        <v>478</v>
      </c>
      <c r="H235" t="s">
        <v>2266</v>
      </c>
      <c r="I235" t="s">
        <v>2267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</row>
    <row r="236" spans="1:33">
      <c r="A236" t="s">
        <v>18727</v>
      </c>
      <c r="B236" t="s">
        <v>18700</v>
      </c>
      <c r="C236" t="s">
        <v>1382</v>
      </c>
      <c r="D236" t="s">
        <v>1316</v>
      </c>
      <c r="E236" t="s">
        <v>678</v>
      </c>
      <c r="F236" t="s">
        <v>598</v>
      </c>
      <c r="G236" t="s">
        <v>478</v>
      </c>
      <c r="H236" t="s">
        <v>2266</v>
      </c>
      <c r="I236" t="s">
        <v>2267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</row>
    <row r="237" spans="1:33">
      <c r="A237" t="s">
        <v>18727</v>
      </c>
      <c r="B237" t="s">
        <v>18650</v>
      </c>
      <c r="C237" t="s">
        <v>1382</v>
      </c>
      <c r="D237" t="s">
        <v>1316</v>
      </c>
      <c r="E237" t="s">
        <v>1318</v>
      </c>
      <c r="F237" t="s">
        <v>598</v>
      </c>
      <c r="G237" t="s">
        <v>478</v>
      </c>
      <c r="H237" t="s">
        <v>2266</v>
      </c>
      <c r="I237" t="s">
        <v>2267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</row>
    <row r="238" spans="1:33">
      <c r="A238" t="s">
        <v>18727</v>
      </c>
      <c r="B238" t="s">
        <v>18651</v>
      </c>
      <c r="C238" t="s">
        <v>1382</v>
      </c>
      <c r="D238" t="s">
        <v>1316</v>
      </c>
      <c r="E238" t="s">
        <v>1198</v>
      </c>
      <c r="F238" t="s">
        <v>598</v>
      </c>
      <c r="G238" t="s">
        <v>478</v>
      </c>
      <c r="H238" t="s">
        <v>2266</v>
      </c>
      <c r="I238" t="s">
        <v>2267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</row>
    <row r="239" spans="1:33">
      <c r="A239" t="s">
        <v>18727</v>
      </c>
      <c r="B239" t="s">
        <v>18652</v>
      </c>
      <c r="C239" t="s">
        <v>1382</v>
      </c>
      <c r="D239" t="s">
        <v>1316</v>
      </c>
      <c r="E239" t="s">
        <v>630</v>
      </c>
      <c r="F239" t="s">
        <v>598</v>
      </c>
      <c r="G239" t="s">
        <v>478</v>
      </c>
      <c r="H239" t="s">
        <v>2266</v>
      </c>
      <c r="I239" t="s">
        <v>2267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</row>
    <row r="240" spans="1:33">
      <c r="A240" t="s">
        <v>18727</v>
      </c>
      <c r="B240" t="s">
        <v>18653</v>
      </c>
      <c r="C240" t="s">
        <v>1382</v>
      </c>
      <c r="D240" t="s">
        <v>1320</v>
      </c>
      <c r="E240" t="s">
        <v>688</v>
      </c>
      <c r="F240" t="s">
        <v>598</v>
      </c>
      <c r="G240" t="s">
        <v>478</v>
      </c>
      <c r="H240" t="s">
        <v>2266</v>
      </c>
      <c r="I240" t="s">
        <v>2267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</row>
    <row r="241" spans="1:33">
      <c r="A241" t="s">
        <v>18727</v>
      </c>
      <c r="B241" t="s">
        <v>18654</v>
      </c>
      <c r="C241" t="s">
        <v>1382</v>
      </c>
      <c r="D241" t="s">
        <v>1320</v>
      </c>
      <c r="E241" t="s">
        <v>626</v>
      </c>
      <c r="F241" t="s">
        <v>598</v>
      </c>
      <c r="G241" t="s">
        <v>478</v>
      </c>
      <c r="H241" t="s">
        <v>2266</v>
      </c>
      <c r="I241" t="s">
        <v>2267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</row>
    <row r="242" spans="1:33">
      <c r="A242" t="s">
        <v>18727</v>
      </c>
      <c r="B242" t="s">
        <v>18702</v>
      </c>
      <c r="C242" t="s">
        <v>1382</v>
      </c>
      <c r="D242" t="s">
        <v>1320</v>
      </c>
      <c r="E242" t="s">
        <v>750</v>
      </c>
      <c r="F242" t="s">
        <v>598</v>
      </c>
      <c r="G242" t="s">
        <v>478</v>
      </c>
      <c r="H242" t="s">
        <v>2266</v>
      </c>
      <c r="I242" t="s">
        <v>2267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</row>
    <row r="243" spans="1:33">
      <c r="A243" t="s">
        <v>18727</v>
      </c>
      <c r="B243" t="s">
        <v>18722</v>
      </c>
      <c r="C243" t="s">
        <v>1382</v>
      </c>
      <c r="D243" t="s">
        <v>1320</v>
      </c>
      <c r="E243" t="s">
        <v>1402</v>
      </c>
      <c r="F243" t="s">
        <v>598</v>
      </c>
      <c r="G243" t="s">
        <v>478</v>
      </c>
      <c r="H243" t="s">
        <v>2266</v>
      </c>
      <c r="I243" t="s">
        <v>2267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</row>
    <row r="244" spans="1:33">
      <c r="A244" t="s">
        <v>18727</v>
      </c>
      <c r="B244" t="s">
        <v>18723</v>
      </c>
      <c r="C244" t="s">
        <v>1382</v>
      </c>
      <c r="D244" t="s">
        <v>1320</v>
      </c>
      <c r="E244" t="s">
        <v>892</v>
      </c>
      <c r="F244" t="s">
        <v>598</v>
      </c>
      <c r="G244" t="s">
        <v>478</v>
      </c>
      <c r="H244" t="s">
        <v>2266</v>
      </c>
      <c r="I244" t="s">
        <v>2267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</row>
    <row r="245" spans="1:33">
      <c r="A245" t="s">
        <v>18727</v>
      </c>
      <c r="B245" t="s">
        <v>18655</v>
      </c>
      <c r="C245" t="s">
        <v>1382</v>
      </c>
      <c r="D245" t="s">
        <v>1320</v>
      </c>
      <c r="E245" t="s">
        <v>678</v>
      </c>
      <c r="F245" t="s">
        <v>598</v>
      </c>
      <c r="G245" t="s">
        <v>478</v>
      </c>
      <c r="H245" t="s">
        <v>2266</v>
      </c>
      <c r="I245" t="s">
        <v>2267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</row>
    <row r="246" spans="1:33">
      <c r="A246" t="s">
        <v>18727</v>
      </c>
      <c r="B246" t="s">
        <v>18736</v>
      </c>
      <c r="C246" t="s">
        <v>1382</v>
      </c>
      <c r="D246" t="s">
        <v>1320</v>
      </c>
      <c r="E246" t="s">
        <v>1198</v>
      </c>
      <c r="F246" t="s">
        <v>598</v>
      </c>
      <c r="G246" t="s">
        <v>478</v>
      </c>
      <c r="H246" t="s">
        <v>2266</v>
      </c>
      <c r="I246" t="s">
        <v>2267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</row>
    <row r="247" spans="1:33">
      <c r="A247" t="s">
        <v>18727</v>
      </c>
      <c r="B247" t="s">
        <v>18657</v>
      </c>
      <c r="C247" t="s">
        <v>1382</v>
      </c>
      <c r="D247" t="s">
        <v>1324</v>
      </c>
      <c r="E247" t="s">
        <v>688</v>
      </c>
      <c r="F247" t="s">
        <v>598</v>
      </c>
      <c r="G247" t="s">
        <v>478</v>
      </c>
      <c r="H247" t="s">
        <v>2266</v>
      </c>
      <c r="I247" t="s">
        <v>2267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</row>
    <row r="248" spans="1:33">
      <c r="A248" t="s">
        <v>18727</v>
      </c>
      <c r="B248" t="s">
        <v>18704</v>
      </c>
      <c r="C248" t="s">
        <v>1382</v>
      </c>
      <c r="D248" t="s">
        <v>1324</v>
      </c>
      <c r="E248" t="s">
        <v>1334</v>
      </c>
      <c r="F248" t="s">
        <v>598</v>
      </c>
      <c r="G248" t="s">
        <v>478</v>
      </c>
      <c r="H248" t="s">
        <v>2266</v>
      </c>
      <c r="I248" t="s">
        <v>2267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</row>
    <row r="249" spans="1:33">
      <c r="A249" t="s">
        <v>18727</v>
      </c>
      <c r="B249" t="s">
        <v>18705</v>
      </c>
      <c r="C249" t="s">
        <v>1382</v>
      </c>
      <c r="D249" t="s">
        <v>1324</v>
      </c>
      <c r="E249" t="s">
        <v>1417</v>
      </c>
      <c r="F249" t="s">
        <v>598</v>
      </c>
      <c r="G249" t="s">
        <v>478</v>
      </c>
      <c r="H249" t="s">
        <v>2266</v>
      </c>
      <c r="I249" t="s">
        <v>2267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</row>
    <row r="250" spans="1:33">
      <c r="A250" t="s">
        <v>18727</v>
      </c>
      <c r="B250" t="s">
        <v>18658</v>
      </c>
      <c r="C250" t="s">
        <v>1382</v>
      </c>
      <c r="D250" t="s">
        <v>1324</v>
      </c>
      <c r="E250" t="s">
        <v>1326</v>
      </c>
      <c r="F250" t="s">
        <v>598</v>
      </c>
      <c r="G250" t="s">
        <v>478</v>
      </c>
      <c r="H250" t="s">
        <v>2266</v>
      </c>
      <c r="I250" t="s">
        <v>2267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</row>
    <row r="251" spans="1:33">
      <c r="A251" t="s">
        <v>18727</v>
      </c>
      <c r="B251" t="s">
        <v>18659</v>
      </c>
      <c r="C251" t="s">
        <v>1382</v>
      </c>
      <c r="D251" t="s">
        <v>1324</v>
      </c>
      <c r="E251" t="s">
        <v>1402</v>
      </c>
      <c r="F251" t="s">
        <v>598</v>
      </c>
      <c r="G251" t="s">
        <v>478</v>
      </c>
      <c r="H251" t="s">
        <v>2266</v>
      </c>
      <c r="I251" t="s">
        <v>2267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</row>
    <row r="252" spans="1:33">
      <c r="A252" t="s">
        <v>18727</v>
      </c>
      <c r="B252" t="s">
        <v>18737</v>
      </c>
      <c r="C252" t="s">
        <v>1382</v>
      </c>
      <c r="D252" t="s">
        <v>1324</v>
      </c>
      <c r="E252" t="s">
        <v>892</v>
      </c>
      <c r="F252" t="s">
        <v>598</v>
      </c>
      <c r="G252" t="s">
        <v>478</v>
      </c>
      <c r="H252" t="s">
        <v>2266</v>
      </c>
      <c r="I252" t="s">
        <v>2267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</row>
    <row r="253" spans="1:33">
      <c r="A253" t="s">
        <v>18727</v>
      </c>
      <c r="B253" t="s">
        <v>18706</v>
      </c>
      <c r="C253" t="s">
        <v>1382</v>
      </c>
      <c r="D253" t="s">
        <v>1324</v>
      </c>
      <c r="E253" t="s">
        <v>669</v>
      </c>
      <c r="F253" t="s">
        <v>598</v>
      </c>
      <c r="G253" t="s">
        <v>478</v>
      </c>
      <c r="H253" t="s">
        <v>2266</v>
      </c>
      <c r="I253" t="s">
        <v>2267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</row>
    <row r="254" spans="1:33">
      <c r="A254" t="s">
        <v>18727</v>
      </c>
      <c r="B254" t="s">
        <v>18660</v>
      </c>
      <c r="C254" t="s">
        <v>1382</v>
      </c>
      <c r="D254" t="s">
        <v>1324</v>
      </c>
      <c r="E254" t="s">
        <v>1318</v>
      </c>
      <c r="F254" t="s">
        <v>598</v>
      </c>
      <c r="G254" t="s">
        <v>478</v>
      </c>
      <c r="H254" t="s">
        <v>2266</v>
      </c>
      <c r="I254" t="s">
        <v>2267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</row>
    <row r="255" spans="1:33">
      <c r="A255" t="s">
        <v>18727</v>
      </c>
      <c r="B255" t="s">
        <v>18661</v>
      </c>
      <c r="C255" t="s">
        <v>1382</v>
      </c>
      <c r="D255" t="s">
        <v>1324</v>
      </c>
      <c r="E255" t="s">
        <v>1423</v>
      </c>
      <c r="F255" t="s">
        <v>598</v>
      </c>
      <c r="G255" t="s">
        <v>478</v>
      </c>
      <c r="H255" t="s">
        <v>2266</v>
      </c>
      <c r="I255" t="s">
        <v>2267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</row>
    <row r="256" spans="1:33">
      <c r="A256" t="s">
        <v>18727</v>
      </c>
      <c r="B256" t="s">
        <v>18738</v>
      </c>
      <c r="C256" t="s">
        <v>1382</v>
      </c>
      <c r="D256" t="s">
        <v>1324</v>
      </c>
      <c r="E256" t="s">
        <v>1198</v>
      </c>
      <c r="F256" t="s">
        <v>598</v>
      </c>
      <c r="G256" t="s">
        <v>478</v>
      </c>
      <c r="H256" t="s">
        <v>2266</v>
      </c>
      <c r="I256" t="s">
        <v>2267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</row>
    <row r="257" spans="1:33">
      <c r="A257" t="s">
        <v>18727</v>
      </c>
      <c r="B257" t="s">
        <v>18663</v>
      </c>
      <c r="C257" t="s">
        <v>1382</v>
      </c>
      <c r="D257" t="s">
        <v>1324</v>
      </c>
      <c r="E257" t="s">
        <v>1028</v>
      </c>
      <c r="F257" t="s">
        <v>598</v>
      </c>
      <c r="G257" t="s">
        <v>478</v>
      </c>
      <c r="H257" t="s">
        <v>2266</v>
      </c>
      <c r="I257" t="s">
        <v>2267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</row>
    <row r="258" spans="1:33">
      <c r="A258" t="s">
        <v>18727</v>
      </c>
      <c r="B258" t="s">
        <v>18739</v>
      </c>
      <c r="C258" t="s">
        <v>1382</v>
      </c>
      <c r="D258" t="s">
        <v>1324</v>
      </c>
      <c r="E258" t="s">
        <v>18740</v>
      </c>
      <c r="F258" t="s">
        <v>598</v>
      </c>
      <c r="G258" t="s">
        <v>478</v>
      </c>
      <c r="H258" t="s">
        <v>2266</v>
      </c>
      <c r="I258" t="s">
        <v>2267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</row>
    <row r="259" spans="1:33">
      <c r="A259" t="s">
        <v>18727</v>
      </c>
      <c r="B259" t="s">
        <v>18741</v>
      </c>
      <c r="C259" t="s">
        <v>1382</v>
      </c>
      <c r="D259" t="s">
        <v>1324</v>
      </c>
      <c r="E259" t="s">
        <v>1676</v>
      </c>
      <c r="F259" t="s">
        <v>598</v>
      </c>
      <c r="G259" t="s">
        <v>478</v>
      </c>
      <c r="H259" t="s">
        <v>2266</v>
      </c>
      <c r="I259" t="s">
        <v>2267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</row>
    <row r="260" spans="1:33">
      <c r="A260" t="s">
        <v>18727</v>
      </c>
      <c r="B260" t="s">
        <v>18665</v>
      </c>
      <c r="C260" t="s">
        <v>1382</v>
      </c>
      <c r="D260" t="s">
        <v>1324</v>
      </c>
      <c r="E260" t="s">
        <v>1058</v>
      </c>
      <c r="F260" t="s">
        <v>598</v>
      </c>
      <c r="G260" t="s">
        <v>478</v>
      </c>
      <c r="H260" t="s">
        <v>2266</v>
      </c>
      <c r="I260" t="s">
        <v>2267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</row>
    <row r="261" spans="1:33">
      <c r="A261" t="s">
        <v>18727</v>
      </c>
      <c r="B261" t="s">
        <v>18707</v>
      </c>
      <c r="C261" t="s">
        <v>1382</v>
      </c>
      <c r="D261" t="s">
        <v>1332</v>
      </c>
      <c r="E261" t="s">
        <v>1512</v>
      </c>
      <c r="F261" t="s">
        <v>598</v>
      </c>
      <c r="G261" t="s">
        <v>478</v>
      </c>
      <c r="H261" t="s">
        <v>2266</v>
      </c>
      <c r="I261" t="s">
        <v>2267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</row>
    <row r="262" spans="1:33">
      <c r="A262" t="s">
        <v>18727</v>
      </c>
      <c r="B262" t="s">
        <v>18667</v>
      </c>
      <c r="C262" t="s">
        <v>1382</v>
      </c>
      <c r="D262" t="s">
        <v>1332</v>
      </c>
      <c r="E262" t="s">
        <v>688</v>
      </c>
      <c r="F262" t="s">
        <v>598</v>
      </c>
      <c r="G262" t="s">
        <v>478</v>
      </c>
      <c r="H262" t="s">
        <v>2266</v>
      </c>
      <c r="I262" t="s">
        <v>2267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</row>
    <row r="263" spans="1:33">
      <c r="A263" t="s">
        <v>18727</v>
      </c>
      <c r="B263" t="s">
        <v>18668</v>
      </c>
      <c r="C263" t="s">
        <v>1382</v>
      </c>
      <c r="D263" t="s">
        <v>1332</v>
      </c>
      <c r="E263" t="s">
        <v>1334</v>
      </c>
      <c r="F263" t="s">
        <v>598</v>
      </c>
      <c r="G263" t="s">
        <v>478</v>
      </c>
      <c r="H263" t="s">
        <v>2266</v>
      </c>
      <c r="I263" t="s">
        <v>2267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</row>
    <row r="264" spans="1:33">
      <c r="A264" t="s">
        <v>18727</v>
      </c>
      <c r="B264" t="s">
        <v>18669</v>
      </c>
      <c r="C264" t="s">
        <v>1382</v>
      </c>
      <c r="D264" t="s">
        <v>1332</v>
      </c>
      <c r="E264" t="s">
        <v>1326</v>
      </c>
      <c r="F264" t="s">
        <v>598</v>
      </c>
      <c r="G264" t="s">
        <v>478</v>
      </c>
      <c r="H264" t="s">
        <v>2266</v>
      </c>
      <c r="I264" t="s">
        <v>2267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</row>
    <row r="265" spans="1:33">
      <c r="A265" t="s">
        <v>18727</v>
      </c>
      <c r="B265" t="s">
        <v>18710</v>
      </c>
      <c r="C265" t="s">
        <v>1382</v>
      </c>
      <c r="D265" t="s">
        <v>1332</v>
      </c>
      <c r="E265" t="s">
        <v>1402</v>
      </c>
      <c r="F265" t="s">
        <v>598</v>
      </c>
      <c r="G265" t="s">
        <v>478</v>
      </c>
      <c r="H265" t="s">
        <v>2266</v>
      </c>
      <c r="I265" t="s">
        <v>2267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</row>
    <row r="266" spans="1:33">
      <c r="A266" t="s">
        <v>18727</v>
      </c>
      <c r="B266" t="s">
        <v>18724</v>
      </c>
      <c r="C266" t="s">
        <v>1382</v>
      </c>
      <c r="D266" t="s">
        <v>1332</v>
      </c>
      <c r="E266" t="s">
        <v>892</v>
      </c>
      <c r="F266" t="s">
        <v>598</v>
      </c>
      <c r="G266" t="s">
        <v>478</v>
      </c>
      <c r="H266" t="s">
        <v>2266</v>
      </c>
      <c r="I266" t="s">
        <v>2267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</row>
    <row r="267" spans="1:33">
      <c r="A267" t="s">
        <v>18727</v>
      </c>
      <c r="B267" t="s">
        <v>18711</v>
      </c>
      <c r="C267" t="s">
        <v>1382</v>
      </c>
      <c r="D267" t="s">
        <v>1332</v>
      </c>
      <c r="E267" t="s">
        <v>669</v>
      </c>
      <c r="F267" t="s">
        <v>598</v>
      </c>
      <c r="G267" t="s">
        <v>478</v>
      </c>
      <c r="H267" t="s">
        <v>2266</v>
      </c>
      <c r="I267" t="s">
        <v>2267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</row>
    <row r="268" spans="1:33">
      <c r="A268" t="s">
        <v>18727</v>
      </c>
      <c r="B268" t="s">
        <v>18670</v>
      </c>
      <c r="C268" t="s">
        <v>1382</v>
      </c>
      <c r="D268" t="s">
        <v>1332</v>
      </c>
      <c r="E268" t="s">
        <v>1318</v>
      </c>
      <c r="F268" t="s">
        <v>598</v>
      </c>
      <c r="G268" t="s">
        <v>478</v>
      </c>
      <c r="H268" t="s">
        <v>2266</v>
      </c>
      <c r="I268" t="s">
        <v>2267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</row>
    <row r="269" spans="1:33">
      <c r="A269" t="s">
        <v>18727</v>
      </c>
      <c r="B269" t="s">
        <v>18671</v>
      </c>
      <c r="C269" t="s">
        <v>1382</v>
      </c>
      <c r="D269" t="s">
        <v>1332</v>
      </c>
      <c r="E269" t="s">
        <v>1423</v>
      </c>
      <c r="F269" t="s">
        <v>598</v>
      </c>
      <c r="G269" t="s">
        <v>478</v>
      </c>
      <c r="H269" t="s">
        <v>2266</v>
      </c>
      <c r="I269" t="s">
        <v>2267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</row>
    <row r="270" spans="1:33">
      <c r="A270" t="s">
        <v>18727</v>
      </c>
      <c r="B270" t="s">
        <v>18672</v>
      </c>
      <c r="C270" t="s">
        <v>1382</v>
      </c>
      <c r="D270" t="s">
        <v>1332</v>
      </c>
      <c r="E270" t="s">
        <v>1028</v>
      </c>
      <c r="F270" t="s">
        <v>598</v>
      </c>
      <c r="G270" t="s">
        <v>478</v>
      </c>
      <c r="H270" t="s">
        <v>2266</v>
      </c>
      <c r="I270" t="s">
        <v>2267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</row>
    <row r="271" spans="1:33">
      <c r="A271" t="s">
        <v>18727</v>
      </c>
      <c r="B271" t="s">
        <v>18712</v>
      </c>
      <c r="C271" t="s">
        <v>1382</v>
      </c>
      <c r="D271" t="s">
        <v>1332</v>
      </c>
      <c r="E271" t="s">
        <v>630</v>
      </c>
      <c r="F271" t="s">
        <v>598</v>
      </c>
      <c r="G271" t="s">
        <v>478</v>
      </c>
      <c r="H271" t="s">
        <v>2266</v>
      </c>
      <c r="I271" t="s">
        <v>2267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</row>
    <row r="272" spans="1:33">
      <c r="A272" t="s">
        <v>18727</v>
      </c>
      <c r="B272" t="s">
        <v>18742</v>
      </c>
      <c r="C272" t="s">
        <v>1382</v>
      </c>
      <c r="D272" t="s">
        <v>1332</v>
      </c>
      <c r="E272" t="s">
        <v>18740</v>
      </c>
      <c r="F272" t="s">
        <v>598</v>
      </c>
      <c r="G272" t="s">
        <v>478</v>
      </c>
      <c r="H272" t="s">
        <v>2266</v>
      </c>
      <c r="I272" t="s">
        <v>2267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</row>
    <row r="273" spans="1:33">
      <c r="A273" t="s">
        <v>18727</v>
      </c>
      <c r="B273" t="s">
        <v>18743</v>
      </c>
      <c r="C273" t="s">
        <v>1382</v>
      </c>
      <c r="D273" t="s">
        <v>1332</v>
      </c>
      <c r="E273" t="s">
        <v>1676</v>
      </c>
      <c r="F273" t="s">
        <v>598</v>
      </c>
      <c r="G273" t="s">
        <v>478</v>
      </c>
      <c r="H273" t="s">
        <v>2266</v>
      </c>
      <c r="I273" t="s">
        <v>2267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</row>
    <row r="274" spans="1:33">
      <c r="A274" t="s">
        <v>18727</v>
      </c>
      <c r="B274" t="s">
        <v>18744</v>
      </c>
      <c r="C274" t="s">
        <v>1382</v>
      </c>
      <c r="D274" t="s">
        <v>1332</v>
      </c>
      <c r="E274" t="s">
        <v>1058</v>
      </c>
      <c r="F274" t="s">
        <v>598</v>
      </c>
      <c r="G274" t="s">
        <v>478</v>
      </c>
      <c r="H274" t="s">
        <v>2266</v>
      </c>
      <c r="I274" t="s">
        <v>2267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</row>
    <row r="275" spans="1:33">
      <c r="A275" t="s">
        <v>18727</v>
      </c>
      <c r="B275" t="s">
        <v>18674</v>
      </c>
      <c r="C275" t="s">
        <v>1382</v>
      </c>
      <c r="D275" t="s">
        <v>1348</v>
      </c>
      <c r="E275" t="s">
        <v>688</v>
      </c>
      <c r="F275" t="s">
        <v>598</v>
      </c>
      <c r="G275" t="s">
        <v>478</v>
      </c>
      <c r="H275" t="s">
        <v>2266</v>
      </c>
      <c r="I275" t="s">
        <v>2267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</row>
    <row r="276" spans="1:33">
      <c r="A276" t="s">
        <v>18727</v>
      </c>
      <c r="B276" t="s">
        <v>18745</v>
      </c>
      <c r="C276" t="s">
        <v>1382</v>
      </c>
      <c r="D276" t="s">
        <v>1348</v>
      </c>
      <c r="E276" t="s">
        <v>1326</v>
      </c>
      <c r="F276" t="s">
        <v>598</v>
      </c>
      <c r="G276" t="s">
        <v>478</v>
      </c>
      <c r="H276" t="s">
        <v>2266</v>
      </c>
      <c r="I276" t="s">
        <v>2267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</row>
    <row r="277" spans="1:33">
      <c r="A277" t="s">
        <v>18727</v>
      </c>
      <c r="B277" t="s">
        <v>18675</v>
      </c>
      <c r="C277" t="s">
        <v>1382</v>
      </c>
      <c r="D277" t="s">
        <v>1435</v>
      </c>
      <c r="E277" t="s">
        <v>973</v>
      </c>
      <c r="F277" t="s">
        <v>598</v>
      </c>
      <c r="G277" t="s">
        <v>478</v>
      </c>
      <c r="H277" t="s">
        <v>2266</v>
      </c>
      <c r="I277" t="s">
        <v>2267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</row>
    <row r="278" spans="1:33">
      <c r="A278" t="s">
        <v>18727</v>
      </c>
      <c r="B278" t="s">
        <v>18676</v>
      </c>
      <c r="C278" t="s">
        <v>1382</v>
      </c>
      <c r="D278" t="s">
        <v>1354</v>
      </c>
      <c r="E278" t="s">
        <v>973</v>
      </c>
      <c r="F278" t="s">
        <v>598</v>
      </c>
      <c r="G278" t="s">
        <v>478</v>
      </c>
      <c r="H278" t="s">
        <v>2266</v>
      </c>
      <c r="I278" t="s">
        <v>2267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</row>
    <row r="279" spans="1:33">
      <c r="A279" t="s">
        <v>18727</v>
      </c>
      <c r="B279" t="s">
        <v>18678</v>
      </c>
      <c r="C279" t="s">
        <v>1382</v>
      </c>
      <c r="D279" t="s">
        <v>1440</v>
      </c>
      <c r="E279" t="s">
        <v>973</v>
      </c>
      <c r="F279" t="s">
        <v>598</v>
      </c>
      <c r="G279" t="s">
        <v>478</v>
      </c>
      <c r="H279" t="s">
        <v>2266</v>
      </c>
      <c r="I279" t="s">
        <v>2267</v>
      </c>
      <c r="J279">
        <v>0.68373594000000004</v>
      </c>
      <c r="K279">
        <v>0.68373594000000004</v>
      </c>
      <c r="L279">
        <v>0.67643929999999997</v>
      </c>
      <c r="M279">
        <v>0.63401565999999998</v>
      </c>
      <c r="N279">
        <v>0.60201187</v>
      </c>
      <c r="O279">
        <v>0.57889471999999997</v>
      </c>
      <c r="P279">
        <v>0.55281539000000002</v>
      </c>
      <c r="Q279">
        <v>0.53108257999999997</v>
      </c>
      <c r="R279">
        <v>0.52238949000000001</v>
      </c>
      <c r="S279">
        <v>0.51749961</v>
      </c>
      <c r="T279">
        <v>0.51260969999999995</v>
      </c>
      <c r="U279">
        <v>0.50771982999999998</v>
      </c>
      <c r="V279">
        <v>0.49351162999999998</v>
      </c>
      <c r="W279">
        <v>0.49351162999999998</v>
      </c>
      <c r="X279">
        <v>0.49351162999999998</v>
      </c>
      <c r="Y279">
        <v>0.49351162999999998</v>
      </c>
      <c r="Z279">
        <v>0.49351162999999998</v>
      </c>
      <c r="AA279">
        <v>0.49351162999999998</v>
      </c>
      <c r="AB279">
        <v>0.49351162999999998</v>
      </c>
      <c r="AC279">
        <v>0.49351162999999998</v>
      </c>
      <c r="AD279">
        <v>0.49351162999999998</v>
      </c>
      <c r="AE279">
        <v>0.49351162999999998</v>
      </c>
      <c r="AF279">
        <v>0.49351162999999998</v>
      </c>
      <c r="AG279">
        <v>0.49351162999999998</v>
      </c>
    </row>
    <row r="280" spans="1:33">
      <c r="A280" t="s">
        <v>18727</v>
      </c>
      <c r="B280" t="s">
        <v>18746</v>
      </c>
      <c r="C280" t="s">
        <v>1382</v>
      </c>
      <c r="D280" t="s">
        <v>1440</v>
      </c>
      <c r="E280" t="s">
        <v>1378</v>
      </c>
      <c r="F280" t="s">
        <v>598</v>
      </c>
      <c r="G280" t="s">
        <v>478</v>
      </c>
      <c r="H280" t="s">
        <v>2266</v>
      </c>
      <c r="I280" t="s">
        <v>2267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</row>
    <row r="281" spans="1:33">
      <c r="A281" t="s">
        <v>18727</v>
      </c>
      <c r="B281" t="s">
        <v>18679</v>
      </c>
      <c r="C281" t="s">
        <v>1382</v>
      </c>
      <c r="D281" t="s">
        <v>1443</v>
      </c>
      <c r="E281" t="s">
        <v>611</v>
      </c>
      <c r="F281" t="s">
        <v>598</v>
      </c>
      <c r="G281" t="s">
        <v>478</v>
      </c>
      <c r="H281" t="s">
        <v>2266</v>
      </c>
      <c r="I281" t="s">
        <v>2267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</row>
    <row r="282" spans="1:33">
      <c r="A282" t="s">
        <v>18727</v>
      </c>
      <c r="B282" t="s">
        <v>18747</v>
      </c>
      <c r="C282" t="s">
        <v>1382</v>
      </c>
      <c r="D282" t="s">
        <v>1445</v>
      </c>
      <c r="E282" t="s">
        <v>1447</v>
      </c>
      <c r="F282" t="s">
        <v>598</v>
      </c>
      <c r="G282" t="s">
        <v>478</v>
      </c>
      <c r="H282" t="s">
        <v>2266</v>
      </c>
      <c r="I282" t="s">
        <v>2267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</row>
    <row r="283" spans="1:33">
      <c r="A283" t="s">
        <v>18727</v>
      </c>
      <c r="B283" t="s">
        <v>18715</v>
      </c>
      <c r="C283" t="s">
        <v>1382</v>
      </c>
      <c r="D283" t="s">
        <v>1365</v>
      </c>
      <c r="E283" t="s">
        <v>973</v>
      </c>
      <c r="F283" t="s">
        <v>598</v>
      </c>
      <c r="G283" t="s">
        <v>478</v>
      </c>
      <c r="H283" t="s">
        <v>2266</v>
      </c>
      <c r="I283" t="s">
        <v>2267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</row>
    <row r="284" spans="1:33">
      <c r="A284" t="s">
        <v>18727</v>
      </c>
      <c r="B284" t="s">
        <v>18748</v>
      </c>
      <c r="C284" t="s">
        <v>1382</v>
      </c>
      <c r="D284" t="s">
        <v>1365</v>
      </c>
      <c r="E284" t="s">
        <v>626</v>
      </c>
      <c r="F284" t="s">
        <v>598</v>
      </c>
      <c r="G284" t="s">
        <v>478</v>
      </c>
      <c r="H284" t="s">
        <v>2266</v>
      </c>
      <c r="I284" t="s">
        <v>2267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</row>
    <row r="285" spans="1:33">
      <c r="A285" t="s">
        <v>18727</v>
      </c>
      <c r="B285" t="s">
        <v>18725</v>
      </c>
      <c r="C285" t="s">
        <v>1382</v>
      </c>
      <c r="D285" t="s">
        <v>1365</v>
      </c>
      <c r="E285" t="s">
        <v>628</v>
      </c>
      <c r="F285" t="s">
        <v>598</v>
      </c>
      <c r="G285" t="s">
        <v>478</v>
      </c>
      <c r="H285" t="s">
        <v>2266</v>
      </c>
      <c r="I285" t="s">
        <v>2267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</row>
    <row r="286" spans="1:33">
      <c r="A286" t="s">
        <v>18727</v>
      </c>
      <c r="B286" t="s">
        <v>18749</v>
      </c>
      <c r="C286" t="s">
        <v>1382</v>
      </c>
      <c r="D286" t="s">
        <v>1365</v>
      </c>
      <c r="E286" t="s">
        <v>888</v>
      </c>
      <c r="F286" t="s">
        <v>598</v>
      </c>
      <c r="G286" t="s">
        <v>478</v>
      </c>
      <c r="H286" t="s">
        <v>2266</v>
      </c>
      <c r="I286" t="s">
        <v>2267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</row>
    <row r="287" spans="1:33">
      <c r="A287" t="s">
        <v>18727</v>
      </c>
      <c r="B287" t="s">
        <v>18726</v>
      </c>
      <c r="C287" t="s">
        <v>1382</v>
      </c>
      <c r="D287" t="s">
        <v>1365</v>
      </c>
      <c r="E287" t="s">
        <v>781</v>
      </c>
      <c r="F287" t="s">
        <v>598</v>
      </c>
      <c r="G287" t="s">
        <v>478</v>
      </c>
      <c r="H287" t="s">
        <v>2266</v>
      </c>
      <c r="I287" t="s">
        <v>2267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</row>
    <row r="288" spans="1:33">
      <c r="A288" t="s">
        <v>18727</v>
      </c>
      <c r="B288" t="s">
        <v>18716</v>
      </c>
      <c r="C288" t="s">
        <v>1382</v>
      </c>
      <c r="D288" t="s">
        <v>1365</v>
      </c>
      <c r="E288" t="s">
        <v>678</v>
      </c>
      <c r="F288" t="s">
        <v>598</v>
      </c>
      <c r="G288" t="s">
        <v>478</v>
      </c>
      <c r="H288" t="s">
        <v>2266</v>
      </c>
      <c r="I288" t="s">
        <v>2267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</row>
    <row r="289" spans="1:33">
      <c r="A289" t="s">
        <v>18727</v>
      </c>
      <c r="B289" t="s">
        <v>18750</v>
      </c>
      <c r="C289" t="s">
        <v>1382</v>
      </c>
      <c r="D289" t="s">
        <v>1458</v>
      </c>
      <c r="E289" t="s">
        <v>626</v>
      </c>
      <c r="F289" t="s">
        <v>598</v>
      </c>
      <c r="G289" t="s">
        <v>478</v>
      </c>
      <c r="H289" t="s">
        <v>2266</v>
      </c>
      <c r="I289" t="s">
        <v>2267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</row>
    <row r="290" spans="1:33">
      <c r="A290" t="s">
        <v>18727</v>
      </c>
      <c r="B290" t="s">
        <v>2268</v>
      </c>
      <c r="C290" t="s">
        <v>1382</v>
      </c>
      <c r="D290" t="s">
        <v>648</v>
      </c>
      <c r="E290" t="s">
        <v>920</v>
      </c>
      <c r="F290" t="s">
        <v>598</v>
      </c>
      <c r="G290" t="s">
        <v>478</v>
      </c>
      <c r="H290" t="s">
        <v>2266</v>
      </c>
      <c r="I290" t="s">
        <v>2267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</row>
    <row r="291" spans="1:33">
      <c r="A291" t="s">
        <v>18727</v>
      </c>
      <c r="B291" t="s">
        <v>18682</v>
      </c>
      <c r="C291" t="s">
        <v>1382</v>
      </c>
      <c r="D291" t="s">
        <v>648</v>
      </c>
      <c r="E291" t="s">
        <v>973</v>
      </c>
      <c r="F291" t="s">
        <v>598</v>
      </c>
      <c r="G291" t="s">
        <v>478</v>
      </c>
      <c r="H291" t="s">
        <v>2266</v>
      </c>
      <c r="I291" t="s">
        <v>2267</v>
      </c>
      <c r="J291">
        <v>8.2189999999999997E-5</v>
      </c>
      <c r="K291">
        <v>8.2189999999999997E-5</v>
      </c>
      <c r="L291">
        <v>8.2189999999999997E-5</v>
      </c>
      <c r="M291">
        <v>8.2360000000000004E-5</v>
      </c>
      <c r="N291">
        <v>8.2360000000000004E-5</v>
      </c>
      <c r="O291">
        <v>8.2440000000000004E-5</v>
      </c>
      <c r="P291">
        <v>8.2440000000000004E-5</v>
      </c>
      <c r="Q291">
        <v>8.2440000000000004E-5</v>
      </c>
      <c r="R291">
        <v>8.2600000000000002E-5</v>
      </c>
      <c r="S291">
        <v>8.2600000000000002E-5</v>
      </c>
      <c r="T291">
        <v>8.2680000000000001E-5</v>
      </c>
      <c r="U291">
        <v>8.2680000000000001E-5</v>
      </c>
      <c r="V291">
        <v>8.2769999999999995E-5</v>
      </c>
      <c r="W291">
        <v>8.2849999999999995E-5</v>
      </c>
      <c r="X291">
        <v>8.2929999999999994E-5</v>
      </c>
      <c r="Y291">
        <v>8.3010000000000007E-5</v>
      </c>
      <c r="Z291">
        <v>8.318E-5</v>
      </c>
      <c r="AA291">
        <v>8.3259999999999999E-5</v>
      </c>
      <c r="AB291">
        <v>8.3259999999999999E-5</v>
      </c>
      <c r="AC291">
        <v>8.318E-5</v>
      </c>
      <c r="AD291">
        <v>8.318E-5</v>
      </c>
      <c r="AE291">
        <v>8.3100000000000001E-5</v>
      </c>
      <c r="AF291">
        <v>8.3100000000000001E-5</v>
      </c>
      <c r="AG291">
        <v>8.3100000000000001E-5</v>
      </c>
    </row>
    <row r="292" spans="1:33">
      <c r="A292" t="s">
        <v>18727</v>
      </c>
      <c r="B292" t="s">
        <v>18751</v>
      </c>
      <c r="C292" t="s">
        <v>1382</v>
      </c>
      <c r="D292" t="s">
        <v>648</v>
      </c>
      <c r="E292" t="s">
        <v>18752</v>
      </c>
      <c r="F292" t="s">
        <v>598</v>
      </c>
      <c r="G292" t="s">
        <v>478</v>
      </c>
      <c r="H292" t="s">
        <v>2266</v>
      </c>
      <c r="I292" t="s">
        <v>2267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</row>
    <row r="293" spans="1:33">
      <c r="A293" t="s">
        <v>18727</v>
      </c>
      <c r="B293" t="s">
        <v>18683</v>
      </c>
      <c r="C293" t="s">
        <v>1382</v>
      </c>
      <c r="D293" t="s">
        <v>648</v>
      </c>
      <c r="E293" t="s">
        <v>611</v>
      </c>
      <c r="F293" t="s">
        <v>598</v>
      </c>
      <c r="G293" t="s">
        <v>478</v>
      </c>
      <c r="H293" t="s">
        <v>2266</v>
      </c>
      <c r="I293" t="s">
        <v>2267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</row>
    <row r="294" spans="1:33">
      <c r="A294" t="s">
        <v>18727</v>
      </c>
      <c r="B294" t="s">
        <v>18719</v>
      </c>
      <c r="C294" t="s">
        <v>1382</v>
      </c>
      <c r="D294" t="s">
        <v>648</v>
      </c>
      <c r="E294" t="s">
        <v>1464</v>
      </c>
      <c r="F294" t="s">
        <v>598</v>
      </c>
      <c r="G294" t="s">
        <v>478</v>
      </c>
      <c r="H294" t="s">
        <v>2266</v>
      </c>
      <c r="I294" t="s">
        <v>2267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</row>
    <row r="295" spans="1:33">
      <c r="A295" t="s">
        <v>18727</v>
      </c>
      <c r="B295" t="s">
        <v>18685</v>
      </c>
      <c r="C295" t="s">
        <v>1382</v>
      </c>
      <c r="D295" t="s">
        <v>648</v>
      </c>
      <c r="E295" t="s">
        <v>1447</v>
      </c>
      <c r="F295" t="s">
        <v>598</v>
      </c>
      <c r="G295" t="s">
        <v>478</v>
      </c>
      <c r="H295" t="s">
        <v>2266</v>
      </c>
      <c r="I295" t="s">
        <v>2267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</row>
    <row r="296" spans="1:33">
      <c r="A296" t="s">
        <v>18727</v>
      </c>
      <c r="B296" t="s">
        <v>18753</v>
      </c>
      <c r="C296" t="s">
        <v>1382</v>
      </c>
      <c r="D296" t="s">
        <v>648</v>
      </c>
      <c r="E296" t="s">
        <v>626</v>
      </c>
      <c r="F296" t="s">
        <v>598</v>
      </c>
      <c r="G296" t="s">
        <v>478</v>
      </c>
      <c r="H296" t="s">
        <v>2266</v>
      </c>
      <c r="I296" t="s">
        <v>2267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</row>
    <row r="297" spans="1:33">
      <c r="A297" t="s">
        <v>18727</v>
      </c>
      <c r="B297" t="s">
        <v>18754</v>
      </c>
      <c r="C297" t="s">
        <v>1382</v>
      </c>
      <c r="D297" t="s">
        <v>648</v>
      </c>
      <c r="E297" t="s">
        <v>678</v>
      </c>
      <c r="F297" t="s">
        <v>598</v>
      </c>
      <c r="G297" t="s">
        <v>478</v>
      </c>
      <c r="H297" t="s">
        <v>2266</v>
      </c>
      <c r="I297" t="s">
        <v>2267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</row>
    <row r="298" spans="1:33">
      <c r="A298" t="s">
        <v>18727</v>
      </c>
      <c r="B298" t="s">
        <v>18686</v>
      </c>
      <c r="C298" t="s">
        <v>1382</v>
      </c>
      <c r="D298" t="s">
        <v>648</v>
      </c>
      <c r="E298" t="s">
        <v>1467</v>
      </c>
      <c r="F298" t="s">
        <v>598</v>
      </c>
      <c r="G298" t="s">
        <v>478</v>
      </c>
      <c r="H298" t="s">
        <v>2266</v>
      </c>
      <c r="I298" t="s">
        <v>2267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</row>
    <row r="299" spans="1:33">
      <c r="A299" t="s">
        <v>18727</v>
      </c>
      <c r="B299" t="s">
        <v>18687</v>
      </c>
      <c r="C299" t="s">
        <v>1382</v>
      </c>
      <c r="D299" t="s">
        <v>648</v>
      </c>
      <c r="E299" t="s">
        <v>1615</v>
      </c>
      <c r="F299" t="s">
        <v>598</v>
      </c>
      <c r="G299" t="s">
        <v>478</v>
      </c>
      <c r="H299" t="s">
        <v>2266</v>
      </c>
      <c r="I299" t="s">
        <v>2267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</row>
    <row r="300" spans="1:33">
      <c r="A300" t="s">
        <v>18727</v>
      </c>
      <c r="B300" t="s">
        <v>18755</v>
      </c>
      <c r="C300" t="s">
        <v>1382</v>
      </c>
      <c r="D300" t="s">
        <v>648</v>
      </c>
      <c r="E300" t="s">
        <v>1004</v>
      </c>
      <c r="F300" t="s">
        <v>598</v>
      </c>
      <c r="G300" t="s">
        <v>478</v>
      </c>
      <c r="H300" t="s">
        <v>2266</v>
      </c>
      <c r="I300" t="s">
        <v>2267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</row>
    <row r="301" spans="1:33">
      <c r="J301" cm="1">
        <f t="array" ref="J301">SUBTOTAL(109,SC_NOx_Refinery,Table110[2023])</f>
        <v>16.356941100000014</v>
      </c>
      <c r="K301" cm="1">
        <f t="array" ref="K301">SUBTOTAL(109,SC_NOx_Refinery,Table110[2024])</f>
        <v>16.352714690000013</v>
      </c>
      <c r="L301" cm="1">
        <f t="array" ref="L301">SUBTOTAL(109,SC_NOx_Refinery,Table110[2025])</f>
        <v>16.335345700000012</v>
      </c>
      <c r="M301" cm="1">
        <f t="array" ref="M301">SUBTOTAL(109,SC_NOx_Refinery,Table110[2026])</f>
        <v>16.293030590000011</v>
      </c>
      <c r="N301" cm="1">
        <f t="array" ref="N301">SUBTOTAL(109,SC_NOx_Refinery,Table110[2027])</f>
        <v>16.261073620000012</v>
      </c>
      <c r="O301" cm="1">
        <f t="array" ref="O301">SUBTOTAL(109,SC_NOx_Refinery,Table110[2028])</f>
        <v>16.238025950000011</v>
      </c>
      <c r="P301" cm="1">
        <f t="array" ref="P301">SUBTOTAL(109,SC_NOx_Refinery,Table110[2029])</f>
        <v>16.211986420000013</v>
      </c>
      <c r="Q301" cm="1">
        <f t="array" ref="Q301">SUBTOTAL(109,SC_NOx_Refinery,Table110[2030])</f>
        <v>16.190284050000013</v>
      </c>
      <c r="R301" cm="1">
        <f t="array" ref="R301">SUBTOTAL(109,SC_NOx_Refinery,Table110[2031])</f>
        <v>16.18168308000001</v>
      </c>
      <c r="S301" cm="1">
        <f t="array" ref="S301">SUBTOTAL(109,SC_NOx_Refinery,Table110[2032])</f>
        <v>16.176825980000011</v>
      </c>
      <c r="T301" cm="1">
        <f t="array" ref="T301">SUBTOTAL(109,SC_NOx_Refinery,Table110[2033])</f>
        <v>16.17199853000001</v>
      </c>
      <c r="U301" cm="1">
        <f t="array" ref="U301">SUBTOTAL(109,SC_NOx_Refinery,Table110[2034])</f>
        <v>16.167141430000012</v>
      </c>
      <c r="V301" cm="1">
        <f t="array" ref="V301">SUBTOTAL(109,SC_NOx_Refinery,Table110[2035])</f>
        <v>16.152995700000012</v>
      </c>
      <c r="W301" cm="1">
        <f t="array" ref="W301">SUBTOTAL(109,SC_NOx_Refinery,Table110[2036])</f>
        <v>16.153060500000009</v>
      </c>
      <c r="X301" cm="1">
        <f t="array" ref="X301">SUBTOTAL(109,SC_NOx_Refinery,Table110[2037])</f>
        <v>16.153122940000014</v>
      </c>
      <c r="Y301" cm="1">
        <f t="array" ref="Y301">SUBTOTAL(109,SC_NOx_Refinery,Table110[2038])</f>
        <v>16.153185400000012</v>
      </c>
      <c r="Z301" cm="1">
        <f t="array" ref="Z301">SUBTOTAL(109,SC_NOx_Refinery,Table110[2039])</f>
        <v>16.153279890000015</v>
      </c>
      <c r="AA301" cm="1">
        <f t="array" ref="AA301">SUBTOTAL(109,SC_NOx_Refinery,Table110[2040])</f>
        <v>16.153342330000012</v>
      </c>
      <c r="AB301" cm="1">
        <f t="array" ref="AB301">SUBTOTAL(109,SC_NOx_Refinery,Table110[2041])</f>
        <v>16.153377450000011</v>
      </c>
      <c r="AC301" cm="1">
        <f t="array" ref="AC301">SUBTOTAL(109,SC_NOx_Refinery,Table110[2042])</f>
        <v>16.153380560000013</v>
      </c>
      <c r="AD301" cm="1">
        <f t="array" ref="AD301">SUBTOTAL(109,SC_NOx_Refinery,Table110[2043])</f>
        <v>16.153415670000012</v>
      </c>
      <c r="AE301" cm="1">
        <f t="array" ref="AE301">SUBTOTAL(109,SC_NOx_Refinery,Table110[2044])</f>
        <v>16.153418770000012</v>
      </c>
      <c r="AF301" cm="1">
        <f t="array" ref="AF301">SUBTOTAL(109,SC_NOx_Refinery,Table110[2045])</f>
        <v>16.153453890000012</v>
      </c>
      <c r="AG301" cm="1">
        <f t="array" ref="AG301">SUBTOTAL(109,SC_NOx_Refinery,Table110[2046])</f>
        <v>16.153489010000012</v>
      </c>
    </row>
    <row r="304" spans="1:33">
      <c r="C304" s="68"/>
      <c r="D304" s="71" t="s">
        <v>1</v>
      </c>
      <c r="E304" s="72" t="s">
        <v>585</v>
      </c>
      <c r="F304" s="72" t="s">
        <v>586</v>
      </c>
      <c r="G304" s="72" t="s">
        <v>587</v>
      </c>
      <c r="H304" s="72" t="s">
        <v>588</v>
      </c>
      <c r="I304" s="72" t="s">
        <v>589</v>
      </c>
      <c r="J304" s="72" t="s">
        <v>590</v>
      </c>
      <c r="K304" s="72" t="s">
        <v>591</v>
      </c>
      <c r="L304" s="72" t="s">
        <v>592</v>
      </c>
      <c r="M304" s="73" t="s">
        <v>593</v>
      </c>
      <c r="N304" s="72" t="s">
        <v>2248</v>
      </c>
      <c r="O304" s="72" t="s">
        <v>2249</v>
      </c>
      <c r="P304" s="72" t="s">
        <v>2250</v>
      </c>
      <c r="Q304" s="72" t="s">
        <v>2251</v>
      </c>
      <c r="R304" s="72" t="s">
        <v>2252</v>
      </c>
      <c r="S304" s="72" t="s">
        <v>2253</v>
      </c>
      <c r="T304" s="72" t="s">
        <v>2254</v>
      </c>
      <c r="U304" s="73" t="s">
        <v>2255</v>
      </c>
      <c r="V304" s="72" t="s">
        <v>2256</v>
      </c>
      <c r="W304" s="72" t="s">
        <v>2257</v>
      </c>
      <c r="X304" s="72" t="s">
        <v>2258</v>
      </c>
      <c r="Y304" s="72" t="s">
        <v>2259</v>
      </c>
      <c r="Z304" s="72" t="s">
        <v>2260</v>
      </c>
      <c r="AA304" s="72" t="s">
        <v>2261</v>
      </c>
      <c r="AB304" s="72" t="s">
        <v>2262</v>
      </c>
      <c r="AC304" s="72" t="s">
        <v>2263</v>
      </c>
    </row>
    <row r="305" spans="3:29">
      <c r="C305" s="95" t="s">
        <v>249</v>
      </c>
      <c r="D305" s="84" t="s">
        <v>18756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</row>
    <row r="306" spans="3:29">
      <c r="C306" s="53" t="s">
        <v>251</v>
      </c>
      <c r="D306" s="51" t="s">
        <v>18756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</row>
    <row r="307" spans="3:29">
      <c r="C307" s="53" t="s">
        <v>253</v>
      </c>
      <c r="D307" s="51" t="s">
        <v>18756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</row>
    <row r="308" spans="3:29">
      <c r="C308" s="53" t="s">
        <v>255</v>
      </c>
      <c r="D308" s="51" t="s">
        <v>18756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</row>
    <row r="309" spans="3:29">
      <c r="C309" s="53" t="s">
        <v>256</v>
      </c>
      <c r="D309" s="51" t="s">
        <v>18756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</row>
    <row r="310" spans="3:29">
      <c r="C310" s="53" t="s">
        <v>18757</v>
      </c>
      <c r="D310" s="51" t="s">
        <v>18756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</row>
    <row r="311" spans="3:29">
      <c r="C311" s="53" t="s">
        <v>258</v>
      </c>
      <c r="D311" s="51" t="s">
        <v>18756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</row>
    <row r="312" spans="3:29">
      <c r="C312" s="53" t="s">
        <v>259</v>
      </c>
      <c r="D312" s="51" t="s">
        <v>18756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</row>
    <row r="313" spans="3:29">
      <c r="C313" s="53" t="s">
        <v>260</v>
      </c>
      <c r="D313" s="51" t="s">
        <v>18756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</row>
    <row r="314" spans="3:29">
      <c r="C314" s="53" t="s">
        <v>261</v>
      </c>
      <c r="D314" s="51" t="s">
        <v>18756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</row>
    <row r="315" spans="3:29">
      <c r="C315" s="53" t="s">
        <v>262</v>
      </c>
      <c r="D315" s="51" t="s">
        <v>18756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</row>
    <row r="316" spans="3:29">
      <c r="C316" s="53" t="s">
        <v>263</v>
      </c>
      <c r="D316" s="51" t="s">
        <v>18756</v>
      </c>
      <c r="E316">
        <v>0</v>
      </c>
      <c r="F316">
        <f>Table10[[#Totals],[2023]]+Table4[[#Totals],[2023]]</f>
        <v>8.42179331</v>
      </c>
      <c r="G316">
        <f>Table10[[#Totals],[2024]]+Table4[[#Totals],[2024]]</f>
        <v>8.512158089999998</v>
      </c>
      <c r="H316">
        <f>Table10[[#Totals],[2025]]+Table4[[#Totals],[2025]]</f>
        <v>8.5972078500000002</v>
      </c>
      <c r="I316">
        <f>Table10[[#Totals],[2026]]+Table4[[#Totals],[2026]]</f>
        <v>8.6818496799999991</v>
      </c>
      <c r="J316">
        <f>Table10[[#Totals],[2027]]+Table4[[#Totals],[2027]]</f>
        <v>8.7726215099999987</v>
      </c>
      <c r="K316">
        <f>Table10[[#Totals],[2028]]+Table4[[#Totals],[2028]]</f>
        <v>8.8657149299999993</v>
      </c>
      <c r="L316">
        <f>Table10[[#Totals],[2029]]+Table4[[#Totals],[2029]]</f>
        <v>8.9519536099999986</v>
      </c>
      <c r="M316">
        <f>Table10[[#Totals],[2030]]+Table4[[#Totals],[2030]]</f>
        <v>9.0484266900000012</v>
      </c>
      <c r="N316">
        <f>Table10[[#Totals],[2031]]+Table4[[#Totals],[2031]]</f>
        <v>9.0484266900000012</v>
      </c>
      <c r="O316">
        <f>Table10[[#Totals],[2032]]+Table4[[#Totals],[2032]]</f>
        <v>9.0484266900000012</v>
      </c>
      <c r="P316">
        <f>Table10[[#Totals],[2033]]+Table4[[#Totals],[2033]]</f>
        <v>9.0484266900000012</v>
      </c>
      <c r="Q316">
        <f>Table10[[#Totals],[2034]]+Table4[[#Totals],[2034]]</f>
        <v>9.0484266900000012</v>
      </c>
      <c r="R316">
        <f>Table10[[#Totals],[2035]]+Table4[[#Totals],[2035]]</f>
        <v>9.0484266900000012</v>
      </c>
      <c r="S316">
        <f>Table10[[#Totals],[2036]]+Table4[[#Totals],[2036]]</f>
        <v>9.0484266900000012</v>
      </c>
      <c r="T316">
        <f>Table10[[#Totals],[2037]]+Table4[[#Totals],[2037]]</f>
        <v>9.0484266900000012</v>
      </c>
      <c r="U316">
        <f>Table10[[#Totals],[2038]]+Table4[[#Totals],[2038]]</f>
        <v>9.0484266900000012</v>
      </c>
      <c r="V316">
        <f>Table10[[#Totals],[2039]]+Table4[[#Totals],[2039]]</f>
        <v>9.0484266900000012</v>
      </c>
      <c r="W316">
        <f>Table10[[#Totals],[2040]]+Table4[[#Totals],[2040]]</f>
        <v>9.0484266900000012</v>
      </c>
      <c r="X316">
        <f>Table10[[#Totals],[2041]]+Table4[[#Totals],[2041]]</f>
        <v>9.0484266900000012</v>
      </c>
      <c r="Y316">
        <f>Table10[[#Totals],[2042]]+Table4[[#Totals],[2042]]</f>
        <v>9.0484266900000012</v>
      </c>
      <c r="Z316">
        <f>Table10[[#Totals],[2043]]+Table4[[#Totals],[2043]]</f>
        <v>9.0484266900000012</v>
      </c>
      <c r="AA316">
        <f>Table10[[#Totals],[2044]]+Table4[[#Totals],[2044]]</f>
        <v>9.0484266900000012</v>
      </c>
      <c r="AB316">
        <f>Table10[[#Totals],[2045]]+Table4[[#Totals],[2045]]</f>
        <v>9.0484266900000012</v>
      </c>
      <c r="AC316">
        <f>Table10[[#Totals],[2046]]+Table4[[#Totals],[2046]]</f>
        <v>9.0484266900000012</v>
      </c>
    </row>
    <row r="317" spans="3:29">
      <c r="C317" s="53" t="s">
        <v>18758</v>
      </c>
      <c r="D317" s="51" t="s">
        <v>18756</v>
      </c>
      <c r="E317">
        <v>0</v>
      </c>
      <c r="F317">
        <f>Table22[[#Totals],[2023]]+Table7[[#Totals],[2023]]</f>
        <v>0.22027295000000002</v>
      </c>
      <c r="G317">
        <f>Table22[[#Totals],[2024]]+Table7[[#Totals],[2024]]</f>
        <v>0.19816891</v>
      </c>
      <c r="H317">
        <f>Table22[[#Totals],[2025]]+Table7[[#Totals],[2025]]</f>
        <v>0.19330982999999999</v>
      </c>
      <c r="I317">
        <f>Table22[[#Totals],[2026]]+Table7[[#Totals],[2026]]</f>
        <v>0.18889247000000001</v>
      </c>
      <c r="J317">
        <f>Table22[[#Totals],[2027]]+Table7[[#Totals],[2027]]</f>
        <v>0.18403340000000001</v>
      </c>
      <c r="K317">
        <f>Table22[[#Totals],[2028]]+Table7[[#Totals],[2028]]</f>
        <v>0.17961606000000002</v>
      </c>
      <c r="L317">
        <f>Table22[[#Totals],[2029]]+Table7[[#Totals],[2029]]</f>
        <v>0.17475699</v>
      </c>
      <c r="M317">
        <f>Table22[[#Totals],[2030]]+Table7[[#Totals],[2030]]</f>
        <v>0.16983647000000002</v>
      </c>
      <c r="N317">
        <f>Table22[[#Totals],[2031]]+Table7[[#Totals],[2031]]</f>
        <v>0.16497152000000004</v>
      </c>
      <c r="O317">
        <f>Table22[[#Totals],[2032]]+Table7[[#Totals],[2032]]</f>
        <v>0.16497152000000004</v>
      </c>
      <c r="P317">
        <f>Table22[[#Totals],[2033]]+Table7[[#Totals],[2033]]</f>
        <v>0.16497152000000004</v>
      </c>
      <c r="Q317">
        <f>Table22[[#Totals],[2034]]+Table7[[#Totals],[2034]]</f>
        <v>0.16497152000000004</v>
      </c>
      <c r="R317">
        <f>Table22[[#Totals],[2035]]+Table7[[#Totals],[2035]]</f>
        <v>0.16497152000000004</v>
      </c>
      <c r="S317">
        <f>Table22[[#Totals],[2036]]+Table7[[#Totals],[2036]]</f>
        <v>0.16497152000000004</v>
      </c>
      <c r="T317">
        <f>Table22[[#Totals],[2037]]+Table7[[#Totals],[2037]]</f>
        <v>0.16497152000000004</v>
      </c>
      <c r="U317">
        <f>Table22[[#Totals],[2038]]+Table7[[#Totals],[2038]]</f>
        <v>0.16497152000000004</v>
      </c>
      <c r="V317">
        <f>Table22[[#Totals],[2039]]+Table7[[#Totals],[2039]]</f>
        <v>0.16497152000000004</v>
      </c>
      <c r="W317">
        <f>Table22[[#Totals],[2040]]+Table7[[#Totals],[2040]]</f>
        <v>0.16497152000000004</v>
      </c>
      <c r="X317">
        <f>Table22[[#Totals],[2041]]+Table7[[#Totals],[2041]]</f>
        <v>0.16497152000000004</v>
      </c>
      <c r="Y317">
        <f>Table22[[#Totals],[2042]]+Table7[[#Totals],[2042]]</f>
        <v>0.16497152000000004</v>
      </c>
      <c r="Z317">
        <f>Table22[[#Totals],[2043]]+Table7[[#Totals],[2043]]</f>
        <v>0.16497152000000004</v>
      </c>
      <c r="AA317">
        <f>Table22[[#Totals],[2044]]+Table7[[#Totals],[2044]]</f>
        <v>0.16497152000000004</v>
      </c>
      <c r="AB317">
        <f>Table22[[#Totals],[2045]]+Table7[[#Totals],[2045]]</f>
        <v>0.16497152000000004</v>
      </c>
      <c r="AC317">
        <f>Table22[[#Totals],[2046]]+Table7[[#Totals],[2046]]</f>
        <v>0.16497152000000004</v>
      </c>
    </row>
    <row r="318" spans="3:29">
      <c r="C318" s="53" t="s">
        <v>18759</v>
      </c>
      <c r="D318" s="51" t="s">
        <v>18756</v>
      </c>
      <c r="E318">
        <v>0</v>
      </c>
      <c r="F318">
        <f>Table58[[#Totals],[2023]]+Table8[[#Totals],[2023]]</f>
        <v>0.85239997000000001</v>
      </c>
      <c r="G318">
        <f>Table58[[#Totals],[2024]]+Table8[[#Totals],[2024]]</f>
        <v>0.85239997000000001</v>
      </c>
      <c r="H318">
        <f>Table58[[#Totals],[2025]]+Table8[[#Totals],[2025]]</f>
        <v>0.85239997000000001</v>
      </c>
      <c r="I318">
        <f>Table58[[#Totals],[2026]]+Table8[[#Totals],[2026]]</f>
        <v>0.85239997000000001</v>
      </c>
      <c r="J318">
        <f>Table58[[#Totals],[2027]]+Table8[[#Totals],[2027]]</f>
        <v>0.85239997000000001</v>
      </c>
      <c r="K318">
        <f>Table58[[#Totals],[2028]]+Table8[[#Totals],[2028]]</f>
        <v>0.85239997000000001</v>
      </c>
      <c r="L318">
        <f>Table58[[#Totals],[2029]]+Table8[[#Totals],[2029]]</f>
        <v>0.85239997000000001</v>
      </c>
      <c r="M318">
        <f>Table58[[#Totals],[2030]]+Table8[[#Totals],[2030]]</f>
        <v>0.85239997000000001</v>
      </c>
      <c r="N318">
        <f>Table58[[#Totals],[2031]]+Table8[[#Totals],[2031]]</f>
        <v>0.85239997000000001</v>
      </c>
      <c r="O318">
        <f>Table58[[#Totals],[2032]]+Table8[[#Totals],[2032]]</f>
        <v>0.85239997000000001</v>
      </c>
      <c r="P318">
        <f>Table58[[#Totals],[2033]]+Table8[[#Totals],[2033]]</f>
        <v>0.85239997000000001</v>
      </c>
      <c r="Q318">
        <f>Table58[[#Totals],[2034]]+Table8[[#Totals],[2034]]</f>
        <v>0.85239997000000001</v>
      </c>
      <c r="R318">
        <f>Table58[[#Totals],[2035]]+Table8[[#Totals],[2035]]</f>
        <v>0.85239997000000001</v>
      </c>
      <c r="S318">
        <f>Table58[[#Totals],[2036]]+Table8[[#Totals],[2036]]</f>
        <v>0.85239997000000001</v>
      </c>
      <c r="T318">
        <f>Table58[[#Totals],[2037]]+Table8[[#Totals],[2037]]</f>
        <v>0.85239997000000001</v>
      </c>
      <c r="U318">
        <f>Table58[[#Totals],[2038]]+Table8[[#Totals],[2038]]</f>
        <v>0.85239997000000001</v>
      </c>
      <c r="V318">
        <f>Table58[[#Totals],[2039]]+Table8[[#Totals],[2039]]</f>
        <v>0.85239997000000001</v>
      </c>
      <c r="W318">
        <f>Table58[[#Totals],[2040]]+Table8[[#Totals],[2040]]</f>
        <v>0.85239997000000001</v>
      </c>
      <c r="X318">
        <f>Table58[[#Totals],[2041]]+Table8[[#Totals],[2041]]</f>
        <v>0.85239997000000001</v>
      </c>
      <c r="Y318">
        <f>Table58[[#Totals],[2042]]+Table8[[#Totals],[2042]]</f>
        <v>0.85239997000000001</v>
      </c>
      <c r="Z318">
        <f>Table58[[#Totals],[2043]]+Table8[[#Totals],[2043]]</f>
        <v>0.85239997000000001</v>
      </c>
      <c r="AA318">
        <f>Table58[[#Totals],[2044]]+Table8[[#Totals],[2044]]</f>
        <v>0.85239997000000001</v>
      </c>
      <c r="AB318">
        <f>Table58[[#Totals],[2045]]+Table8[[#Totals],[2045]]</f>
        <v>0.85239997000000001</v>
      </c>
      <c r="AC318">
        <f>Table58[[#Totals],[2046]]+Table8[[#Totals],[2046]]</f>
        <v>0.85239997000000001</v>
      </c>
    </row>
    <row r="319" spans="3:29">
      <c r="C319" s="67" t="s">
        <v>18760</v>
      </c>
      <c r="D319" s="52" t="s">
        <v>18756</v>
      </c>
      <c r="E319">
        <v>0</v>
      </c>
      <c r="F319">
        <f>Table133[[#Totals],[2023]]+Table110[[#Totals],[2023]]</f>
        <v>23.229529620000015</v>
      </c>
      <c r="G319">
        <f>Table133[[#Totals],[2024]]+Table110[[#Totals],[2024]]</f>
        <v>23.225303210000014</v>
      </c>
      <c r="H319">
        <f>Table133[[#Totals],[2025]]+Table110[[#Totals],[2025]]</f>
        <v>22.220546330000012</v>
      </c>
      <c r="I319">
        <f>Table133[[#Totals],[2026]]+Table110[[#Totals],[2026]]</f>
        <v>21.59561569000001</v>
      </c>
      <c r="J319">
        <f>Table133[[#Totals],[2027]]+Table110[[#Totals],[2027]]</f>
        <v>21.237214870000013</v>
      </c>
      <c r="K319">
        <f>Table133[[#Totals],[2028]]+Table110[[#Totals],[2028]]</f>
        <v>20.976089120000012</v>
      </c>
      <c r="L319">
        <f>Table133[[#Totals],[2029]]+Table110[[#Totals],[2029]]</f>
        <v>20.685754810000013</v>
      </c>
      <c r="M319">
        <f>Table133[[#Totals],[2030]]+Table110[[#Totals],[2030]]</f>
        <v>20.441214560000013</v>
      </c>
      <c r="N319">
        <f>Table133[[#Totals],[2031]]+Table110[[#Totals],[2031]]</f>
        <v>20.341604110000009</v>
      </c>
      <c r="O319">
        <f>Table133[[#Totals],[2032]]+Table110[[#Totals],[2032]]</f>
        <v>20.291008040000012</v>
      </c>
      <c r="P319">
        <f>Table133[[#Totals],[2033]]+Table110[[#Totals],[2033]]</f>
        <v>20.23600028000001</v>
      </c>
      <c r="Q319">
        <f>Table133[[#Totals],[2034]]+Table110[[#Totals],[2034]]</f>
        <v>20.18529182000001</v>
      </c>
      <c r="R319">
        <f>Table133[[#Totals],[2035]]+Table110[[#Totals],[2035]]</f>
        <v>20.022276830000013</v>
      </c>
      <c r="S319">
        <f>Table133[[#Totals],[2036]]+Table110[[#Totals],[2036]]</f>
        <v>20.022348650000009</v>
      </c>
      <c r="T319">
        <f>Table133[[#Totals],[2037]]+Table110[[#Totals],[2037]]</f>
        <v>20.022418120000012</v>
      </c>
      <c r="U319">
        <f>Table133[[#Totals],[2038]]+Table110[[#Totals],[2038]]</f>
        <v>20.022485140000011</v>
      </c>
      <c r="V319">
        <f>Table133[[#Totals],[2039]]+Table110[[#Totals],[2039]]</f>
        <v>20.022591220000013</v>
      </c>
      <c r="W319">
        <f>Table133[[#Totals],[2040]]+Table110[[#Totals],[2040]]</f>
        <v>20.02265821000001</v>
      </c>
      <c r="X319">
        <f>Table133[[#Totals],[2041]]+Table110[[#Totals],[2041]]</f>
        <v>20.022685910000011</v>
      </c>
      <c r="Y319">
        <f>Table133[[#Totals],[2042]]+Table110[[#Totals],[2042]]</f>
        <v>20.022676210000014</v>
      </c>
      <c r="Z319">
        <f>Table133[[#Totals],[2043]]+Table110[[#Totals],[2043]]</f>
        <v>20.02270390000001</v>
      </c>
      <c r="AA319">
        <f>Table133[[#Totals],[2044]]+Table110[[#Totals],[2044]]</f>
        <v>20.022694180000013</v>
      </c>
      <c r="AB319">
        <f>Table133[[#Totals],[2045]]+Table110[[#Totals],[2045]]</f>
        <v>20.022721870000012</v>
      </c>
      <c r="AC319">
        <f>Table133[[#Totals],[2046]]+Table110[[#Totals],[2046]]</f>
        <v>20.022749560000012</v>
      </c>
    </row>
    <row r="320" spans="3:29">
      <c r="C320" s="17" t="s">
        <v>270</v>
      </c>
      <c r="D320" s="67" t="s">
        <v>18756</v>
      </c>
      <c r="E320" s="404">
        <v>0</v>
      </c>
      <c r="F320" s="71">
        <f t="shared" ref="F320:AC320" si="0">SUM(F305:F319)</f>
        <v>32.723995850000016</v>
      </c>
      <c r="G320" s="71">
        <f t="shared" si="0"/>
        <v>32.788030180000014</v>
      </c>
      <c r="H320" s="71">
        <f t="shared" si="0"/>
        <v>31.863463980000013</v>
      </c>
      <c r="I320" s="71">
        <f t="shared" si="0"/>
        <v>31.318757810000008</v>
      </c>
      <c r="J320" s="71">
        <f t="shared" si="0"/>
        <v>31.046269750000015</v>
      </c>
      <c r="K320" s="71">
        <f t="shared" si="0"/>
        <v>30.873820080000012</v>
      </c>
      <c r="L320" s="71">
        <f t="shared" si="0"/>
        <v>30.664865380000013</v>
      </c>
      <c r="M320" s="71">
        <f t="shared" si="0"/>
        <v>30.511877690000013</v>
      </c>
      <c r="N320" s="71">
        <f t="shared" si="0"/>
        <v>30.407402290000011</v>
      </c>
      <c r="O320" s="71">
        <f t="shared" si="0"/>
        <v>30.356806220000013</v>
      </c>
      <c r="P320" s="71">
        <f t="shared" si="0"/>
        <v>30.301798460000011</v>
      </c>
      <c r="Q320" s="71">
        <f t="shared" si="0"/>
        <v>30.251090000000012</v>
      </c>
      <c r="R320" s="71">
        <f t="shared" si="0"/>
        <v>30.088075010000015</v>
      </c>
      <c r="S320" s="71">
        <f t="shared" si="0"/>
        <v>30.08814683000001</v>
      </c>
      <c r="T320" s="71">
        <f t="shared" si="0"/>
        <v>30.088216300000013</v>
      </c>
      <c r="U320" s="71">
        <f t="shared" si="0"/>
        <v>30.088283320000013</v>
      </c>
      <c r="V320" s="71">
        <f t="shared" si="0"/>
        <v>30.088389400000015</v>
      </c>
      <c r="W320" s="71">
        <f t="shared" si="0"/>
        <v>30.088456390000012</v>
      </c>
      <c r="X320" s="71">
        <f t="shared" si="0"/>
        <v>30.088484090000012</v>
      </c>
      <c r="Y320" s="71">
        <f t="shared" si="0"/>
        <v>30.088474390000016</v>
      </c>
      <c r="Z320" s="71">
        <f t="shared" si="0"/>
        <v>30.088502080000012</v>
      </c>
      <c r="AA320" s="71">
        <f t="shared" si="0"/>
        <v>30.088492360000014</v>
      </c>
      <c r="AB320" s="71">
        <f t="shared" si="0"/>
        <v>30.088520050000014</v>
      </c>
      <c r="AC320" s="85">
        <f t="shared" si="0"/>
        <v>30.088547740000013</v>
      </c>
    </row>
    <row r="322" spans="3:29">
      <c r="C322" s="68"/>
      <c r="D322" s="71" t="s">
        <v>1</v>
      </c>
      <c r="E322" s="72" t="s">
        <v>585</v>
      </c>
      <c r="F322" s="72" t="s">
        <v>586</v>
      </c>
      <c r="G322" s="72" t="s">
        <v>587</v>
      </c>
      <c r="H322" s="72" t="s">
        <v>588</v>
      </c>
      <c r="I322" s="72" t="s">
        <v>589</v>
      </c>
      <c r="J322" s="72" t="s">
        <v>590</v>
      </c>
      <c r="K322" s="72" t="s">
        <v>591</v>
      </c>
      <c r="L322" s="72" t="s">
        <v>592</v>
      </c>
      <c r="M322" s="73" t="s">
        <v>593</v>
      </c>
      <c r="N322" s="72" t="s">
        <v>2248</v>
      </c>
      <c r="O322" s="72" t="s">
        <v>2249</v>
      </c>
      <c r="P322" s="72" t="s">
        <v>2250</v>
      </c>
      <c r="Q322" s="72" t="s">
        <v>2251</v>
      </c>
      <c r="R322" s="72" t="s">
        <v>2252</v>
      </c>
      <c r="S322" s="72" t="s">
        <v>2253</v>
      </c>
      <c r="T322" s="72" t="s">
        <v>2254</v>
      </c>
      <c r="U322" s="73" t="s">
        <v>2255</v>
      </c>
      <c r="V322" s="72" t="s">
        <v>2256</v>
      </c>
      <c r="W322" s="72" t="s">
        <v>2257</v>
      </c>
      <c r="X322" s="72" t="s">
        <v>2258</v>
      </c>
      <c r="Y322" s="72" t="s">
        <v>2259</v>
      </c>
      <c r="Z322" s="72" t="s">
        <v>2260</v>
      </c>
      <c r="AA322" s="72" t="s">
        <v>2261</v>
      </c>
      <c r="AB322" s="72" t="s">
        <v>2262</v>
      </c>
      <c r="AC322" s="72" t="s">
        <v>2263</v>
      </c>
    </row>
    <row r="323" spans="3:29">
      <c r="C323" s="95" t="s">
        <v>249</v>
      </c>
      <c r="D323" s="84" t="s">
        <v>18756</v>
      </c>
      <c r="E323" s="133">
        <v>0</v>
      </c>
      <c r="F323" s="134">
        <f t="shared" ref="F323:AC323" si="1">F305/F$320</f>
        <v>0</v>
      </c>
      <c r="G323" s="134">
        <f t="shared" si="1"/>
        <v>0</v>
      </c>
      <c r="H323" s="134">
        <f t="shared" si="1"/>
        <v>0</v>
      </c>
      <c r="I323" s="134">
        <f t="shared" si="1"/>
        <v>0</v>
      </c>
      <c r="J323" s="134">
        <f t="shared" si="1"/>
        <v>0</v>
      </c>
      <c r="K323" s="134">
        <f t="shared" si="1"/>
        <v>0</v>
      </c>
      <c r="L323" s="134">
        <f t="shared" si="1"/>
        <v>0</v>
      </c>
      <c r="M323" s="134">
        <f t="shared" si="1"/>
        <v>0</v>
      </c>
      <c r="N323" s="134">
        <f t="shared" si="1"/>
        <v>0</v>
      </c>
      <c r="O323" s="134">
        <f t="shared" si="1"/>
        <v>0</v>
      </c>
      <c r="P323" s="134">
        <f t="shared" si="1"/>
        <v>0</v>
      </c>
      <c r="Q323" s="134">
        <f t="shared" si="1"/>
        <v>0</v>
      </c>
      <c r="R323" s="134">
        <f t="shared" si="1"/>
        <v>0</v>
      </c>
      <c r="S323" s="134">
        <f t="shared" si="1"/>
        <v>0</v>
      </c>
      <c r="T323" s="134">
        <f t="shared" si="1"/>
        <v>0</v>
      </c>
      <c r="U323" s="134">
        <f t="shared" si="1"/>
        <v>0</v>
      </c>
      <c r="V323" s="134">
        <f t="shared" si="1"/>
        <v>0</v>
      </c>
      <c r="W323" s="134">
        <f t="shared" si="1"/>
        <v>0</v>
      </c>
      <c r="X323" s="134">
        <f t="shared" si="1"/>
        <v>0</v>
      </c>
      <c r="Y323" s="134">
        <f t="shared" si="1"/>
        <v>0</v>
      </c>
      <c r="Z323" s="134">
        <f t="shared" si="1"/>
        <v>0</v>
      </c>
      <c r="AA323" s="134">
        <f t="shared" si="1"/>
        <v>0</v>
      </c>
      <c r="AB323" s="134">
        <f t="shared" si="1"/>
        <v>0</v>
      </c>
      <c r="AC323" s="158">
        <f t="shared" si="1"/>
        <v>0</v>
      </c>
    </row>
    <row r="324" spans="3:29">
      <c r="C324" s="53" t="s">
        <v>251</v>
      </c>
      <c r="D324" s="51" t="s">
        <v>18756</v>
      </c>
      <c r="E324" s="6">
        <v>0</v>
      </c>
      <c r="F324">
        <f t="shared" ref="F324:AC324" si="2">F306/F$320</f>
        <v>0</v>
      </c>
      <c r="G324">
        <f t="shared" si="2"/>
        <v>0</v>
      </c>
      <c r="H324">
        <f t="shared" si="2"/>
        <v>0</v>
      </c>
      <c r="I324">
        <f t="shared" si="2"/>
        <v>0</v>
      </c>
      <c r="J324">
        <f t="shared" si="2"/>
        <v>0</v>
      </c>
      <c r="K324">
        <f t="shared" si="2"/>
        <v>0</v>
      </c>
      <c r="L324">
        <f t="shared" si="2"/>
        <v>0</v>
      </c>
      <c r="M324">
        <f t="shared" si="2"/>
        <v>0</v>
      </c>
      <c r="N324">
        <f t="shared" si="2"/>
        <v>0</v>
      </c>
      <c r="O324">
        <f t="shared" si="2"/>
        <v>0</v>
      </c>
      <c r="P324">
        <f t="shared" si="2"/>
        <v>0</v>
      </c>
      <c r="Q324">
        <f t="shared" si="2"/>
        <v>0</v>
      </c>
      <c r="R324">
        <f t="shared" si="2"/>
        <v>0</v>
      </c>
      <c r="S324">
        <f t="shared" si="2"/>
        <v>0</v>
      </c>
      <c r="T324">
        <f t="shared" si="2"/>
        <v>0</v>
      </c>
      <c r="U324">
        <f t="shared" si="2"/>
        <v>0</v>
      </c>
      <c r="V324">
        <f t="shared" si="2"/>
        <v>0</v>
      </c>
      <c r="W324">
        <f t="shared" si="2"/>
        <v>0</v>
      </c>
      <c r="X324">
        <f t="shared" si="2"/>
        <v>0</v>
      </c>
      <c r="Y324">
        <f t="shared" si="2"/>
        <v>0</v>
      </c>
      <c r="Z324">
        <f t="shared" si="2"/>
        <v>0</v>
      </c>
      <c r="AA324">
        <f t="shared" si="2"/>
        <v>0</v>
      </c>
      <c r="AB324">
        <f t="shared" si="2"/>
        <v>0</v>
      </c>
      <c r="AC324" s="5">
        <f t="shared" si="2"/>
        <v>0</v>
      </c>
    </row>
    <row r="325" spans="3:29">
      <c r="C325" s="53" t="s">
        <v>253</v>
      </c>
      <c r="D325" s="51" t="s">
        <v>18756</v>
      </c>
      <c r="E325" s="6">
        <v>0</v>
      </c>
      <c r="F325">
        <f t="shared" ref="F325:AC325" si="3">F307/F$320</f>
        <v>0</v>
      </c>
      <c r="G325">
        <f t="shared" si="3"/>
        <v>0</v>
      </c>
      <c r="H325">
        <f t="shared" si="3"/>
        <v>0</v>
      </c>
      <c r="I325">
        <f t="shared" si="3"/>
        <v>0</v>
      </c>
      <c r="J325">
        <f t="shared" si="3"/>
        <v>0</v>
      </c>
      <c r="K325">
        <f t="shared" si="3"/>
        <v>0</v>
      </c>
      <c r="L325">
        <f t="shared" si="3"/>
        <v>0</v>
      </c>
      <c r="M325">
        <f t="shared" si="3"/>
        <v>0</v>
      </c>
      <c r="N325">
        <f t="shared" si="3"/>
        <v>0</v>
      </c>
      <c r="O325">
        <f t="shared" si="3"/>
        <v>0</v>
      </c>
      <c r="P325">
        <f t="shared" si="3"/>
        <v>0</v>
      </c>
      <c r="Q325">
        <f t="shared" si="3"/>
        <v>0</v>
      </c>
      <c r="R325">
        <f t="shared" si="3"/>
        <v>0</v>
      </c>
      <c r="S325">
        <f t="shared" si="3"/>
        <v>0</v>
      </c>
      <c r="T325">
        <f t="shared" si="3"/>
        <v>0</v>
      </c>
      <c r="U325">
        <f t="shared" si="3"/>
        <v>0</v>
      </c>
      <c r="V325">
        <f t="shared" si="3"/>
        <v>0</v>
      </c>
      <c r="W325">
        <f t="shared" si="3"/>
        <v>0</v>
      </c>
      <c r="X325">
        <f t="shared" si="3"/>
        <v>0</v>
      </c>
      <c r="Y325">
        <f t="shared" si="3"/>
        <v>0</v>
      </c>
      <c r="Z325">
        <f t="shared" si="3"/>
        <v>0</v>
      </c>
      <c r="AA325">
        <f t="shared" si="3"/>
        <v>0</v>
      </c>
      <c r="AB325">
        <f t="shared" si="3"/>
        <v>0</v>
      </c>
      <c r="AC325" s="5">
        <f t="shared" si="3"/>
        <v>0</v>
      </c>
    </row>
    <row r="326" spans="3:29">
      <c r="C326" s="53" t="s">
        <v>255</v>
      </c>
      <c r="D326" s="51" t="s">
        <v>18756</v>
      </c>
      <c r="E326" s="6">
        <v>0</v>
      </c>
      <c r="F326">
        <f t="shared" ref="F326:AC326" si="4">F308/F$320</f>
        <v>0</v>
      </c>
      <c r="G326">
        <f t="shared" si="4"/>
        <v>0</v>
      </c>
      <c r="H326">
        <f t="shared" si="4"/>
        <v>0</v>
      </c>
      <c r="I326">
        <f t="shared" si="4"/>
        <v>0</v>
      </c>
      <c r="J326">
        <f t="shared" si="4"/>
        <v>0</v>
      </c>
      <c r="K326">
        <f t="shared" si="4"/>
        <v>0</v>
      </c>
      <c r="L326">
        <f t="shared" si="4"/>
        <v>0</v>
      </c>
      <c r="M326">
        <f t="shared" si="4"/>
        <v>0</v>
      </c>
      <c r="N326">
        <f t="shared" si="4"/>
        <v>0</v>
      </c>
      <c r="O326">
        <f t="shared" si="4"/>
        <v>0</v>
      </c>
      <c r="P326">
        <f t="shared" si="4"/>
        <v>0</v>
      </c>
      <c r="Q326">
        <f t="shared" si="4"/>
        <v>0</v>
      </c>
      <c r="R326">
        <f t="shared" si="4"/>
        <v>0</v>
      </c>
      <c r="S326">
        <f t="shared" si="4"/>
        <v>0</v>
      </c>
      <c r="T326">
        <f t="shared" si="4"/>
        <v>0</v>
      </c>
      <c r="U326">
        <f t="shared" si="4"/>
        <v>0</v>
      </c>
      <c r="V326">
        <f t="shared" si="4"/>
        <v>0</v>
      </c>
      <c r="W326">
        <f t="shared" si="4"/>
        <v>0</v>
      </c>
      <c r="X326">
        <f t="shared" si="4"/>
        <v>0</v>
      </c>
      <c r="Y326">
        <f t="shared" si="4"/>
        <v>0</v>
      </c>
      <c r="Z326">
        <f t="shared" si="4"/>
        <v>0</v>
      </c>
      <c r="AA326">
        <f t="shared" si="4"/>
        <v>0</v>
      </c>
      <c r="AB326">
        <f t="shared" si="4"/>
        <v>0</v>
      </c>
      <c r="AC326" s="5">
        <f t="shared" si="4"/>
        <v>0</v>
      </c>
    </row>
    <row r="327" spans="3:29">
      <c r="C327" s="53" t="s">
        <v>256</v>
      </c>
      <c r="D327" s="51" t="s">
        <v>18756</v>
      </c>
      <c r="E327" s="6">
        <v>0</v>
      </c>
      <c r="F327">
        <f t="shared" ref="F327:AC327" si="5">F309/F$320</f>
        <v>0</v>
      </c>
      <c r="G327">
        <f t="shared" si="5"/>
        <v>0</v>
      </c>
      <c r="H327">
        <f t="shared" si="5"/>
        <v>0</v>
      </c>
      <c r="I327">
        <f t="shared" si="5"/>
        <v>0</v>
      </c>
      <c r="J327">
        <f t="shared" si="5"/>
        <v>0</v>
      </c>
      <c r="K327">
        <f t="shared" si="5"/>
        <v>0</v>
      </c>
      <c r="L327">
        <f t="shared" si="5"/>
        <v>0</v>
      </c>
      <c r="M327">
        <f t="shared" si="5"/>
        <v>0</v>
      </c>
      <c r="N327">
        <f t="shared" si="5"/>
        <v>0</v>
      </c>
      <c r="O327">
        <f t="shared" si="5"/>
        <v>0</v>
      </c>
      <c r="P327">
        <f t="shared" si="5"/>
        <v>0</v>
      </c>
      <c r="Q327">
        <f t="shared" si="5"/>
        <v>0</v>
      </c>
      <c r="R327">
        <f t="shared" si="5"/>
        <v>0</v>
      </c>
      <c r="S327">
        <f t="shared" si="5"/>
        <v>0</v>
      </c>
      <c r="T327">
        <f t="shared" si="5"/>
        <v>0</v>
      </c>
      <c r="U327">
        <f t="shared" si="5"/>
        <v>0</v>
      </c>
      <c r="V327">
        <f t="shared" si="5"/>
        <v>0</v>
      </c>
      <c r="W327">
        <f t="shared" si="5"/>
        <v>0</v>
      </c>
      <c r="X327">
        <f t="shared" si="5"/>
        <v>0</v>
      </c>
      <c r="Y327">
        <f t="shared" si="5"/>
        <v>0</v>
      </c>
      <c r="Z327">
        <f t="shared" si="5"/>
        <v>0</v>
      </c>
      <c r="AA327">
        <f t="shared" si="5"/>
        <v>0</v>
      </c>
      <c r="AB327">
        <f t="shared" si="5"/>
        <v>0</v>
      </c>
      <c r="AC327" s="5">
        <f t="shared" si="5"/>
        <v>0</v>
      </c>
    </row>
    <row r="328" spans="3:29">
      <c r="C328" s="53" t="s">
        <v>18757</v>
      </c>
      <c r="D328" s="51" t="s">
        <v>18756</v>
      </c>
      <c r="E328" s="6">
        <v>0</v>
      </c>
      <c r="F328">
        <f t="shared" ref="F328:AC328" si="6">F310/F$320</f>
        <v>0</v>
      </c>
      <c r="G328">
        <f t="shared" si="6"/>
        <v>0</v>
      </c>
      <c r="H328">
        <f t="shared" si="6"/>
        <v>0</v>
      </c>
      <c r="I328">
        <f t="shared" si="6"/>
        <v>0</v>
      </c>
      <c r="J328">
        <f t="shared" si="6"/>
        <v>0</v>
      </c>
      <c r="K328">
        <f t="shared" si="6"/>
        <v>0</v>
      </c>
      <c r="L328">
        <f t="shared" si="6"/>
        <v>0</v>
      </c>
      <c r="M328">
        <f t="shared" si="6"/>
        <v>0</v>
      </c>
      <c r="N328">
        <f t="shared" si="6"/>
        <v>0</v>
      </c>
      <c r="O328">
        <f t="shared" si="6"/>
        <v>0</v>
      </c>
      <c r="P328">
        <f t="shared" si="6"/>
        <v>0</v>
      </c>
      <c r="Q328">
        <f t="shared" si="6"/>
        <v>0</v>
      </c>
      <c r="R328">
        <f t="shared" si="6"/>
        <v>0</v>
      </c>
      <c r="S328">
        <f t="shared" si="6"/>
        <v>0</v>
      </c>
      <c r="T328">
        <f t="shared" si="6"/>
        <v>0</v>
      </c>
      <c r="U328">
        <f t="shared" si="6"/>
        <v>0</v>
      </c>
      <c r="V328">
        <f t="shared" si="6"/>
        <v>0</v>
      </c>
      <c r="W328">
        <f t="shared" si="6"/>
        <v>0</v>
      </c>
      <c r="X328">
        <f t="shared" si="6"/>
        <v>0</v>
      </c>
      <c r="Y328">
        <f t="shared" si="6"/>
        <v>0</v>
      </c>
      <c r="Z328">
        <f t="shared" si="6"/>
        <v>0</v>
      </c>
      <c r="AA328">
        <f t="shared" si="6"/>
        <v>0</v>
      </c>
      <c r="AB328">
        <f t="shared" si="6"/>
        <v>0</v>
      </c>
      <c r="AC328" s="5">
        <f t="shared" si="6"/>
        <v>0</v>
      </c>
    </row>
    <row r="329" spans="3:29">
      <c r="C329" s="53" t="s">
        <v>258</v>
      </c>
      <c r="D329" s="51" t="s">
        <v>18756</v>
      </c>
      <c r="E329" s="6">
        <v>0</v>
      </c>
      <c r="F329">
        <f t="shared" ref="F329:AC329" si="7">F311/F$320</f>
        <v>0</v>
      </c>
      <c r="G329">
        <f t="shared" si="7"/>
        <v>0</v>
      </c>
      <c r="H329">
        <f t="shared" si="7"/>
        <v>0</v>
      </c>
      <c r="I329">
        <f t="shared" si="7"/>
        <v>0</v>
      </c>
      <c r="J329">
        <f t="shared" si="7"/>
        <v>0</v>
      </c>
      <c r="K329">
        <f t="shared" si="7"/>
        <v>0</v>
      </c>
      <c r="L329">
        <f t="shared" si="7"/>
        <v>0</v>
      </c>
      <c r="M329">
        <f t="shared" si="7"/>
        <v>0</v>
      </c>
      <c r="N329">
        <f t="shared" si="7"/>
        <v>0</v>
      </c>
      <c r="O329">
        <f t="shared" si="7"/>
        <v>0</v>
      </c>
      <c r="P329">
        <f t="shared" si="7"/>
        <v>0</v>
      </c>
      <c r="Q329">
        <f t="shared" si="7"/>
        <v>0</v>
      </c>
      <c r="R329">
        <f t="shared" si="7"/>
        <v>0</v>
      </c>
      <c r="S329">
        <f t="shared" si="7"/>
        <v>0</v>
      </c>
      <c r="T329">
        <f t="shared" si="7"/>
        <v>0</v>
      </c>
      <c r="U329">
        <f t="shared" si="7"/>
        <v>0</v>
      </c>
      <c r="V329">
        <f t="shared" si="7"/>
        <v>0</v>
      </c>
      <c r="W329">
        <f t="shared" si="7"/>
        <v>0</v>
      </c>
      <c r="X329">
        <f t="shared" si="7"/>
        <v>0</v>
      </c>
      <c r="Y329">
        <f t="shared" si="7"/>
        <v>0</v>
      </c>
      <c r="Z329">
        <f t="shared" si="7"/>
        <v>0</v>
      </c>
      <c r="AA329">
        <f t="shared" si="7"/>
        <v>0</v>
      </c>
      <c r="AB329">
        <f t="shared" si="7"/>
        <v>0</v>
      </c>
      <c r="AC329" s="5">
        <f t="shared" si="7"/>
        <v>0</v>
      </c>
    </row>
    <row r="330" spans="3:29">
      <c r="C330" s="53" t="s">
        <v>259</v>
      </c>
      <c r="D330" s="51" t="s">
        <v>18756</v>
      </c>
      <c r="E330" s="6">
        <v>0</v>
      </c>
      <c r="F330">
        <f t="shared" ref="F330:AC330" si="8">F312/F$320</f>
        <v>0</v>
      </c>
      <c r="G330">
        <f t="shared" si="8"/>
        <v>0</v>
      </c>
      <c r="H330">
        <f t="shared" si="8"/>
        <v>0</v>
      </c>
      <c r="I330">
        <f t="shared" si="8"/>
        <v>0</v>
      </c>
      <c r="J330">
        <f t="shared" si="8"/>
        <v>0</v>
      </c>
      <c r="K330">
        <f t="shared" si="8"/>
        <v>0</v>
      </c>
      <c r="L330">
        <f t="shared" si="8"/>
        <v>0</v>
      </c>
      <c r="M330">
        <f t="shared" si="8"/>
        <v>0</v>
      </c>
      <c r="N330">
        <f t="shared" si="8"/>
        <v>0</v>
      </c>
      <c r="O330">
        <f t="shared" si="8"/>
        <v>0</v>
      </c>
      <c r="P330">
        <f t="shared" si="8"/>
        <v>0</v>
      </c>
      <c r="Q330">
        <f t="shared" si="8"/>
        <v>0</v>
      </c>
      <c r="R330">
        <f t="shared" si="8"/>
        <v>0</v>
      </c>
      <c r="S330">
        <f t="shared" si="8"/>
        <v>0</v>
      </c>
      <c r="T330">
        <f t="shared" si="8"/>
        <v>0</v>
      </c>
      <c r="U330">
        <f t="shared" si="8"/>
        <v>0</v>
      </c>
      <c r="V330">
        <f t="shared" si="8"/>
        <v>0</v>
      </c>
      <c r="W330">
        <f t="shared" si="8"/>
        <v>0</v>
      </c>
      <c r="X330">
        <f t="shared" si="8"/>
        <v>0</v>
      </c>
      <c r="Y330">
        <f t="shared" si="8"/>
        <v>0</v>
      </c>
      <c r="Z330">
        <f t="shared" si="8"/>
        <v>0</v>
      </c>
      <c r="AA330">
        <f t="shared" si="8"/>
        <v>0</v>
      </c>
      <c r="AB330">
        <f t="shared" si="8"/>
        <v>0</v>
      </c>
      <c r="AC330" s="5">
        <f t="shared" si="8"/>
        <v>0</v>
      </c>
    </row>
    <row r="331" spans="3:29">
      <c r="C331" s="53" t="s">
        <v>260</v>
      </c>
      <c r="D331" s="51" t="s">
        <v>18756</v>
      </c>
      <c r="E331" s="6">
        <v>0</v>
      </c>
      <c r="F331">
        <f t="shared" ref="F331:AC331" si="9">F313/F$320</f>
        <v>0</v>
      </c>
      <c r="G331">
        <f t="shared" si="9"/>
        <v>0</v>
      </c>
      <c r="H331">
        <f t="shared" si="9"/>
        <v>0</v>
      </c>
      <c r="I331">
        <f t="shared" si="9"/>
        <v>0</v>
      </c>
      <c r="J331">
        <f t="shared" si="9"/>
        <v>0</v>
      </c>
      <c r="K331">
        <f t="shared" si="9"/>
        <v>0</v>
      </c>
      <c r="L331">
        <f t="shared" si="9"/>
        <v>0</v>
      </c>
      <c r="M331">
        <f t="shared" si="9"/>
        <v>0</v>
      </c>
      <c r="N331">
        <f t="shared" si="9"/>
        <v>0</v>
      </c>
      <c r="O331">
        <f t="shared" si="9"/>
        <v>0</v>
      </c>
      <c r="P331">
        <f t="shared" si="9"/>
        <v>0</v>
      </c>
      <c r="Q331">
        <f t="shared" si="9"/>
        <v>0</v>
      </c>
      <c r="R331">
        <f t="shared" si="9"/>
        <v>0</v>
      </c>
      <c r="S331">
        <f t="shared" si="9"/>
        <v>0</v>
      </c>
      <c r="T331">
        <f t="shared" si="9"/>
        <v>0</v>
      </c>
      <c r="U331">
        <f t="shared" si="9"/>
        <v>0</v>
      </c>
      <c r="V331">
        <f t="shared" si="9"/>
        <v>0</v>
      </c>
      <c r="W331">
        <f t="shared" si="9"/>
        <v>0</v>
      </c>
      <c r="X331">
        <f t="shared" si="9"/>
        <v>0</v>
      </c>
      <c r="Y331">
        <f t="shared" si="9"/>
        <v>0</v>
      </c>
      <c r="Z331">
        <f t="shared" si="9"/>
        <v>0</v>
      </c>
      <c r="AA331">
        <f t="shared" si="9"/>
        <v>0</v>
      </c>
      <c r="AB331">
        <f t="shared" si="9"/>
        <v>0</v>
      </c>
      <c r="AC331" s="5">
        <f t="shared" si="9"/>
        <v>0</v>
      </c>
    </row>
    <row r="332" spans="3:29">
      <c r="C332" s="53" t="s">
        <v>261</v>
      </c>
      <c r="D332" s="51" t="s">
        <v>18756</v>
      </c>
      <c r="E332" s="6">
        <v>0</v>
      </c>
      <c r="F332">
        <f t="shared" ref="F332:AC332" si="10">F314/F$320</f>
        <v>0</v>
      </c>
      <c r="G332">
        <f t="shared" si="10"/>
        <v>0</v>
      </c>
      <c r="H332">
        <f t="shared" si="10"/>
        <v>0</v>
      </c>
      <c r="I332">
        <f t="shared" si="10"/>
        <v>0</v>
      </c>
      <c r="J332">
        <f t="shared" si="10"/>
        <v>0</v>
      </c>
      <c r="K332">
        <f t="shared" si="10"/>
        <v>0</v>
      </c>
      <c r="L332">
        <f t="shared" si="10"/>
        <v>0</v>
      </c>
      <c r="M332">
        <f t="shared" si="10"/>
        <v>0</v>
      </c>
      <c r="N332">
        <f t="shared" si="10"/>
        <v>0</v>
      </c>
      <c r="O332">
        <f t="shared" si="10"/>
        <v>0</v>
      </c>
      <c r="P332">
        <f t="shared" si="10"/>
        <v>0</v>
      </c>
      <c r="Q332">
        <f t="shared" si="10"/>
        <v>0</v>
      </c>
      <c r="R332">
        <f t="shared" si="10"/>
        <v>0</v>
      </c>
      <c r="S332">
        <f t="shared" si="10"/>
        <v>0</v>
      </c>
      <c r="T332">
        <f t="shared" si="10"/>
        <v>0</v>
      </c>
      <c r="U332">
        <f t="shared" si="10"/>
        <v>0</v>
      </c>
      <c r="V332">
        <f t="shared" si="10"/>
        <v>0</v>
      </c>
      <c r="W332">
        <f t="shared" si="10"/>
        <v>0</v>
      </c>
      <c r="X332">
        <f t="shared" si="10"/>
        <v>0</v>
      </c>
      <c r="Y332">
        <f t="shared" si="10"/>
        <v>0</v>
      </c>
      <c r="Z332">
        <f t="shared" si="10"/>
        <v>0</v>
      </c>
      <c r="AA332">
        <f t="shared" si="10"/>
        <v>0</v>
      </c>
      <c r="AB332">
        <f t="shared" si="10"/>
        <v>0</v>
      </c>
      <c r="AC332" s="5">
        <f t="shared" si="10"/>
        <v>0</v>
      </c>
    </row>
    <row r="333" spans="3:29">
      <c r="C333" s="53" t="s">
        <v>262</v>
      </c>
      <c r="D333" s="51" t="s">
        <v>18756</v>
      </c>
      <c r="E333" s="6">
        <v>0</v>
      </c>
      <c r="F333">
        <f t="shared" ref="F333:AC333" si="11">F315/F$320</f>
        <v>0</v>
      </c>
      <c r="G333">
        <f t="shared" si="11"/>
        <v>0</v>
      </c>
      <c r="H333">
        <f t="shared" si="11"/>
        <v>0</v>
      </c>
      <c r="I333">
        <f t="shared" si="11"/>
        <v>0</v>
      </c>
      <c r="J333">
        <f t="shared" si="11"/>
        <v>0</v>
      </c>
      <c r="K333">
        <f t="shared" si="11"/>
        <v>0</v>
      </c>
      <c r="L333">
        <f t="shared" si="11"/>
        <v>0</v>
      </c>
      <c r="M333">
        <f t="shared" si="11"/>
        <v>0</v>
      </c>
      <c r="N333">
        <f t="shared" si="11"/>
        <v>0</v>
      </c>
      <c r="O333">
        <f t="shared" si="11"/>
        <v>0</v>
      </c>
      <c r="P333">
        <f t="shared" si="11"/>
        <v>0</v>
      </c>
      <c r="Q333">
        <f t="shared" si="11"/>
        <v>0</v>
      </c>
      <c r="R333">
        <f t="shared" si="11"/>
        <v>0</v>
      </c>
      <c r="S333">
        <f t="shared" si="11"/>
        <v>0</v>
      </c>
      <c r="T333">
        <f t="shared" si="11"/>
        <v>0</v>
      </c>
      <c r="U333">
        <f t="shared" si="11"/>
        <v>0</v>
      </c>
      <c r="V333">
        <f t="shared" si="11"/>
        <v>0</v>
      </c>
      <c r="W333">
        <f t="shared" si="11"/>
        <v>0</v>
      </c>
      <c r="X333">
        <f t="shared" si="11"/>
        <v>0</v>
      </c>
      <c r="Y333">
        <f t="shared" si="11"/>
        <v>0</v>
      </c>
      <c r="Z333">
        <f t="shared" si="11"/>
        <v>0</v>
      </c>
      <c r="AA333">
        <f t="shared" si="11"/>
        <v>0</v>
      </c>
      <c r="AB333">
        <f t="shared" si="11"/>
        <v>0</v>
      </c>
      <c r="AC333" s="5">
        <f t="shared" si="11"/>
        <v>0</v>
      </c>
    </row>
    <row r="334" spans="3:29">
      <c r="C334" s="53" t="s">
        <v>263</v>
      </c>
      <c r="D334" s="51" t="s">
        <v>18756</v>
      </c>
      <c r="E334" s="6">
        <v>0</v>
      </c>
      <c r="F334" s="27">
        <f t="shared" ref="F334:AC334" si="12">F316/F$320</f>
        <v>0.25735834182976147</v>
      </c>
      <c r="G334" s="27">
        <f t="shared" si="12"/>
        <v>0.25961175597527142</v>
      </c>
      <c r="H334" s="27">
        <f t="shared" si="12"/>
        <v>0.26981397425578951</v>
      </c>
      <c r="I334" s="27">
        <f t="shared" si="12"/>
        <v>0.27720926010762487</v>
      </c>
      <c r="J334" s="27">
        <f t="shared" si="12"/>
        <v>0.28256604032115629</v>
      </c>
      <c r="K334" s="27">
        <f t="shared" si="12"/>
        <v>0.28715963580234727</v>
      </c>
      <c r="L334" s="27">
        <f t="shared" si="12"/>
        <v>0.29192867795332206</v>
      </c>
      <c r="M334" s="27">
        <f t="shared" si="12"/>
        <v>0.2965542396941877</v>
      </c>
      <c r="N334" s="27">
        <f t="shared" si="12"/>
        <v>0.29757315681569185</v>
      </c>
      <c r="O334" s="27">
        <f t="shared" si="12"/>
        <v>0.29806912573163297</v>
      </c>
      <c r="P334" s="27">
        <f t="shared" si="12"/>
        <v>0.29861021952028383</v>
      </c>
      <c r="Q334" s="27">
        <f t="shared" si="12"/>
        <v>0.29911076559555366</v>
      </c>
      <c r="R334" s="27">
        <f t="shared" si="12"/>
        <v>0.30073132584895124</v>
      </c>
      <c r="S334" s="27">
        <f t="shared" si="12"/>
        <v>0.30073060800733931</v>
      </c>
      <c r="T334" s="27">
        <f t="shared" si="12"/>
        <v>0.30072991365726115</v>
      </c>
      <c r="U334" s="27">
        <f t="shared" si="12"/>
        <v>0.30072924379788102</v>
      </c>
      <c r="V334" s="27">
        <f t="shared" si="12"/>
        <v>0.3007281835431177</v>
      </c>
      <c r="W334" s="27">
        <f t="shared" si="12"/>
        <v>0.30072751399128844</v>
      </c>
      <c r="X334" s="27">
        <f t="shared" si="12"/>
        <v>0.30072723713612642</v>
      </c>
      <c r="Y334" s="27">
        <f t="shared" si="12"/>
        <v>0.30072733408534896</v>
      </c>
      <c r="Z334" s="27">
        <f t="shared" si="12"/>
        <v>0.30072705733046573</v>
      </c>
      <c r="AA334" s="27">
        <f t="shared" si="12"/>
        <v>0.30072715447946746</v>
      </c>
      <c r="AB334" s="27">
        <f t="shared" si="12"/>
        <v>0.3007268777249148</v>
      </c>
      <c r="AC334" s="396">
        <f t="shared" si="12"/>
        <v>0.3007266009708715</v>
      </c>
    </row>
    <row r="335" spans="3:29">
      <c r="C335" s="53" t="s">
        <v>18758</v>
      </c>
      <c r="D335" s="51" t="s">
        <v>18756</v>
      </c>
      <c r="E335" s="6">
        <v>0</v>
      </c>
      <c r="F335" s="27">
        <f t="shared" ref="F335:AC335" si="13">F317/F$320</f>
        <v>6.7312363383031024E-3</v>
      </c>
      <c r="G335" s="27">
        <f t="shared" si="13"/>
        <v>6.0439406976293053E-3</v>
      </c>
      <c r="H335" s="27">
        <f t="shared" si="13"/>
        <v>6.066817786080517E-3</v>
      </c>
      <c r="I335" s="27">
        <f t="shared" si="13"/>
        <v>6.0312886975257708E-3</v>
      </c>
      <c r="J335" s="27">
        <f t="shared" si="13"/>
        <v>5.9277137473174191E-3</v>
      </c>
      <c r="K335" s="27">
        <f t="shared" si="13"/>
        <v>5.8177465417165817E-3</v>
      </c>
      <c r="L335" s="27">
        <f t="shared" si="13"/>
        <v>5.6989322416519913E-3</v>
      </c>
      <c r="M335" s="27">
        <f t="shared" si="13"/>
        <v>5.5662411774697945E-3</v>
      </c>
      <c r="N335" s="27">
        <f t="shared" si="13"/>
        <v>5.4253736779828017E-3</v>
      </c>
      <c r="O335" s="27">
        <f t="shared" si="13"/>
        <v>5.4344162163973506E-3</v>
      </c>
      <c r="P335" s="27">
        <f t="shared" si="13"/>
        <v>5.444281474506249E-3</v>
      </c>
      <c r="Q335" s="27">
        <f t="shared" si="13"/>
        <v>5.4534074639955117E-3</v>
      </c>
      <c r="R335" s="27">
        <f t="shared" si="13"/>
        <v>5.482953626816286E-3</v>
      </c>
      <c r="S335" s="27">
        <f t="shared" si="13"/>
        <v>5.4829405390800527E-3</v>
      </c>
      <c r="T335" s="27">
        <f t="shared" si="13"/>
        <v>5.482927879643034E-3</v>
      </c>
      <c r="U335" s="27">
        <f t="shared" si="13"/>
        <v>5.4829156667220574E-3</v>
      </c>
      <c r="V335" s="27">
        <f t="shared" si="13"/>
        <v>5.4828963360863698E-3</v>
      </c>
      <c r="W335" s="27">
        <f t="shared" si="13"/>
        <v>5.4828841287726813E-3</v>
      </c>
      <c r="X335" s="27">
        <f t="shared" si="13"/>
        <v>5.4828790811308689E-3</v>
      </c>
      <c r="Y335" s="27">
        <f t="shared" si="13"/>
        <v>5.4828808487155717E-3</v>
      </c>
      <c r="Z335" s="27">
        <f t="shared" si="13"/>
        <v>5.4828758029020494E-3</v>
      </c>
      <c r="AA335" s="27">
        <f t="shared" si="13"/>
        <v>5.4828775741291398E-3</v>
      </c>
      <c r="AB335" s="27">
        <f t="shared" si="13"/>
        <v>5.4828725283216431E-3</v>
      </c>
      <c r="AC335" s="396">
        <f t="shared" si="13"/>
        <v>5.4828674825234342E-3</v>
      </c>
    </row>
    <row r="336" spans="3:29">
      <c r="C336" s="53" t="s">
        <v>18759</v>
      </c>
      <c r="D336" s="51" t="s">
        <v>18756</v>
      </c>
      <c r="E336" s="6">
        <v>0</v>
      </c>
      <c r="F336" s="27">
        <f t="shared" ref="F336:AC336" si="14">F318/F$320</f>
        <v>2.6048162758216448E-2</v>
      </c>
      <c r="G336" s="27">
        <f t="shared" si="14"/>
        <v>2.5997291246850976E-2</v>
      </c>
      <c r="H336" s="27">
        <f t="shared" si="14"/>
        <v>2.6751641646213749E-2</v>
      </c>
      <c r="I336" s="27">
        <f t="shared" si="14"/>
        <v>2.7216915024893824E-2</v>
      </c>
      <c r="J336" s="27">
        <f t="shared" si="14"/>
        <v>2.7455793461306235E-2</v>
      </c>
      <c r="K336" s="27">
        <f t="shared" si="14"/>
        <v>2.7609151306552528E-2</v>
      </c>
      <c r="L336" s="27">
        <f t="shared" si="14"/>
        <v>2.779728394163913E-2</v>
      </c>
      <c r="M336" s="27">
        <f t="shared" si="14"/>
        <v>2.7936660557582343E-2</v>
      </c>
      <c r="N336" s="27">
        <f t="shared" si="14"/>
        <v>2.8032646849294528E-2</v>
      </c>
      <c r="O336" s="27">
        <f t="shared" si="14"/>
        <v>2.807936921369588E-2</v>
      </c>
      <c r="P336" s="27">
        <f t="shared" si="14"/>
        <v>2.8130342531490774E-2</v>
      </c>
      <c r="Q336" s="27">
        <f t="shared" si="14"/>
        <v>2.8177496083612183E-2</v>
      </c>
      <c r="R336" s="27">
        <f t="shared" si="14"/>
        <v>2.8330159696713663E-2</v>
      </c>
      <c r="S336" s="27">
        <f t="shared" si="14"/>
        <v>2.8330092073005207E-2</v>
      </c>
      <c r="T336" s="27">
        <f t="shared" si="14"/>
        <v>2.8330026662298342E-2</v>
      </c>
      <c r="U336" s="27">
        <f t="shared" si="14"/>
        <v>2.8329963558718564E-2</v>
      </c>
      <c r="V336" s="27">
        <f t="shared" si="14"/>
        <v>2.8329863678246588E-2</v>
      </c>
      <c r="W336" s="27">
        <f t="shared" si="14"/>
        <v>2.8329800603639398E-2</v>
      </c>
      <c r="X336" s="27">
        <f t="shared" si="14"/>
        <v>2.8329774522715068E-2</v>
      </c>
      <c r="Y336" s="27">
        <f t="shared" si="14"/>
        <v>2.8329783655740865E-2</v>
      </c>
      <c r="Z336" s="27">
        <f t="shared" si="14"/>
        <v>2.8329757584263218E-2</v>
      </c>
      <c r="AA336" s="27">
        <f t="shared" si="14"/>
        <v>2.8329766736109062E-2</v>
      </c>
      <c r="AB336" s="27">
        <f t="shared" si="14"/>
        <v>2.8329740664662557E-2</v>
      </c>
      <c r="AC336" s="396">
        <f t="shared" si="14"/>
        <v>2.8329714593264037E-2</v>
      </c>
    </row>
    <row r="337" spans="3:29">
      <c r="C337" s="67" t="s">
        <v>18760</v>
      </c>
      <c r="D337" s="52" t="s">
        <v>18756</v>
      </c>
      <c r="E337" s="6">
        <v>0</v>
      </c>
      <c r="F337" s="27">
        <f t="shared" ref="F337:AC337" si="15">F319/F$320</f>
        <v>0.70986225907371892</v>
      </c>
      <c r="G337" s="27">
        <f t="shared" si="15"/>
        <v>0.7083470120802482</v>
      </c>
      <c r="H337" s="27">
        <f t="shared" si="15"/>
        <v>0.69736756631191621</v>
      </c>
      <c r="I337" s="27">
        <f t="shared" si="15"/>
        <v>0.68954253616995553</v>
      </c>
      <c r="J337" s="27">
        <f t="shared" si="15"/>
        <v>0.68405045247022001</v>
      </c>
      <c r="K337" s="27">
        <f t="shared" si="15"/>
        <v>0.6794134663493836</v>
      </c>
      <c r="L337" s="27">
        <f t="shared" si="15"/>
        <v>0.67457510586338676</v>
      </c>
      <c r="M337" s="27">
        <f t="shared" si="15"/>
        <v>0.66994285857076019</v>
      </c>
      <c r="N337" s="27">
        <f t="shared" si="15"/>
        <v>0.66896882265703084</v>
      </c>
      <c r="O337" s="27">
        <f t="shared" si="15"/>
        <v>0.66841708883827378</v>
      </c>
      <c r="P337" s="27">
        <f t="shared" si="15"/>
        <v>0.66781515647371914</v>
      </c>
      <c r="Q337" s="27">
        <f t="shared" si="15"/>
        <v>0.66725833085683861</v>
      </c>
      <c r="R337" s="27">
        <f t="shared" si="15"/>
        <v>0.66545556082751878</v>
      </c>
      <c r="S337" s="27">
        <f t="shared" si="15"/>
        <v>0.66545635938057546</v>
      </c>
      <c r="T337" s="27">
        <f t="shared" si="15"/>
        <v>0.66545713180079746</v>
      </c>
      <c r="U337" s="27">
        <f t="shared" si="15"/>
        <v>0.66545787697667835</v>
      </c>
      <c r="V337" s="27">
        <f t="shared" si="15"/>
        <v>0.66545905644254932</v>
      </c>
      <c r="W337" s="27">
        <f t="shared" si="15"/>
        <v>0.66545980127629945</v>
      </c>
      <c r="X337" s="27">
        <f t="shared" si="15"/>
        <v>0.66546010926002763</v>
      </c>
      <c r="Y337" s="27">
        <f t="shared" si="15"/>
        <v>0.66546000141019457</v>
      </c>
      <c r="Z337" s="27">
        <f t="shared" si="15"/>
        <v>0.66546030928236899</v>
      </c>
      <c r="AA337" s="27">
        <f t="shared" si="15"/>
        <v>0.66546020121029437</v>
      </c>
      <c r="AB337" s="27">
        <f t="shared" si="15"/>
        <v>0.66546050908210097</v>
      </c>
      <c r="AC337" s="396">
        <f t="shared" si="15"/>
        <v>0.66546081695334103</v>
      </c>
    </row>
    <row r="338" spans="3:29">
      <c r="C338" s="17" t="s">
        <v>270</v>
      </c>
      <c r="D338" s="67" t="s">
        <v>18756</v>
      </c>
      <c r="E338" s="397">
        <v>0</v>
      </c>
      <c r="F338" s="398">
        <f t="shared" ref="F338:AC338" si="16">SUM(F323:F337)</f>
        <v>0.99999999999999989</v>
      </c>
      <c r="G338" s="398">
        <f t="shared" si="16"/>
        <v>0.99999999999999989</v>
      </c>
      <c r="H338" s="398">
        <f t="shared" si="16"/>
        <v>1</v>
      </c>
      <c r="I338" s="398">
        <f t="shared" si="16"/>
        <v>1</v>
      </c>
      <c r="J338" s="398">
        <f t="shared" si="16"/>
        <v>1</v>
      </c>
      <c r="K338" s="398">
        <f t="shared" si="16"/>
        <v>1</v>
      </c>
      <c r="L338" s="398">
        <f t="shared" si="16"/>
        <v>0.99999999999999989</v>
      </c>
      <c r="M338" s="398">
        <f t="shared" si="16"/>
        <v>1</v>
      </c>
      <c r="N338" s="398">
        <f t="shared" si="16"/>
        <v>1</v>
      </c>
      <c r="O338" s="398">
        <f t="shared" si="16"/>
        <v>1</v>
      </c>
      <c r="P338" s="398">
        <f t="shared" si="16"/>
        <v>1</v>
      </c>
      <c r="Q338" s="398">
        <f t="shared" si="16"/>
        <v>1</v>
      </c>
      <c r="R338" s="398">
        <f t="shared" si="16"/>
        <v>1</v>
      </c>
      <c r="S338" s="398">
        <f t="shared" si="16"/>
        <v>1</v>
      </c>
      <c r="T338" s="398">
        <f t="shared" si="16"/>
        <v>1</v>
      </c>
      <c r="U338" s="398">
        <f t="shared" si="16"/>
        <v>1</v>
      </c>
      <c r="V338" s="398">
        <f t="shared" si="16"/>
        <v>1</v>
      </c>
      <c r="W338" s="398">
        <f t="shared" si="16"/>
        <v>1</v>
      </c>
      <c r="X338" s="398">
        <f t="shared" si="16"/>
        <v>1</v>
      </c>
      <c r="Y338" s="398">
        <f t="shared" si="16"/>
        <v>1</v>
      </c>
      <c r="Z338" s="398">
        <f t="shared" si="16"/>
        <v>1</v>
      </c>
      <c r="AA338" s="398">
        <f t="shared" si="16"/>
        <v>1</v>
      </c>
      <c r="AB338" s="398">
        <f t="shared" si="16"/>
        <v>1</v>
      </c>
      <c r="AC338" s="399">
        <f t="shared" si="16"/>
        <v>1</v>
      </c>
    </row>
  </sheetData>
  <phoneticPr fontId="98" type="noConversion"/>
  <pageMargins left="0.7" right="0.7" top="0.75" bottom="0.75" header="0.3" footer="0.3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FA334-26F7-4A63-942A-037F165A8297}">
  <sheetPr>
    <tabColor rgb="FFFFFF00"/>
  </sheetPr>
  <dimension ref="A1:AB83"/>
  <sheetViews>
    <sheetView topLeftCell="A2" zoomScaleNormal="100" workbookViewId="0">
      <selection activeCell="D36" sqref="D35:D36"/>
    </sheetView>
  </sheetViews>
  <sheetFormatPr defaultRowHeight="15"/>
  <cols>
    <col min="1" max="1" width="41.28515625" bestFit="1" customWidth="1"/>
    <col min="4" max="5" width="9.140625" customWidth="1"/>
    <col min="6" max="28" width="9.7109375" bestFit="1" customWidth="1"/>
  </cols>
  <sheetData>
    <row r="1" spans="1:28">
      <c r="B1" s="298" t="s">
        <v>0</v>
      </c>
      <c r="C1" s="298" t="s">
        <v>1</v>
      </c>
      <c r="D1" s="298">
        <v>2022</v>
      </c>
      <c r="E1" s="298">
        <v>2023</v>
      </c>
      <c r="F1" s="298">
        <v>2024</v>
      </c>
      <c r="G1" s="298">
        <v>2025</v>
      </c>
      <c r="H1" s="298">
        <v>2026</v>
      </c>
      <c r="I1" s="298">
        <v>2027</v>
      </c>
      <c r="J1" s="298">
        <v>2028</v>
      </c>
      <c r="K1" s="298">
        <v>2029</v>
      </c>
      <c r="L1" s="298">
        <v>2030</v>
      </c>
      <c r="M1" s="298">
        <v>2031</v>
      </c>
      <c r="N1" s="298">
        <v>2032</v>
      </c>
      <c r="O1" s="298">
        <v>2033</v>
      </c>
      <c r="P1" s="298">
        <v>2034</v>
      </c>
      <c r="Q1" s="298">
        <v>2035</v>
      </c>
      <c r="R1" s="298">
        <v>2036</v>
      </c>
      <c r="S1" s="298">
        <v>2037</v>
      </c>
      <c r="T1" s="298">
        <v>2038</v>
      </c>
      <c r="U1" s="298">
        <v>2039</v>
      </c>
      <c r="V1" s="298">
        <v>2040</v>
      </c>
      <c r="W1" s="298">
        <v>2041</v>
      </c>
      <c r="X1" s="298">
        <v>2042</v>
      </c>
      <c r="Y1" s="298">
        <v>2043</v>
      </c>
      <c r="Z1" s="298">
        <v>2044</v>
      </c>
      <c r="AA1" s="298">
        <v>2045</v>
      </c>
      <c r="AB1" s="298">
        <v>2046</v>
      </c>
    </row>
    <row r="2" spans="1:28">
      <c r="A2" s="298" t="s">
        <v>2</v>
      </c>
      <c r="B2" s="422" t="s">
        <v>3</v>
      </c>
      <c r="C2" t="s">
        <v>4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0.87604961008907878</v>
      </c>
      <c r="X2" s="8">
        <v>2.651410427536717</v>
      </c>
      <c r="Y2" s="8">
        <v>5.2488541034575817</v>
      </c>
      <c r="Z2" s="8">
        <v>9.0534565188024434</v>
      </c>
      <c r="AA2" s="8">
        <v>13.70639107444133</v>
      </c>
      <c r="AB2" s="8">
        <v>10.99723441726859</v>
      </c>
    </row>
    <row r="3" spans="1:28">
      <c r="A3" s="298" t="s">
        <v>5</v>
      </c>
      <c r="B3" s="422" t="s">
        <v>3</v>
      </c>
      <c r="C3" t="s">
        <v>4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</row>
    <row r="4" spans="1:28">
      <c r="A4" s="298" t="s">
        <v>6</v>
      </c>
      <c r="B4" s="422" t="s">
        <v>3</v>
      </c>
      <c r="C4" t="s">
        <v>7</v>
      </c>
      <c r="D4" s="8">
        <v>5.8022944923636963</v>
      </c>
      <c r="E4" s="8">
        <v>11.518694998813009</v>
      </c>
      <c r="F4" s="8">
        <v>18.892137081585819</v>
      </c>
      <c r="G4" s="8">
        <v>3.6844420561462692</v>
      </c>
      <c r="H4" s="8">
        <v>3.6844420561462679</v>
      </c>
      <c r="I4" s="8">
        <v>3.6355105587173222</v>
      </c>
      <c r="J4" s="8">
        <v>3.3704153781382762</v>
      </c>
      <c r="K4" s="8">
        <v>3.3704153781382762</v>
      </c>
      <c r="L4" s="8">
        <v>3.3704153781382762</v>
      </c>
      <c r="M4" s="8">
        <v>3.3704153781382762</v>
      </c>
      <c r="N4" s="8">
        <v>3.3704153781382762</v>
      </c>
      <c r="O4" s="8">
        <v>3.3704153781382762</v>
      </c>
      <c r="P4" s="8">
        <v>3.3704153781382762</v>
      </c>
      <c r="Q4" s="8">
        <v>3.370415378138274</v>
      </c>
      <c r="R4" s="8">
        <v>3.3704153781382762</v>
      </c>
      <c r="S4" s="8">
        <v>3.370415378138278</v>
      </c>
      <c r="T4" s="8">
        <v>3.370415378138274</v>
      </c>
      <c r="U4" s="8">
        <v>3.5142363755745829</v>
      </c>
      <c r="V4" s="8">
        <v>3.6377000426769102</v>
      </c>
      <c r="W4" s="8">
        <v>3.6719124270232708</v>
      </c>
      <c r="X4" s="8">
        <v>3.641771651027006</v>
      </c>
      <c r="Y4" s="8">
        <v>3.6844420561462679</v>
      </c>
      <c r="Z4" s="8">
        <v>3.7064617985351682</v>
      </c>
      <c r="AA4" s="8">
        <v>3.7242769582356621</v>
      </c>
      <c r="AB4" s="8">
        <v>3.6993934758960392</v>
      </c>
    </row>
    <row r="5" spans="1:28">
      <c r="A5" s="298" t="s">
        <v>8</v>
      </c>
      <c r="B5" s="422" t="s">
        <v>3</v>
      </c>
      <c r="C5" t="s">
        <v>7</v>
      </c>
      <c r="D5" s="8">
        <v>5.8022944923636954</v>
      </c>
      <c r="E5" s="8">
        <v>11.518694998813009</v>
      </c>
      <c r="F5" s="8">
        <v>18.892137081585819</v>
      </c>
      <c r="G5" s="8">
        <v>52.531158328717318</v>
      </c>
      <c r="H5" s="8">
        <v>67.278042494262905</v>
      </c>
      <c r="I5" s="8">
        <v>82.024926659808585</v>
      </c>
      <c r="J5" s="8">
        <v>96.771810833267367</v>
      </c>
      <c r="K5" s="8">
        <v>111.518694998813</v>
      </c>
      <c r="L5" s="8">
        <v>126.2655791643587</v>
      </c>
      <c r="M5" s="8">
        <v>141.01246332990431</v>
      </c>
      <c r="N5" s="8">
        <v>155.75934749544999</v>
      </c>
      <c r="O5" s="8">
        <v>170.50623166099561</v>
      </c>
      <c r="P5" s="8">
        <v>185.25311582654109</v>
      </c>
      <c r="Q5" s="8">
        <v>200</v>
      </c>
      <c r="R5" s="8">
        <v>214.74688416554571</v>
      </c>
      <c r="S5" s="8">
        <v>229.4937683310913</v>
      </c>
      <c r="T5" s="8">
        <v>244.24065249663681</v>
      </c>
      <c r="U5" s="8">
        <v>258.98753666218249</v>
      </c>
      <c r="V5" s="8">
        <v>273.73442082772812</v>
      </c>
      <c r="W5" s="8">
        <v>288.48130499327368</v>
      </c>
      <c r="X5" s="8">
        <v>303.22818915881942</v>
      </c>
      <c r="Y5" s="8">
        <v>317.97507333227833</v>
      </c>
      <c r="Z5" s="8">
        <v>332.72195749782389</v>
      </c>
      <c r="AA5" s="8">
        <v>347.46884166336952</v>
      </c>
      <c r="AB5" s="8">
        <v>362.21572582891508</v>
      </c>
    </row>
    <row r="6" spans="1:28">
      <c r="A6" s="298" t="s">
        <v>9</v>
      </c>
      <c r="B6" s="422" t="s">
        <v>3</v>
      </c>
      <c r="C6" t="s">
        <v>7</v>
      </c>
      <c r="D6" s="8">
        <v>281.16396700229922</v>
      </c>
      <c r="E6" s="8">
        <v>281.16396700229922</v>
      </c>
      <c r="F6" s="8">
        <v>281.16396700229922</v>
      </c>
      <c r="G6" s="8">
        <v>281.16396700229922</v>
      </c>
      <c r="H6" s="8">
        <v>281.16396700229927</v>
      </c>
      <c r="I6" s="8">
        <v>281.16396700229922</v>
      </c>
      <c r="J6" s="8">
        <v>281.1639670022991</v>
      </c>
      <c r="K6" s="8">
        <v>281.16396700229922</v>
      </c>
      <c r="L6" s="8">
        <v>281.16396700229922</v>
      </c>
      <c r="M6" s="8">
        <v>281.16396700229922</v>
      </c>
      <c r="N6" s="8">
        <v>281.16396700229922</v>
      </c>
      <c r="O6" s="8">
        <v>281.16396700229922</v>
      </c>
      <c r="P6" s="8">
        <v>281.16396700229922</v>
      </c>
      <c r="Q6" s="8">
        <v>281.16396700229927</v>
      </c>
      <c r="R6" s="8">
        <v>281.16396700229922</v>
      </c>
      <c r="S6" s="8">
        <v>281.16396700229922</v>
      </c>
      <c r="T6" s="8">
        <v>281.16396700229922</v>
      </c>
      <c r="U6" s="8">
        <v>281.16396700229922</v>
      </c>
      <c r="V6" s="8">
        <v>281.16396700229922</v>
      </c>
      <c r="W6" s="8">
        <v>281.16396700229922</v>
      </c>
      <c r="X6" s="8">
        <v>281.16396700229922</v>
      </c>
      <c r="Y6" s="8">
        <v>281.16396700229922</v>
      </c>
      <c r="Z6" s="8">
        <v>281.16396700229922</v>
      </c>
      <c r="AA6" s="8">
        <v>281.16396700229922</v>
      </c>
      <c r="AB6" s="8">
        <v>281.16396700229922</v>
      </c>
    </row>
    <row r="7" spans="1:28">
      <c r="A7" s="298" t="s">
        <v>10</v>
      </c>
      <c r="B7" s="422" t="s">
        <v>3</v>
      </c>
      <c r="C7" t="s">
        <v>7</v>
      </c>
      <c r="D7" s="8">
        <v>12394.075118723969</v>
      </c>
      <c r="E7" s="8">
        <v>12078.55315256515</v>
      </c>
      <c r="F7" s="8">
        <v>11612.38832067946</v>
      </c>
      <c r="G7" s="8">
        <v>11272.88216981195</v>
      </c>
      <c r="H7" s="8">
        <v>10913.35025011942</v>
      </c>
      <c r="I7" s="8">
        <v>10486.560522742389</v>
      </c>
      <c r="J7" s="8">
        <v>10040.583982822151</v>
      </c>
      <c r="K7" s="8">
        <v>9576.2266623162577</v>
      </c>
      <c r="L7" s="8">
        <v>9090.4400649941072</v>
      </c>
      <c r="M7" s="8">
        <v>8582.2159985613525</v>
      </c>
      <c r="N7" s="8">
        <v>8051.9557676983013</v>
      </c>
      <c r="O7" s="8">
        <v>7492.1411850500181</v>
      </c>
      <c r="P7" s="8">
        <v>6916.5307218760008</v>
      </c>
      <c r="Q7" s="8">
        <v>6331.9536777557023</v>
      </c>
      <c r="R7" s="8">
        <v>5764.4586638937844</v>
      </c>
      <c r="S7" s="8">
        <v>5218.2243414733321</v>
      </c>
      <c r="T7" s="8">
        <v>4698.3232726265223</v>
      </c>
      <c r="U7" s="8">
        <v>4207.919351832169</v>
      </c>
      <c r="V7" s="8">
        <v>3745.964352735507</v>
      </c>
      <c r="W7" s="8">
        <v>3313.4408276794502</v>
      </c>
      <c r="X7" s="8">
        <v>2911.628222349776</v>
      </c>
      <c r="Y7" s="8">
        <v>2541.46774638735</v>
      </c>
      <c r="Z7" s="8">
        <v>2200.8953722041319</v>
      </c>
      <c r="AA7" s="8">
        <v>1890.4602410712359</v>
      </c>
      <c r="AB7" s="8">
        <v>1632.2832112039091</v>
      </c>
    </row>
    <row r="8" spans="1:28">
      <c r="A8" s="298" t="s">
        <v>11</v>
      </c>
      <c r="B8" s="422" t="s">
        <v>3</v>
      </c>
      <c r="C8" t="s">
        <v>7</v>
      </c>
      <c r="D8" s="8">
        <v>498.1990930995043</v>
      </c>
      <c r="E8" s="8">
        <v>497.75217017155933</v>
      </c>
      <c r="F8" s="8">
        <v>488.72639416698439</v>
      </c>
      <c r="G8" s="8">
        <v>473.29287891242677</v>
      </c>
      <c r="H8" s="8">
        <v>455.10461021246488</v>
      </c>
      <c r="I8" s="8">
        <v>435.9467391513142</v>
      </c>
      <c r="J8" s="8">
        <v>415.69059050449602</v>
      </c>
      <c r="K8" s="8">
        <v>393.83772236114868</v>
      </c>
      <c r="L8" s="8">
        <v>371.41287562840012</v>
      </c>
      <c r="M8" s="8">
        <v>365.71999934933018</v>
      </c>
      <c r="N8" s="8">
        <v>359.96528461048138</v>
      </c>
      <c r="O8" s="8">
        <v>354.15374230777468</v>
      </c>
      <c r="P8" s="8">
        <v>348.27876415299011</v>
      </c>
      <c r="Q8" s="8">
        <v>342.33338553308909</v>
      </c>
      <c r="R8" s="8">
        <v>336.32056362687501</v>
      </c>
      <c r="S8" s="8">
        <v>330.25002985638332</v>
      </c>
      <c r="T8" s="8">
        <v>324.10724262039378</v>
      </c>
      <c r="U8" s="8">
        <v>317.73119784383249</v>
      </c>
      <c r="V8" s="8">
        <v>311.31155891427301</v>
      </c>
      <c r="W8" s="8">
        <v>304.89270846051897</v>
      </c>
      <c r="X8" s="8">
        <v>298.46776188684498</v>
      </c>
      <c r="Y8" s="8">
        <v>291.89314774963628</v>
      </c>
      <c r="Z8" s="8">
        <v>285.26505917284868</v>
      </c>
      <c r="AA8" s="8">
        <v>278.56725894615141</v>
      </c>
      <c r="AB8" s="8">
        <v>272.09695597751443</v>
      </c>
    </row>
    <row r="9" spans="1:28">
      <c r="A9" s="298" t="s">
        <v>12</v>
      </c>
      <c r="B9" s="422" t="s">
        <v>3</v>
      </c>
      <c r="C9" t="s">
        <v>13</v>
      </c>
      <c r="D9" s="8">
        <v>41.411879452666007</v>
      </c>
      <c r="E9" s="8">
        <v>24.847127671599619</v>
      </c>
      <c r="F9" s="8">
        <v>14.90827660295977</v>
      </c>
      <c r="G9" s="8">
        <v>43.069086041496249</v>
      </c>
      <c r="H9" s="8">
        <v>57.186409977497888</v>
      </c>
      <c r="I9" s="8">
        <v>34.311845986498739</v>
      </c>
      <c r="J9" s="8">
        <v>20.587107591899251</v>
      </c>
      <c r="K9" s="8">
        <v>12.35226455513955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</row>
    <row r="10" spans="1:28">
      <c r="A10" s="298" t="s">
        <v>14</v>
      </c>
      <c r="B10" s="422" t="s">
        <v>3</v>
      </c>
      <c r="C10" t="s">
        <v>15</v>
      </c>
      <c r="D10" s="8">
        <v>3.8346666666666671</v>
      </c>
      <c r="E10" s="8">
        <v>18.410886111111111</v>
      </c>
      <c r="F10" s="8">
        <v>382.22966222222232</v>
      </c>
      <c r="G10" s="8">
        <v>697.4502808333333</v>
      </c>
      <c r="H10" s="8">
        <v>1206.309453055555</v>
      </c>
      <c r="I10" s="8">
        <v>1930.2697627777791</v>
      </c>
      <c r="J10" s="8">
        <v>2583.6675002777779</v>
      </c>
      <c r="K10" s="8">
        <v>3456.7058925000001</v>
      </c>
      <c r="L10" s="8">
        <v>4569.5603663888887</v>
      </c>
      <c r="M10" s="8">
        <v>5862.2211216666656</v>
      </c>
      <c r="N10" s="8">
        <v>7129.843291388891</v>
      </c>
      <c r="O10" s="8">
        <v>8339.2769141666686</v>
      </c>
      <c r="P10" s="8">
        <v>9776.9359541666672</v>
      </c>
      <c r="Q10" s="8">
        <v>11415.65608361112</v>
      </c>
      <c r="R10" s="8">
        <v>12987.748855</v>
      </c>
      <c r="S10" s="8">
        <v>14690.00529472223</v>
      </c>
      <c r="T10" s="8">
        <v>16418.76916472222</v>
      </c>
      <c r="U10" s="8">
        <v>18213.835303888889</v>
      </c>
      <c r="V10" s="8">
        <v>18504.9778357588</v>
      </c>
      <c r="W10" s="8">
        <v>20489.77236901084</v>
      </c>
      <c r="X10" s="8">
        <v>22362.87891007317</v>
      </c>
      <c r="Y10" s="8">
        <v>23915.834082500009</v>
      </c>
      <c r="Z10" s="8">
        <v>25047.633741944439</v>
      </c>
      <c r="AA10" s="8">
        <v>26140.67146666667</v>
      </c>
      <c r="AB10" s="8">
        <v>27327.589306388902</v>
      </c>
    </row>
    <row r="11" spans="1:28">
      <c r="A11" s="298" t="s">
        <v>16</v>
      </c>
      <c r="B11" s="422" t="s">
        <v>3</v>
      </c>
      <c r="C11" t="s">
        <v>15</v>
      </c>
      <c r="D11" s="8">
        <v>0</v>
      </c>
      <c r="E11" s="8">
        <v>0</v>
      </c>
      <c r="F11" s="8">
        <v>0</v>
      </c>
      <c r="G11" s="8">
        <v>30.600000000000058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1173.460465074535</v>
      </c>
      <c r="W11" s="8">
        <v>704.07627904472099</v>
      </c>
      <c r="X11" s="8">
        <v>422.44576742683262</v>
      </c>
      <c r="Y11" s="8">
        <v>0</v>
      </c>
      <c r="Z11" s="8">
        <v>0</v>
      </c>
      <c r="AA11" s="8">
        <v>0</v>
      </c>
      <c r="AB11" s="8">
        <v>0</v>
      </c>
    </row>
    <row r="12" spans="1:28">
      <c r="A12" s="298" t="s">
        <v>17</v>
      </c>
      <c r="B12" s="422" t="s">
        <v>3</v>
      </c>
      <c r="C12" t="s">
        <v>15</v>
      </c>
      <c r="D12" s="8">
        <v>3405.916658055557</v>
      </c>
      <c r="E12" s="8">
        <v>4243.2297497222226</v>
      </c>
      <c r="F12" s="8">
        <v>5276.2062469444454</v>
      </c>
      <c r="G12" s="8">
        <v>5073.3937440966602</v>
      </c>
      <c r="H12" s="8">
        <v>7209.7776658468829</v>
      </c>
      <c r="I12" s="8">
        <v>9975.660206841465</v>
      </c>
      <c r="J12" s="8">
        <v>13043.568956993769</v>
      </c>
      <c r="K12" s="8">
        <v>16691.896311111119</v>
      </c>
      <c r="L12" s="8">
        <v>20547.963274166668</v>
      </c>
      <c r="M12" s="8">
        <v>24978.509136666671</v>
      </c>
      <c r="N12" s="8">
        <v>29484.45985472223</v>
      </c>
      <c r="O12" s="8">
        <v>34455.752304722228</v>
      </c>
      <c r="P12" s="8">
        <v>39739.412582500008</v>
      </c>
      <c r="Q12" s="8">
        <v>45282.638018333339</v>
      </c>
      <c r="R12" s="8">
        <v>50745.155940555553</v>
      </c>
      <c r="S12" s="8">
        <v>56112.192676944447</v>
      </c>
      <c r="T12" s="8">
        <v>61329.187026111133</v>
      </c>
      <c r="U12" s="8">
        <v>65734.460328874251</v>
      </c>
      <c r="V12" s="8">
        <v>70792.445301713466</v>
      </c>
      <c r="W12" s="8">
        <v>74998.284609503724</v>
      </c>
      <c r="X12" s="8">
        <v>78993.228962455061</v>
      </c>
      <c r="Y12" s="8">
        <v>82550.253588188527</v>
      </c>
      <c r="Z12" s="8">
        <v>86852.582741524238</v>
      </c>
      <c r="AA12" s="8">
        <v>90575.847230914544</v>
      </c>
      <c r="AB12" s="8">
        <v>94281.730600882089</v>
      </c>
    </row>
    <row r="13" spans="1:28">
      <c r="A13" s="298" t="s">
        <v>18</v>
      </c>
      <c r="B13" s="422" t="s">
        <v>3</v>
      </c>
      <c r="C13" t="s">
        <v>15</v>
      </c>
      <c r="D13" s="8">
        <v>0</v>
      </c>
      <c r="E13" s="8">
        <v>0</v>
      </c>
      <c r="F13" s="8">
        <v>0</v>
      </c>
      <c r="G13" s="8">
        <v>1472.386825903342</v>
      </c>
      <c r="H13" s="8">
        <v>883.43209554200519</v>
      </c>
      <c r="I13" s="8">
        <v>530.05925732520313</v>
      </c>
      <c r="J13" s="8">
        <v>318.03555439512189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620.88534529244055</v>
      </c>
      <c r="V13" s="8">
        <v>372.53120717546437</v>
      </c>
      <c r="W13" s="8">
        <v>754.62615299629476</v>
      </c>
      <c r="X13" s="8">
        <v>1061.7572811560731</v>
      </c>
      <c r="Y13" s="8">
        <v>1512.9313770892511</v>
      </c>
      <c r="Z13" s="8">
        <v>907.7588262535503</v>
      </c>
      <c r="AA13" s="8">
        <v>544.6552957521302</v>
      </c>
      <c r="AB13" s="8">
        <v>326.79317745127798</v>
      </c>
    </row>
    <row r="14" spans="1:28">
      <c r="A14" s="298" t="s">
        <v>19</v>
      </c>
      <c r="B14" s="422" t="s">
        <v>3</v>
      </c>
      <c r="C14" t="s">
        <v>7</v>
      </c>
      <c r="D14" s="8">
        <v>1384.277987288961</v>
      </c>
      <c r="E14" s="8">
        <v>1352.3732794342779</v>
      </c>
      <c r="F14" s="8">
        <v>1304.9931339357629</v>
      </c>
      <c r="G14" s="8">
        <v>1266.4168351904989</v>
      </c>
      <c r="H14" s="8">
        <v>1226.4886083575709</v>
      </c>
      <c r="I14" s="8">
        <v>1179.090989088475</v>
      </c>
      <c r="J14" s="8">
        <v>1129.5625564994341</v>
      </c>
      <c r="K14" s="8">
        <v>1077.99282538753</v>
      </c>
      <c r="L14" s="8">
        <v>1024.043241531768</v>
      </c>
      <c r="M14" s="8">
        <v>967.60183898860987</v>
      </c>
      <c r="N14" s="8">
        <v>908.71318510639708</v>
      </c>
      <c r="O14" s="8">
        <v>846.5423390255329</v>
      </c>
      <c r="P14" s="8">
        <v>782.61726344205135</v>
      </c>
      <c r="Q14" s="8">
        <v>717.69639399902837</v>
      </c>
      <c r="R14" s="8">
        <v>654.67258888205117</v>
      </c>
      <c r="S14" s="8">
        <v>594.00991406812432</v>
      </c>
      <c r="T14" s="8">
        <v>536.27170872226725</v>
      </c>
      <c r="U14" s="8">
        <v>481.80934274936561</v>
      </c>
      <c r="V14" s="8">
        <v>430.5064041777058</v>
      </c>
      <c r="W14" s="8">
        <v>382.47201147681511</v>
      </c>
      <c r="X14" s="8">
        <v>337.8482549445614</v>
      </c>
      <c r="Y14" s="8">
        <v>296.73966168960862</v>
      </c>
      <c r="Z14" s="8">
        <v>258.91700877732791</v>
      </c>
      <c r="AA14" s="8">
        <v>224.44128171703099</v>
      </c>
      <c r="AB14" s="8">
        <v>195.76913761252359</v>
      </c>
    </row>
    <row r="15" spans="1:28">
      <c r="A15" s="298" t="s">
        <v>20</v>
      </c>
      <c r="B15" s="422" t="s">
        <v>3</v>
      </c>
      <c r="C15" t="s">
        <v>7</v>
      </c>
      <c r="D15" s="8">
        <v>103.5217700036805</v>
      </c>
      <c r="E15" s="8">
        <v>144.93047800515271</v>
      </c>
      <c r="F15" s="8">
        <v>202.9026692072139</v>
      </c>
      <c r="G15" s="8">
        <v>191.38755980861251</v>
      </c>
      <c r="H15" s="8">
        <v>191.38755980861239</v>
      </c>
      <c r="I15" s="8">
        <v>191.38755980861239</v>
      </c>
      <c r="J15" s="8">
        <v>191.38755980861239</v>
      </c>
      <c r="K15" s="8">
        <v>191.38755980861239</v>
      </c>
      <c r="L15" s="8">
        <v>191.38755980861239</v>
      </c>
      <c r="M15" s="8">
        <v>191.38755980861239</v>
      </c>
      <c r="N15" s="8">
        <v>191.38755980861239</v>
      </c>
      <c r="O15" s="8">
        <v>191.38755980861251</v>
      </c>
      <c r="P15" s="8">
        <v>191.38755980861239</v>
      </c>
      <c r="Q15" s="8">
        <v>191.38755980861239</v>
      </c>
      <c r="R15" s="8">
        <v>191.38755980861239</v>
      </c>
      <c r="S15" s="8">
        <v>191.38755980861239</v>
      </c>
      <c r="T15" s="8">
        <v>191.38755980861251</v>
      </c>
      <c r="U15" s="8">
        <v>191.38755980861251</v>
      </c>
      <c r="V15" s="8">
        <v>191.38755980861239</v>
      </c>
      <c r="W15" s="8">
        <v>191.38755980861251</v>
      </c>
      <c r="X15" s="8">
        <v>191.38755980861239</v>
      </c>
      <c r="Y15" s="8">
        <v>191.38755980861239</v>
      </c>
      <c r="Z15" s="8">
        <v>191.38755980861239</v>
      </c>
      <c r="AA15" s="8">
        <v>191.38755980861239</v>
      </c>
      <c r="AB15" s="8">
        <v>191.38755980861239</v>
      </c>
    </row>
    <row r="16" spans="1:28">
      <c r="A16" s="298" t="s">
        <v>21</v>
      </c>
      <c r="B16" s="422" t="s">
        <v>3</v>
      </c>
      <c r="C16" t="s">
        <v>22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3.2550488666666721</v>
      </c>
      <c r="M16" s="8">
        <v>2.881826358333345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51.672747484999952</v>
      </c>
      <c r="W16" s="8">
        <v>72.341846478999912</v>
      </c>
      <c r="X16" s="8">
        <v>48.65146364026657</v>
      </c>
      <c r="Y16" s="8">
        <v>42.216709529666602</v>
      </c>
      <c r="Z16" s="8">
        <v>58.434512768433308</v>
      </c>
      <c r="AA16" s="8">
        <v>81.808317875806637</v>
      </c>
      <c r="AB16" s="8">
        <v>88.107035877429354</v>
      </c>
    </row>
    <row r="17" spans="1:28">
      <c r="A17" s="298" t="s">
        <v>23</v>
      </c>
      <c r="B17" s="422" t="s">
        <v>3</v>
      </c>
      <c r="C17" t="s">
        <v>22</v>
      </c>
      <c r="D17" s="8">
        <v>0</v>
      </c>
      <c r="E17" s="8">
        <v>0</v>
      </c>
      <c r="F17" s="8">
        <v>0</v>
      </c>
      <c r="G17" s="8">
        <v>2.574873183333334</v>
      </c>
      <c r="H17" s="8">
        <v>5.161723799999999</v>
      </c>
      <c r="I17" s="8">
        <v>10.654472183333329</v>
      </c>
      <c r="J17" s="8">
        <v>20.592489916666668</v>
      </c>
      <c r="K17" s="8">
        <v>12.35549395</v>
      </c>
      <c r="L17" s="8">
        <v>0</v>
      </c>
      <c r="M17" s="8">
        <v>0</v>
      </c>
      <c r="N17" s="8">
        <v>0</v>
      </c>
      <c r="O17" s="8">
        <v>0</v>
      </c>
      <c r="P17" s="8">
        <v>23.872124346635889</v>
      </c>
      <c r="Q17" s="8">
        <v>14.32327460798153</v>
      </c>
      <c r="R17" s="8">
        <v>11.49810177333333</v>
      </c>
      <c r="S17" s="8">
        <v>20.559621296279591</v>
      </c>
      <c r="T17" s="8">
        <v>30.49074160141064</v>
      </c>
      <c r="U17" s="8">
        <v>48.26250000000001</v>
      </c>
      <c r="V17" s="8">
        <v>107.16955402833329</v>
      </c>
      <c r="W17" s="8">
        <v>107.16955402833329</v>
      </c>
      <c r="X17" s="8">
        <v>107.1652862016667</v>
      </c>
      <c r="Y17" s="8">
        <v>64.299171721000008</v>
      </c>
      <c r="Z17" s="8">
        <v>47.176213393733327</v>
      </c>
      <c r="AA17" s="8">
        <v>28.305728036240001</v>
      </c>
      <c r="AB17" s="8">
        <v>48.262499999999989</v>
      </c>
    </row>
    <row r="18" spans="1:28">
      <c r="A18" s="298" t="s">
        <v>24</v>
      </c>
      <c r="B18" s="422" t="s">
        <v>3</v>
      </c>
      <c r="C18" t="s">
        <v>22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</row>
    <row r="19" spans="1:28">
      <c r="A19" s="298" t="s">
        <v>25</v>
      </c>
      <c r="B19" s="422" t="s">
        <v>3</v>
      </c>
      <c r="C19" t="s">
        <v>22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</row>
    <row r="20" spans="1:28">
      <c r="A20" s="298" t="s">
        <v>26</v>
      </c>
      <c r="B20" s="422" t="s">
        <v>3</v>
      </c>
      <c r="C20" t="s">
        <v>22</v>
      </c>
      <c r="D20" s="8">
        <v>0</v>
      </c>
      <c r="E20" s="8">
        <v>0.2385582083333333</v>
      </c>
      <c r="F20" s="8">
        <v>1.1241731333333329</v>
      </c>
      <c r="G20" s="8">
        <v>0</v>
      </c>
      <c r="H20" s="8">
        <v>0</v>
      </c>
      <c r="I20" s="8">
        <v>0</v>
      </c>
      <c r="J20" s="8">
        <v>0</v>
      </c>
      <c r="K20" s="8">
        <v>22.046659958333329</v>
      </c>
      <c r="L20" s="8">
        <v>48.262500000000003</v>
      </c>
      <c r="M20" s="8">
        <v>67.567500000000024</v>
      </c>
      <c r="N20" s="8">
        <v>88.950653916666639</v>
      </c>
      <c r="O20" s="8">
        <v>106.31570783333331</v>
      </c>
      <c r="P20" s="8">
        <v>105.7815595783641</v>
      </c>
      <c r="Q20" s="8">
        <v>141.25983482535179</v>
      </c>
      <c r="R20" s="8">
        <v>168.65377513499999</v>
      </c>
      <c r="S20" s="8">
        <v>185.81374908705371</v>
      </c>
      <c r="T20" s="8">
        <v>203.31034869025601</v>
      </c>
      <c r="U20" s="8">
        <v>214.21191336666661</v>
      </c>
      <c r="V20" s="8">
        <v>128.52714801999991</v>
      </c>
      <c r="W20" s="8">
        <v>135.10728739266671</v>
      </c>
      <c r="X20" s="8">
        <v>189.15020234973329</v>
      </c>
      <c r="Y20" s="8">
        <v>254.75473942433339</v>
      </c>
      <c r="Z20" s="8">
        <v>272.07145303783341</v>
      </c>
      <c r="AA20" s="8">
        <v>283.86649044628672</v>
      </c>
      <c r="AB20" s="8">
        <v>274.24354187257069</v>
      </c>
    </row>
    <row r="21" spans="1:28">
      <c r="A21" s="298" t="s">
        <v>27</v>
      </c>
      <c r="B21" s="422" t="s">
        <v>3</v>
      </c>
      <c r="C21" t="s">
        <v>22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75.254672526833346</v>
      </c>
      <c r="W21" s="8">
        <v>87.495648467766671</v>
      </c>
      <c r="X21" s="8">
        <v>54.098535066666649</v>
      </c>
      <c r="Y21" s="8">
        <v>36.282880931833333</v>
      </c>
      <c r="Z21" s="8">
        <v>36.045780879566671</v>
      </c>
      <c r="AA21" s="8">
        <v>38.661276388026643</v>
      </c>
      <c r="AB21" s="8">
        <v>54.125786943237308</v>
      </c>
    </row>
    <row r="22" spans="1:28">
      <c r="A22" s="298" t="s">
        <v>28</v>
      </c>
      <c r="B22" s="422" t="s">
        <v>3</v>
      </c>
      <c r="C22" t="s">
        <v>22</v>
      </c>
      <c r="D22" s="8">
        <v>0</v>
      </c>
      <c r="E22" s="8">
        <v>0</v>
      </c>
      <c r="F22" s="8">
        <v>0</v>
      </c>
      <c r="G22" s="8">
        <v>2.0055063</v>
      </c>
      <c r="H22" s="8">
        <v>3.863752158333333</v>
      </c>
      <c r="I22" s="8">
        <v>6.8395097083333338</v>
      </c>
      <c r="J22" s="8">
        <v>10.851397933333329</v>
      </c>
      <c r="K22" s="8">
        <v>0</v>
      </c>
      <c r="L22" s="8">
        <v>0</v>
      </c>
      <c r="M22" s="8">
        <v>0</v>
      </c>
      <c r="N22" s="8">
        <v>0</v>
      </c>
      <c r="O22" s="8">
        <v>12.35969396142362</v>
      </c>
      <c r="P22" s="8">
        <v>0</v>
      </c>
      <c r="Q22" s="8">
        <v>17.58700801985875</v>
      </c>
      <c r="R22" s="8">
        <v>37.797658982447643</v>
      </c>
      <c r="S22" s="8">
        <v>52.916722575426718</v>
      </c>
      <c r="T22" s="8">
        <v>66.567018985256041</v>
      </c>
      <c r="U22" s="8">
        <v>58.844067539166673</v>
      </c>
      <c r="V22" s="8">
        <v>0</v>
      </c>
      <c r="W22" s="8">
        <v>0</v>
      </c>
      <c r="X22" s="8">
        <v>0</v>
      </c>
      <c r="Y22" s="8">
        <v>42.807395818166661</v>
      </c>
      <c r="Z22" s="8">
        <v>59.930354145433341</v>
      </c>
      <c r="AA22" s="8">
        <v>68.752032550426662</v>
      </c>
      <c r="AB22" s="8">
        <v>48.795260586666693</v>
      </c>
    </row>
    <row r="23" spans="1:28">
      <c r="A23" s="298" t="s">
        <v>29</v>
      </c>
      <c r="B23" s="422" t="s">
        <v>3</v>
      </c>
      <c r="C23" t="s">
        <v>22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</row>
    <row r="24" spans="1:28">
      <c r="A24" s="298" t="s">
        <v>30</v>
      </c>
      <c r="B24" s="422" t="s">
        <v>3</v>
      </c>
      <c r="C24" t="s">
        <v>22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</row>
    <row r="25" spans="1:28">
      <c r="A25" s="298" t="s">
        <v>31</v>
      </c>
      <c r="B25" s="422" t="s">
        <v>3</v>
      </c>
      <c r="C25" t="s">
        <v>22</v>
      </c>
      <c r="D25" s="8">
        <v>1.0825233750000001</v>
      </c>
      <c r="E25" s="8">
        <v>1.2335523333333329</v>
      </c>
      <c r="F25" s="8">
        <v>1.543232158333333</v>
      </c>
      <c r="G25" s="8">
        <v>0</v>
      </c>
      <c r="H25" s="8">
        <v>0</v>
      </c>
      <c r="I25" s="8">
        <v>0</v>
      </c>
      <c r="J25" s="8">
        <v>0</v>
      </c>
      <c r="K25" s="8">
        <v>15.86534685833333</v>
      </c>
      <c r="L25" s="8">
        <v>21.928768191666659</v>
      </c>
      <c r="M25" s="8">
        <v>28.145119391666672</v>
      </c>
      <c r="N25" s="8">
        <v>34.599582799999993</v>
      </c>
      <c r="O25" s="8">
        <v>28.95439598857638</v>
      </c>
      <c r="P25" s="8">
        <v>48.226662391666657</v>
      </c>
      <c r="Q25" s="8">
        <v>37.805119288474572</v>
      </c>
      <c r="R25" s="8">
        <v>24.733445792552359</v>
      </c>
      <c r="S25" s="8">
        <v>16.70403902457328</v>
      </c>
      <c r="T25" s="8">
        <v>10.022423414743971</v>
      </c>
      <c r="U25" s="8">
        <v>24.540940135833321</v>
      </c>
      <c r="V25" s="8">
        <v>14.72456408149999</v>
      </c>
      <c r="W25" s="8">
        <v>8.8347384488999907</v>
      </c>
      <c r="X25" s="8">
        <v>48.262500000000003</v>
      </c>
      <c r="Y25" s="8">
        <v>28.9575</v>
      </c>
      <c r="Z25" s="8">
        <v>17.374500000000001</v>
      </c>
      <c r="AA25" s="8">
        <v>10.81666913654669</v>
      </c>
      <c r="AB25" s="8">
        <v>20.439617703429342</v>
      </c>
    </row>
    <row r="26" spans="1:28">
      <c r="A26" s="298" t="s">
        <v>32</v>
      </c>
      <c r="B26" s="422" t="s">
        <v>3</v>
      </c>
      <c r="C26" t="s">
        <v>13</v>
      </c>
      <c r="D26" s="8">
        <v>155.2624472075556</v>
      </c>
      <c r="E26" s="8">
        <v>163.9524477132446</v>
      </c>
      <c r="F26" s="8">
        <v>165.1882957477504</v>
      </c>
      <c r="G26" s="8">
        <v>129.26230487841161</v>
      </c>
      <c r="H26" s="8">
        <v>108.22915168681379</v>
      </c>
      <c r="I26" s="8">
        <v>123.48948479360089</v>
      </c>
      <c r="J26" s="8">
        <v>128.77098064339489</v>
      </c>
      <c r="K26" s="8">
        <v>129.4193739144076</v>
      </c>
      <c r="L26" s="8">
        <v>134.70107912545549</v>
      </c>
      <c r="M26" s="8">
        <v>128.0007997471555</v>
      </c>
      <c r="N26" s="8">
        <v>122.5000413623857</v>
      </c>
      <c r="O26" s="8">
        <v>116.601357745222</v>
      </c>
      <c r="P26" s="8">
        <v>110.6093863463969</v>
      </c>
      <c r="Q26" s="8">
        <v>104.12766515207851</v>
      </c>
      <c r="R26" s="8">
        <v>97.118312924815925</v>
      </c>
      <c r="S26" s="8">
        <v>89.635311006172373</v>
      </c>
      <c r="T26" s="8">
        <v>81.622904179370849</v>
      </c>
      <c r="U26" s="8">
        <v>73.049753513794883</v>
      </c>
      <c r="V26" s="8">
        <v>64.875267293820187</v>
      </c>
      <c r="W26" s="8">
        <v>56.231647423217069</v>
      </c>
      <c r="X26" s="8">
        <v>48.386540447683501</v>
      </c>
      <c r="Y26" s="8">
        <v>41.217322852680887</v>
      </c>
      <c r="Z26" s="8">
        <v>34.977417736298058</v>
      </c>
      <c r="AA26" s="8">
        <v>29.2778530006693</v>
      </c>
      <c r="AB26" s="8">
        <v>29.2778530081059</v>
      </c>
    </row>
    <row r="27" spans="1:28">
      <c r="A27" s="298" t="s">
        <v>33</v>
      </c>
      <c r="B27" s="422" t="s">
        <v>3</v>
      </c>
      <c r="C27" t="s">
        <v>13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</row>
    <row r="28" spans="1:28">
      <c r="A28" s="298" t="s">
        <v>34</v>
      </c>
      <c r="B28" s="422" t="s">
        <v>3</v>
      </c>
      <c r="C28" t="s">
        <v>7</v>
      </c>
      <c r="D28" s="8">
        <v>1385.2302780331661</v>
      </c>
      <c r="E28" s="8">
        <v>1965.1653570536059</v>
      </c>
      <c r="F28" s="8">
        <v>2464.7998535580418</v>
      </c>
      <c r="G28" s="8">
        <v>2739.310306467939</v>
      </c>
      <c r="H28" s="8">
        <v>2700.2257547873792</v>
      </c>
      <c r="I28" s="8">
        <v>2643.2363055497281</v>
      </c>
      <c r="J28" s="8">
        <v>2503.106223276809</v>
      </c>
      <c r="K28" s="8">
        <v>2467.4348082408569</v>
      </c>
      <c r="L28" s="8">
        <v>2432.8335356559842</v>
      </c>
      <c r="M28" s="8">
        <v>2399.2703012486559</v>
      </c>
      <c r="N28" s="8">
        <v>2366.7139638735489</v>
      </c>
      <c r="O28" s="8">
        <v>2335.1343166196948</v>
      </c>
      <c r="P28" s="8">
        <v>2304.502058783457</v>
      </c>
      <c r="Q28" s="8">
        <v>2274.788768682306</v>
      </c>
      <c r="R28" s="8">
        <v>2245.9668772841892</v>
      </c>
      <c r="S28" s="8">
        <v>2218.0096426280161</v>
      </c>
      <c r="T28" s="8">
        <v>2190.8911250115279</v>
      </c>
      <c r="U28" s="8">
        <v>2220.6591577435152</v>
      </c>
      <c r="V28" s="8">
        <v>2243.2794142805101</v>
      </c>
      <c r="W28" s="8">
        <v>2231.8678151660688</v>
      </c>
      <c r="X28" s="8">
        <v>2196.1086872731848</v>
      </c>
      <c r="Y28" s="8">
        <v>2189.4574501062179</v>
      </c>
      <c r="Z28" s="8">
        <v>2175.4535511298081</v>
      </c>
      <c r="AA28" s="8">
        <v>2160.4880365535778</v>
      </c>
      <c r="AB28" s="8">
        <v>2129.5324952274582</v>
      </c>
    </row>
    <row r="29" spans="1:28">
      <c r="A29" s="298" t="s">
        <v>35</v>
      </c>
      <c r="B29" s="422" t="s">
        <v>3</v>
      </c>
      <c r="C29" t="s">
        <v>7</v>
      </c>
      <c r="D29" s="8">
        <v>2041.163086138173</v>
      </c>
      <c r="E29" s="8">
        <v>1503.986061292482</v>
      </c>
      <c r="F29" s="8">
        <v>902.39163677548902</v>
      </c>
      <c r="G29" s="8">
        <v>623.78531129197438</v>
      </c>
      <c r="H29" s="8">
        <v>635.14839354366347</v>
      </c>
      <c r="I29" s="8">
        <v>639.91522276699436</v>
      </c>
      <c r="J29" s="8">
        <v>724.86542048160709</v>
      </c>
      <c r="K29" s="8">
        <v>690.58325270002945</v>
      </c>
      <c r="L29" s="8">
        <v>639.22880743066673</v>
      </c>
      <c r="M29" s="8">
        <v>595.2622314427889</v>
      </c>
      <c r="N29" s="8">
        <v>556.92385302144964</v>
      </c>
      <c r="O29" s="8">
        <v>530.87079736935004</v>
      </c>
      <c r="P29" s="8">
        <v>484.18276654067768</v>
      </c>
      <c r="Q29" s="8">
        <v>428.18565671405588</v>
      </c>
      <c r="R29" s="8">
        <v>380.10152019115731</v>
      </c>
      <c r="S29" s="8">
        <v>329.9230632131904</v>
      </c>
      <c r="T29" s="8">
        <v>277.15935286127359</v>
      </c>
      <c r="U29" s="8">
        <v>166.2956117167642</v>
      </c>
      <c r="V29" s="8">
        <v>99.777367030058514</v>
      </c>
      <c r="W29" s="8">
        <v>59.866420218035117</v>
      </c>
      <c r="X29" s="8">
        <v>35.919852130821063</v>
      </c>
      <c r="Y29" s="8">
        <v>42.142495840922678</v>
      </c>
      <c r="Z29" s="8">
        <v>58.999494177291758</v>
      </c>
      <c r="AA29" s="8">
        <v>82.599291848208466</v>
      </c>
      <c r="AB29" s="8">
        <v>115.6390085874919</v>
      </c>
    </row>
    <row r="30" spans="1:28">
      <c r="A30" s="298" t="s">
        <v>96</v>
      </c>
      <c r="B30" t="s">
        <v>37</v>
      </c>
      <c r="C30" t="s">
        <v>38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>
        <v>-1000000</v>
      </c>
      <c r="X30" s="8">
        <v>-1000000</v>
      </c>
      <c r="Y30" s="8">
        <v>-1000000</v>
      </c>
      <c r="Z30" s="8">
        <v>-1000000</v>
      </c>
      <c r="AA30" s="8">
        <v>-1000000</v>
      </c>
      <c r="AB30" s="8">
        <v>-1000000</v>
      </c>
    </row>
    <row r="31" spans="1:28">
      <c r="A31" s="298" t="s">
        <v>36</v>
      </c>
      <c r="B31" t="s">
        <v>37</v>
      </c>
      <c r="C31" t="s">
        <v>38</v>
      </c>
      <c r="D31" s="8">
        <v>56</v>
      </c>
      <c r="E31" s="8">
        <v>56</v>
      </c>
      <c r="F31" s="8">
        <v>56</v>
      </c>
      <c r="G31" s="8">
        <v>56</v>
      </c>
      <c r="H31" s="8">
        <v>56</v>
      </c>
      <c r="I31" s="8">
        <v>56</v>
      </c>
      <c r="J31" s="8">
        <v>56</v>
      </c>
      <c r="K31" s="8">
        <v>56</v>
      </c>
      <c r="L31" s="8">
        <v>56</v>
      </c>
      <c r="M31" s="8">
        <v>56</v>
      </c>
      <c r="N31" s="8">
        <v>56</v>
      </c>
      <c r="O31" s="8">
        <v>56</v>
      </c>
      <c r="P31" s="8">
        <v>56</v>
      </c>
      <c r="Q31" s="8">
        <v>56</v>
      </c>
      <c r="R31" s="8">
        <v>56</v>
      </c>
      <c r="S31" s="8">
        <v>56</v>
      </c>
      <c r="T31" s="8">
        <v>56</v>
      </c>
      <c r="U31" s="8">
        <v>56</v>
      </c>
      <c r="V31" s="8">
        <v>56</v>
      </c>
      <c r="W31" s="8">
        <v>56</v>
      </c>
      <c r="X31" s="8">
        <v>56</v>
      </c>
      <c r="Y31" s="8">
        <v>56</v>
      </c>
      <c r="Z31" s="8">
        <v>56</v>
      </c>
      <c r="AA31" s="8">
        <v>56</v>
      </c>
      <c r="AB31" s="8">
        <v>56</v>
      </c>
    </row>
    <row r="32" spans="1:28">
      <c r="A32" s="298" t="s">
        <v>39</v>
      </c>
      <c r="B32" t="s">
        <v>37</v>
      </c>
      <c r="C32" t="s">
        <v>38</v>
      </c>
      <c r="D32" s="8">
        <v>31</v>
      </c>
      <c r="E32" s="8">
        <v>31</v>
      </c>
      <c r="F32" s="8">
        <v>31</v>
      </c>
      <c r="G32" s="8">
        <v>31</v>
      </c>
      <c r="H32" s="8">
        <v>31</v>
      </c>
      <c r="I32" s="8">
        <v>31</v>
      </c>
      <c r="J32" s="8">
        <v>31</v>
      </c>
      <c r="K32" s="8">
        <v>31</v>
      </c>
      <c r="L32" s="8">
        <v>31</v>
      </c>
      <c r="M32" s="8">
        <v>31</v>
      </c>
      <c r="N32" s="8">
        <v>31</v>
      </c>
      <c r="O32" s="8">
        <v>31</v>
      </c>
      <c r="P32" s="8">
        <v>31</v>
      </c>
      <c r="Q32" s="8">
        <v>31</v>
      </c>
      <c r="R32" s="8">
        <v>31</v>
      </c>
      <c r="S32" s="8">
        <v>31</v>
      </c>
      <c r="T32" s="8">
        <v>31</v>
      </c>
      <c r="U32" s="8">
        <v>31</v>
      </c>
      <c r="V32" s="8">
        <v>31</v>
      </c>
      <c r="W32" s="8">
        <v>31</v>
      </c>
      <c r="X32" s="8">
        <v>31</v>
      </c>
      <c r="Y32" s="8">
        <v>31</v>
      </c>
      <c r="Z32" s="8">
        <v>31</v>
      </c>
      <c r="AA32" s="8">
        <v>31</v>
      </c>
      <c r="AB32" s="8">
        <v>31</v>
      </c>
    </row>
    <row r="33" spans="1:28">
      <c r="A33" s="298" t="s">
        <v>97</v>
      </c>
      <c r="B33" t="s">
        <v>37</v>
      </c>
      <c r="C33" t="s">
        <v>38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>
        <v>-1000000</v>
      </c>
      <c r="W33" s="8"/>
      <c r="X33" s="8"/>
      <c r="Y33" s="8"/>
      <c r="Z33" s="8"/>
      <c r="AA33" s="8"/>
      <c r="AB33" s="8"/>
    </row>
    <row r="34" spans="1:28">
      <c r="A34" s="298" t="s">
        <v>40</v>
      </c>
      <c r="B34" t="s">
        <v>37</v>
      </c>
      <c r="C34" t="s">
        <v>38</v>
      </c>
      <c r="D34" s="8">
        <v>57.74</v>
      </c>
      <c r="E34" s="8">
        <v>57.74</v>
      </c>
      <c r="F34" s="8">
        <v>57.74</v>
      </c>
      <c r="G34" s="8">
        <v>57.74</v>
      </c>
      <c r="H34" s="8">
        <v>57.74</v>
      </c>
      <c r="I34" s="8">
        <v>57.74</v>
      </c>
      <c r="J34" s="8">
        <v>57.74</v>
      </c>
      <c r="K34" s="8">
        <v>57.74</v>
      </c>
      <c r="L34" s="8">
        <v>57.74</v>
      </c>
      <c r="M34" s="8">
        <v>57.74</v>
      </c>
      <c r="N34" s="8">
        <v>57.74</v>
      </c>
      <c r="O34" s="8">
        <v>57.74</v>
      </c>
      <c r="P34" s="8">
        <v>57.74</v>
      </c>
      <c r="Q34" s="8">
        <v>57.74</v>
      </c>
      <c r="R34" s="8">
        <v>57.74</v>
      </c>
      <c r="S34" s="8">
        <v>57.74</v>
      </c>
      <c r="T34" s="8">
        <v>57.74</v>
      </c>
      <c r="U34" s="8">
        <v>57.74</v>
      </c>
      <c r="V34" s="8">
        <v>57.74</v>
      </c>
      <c r="W34" s="8">
        <v>57.74</v>
      </c>
      <c r="X34" s="8">
        <v>57.74</v>
      </c>
      <c r="Y34" s="8">
        <v>57.74</v>
      </c>
      <c r="Z34" s="8">
        <v>57.74</v>
      </c>
      <c r="AA34" s="8">
        <v>57.74</v>
      </c>
      <c r="AB34" s="8">
        <v>57.74</v>
      </c>
    </row>
    <row r="35" spans="1:28">
      <c r="A35" s="298" t="s">
        <v>41</v>
      </c>
      <c r="B35" t="s">
        <v>37</v>
      </c>
      <c r="C35" t="s">
        <v>38</v>
      </c>
      <c r="D35" s="8">
        <v>100.82</v>
      </c>
      <c r="E35" s="8">
        <v>100.82</v>
      </c>
      <c r="F35" s="8">
        <v>100.82</v>
      </c>
      <c r="G35" s="8">
        <v>100.5</v>
      </c>
      <c r="H35" s="8">
        <v>100.5</v>
      </c>
      <c r="I35" s="8">
        <v>100.5</v>
      </c>
      <c r="J35" s="8">
        <v>100.5</v>
      </c>
      <c r="K35" s="8">
        <v>100.5</v>
      </c>
      <c r="L35" s="8">
        <v>100.5</v>
      </c>
      <c r="M35" s="8">
        <v>100.5</v>
      </c>
      <c r="N35" s="8">
        <v>100.5</v>
      </c>
      <c r="O35" s="8">
        <v>100.5</v>
      </c>
      <c r="P35" s="8">
        <v>100.5</v>
      </c>
      <c r="Q35" s="8">
        <v>100.5</v>
      </c>
      <c r="R35" s="8">
        <v>100.5</v>
      </c>
      <c r="S35" s="8">
        <v>100.5</v>
      </c>
      <c r="T35" s="8">
        <v>100.5</v>
      </c>
      <c r="U35" s="8">
        <v>100.5</v>
      </c>
      <c r="V35" s="8">
        <v>100.5</v>
      </c>
      <c r="W35" s="8">
        <v>100.5</v>
      </c>
      <c r="X35" s="8">
        <v>100.5</v>
      </c>
      <c r="Y35" s="8">
        <v>100.5</v>
      </c>
      <c r="Z35" s="8">
        <v>100.5</v>
      </c>
      <c r="AA35" s="8">
        <v>100.5</v>
      </c>
      <c r="AB35" s="8">
        <v>100.5</v>
      </c>
    </row>
    <row r="36" spans="1:28">
      <c r="A36" s="298" t="s">
        <v>42</v>
      </c>
      <c r="B36" t="s">
        <v>37</v>
      </c>
      <c r="C36" t="s">
        <v>38</v>
      </c>
      <c r="D36" s="8">
        <v>89.37</v>
      </c>
      <c r="E36" s="8">
        <v>89.15</v>
      </c>
      <c r="F36" s="8">
        <v>87.89</v>
      </c>
      <c r="G36" s="8">
        <v>81.7</v>
      </c>
      <c r="H36" s="8">
        <v>80.17</v>
      </c>
      <c r="I36" s="8">
        <v>78.63</v>
      </c>
      <c r="J36" s="8">
        <v>77.099999999999994</v>
      </c>
      <c r="K36" s="8">
        <v>75.569999999999993</v>
      </c>
      <c r="L36" s="8">
        <v>74.03</v>
      </c>
      <c r="M36" s="8">
        <v>69.27</v>
      </c>
      <c r="N36" s="8">
        <v>64.510000000000005</v>
      </c>
      <c r="O36" s="8">
        <v>59.75</v>
      </c>
      <c r="P36" s="8">
        <v>54.99</v>
      </c>
      <c r="Q36" s="8">
        <v>50.23</v>
      </c>
      <c r="R36" s="8">
        <v>45.47</v>
      </c>
      <c r="S36" s="8">
        <v>40.71</v>
      </c>
      <c r="T36" s="8">
        <v>35.950000000000003</v>
      </c>
      <c r="U36" s="8">
        <v>31.19</v>
      </c>
      <c r="V36" s="8">
        <v>26.44</v>
      </c>
      <c r="W36" s="8">
        <v>23.26</v>
      </c>
      <c r="X36" s="8">
        <v>20.09</v>
      </c>
      <c r="Y36" s="8">
        <v>16.920000000000002</v>
      </c>
      <c r="Z36" s="8">
        <v>13.74</v>
      </c>
      <c r="AA36" s="8">
        <v>10.57</v>
      </c>
      <c r="AB36" s="8">
        <v>10.57</v>
      </c>
    </row>
    <row r="37" spans="1:28">
      <c r="A37" s="298" t="s">
        <v>43</v>
      </c>
      <c r="B37" t="s">
        <v>37</v>
      </c>
      <c r="C37" t="s">
        <v>38</v>
      </c>
      <c r="D37" s="8">
        <v>-293</v>
      </c>
      <c r="E37" s="8">
        <v>-293</v>
      </c>
      <c r="F37" s="8">
        <v>-293</v>
      </c>
      <c r="G37" s="8">
        <v>-293</v>
      </c>
      <c r="H37" s="8">
        <v>-293</v>
      </c>
      <c r="I37" s="8">
        <v>-293</v>
      </c>
      <c r="J37" s="8">
        <v>-293</v>
      </c>
      <c r="K37" s="8">
        <v>-293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>
      <c r="A38" s="298" t="s">
        <v>44</v>
      </c>
      <c r="B38" t="s">
        <v>37</v>
      </c>
      <c r="C38" t="s">
        <v>38</v>
      </c>
      <c r="D38" s="8"/>
      <c r="E38" s="8"/>
      <c r="F38" s="8"/>
      <c r="G38" s="8">
        <v>-440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>
        <v>-440</v>
      </c>
      <c r="W38" s="8">
        <v>-440</v>
      </c>
      <c r="X38" s="8">
        <v>-440</v>
      </c>
      <c r="Y38" s="8"/>
      <c r="Z38" s="8"/>
      <c r="AA38" s="8"/>
      <c r="AB38" s="8"/>
    </row>
    <row r="39" spans="1:28">
      <c r="A39" s="298" t="s">
        <v>45</v>
      </c>
      <c r="B39" t="s">
        <v>37</v>
      </c>
      <c r="C39" t="s">
        <v>38</v>
      </c>
      <c r="D39" s="8">
        <v>76.73</v>
      </c>
      <c r="E39" s="8">
        <v>81</v>
      </c>
      <c r="F39" s="8">
        <v>84.7</v>
      </c>
      <c r="G39" s="8">
        <v>0</v>
      </c>
      <c r="H39" s="8">
        <v>0</v>
      </c>
      <c r="I39" s="8">
        <v>0</v>
      </c>
      <c r="J39" s="8">
        <v>0</v>
      </c>
      <c r="K39" s="8">
        <v>31.93</v>
      </c>
      <c r="L39" s="8">
        <v>74.400000000000006</v>
      </c>
      <c r="M39" s="8">
        <v>71.3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</row>
    <row r="40" spans="1:28">
      <c r="A40" s="298" t="s">
        <v>46</v>
      </c>
      <c r="B40" t="s">
        <v>37</v>
      </c>
      <c r="C40" t="s">
        <v>38</v>
      </c>
      <c r="D40" s="8"/>
      <c r="E40" s="8"/>
      <c r="F40" s="8"/>
      <c r="G40" s="8">
        <v>-440</v>
      </c>
      <c r="H40" s="8">
        <v>-440</v>
      </c>
      <c r="I40" s="8">
        <v>-440</v>
      </c>
      <c r="J40" s="8">
        <v>-440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>
        <v>-440</v>
      </c>
      <c r="V40" s="8">
        <v>-440</v>
      </c>
      <c r="W40" s="8">
        <v>-440</v>
      </c>
      <c r="X40" s="8">
        <v>-440</v>
      </c>
      <c r="Y40" s="8">
        <v>-440</v>
      </c>
      <c r="Z40" s="8">
        <v>-440</v>
      </c>
      <c r="AA40" s="8">
        <v>-440</v>
      </c>
      <c r="AB40" s="8">
        <v>-440</v>
      </c>
    </row>
    <row r="41" spans="1:28">
      <c r="A41" s="298" t="s">
        <v>47</v>
      </c>
      <c r="B41" t="s">
        <v>37</v>
      </c>
      <c r="C41" t="s">
        <v>38</v>
      </c>
      <c r="D41" s="8">
        <v>76.73</v>
      </c>
      <c r="E41" s="8">
        <v>81</v>
      </c>
      <c r="F41" s="8">
        <v>84.7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27.57</v>
      </c>
      <c r="M41" s="8">
        <v>5.0999999999999996</v>
      </c>
      <c r="N41" s="8">
        <v>5.19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</row>
    <row r="42" spans="1:28">
      <c r="A42" s="298" t="s">
        <v>48</v>
      </c>
      <c r="B42" t="s">
        <v>37</v>
      </c>
      <c r="C42" t="s">
        <v>38</v>
      </c>
      <c r="D42" s="8">
        <v>66</v>
      </c>
      <c r="E42" s="8">
        <v>59</v>
      </c>
      <c r="F42" s="8">
        <v>59</v>
      </c>
      <c r="G42" s="8">
        <v>35</v>
      </c>
      <c r="H42" s="8">
        <v>35</v>
      </c>
      <c r="I42" s="8">
        <v>35</v>
      </c>
      <c r="J42" s="8">
        <v>48.06</v>
      </c>
      <c r="K42" s="8">
        <v>56</v>
      </c>
      <c r="L42" s="8">
        <v>56</v>
      </c>
      <c r="M42" s="8">
        <v>55</v>
      </c>
      <c r="N42" s="8">
        <v>55</v>
      </c>
      <c r="O42" s="8">
        <v>55</v>
      </c>
      <c r="P42" s="8">
        <v>54</v>
      </c>
      <c r="Q42" s="8">
        <v>54</v>
      </c>
      <c r="R42" s="8">
        <v>54</v>
      </c>
      <c r="S42" s="8">
        <v>54</v>
      </c>
      <c r="T42" s="8">
        <v>41.5</v>
      </c>
      <c r="U42" s="8">
        <v>35</v>
      </c>
      <c r="V42" s="8">
        <v>35</v>
      </c>
      <c r="W42" s="8">
        <v>35</v>
      </c>
      <c r="X42" s="8">
        <v>35</v>
      </c>
      <c r="Y42" s="8">
        <v>35</v>
      </c>
      <c r="Z42" s="8">
        <v>35</v>
      </c>
      <c r="AA42" s="8">
        <v>35</v>
      </c>
      <c r="AB42" s="8">
        <v>35</v>
      </c>
    </row>
    <row r="43" spans="1:28">
      <c r="A43" s="298" t="s">
        <v>49</v>
      </c>
      <c r="B43" t="s">
        <v>37</v>
      </c>
      <c r="C43" t="s">
        <v>38</v>
      </c>
      <c r="D43" s="8">
        <v>66</v>
      </c>
      <c r="E43" s="8">
        <v>59</v>
      </c>
      <c r="F43" s="8">
        <v>59</v>
      </c>
      <c r="G43" s="8">
        <v>35</v>
      </c>
      <c r="H43" s="8">
        <v>35</v>
      </c>
      <c r="I43" s="8">
        <v>57</v>
      </c>
      <c r="J43" s="8">
        <v>57</v>
      </c>
      <c r="K43" s="8">
        <v>56</v>
      </c>
      <c r="L43" s="8">
        <v>56</v>
      </c>
      <c r="M43" s="8">
        <v>55</v>
      </c>
      <c r="N43" s="8">
        <v>55</v>
      </c>
      <c r="O43" s="8">
        <v>55</v>
      </c>
      <c r="P43" s="8">
        <v>54</v>
      </c>
      <c r="Q43" s="8">
        <v>54</v>
      </c>
      <c r="R43" s="8">
        <v>54</v>
      </c>
      <c r="S43" s="8">
        <v>54</v>
      </c>
      <c r="T43" s="8">
        <v>53</v>
      </c>
      <c r="U43" s="8">
        <v>35</v>
      </c>
      <c r="V43" s="8">
        <v>35</v>
      </c>
      <c r="W43" s="8">
        <v>35</v>
      </c>
      <c r="X43" s="8">
        <v>35</v>
      </c>
      <c r="Y43" s="8">
        <v>35</v>
      </c>
      <c r="Z43" s="8">
        <v>35</v>
      </c>
      <c r="AA43" s="8">
        <v>52</v>
      </c>
      <c r="AB43" s="8">
        <v>52</v>
      </c>
    </row>
    <row r="44" spans="1:28">
      <c r="A44" s="298" t="s">
        <v>50</v>
      </c>
      <c r="B44" t="s">
        <v>37</v>
      </c>
      <c r="C44" t="s">
        <v>38</v>
      </c>
      <c r="D44" s="8"/>
      <c r="E44" s="8"/>
      <c r="F44" s="8"/>
      <c r="G44" s="8"/>
      <c r="H44" s="8"/>
      <c r="I44" s="8"/>
      <c r="J44" s="8"/>
      <c r="K44" s="8"/>
      <c r="L44" s="8">
        <v>10.51</v>
      </c>
      <c r="M44" s="8">
        <v>10.51</v>
      </c>
      <c r="N44" s="8"/>
      <c r="O44" s="8"/>
      <c r="P44" s="8"/>
      <c r="Q44" s="8"/>
      <c r="R44" s="8"/>
      <c r="S44" s="8"/>
      <c r="T44" s="8"/>
      <c r="U44" s="8"/>
      <c r="V44" s="8">
        <v>10.51</v>
      </c>
      <c r="W44" s="8">
        <v>10.51</v>
      </c>
      <c r="X44" s="8">
        <v>10.51</v>
      </c>
      <c r="Y44" s="8">
        <v>10.51</v>
      </c>
      <c r="Z44" s="8">
        <v>10.51</v>
      </c>
      <c r="AA44" s="8">
        <v>10.51</v>
      </c>
      <c r="AB44" s="8">
        <v>10.51</v>
      </c>
    </row>
    <row r="45" spans="1:28">
      <c r="A45" s="298" t="s">
        <v>51</v>
      </c>
      <c r="B45" t="s">
        <v>37</v>
      </c>
      <c r="C45" t="s">
        <v>38</v>
      </c>
      <c r="D45" s="8"/>
      <c r="E45" s="8"/>
      <c r="F45" s="8"/>
      <c r="G45" s="8">
        <v>-353</v>
      </c>
      <c r="H45" s="8">
        <v>-353</v>
      </c>
      <c r="I45" s="8">
        <v>-353</v>
      </c>
      <c r="J45" s="8">
        <v>-353</v>
      </c>
      <c r="K45" s="8">
        <v>-353</v>
      </c>
      <c r="L45" s="8"/>
      <c r="M45" s="8"/>
      <c r="N45" s="8"/>
      <c r="O45" s="8"/>
      <c r="P45" s="8">
        <v>-353</v>
      </c>
      <c r="Q45" s="8">
        <v>-353</v>
      </c>
      <c r="R45" s="8">
        <v>-353</v>
      </c>
      <c r="S45" s="8">
        <v>-353</v>
      </c>
      <c r="T45" s="8">
        <v>-353</v>
      </c>
      <c r="U45" s="8">
        <v>-353</v>
      </c>
      <c r="V45" s="8">
        <v>-353</v>
      </c>
      <c r="W45" s="8">
        <v>-353</v>
      </c>
      <c r="X45" s="8">
        <v>-353</v>
      </c>
      <c r="Y45" s="8">
        <v>-353</v>
      </c>
      <c r="Z45" s="8">
        <v>-353</v>
      </c>
      <c r="AA45" s="8">
        <v>-353</v>
      </c>
      <c r="AB45" s="8">
        <v>-353</v>
      </c>
    </row>
    <row r="46" spans="1:28">
      <c r="A46" s="298" t="s">
        <v>53</v>
      </c>
      <c r="B46" t="s">
        <v>37</v>
      </c>
      <c r="C46" t="s">
        <v>38</v>
      </c>
      <c r="D46" s="8"/>
      <c r="E46" s="8">
        <v>99</v>
      </c>
      <c r="F46" s="8">
        <v>99</v>
      </c>
      <c r="G46" s="8"/>
      <c r="H46" s="8"/>
      <c r="I46" s="8"/>
      <c r="J46" s="8"/>
      <c r="K46" s="8">
        <v>99</v>
      </c>
      <c r="L46" s="8">
        <v>99</v>
      </c>
      <c r="M46" s="8">
        <v>99</v>
      </c>
      <c r="N46" s="8">
        <v>99</v>
      </c>
      <c r="O46" s="8">
        <v>99</v>
      </c>
      <c r="P46" s="8">
        <v>99</v>
      </c>
      <c r="Q46" s="8">
        <v>99</v>
      </c>
      <c r="R46" s="8">
        <v>99</v>
      </c>
      <c r="S46" s="8">
        <v>99</v>
      </c>
      <c r="T46" s="8">
        <v>99</v>
      </c>
      <c r="U46" s="8">
        <v>99</v>
      </c>
      <c r="V46" s="8">
        <v>99</v>
      </c>
      <c r="W46" s="8">
        <v>99</v>
      </c>
      <c r="X46" s="8">
        <v>99</v>
      </c>
      <c r="Y46" s="8">
        <v>99</v>
      </c>
      <c r="Z46" s="8">
        <v>99</v>
      </c>
      <c r="AA46" s="8">
        <v>99</v>
      </c>
      <c r="AB46" s="8">
        <v>99</v>
      </c>
    </row>
    <row r="47" spans="1:28">
      <c r="A47" s="298" t="s">
        <v>98</v>
      </c>
      <c r="B47" t="s">
        <v>37</v>
      </c>
      <c r="C47" t="s">
        <v>38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>
        <v>10.51</v>
      </c>
      <c r="W47" s="8">
        <v>10.51</v>
      </c>
      <c r="X47" s="8">
        <v>10.51</v>
      </c>
      <c r="Y47" s="8">
        <v>10.51</v>
      </c>
      <c r="Z47" s="8">
        <v>10.51</v>
      </c>
      <c r="AA47" s="8">
        <v>10.51</v>
      </c>
      <c r="AB47" s="8">
        <v>10.51</v>
      </c>
    </row>
    <row r="48" spans="1:28">
      <c r="A48" s="298" t="s">
        <v>54</v>
      </c>
      <c r="B48" t="s">
        <v>37</v>
      </c>
      <c r="C48" t="s">
        <v>38</v>
      </c>
      <c r="D48" s="8"/>
      <c r="E48" s="8"/>
      <c r="F48" s="8"/>
      <c r="G48" s="8">
        <v>-353</v>
      </c>
      <c r="H48" s="8">
        <v>-353</v>
      </c>
      <c r="I48" s="8">
        <v>-353</v>
      </c>
      <c r="J48" s="8">
        <v>-353</v>
      </c>
      <c r="K48" s="8"/>
      <c r="L48" s="8"/>
      <c r="M48" s="8"/>
      <c r="N48" s="8"/>
      <c r="O48" s="8">
        <v>-353</v>
      </c>
      <c r="P48" s="8"/>
      <c r="Q48" s="8">
        <v>-353</v>
      </c>
      <c r="R48" s="8">
        <v>-353</v>
      </c>
      <c r="S48" s="8">
        <v>-353</v>
      </c>
      <c r="T48" s="8">
        <v>-353</v>
      </c>
      <c r="U48" s="8">
        <v>-353</v>
      </c>
      <c r="V48" s="8"/>
      <c r="W48" s="8"/>
      <c r="X48" s="8"/>
      <c r="Y48" s="8">
        <v>-353</v>
      </c>
      <c r="Z48" s="8">
        <v>-353</v>
      </c>
      <c r="AA48" s="8">
        <v>-353</v>
      </c>
      <c r="AB48" s="8">
        <v>-353</v>
      </c>
    </row>
    <row r="49" spans="1:28">
      <c r="A49" s="298" t="s">
        <v>56</v>
      </c>
      <c r="B49" t="s">
        <v>37</v>
      </c>
      <c r="C49" t="s">
        <v>38</v>
      </c>
      <c r="D49" s="8">
        <v>99</v>
      </c>
      <c r="E49" s="8">
        <v>99</v>
      </c>
      <c r="F49" s="8">
        <v>99</v>
      </c>
      <c r="G49" s="8"/>
      <c r="H49" s="8"/>
      <c r="I49" s="8"/>
      <c r="J49" s="8"/>
      <c r="K49" s="8">
        <v>99</v>
      </c>
      <c r="L49" s="8">
        <v>99</v>
      </c>
      <c r="M49" s="8">
        <v>99</v>
      </c>
      <c r="N49" s="8">
        <v>99</v>
      </c>
      <c r="O49" s="8">
        <v>99</v>
      </c>
      <c r="P49" s="8">
        <v>99</v>
      </c>
      <c r="Q49" s="8">
        <v>99</v>
      </c>
      <c r="R49" s="8">
        <v>99</v>
      </c>
      <c r="S49" s="8">
        <v>99</v>
      </c>
      <c r="T49" s="8">
        <v>99</v>
      </c>
      <c r="U49" s="8">
        <v>99</v>
      </c>
      <c r="V49" s="8">
        <v>99</v>
      </c>
      <c r="W49" s="8">
        <v>99</v>
      </c>
      <c r="X49" s="8">
        <v>99</v>
      </c>
      <c r="Y49" s="8">
        <v>99</v>
      </c>
      <c r="Z49" s="8">
        <v>99</v>
      </c>
      <c r="AA49" s="8">
        <v>99</v>
      </c>
      <c r="AB49" s="8">
        <v>99</v>
      </c>
    </row>
    <row r="50" spans="1:28">
      <c r="A50" s="298" t="s">
        <v>57</v>
      </c>
      <c r="B50" t="s">
        <v>37</v>
      </c>
      <c r="C50" t="s">
        <v>38</v>
      </c>
      <c r="D50" s="8">
        <v>45</v>
      </c>
      <c r="E50" s="8">
        <v>45</v>
      </c>
      <c r="F50" s="8">
        <v>45</v>
      </c>
      <c r="G50" s="8">
        <v>45</v>
      </c>
      <c r="H50" s="8">
        <v>45</v>
      </c>
      <c r="I50" s="8">
        <v>45</v>
      </c>
      <c r="J50" s="8">
        <v>45</v>
      </c>
      <c r="K50" s="8">
        <v>45</v>
      </c>
      <c r="L50" s="8">
        <v>45</v>
      </c>
      <c r="M50" s="8">
        <v>45</v>
      </c>
      <c r="N50" s="8">
        <v>45</v>
      </c>
      <c r="O50" s="8">
        <v>45</v>
      </c>
      <c r="P50" s="8">
        <v>45</v>
      </c>
      <c r="Q50" s="8">
        <v>45</v>
      </c>
      <c r="R50" s="8">
        <v>45</v>
      </c>
      <c r="S50" s="8">
        <v>45</v>
      </c>
      <c r="T50" s="8">
        <v>45</v>
      </c>
      <c r="U50" s="8">
        <v>45</v>
      </c>
      <c r="V50" s="8">
        <v>45</v>
      </c>
      <c r="W50" s="8">
        <v>45</v>
      </c>
      <c r="X50" s="8">
        <v>45</v>
      </c>
      <c r="Y50" s="8">
        <v>45</v>
      </c>
      <c r="Z50" s="8">
        <v>45</v>
      </c>
      <c r="AA50" s="8">
        <v>45</v>
      </c>
      <c r="AB50" s="8">
        <v>45</v>
      </c>
    </row>
    <row r="51" spans="1:28">
      <c r="A51" s="298" t="s">
        <v>58</v>
      </c>
      <c r="B51" t="s">
        <v>37</v>
      </c>
      <c r="C51" t="s">
        <v>38</v>
      </c>
      <c r="D51" s="8">
        <v>43.29</v>
      </c>
      <c r="E51" s="8">
        <v>41.13</v>
      </c>
      <c r="F51" s="8">
        <v>45.12</v>
      </c>
      <c r="G51" s="8">
        <v>46.85</v>
      </c>
      <c r="H51" s="8">
        <v>47.04</v>
      </c>
      <c r="I51" s="8">
        <v>47.15</v>
      </c>
      <c r="J51" s="8">
        <v>46.86</v>
      </c>
      <c r="K51" s="8">
        <v>47.05</v>
      </c>
      <c r="L51" s="8">
        <v>47.24</v>
      </c>
      <c r="M51" s="8">
        <v>47.43</v>
      </c>
      <c r="N51" s="8">
        <v>47.62</v>
      </c>
      <c r="O51" s="8">
        <v>47.81</v>
      </c>
      <c r="P51" s="8">
        <v>48</v>
      </c>
      <c r="Q51" s="8">
        <v>48.18</v>
      </c>
      <c r="R51" s="8">
        <v>48.37</v>
      </c>
      <c r="S51" s="8">
        <v>48.55</v>
      </c>
      <c r="T51" s="8">
        <v>48.73</v>
      </c>
      <c r="U51" s="8">
        <v>49.16</v>
      </c>
      <c r="V51" s="8">
        <v>49.55</v>
      </c>
      <c r="W51" s="8">
        <v>49.78</v>
      </c>
      <c r="X51" s="8">
        <v>49.9</v>
      </c>
      <c r="Y51" s="8">
        <v>50.14</v>
      </c>
      <c r="Z51" s="8">
        <v>50.35</v>
      </c>
      <c r="AA51" s="8">
        <v>50.54</v>
      </c>
      <c r="AB51" s="8">
        <v>50.67</v>
      </c>
    </row>
    <row r="52" spans="1:28">
      <c r="A52" s="298" t="s">
        <v>59</v>
      </c>
      <c r="B52" t="s">
        <v>37</v>
      </c>
      <c r="C52" t="s">
        <v>38</v>
      </c>
      <c r="D52" s="8">
        <v>100.45</v>
      </c>
      <c r="E52" s="8">
        <v>100.45</v>
      </c>
      <c r="F52" s="8">
        <v>100.45</v>
      </c>
      <c r="G52" s="8">
        <v>105.8</v>
      </c>
      <c r="H52" s="8">
        <v>105.8</v>
      </c>
      <c r="I52" s="8">
        <v>105.8</v>
      </c>
      <c r="J52" s="8">
        <v>105.8</v>
      </c>
      <c r="K52" s="8">
        <v>105.8</v>
      </c>
      <c r="L52" s="8">
        <v>105.8</v>
      </c>
      <c r="M52" s="8">
        <v>105.8</v>
      </c>
      <c r="N52" s="8">
        <v>105.8</v>
      </c>
      <c r="O52" s="8">
        <v>105.8</v>
      </c>
      <c r="P52" s="8">
        <v>105.8</v>
      </c>
      <c r="Q52" s="8">
        <v>105.8</v>
      </c>
      <c r="R52" s="8">
        <v>105.8</v>
      </c>
      <c r="S52" s="8">
        <v>105.8</v>
      </c>
      <c r="T52" s="8">
        <v>105.8</v>
      </c>
      <c r="U52" s="8">
        <v>105.8</v>
      </c>
      <c r="V52" s="8">
        <v>105.8</v>
      </c>
      <c r="W52" s="8">
        <v>105.8</v>
      </c>
      <c r="X52" s="8">
        <v>105.8</v>
      </c>
      <c r="Y52" s="8">
        <v>105.8</v>
      </c>
      <c r="Z52" s="8">
        <v>105.8</v>
      </c>
      <c r="AA52" s="8">
        <v>105.8</v>
      </c>
      <c r="AB52" s="8">
        <v>105.8</v>
      </c>
    </row>
    <row r="53" spans="1:28">
      <c r="A53" s="298" t="s">
        <v>61</v>
      </c>
      <c r="B53" t="s">
        <v>61</v>
      </c>
      <c r="C53" t="s">
        <v>62</v>
      </c>
      <c r="D53" s="8">
        <v>0</v>
      </c>
      <c r="E53" s="8">
        <v>0</v>
      </c>
      <c r="F53" s="8">
        <v>0</v>
      </c>
      <c r="G53" s="8">
        <v>138</v>
      </c>
      <c r="H53" s="8">
        <v>112</v>
      </c>
      <c r="I53" s="8">
        <v>91</v>
      </c>
      <c r="J53" s="8">
        <v>73</v>
      </c>
      <c r="K53" s="8">
        <v>0</v>
      </c>
      <c r="L53" s="8">
        <v>0</v>
      </c>
      <c r="M53" s="8">
        <v>0</v>
      </c>
      <c r="N53" s="8">
        <v>0</v>
      </c>
      <c r="O53" s="8">
        <v>39</v>
      </c>
      <c r="P53" s="8">
        <v>39</v>
      </c>
      <c r="Q53" s="8">
        <v>65</v>
      </c>
      <c r="R53" s="8">
        <v>65</v>
      </c>
      <c r="S53" s="8">
        <v>65</v>
      </c>
      <c r="T53" s="8">
        <v>89</v>
      </c>
      <c r="U53" s="8">
        <v>138</v>
      </c>
      <c r="V53" s="8">
        <v>221</v>
      </c>
      <c r="W53" s="8">
        <v>217</v>
      </c>
      <c r="X53" s="8">
        <v>184</v>
      </c>
      <c r="Y53" s="8">
        <v>156</v>
      </c>
      <c r="Z53" s="8">
        <v>130</v>
      </c>
      <c r="AA53" s="8">
        <v>106</v>
      </c>
      <c r="AB53" s="8">
        <v>106</v>
      </c>
    </row>
    <row r="54" spans="1:28">
      <c r="A54" s="298" t="s">
        <v>63</v>
      </c>
      <c r="B54" t="s">
        <v>64</v>
      </c>
      <c r="C54" t="s">
        <v>65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</row>
    <row r="55" spans="1:28">
      <c r="A55" s="298" t="s">
        <v>66</v>
      </c>
      <c r="B55" t="s">
        <v>64</v>
      </c>
      <c r="C55" t="s">
        <v>65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444320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</row>
    <row r="56" spans="1:28">
      <c r="A56" s="298" t="s">
        <v>67</v>
      </c>
      <c r="B56" t="s">
        <v>64</v>
      </c>
      <c r="C56" t="s">
        <v>65</v>
      </c>
      <c r="D56" s="8">
        <v>2849858</v>
      </c>
      <c r="E56" s="8">
        <v>3569822</v>
      </c>
      <c r="F56" s="8">
        <v>3442669</v>
      </c>
      <c r="G56" s="8">
        <v>4942714</v>
      </c>
      <c r="H56" s="8">
        <v>4641091</v>
      </c>
      <c r="I56" s="8">
        <v>3982057</v>
      </c>
      <c r="J56" s="8">
        <v>2468734</v>
      </c>
      <c r="K56" s="8">
        <v>1535709</v>
      </c>
      <c r="L56" s="8">
        <v>1327931</v>
      </c>
      <c r="M56" s="8">
        <v>939181</v>
      </c>
      <c r="N56" s="8">
        <v>491326</v>
      </c>
      <c r="O56" s="8">
        <v>86037</v>
      </c>
      <c r="P56" s="8">
        <v>-194140</v>
      </c>
      <c r="Q56" s="8">
        <v>-511857</v>
      </c>
      <c r="R56" s="8">
        <v>-784106</v>
      </c>
      <c r="S56" s="8">
        <v>-1013554</v>
      </c>
      <c r="T56" s="8">
        <v>-641636</v>
      </c>
      <c r="U56" s="8">
        <v>-315904</v>
      </c>
      <c r="V56" s="8">
        <v>-517913</v>
      </c>
      <c r="W56" s="8">
        <v>-617043</v>
      </c>
      <c r="X56" s="8">
        <v>-697375</v>
      </c>
      <c r="Y56" s="8">
        <v>-761554</v>
      </c>
      <c r="Z56" s="8">
        <v>-811722</v>
      </c>
      <c r="AA56" s="8">
        <v>-1115594</v>
      </c>
      <c r="AB56" s="8">
        <v>-1056957</v>
      </c>
    </row>
    <row r="57" spans="1:28">
      <c r="A57" s="298" t="s">
        <v>68</v>
      </c>
      <c r="B57" t="s">
        <v>64</v>
      </c>
      <c r="C57" t="s">
        <v>65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876049</v>
      </c>
      <c r="X57" s="8">
        <v>2651410</v>
      </c>
      <c r="Y57" s="8">
        <v>5248854</v>
      </c>
      <c r="Z57" s="8">
        <v>9053456</v>
      </c>
      <c r="AA57" s="8">
        <v>13706391</v>
      </c>
      <c r="AB57" s="8">
        <v>10997234</v>
      </c>
    </row>
    <row r="58" spans="1:28">
      <c r="A58" s="298" t="s">
        <v>69</v>
      </c>
      <c r="B58" t="s">
        <v>64</v>
      </c>
      <c r="C58" t="s">
        <v>65</v>
      </c>
      <c r="D58" s="8">
        <v>-2755731</v>
      </c>
      <c r="E58" s="8">
        <v>-2285323</v>
      </c>
      <c r="F58" s="8">
        <v>-1524088</v>
      </c>
      <c r="G58" s="8">
        <v>-2021283</v>
      </c>
      <c r="H58" s="8">
        <v>-2189152</v>
      </c>
      <c r="I58" s="8">
        <v>-2337613</v>
      </c>
      <c r="J58" s="8">
        <v>-2797496</v>
      </c>
      <c r="K58" s="8">
        <v>-2807675</v>
      </c>
      <c r="L58" s="8">
        <v>-2730775</v>
      </c>
      <c r="M58" s="8">
        <v>-2923951</v>
      </c>
      <c r="N58" s="8">
        <v>-3092094</v>
      </c>
      <c r="O58" s="8">
        <v>-3287231</v>
      </c>
      <c r="P58" s="8">
        <v>-3308035</v>
      </c>
      <c r="Q58" s="8">
        <v>-3199514</v>
      </c>
      <c r="R58" s="8">
        <v>-3083503</v>
      </c>
      <c r="S58" s="8">
        <v>-2887608</v>
      </c>
      <c r="T58" s="8">
        <v>-2603198</v>
      </c>
      <c r="U58" s="8">
        <v>-1668357</v>
      </c>
      <c r="V58" s="8">
        <v>-1064844</v>
      </c>
      <c r="W58" s="8">
        <v>-664448</v>
      </c>
      <c r="X58" s="8">
        <v>-413994</v>
      </c>
      <c r="Y58" s="8">
        <v>-503693</v>
      </c>
      <c r="Z58" s="8">
        <v>-730342</v>
      </c>
      <c r="AA58" s="8">
        <v>-1057720</v>
      </c>
      <c r="AB58" s="8">
        <v>-1480808</v>
      </c>
    </row>
    <row r="59" spans="1:28">
      <c r="A59" s="298" t="s">
        <v>70</v>
      </c>
      <c r="B59" t="s">
        <v>64</v>
      </c>
      <c r="C59" t="s">
        <v>65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</row>
    <row r="60" spans="1:28">
      <c r="A60" s="298" t="s">
        <v>71</v>
      </c>
      <c r="B60" t="s">
        <v>64</v>
      </c>
      <c r="C60" t="s">
        <v>65</v>
      </c>
      <c r="D60" s="8">
        <v>-16770170</v>
      </c>
      <c r="E60" s="8">
        <v>-18147930</v>
      </c>
      <c r="F60" s="8">
        <v>-19168677</v>
      </c>
      <c r="G60" s="8">
        <v>-32208894</v>
      </c>
      <c r="H60" s="8">
        <v>-33058085</v>
      </c>
      <c r="I60" s="8">
        <v>-33568343</v>
      </c>
      <c r="J60" s="8">
        <v>-33867119</v>
      </c>
      <c r="K60" s="8">
        <v>-33947372</v>
      </c>
      <c r="L60" s="8">
        <v>-33788291</v>
      </c>
      <c r="M60" s="8">
        <v>-36476889</v>
      </c>
      <c r="N60" s="8">
        <v>-38517915</v>
      </c>
      <c r="O60" s="8">
        <v>-39836135</v>
      </c>
      <c r="P60" s="8">
        <v>-40464749</v>
      </c>
      <c r="Q60" s="8">
        <v>-40422079</v>
      </c>
      <c r="R60" s="8">
        <v>-39873961</v>
      </c>
      <c r="S60" s="8">
        <v>-38878862</v>
      </c>
      <c r="T60" s="8">
        <v>-37511302</v>
      </c>
      <c r="U60" s="8">
        <v>-35840366</v>
      </c>
      <c r="V60" s="8">
        <v>-33902746</v>
      </c>
      <c r="W60" s="8">
        <v>-31166271</v>
      </c>
      <c r="X60" s="8">
        <v>-28422022</v>
      </c>
      <c r="Y60" s="8">
        <v>-25712278</v>
      </c>
      <c r="Z60" s="8">
        <v>-23049185</v>
      </c>
      <c r="AA60" s="8">
        <v>-20470247</v>
      </c>
      <c r="AB60" s="8">
        <v>-17674659</v>
      </c>
    </row>
    <row r="61" spans="1:28">
      <c r="A61" s="298" t="s">
        <v>72</v>
      </c>
      <c r="B61" t="s">
        <v>64</v>
      </c>
      <c r="C61" t="s">
        <v>65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</row>
    <row r="62" spans="1:28">
      <c r="A62" s="298" t="s">
        <v>73</v>
      </c>
      <c r="B62" t="s">
        <v>64</v>
      </c>
      <c r="C62" t="s">
        <v>65</v>
      </c>
      <c r="D62" s="8">
        <v>62671</v>
      </c>
      <c r="E62" s="8">
        <v>62671</v>
      </c>
      <c r="F62" s="8">
        <v>62671</v>
      </c>
      <c r="G62" s="8">
        <v>62671</v>
      </c>
      <c r="H62" s="8">
        <v>62671</v>
      </c>
      <c r="I62" s="8">
        <v>62671</v>
      </c>
      <c r="J62" s="8">
        <v>62671</v>
      </c>
      <c r="K62" s="8">
        <v>62671</v>
      </c>
      <c r="L62" s="8">
        <v>62671</v>
      </c>
      <c r="M62" s="8">
        <v>62671</v>
      </c>
      <c r="N62" s="8">
        <v>62671</v>
      </c>
      <c r="O62" s="8">
        <v>62671</v>
      </c>
      <c r="P62" s="8">
        <v>62671</v>
      </c>
      <c r="Q62" s="8">
        <v>62671</v>
      </c>
      <c r="R62" s="8">
        <v>62671</v>
      </c>
      <c r="S62" s="8">
        <v>62671</v>
      </c>
      <c r="T62" s="8">
        <v>62671</v>
      </c>
      <c r="U62" s="8">
        <v>62671</v>
      </c>
      <c r="V62" s="8">
        <v>62671</v>
      </c>
      <c r="W62" s="8">
        <v>62671</v>
      </c>
      <c r="X62" s="8">
        <v>62671</v>
      </c>
      <c r="Y62" s="8">
        <v>62671</v>
      </c>
      <c r="Z62" s="8">
        <v>62671</v>
      </c>
      <c r="AA62" s="8">
        <v>62671</v>
      </c>
      <c r="AB62" s="8">
        <v>62671</v>
      </c>
    </row>
    <row r="63" spans="1:28">
      <c r="A63" s="298" t="s">
        <v>74</v>
      </c>
      <c r="B63" t="s">
        <v>64</v>
      </c>
      <c r="C63" t="s">
        <v>65</v>
      </c>
      <c r="D63" s="8">
        <v>0</v>
      </c>
      <c r="E63" s="8">
        <v>0</v>
      </c>
      <c r="F63" s="8">
        <v>0</v>
      </c>
      <c r="G63" s="8">
        <v>3806153</v>
      </c>
      <c r="H63" s="8">
        <v>2212054</v>
      </c>
      <c r="I63" s="8">
        <v>1317899</v>
      </c>
      <c r="J63" s="8">
        <v>785140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1205717</v>
      </c>
      <c r="V63" s="8">
        <v>3120223</v>
      </c>
      <c r="W63" s="8">
        <v>2806831</v>
      </c>
      <c r="X63" s="8">
        <v>2748501</v>
      </c>
      <c r="Y63" s="8">
        <v>2690171</v>
      </c>
      <c r="Z63" s="8">
        <v>1581053</v>
      </c>
      <c r="AA63" s="8">
        <v>928802</v>
      </c>
      <c r="AB63" s="8">
        <v>557281</v>
      </c>
    </row>
    <row r="64" spans="1:28">
      <c r="A64" s="298" t="s">
        <v>75</v>
      </c>
      <c r="B64" t="s">
        <v>64</v>
      </c>
      <c r="C64" t="s">
        <v>65</v>
      </c>
      <c r="D64" s="8">
        <v>2795485</v>
      </c>
      <c r="E64" s="8">
        <v>3370301</v>
      </c>
      <c r="F64" s="8">
        <v>4498497</v>
      </c>
      <c r="G64" s="8">
        <v>5782212</v>
      </c>
      <c r="H64" s="8">
        <v>8373252</v>
      </c>
      <c r="I64" s="8">
        <v>11733423</v>
      </c>
      <c r="J64" s="8">
        <v>15125490</v>
      </c>
      <c r="K64" s="8">
        <v>18778067</v>
      </c>
      <c r="L64" s="8">
        <v>20281825</v>
      </c>
      <c r="M64" s="8">
        <v>25201208</v>
      </c>
      <c r="N64" s="8">
        <v>29554748</v>
      </c>
      <c r="O64" s="8">
        <v>32593617</v>
      </c>
      <c r="P64" s="8">
        <v>34754397</v>
      </c>
      <c r="Q64" s="8">
        <v>36423060</v>
      </c>
      <c r="R64" s="8">
        <v>37108743</v>
      </c>
      <c r="S64" s="8">
        <v>36979106</v>
      </c>
      <c r="T64" s="8">
        <v>35926749</v>
      </c>
      <c r="U64" s="8">
        <v>33754950</v>
      </c>
      <c r="V64" s="8">
        <v>30279552</v>
      </c>
      <c r="W64" s="8">
        <v>28599078</v>
      </c>
      <c r="X64" s="8">
        <v>26296643</v>
      </c>
      <c r="Y64" s="8">
        <v>23306872</v>
      </c>
      <c r="Z64" s="8">
        <v>19894066</v>
      </c>
      <c r="AA64" s="8">
        <v>15961090</v>
      </c>
      <c r="AB64" s="8">
        <v>16636468</v>
      </c>
    </row>
    <row r="65" spans="1:28">
      <c r="A65" s="298" t="s">
        <v>76</v>
      </c>
      <c r="B65" t="s">
        <v>64</v>
      </c>
      <c r="C65" t="s">
        <v>65</v>
      </c>
      <c r="D65" s="8">
        <v>37166</v>
      </c>
      <c r="E65" s="8">
        <v>48556</v>
      </c>
      <c r="F65" s="8">
        <v>62665</v>
      </c>
      <c r="G65" s="8">
        <v>81892</v>
      </c>
      <c r="H65" s="8">
        <v>106212</v>
      </c>
      <c r="I65" s="8">
        <v>134374</v>
      </c>
      <c r="J65" s="8">
        <v>166378</v>
      </c>
      <c r="K65" s="8">
        <v>202225</v>
      </c>
      <c r="L65" s="8">
        <v>247236</v>
      </c>
      <c r="M65" s="8">
        <v>247236</v>
      </c>
      <c r="N65" s="8">
        <v>247236</v>
      </c>
      <c r="O65" s="8">
        <v>247236</v>
      </c>
      <c r="P65" s="8">
        <v>247236</v>
      </c>
      <c r="Q65" s="8">
        <v>247236</v>
      </c>
      <c r="R65" s="8">
        <v>247236</v>
      </c>
      <c r="S65" s="8">
        <v>247236</v>
      </c>
      <c r="T65" s="8">
        <v>247236</v>
      </c>
      <c r="U65" s="8">
        <v>247236</v>
      </c>
      <c r="V65" s="8">
        <v>247236</v>
      </c>
      <c r="W65" s="8">
        <v>247236</v>
      </c>
      <c r="X65" s="8">
        <v>247236</v>
      </c>
      <c r="Y65" s="8">
        <v>247236</v>
      </c>
      <c r="Z65" s="8">
        <v>247236</v>
      </c>
      <c r="AA65" s="8">
        <v>247236</v>
      </c>
      <c r="AB65" s="8">
        <v>247236</v>
      </c>
    </row>
    <row r="66" spans="1:28">
      <c r="A66" s="298" t="s">
        <v>77</v>
      </c>
      <c r="B66" t="s">
        <v>64</v>
      </c>
      <c r="C66" t="s">
        <v>65</v>
      </c>
      <c r="D66" s="8">
        <v>248771</v>
      </c>
      <c r="E66" s="8">
        <v>255779</v>
      </c>
      <c r="F66" s="8">
        <v>260853</v>
      </c>
      <c r="G66" s="8">
        <v>833442</v>
      </c>
      <c r="H66" s="8">
        <v>833442</v>
      </c>
      <c r="I66" s="8">
        <v>833442</v>
      </c>
      <c r="J66" s="8">
        <v>833442</v>
      </c>
      <c r="K66" s="8">
        <v>833442</v>
      </c>
      <c r="L66" s="8">
        <v>833442</v>
      </c>
      <c r="M66" s="8">
        <v>833442</v>
      </c>
      <c r="N66" s="8">
        <v>833442</v>
      </c>
      <c r="O66" s="8">
        <v>833442</v>
      </c>
      <c r="P66" s="8">
        <v>833442</v>
      </c>
      <c r="Q66" s="8">
        <v>833442</v>
      </c>
      <c r="R66" s="8">
        <v>833442</v>
      </c>
      <c r="S66" s="8">
        <v>833442</v>
      </c>
      <c r="T66" s="8">
        <v>833442</v>
      </c>
      <c r="U66" s="8">
        <v>833442</v>
      </c>
      <c r="V66" s="8">
        <v>833442</v>
      </c>
      <c r="W66" s="8">
        <v>833442</v>
      </c>
      <c r="X66" s="8">
        <v>833442</v>
      </c>
      <c r="Y66" s="8">
        <v>833442</v>
      </c>
      <c r="Z66" s="8">
        <v>833442</v>
      </c>
      <c r="AA66" s="8">
        <v>833442</v>
      </c>
      <c r="AB66" s="8">
        <v>833442</v>
      </c>
    </row>
    <row r="67" spans="1:28">
      <c r="A67" s="298" t="s">
        <v>78</v>
      </c>
      <c r="B67" t="s">
        <v>64</v>
      </c>
      <c r="C67" t="s">
        <v>65</v>
      </c>
      <c r="D67" s="8">
        <v>1505626</v>
      </c>
      <c r="E67" s="8">
        <v>1882033</v>
      </c>
      <c r="F67" s="8">
        <v>754664</v>
      </c>
      <c r="G67" s="8">
        <v>174459</v>
      </c>
      <c r="H67" s="8">
        <v>223375</v>
      </c>
      <c r="I67" s="8">
        <v>284061</v>
      </c>
      <c r="J67" s="8">
        <v>337888</v>
      </c>
      <c r="K67" s="8">
        <v>403677</v>
      </c>
      <c r="L67" s="8">
        <v>495921</v>
      </c>
      <c r="M67" s="8">
        <v>577105</v>
      </c>
      <c r="N67" s="8">
        <v>644871</v>
      </c>
      <c r="O67" s="8">
        <v>692975</v>
      </c>
      <c r="P67" s="8">
        <v>728475</v>
      </c>
      <c r="Q67" s="8">
        <v>746491</v>
      </c>
      <c r="R67" s="8">
        <v>744927</v>
      </c>
      <c r="S67" s="8">
        <v>725653</v>
      </c>
      <c r="T67" s="8">
        <v>683581</v>
      </c>
      <c r="U67" s="8">
        <v>631693</v>
      </c>
      <c r="V67" s="8">
        <v>569309</v>
      </c>
      <c r="W67" s="8">
        <v>528403</v>
      </c>
      <c r="X67" s="8">
        <v>473658</v>
      </c>
      <c r="Y67" s="8">
        <v>413080</v>
      </c>
      <c r="Z67" s="8">
        <v>343728</v>
      </c>
      <c r="AA67" s="8">
        <v>270177</v>
      </c>
      <c r="AB67" s="8">
        <v>275627</v>
      </c>
    </row>
    <row r="68" spans="1:28">
      <c r="A68" s="298" t="s">
        <v>79</v>
      </c>
      <c r="B68" t="s">
        <v>64</v>
      </c>
      <c r="C68" t="s">
        <v>65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50836</v>
      </c>
      <c r="M68" s="8">
        <v>41880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710867</v>
      </c>
      <c r="W68" s="8">
        <v>754539</v>
      </c>
      <c r="X68" s="8">
        <v>398919</v>
      </c>
      <c r="Y68" s="8">
        <v>236452</v>
      </c>
      <c r="Z68" s="8">
        <v>203284</v>
      </c>
      <c r="AA68" s="8">
        <v>160181</v>
      </c>
      <c r="AB68" s="8">
        <v>193892</v>
      </c>
    </row>
    <row r="69" spans="1:28">
      <c r="A69" s="298" t="s">
        <v>80</v>
      </c>
      <c r="B69" t="s">
        <v>64</v>
      </c>
      <c r="C69" t="s">
        <v>65</v>
      </c>
      <c r="D69" s="8">
        <v>0</v>
      </c>
      <c r="E69" s="8">
        <v>0</v>
      </c>
      <c r="F69" s="8">
        <v>0</v>
      </c>
      <c r="G69" s="8">
        <v>288074</v>
      </c>
      <c r="H69" s="8">
        <v>563784</v>
      </c>
      <c r="I69" s="8">
        <v>1083325</v>
      </c>
      <c r="J69" s="8">
        <v>1929257</v>
      </c>
      <c r="K69" s="8">
        <v>736250</v>
      </c>
      <c r="L69" s="8">
        <v>0</v>
      </c>
      <c r="M69" s="8">
        <v>0</v>
      </c>
      <c r="N69" s="8">
        <v>0</v>
      </c>
      <c r="O69" s="8">
        <v>731262</v>
      </c>
      <c r="P69" s="8">
        <v>1310533</v>
      </c>
      <c r="Q69" s="8">
        <v>1764225</v>
      </c>
      <c r="R69" s="8">
        <v>2690769</v>
      </c>
      <c r="S69" s="8">
        <v>3909210</v>
      </c>
      <c r="T69" s="8">
        <v>5034400</v>
      </c>
      <c r="U69" s="8">
        <v>5396502</v>
      </c>
      <c r="V69" s="8">
        <v>5185633</v>
      </c>
      <c r="W69" s="8">
        <v>5108106</v>
      </c>
      <c r="X69" s="8">
        <v>5030380</v>
      </c>
      <c r="Y69" s="8">
        <v>4988704</v>
      </c>
      <c r="Z69" s="8">
        <v>4916523</v>
      </c>
      <c r="AA69" s="8">
        <v>4383995</v>
      </c>
      <c r="AB69" s="8">
        <v>4372762</v>
      </c>
    </row>
    <row r="70" spans="1:28">
      <c r="A70" s="298" t="s">
        <v>82</v>
      </c>
      <c r="B70" t="s">
        <v>64</v>
      </c>
      <c r="C70" t="s">
        <v>65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</row>
    <row r="71" spans="1:28">
      <c r="A71" s="298" t="s">
        <v>83</v>
      </c>
      <c r="B71" t="s">
        <v>64</v>
      </c>
      <c r="C71" t="s">
        <v>65</v>
      </c>
      <c r="D71" s="8">
        <v>16205</v>
      </c>
      <c r="E71" s="8">
        <v>20018</v>
      </c>
      <c r="F71" s="8">
        <v>31121</v>
      </c>
      <c r="G71" s="8">
        <v>0</v>
      </c>
      <c r="H71" s="8">
        <v>0</v>
      </c>
      <c r="I71" s="8">
        <v>0</v>
      </c>
      <c r="J71" s="8">
        <v>0</v>
      </c>
      <c r="K71" s="8">
        <v>266627</v>
      </c>
      <c r="L71" s="8">
        <v>437336</v>
      </c>
      <c r="M71" s="8">
        <v>478419</v>
      </c>
      <c r="N71" s="8">
        <v>468327</v>
      </c>
      <c r="O71" s="8">
        <v>327946</v>
      </c>
      <c r="P71" s="8">
        <v>242572</v>
      </c>
      <c r="Q71" s="8">
        <v>24633</v>
      </c>
      <c r="R71" s="8">
        <v>-232589</v>
      </c>
      <c r="S71" s="8">
        <v>-489855</v>
      </c>
      <c r="T71" s="8">
        <v>-766492</v>
      </c>
      <c r="U71" s="8">
        <v>-1097641</v>
      </c>
      <c r="V71" s="8">
        <v>-817698</v>
      </c>
      <c r="W71" s="8">
        <v>-935649</v>
      </c>
      <c r="X71" s="8">
        <v>-1681390</v>
      </c>
      <c r="Y71" s="8">
        <v>-2250140</v>
      </c>
      <c r="Z71" s="8">
        <v>-2518896</v>
      </c>
      <c r="AA71" s="8">
        <v>-2784503</v>
      </c>
      <c r="AB71" s="8">
        <v>-2779086</v>
      </c>
    </row>
    <row r="72" spans="1:28">
      <c r="A72" s="298" t="s">
        <v>84</v>
      </c>
      <c r="B72" t="s">
        <v>64</v>
      </c>
      <c r="C72" t="s">
        <v>65</v>
      </c>
      <c r="D72" s="8">
        <v>-3200</v>
      </c>
      <c r="E72" s="8">
        <v>-3200</v>
      </c>
      <c r="F72" s="8">
        <v>-3200</v>
      </c>
      <c r="G72" s="8">
        <v>-3200</v>
      </c>
      <c r="H72" s="8">
        <v>-3200</v>
      </c>
      <c r="I72" s="8">
        <v>-3200</v>
      </c>
      <c r="J72" s="8">
        <v>-3200</v>
      </c>
      <c r="K72" s="8">
        <v>-3200</v>
      </c>
      <c r="L72" s="8">
        <v>-3200</v>
      </c>
      <c r="M72" s="8">
        <v>-3200</v>
      </c>
      <c r="N72" s="8">
        <v>-3200</v>
      </c>
      <c r="O72" s="8">
        <v>-3200</v>
      </c>
      <c r="P72" s="8">
        <v>-3200</v>
      </c>
      <c r="Q72" s="8">
        <v>-3200</v>
      </c>
      <c r="R72" s="8">
        <v>-3200</v>
      </c>
      <c r="S72" s="8">
        <v>-3200</v>
      </c>
      <c r="T72" s="8">
        <v>-3200</v>
      </c>
      <c r="U72" s="8">
        <v>-3200</v>
      </c>
      <c r="V72" s="8">
        <v>-3200</v>
      </c>
      <c r="W72" s="8">
        <v>-3200</v>
      </c>
      <c r="X72" s="8">
        <v>-3200</v>
      </c>
      <c r="Y72" s="8">
        <v>-3200</v>
      </c>
      <c r="Z72" s="8">
        <v>-3200</v>
      </c>
      <c r="AA72" s="8">
        <v>-3200</v>
      </c>
      <c r="AB72" s="8">
        <v>-3200</v>
      </c>
    </row>
    <row r="73" spans="1:28">
      <c r="A73" s="298" t="s">
        <v>85</v>
      </c>
      <c r="B73" t="s">
        <v>64</v>
      </c>
      <c r="C73" t="s">
        <v>65</v>
      </c>
      <c r="D73" s="8">
        <v>968402</v>
      </c>
      <c r="E73" s="8">
        <v>1070138</v>
      </c>
      <c r="F73" s="8">
        <v>1129496</v>
      </c>
      <c r="G73" s="8">
        <v>1616423</v>
      </c>
      <c r="H73" s="8">
        <v>1744357</v>
      </c>
      <c r="I73" s="8">
        <v>1854460</v>
      </c>
      <c r="J73" s="8">
        <v>1961981</v>
      </c>
      <c r="K73" s="8">
        <v>2029637</v>
      </c>
      <c r="L73" s="8">
        <v>2128383</v>
      </c>
      <c r="M73" s="8">
        <v>1125564</v>
      </c>
      <c r="N73" s="8">
        <v>1190463</v>
      </c>
      <c r="O73" s="8">
        <v>1238604</v>
      </c>
      <c r="P73" s="8">
        <v>1270766</v>
      </c>
      <c r="Q73" s="8">
        <v>1290805</v>
      </c>
      <c r="R73" s="8">
        <v>1302114</v>
      </c>
      <c r="S73" s="8">
        <v>1285568</v>
      </c>
      <c r="T73" s="8">
        <v>1253657</v>
      </c>
      <c r="U73" s="8">
        <v>1225880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</row>
    <row r="74" spans="1:28">
      <c r="A74" s="298" t="s">
        <v>86</v>
      </c>
      <c r="B74" t="s">
        <v>64</v>
      </c>
      <c r="C74" t="s">
        <v>65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1125564</v>
      </c>
      <c r="N74" s="8">
        <v>1190463</v>
      </c>
      <c r="O74" s="8">
        <v>1238604</v>
      </c>
      <c r="P74" s="8">
        <v>1270766</v>
      </c>
      <c r="Q74" s="8">
        <v>1290805</v>
      </c>
      <c r="R74" s="8">
        <v>1302114</v>
      </c>
      <c r="S74" s="8">
        <v>1285568</v>
      </c>
      <c r="T74" s="8">
        <v>1253657</v>
      </c>
      <c r="U74" s="8">
        <v>1225880</v>
      </c>
      <c r="V74" s="8">
        <v>2441032</v>
      </c>
      <c r="W74" s="8">
        <v>2343886</v>
      </c>
      <c r="X74" s="8">
        <v>2308508</v>
      </c>
      <c r="Y74" s="8">
        <v>2231449</v>
      </c>
      <c r="Z74" s="8">
        <v>2160322</v>
      </c>
      <c r="AA74" s="8">
        <v>2203968</v>
      </c>
      <c r="AB74" s="8">
        <v>2058284</v>
      </c>
    </row>
    <row r="75" spans="1:28">
      <c r="A75" s="298" t="s">
        <v>87</v>
      </c>
      <c r="B75" t="s">
        <v>64</v>
      </c>
      <c r="C75" t="s">
        <v>65</v>
      </c>
      <c r="D75" s="8">
        <v>357288</v>
      </c>
      <c r="E75" s="8">
        <v>374080</v>
      </c>
      <c r="F75" s="8">
        <v>392410</v>
      </c>
      <c r="G75" s="8">
        <v>422233</v>
      </c>
      <c r="H75" s="8">
        <v>436589</v>
      </c>
      <c r="I75" s="8">
        <v>453180</v>
      </c>
      <c r="J75" s="8">
        <v>471760</v>
      </c>
      <c r="K75" s="8">
        <v>492517</v>
      </c>
      <c r="L75" s="8">
        <v>515666</v>
      </c>
      <c r="M75" s="8">
        <v>555372</v>
      </c>
      <c r="N75" s="8">
        <v>600357</v>
      </c>
      <c r="O75" s="8">
        <v>600357</v>
      </c>
      <c r="P75" s="8">
        <v>600357</v>
      </c>
      <c r="Q75" s="8">
        <v>600357</v>
      </c>
      <c r="R75" s="8">
        <v>600357</v>
      </c>
      <c r="S75" s="8">
        <v>600357</v>
      </c>
      <c r="T75" s="8">
        <v>600357</v>
      </c>
      <c r="U75" s="8">
        <v>600357</v>
      </c>
      <c r="V75" s="8">
        <v>600357</v>
      </c>
      <c r="W75" s="8">
        <v>600357</v>
      </c>
      <c r="X75" s="8">
        <v>600357</v>
      </c>
      <c r="Y75" s="8">
        <v>600357</v>
      </c>
      <c r="Z75" s="8">
        <v>600357</v>
      </c>
      <c r="AA75" s="8">
        <v>600357</v>
      </c>
      <c r="AB75" s="8">
        <v>600357</v>
      </c>
    </row>
    <row r="76" spans="1:28">
      <c r="A76" s="298" t="s">
        <v>88</v>
      </c>
      <c r="B76" t="s">
        <v>64</v>
      </c>
      <c r="C76" t="s">
        <v>65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</row>
    <row r="77" spans="1:28">
      <c r="A77" s="298" t="s">
        <v>89</v>
      </c>
      <c r="B77" t="s">
        <v>64</v>
      </c>
      <c r="C77" t="s">
        <v>65</v>
      </c>
      <c r="D77" s="8">
        <v>28000</v>
      </c>
      <c r="E77" s="8">
        <v>28000</v>
      </c>
      <c r="F77" s="8">
        <v>28000</v>
      </c>
      <c r="G77" s="8">
        <v>28000</v>
      </c>
      <c r="H77" s="8">
        <v>28000</v>
      </c>
      <c r="I77" s="8">
        <v>28000</v>
      </c>
      <c r="J77" s="8">
        <v>28000</v>
      </c>
      <c r="K77" s="8">
        <v>28000</v>
      </c>
      <c r="L77" s="8">
        <v>28000</v>
      </c>
      <c r="M77" s="8">
        <v>28000</v>
      </c>
      <c r="N77" s="8">
        <v>28000</v>
      </c>
      <c r="O77" s="8">
        <v>28000</v>
      </c>
      <c r="P77" s="8">
        <v>28000</v>
      </c>
      <c r="Q77" s="8">
        <v>28000</v>
      </c>
      <c r="R77" s="8">
        <v>28000</v>
      </c>
      <c r="S77" s="8">
        <v>28000</v>
      </c>
      <c r="T77" s="8">
        <v>28000</v>
      </c>
      <c r="U77" s="8">
        <v>28000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</row>
    <row r="78" spans="1:28">
      <c r="A78" s="298" t="s">
        <v>90</v>
      </c>
      <c r="B78" t="s">
        <v>64</v>
      </c>
      <c r="C78" t="s">
        <v>65</v>
      </c>
      <c r="D78" s="8">
        <v>1454800</v>
      </c>
      <c r="E78" s="8">
        <v>619026</v>
      </c>
      <c r="F78" s="8">
        <v>745956</v>
      </c>
      <c r="G78" s="8">
        <v>1644140</v>
      </c>
      <c r="H78" s="8">
        <v>2578498</v>
      </c>
      <c r="I78" s="8">
        <v>1075043</v>
      </c>
      <c r="J78" s="8">
        <v>393446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</row>
    <row r="79" spans="1:28">
      <c r="A79" s="298" t="s">
        <v>91</v>
      </c>
      <c r="B79" t="s">
        <v>64</v>
      </c>
      <c r="C79" t="s">
        <v>65</v>
      </c>
      <c r="D79" s="8">
        <v>629931</v>
      </c>
      <c r="E79" s="8">
        <v>628023</v>
      </c>
      <c r="F79" s="8">
        <v>0</v>
      </c>
      <c r="G79" s="8">
        <v>478632</v>
      </c>
      <c r="H79" s="8">
        <v>229464</v>
      </c>
      <c r="I79" s="8">
        <v>603362</v>
      </c>
      <c r="J79" s="8">
        <v>609774</v>
      </c>
      <c r="K79" s="8">
        <v>599638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</row>
    <row r="80" spans="1:28">
      <c r="A80" s="298" t="s">
        <v>92</v>
      </c>
      <c r="B80" t="s">
        <v>64</v>
      </c>
      <c r="C80" t="s">
        <v>65</v>
      </c>
      <c r="D80" s="8">
        <v>759317</v>
      </c>
      <c r="E80" s="8">
        <v>776814</v>
      </c>
      <c r="F80" s="8">
        <v>757481</v>
      </c>
      <c r="G80" s="8">
        <v>495949</v>
      </c>
      <c r="H80" s="8">
        <v>395152</v>
      </c>
      <c r="I80" s="8">
        <v>427937</v>
      </c>
      <c r="J80" s="8">
        <v>422328</v>
      </c>
      <c r="K80" s="8">
        <v>400422</v>
      </c>
      <c r="L80" s="8">
        <v>391750</v>
      </c>
      <c r="M80" s="8">
        <v>298529</v>
      </c>
      <c r="N80" s="8">
        <v>215134</v>
      </c>
      <c r="O80" s="8">
        <v>137606</v>
      </c>
      <c r="P80" s="8">
        <v>66819</v>
      </c>
      <c r="Q80" s="8">
        <v>2920</v>
      </c>
      <c r="R80" s="8">
        <v>-53220</v>
      </c>
      <c r="S80" s="8">
        <v>-100754</v>
      </c>
      <c r="T80" s="8">
        <v>-138767</v>
      </c>
      <c r="U80" s="8">
        <v>-166272</v>
      </c>
      <c r="V80" s="8">
        <v>-185017</v>
      </c>
      <c r="W80" s="8">
        <v>-181959</v>
      </c>
      <c r="X80" s="8">
        <v>-175152</v>
      </c>
      <c r="Y80" s="8">
        <v>-165027</v>
      </c>
      <c r="Z80" s="8">
        <v>-153474</v>
      </c>
      <c r="AA80" s="8">
        <v>-139708</v>
      </c>
      <c r="AB80" s="8">
        <v>-139708</v>
      </c>
    </row>
    <row r="81" spans="1:28">
      <c r="A81" s="298" t="s">
        <v>93</v>
      </c>
      <c r="B81" t="s">
        <v>64</v>
      </c>
      <c r="C81" t="s">
        <v>65</v>
      </c>
      <c r="D81" s="8">
        <v>1873242</v>
      </c>
      <c r="E81" s="8">
        <v>5751581</v>
      </c>
      <c r="F81" s="8">
        <v>6420261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</row>
    <row r="82" spans="1:28">
      <c r="A82" s="298" t="s">
        <v>94</v>
      </c>
      <c r="B82" t="s">
        <v>64</v>
      </c>
      <c r="C82" t="s">
        <v>65</v>
      </c>
      <c r="D82" s="8">
        <v>3355211</v>
      </c>
      <c r="E82" s="8">
        <v>3450920</v>
      </c>
      <c r="F82" s="8">
        <v>5384543</v>
      </c>
      <c r="G82" s="8">
        <v>5138381</v>
      </c>
      <c r="H82" s="8">
        <v>4797491</v>
      </c>
      <c r="I82" s="8">
        <v>4407254</v>
      </c>
      <c r="J82" s="8">
        <v>3823441</v>
      </c>
      <c r="K82" s="8">
        <v>3506966</v>
      </c>
      <c r="L82" s="8">
        <v>3190492</v>
      </c>
      <c r="M82" s="8">
        <v>2208743</v>
      </c>
      <c r="N82" s="8">
        <v>1226995</v>
      </c>
      <c r="O82" s="8">
        <v>245246</v>
      </c>
      <c r="P82" s="8">
        <v>-736502</v>
      </c>
      <c r="Q82" s="8">
        <v>-1718250</v>
      </c>
      <c r="R82" s="8">
        <v>-2699999</v>
      </c>
      <c r="S82" s="8">
        <v>-3681748</v>
      </c>
      <c r="T82" s="8">
        <v>-4663496</v>
      </c>
      <c r="U82" s="8">
        <v>-5845963</v>
      </c>
      <c r="V82" s="8">
        <v>-7063954</v>
      </c>
      <c r="W82" s="8">
        <v>-7822835</v>
      </c>
      <c r="X82" s="8">
        <v>-8466698</v>
      </c>
      <c r="Y82" s="8">
        <v>-9255158</v>
      </c>
      <c r="Z82" s="8">
        <v>-10010260</v>
      </c>
      <c r="AA82" s="8">
        <v>-10762181</v>
      </c>
      <c r="AB82" s="8">
        <v>-10701451</v>
      </c>
    </row>
    <row r="83" spans="1:28">
      <c r="A83" s="298" t="s">
        <v>95</v>
      </c>
      <c r="B83" t="s">
        <v>64</v>
      </c>
      <c r="C83" t="s">
        <v>65</v>
      </c>
      <c r="D83" s="8">
        <v>6333610</v>
      </c>
      <c r="E83" s="8">
        <v>10031849</v>
      </c>
      <c r="F83" s="8">
        <v>9565198</v>
      </c>
      <c r="G83" s="8">
        <v>8437997</v>
      </c>
      <c r="H83" s="8">
        <v>8025002</v>
      </c>
      <c r="I83" s="8">
        <v>7628663</v>
      </c>
      <c r="J83" s="8">
        <v>7248082</v>
      </c>
      <c r="K83" s="8">
        <v>6882396</v>
      </c>
      <c r="L83" s="8">
        <v>6530774</v>
      </c>
      <c r="M83" s="8">
        <v>5681124</v>
      </c>
      <c r="N83" s="8">
        <v>4859174</v>
      </c>
      <c r="O83" s="8">
        <v>4062960</v>
      </c>
      <c r="P83" s="8">
        <v>3290592</v>
      </c>
      <c r="Q83" s="8">
        <v>2540255</v>
      </c>
      <c r="R83" s="8">
        <v>1810207</v>
      </c>
      <c r="S83" s="8">
        <v>1098772</v>
      </c>
      <c r="T83" s="8">
        <v>404343</v>
      </c>
      <c r="U83" s="8">
        <v>-274624</v>
      </c>
      <c r="V83" s="8">
        <v>-939270</v>
      </c>
      <c r="W83" s="8">
        <v>-1369192</v>
      </c>
      <c r="X83" s="8">
        <v>-1791891</v>
      </c>
      <c r="Y83" s="8">
        <v>-2208235</v>
      </c>
      <c r="Z83" s="8">
        <v>-2619058</v>
      </c>
      <c r="AA83" s="8">
        <v>-3025157</v>
      </c>
      <c r="AB83" s="8">
        <v>-2999383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BD3BB-829F-4787-8625-08ADA9369B6C}">
  <sheetPr>
    <tabColor rgb="FFFFC000"/>
  </sheetPr>
  <dimension ref="A1:B17"/>
  <sheetViews>
    <sheetView workbookViewId="0">
      <selection activeCell="B17" sqref="A1:B17"/>
    </sheetView>
  </sheetViews>
  <sheetFormatPr defaultRowHeight="15"/>
  <cols>
    <col min="1" max="1" width="22.140625" bestFit="1" customWidth="1"/>
  </cols>
  <sheetData>
    <row r="1" spans="1:2">
      <c r="A1" t="s">
        <v>18761</v>
      </c>
    </row>
    <row r="2" spans="1:2">
      <c r="A2" s="95" t="s">
        <v>249</v>
      </c>
      <c r="B2" s="395">
        <v>0</v>
      </c>
    </row>
    <row r="3" spans="1:2">
      <c r="A3" s="53" t="s">
        <v>251</v>
      </c>
      <c r="B3" s="396">
        <v>0</v>
      </c>
    </row>
    <row r="4" spans="1:2">
      <c r="A4" s="53" t="s">
        <v>253</v>
      </c>
      <c r="B4" s="396">
        <v>0</v>
      </c>
    </row>
    <row r="5" spans="1:2">
      <c r="A5" s="53" t="s">
        <v>255</v>
      </c>
      <c r="B5" s="396">
        <v>0</v>
      </c>
    </row>
    <row r="6" spans="1:2">
      <c r="A6" s="53" t="s">
        <v>256</v>
      </c>
      <c r="B6" s="396">
        <v>0</v>
      </c>
    </row>
    <row r="7" spans="1:2">
      <c r="A7" s="53" t="s">
        <v>257</v>
      </c>
      <c r="B7" s="396">
        <v>0</v>
      </c>
    </row>
    <row r="8" spans="1:2">
      <c r="A8" s="53" t="s">
        <v>258</v>
      </c>
      <c r="B8" s="396">
        <v>3.0000000000000001E-3</v>
      </c>
    </row>
    <row r="9" spans="1:2">
      <c r="A9" s="53" t="s">
        <v>259</v>
      </c>
      <c r="B9" s="396">
        <v>0</v>
      </c>
    </row>
    <row r="10" spans="1:2">
      <c r="A10" s="53" t="s">
        <v>260</v>
      </c>
      <c r="B10" s="396">
        <v>1.2999999999999999E-2</v>
      </c>
    </row>
    <row r="11" spans="1:2">
      <c r="A11" s="53" t="s">
        <v>261</v>
      </c>
      <c r="B11" s="396">
        <v>1E-3</v>
      </c>
    </row>
    <row r="12" spans="1:2">
      <c r="A12" s="53" t="s">
        <v>262</v>
      </c>
      <c r="B12" s="396">
        <v>0</v>
      </c>
    </row>
    <row r="13" spans="1:2">
      <c r="A13" s="53" t="s">
        <v>263</v>
      </c>
      <c r="B13" s="396">
        <v>0</v>
      </c>
    </row>
    <row r="14" spans="1:2">
      <c r="A14" s="53" t="s">
        <v>265</v>
      </c>
      <c r="B14" s="396">
        <v>0.93799999999999994</v>
      </c>
    </row>
    <row r="15" spans="1:2">
      <c r="A15" s="53" t="s">
        <v>267</v>
      </c>
      <c r="B15" s="396">
        <v>0</v>
      </c>
    </row>
    <row r="16" spans="1:2">
      <c r="A16" s="53" t="s">
        <v>268</v>
      </c>
      <c r="B16" s="396">
        <v>4.4999999999999998E-2</v>
      </c>
    </row>
    <row r="17" spans="1:2">
      <c r="A17" s="15" t="s">
        <v>270</v>
      </c>
      <c r="B17" s="356">
        <f>SUM(B2:B16)</f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BF32-855F-449F-9A82-4880C8B78266}">
  <sheetPr>
    <tabColor rgb="FFFFC000"/>
  </sheetPr>
  <dimension ref="A1:AG154"/>
  <sheetViews>
    <sheetView topLeftCell="A7" workbookViewId="0">
      <selection activeCell="X33" sqref="X33"/>
    </sheetView>
  </sheetViews>
  <sheetFormatPr defaultRowHeight="15"/>
  <cols>
    <col min="1" max="1" width="21" customWidth="1"/>
  </cols>
  <sheetData>
    <row r="1" spans="1:32">
      <c r="A1" s="2"/>
      <c r="B1" s="2" t="s">
        <v>1</v>
      </c>
      <c r="C1" s="31" t="s">
        <v>586</v>
      </c>
      <c r="D1" s="31" t="s">
        <v>587</v>
      </c>
      <c r="E1" s="31" t="s">
        <v>588</v>
      </c>
      <c r="F1" s="31" t="s">
        <v>589</v>
      </c>
      <c r="G1" s="31" t="s">
        <v>590</v>
      </c>
      <c r="H1" s="31" t="s">
        <v>591</v>
      </c>
      <c r="I1" s="31" t="s">
        <v>592</v>
      </c>
      <c r="J1" s="31" t="s">
        <v>593</v>
      </c>
      <c r="K1" s="31" t="s">
        <v>2248</v>
      </c>
      <c r="L1" s="31" t="s">
        <v>2249</v>
      </c>
      <c r="M1" s="31" t="s">
        <v>2250</v>
      </c>
      <c r="N1" s="31" t="s">
        <v>2251</v>
      </c>
      <c r="O1" s="31" t="s">
        <v>2252</v>
      </c>
      <c r="P1" s="31" t="s">
        <v>2253</v>
      </c>
      <c r="Q1" s="31" t="s">
        <v>2254</v>
      </c>
      <c r="R1" s="31" t="s">
        <v>2255</v>
      </c>
      <c r="S1" s="31" t="s">
        <v>2256</v>
      </c>
      <c r="T1" s="31" t="s">
        <v>2257</v>
      </c>
      <c r="U1" s="31" t="s">
        <v>2258</v>
      </c>
      <c r="V1" s="31" t="s">
        <v>2259</v>
      </c>
      <c r="W1" s="31" t="s">
        <v>2260</v>
      </c>
      <c r="X1" s="31" t="s">
        <v>2261</v>
      </c>
      <c r="Y1" s="31" t="s">
        <v>2262</v>
      </c>
      <c r="Z1" s="31" t="s">
        <v>2263</v>
      </c>
      <c r="AA1" s="2"/>
      <c r="AB1" s="2"/>
      <c r="AC1" s="2"/>
      <c r="AD1" s="2"/>
      <c r="AE1" s="2"/>
      <c r="AF1" s="2"/>
    </row>
    <row r="2" spans="1:32">
      <c r="A2" s="2" t="s">
        <v>18762</v>
      </c>
      <c r="B2" s="2" t="s">
        <v>18763</v>
      </c>
      <c r="C2">
        <f t="shared" ref="C2:Z2" si="0">J42</f>
        <v>4.0821999999999997E-2</v>
      </c>
      <c r="D2">
        <f t="shared" si="0"/>
        <v>4.0821999999999997E-2</v>
      </c>
      <c r="E2">
        <f t="shared" si="0"/>
        <v>4.0821999999999997E-2</v>
      </c>
      <c r="F2">
        <f t="shared" si="0"/>
        <v>4.0821999999999997E-2</v>
      </c>
      <c r="G2">
        <f t="shared" si="0"/>
        <v>4.0821999999999997E-2</v>
      </c>
      <c r="H2">
        <f t="shared" si="0"/>
        <v>4.0821999999999997E-2</v>
      </c>
      <c r="I2">
        <f t="shared" si="0"/>
        <v>4.0821999999999997E-2</v>
      </c>
      <c r="J2">
        <f t="shared" si="0"/>
        <v>4.0821999999999997E-2</v>
      </c>
      <c r="K2">
        <f t="shared" si="0"/>
        <v>4.0821999999999997E-2</v>
      </c>
      <c r="L2">
        <f t="shared" si="0"/>
        <v>4.0821999999999997E-2</v>
      </c>
      <c r="M2">
        <f t="shared" si="0"/>
        <v>4.0821999999999997E-2</v>
      </c>
      <c r="N2">
        <f t="shared" si="0"/>
        <v>4.0821999999999997E-2</v>
      </c>
      <c r="O2">
        <f t="shared" si="0"/>
        <v>4.0821999999999997E-2</v>
      </c>
      <c r="P2">
        <f t="shared" si="0"/>
        <v>4.0821999999999997E-2</v>
      </c>
      <c r="Q2">
        <f t="shared" si="0"/>
        <v>4.0821999999999997E-2</v>
      </c>
      <c r="R2">
        <f t="shared" si="0"/>
        <v>4.0821999999999997E-2</v>
      </c>
      <c r="S2">
        <f t="shared" si="0"/>
        <v>4.0821999999999997E-2</v>
      </c>
      <c r="T2">
        <f t="shared" si="0"/>
        <v>4.0821999999999997E-2</v>
      </c>
      <c r="U2">
        <f t="shared" si="0"/>
        <v>4.0821999999999997E-2</v>
      </c>
      <c r="V2">
        <f t="shared" si="0"/>
        <v>4.0821999999999997E-2</v>
      </c>
      <c r="W2">
        <f t="shared" si="0"/>
        <v>4.0821999999999997E-2</v>
      </c>
      <c r="X2">
        <f t="shared" si="0"/>
        <v>4.0821999999999997E-2</v>
      </c>
      <c r="Y2">
        <f t="shared" si="0"/>
        <v>4.0821999999999997E-2</v>
      </c>
      <c r="Z2">
        <f t="shared" si="0"/>
        <v>4.0821999999999997E-2</v>
      </c>
    </row>
    <row r="3" spans="1:32">
      <c r="A3" s="2" t="s">
        <v>251</v>
      </c>
      <c r="B3" s="2" t="s">
        <v>18763</v>
      </c>
      <c r="C3">
        <f t="shared" ref="C3:Z3" si="1">J46</f>
        <v>8.2200000000000003E-4</v>
      </c>
      <c r="D3">
        <f t="shared" si="1"/>
        <v>8.2200000000000003E-4</v>
      </c>
      <c r="E3">
        <f t="shared" si="1"/>
        <v>8.2200000000000003E-4</v>
      </c>
      <c r="F3">
        <f t="shared" si="1"/>
        <v>8.2200000000000003E-4</v>
      </c>
      <c r="G3">
        <f t="shared" si="1"/>
        <v>8.2200000000000003E-4</v>
      </c>
      <c r="H3">
        <f t="shared" si="1"/>
        <v>8.2200000000000003E-4</v>
      </c>
      <c r="I3">
        <f t="shared" si="1"/>
        <v>8.2200000000000003E-4</v>
      </c>
      <c r="J3">
        <f t="shared" si="1"/>
        <v>8.2200000000000003E-4</v>
      </c>
      <c r="K3">
        <f t="shared" si="1"/>
        <v>8.2200000000000003E-4</v>
      </c>
      <c r="L3">
        <f t="shared" si="1"/>
        <v>8.2200000000000003E-4</v>
      </c>
      <c r="M3">
        <f t="shared" si="1"/>
        <v>8.2200000000000003E-4</v>
      </c>
      <c r="N3">
        <f t="shared" si="1"/>
        <v>8.2200000000000003E-4</v>
      </c>
      <c r="O3">
        <f t="shared" si="1"/>
        <v>8.2200000000000003E-4</v>
      </c>
      <c r="P3">
        <f t="shared" si="1"/>
        <v>8.2200000000000003E-4</v>
      </c>
      <c r="Q3">
        <f t="shared" si="1"/>
        <v>8.2200000000000003E-4</v>
      </c>
      <c r="R3">
        <f t="shared" si="1"/>
        <v>8.2200000000000003E-4</v>
      </c>
      <c r="S3">
        <f t="shared" si="1"/>
        <v>8.2200000000000003E-4</v>
      </c>
      <c r="T3">
        <f t="shared" si="1"/>
        <v>8.2200000000000003E-4</v>
      </c>
      <c r="U3">
        <f t="shared" si="1"/>
        <v>8.2200000000000003E-4</v>
      </c>
      <c r="V3">
        <f t="shared" si="1"/>
        <v>8.2200000000000003E-4</v>
      </c>
      <c r="W3">
        <f t="shared" si="1"/>
        <v>8.2200000000000003E-4</v>
      </c>
      <c r="X3">
        <f t="shared" si="1"/>
        <v>8.2200000000000003E-4</v>
      </c>
      <c r="Y3">
        <f t="shared" si="1"/>
        <v>8.2200000000000003E-4</v>
      </c>
      <c r="Z3">
        <f t="shared" si="1"/>
        <v>8.2200000000000003E-4</v>
      </c>
    </row>
    <row r="4" spans="1:32">
      <c r="A4" s="2" t="s">
        <v>253</v>
      </c>
      <c r="B4" s="2" t="s">
        <v>18763</v>
      </c>
      <c r="C4">
        <f t="shared" ref="C4:Z4" si="2">J51</f>
        <v>0.25403900000000001</v>
      </c>
      <c r="D4">
        <f t="shared" si="2"/>
        <v>0.257409</v>
      </c>
      <c r="E4">
        <f t="shared" si="2"/>
        <v>0.26078000000000001</v>
      </c>
      <c r="F4">
        <f t="shared" si="2"/>
        <v>0.26415100000000002</v>
      </c>
      <c r="G4">
        <f t="shared" si="2"/>
        <v>0.26752100000000001</v>
      </c>
      <c r="H4">
        <f t="shared" si="2"/>
        <v>0.27089200000000002</v>
      </c>
      <c r="I4">
        <f t="shared" si="2"/>
        <v>0.27426200000000001</v>
      </c>
      <c r="J4">
        <f t="shared" si="2"/>
        <v>0.27763300000000002</v>
      </c>
      <c r="K4">
        <f t="shared" si="2"/>
        <v>0.281003</v>
      </c>
      <c r="L4">
        <f t="shared" si="2"/>
        <v>0.28437400000000002</v>
      </c>
      <c r="M4">
        <f t="shared" si="2"/>
        <v>0.28774499999999997</v>
      </c>
      <c r="N4">
        <f t="shared" si="2"/>
        <v>0.29111500000000001</v>
      </c>
      <c r="O4">
        <f t="shared" si="2"/>
        <v>0.29448600000000003</v>
      </c>
      <c r="P4">
        <f t="shared" si="2"/>
        <v>0.29785600000000001</v>
      </c>
      <c r="Q4">
        <f t="shared" si="2"/>
        <v>0.30122700000000002</v>
      </c>
      <c r="R4">
        <f t="shared" si="2"/>
        <v>0.30459799999999998</v>
      </c>
      <c r="S4">
        <f t="shared" si="2"/>
        <v>0.30796800000000002</v>
      </c>
      <c r="T4">
        <f t="shared" si="2"/>
        <v>0.31133899999999998</v>
      </c>
      <c r="U4">
        <f t="shared" si="2"/>
        <v>0.31470900000000002</v>
      </c>
      <c r="V4">
        <f t="shared" si="2"/>
        <v>0.31807999999999997</v>
      </c>
      <c r="W4">
        <f t="shared" si="2"/>
        <v>0.32145099999999999</v>
      </c>
      <c r="X4">
        <f t="shared" si="2"/>
        <v>0.32482100000000003</v>
      </c>
      <c r="Y4">
        <f t="shared" si="2"/>
        <v>0.32819199999999998</v>
      </c>
      <c r="Z4">
        <f t="shared" si="2"/>
        <v>0.33156200000000002</v>
      </c>
    </row>
    <row r="5" spans="1:32">
      <c r="A5" s="2" t="s">
        <v>255</v>
      </c>
      <c r="B5" s="2" t="s">
        <v>18763</v>
      </c>
      <c r="C5">
        <f t="shared" ref="C5:Z5" si="3">J62</f>
        <v>3.1003959999999999</v>
      </c>
      <c r="D5">
        <f t="shared" si="3"/>
        <v>3.10616</v>
      </c>
      <c r="E5">
        <f t="shared" si="3"/>
        <v>3.1117650000000001</v>
      </c>
      <c r="F5">
        <f t="shared" si="3"/>
        <v>3.1170770000000001</v>
      </c>
      <c r="G5">
        <f t="shared" si="3"/>
        <v>3.1223299999999998</v>
      </c>
      <c r="H5">
        <f t="shared" si="3"/>
        <v>3.127516</v>
      </c>
      <c r="I5">
        <f t="shared" si="3"/>
        <v>3.1325099999999999</v>
      </c>
      <c r="J5">
        <f t="shared" si="3"/>
        <v>3.1373690000000001</v>
      </c>
      <c r="K5">
        <f t="shared" si="3"/>
        <v>3.142099</v>
      </c>
      <c r="L5">
        <f t="shared" si="3"/>
        <v>3.1465830000000001</v>
      </c>
      <c r="M5">
        <f t="shared" si="3"/>
        <v>3.151046</v>
      </c>
      <c r="N5">
        <f t="shared" si="3"/>
        <v>3.155338</v>
      </c>
      <c r="O5">
        <f t="shared" si="3"/>
        <v>3.159494</v>
      </c>
      <c r="P5">
        <f t="shared" si="3"/>
        <v>3.1635930000000001</v>
      </c>
      <c r="Q5">
        <f t="shared" si="3"/>
        <v>3.1675529999999998</v>
      </c>
      <c r="R5">
        <f t="shared" si="3"/>
        <v>3.1713710000000002</v>
      </c>
      <c r="S5">
        <f t="shared" si="3"/>
        <v>3.174995</v>
      </c>
      <c r="T5">
        <f t="shared" si="3"/>
        <v>3.1785570000000001</v>
      </c>
      <c r="U5">
        <f t="shared" si="3"/>
        <v>3.1818629999999999</v>
      </c>
      <c r="V5">
        <f t="shared" si="3"/>
        <v>3.1851280000000002</v>
      </c>
      <c r="W5">
        <f t="shared" si="3"/>
        <v>3.1882579999999998</v>
      </c>
      <c r="X5">
        <f t="shared" si="3"/>
        <v>3.191154</v>
      </c>
      <c r="Y5">
        <f t="shared" si="3"/>
        <v>3.1939760000000001</v>
      </c>
      <c r="Z5">
        <f t="shared" si="3"/>
        <v>3.1965590000000002</v>
      </c>
    </row>
    <row r="6" spans="1:32">
      <c r="A6" s="2" t="s">
        <v>256</v>
      </c>
      <c r="B6" s="2" t="s">
        <v>18763</v>
      </c>
      <c r="C6">
        <f t="shared" ref="C6:Z6" si="4">J67</f>
        <v>1.6698999999999999E-2</v>
      </c>
      <c r="D6">
        <f t="shared" si="4"/>
        <v>1.6709999999999999E-2</v>
      </c>
      <c r="E6">
        <f t="shared" si="4"/>
        <v>1.6721E-2</v>
      </c>
      <c r="F6">
        <f t="shared" si="4"/>
        <v>1.6732E-2</v>
      </c>
      <c r="G6">
        <f t="shared" si="4"/>
        <v>1.6742E-2</v>
      </c>
      <c r="H6">
        <f t="shared" si="4"/>
        <v>1.6753000000000001E-2</v>
      </c>
      <c r="I6">
        <f t="shared" si="4"/>
        <v>1.6764000000000001E-2</v>
      </c>
      <c r="J6">
        <f t="shared" si="4"/>
        <v>1.6775000000000002E-2</v>
      </c>
      <c r="K6">
        <f t="shared" si="4"/>
        <v>1.6785000000000001E-2</v>
      </c>
      <c r="L6">
        <f t="shared" si="4"/>
        <v>1.6795999999999998E-2</v>
      </c>
      <c r="M6">
        <f t="shared" si="4"/>
        <v>1.6806999999999999E-2</v>
      </c>
      <c r="N6">
        <f t="shared" si="4"/>
        <v>1.6818E-2</v>
      </c>
      <c r="O6">
        <f t="shared" si="4"/>
        <v>1.6827999999999999E-2</v>
      </c>
      <c r="P6">
        <f t="shared" si="4"/>
        <v>1.6839E-2</v>
      </c>
      <c r="Q6">
        <f t="shared" si="4"/>
        <v>1.685E-2</v>
      </c>
      <c r="R6">
        <f t="shared" si="4"/>
        <v>1.686E-2</v>
      </c>
      <c r="S6">
        <f t="shared" si="4"/>
        <v>1.6871000000000001E-2</v>
      </c>
      <c r="T6">
        <f t="shared" si="4"/>
        <v>1.6882000000000001E-2</v>
      </c>
      <c r="U6">
        <f t="shared" si="4"/>
        <v>1.6892999999999998E-2</v>
      </c>
      <c r="V6">
        <f t="shared" si="4"/>
        <v>1.6903000000000001E-2</v>
      </c>
      <c r="W6">
        <f t="shared" si="4"/>
        <v>1.6913999999999998E-2</v>
      </c>
      <c r="X6">
        <f t="shared" si="4"/>
        <v>1.6924999999999999E-2</v>
      </c>
      <c r="Y6">
        <f t="shared" si="4"/>
        <v>1.6936E-2</v>
      </c>
      <c r="Z6">
        <f t="shared" si="4"/>
        <v>1.6945999999999999E-2</v>
      </c>
    </row>
    <row r="7" spans="1:32">
      <c r="A7" s="2" t="s">
        <v>18764</v>
      </c>
      <c r="B7" s="2" t="s">
        <v>18763</v>
      </c>
      <c r="C7">
        <f t="shared" ref="C7:Z7" si="5">J74</f>
        <v>0.54316699999999996</v>
      </c>
      <c r="D7">
        <f t="shared" si="5"/>
        <v>0.54941799999999996</v>
      </c>
      <c r="E7">
        <f t="shared" si="5"/>
        <v>0.55566800000000005</v>
      </c>
      <c r="F7">
        <f t="shared" si="5"/>
        <v>0.56191999999999998</v>
      </c>
      <c r="G7">
        <f t="shared" si="5"/>
        <v>0.56817200000000001</v>
      </c>
      <c r="H7">
        <f t="shared" si="5"/>
        <v>0.57442400000000005</v>
      </c>
      <c r="I7">
        <f t="shared" si="5"/>
        <v>0.58067599999999997</v>
      </c>
      <c r="J7">
        <f t="shared" si="5"/>
        <v>0.58692800000000001</v>
      </c>
      <c r="K7">
        <f t="shared" si="5"/>
        <v>0.59318199999999999</v>
      </c>
      <c r="L7">
        <f t="shared" si="5"/>
        <v>0.599437</v>
      </c>
      <c r="M7">
        <f t="shared" si="5"/>
        <v>0.60569099999999998</v>
      </c>
      <c r="N7">
        <f t="shared" si="5"/>
        <v>0.61194599999999999</v>
      </c>
      <c r="O7">
        <f t="shared" si="5"/>
        <v>0.618201</v>
      </c>
      <c r="P7">
        <f t="shared" si="5"/>
        <v>0.62445499999999998</v>
      </c>
      <c r="Q7">
        <f t="shared" si="5"/>
        <v>0.63070999999999999</v>
      </c>
      <c r="R7">
        <f t="shared" si="5"/>
        <v>0.63696399999999997</v>
      </c>
      <c r="S7">
        <f t="shared" si="5"/>
        <v>0.64321899999999999</v>
      </c>
      <c r="T7">
        <f t="shared" si="5"/>
        <v>0.64947299999999997</v>
      </c>
      <c r="U7">
        <f t="shared" si="5"/>
        <v>0.65572799999999998</v>
      </c>
      <c r="V7">
        <f t="shared" si="5"/>
        <v>0.66198299999999999</v>
      </c>
      <c r="W7">
        <f t="shared" si="5"/>
        <v>0.66823699999999997</v>
      </c>
      <c r="X7">
        <f t="shared" si="5"/>
        <v>0.67449199999999998</v>
      </c>
      <c r="Y7">
        <f t="shared" si="5"/>
        <v>0.68074599999999996</v>
      </c>
      <c r="Z7">
        <f t="shared" si="5"/>
        <v>0.68700099999999997</v>
      </c>
    </row>
    <row r="8" spans="1:32">
      <c r="A8" s="2" t="s">
        <v>258</v>
      </c>
      <c r="B8" s="2" t="s">
        <v>18763</v>
      </c>
      <c r="C8">
        <f t="shared" ref="C8:Z8" si="6">J83</f>
        <v>4.0349999999999997E-2</v>
      </c>
      <c r="D8">
        <f t="shared" si="6"/>
        <v>4.0353E-2</v>
      </c>
      <c r="E8">
        <f t="shared" si="6"/>
        <v>4.0356000000000003E-2</v>
      </c>
      <c r="F8">
        <f t="shared" si="6"/>
        <v>4.036E-2</v>
      </c>
      <c r="G8">
        <f t="shared" si="6"/>
        <v>4.0363000000000003E-2</v>
      </c>
      <c r="H8">
        <f t="shared" si="6"/>
        <v>4.0365999999999999E-2</v>
      </c>
      <c r="I8">
        <f t="shared" si="6"/>
        <v>4.0369000000000002E-2</v>
      </c>
      <c r="J8">
        <f t="shared" si="6"/>
        <v>4.0370999999999997E-2</v>
      </c>
      <c r="K8">
        <f t="shared" si="6"/>
        <v>4.0374E-2</v>
      </c>
      <c r="L8">
        <f t="shared" si="6"/>
        <v>4.0376000000000002E-2</v>
      </c>
      <c r="M8">
        <f t="shared" si="6"/>
        <v>4.0377999999999997E-2</v>
      </c>
      <c r="N8">
        <f t="shared" si="6"/>
        <v>4.0379999999999999E-2</v>
      </c>
      <c r="O8">
        <f t="shared" si="6"/>
        <v>4.0382000000000001E-2</v>
      </c>
      <c r="P8">
        <f t="shared" si="6"/>
        <v>4.0384000000000003E-2</v>
      </c>
      <c r="Q8">
        <f t="shared" si="6"/>
        <v>4.0384999999999997E-2</v>
      </c>
      <c r="R8">
        <f t="shared" si="6"/>
        <v>4.0385999999999998E-2</v>
      </c>
      <c r="S8">
        <f t="shared" si="6"/>
        <v>4.0386999999999999E-2</v>
      </c>
      <c r="T8">
        <f t="shared" si="6"/>
        <v>4.0388E-2</v>
      </c>
      <c r="U8">
        <f t="shared" si="6"/>
        <v>4.0388E-2</v>
      </c>
      <c r="V8">
        <f t="shared" si="6"/>
        <v>4.0389000000000001E-2</v>
      </c>
      <c r="W8">
        <f t="shared" si="6"/>
        <v>4.0389000000000001E-2</v>
      </c>
      <c r="X8">
        <f t="shared" si="6"/>
        <v>4.0389000000000001E-2</v>
      </c>
      <c r="Y8">
        <f t="shared" si="6"/>
        <v>4.0389000000000001E-2</v>
      </c>
      <c r="Z8">
        <f t="shared" si="6"/>
        <v>4.0389000000000001E-2</v>
      </c>
    </row>
    <row r="9" spans="1:32">
      <c r="A9" s="2" t="s">
        <v>18765</v>
      </c>
      <c r="B9" s="2" t="s">
        <v>18763</v>
      </c>
      <c r="C9">
        <f t="shared" ref="C9:Z9" si="7">J88</f>
        <v>1.6440000000000001E-3</v>
      </c>
      <c r="D9">
        <f t="shared" si="7"/>
        <v>1.634E-3</v>
      </c>
      <c r="E9">
        <f t="shared" si="7"/>
        <v>1.6249999999999999E-3</v>
      </c>
      <c r="F9">
        <f t="shared" si="7"/>
        <v>1.6169999999999999E-3</v>
      </c>
      <c r="G9">
        <f t="shared" si="7"/>
        <v>1.609E-3</v>
      </c>
      <c r="H9">
        <f t="shared" si="7"/>
        <v>1.601E-3</v>
      </c>
      <c r="I9">
        <f t="shared" si="7"/>
        <v>1.593E-3</v>
      </c>
      <c r="J9">
        <f t="shared" si="7"/>
        <v>1.585E-3</v>
      </c>
      <c r="K9">
        <f t="shared" si="7"/>
        <v>1.58E-3</v>
      </c>
      <c r="L9">
        <f t="shared" si="7"/>
        <v>1.575E-3</v>
      </c>
      <c r="M9">
        <f t="shared" si="7"/>
        <v>1.5690000000000001E-3</v>
      </c>
      <c r="N9">
        <f t="shared" si="7"/>
        <v>1.5640000000000001E-3</v>
      </c>
      <c r="O9">
        <f t="shared" si="7"/>
        <v>1.5590000000000001E-3</v>
      </c>
      <c r="P9">
        <f t="shared" si="7"/>
        <v>1.554E-3</v>
      </c>
      <c r="Q9">
        <f t="shared" si="7"/>
        <v>1.5479999999999999E-3</v>
      </c>
      <c r="R9">
        <f t="shared" si="7"/>
        <v>1.5430000000000001E-3</v>
      </c>
      <c r="S9">
        <f t="shared" si="7"/>
        <v>1.5380000000000001E-3</v>
      </c>
      <c r="T9">
        <f t="shared" si="7"/>
        <v>1.5319999999999999E-3</v>
      </c>
      <c r="U9">
        <f t="shared" si="7"/>
        <v>1.5269999999999999E-3</v>
      </c>
      <c r="V9">
        <f t="shared" si="7"/>
        <v>1.5219999999999999E-3</v>
      </c>
      <c r="W9">
        <f t="shared" si="7"/>
        <v>1.5169999999999999E-3</v>
      </c>
      <c r="X9">
        <f t="shared" si="7"/>
        <v>1.511E-3</v>
      </c>
      <c r="Y9">
        <f t="shared" si="7"/>
        <v>1.506E-3</v>
      </c>
      <c r="Z9">
        <f t="shared" si="7"/>
        <v>1.5009999999999999E-3</v>
      </c>
    </row>
    <row r="10" spans="1:32">
      <c r="A10" s="2" t="s">
        <v>260</v>
      </c>
      <c r="B10" s="2" t="s">
        <v>18763</v>
      </c>
      <c r="C10">
        <f t="shared" ref="C10:Z10" si="8">J98</f>
        <v>2.638979</v>
      </c>
      <c r="D10">
        <f t="shared" si="8"/>
        <v>2.6753589999999998</v>
      </c>
      <c r="E10">
        <f t="shared" si="8"/>
        <v>2.7110430000000001</v>
      </c>
      <c r="F10">
        <f t="shared" si="8"/>
        <v>2.7460239999999998</v>
      </c>
      <c r="G10">
        <f t="shared" si="8"/>
        <v>2.782511</v>
      </c>
      <c r="H10">
        <f t="shared" si="8"/>
        <v>2.820668</v>
      </c>
      <c r="I10">
        <f t="shared" si="8"/>
        <v>2.8597350000000001</v>
      </c>
      <c r="J10">
        <f t="shared" si="8"/>
        <v>2.900347</v>
      </c>
      <c r="K10">
        <f t="shared" si="8"/>
        <v>2.9410059999999998</v>
      </c>
      <c r="L10">
        <f t="shared" si="8"/>
        <v>2.9812349999999999</v>
      </c>
      <c r="M10">
        <f t="shared" si="8"/>
        <v>3.021617</v>
      </c>
      <c r="N10">
        <f t="shared" si="8"/>
        <v>3.0622259999999999</v>
      </c>
      <c r="O10">
        <f t="shared" si="8"/>
        <v>3.104088</v>
      </c>
      <c r="P10">
        <f t="shared" si="8"/>
        <v>3.14595</v>
      </c>
      <c r="Q10">
        <f t="shared" si="8"/>
        <v>3.1878120000000001</v>
      </c>
      <c r="R10">
        <f t="shared" si="8"/>
        <v>3.2296740000000002</v>
      </c>
      <c r="S10">
        <f t="shared" si="8"/>
        <v>3.2715369999999999</v>
      </c>
      <c r="T10">
        <f t="shared" si="8"/>
        <v>3.3133979999999998</v>
      </c>
      <c r="U10">
        <f t="shared" si="8"/>
        <v>3.355261</v>
      </c>
      <c r="V10">
        <f t="shared" si="8"/>
        <v>3.397122</v>
      </c>
      <c r="W10">
        <f t="shared" si="8"/>
        <v>3.438984</v>
      </c>
      <c r="X10">
        <f t="shared" si="8"/>
        <v>3.4808469999999998</v>
      </c>
      <c r="Y10">
        <f t="shared" si="8"/>
        <v>3.5227089999999999</v>
      </c>
      <c r="Z10">
        <f t="shared" si="8"/>
        <v>3.5645699999999998</v>
      </c>
    </row>
    <row r="11" spans="1:32">
      <c r="A11" s="2" t="s">
        <v>261</v>
      </c>
      <c r="B11" s="2" t="s">
        <v>18763</v>
      </c>
      <c r="C11">
        <f t="shared" ref="C11:Z11" si="9">J109</f>
        <v>4.125966</v>
      </c>
      <c r="D11">
        <f t="shared" si="9"/>
        <v>4.1940080000000002</v>
      </c>
      <c r="E11">
        <f t="shared" si="9"/>
        <v>4.2610460000000003</v>
      </c>
      <c r="F11">
        <f t="shared" si="9"/>
        <v>4.3165079999999998</v>
      </c>
      <c r="G11">
        <f t="shared" si="9"/>
        <v>4.3706750000000003</v>
      </c>
      <c r="H11">
        <f t="shared" si="9"/>
        <v>4.4263620000000001</v>
      </c>
      <c r="I11">
        <f t="shared" si="9"/>
        <v>4.4805289999999998</v>
      </c>
      <c r="J11">
        <f t="shared" si="9"/>
        <v>4.53599</v>
      </c>
      <c r="K11">
        <f t="shared" si="9"/>
        <v>4.5916889999999997</v>
      </c>
      <c r="L11">
        <f t="shared" si="9"/>
        <v>4.6396110000000004</v>
      </c>
      <c r="M11">
        <f t="shared" si="9"/>
        <v>4.6887949999999998</v>
      </c>
      <c r="N11">
        <f t="shared" si="9"/>
        <v>4.7367499999999998</v>
      </c>
      <c r="O11">
        <f t="shared" si="9"/>
        <v>4.7859350000000003</v>
      </c>
      <c r="P11">
        <f t="shared" si="9"/>
        <v>4.8389049999999996</v>
      </c>
      <c r="Q11">
        <f t="shared" si="9"/>
        <v>4.8933949999999999</v>
      </c>
      <c r="R11">
        <f t="shared" si="9"/>
        <v>4.9350149999999999</v>
      </c>
      <c r="S11">
        <f t="shared" si="9"/>
        <v>4.9778979999999997</v>
      </c>
      <c r="T11">
        <f t="shared" si="9"/>
        <v>5.0195189999999998</v>
      </c>
      <c r="U11">
        <f t="shared" si="9"/>
        <v>5.0624010000000004</v>
      </c>
      <c r="V11">
        <f t="shared" si="9"/>
        <v>5.1040219999999996</v>
      </c>
      <c r="W11">
        <f t="shared" si="9"/>
        <v>5.1469040000000001</v>
      </c>
      <c r="X11">
        <f t="shared" si="9"/>
        <v>5.1885250000000003</v>
      </c>
      <c r="Y11">
        <f t="shared" si="9"/>
        <v>5.2314080000000001</v>
      </c>
      <c r="Z11">
        <f t="shared" si="9"/>
        <v>5.273028</v>
      </c>
    </row>
    <row r="12" spans="1:32">
      <c r="A12" s="2" t="s">
        <v>262</v>
      </c>
      <c r="B12" s="2" t="s">
        <v>18763</v>
      </c>
      <c r="C12">
        <f t="shared" ref="C12:Z12" si="10">J118</f>
        <v>8.0504599999999993</v>
      </c>
      <c r="D12">
        <f t="shared" si="10"/>
        <v>8.1138759999999994</v>
      </c>
      <c r="E12">
        <f t="shared" si="10"/>
        <v>8.1775280000000006</v>
      </c>
      <c r="F12">
        <f t="shared" si="10"/>
        <v>8.2408260000000002</v>
      </c>
      <c r="G12">
        <f t="shared" si="10"/>
        <v>8.304373</v>
      </c>
      <c r="H12">
        <f t="shared" si="10"/>
        <v>8.3697730000000004</v>
      </c>
      <c r="I12">
        <f t="shared" si="10"/>
        <v>8.4332130000000003</v>
      </c>
      <c r="J12">
        <f t="shared" si="10"/>
        <v>8.4966019999999993</v>
      </c>
      <c r="K12">
        <f t="shared" si="10"/>
        <v>8.5532880000000002</v>
      </c>
      <c r="L12">
        <f t="shared" si="10"/>
        <v>8.6099300000000003</v>
      </c>
      <c r="M12">
        <f t="shared" si="10"/>
        <v>8.6665259999999993</v>
      </c>
      <c r="N12">
        <f t="shared" si="10"/>
        <v>8.7230779999999992</v>
      </c>
      <c r="O12">
        <f t="shared" si="10"/>
        <v>8.7795850000000009</v>
      </c>
      <c r="P12">
        <f t="shared" si="10"/>
        <v>8.8352850000000007</v>
      </c>
      <c r="Q12">
        <f t="shared" si="10"/>
        <v>8.8931989999999992</v>
      </c>
      <c r="R12">
        <f t="shared" si="10"/>
        <v>8.9511140000000005</v>
      </c>
      <c r="S12">
        <f t="shared" si="10"/>
        <v>9.0090280000000007</v>
      </c>
      <c r="T12">
        <f t="shared" si="10"/>
        <v>9.0669430000000002</v>
      </c>
      <c r="U12">
        <f t="shared" si="10"/>
        <v>9.1248570000000004</v>
      </c>
      <c r="V12">
        <f t="shared" si="10"/>
        <v>9.1827719999999999</v>
      </c>
      <c r="W12">
        <f t="shared" si="10"/>
        <v>9.2406860000000002</v>
      </c>
      <c r="X12">
        <f t="shared" si="10"/>
        <v>9.2986009999999997</v>
      </c>
      <c r="Y12">
        <f t="shared" si="10"/>
        <v>9.3565149999999999</v>
      </c>
      <c r="Z12">
        <f t="shared" si="10"/>
        <v>9.4144299999999994</v>
      </c>
    </row>
    <row r="13" spans="1:32">
      <c r="A13" s="2" t="s">
        <v>18766</v>
      </c>
      <c r="B13" s="2" t="s">
        <v>18763</v>
      </c>
      <c r="C13">
        <f t="shared" ref="C13:Z13" si="11">J128</f>
        <v>16.148409999999998</v>
      </c>
      <c r="D13">
        <f t="shared" si="11"/>
        <v>16.523319999999998</v>
      </c>
      <c r="E13">
        <f t="shared" si="11"/>
        <v>16.927959999999999</v>
      </c>
      <c r="F13">
        <f t="shared" si="11"/>
        <v>17.275500000000001</v>
      </c>
      <c r="G13">
        <f t="shared" si="11"/>
        <v>17.61449</v>
      </c>
      <c r="H13">
        <f t="shared" si="11"/>
        <v>17.93974</v>
      </c>
      <c r="I13">
        <f t="shared" si="11"/>
        <v>18.29973</v>
      </c>
      <c r="J13">
        <f t="shared" si="11"/>
        <v>18.631309999999999</v>
      </c>
      <c r="K13">
        <f t="shared" si="11"/>
        <v>18.631309999999999</v>
      </c>
      <c r="L13">
        <f t="shared" si="11"/>
        <v>18.631309999999999</v>
      </c>
      <c r="M13">
        <f t="shared" si="11"/>
        <v>18.631309999999999</v>
      </c>
      <c r="N13">
        <f t="shared" si="11"/>
        <v>18.631309999999999</v>
      </c>
      <c r="O13">
        <f t="shared" si="11"/>
        <v>18.631309999999999</v>
      </c>
      <c r="P13">
        <f t="shared" si="11"/>
        <v>18.631309999999999</v>
      </c>
      <c r="Q13">
        <f t="shared" si="11"/>
        <v>18.631309999999999</v>
      </c>
      <c r="R13">
        <f t="shared" si="11"/>
        <v>18.631309999999999</v>
      </c>
      <c r="S13">
        <f t="shared" si="11"/>
        <v>18.631309999999999</v>
      </c>
      <c r="T13">
        <f t="shared" si="11"/>
        <v>18.631309999999999</v>
      </c>
      <c r="U13">
        <f t="shared" si="11"/>
        <v>18.631309999999999</v>
      </c>
      <c r="V13">
        <f t="shared" si="11"/>
        <v>18.631309999999999</v>
      </c>
      <c r="W13">
        <f t="shared" si="11"/>
        <v>18.631309999999999</v>
      </c>
      <c r="X13">
        <f t="shared" si="11"/>
        <v>18.631309999999999</v>
      </c>
      <c r="Y13">
        <f t="shared" si="11"/>
        <v>18.631309999999999</v>
      </c>
      <c r="Z13">
        <f t="shared" si="11"/>
        <v>18.631309999999999</v>
      </c>
    </row>
    <row r="14" spans="1:32">
      <c r="A14" s="2" t="s">
        <v>265</v>
      </c>
      <c r="B14" s="2" t="s">
        <v>18763</v>
      </c>
      <c r="C14">
        <f t="shared" ref="C14:Z14" si="12">J137</f>
        <v>4.5469879999999998</v>
      </c>
      <c r="D14">
        <f t="shared" si="12"/>
        <v>4.5457039999999997</v>
      </c>
      <c r="E14">
        <f t="shared" si="12"/>
        <v>4.544422</v>
      </c>
      <c r="F14">
        <f t="shared" si="12"/>
        <v>4.543825</v>
      </c>
      <c r="G14">
        <f t="shared" si="12"/>
        <v>4.5432269999999999</v>
      </c>
      <c r="H14">
        <f t="shared" si="12"/>
        <v>4.5426289999999998</v>
      </c>
      <c r="I14">
        <f t="shared" si="12"/>
        <v>4.5420319999999998</v>
      </c>
      <c r="J14">
        <f t="shared" si="12"/>
        <v>4.5414349999999999</v>
      </c>
      <c r="K14">
        <f t="shared" si="12"/>
        <v>4.5421529999999999</v>
      </c>
      <c r="L14">
        <f t="shared" si="12"/>
        <v>4.5428730000000002</v>
      </c>
      <c r="M14">
        <f t="shared" si="12"/>
        <v>4.5435910000000002</v>
      </c>
      <c r="N14">
        <f t="shared" si="12"/>
        <v>4.5443090000000002</v>
      </c>
      <c r="O14">
        <f t="shared" si="12"/>
        <v>4.5450280000000003</v>
      </c>
      <c r="P14">
        <f t="shared" si="12"/>
        <v>4.5457470000000004</v>
      </c>
      <c r="Q14">
        <f t="shared" si="12"/>
        <v>4.5464659999999997</v>
      </c>
      <c r="R14">
        <f t="shared" si="12"/>
        <v>4.5471839999999997</v>
      </c>
      <c r="S14">
        <f t="shared" si="12"/>
        <v>4.5479019999999997</v>
      </c>
      <c r="T14">
        <f t="shared" si="12"/>
        <v>4.5486219999999999</v>
      </c>
      <c r="U14">
        <f t="shared" si="12"/>
        <v>4.5493399999999999</v>
      </c>
      <c r="V14">
        <f t="shared" si="12"/>
        <v>4.5500590000000001</v>
      </c>
      <c r="W14">
        <f t="shared" si="12"/>
        <v>4.5507770000000001</v>
      </c>
      <c r="X14">
        <f t="shared" si="12"/>
        <v>4.5514960000000002</v>
      </c>
      <c r="Y14">
        <f t="shared" si="12"/>
        <v>4.5522150000000003</v>
      </c>
      <c r="Z14">
        <f t="shared" si="12"/>
        <v>4.5529330000000003</v>
      </c>
    </row>
    <row r="15" spans="1:32">
      <c r="A15" s="2" t="s">
        <v>267</v>
      </c>
      <c r="B15" s="2" t="s">
        <v>18763</v>
      </c>
      <c r="C15">
        <f t="shared" ref="C15:Z15" si="13">J146</f>
        <v>0.63055499999999998</v>
      </c>
      <c r="D15">
        <f t="shared" si="13"/>
        <v>0.66384600000000005</v>
      </c>
      <c r="E15">
        <f t="shared" si="13"/>
        <v>0.71916800000000003</v>
      </c>
      <c r="F15">
        <f t="shared" si="13"/>
        <v>0.72084300000000001</v>
      </c>
      <c r="G15">
        <f t="shared" si="13"/>
        <v>0.725742</v>
      </c>
      <c r="H15">
        <f t="shared" si="13"/>
        <v>0.77150700000000005</v>
      </c>
      <c r="I15">
        <f t="shared" si="13"/>
        <v>0.77199899999999999</v>
      </c>
      <c r="J15">
        <f t="shared" si="13"/>
        <v>0.81948399999999999</v>
      </c>
      <c r="K15">
        <f t="shared" si="13"/>
        <v>0.82176300000000002</v>
      </c>
      <c r="L15">
        <f t="shared" si="13"/>
        <v>0.87111400000000005</v>
      </c>
      <c r="M15">
        <f t="shared" si="13"/>
        <v>0.875301</v>
      </c>
      <c r="N15">
        <f t="shared" si="13"/>
        <v>0.92666700000000002</v>
      </c>
      <c r="O15">
        <f t="shared" si="13"/>
        <v>0.93292299999999995</v>
      </c>
      <c r="P15">
        <f t="shared" si="13"/>
        <v>0.98643899999999995</v>
      </c>
      <c r="Q15">
        <f t="shared" si="13"/>
        <v>0.99495100000000003</v>
      </c>
      <c r="R15">
        <f t="shared" si="13"/>
        <v>1.050778</v>
      </c>
      <c r="S15">
        <f t="shared" si="13"/>
        <v>1.0617350000000001</v>
      </c>
      <c r="T15">
        <f t="shared" si="13"/>
        <v>1.1200870000000001</v>
      </c>
      <c r="U15">
        <f t="shared" si="13"/>
        <v>1.133677</v>
      </c>
      <c r="V15">
        <f t="shared" si="13"/>
        <v>1.1947700000000001</v>
      </c>
      <c r="W15">
        <f t="shared" si="13"/>
        <v>1.2111810000000001</v>
      </c>
      <c r="X15">
        <f t="shared" si="13"/>
        <v>1.2752300000000001</v>
      </c>
      <c r="Y15">
        <f t="shared" si="13"/>
        <v>1.2947040000000001</v>
      </c>
      <c r="Z15">
        <f t="shared" si="13"/>
        <v>1.362117</v>
      </c>
    </row>
    <row r="16" spans="1:32">
      <c r="A16" s="2" t="s">
        <v>268</v>
      </c>
      <c r="B16" s="2" t="s">
        <v>18763</v>
      </c>
      <c r="C16">
        <f t="shared" ref="C16:Z16" si="14">J154</f>
        <v>17.48809</v>
      </c>
      <c r="D16">
        <f t="shared" si="14"/>
        <v>18.43477</v>
      </c>
      <c r="E16">
        <f t="shared" si="14"/>
        <v>19.3825</v>
      </c>
      <c r="F16">
        <f t="shared" si="14"/>
        <v>20.330780000000001</v>
      </c>
      <c r="G16">
        <f t="shared" si="14"/>
        <v>21.26595</v>
      </c>
      <c r="H16">
        <f t="shared" si="14"/>
        <v>22.213889999999999</v>
      </c>
      <c r="I16">
        <f t="shared" si="14"/>
        <v>23.160699999999999</v>
      </c>
      <c r="J16">
        <f t="shared" si="14"/>
        <v>24.108640000000001</v>
      </c>
      <c r="K16">
        <f t="shared" si="14"/>
        <v>25.05667</v>
      </c>
      <c r="L16">
        <f t="shared" si="14"/>
        <v>25.451280000000001</v>
      </c>
      <c r="M16">
        <f t="shared" si="14"/>
        <v>25.83381</v>
      </c>
      <c r="N16">
        <f t="shared" si="14"/>
        <v>26.226569999999999</v>
      </c>
      <c r="O16">
        <f t="shared" si="14"/>
        <v>26.622479999999999</v>
      </c>
      <c r="P16">
        <f t="shared" si="14"/>
        <v>27.003720000000001</v>
      </c>
      <c r="Q16">
        <f t="shared" si="14"/>
        <v>27.39799</v>
      </c>
      <c r="R16">
        <f t="shared" si="14"/>
        <v>27.39799</v>
      </c>
      <c r="S16">
        <f t="shared" si="14"/>
        <v>27.39799</v>
      </c>
      <c r="T16">
        <f t="shared" si="14"/>
        <v>27.39799</v>
      </c>
      <c r="U16">
        <f t="shared" si="14"/>
        <v>27.39799</v>
      </c>
      <c r="V16">
        <f t="shared" si="14"/>
        <v>27.39799</v>
      </c>
      <c r="W16">
        <f t="shared" si="14"/>
        <v>27.39799</v>
      </c>
      <c r="X16">
        <f t="shared" si="14"/>
        <v>27.39799</v>
      </c>
      <c r="Y16">
        <f t="shared" si="14"/>
        <v>27.39799</v>
      </c>
      <c r="Z16">
        <f t="shared" si="14"/>
        <v>27.39799</v>
      </c>
    </row>
    <row r="17" spans="1:26">
      <c r="A17" s="2" t="s">
        <v>270</v>
      </c>
      <c r="B17" s="2" t="s">
        <v>18763</v>
      </c>
      <c r="C17">
        <f t="shared" ref="C17:Z17" si="15">SUM(C2:C16)</f>
        <v>57.627386999999999</v>
      </c>
      <c r="D17">
        <f t="shared" si="15"/>
        <v>59.164211000000002</v>
      </c>
      <c r="E17">
        <f t="shared" si="15"/>
        <v>60.752226</v>
      </c>
      <c r="F17">
        <f t="shared" si="15"/>
        <v>62.217807000000008</v>
      </c>
      <c r="G17">
        <f t="shared" si="15"/>
        <v>63.665349000000006</v>
      </c>
      <c r="H17">
        <f t="shared" si="15"/>
        <v>65.157764999999998</v>
      </c>
      <c r="I17">
        <f t="shared" si="15"/>
        <v>66.635755999999986</v>
      </c>
      <c r="J17">
        <f t="shared" si="15"/>
        <v>68.136112999999995</v>
      </c>
      <c r="K17">
        <f t="shared" si="15"/>
        <v>69.254545999999991</v>
      </c>
      <c r="L17">
        <f t="shared" si="15"/>
        <v>69.858137999999997</v>
      </c>
      <c r="M17">
        <f t="shared" si="15"/>
        <v>70.405829999999995</v>
      </c>
      <c r="N17">
        <f t="shared" si="15"/>
        <v>71.009715</v>
      </c>
      <c r="O17">
        <f t="shared" si="15"/>
        <v>71.573943</v>
      </c>
      <c r="P17">
        <f t="shared" si="15"/>
        <v>72.173680999999988</v>
      </c>
      <c r="Q17">
        <f t="shared" si="15"/>
        <v>72.745040000000003</v>
      </c>
      <c r="R17">
        <f t="shared" si="15"/>
        <v>72.956431000000009</v>
      </c>
      <c r="S17">
        <f t="shared" si="15"/>
        <v>73.124021999999997</v>
      </c>
      <c r="T17">
        <f t="shared" si="15"/>
        <v>73.337683999999996</v>
      </c>
      <c r="U17">
        <f t="shared" si="15"/>
        <v>73.507587999999998</v>
      </c>
      <c r="V17">
        <f t="shared" si="15"/>
        <v>73.723693999999995</v>
      </c>
      <c r="W17">
        <f t="shared" si="15"/>
        <v>73.896242000000001</v>
      </c>
      <c r="X17">
        <f t="shared" si="15"/>
        <v>74.114935000000003</v>
      </c>
      <c r="Y17">
        <f t="shared" si="15"/>
        <v>74.290239999999997</v>
      </c>
      <c r="Z17">
        <f t="shared" si="15"/>
        <v>74.511979999999994</v>
      </c>
    </row>
    <row r="19" spans="1:26">
      <c r="A19" s="2"/>
      <c r="B19" s="2" t="s">
        <v>1</v>
      </c>
      <c r="C19" s="400" t="s">
        <v>586</v>
      </c>
      <c r="D19" s="400" t="s">
        <v>587</v>
      </c>
      <c r="E19" s="400" t="s">
        <v>588</v>
      </c>
      <c r="F19" s="400" t="s">
        <v>589</v>
      </c>
      <c r="G19" s="400" t="s">
        <v>590</v>
      </c>
      <c r="H19" s="400" t="s">
        <v>591</v>
      </c>
      <c r="I19" s="400" t="s">
        <v>592</v>
      </c>
      <c r="J19" s="400" t="s">
        <v>593</v>
      </c>
      <c r="K19" s="400" t="s">
        <v>2248</v>
      </c>
      <c r="L19" s="400" t="s">
        <v>2249</v>
      </c>
      <c r="M19" s="400" t="s">
        <v>2250</v>
      </c>
      <c r="N19" s="400" t="s">
        <v>2251</v>
      </c>
      <c r="O19" s="400" t="s">
        <v>2252</v>
      </c>
      <c r="P19" s="400" t="s">
        <v>2253</v>
      </c>
      <c r="Q19" s="400" t="s">
        <v>2254</v>
      </c>
      <c r="R19" s="400" t="s">
        <v>2255</v>
      </c>
      <c r="S19" s="400" t="s">
        <v>2256</v>
      </c>
      <c r="T19" s="400" t="s">
        <v>2257</v>
      </c>
      <c r="U19" s="400" t="s">
        <v>2258</v>
      </c>
      <c r="V19" s="400" t="s">
        <v>2259</v>
      </c>
      <c r="W19" s="400" t="s">
        <v>2260</v>
      </c>
      <c r="X19" s="400" t="s">
        <v>2261</v>
      </c>
      <c r="Y19" s="400" t="s">
        <v>2262</v>
      </c>
      <c r="Z19" s="400" t="s">
        <v>2263</v>
      </c>
    </row>
    <row r="20" spans="1:26">
      <c r="A20" s="95" t="s">
        <v>18762</v>
      </c>
      <c r="B20" s="83" t="s">
        <v>18763</v>
      </c>
      <c r="C20" s="205">
        <f t="shared" ref="C20:Z20" si="16">C2/C$17</f>
        <v>7.0837846595404365E-4</v>
      </c>
      <c r="D20" s="205">
        <f t="shared" si="16"/>
        <v>6.8997793277425772E-4</v>
      </c>
      <c r="E20" s="205">
        <f t="shared" si="16"/>
        <v>6.7194245689038612E-4</v>
      </c>
      <c r="F20" s="205">
        <f t="shared" si="16"/>
        <v>6.5611441431871731E-4</v>
      </c>
      <c r="G20" s="205">
        <f t="shared" si="16"/>
        <v>6.4119651649125484E-4</v>
      </c>
      <c r="H20" s="205">
        <f t="shared" si="16"/>
        <v>6.2651013275240482E-4</v>
      </c>
      <c r="I20" s="205">
        <f t="shared" si="16"/>
        <v>6.1261404462793225E-4</v>
      </c>
      <c r="J20" s="205">
        <f t="shared" si="16"/>
        <v>5.9912428523769764E-4</v>
      </c>
      <c r="K20" s="205">
        <f t="shared" si="16"/>
        <v>5.8944866955015491E-4</v>
      </c>
      <c r="L20" s="205">
        <f t="shared" si="16"/>
        <v>5.8435568380021811E-4</v>
      </c>
      <c r="M20" s="205">
        <f t="shared" si="16"/>
        <v>5.7980993903487821E-4</v>
      </c>
      <c r="N20" s="205">
        <f t="shared" si="16"/>
        <v>5.7487908520686211E-4</v>
      </c>
      <c r="O20" s="205">
        <f t="shared" si="16"/>
        <v>5.7034722818051248E-4</v>
      </c>
      <c r="P20" s="205">
        <f t="shared" si="16"/>
        <v>5.6560784255967219E-4</v>
      </c>
      <c r="Q20" s="205">
        <f t="shared" si="16"/>
        <v>5.6116540729099875E-4</v>
      </c>
      <c r="R20" s="205">
        <f t="shared" si="16"/>
        <v>5.5953943251418089E-4</v>
      </c>
      <c r="S20" s="205">
        <f t="shared" si="16"/>
        <v>5.582570389796119E-4</v>
      </c>
      <c r="T20" s="205">
        <f t="shared" si="16"/>
        <v>5.5663061298745129E-4</v>
      </c>
      <c r="U20" s="205">
        <f t="shared" si="16"/>
        <v>5.5534402788457696E-4</v>
      </c>
      <c r="V20" s="205">
        <f t="shared" si="16"/>
        <v>5.5371614992596541E-4</v>
      </c>
      <c r="W20" s="205">
        <f t="shared" si="16"/>
        <v>5.5242322065579465E-4</v>
      </c>
      <c r="X20" s="205">
        <f t="shared" si="16"/>
        <v>5.5079317009452944E-4</v>
      </c>
      <c r="Y20" s="205">
        <f t="shared" si="16"/>
        <v>5.494934462454287E-4</v>
      </c>
      <c r="Z20" s="395">
        <f t="shared" si="16"/>
        <v>5.4785821018311421E-4</v>
      </c>
    </row>
    <row r="21" spans="1:26">
      <c r="A21" s="53" t="s">
        <v>251</v>
      </c>
      <c r="B21" s="2" t="s">
        <v>18763</v>
      </c>
      <c r="C21" s="27">
        <f t="shared" ref="C21:Z21" si="17">C3/C$17</f>
        <v>1.4264051222728527E-5</v>
      </c>
      <c r="D21" s="27">
        <f t="shared" si="17"/>
        <v>1.3893534386861002E-5</v>
      </c>
      <c r="E21" s="27">
        <f t="shared" si="17"/>
        <v>1.3530368418105372E-5</v>
      </c>
      <c r="F21" s="27">
        <f t="shared" si="17"/>
        <v>1.3211651770368568E-5</v>
      </c>
      <c r="G21" s="27">
        <f t="shared" si="17"/>
        <v>1.2911261980202133E-5</v>
      </c>
      <c r="H21" s="27">
        <f t="shared" si="17"/>
        <v>1.2615534004274089E-5</v>
      </c>
      <c r="I21" s="27">
        <f t="shared" si="17"/>
        <v>1.2335719579740345E-5</v>
      </c>
      <c r="J21" s="27">
        <f t="shared" si="17"/>
        <v>1.2064087072298946E-5</v>
      </c>
      <c r="K21" s="27">
        <f t="shared" si="17"/>
        <v>1.186925692935739E-5</v>
      </c>
      <c r="L21" s="27">
        <f t="shared" si="17"/>
        <v>1.1766703544259941E-5</v>
      </c>
      <c r="M21" s="27">
        <f t="shared" si="17"/>
        <v>1.1675169513661015E-5</v>
      </c>
      <c r="N21" s="27">
        <f t="shared" si="17"/>
        <v>1.1575880849542912E-5</v>
      </c>
      <c r="O21" s="27">
        <f t="shared" si="17"/>
        <v>1.1484626465248674E-5</v>
      </c>
      <c r="P21" s="27">
        <f t="shared" si="17"/>
        <v>1.1389193243448401E-5</v>
      </c>
      <c r="Q21" s="27">
        <f t="shared" si="17"/>
        <v>1.1299739473646588E-5</v>
      </c>
      <c r="R21" s="27">
        <f t="shared" si="17"/>
        <v>1.1266998518609002E-5</v>
      </c>
      <c r="S21" s="27">
        <f t="shared" si="17"/>
        <v>1.1241175984548553E-5</v>
      </c>
      <c r="T21" s="27">
        <f t="shared" si="17"/>
        <v>1.1208425943748102E-5</v>
      </c>
      <c r="U21" s="27">
        <f t="shared" si="17"/>
        <v>1.1182519007425466E-5</v>
      </c>
      <c r="V21" s="27">
        <f t="shared" si="17"/>
        <v>1.1149739729536614E-5</v>
      </c>
      <c r="W21" s="27">
        <f t="shared" si="17"/>
        <v>1.1123705045785685E-5</v>
      </c>
      <c r="X21" s="27">
        <f t="shared" si="17"/>
        <v>1.109088201993296E-5</v>
      </c>
      <c r="Y21" s="27">
        <f t="shared" si="17"/>
        <v>1.1064710519174525E-5</v>
      </c>
      <c r="Z21" s="396">
        <f t="shared" si="17"/>
        <v>1.103178307703003E-5</v>
      </c>
    </row>
    <row r="22" spans="1:26">
      <c r="A22" s="53" t="s">
        <v>253</v>
      </c>
      <c r="B22" s="2" t="s">
        <v>18763</v>
      </c>
      <c r="C22" s="27">
        <f t="shared" ref="C22:Z22" si="18">C4/C$17</f>
        <v>4.4083032950982147E-3</v>
      </c>
      <c r="D22" s="27">
        <f t="shared" si="18"/>
        <v>4.3507552226125347E-3</v>
      </c>
      <c r="E22" s="27">
        <f t="shared" si="18"/>
        <v>4.2925176107950352E-3</v>
      </c>
      <c r="F22" s="27">
        <f t="shared" si="18"/>
        <v>4.2455851907477228E-3</v>
      </c>
      <c r="G22" s="27">
        <f t="shared" si="18"/>
        <v>4.2019874893012834E-3</v>
      </c>
      <c r="H22" s="27">
        <f t="shared" si="18"/>
        <v>4.1574783911019668E-3</v>
      </c>
      <c r="I22" s="27">
        <f t="shared" si="18"/>
        <v>4.1158383496091803E-3</v>
      </c>
      <c r="J22" s="27">
        <f t="shared" si="18"/>
        <v>4.0746820999313545E-3</v>
      </c>
      <c r="K22" s="27">
        <f t="shared" si="18"/>
        <v>4.0575386921170497E-3</v>
      </c>
      <c r="L22" s="27">
        <f t="shared" si="18"/>
        <v>4.0707354667826965E-3</v>
      </c>
      <c r="M22" s="27">
        <f t="shared" si="18"/>
        <v>4.0869484813970663E-3</v>
      </c>
      <c r="N22" s="27">
        <f t="shared" si="18"/>
        <v>4.0996503084120249E-3</v>
      </c>
      <c r="O22" s="27">
        <f t="shared" si="18"/>
        <v>4.1144303032180302E-3</v>
      </c>
      <c r="P22" s="27">
        <f t="shared" si="18"/>
        <v>4.1269337502683294E-3</v>
      </c>
      <c r="Q22" s="27">
        <f t="shared" si="18"/>
        <v>4.1408596379904393E-3</v>
      </c>
      <c r="R22" s="27">
        <f t="shared" si="18"/>
        <v>4.1750671712545801E-3</v>
      </c>
      <c r="S22" s="27">
        <f t="shared" si="18"/>
        <v>4.2115845323715921E-3</v>
      </c>
      <c r="T22" s="27">
        <f t="shared" si="18"/>
        <v>4.2452799572999878E-3</v>
      </c>
      <c r="U22" s="27">
        <f t="shared" si="18"/>
        <v>4.2813131074304874E-3</v>
      </c>
      <c r="V22" s="27">
        <f t="shared" si="18"/>
        <v>4.314488093882002E-3</v>
      </c>
      <c r="W22" s="27">
        <f t="shared" si="18"/>
        <v>4.3500317648088246E-3</v>
      </c>
      <c r="X22" s="27">
        <f t="shared" si="18"/>
        <v>4.3826659228669634E-3</v>
      </c>
      <c r="Y22" s="27">
        <f t="shared" si="18"/>
        <v>4.4177000908867704E-3</v>
      </c>
      <c r="Z22" s="396">
        <f t="shared" si="18"/>
        <v>4.4497810956036872E-3</v>
      </c>
    </row>
    <row r="23" spans="1:26">
      <c r="A23" s="53" t="s">
        <v>255</v>
      </c>
      <c r="B23" s="2" t="s">
        <v>18763</v>
      </c>
      <c r="C23" s="27">
        <f t="shared" ref="C23:Z23" si="19">C5/C$17</f>
        <v>5.3800738874382768E-2</v>
      </c>
      <c r="D23" s="27">
        <f t="shared" si="19"/>
        <v>5.2500657872374908E-2</v>
      </c>
      <c r="E23" s="27">
        <f t="shared" si="19"/>
        <v>5.1220592312123676E-2</v>
      </c>
      <c r="F23" s="27">
        <f t="shared" si="19"/>
        <v>5.0099435359397988E-2</v>
      </c>
      <c r="G23" s="27">
        <f t="shared" si="19"/>
        <v>4.9042847467937377E-2</v>
      </c>
      <c r="H23" s="27">
        <f t="shared" si="19"/>
        <v>4.7999129497458978E-2</v>
      </c>
      <c r="I23" s="27">
        <f t="shared" si="19"/>
        <v>4.7009446399917797E-2</v>
      </c>
      <c r="J23" s="27">
        <f t="shared" si="19"/>
        <v>4.6045611671449473E-2</v>
      </c>
      <c r="K23" s="27">
        <f t="shared" si="19"/>
        <v>4.5370292370409883E-2</v>
      </c>
      <c r="L23" s="27">
        <f t="shared" si="19"/>
        <v>4.5042468781518345E-2</v>
      </c>
      <c r="M23" s="27">
        <f t="shared" si="19"/>
        <v>4.4755469824018838E-2</v>
      </c>
      <c r="N23" s="27">
        <f t="shared" si="19"/>
        <v>4.4435300155760374E-2</v>
      </c>
      <c r="O23" s="27">
        <f t="shared" si="19"/>
        <v>4.4143075923594149E-2</v>
      </c>
      <c r="P23" s="27">
        <f t="shared" si="19"/>
        <v>4.3833055986156513E-2</v>
      </c>
      <c r="Q23" s="27">
        <f t="shared" si="19"/>
        <v>4.3543216142296434E-2</v>
      </c>
      <c r="R23" s="27">
        <f t="shared" si="19"/>
        <v>4.3469382431824272E-2</v>
      </c>
      <c r="S23" s="27">
        <f t="shared" si="19"/>
        <v>4.3419315748250281E-2</v>
      </c>
      <c r="T23" s="27">
        <f t="shared" si="19"/>
        <v>4.3341387764576807E-2</v>
      </c>
      <c r="U23" s="27">
        <f t="shared" si="19"/>
        <v>4.3286184278009503E-2</v>
      </c>
      <c r="V23" s="27">
        <f t="shared" si="19"/>
        <v>4.3203586624403281E-2</v>
      </c>
      <c r="W23" s="27">
        <f t="shared" si="19"/>
        <v>4.3145062775993399E-2</v>
      </c>
      <c r="X23" s="27">
        <f t="shared" si="19"/>
        <v>4.3056827884960028E-2</v>
      </c>
      <c r="Y23" s="27">
        <f t="shared" si="19"/>
        <v>4.299321149049997E-2</v>
      </c>
      <c r="Z23" s="396">
        <f t="shared" si="19"/>
        <v>4.2899933675094939E-2</v>
      </c>
    </row>
    <row r="24" spans="1:26">
      <c r="A24" s="53" t="s">
        <v>256</v>
      </c>
      <c r="B24" s="2" t="s">
        <v>18763</v>
      </c>
      <c r="C24" s="27">
        <f t="shared" ref="C24:Z24" si="20">C6/C$17</f>
        <v>2.8977541528995578E-4</v>
      </c>
      <c r="D24" s="27">
        <f t="shared" si="20"/>
        <v>2.8243425742633494E-4</v>
      </c>
      <c r="E24" s="27">
        <f t="shared" si="20"/>
        <v>2.7523271328362518E-4</v>
      </c>
      <c r="F24" s="27">
        <f t="shared" si="20"/>
        <v>2.6892622557397433E-4</v>
      </c>
      <c r="G24" s="27">
        <f t="shared" si="20"/>
        <v>2.6296879327560111E-4</v>
      </c>
      <c r="H24" s="27">
        <f t="shared" si="20"/>
        <v>2.5711440532068589E-4</v>
      </c>
      <c r="I24" s="27">
        <f t="shared" si="20"/>
        <v>2.5157664602769726E-4</v>
      </c>
      <c r="J24" s="27">
        <f t="shared" si="20"/>
        <v>2.4619837060561411E-4</v>
      </c>
      <c r="K24" s="27">
        <f t="shared" si="20"/>
        <v>2.423667610210022E-4</v>
      </c>
      <c r="L24" s="27">
        <f t="shared" si="20"/>
        <v>2.4043011280947682E-4</v>
      </c>
      <c r="M24" s="27">
        <f t="shared" si="20"/>
        <v>2.3871602678357745E-4</v>
      </c>
      <c r="N24" s="27">
        <f t="shared" si="20"/>
        <v>2.3684083227203489E-4</v>
      </c>
      <c r="O24" s="27">
        <f t="shared" si="20"/>
        <v>2.3511349654161152E-4</v>
      </c>
      <c r="P24" s="27">
        <f t="shared" si="20"/>
        <v>2.3331219589589733E-4</v>
      </c>
      <c r="Q24" s="27">
        <f t="shared" si="20"/>
        <v>2.3163091256805961E-4</v>
      </c>
      <c r="R24" s="27">
        <f t="shared" si="20"/>
        <v>2.3109683092913355E-4</v>
      </c>
      <c r="S24" s="27">
        <f t="shared" si="20"/>
        <v>2.3071761561474288E-4</v>
      </c>
      <c r="T24" s="27">
        <f t="shared" si="20"/>
        <v>2.3019543404179498E-4</v>
      </c>
      <c r="U24" s="27">
        <f t="shared" si="20"/>
        <v>2.2981300923654303E-4</v>
      </c>
      <c r="V24" s="27">
        <f t="shared" si="20"/>
        <v>2.2927500078875594E-4</v>
      </c>
      <c r="W24" s="27">
        <f t="shared" si="20"/>
        <v>2.2888850017569227E-4</v>
      </c>
      <c r="X24" s="27">
        <f t="shared" si="20"/>
        <v>2.2836153064156365E-4</v>
      </c>
      <c r="Y24" s="27">
        <f t="shared" si="20"/>
        <v>2.2797072670649603E-4</v>
      </c>
      <c r="Z24" s="396">
        <f t="shared" si="20"/>
        <v>2.2742651584349257E-4</v>
      </c>
    </row>
    <row r="25" spans="1:26">
      <c r="A25" s="53" t="s">
        <v>18764</v>
      </c>
      <c r="B25" s="2" t="s">
        <v>18763</v>
      </c>
      <c r="C25" s="27">
        <f t="shared" ref="C25:Z25" si="21">C7/C$17</f>
        <v>9.4255011076591066E-3</v>
      </c>
      <c r="D25" s="27">
        <f t="shared" si="21"/>
        <v>9.286323449830167E-3</v>
      </c>
      <c r="E25" s="27">
        <f t="shared" si="21"/>
        <v>9.146463209430385E-3</v>
      </c>
      <c r="F25" s="27">
        <f t="shared" si="21"/>
        <v>9.0314980082792044E-3</v>
      </c>
      <c r="G25" s="27">
        <f t="shared" si="21"/>
        <v>8.9243522406513461E-3</v>
      </c>
      <c r="H25" s="27">
        <f t="shared" si="21"/>
        <v>8.8158947747824078E-3</v>
      </c>
      <c r="I25" s="27">
        <f t="shared" si="21"/>
        <v>8.7141804168920974E-3</v>
      </c>
      <c r="J25" s="27">
        <f t="shared" si="21"/>
        <v>8.6140516997205291E-3</v>
      </c>
      <c r="K25" s="27">
        <f t="shared" si="21"/>
        <v>8.5652427784307476E-3</v>
      </c>
      <c r="L25" s="27">
        <f t="shared" si="21"/>
        <v>8.5807755139422695E-3</v>
      </c>
      <c r="M25" s="27">
        <f t="shared" si="21"/>
        <v>8.6028529171518903E-3</v>
      </c>
      <c r="N25" s="27">
        <f t="shared" si="21"/>
        <v>8.6177785673411025E-3</v>
      </c>
      <c r="O25" s="27">
        <f t="shared" si="21"/>
        <v>8.637235481074446E-3</v>
      </c>
      <c r="P25" s="27">
        <f t="shared" si="21"/>
        <v>8.6521151664690644E-3</v>
      </c>
      <c r="Q25" s="27">
        <f t="shared" si="21"/>
        <v>8.6701443837270548E-3</v>
      </c>
      <c r="R25" s="27">
        <f t="shared" si="21"/>
        <v>8.7307450661888858E-3</v>
      </c>
      <c r="S25" s="27">
        <f t="shared" si="21"/>
        <v>8.7962749094955411E-3</v>
      </c>
      <c r="T25" s="27">
        <f t="shared" si="21"/>
        <v>8.855924602145876E-3</v>
      </c>
      <c r="U25" s="27">
        <f t="shared" si="21"/>
        <v>8.9205484473249205E-3</v>
      </c>
      <c r="V25" s="27">
        <f t="shared" si="21"/>
        <v>8.979243498026564E-3</v>
      </c>
      <c r="W25" s="27">
        <f t="shared" si="21"/>
        <v>9.0429091103171391E-3</v>
      </c>
      <c r="X25" s="27">
        <f t="shared" si="21"/>
        <v>9.10062189220027E-3</v>
      </c>
      <c r="Y25" s="27">
        <f t="shared" si="21"/>
        <v>9.1633302032676153E-3</v>
      </c>
      <c r="Z25" s="396">
        <f t="shared" si="21"/>
        <v>9.2200073062076726E-3</v>
      </c>
    </row>
    <row r="26" spans="1:26">
      <c r="A26" s="53" t="s">
        <v>258</v>
      </c>
      <c r="B26" s="2" t="s">
        <v>18763</v>
      </c>
      <c r="C26" s="27">
        <f t="shared" ref="C26:Z26" si="22">C8/C$17</f>
        <v>7.0018791586021418E-4</v>
      </c>
      <c r="D26" s="27">
        <f t="shared" si="22"/>
        <v>6.8205084320316551E-4</v>
      </c>
      <c r="E26" s="27">
        <f t="shared" si="22"/>
        <v>6.6427195605968414E-4</v>
      </c>
      <c r="F26" s="27">
        <f t="shared" si="22"/>
        <v>6.4868888741128391E-4</v>
      </c>
      <c r="G26" s="27">
        <f t="shared" si="22"/>
        <v>6.339869431957406E-4</v>
      </c>
      <c r="H26" s="27">
        <f t="shared" si="22"/>
        <v>6.1951173432667618E-4</v>
      </c>
      <c r="I26" s="27">
        <f t="shared" si="22"/>
        <v>6.0581589259676159E-4</v>
      </c>
      <c r="J26" s="27">
        <f t="shared" si="22"/>
        <v>5.9250518150338275E-4</v>
      </c>
      <c r="K26" s="27">
        <f t="shared" si="22"/>
        <v>5.8297978012880202E-4</v>
      </c>
      <c r="L26" s="27">
        <f t="shared" si="22"/>
        <v>5.7797131667036423E-4</v>
      </c>
      <c r="M26" s="27">
        <f t="shared" si="22"/>
        <v>5.7350364309319269E-4</v>
      </c>
      <c r="N26" s="27">
        <f t="shared" si="22"/>
        <v>5.6865458479871383E-4</v>
      </c>
      <c r="O26" s="27">
        <f t="shared" si="22"/>
        <v>5.6419973956164471E-4</v>
      </c>
      <c r="P26" s="27">
        <f t="shared" si="22"/>
        <v>5.5953914834965966E-4</v>
      </c>
      <c r="Q26" s="27">
        <f t="shared" si="22"/>
        <v>5.5515812487009412E-4</v>
      </c>
      <c r="R26" s="27">
        <f t="shared" si="22"/>
        <v>5.5356326298362909E-4</v>
      </c>
      <c r="S26" s="27">
        <f t="shared" si="22"/>
        <v>5.523082414695406E-4</v>
      </c>
      <c r="T26" s="27">
        <f t="shared" si="22"/>
        <v>5.507127822580272E-4</v>
      </c>
      <c r="U26" s="27">
        <f t="shared" si="22"/>
        <v>5.4943987551325996E-4</v>
      </c>
      <c r="V26" s="27">
        <f t="shared" si="22"/>
        <v>5.4784286853558914E-4</v>
      </c>
      <c r="W26" s="27">
        <f t="shared" si="22"/>
        <v>5.4656365339931633E-4</v>
      </c>
      <c r="X26" s="27">
        <f t="shared" si="22"/>
        <v>5.4495089282612205E-4</v>
      </c>
      <c r="Y26" s="27">
        <f t="shared" si="22"/>
        <v>5.4366495518119208E-4</v>
      </c>
      <c r="Z26" s="396">
        <f t="shared" si="22"/>
        <v>5.420470641096909E-4</v>
      </c>
    </row>
    <row r="27" spans="1:26">
      <c r="A27" s="53" t="s">
        <v>18765</v>
      </c>
      <c r="B27" s="2" t="s">
        <v>18763</v>
      </c>
      <c r="C27" s="27">
        <f t="shared" ref="C27:Z27" si="23">C9/C$17</f>
        <v>2.8528102445457054E-5</v>
      </c>
      <c r="D27" s="27">
        <f t="shared" si="23"/>
        <v>2.7618047674125155E-5</v>
      </c>
      <c r="E27" s="27">
        <f t="shared" si="23"/>
        <v>2.6747991094186409E-5</v>
      </c>
      <c r="F27" s="27">
        <f t="shared" si="23"/>
        <v>2.5989344176017E-5</v>
      </c>
      <c r="G27" s="27">
        <f t="shared" si="23"/>
        <v>2.5272774362707096E-5</v>
      </c>
      <c r="H27" s="27">
        <f t="shared" si="23"/>
        <v>2.4571131314893935E-5</v>
      </c>
      <c r="I27" s="27">
        <f t="shared" si="23"/>
        <v>2.3906084295044246E-5</v>
      </c>
      <c r="J27" s="27">
        <f t="shared" si="23"/>
        <v>2.3262260352303927E-5</v>
      </c>
      <c r="K27" s="27">
        <f t="shared" si="23"/>
        <v>2.2814386798521505E-5</v>
      </c>
      <c r="L27" s="27">
        <f t="shared" si="23"/>
        <v>2.2545691097578353E-5</v>
      </c>
      <c r="M27" s="27">
        <f t="shared" si="23"/>
        <v>2.2285086334469749E-5</v>
      </c>
      <c r="N27" s="27">
        <f t="shared" si="23"/>
        <v>2.2025155290371186E-5</v>
      </c>
      <c r="O27" s="27">
        <f t="shared" si="23"/>
        <v>2.1781669901852412E-5</v>
      </c>
      <c r="P27" s="27">
        <f t="shared" si="23"/>
        <v>2.1531394525935295E-5</v>
      </c>
      <c r="Q27" s="27">
        <f t="shared" si="23"/>
        <v>2.1279801344531527E-5</v>
      </c>
      <c r="R27" s="27">
        <f t="shared" si="23"/>
        <v>2.1149609141379187E-5</v>
      </c>
      <c r="S27" s="27">
        <f t="shared" si="23"/>
        <v>2.103275993216019E-5</v>
      </c>
      <c r="T27" s="27">
        <f t="shared" si="23"/>
        <v>2.0889669763773833E-5</v>
      </c>
      <c r="U27" s="27">
        <f t="shared" si="23"/>
        <v>2.0773365601385262E-5</v>
      </c>
      <c r="V27" s="27">
        <f t="shared" si="23"/>
        <v>2.0644651907974117E-5</v>
      </c>
      <c r="W27" s="27">
        <f t="shared" si="23"/>
        <v>2.0528784129509588E-5</v>
      </c>
      <c r="X27" s="27">
        <f t="shared" si="23"/>
        <v>2.0387253932017886E-5</v>
      </c>
      <c r="Y27" s="27">
        <f t="shared" si="23"/>
        <v>2.0271841900093473E-5</v>
      </c>
      <c r="Z27" s="396">
        <f t="shared" si="23"/>
        <v>2.0144411677155807E-5</v>
      </c>
    </row>
    <row r="28" spans="1:26">
      <c r="A28" s="53" t="s">
        <v>260</v>
      </c>
      <c r="B28" s="2" t="s">
        <v>18763</v>
      </c>
      <c r="C28" s="27">
        <f t="shared" ref="C28:Z28" si="24">C10/C$17</f>
        <v>4.5793834101830785E-2</v>
      </c>
      <c r="D28" s="27">
        <f t="shared" si="24"/>
        <v>4.5219211999632677E-2</v>
      </c>
      <c r="E28" s="27">
        <f t="shared" si="24"/>
        <v>4.4624587089203943E-2</v>
      </c>
      <c r="F28" s="27">
        <f t="shared" si="24"/>
        <v>4.4135660390601669E-2</v>
      </c>
      <c r="G28" s="27">
        <f t="shared" si="24"/>
        <v>4.3705265795370096E-2</v>
      </c>
      <c r="H28" s="27">
        <f t="shared" si="24"/>
        <v>4.3289821251542314E-2</v>
      </c>
      <c r="I28" s="27">
        <f t="shared" si="24"/>
        <v>4.2915923397042283E-2</v>
      </c>
      <c r="J28" s="27">
        <f t="shared" si="24"/>
        <v>4.2566957114210498E-2</v>
      </c>
      <c r="K28" s="27">
        <f t="shared" si="24"/>
        <v>4.2466612949856028E-2</v>
      </c>
      <c r="L28" s="27">
        <f t="shared" si="24"/>
        <v>4.2675557713834286E-2</v>
      </c>
      <c r="M28" s="27">
        <f t="shared" si="24"/>
        <v>4.2917141946909799E-2</v>
      </c>
      <c r="N28" s="27">
        <f t="shared" si="24"/>
        <v>4.3124042956657407E-2</v>
      </c>
      <c r="O28" s="27">
        <f t="shared" si="24"/>
        <v>4.3368967390828253E-2</v>
      </c>
      <c r="P28" s="27">
        <f t="shared" si="24"/>
        <v>4.3588603995409363E-2</v>
      </c>
      <c r="Q28" s="27">
        <f t="shared" si="24"/>
        <v>4.3821709356404233E-2</v>
      </c>
      <c r="R28" s="27">
        <f t="shared" si="24"/>
        <v>4.4268530624805368E-2</v>
      </c>
      <c r="S28" s="27">
        <f t="shared" si="24"/>
        <v>4.4739565884382014E-2</v>
      </c>
      <c r="T28" s="27">
        <f t="shared" si="24"/>
        <v>4.5180019592655801E-2</v>
      </c>
      <c r="U28" s="27">
        <f t="shared" si="24"/>
        <v>4.5645097210916516E-2</v>
      </c>
      <c r="V28" s="27">
        <f t="shared" si="24"/>
        <v>4.6079107213482823E-2</v>
      </c>
      <c r="W28" s="27">
        <f t="shared" si="24"/>
        <v>4.6538009334764277E-2</v>
      </c>
      <c r="X28" s="27">
        <f t="shared" si="24"/>
        <v>4.6965527258439874E-2</v>
      </c>
      <c r="Y28" s="27">
        <f t="shared" si="24"/>
        <v>4.7418193830037432E-2</v>
      </c>
      <c r="Z28" s="396">
        <f t="shared" si="24"/>
        <v>4.7838884431738359E-2</v>
      </c>
    </row>
    <row r="29" spans="1:26">
      <c r="A29" s="53" t="s">
        <v>261</v>
      </c>
      <c r="B29" s="2" t="s">
        <v>18763</v>
      </c>
      <c r="C29" s="27">
        <f t="shared" ref="C29:Z29" si="25">C11/C$17</f>
        <v>7.1597311882282633E-2</v>
      </c>
      <c r="D29" s="27">
        <f t="shared" si="25"/>
        <v>7.0887584387798228E-2</v>
      </c>
      <c r="E29" s="27">
        <f t="shared" si="25"/>
        <v>7.0138104898411463E-2</v>
      </c>
      <c r="F29" s="27">
        <f t="shared" si="25"/>
        <v>6.9377372944051205E-2</v>
      </c>
      <c r="G29" s="27">
        <f t="shared" si="25"/>
        <v>6.8650766369002386E-2</v>
      </c>
      <c r="H29" s="27">
        <f t="shared" si="25"/>
        <v>6.7932993097599342E-2</v>
      </c>
      <c r="I29" s="27">
        <f t="shared" si="25"/>
        <v>6.7239111086246264E-2</v>
      </c>
      <c r="J29" s="27">
        <f t="shared" si="25"/>
        <v>6.6572479706906676E-2</v>
      </c>
      <c r="K29" s="27">
        <f t="shared" si="25"/>
        <v>6.6301625888934429E-2</v>
      </c>
      <c r="L29" s="27">
        <f t="shared" si="25"/>
        <v>6.6414753281858169E-2</v>
      </c>
      <c r="M29" s="27">
        <f t="shared" si="25"/>
        <v>6.6596686666430899E-2</v>
      </c>
      <c r="N29" s="27">
        <f t="shared" si="25"/>
        <v>6.6705661330988306E-2</v>
      </c>
      <c r="O29" s="27">
        <f t="shared" si="25"/>
        <v>6.6867002143503537E-2</v>
      </c>
      <c r="P29" s="27">
        <f t="shared" si="25"/>
        <v>6.704528483173805E-2</v>
      </c>
      <c r="Q29" s="27">
        <f t="shared" si="25"/>
        <v>6.7267747739227307E-2</v>
      </c>
      <c r="R29" s="27">
        <f t="shared" si="25"/>
        <v>6.7643317146366427E-2</v>
      </c>
      <c r="S29" s="27">
        <f t="shared" si="25"/>
        <v>6.8074729259284997E-2</v>
      </c>
      <c r="T29" s="27">
        <f t="shared" si="25"/>
        <v>6.8443925772185554E-2</v>
      </c>
      <c r="U29" s="27">
        <f t="shared" si="25"/>
        <v>6.8869094167530037E-2</v>
      </c>
      <c r="V29" s="27">
        <f t="shared" si="25"/>
        <v>6.9231772352589926E-2</v>
      </c>
      <c r="W29" s="27">
        <f t="shared" si="25"/>
        <v>6.9650416052280437E-2</v>
      </c>
      <c r="X29" s="27">
        <f t="shared" si="25"/>
        <v>7.000647035580615E-2</v>
      </c>
      <c r="Y29" s="27">
        <f t="shared" si="25"/>
        <v>7.0418509887705302E-2</v>
      </c>
      <c r="Z29" s="396">
        <f t="shared" si="25"/>
        <v>7.0767519531758527E-2</v>
      </c>
    </row>
    <row r="30" spans="1:26">
      <c r="A30" s="53" t="s">
        <v>262</v>
      </c>
      <c r="B30" s="2" t="s">
        <v>18763</v>
      </c>
      <c r="C30" s="27">
        <f t="shared" ref="C30:Z30" si="26">C12/C$17</f>
        <v>0.13969850828044658</v>
      </c>
      <c r="D30" s="27">
        <f t="shared" si="26"/>
        <v>0.13714162435124841</v>
      </c>
      <c r="E30" s="27">
        <f t="shared" si="26"/>
        <v>0.13460458222551386</v>
      </c>
      <c r="F30" s="27">
        <f t="shared" si="26"/>
        <v>0.13245124502700648</v>
      </c>
      <c r="G30" s="27">
        <f t="shared" si="26"/>
        <v>0.13043787759649286</v>
      </c>
      <c r="H30" s="27">
        <f t="shared" si="26"/>
        <v>0.12845396093619849</v>
      </c>
      <c r="I30" s="27">
        <f t="shared" si="26"/>
        <v>0.12655687436036595</v>
      </c>
      <c r="J30" s="27">
        <f t="shared" si="26"/>
        <v>0.12470042134631308</v>
      </c>
      <c r="K30" s="27">
        <f t="shared" si="26"/>
        <v>0.12350507647541291</v>
      </c>
      <c r="L30" s="27">
        <f t="shared" si="26"/>
        <v>0.12324877596937955</v>
      </c>
      <c r="M30" s="27">
        <f t="shared" si="26"/>
        <v>0.12309386878899091</v>
      </c>
      <c r="N30" s="27">
        <f t="shared" si="26"/>
        <v>0.12284344473147089</v>
      </c>
      <c r="O30" s="27">
        <f t="shared" si="26"/>
        <v>0.12266454287700763</v>
      </c>
      <c r="P30" s="27">
        <f t="shared" si="26"/>
        <v>0.12241699297559733</v>
      </c>
      <c r="Q30" s="27">
        <f t="shared" si="26"/>
        <v>0.12225162017919021</v>
      </c>
      <c r="R30" s="27">
        <f t="shared" si="26"/>
        <v>0.12269122649379599</v>
      </c>
      <c r="S30" s="27">
        <f t="shared" si="26"/>
        <v>0.12320203065416727</v>
      </c>
      <c r="T30" s="27">
        <f t="shared" si="26"/>
        <v>0.1236327970215149</v>
      </c>
      <c r="U30" s="27">
        <f t="shared" si="26"/>
        <v>0.12413489883520597</v>
      </c>
      <c r="V30" s="27">
        <f t="shared" si="26"/>
        <v>0.12455659099230704</v>
      </c>
      <c r="W30" s="27">
        <f t="shared" si="26"/>
        <v>0.12504947139260478</v>
      </c>
      <c r="X30" s="27">
        <f t="shared" si="26"/>
        <v>0.12546190588981829</v>
      </c>
      <c r="Y30" s="27">
        <f t="shared" si="26"/>
        <v>0.12594541355634334</v>
      </c>
      <c r="Z30" s="396">
        <f t="shared" si="26"/>
        <v>0.12634787050350829</v>
      </c>
    </row>
    <row r="31" spans="1:26">
      <c r="A31" s="53" t="s">
        <v>18766</v>
      </c>
      <c r="B31" s="2" t="s">
        <v>18763</v>
      </c>
      <c r="C31" s="27">
        <f t="shared" ref="C31:Z31" si="27">C13/C$17</f>
        <v>0.28022110389978289</v>
      </c>
      <c r="D31" s="27">
        <f t="shared" si="27"/>
        <v>0.27927897153906095</v>
      </c>
      <c r="E31" s="27">
        <f t="shared" si="27"/>
        <v>0.27863933742938074</v>
      </c>
      <c r="F31" s="27">
        <f t="shared" si="27"/>
        <v>0.27766166686010002</v>
      </c>
      <c r="G31" s="27">
        <f t="shared" si="27"/>
        <v>0.27667310831830982</v>
      </c>
      <c r="H31" s="27">
        <f t="shared" si="27"/>
        <v>0.27532773722364479</v>
      </c>
      <c r="I31" s="27">
        <f t="shared" si="27"/>
        <v>0.27462328183085377</v>
      </c>
      <c r="J31" s="27">
        <f t="shared" si="27"/>
        <v>0.27344251351702437</v>
      </c>
      <c r="K31" s="27">
        <f t="shared" si="27"/>
        <v>0.2690265271538998</v>
      </c>
      <c r="L31" s="27">
        <f t="shared" si="27"/>
        <v>0.2667020698433159</v>
      </c>
      <c r="M31" s="27">
        <f t="shared" si="27"/>
        <v>0.26462737531820874</v>
      </c>
      <c r="N31" s="27">
        <f t="shared" si="27"/>
        <v>0.26237691560936416</v>
      </c>
      <c r="O31" s="27">
        <f t="shared" si="27"/>
        <v>0.26030855949909032</v>
      </c>
      <c r="P31" s="27">
        <f t="shared" si="27"/>
        <v>0.25814548657979636</v>
      </c>
      <c r="Q31" s="27">
        <f t="shared" si="27"/>
        <v>0.25611794288655282</v>
      </c>
      <c r="R31" s="27">
        <f t="shared" si="27"/>
        <v>0.25537584205565095</v>
      </c>
      <c r="S31" s="27">
        <f t="shared" si="27"/>
        <v>0.25479055295946385</v>
      </c>
      <c r="T31" s="27">
        <f t="shared" si="27"/>
        <v>0.25404824619223043</v>
      </c>
      <c r="U31" s="27">
        <f t="shared" si="27"/>
        <v>0.25346104404894904</v>
      </c>
      <c r="V31" s="27">
        <f t="shared" si="27"/>
        <v>0.25271807459892065</v>
      </c>
      <c r="W31" s="27">
        <f t="shared" si="27"/>
        <v>0.2521279769544979</v>
      </c>
      <c r="X31" s="27">
        <f t="shared" si="27"/>
        <v>0.25138401592067777</v>
      </c>
      <c r="Y31" s="27">
        <f t="shared" si="27"/>
        <v>0.25079081720559793</v>
      </c>
      <c r="Z31" s="396">
        <f t="shared" si="27"/>
        <v>0.2500444894901464</v>
      </c>
    </row>
    <row r="32" spans="1:26">
      <c r="A32" s="53" t="s">
        <v>265</v>
      </c>
      <c r="B32" s="2" t="s">
        <v>18763</v>
      </c>
      <c r="C32" s="27">
        <f t="shared" ref="C32:Z32" si="28">C14/C$17</f>
        <v>7.8903247860257833E-2</v>
      </c>
      <c r="D32" s="27">
        <f t="shared" si="28"/>
        <v>7.6831988852179567E-2</v>
      </c>
      <c r="E32" s="27">
        <f t="shared" si="28"/>
        <v>7.4802559497984478E-2</v>
      </c>
      <c r="F32" s="27">
        <f t="shared" si="28"/>
        <v>7.3030941125906274E-2</v>
      </c>
      <c r="G32" s="27">
        <f t="shared" si="28"/>
        <v>7.1361063299912167E-2</v>
      </c>
      <c r="H32" s="27">
        <f t="shared" si="28"/>
        <v>6.9717385180415564E-2</v>
      </c>
      <c r="I32" s="27">
        <f t="shared" si="28"/>
        <v>6.8162084031882231E-2</v>
      </c>
      <c r="J32" s="27">
        <f t="shared" si="28"/>
        <v>6.6652393276381935E-2</v>
      </c>
      <c r="K32" s="27">
        <f t="shared" si="28"/>
        <v>6.5586351544344834E-2</v>
      </c>
      <c r="L32" s="27">
        <f t="shared" si="28"/>
        <v>6.5029975462558134E-2</v>
      </c>
      <c r="M32" s="27">
        <f t="shared" si="28"/>
        <v>6.4534300639591924E-2</v>
      </c>
      <c r="N32" s="27">
        <f t="shared" si="28"/>
        <v>6.3995595532245139E-2</v>
      </c>
      <c r="O32" s="27">
        <f t="shared" si="28"/>
        <v>6.350115432371807E-2</v>
      </c>
      <c r="P32" s="27">
        <f t="shared" si="28"/>
        <v>6.2983444061831914E-2</v>
      </c>
      <c r="Q32" s="27">
        <f t="shared" si="28"/>
        <v>6.2498639082472142E-2</v>
      </c>
      <c r="R32" s="27">
        <f t="shared" si="28"/>
        <v>6.2327390987643012E-2</v>
      </c>
      <c r="S32" s="27">
        <f t="shared" si="28"/>
        <v>6.2194363433674363E-2</v>
      </c>
      <c r="T32" s="27">
        <f t="shared" si="28"/>
        <v>6.202298398187759E-2</v>
      </c>
      <c r="U32" s="27">
        <f t="shared" si="28"/>
        <v>6.1889392969879518E-2</v>
      </c>
      <c r="V32" s="27">
        <f t="shared" si="28"/>
        <v>6.1717729445298825E-2</v>
      </c>
      <c r="W32" s="27">
        <f t="shared" si="28"/>
        <v>6.1583334643729247E-2</v>
      </c>
      <c r="X32" s="27">
        <f t="shared" si="28"/>
        <v>6.1411320134059352E-2</v>
      </c>
      <c r="Y32" s="27">
        <f t="shared" si="28"/>
        <v>6.1276084180102268E-2</v>
      </c>
      <c r="Z32" s="396">
        <f t="shared" si="28"/>
        <v>6.1103368881084634E-2</v>
      </c>
    </row>
    <row r="33" spans="1:33">
      <c r="A33" s="53" t="s">
        <v>267</v>
      </c>
      <c r="B33" s="2" t="s">
        <v>18763</v>
      </c>
      <c r="C33" s="27">
        <f t="shared" ref="C33:Z33" si="29">C15/C$17</f>
        <v>1.094193286952261E-2</v>
      </c>
      <c r="D33" s="27">
        <f t="shared" si="29"/>
        <v>1.1220398088296994E-2</v>
      </c>
      <c r="E33" s="27">
        <f t="shared" si="29"/>
        <v>1.1837722621060831E-2</v>
      </c>
      <c r="F33" s="27">
        <f t="shared" si="29"/>
        <v>1.1585798901590985E-2</v>
      </c>
      <c r="G33" s="27">
        <f t="shared" si="29"/>
        <v>1.1399324929484011E-2</v>
      </c>
      <c r="H33" s="27">
        <f t="shared" si="29"/>
        <v>1.1840599504909354E-2</v>
      </c>
      <c r="I33" s="27">
        <f t="shared" si="29"/>
        <v>1.1585356666471978E-2</v>
      </c>
      <c r="J33" s="27">
        <f t="shared" si="29"/>
        <v>1.2027160985834342E-2</v>
      </c>
      <c r="K33" s="27">
        <f t="shared" si="29"/>
        <v>1.1865834771337612E-2</v>
      </c>
      <c r="L33" s="27">
        <f t="shared" si="29"/>
        <v>1.2469756923667219E-2</v>
      </c>
      <c r="M33" s="27">
        <f t="shared" si="29"/>
        <v>1.2432223297417274E-2</v>
      </c>
      <c r="N33" s="27">
        <f t="shared" si="29"/>
        <v>1.3049862261804599E-2</v>
      </c>
      <c r="O33" s="27">
        <f t="shared" si="29"/>
        <v>1.3034394374500227E-2</v>
      </c>
      <c r="P33" s="27">
        <f t="shared" si="29"/>
        <v>1.3667572255321163E-2</v>
      </c>
      <c r="Q33" s="27">
        <f t="shared" si="29"/>
        <v>1.367723490151356E-2</v>
      </c>
      <c r="R33" s="27">
        <f t="shared" si="29"/>
        <v>1.4402815291224976E-2</v>
      </c>
      <c r="S33" s="27">
        <f t="shared" si="29"/>
        <v>1.4519647182426593E-2</v>
      </c>
      <c r="T33" s="27">
        <f t="shared" si="29"/>
        <v>1.5273007530480512E-2</v>
      </c>
      <c r="U33" s="27">
        <f t="shared" si="29"/>
        <v>1.5422584672483065E-2</v>
      </c>
      <c r="V33" s="27">
        <f t="shared" si="29"/>
        <v>1.6206051747759687E-2</v>
      </c>
      <c r="W33" s="27">
        <f t="shared" si="29"/>
        <v>1.6390292215401156E-2</v>
      </c>
      <c r="X33" s="27">
        <f t="shared" si="29"/>
        <v>1.7206113720534197E-2</v>
      </c>
      <c r="Y33" s="27">
        <f t="shared" si="29"/>
        <v>1.7427645946493108E-2</v>
      </c>
      <c r="Z33" s="396">
        <f t="shared" si="29"/>
        <v>1.8280510060261452E-2</v>
      </c>
    </row>
    <row r="34" spans="1:33">
      <c r="A34" s="53" t="s">
        <v>268</v>
      </c>
      <c r="B34" s="2" t="s">
        <v>18763</v>
      </c>
      <c r="C34" s="27">
        <f t="shared" ref="C34:Z34" si="30">C16/C$17</f>
        <v>0.30346838387796415</v>
      </c>
      <c r="D34" s="27">
        <f t="shared" si="30"/>
        <v>0.31158650962150075</v>
      </c>
      <c r="E34" s="27">
        <f t="shared" si="30"/>
        <v>0.31904180762034956</v>
      </c>
      <c r="F34" s="27">
        <f t="shared" si="30"/>
        <v>0.32676786566906801</v>
      </c>
      <c r="G34" s="27">
        <f t="shared" si="30"/>
        <v>0.33402707020423306</v>
      </c>
      <c r="H34" s="27">
        <f t="shared" si="30"/>
        <v>0.34092467720462788</v>
      </c>
      <c r="I34" s="27">
        <f t="shared" si="30"/>
        <v>0.34757165507359145</v>
      </c>
      <c r="J34" s="27">
        <f t="shared" si="30"/>
        <v>0.35383057439745652</v>
      </c>
      <c r="K34" s="27">
        <f t="shared" si="30"/>
        <v>0.36180541852082898</v>
      </c>
      <c r="L34" s="27">
        <f t="shared" si="30"/>
        <v>0.36432806153522157</v>
      </c>
      <c r="M34" s="27">
        <f t="shared" si="30"/>
        <v>0.36692714225512291</v>
      </c>
      <c r="N34" s="27">
        <f t="shared" si="30"/>
        <v>0.36933777300753845</v>
      </c>
      <c r="O34" s="27">
        <f t="shared" si="30"/>
        <v>0.37195771092281443</v>
      </c>
      <c r="P34" s="27">
        <f t="shared" si="30"/>
        <v>0.3741491306228375</v>
      </c>
      <c r="Q34" s="27">
        <f t="shared" si="30"/>
        <v>0.37663035170507841</v>
      </c>
      <c r="R34" s="27">
        <f t="shared" si="30"/>
        <v>0.37553906659715847</v>
      </c>
      <c r="S34" s="27">
        <f t="shared" si="30"/>
        <v>0.37467837860450293</v>
      </c>
      <c r="T34" s="27">
        <f t="shared" si="30"/>
        <v>0.37358679066003775</v>
      </c>
      <c r="U34" s="27">
        <f t="shared" si="30"/>
        <v>0.37272328946502775</v>
      </c>
      <c r="V34" s="27">
        <f t="shared" si="30"/>
        <v>0.37163072702244143</v>
      </c>
      <c r="W34" s="27">
        <f t="shared" si="30"/>
        <v>0.37076296789219676</v>
      </c>
      <c r="X34" s="27">
        <f t="shared" si="30"/>
        <v>0.36966894729112287</v>
      </c>
      <c r="Y34" s="27">
        <f t="shared" si="30"/>
        <v>0.36879662792851392</v>
      </c>
      <c r="Z34" s="396">
        <f t="shared" si="30"/>
        <v>0.36769912703970559</v>
      </c>
    </row>
    <row r="35" spans="1:33">
      <c r="A35" s="15" t="s">
        <v>270</v>
      </c>
      <c r="B35" s="72" t="s">
        <v>18763</v>
      </c>
      <c r="C35" s="398">
        <f t="shared" ref="C35:Z35" si="31">C17/C$17</f>
        <v>1</v>
      </c>
      <c r="D35" s="398">
        <f t="shared" si="31"/>
        <v>1</v>
      </c>
      <c r="E35" s="398">
        <f t="shared" si="31"/>
        <v>1</v>
      </c>
      <c r="F35" s="398">
        <f t="shared" si="31"/>
        <v>1</v>
      </c>
      <c r="G35" s="398">
        <f t="shared" si="31"/>
        <v>1</v>
      </c>
      <c r="H35" s="398">
        <f t="shared" si="31"/>
        <v>1</v>
      </c>
      <c r="I35" s="398">
        <f t="shared" si="31"/>
        <v>1</v>
      </c>
      <c r="J35" s="398">
        <f t="shared" si="31"/>
        <v>1</v>
      </c>
      <c r="K35" s="398">
        <f t="shared" si="31"/>
        <v>1</v>
      </c>
      <c r="L35" s="398">
        <f t="shared" si="31"/>
        <v>1</v>
      </c>
      <c r="M35" s="398">
        <f t="shared" si="31"/>
        <v>1</v>
      </c>
      <c r="N35" s="398">
        <f t="shared" si="31"/>
        <v>1</v>
      </c>
      <c r="O35" s="398">
        <f t="shared" si="31"/>
        <v>1</v>
      </c>
      <c r="P35" s="398">
        <f t="shared" si="31"/>
        <v>1</v>
      </c>
      <c r="Q35" s="398">
        <f t="shared" si="31"/>
        <v>1</v>
      </c>
      <c r="R35" s="398">
        <f t="shared" si="31"/>
        <v>1</v>
      </c>
      <c r="S35" s="398">
        <f t="shared" si="31"/>
        <v>1</v>
      </c>
      <c r="T35" s="398">
        <f t="shared" si="31"/>
        <v>1</v>
      </c>
      <c r="U35" s="398">
        <f t="shared" si="31"/>
        <v>1</v>
      </c>
      <c r="V35" s="398">
        <f t="shared" si="31"/>
        <v>1</v>
      </c>
      <c r="W35" s="398">
        <f t="shared" si="31"/>
        <v>1</v>
      </c>
      <c r="X35" s="398">
        <f t="shared" si="31"/>
        <v>1</v>
      </c>
      <c r="Y35" s="398">
        <f t="shared" si="31"/>
        <v>1</v>
      </c>
      <c r="Z35" s="399">
        <f t="shared" si="31"/>
        <v>1</v>
      </c>
    </row>
    <row r="38" spans="1:33" ht="15.75" thickBot="1">
      <c r="A38" s="231" t="s">
        <v>569</v>
      </c>
      <c r="B38" s="231" t="s">
        <v>570</v>
      </c>
      <c r="C38" s="231" t="s">
        <v>571</v>
      </c>
      <c r="D38" s="231" t="s">
        <v>572</v>
      </c>
      <c r="E38" s="231" t="s">
        <v>573</v>
      </c>
      <c r="F38" s="231" t="s">
        <v>574</v>
      </c>
      <c r="G38" s="231" t="s">
        <v>575</v>
      </c>
      <c r="H38" s="231" t="s">
        <v>576</v>
      </c>
      <c r="I38" s="231" t="s">
        <v>577</v>
      </c>
      <c r="J38" s="231">
        <v>2023</v>
      </c>
      <c r="K38" s="231">
        <v>2024</v>
      </c>
      <c r="L38" s="231">
        <v>2025</v>
      </c>
      <c r="M38" s="231">
        <v>2026</v>
      </c>
      <c r="N38" s="231">
        <v>2027</v>
      </c>
      <c r="O38" s="231">
        <v>2028</v>
      </c>
      <c r="P38" s="231">
        <v>2029</v>
      </c>
      <c r="Q38" s="231">
        <v>2030</v>
      </c>
      <c r="R38" s="231">
        <v>2031</v>
      </c>
      <c r="S38" s="231">
        <v>2032</v>
      </c>
      <c r="T38" s="231">
        <v>2033</v>
      </c>
      <c r="U38" s="231">
        <v>2034</v>
      </c>
      <c r="V38" s="231">
        <v>2035</v>
      </c>
      <c r="W38" s="231">
        <v>2036</v>
      </c>
      <c r="X38" s="231">
        <v>2037</v>
      </c>
      <c r="Y38" s="231">
        <v>2038</v>
      </c>
      <c r="Z38" s="231">
        <v>2039</v>
      </c>
      <c r="AA38" s="231">
        <v>2040</v>
      </c>
      <c r="AB38" s="231">
        <v>2041</v>
      </c>
      <c r="AC38" s="231">
        <v>2042</v>
      </c>
      <c r="AD38" s="231">
        <v>2043</v>
      </c>
      <c r="AE38" s="231">
        <v>2044</v>
      </c>
      <c r="AF38" s="231">
        <v>2045</v>
      </c>
      <c r="AG38" s="231">
        <v>2046</v>
      </c>
    </row>
    <row r="39" spans="1:33">
      <c r="A39" s="113" t="s">
        <v>18767</v>
      </c>
      <c r="B39" s="113" t="s">
        <v>18768</v>
      </c>
      <c r="C39" s="113" t="s">
        <v>18769</v>
      </c>
      <c r="D39" s="113" t="s">
        <v>18770</v>
      </c>
      <c r="E39" s="113" t="s">
        <v>781</v>
      </c>
      <c r="F39" s="113" t="s">
        <v>598</v>
      </c>
      <c r="G39" s="113" t="s">
        <v>478</v>
      </c>
      <c r="H39" s="113" t="s">
        <v>2266</v>
      </c>
      <c r="I39" s="113" t="s">
        <v>2267</v>
      </c>
      <c r="J39" s="113">
        <v>0</v>
      </c>
      <c r="K39" s="113">
        <v>0</v>
      </c>
      <c r="L39" s="113">
        <v>0</v>
      </c>
      <c r="M39" s="113">
        <v>0</v>
      </c>
      <c r="N39" s="113">
        <v>0</v>
      </c>
      <c r="O39" s="113">
        <v>0</v>
      </c>
      <c r="P39" s="113">
        <v>0</v>
      </c>
      <c r="Q39" s="113">
        <v>0</v>
      </c>
      <c r="R39" s="113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v>0</v>
      </c>
      <c r="Z39" s="113">
        <v>0</v>
      </c>
      <c r="AA39" s="113">
        <v>0</v>
      </c>
      <c r="AB39" s="113">
        <v>0</v>
      </c>
      <c r="AC39" s="113">
        <v>0</v>
      </c>
      <c r="AD39" s="113">
        <v>0</v>
      </c>
      <c r="AE39" s="113">
        <v>0</v>
      </c>
      <c r="AF39" s="113">
        <v>0</v>
      </c>
      <c r="AG39" s="113">
        <v>0</v>
      </c>
    </row>
    <row r="40" spans="1:33">
      <c r="A40" s="113" t="s">
        <v>18767</v>
      </c>
      <c r="B40" s="113" t="s">
        <v>18771</v>
      </c>
      <c r="C40" s="113" t="s">
        <v>18769</v>
      </c>
      <c r="D40" s="113" t="s">
        <v>18772</v>
      </c>
      <c r="E40" s="113" t="s">
        <v>781</v>
      </c>
      <c r="F40" s="113" t="s">
        <v>598</v>
      </c>
      <c r="G40" s="113" t="s">
        <v>478</v>
      </c>
      <c r="H40" s="113" t="s">
        <v>2266</v>
      </c>
      <c r="I40" s="113" t="s">
        <v>2267</v>
      </c>
      <c r="J40" s="113">
        <v>3.9177999999999998E-2</v>
      </c>
      <c r="K40" s="113">
        <v>3.9177999999999998E-2</v>
      </c>
      <c r="L40" s="113">
        <v>3.9177999999999998E-2</v>
      </c>
      <c r="M40" s="113">
        <v>3.9177999999999998E-2</v>
      </c>
      <c r="N40" s="113">
        <v>3.9177999999999998E-2</v>
      </c>
      <c r="O40" s="113">
        <v>3.9177999999999998E-2</v>
      </c>
      <c r="P40" s="113">
        <v>3.9177999999999998E-2</v>
      </c>
      <c r="Q40" s="113">
        <v>3.9177999999999998E-2</v>
      </c>
      <c r="R40" s="113">
        <v>3.9177999999999998E-2</v>
      </c>
      <c r="S40" s="113">
        <v>3.9177999999999998E-2</v>
      </c>
      <c r="T40" s="113">
        <v>3.9177999999999998E-2</v>
      </c>
      <c r="U40" s="113">
        <v>3.9177999999999998E-2</v>
      </c>
      <c r="V40" s="113">
        <v>3.9177999999999998E-2</v>
      </c>
      <c r="W40" s="113">
        <v>3.9177999999999998E-2</v>
      </c>
      <c r="X40" s="113">
        <v>3.9177999999999998E-2</v>
      </c>
      <c r="Y40" s="113">
        <v>3.9177999999999998E-2</v>
      </c>
      <c r="Z40" s="113">
        <v>3.9177999999999998E-2</v>
      </c>
      <c r="AA40" s="113">
        <v>3.9177999999999998E-2</v>
      </c>
      <c r="AB40" s="113">
        <v>3.9177999999999998E-2</v>
      </c>
      <c r="AC40" s="113">
        <v>3.9177999999999998E-2</v>
      </c>
      <c r="AD40" s="113">
        <v>3.9177999999999998E-2</v>
      </c>
      <c r="AE40" s="113">
        <v>3.9177999999999998E-2</v>
      </c>
      <c r="AF40" s="113">
        <v>3.9177999999999998E-2</v>
      </c>
      <c r="AG40" s="113">
        <v>3.9177999999999998E-2</v>
      </c>
    </row>
    <row r="41" spans="1:33" ht="15.75" thickBot="1">
      <c r="A41" s="233" t="s">
        <v>18767</v>
      </c>
      <c r="B41" s="233" t="s">
        <v>18773</v>
      </c>
      <c r="C41" s="233" t="s">
        <v>18769</v>
      </c>
      <c r="D41" s="233" t="s">
        <v>18774</v>
      </c>
      <c r="E41" s="233" t="s">
        <v>781</v>
      </c>
      <c r="F41" s="233" t="s">
        <v>598</v>
      </c>
      <c r="G41" s="233" t="s">
        <v>478</v>
      </c>
      <c r="H41" s="233" t="s">
        <v>2266</v>
      </c>
      <c r="I41" s="233" t="s">
        <v>2267</v>
      </c>
      <c r="J41" s="233">
        <v>1.6440000000000001E-3</v>
      </c>
      <c r="K41" s="233">
        <v>1.6440000000000001E-3</v>
      </c>
      <c r="L41" s="233">
        <v>1.6440000000000001E-3</v>
      </c>
      <c r="M41" s="233">
        <v>1.6440000000000001E-3</v>
      </c>
      <c r="N41" s="233">
        <v>1.6440000000000001E-3</v>
      </c>
      <c r="O41" s="233">
        <v>1.6440000000000001E-3</v>
      </c>
      <c r="P41" s="233">
        <v>1.6440000000000001E-3</v>
      </c>
      <c r="Q41" s="233">
        <v>1.6440000000000001E-3</v>
      </c>
      <c r="R41" s="233">
        <v>1.6440000000000001E-3</v>
      </c>
      <c r="S41" s="233">
        <v>1.6440000000000001E-3</v>
      </c>
      <c r="T41" s="233">
        <v>1.6440000000000001E-3</v>
      </c>
      <c r="U41" s="233">
        <v>1.6440000000000001E-3</v>
      </c>
      <c r="V41" s="233">
        <v>1.6440000000000001E-3</v>
      </c>
      <c r="W41" s="233">
        <v>1.6440000000000001E-3</v>
      </c>
      <c r="X41" s="233">
        <v>1.6440000000000001E-3</v>
      </c>
      <c r="Y41" s="233">
        <v>1.6440000000000001E-3</v>
      </c>
      <c r="Z41" s="233">
        <v>1.6440000000000001E-3</v>
      </c>
      <c r="AA41" s="233">
        <v>1.6440000000000001E-3</v>
      </c>
      <c r="AB41" s="233">
        <v>1.6440000000000001E-3</v>
      </c>
      <c r="AC41" s="233">
        <v>1.6440000000000001E-3</v>
      </c>
      <c r="AD41" s="233">
        <v>1.6440000000000001E-3</v>
      </c>
      <c r="AE41" s="233">
        <v>1.6440000000000001E-3</v>
      </c>
      <c r="AF41" s="233">
        <v>1.6440000000000001E-3</v>
      </c>
      <c r="AG41" s="233">
        <v>1.6440000000000001E-3</v>
      </c>
    </row>
    <row r="42" spans="1:33">
      <c r="A42" s="172" t="s">
        <v>18775</v>
      </c>
      <c r="B42" s="113"/>
      <c r="C42" s="113"/>
      <c r="D42" s="113"/>
      <c r="E42" s="113"/>
      <c r="F42" s="113"/>
      <c r="G42" s="113"/>
      <c r="H42" s="113"/>
      <c r="I42" s="113"/>
      <c r="J42" s="113">
        <v>4.0821999999999997E-2</v>
      </c>
      <c r="K42" s="113">
        <v>4.0821999999999997E-2</v>
      </c>
      <c r="L42" s="113">
        <v>4.0821999999999997E-2</v>
      </c>
      <c r="M42" s="113">
        <v>4.0821999999999997E-2</v>
      </c>
      <c r="N42" s="113">
        <v>4.0821999999999997E-2</v>
      </c>
      <c r="O42" s="113">
        <v>4.0821999999999997E-2</v>
      </c>
      <c r="P42" s="113">
        <v>4.0821999999999997E-2</v>
      </c>
      <c r="Q42" s="113">
        <v>4.0821999999999997E-2</v>
      </c>
      <c r="R42" s="113">
        <v>4.0821999999999997E-2</v>
      </c>
      <c r="S42" s="113">
        <v>4.0821999999999997E-2</v>
      </c>
      <c r="T42" s="113">
        <v>4.0821999999999997E-2</v>
      </c>
      <c r="U42" s="113">
        <v>4.0821999999999997E-2</v>
      </c>
      <c r="V42" s="113">
        <v>4.0821999999999997E-2</v>
      </c>
      <c r="W42" s="113">
        <v>4.0821999999999997E-2</v>
      </c>
      <c r="X42" s="113">
        <v>4.0821999999999997E-2</v>
      </c>
      <c r="Y42" s="113">
        <v>4.0821999999999997E-2</v>
      </c>
      <c r="Z42" s="113">
        <v>4.0821999999999997E-2</v>
      </c>
      <c r="AA42" s="113">
        <v>4.0821999999999997E-2</v>
      </c>
      <c r="AB42" s="113">
        <v>4.0821999999999997E-2</v>
      </c>
      <c r="AC42" s="113">
        <v>4.0821999999999997E-2</v>
      </c>
      <c r="AD42" s="113">
        <v>4.0821999999999997E-2</v>
      </c>
      <c r="AE42" s="113">
        <v>4.0821999999999997E-2</v>
      </c>
      <c r="AF42" s="113">
        <v>4.0821999999999997E-2</v>
      </c>
      <c r="AG42" s="113">
        <v>4.0821999999999997E-2</v>
      </c>
    </row>
    <row r="43" spans="1:33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</row>
    <row r="44" spans="1:33" ht="15.75" thickBot="1">
      <c r="A44" s="231" t="s">
        <v>569</v>
      </c>
      <c r="B44" s="231" t="s">
        <v>570</v>
      </c>
      <c r="C44" s="231" t="s">
        <v>571</v>
      </c>
      <c r="D44" s="231" t="s">
        <v>572</v>
      </c>
      <c r="E44" s="231" t="s">
        <v>573</v>
      </c>
      <c r="F44" s="231" t="s">
        <v>574</v>
      </c>
      <c r="G44" s="231" t="s">
        <v>575</v>
      </c>
      <c r="H44" s="231" t="s">
        <v>576</v>
      </c>
      <c r="I44" s="231" t="s">
        <v>577</v>
      </c>
      <c r="J44" s="231">
        <v>2023</v>
      </c>
      <c r="K44" s="231">
        <v>2024</v>
      </c>
      <c r="L44" s="231">
        <v>2025</v>
      </c>
      <c r="M44" s="231">
        <v>2026</v>
      </c>
      <c r="N44" s="231">
        <v>2027</v>
      </c>
      <c r="O44" s="231">
        <v>2028</v>
      </c>
      <c r="P44" s="231">
        <v>2029</v>
      </c>
      <c r="Q44" s="231">
        <v>2030</v>
      </c>
      <c r="R44" s="231">
        <v>2031</v>
      </c>
      <c r="S44" s="231">
        <v>2032</v>
      </c>
      <c r="T44" s="231">
        <v>2033</v>
      </c>
      <c r="U44" s="231">
        <v>2034</v>
      </c>
      <c r="V44" s="231">
        <v>2035</v>
      </c>
      <c r="W44" s="231">
        <v>2036</v>
      </c>
      <c r="X44" s="231">
        <v>2037</v>
      </c>
      <c r="Y44" s="231">
        <v>2038</v>
      </c>
      <c r="Z44" s="231">
        <v>2039</v>
      </c>
      <c r="AA44" s="231">
        <v>2040</v>
      </c>
      <c r="AB44" s="231">
        <v>2041</v>
      </c>
      <c r="AC44" s="231">
        <v>2042</v>
      </c>
      <c r="AD44" s="231">
        <v>2043</v>
      </c>
      <c r="AE44" s="231">
        <v>2044</v>
      </c>
      <c r="AF44" s="231">
        <v>2045</v>
      </c>
      <c r="AG44" s="231">
        <v>2046</v>
      </c>
    </row>
    <row r="45" spans="1:33" ht="15.75" thickBot="1">
      <c r="A45" s="233" t="s">
        <v>18776</v>
      </c>
      <c r="B45" s="233" t="s">
        <v>18773</v>
      </c>
      <c r="C45" s="233" t="s">
        <v>18769</v>
      </c>
      <c r="D45" s="233" t="s">
        <v>18774</v>
      </c>
      <c r="E45" s="233" t="s">
        <v>781</v>
      </c>
      <c r="F45" s="233" t="s">
        <v>598</v>
      </c>
      <c r="G45" s="233" t="s">
        <v>478</v>
      </c>
      <c r="H45" s="233" t="s">
        <v>2266</v>
      </c>
      <c r="I45" s="233" t="s">
        <v>2267</v>
      </c>
      <c r="J45" s="233">
        <v>8.2200000000000003E-4</v>
      </c>
      <c r="K45" s="233">
        <v>8.2200000000000003E-4</v>
      </c>
      <c r="L45" s="233">
        <v>8.2200000000000003E-4</v>
      </c>
      <c r="M45" s="233">
        <v>8.2200000000000003E-4</v>
      </c>
      <c r="N45" s="233">
        <v>8.2200000000000003E-4</v>
      </c>
      <c r="O45" s="233">
        <v>8.2200000000000003E-4</v>
      </c>
      <c r="P45" s="233">
        <v>8.2200000000000003E-4</v>
      </c>
      <c r="Q45" s="233">
        <v>8.2200000000000003E-4</v>
      </c>
      <c r="R45" s="233">
        <v>8.2200000000000003E-4</v>
      </c>
      <c r="S45" s="233">
        <v>8.2200000000000003E-4</v>
      </c>
      <c r="T45" s="233">
        <v>8.2200000000000003E-4</v>
      </c>
      <c r="U45" s="233">
        <v>8.2200000000000003E-4</v>
      </c>
      <c r="V45" s="233">
        <v>8.2200000000000003E-4</v>
      </c>
      <c r="W45" s="233">
        <v>8.2200000000000003E-4</v>
      </c>
      <c r="X45" s="233">
        <v>8.2200000000000003E-4</v>
      </c>
      <c r="Y45" s="233">
        <v>8.2200000000000003E-4</v>
      </c>
      <c r="Z45" s="233">
        <v>8.2200000000000003E-4</v>
      </c>
      <c r="AA45" s="233">
        <v>8.2200000000000003E-4</v>
      </c>
      <c r="AB45" s="233">
        <v>8.2200000000000003E-4</v>
      </c>
      <c r="AC45" s="233">
        <v>8.2200000000000003E-4</v>
      </c>
      <c r="AD45" s="233">
        <v>8.2200000000000003E-4</v>
      </c>
      <c r="AE45" s="233">
        <v>8.2200000000000003E-4</v>
      </c>
      <c r="AF45" s="233">
        <v>8.2200000000000003E-4</v>
      </c>
      <c r="AG45" s="233">
        <v>8.2200000000000003E-4</v>
      </c>
    </row>
    <row r="46" spans="1:33">
      <c r="A46" s="172" t="s">
        <v>18775</v>
      </c>
      <c r="B46" s="113"/>
      <c r="C46" s="113"/>
      <c r="D46" s="113"/>
      <c r="E46" s="113"/>
      <c r="F46" s="113"/>
      <c r="G46" s="113"/>
      <c r="H46" s="113"/>
      <c r="I46" s="113"/>
      <c r="J46" s="113">
        <v>8.2200000000000003E-4</v>
      </c>
      <c r="K46" s="113">
        <v>8.2200000000000003E-4</v>
      </c>
      <c r="L46" s="113">
        <v>8.2200000000000003E-4</v>
      </c>
      <c r="M46" s="113">
        <v>8.2200000000000003E-4</v>
      </c>
      <c r="N46" s="113">
        <v>8.2200000000000003E-4</v>
      </c>
      <c r="O46" s="113">
        <v>8.2200000000000003E-4</v>
      </c>
      <c r="P46" s="113">
        <v>8.2200000000000003E-4</v>
      </c>
      <c r="Q46" s="113">
        <v>8.2200000000000003E-4</v>
      </c>
      <c r="R46" s="113">
        <v>8.2200000000000003E-4</v>
      </c>
      <c r="S46" s="113">
        <v>8.2200000000000003E-4</v>
      </c>
      <c r="T46" s="113">
        <v>8.2200000000000003E-4</v>
      </c>
      <c r="U46" s="113">
        <v>8.2200000000000003E-4</v>
      </c>
      <c r="V46" s="113">
        <v>8.2200000000000003E-4</v>
      </c>
      <c r="W46" s="113">
        <v>8.2200000000000003E-4</v>
      </c>
      <c r="X46" s="113">
        <v>8.2200000000000003E-4</v>
      </c>
      <c r="Y46" s="113">
        <v>8.2200000000000003E-4</v>
      </c>
      <c r="Z46" s="113">
        <v>8.2200000000000003E-4</v>
      </c>
      <c r="AA46" s="113">
        <v>8.2200000000000003E-4</v>
      </c>
      <c r="AB46" s="113">
        <v>8.2200000000000003E-4</v>
      </c>
      <c r="AC46" s="113">
        <v>8.2200000000000003E-4</v>
      </c>
      <c r="AD46" s="113">
        <v>8.2200000000000003E-4</v>
      </c>
      <c r="AE46" s="113">
        <v>8.2200000000000003E-4</v>
      </c>
      <c r="AF46" s="113">
        <v>8.2200000000000003E-4</v>
      </c>
      <c r="AG46" s="113">
        <v>8.2200000000000003E-4</v>
      </c>
    </row>
    <row r="47" spans="1:33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</row>
    <row r="48" spans="1:33" ht="15.75" thickBot="1">
      <c r="A48" s="231" t="s">
        <v>569</v>
      </c>
      <c r="B48" s="231" t="s">
        <v>570</v>
      </c>
      <c r="C48" s="231" t="s">
        <v>571</v>
      </c>
      <c r="D48" s="231" t="s">
        <v>572</v>
      </c>
      <c r="E48" s="231" t="s">
        <v>573</v>
      </c>
      <c r="F48" s="231" t="s">
        <v>574</v>
      </c>
      <c r="G48" s="231" t="s">
        <v>575</v>
      </c>
      <c r="H48" s="231" t="s">
        <v>576</v>
      </c>
      <c r="I48" s="231" t="s">
        <v>577</v>
      </c>
      <c r="J48" s="231">
        <v>2023</v>
      </c>
      <c r="K48" s="231">
        <v>2024</v>
      </c>
      <c r="L48" s="231">
        <v>2025</v>
      </c>
      <c r="M48" s="231">
        <v>2026</v>
      </c>
      <c r="N48" s="231">
        <v>2027</v>
      </c>
      <c r="O48" s="231">
        <v>2028</v>
      </c>
      <c r="P48" s="231">
        <v>2029</v>
      </c>
      <c r="Q48" s="231">
        <v>2030</v>
      </c>
      <c r="R48" s="231">
        <v>2031</v>
      </c>
      <c r="S48" s="231">
        <v>2032</v>
      </c>
      <c r="T48" s="231">
        <v>2033</v>
      </c>
      <c r="U48" s="231">
        <v>2034</v>
      </c>
      <c r="V48" s="231">
        <v>2035</v>
      </c>
      <c r="W48" s="231">
        <v>2036</v>
      </c>
      <c r="X48" s="231">
        <v>2037</v>
      </c>
      <c r="Y48" s="231">
        <v>2038</v>
      </c>
      <c r="Z48" s="231">
        <v>2039</v>
      </c>
      <c r="AA48" s="231">
        <v>2040</v>
      </c>
      <c r="AB48" s="231">
        <v>2041</v>
      </c>
      <c r="AC48" s="231">
        <v>2042</v>
      </c>
      <c r="AD48" s="231">
        <v>2043</v>
      </c>
      <c r="AE48" s="231">
        <v>2044</v>
      </c>
      <c r="AF48" s="231">
        <v>2045</v>
      </c>
      <c r="AG48" s="231">
        <v>2046</v>
      </c>
    </row>
    <row r="49" spans="1:33">
      <c r="A49" s="113" t="s">
        <v>18777</v>
      </c>
      <c r="B49" s="113" t="s">
        <v>18771</v>
      </c>
      <c r="C49" s="113" t="s">
        <v>18769</v>
      </c>
      <c r="D49" s="113" t="s">
        <v>18772</v>
      </c>
      <c r="E49" s="113" t="s">
        <v>781</v>
      </c>
      <c r="F49" s="113" t="s">
        <v>598</v>
      </c>
      <c r="G49" s="113" t="s">
        <v>478</v>
      </c>
      <c r="H49" s="113" t="s">
        <v>2266</v>
      </c>
      <c r="I49" s="113" t="s">
        <v>2267</v>
      </c>
      <c r="J49" s="113">
        <v>0.243117</v>
      </c>
      <c r="K49" s="113">
        <v>0.24634200000000001</v>
      </c>
      <c r="L49" s="113">
        <v>0.24956800000000001</v>
      </c>
      <c r="M49" s="113">
        <v>0.25279400000000002</v>
      </c>
      <c r="N49" s="113">
        <v>0.256019</v>
      </c>
      <c r="O49" s="113">
        <v>0.259245</v>
      </c>
      <c r="P49" s="113">
        <v>0.26247100000000001</v>
      </c>
      <c r="Q49" s="113">
        <v>0.26569599999999999</v>
      </c>
      <c r="R49" s="113">
        <v>0.26892199999999999</v>
      </c>
      <c r="S49" s="113">
        <v>0.272148</v>
      </c>
      <c r="T49" s="113">
        <v>0.27537299999999998</v>
      </c>
      <c r="U49" s="113">
        <v>0.27859899999999999</v>
      </c>
      <c r="V49" s="113">
        <v>0.28182499999999999</v>
      </c>
      <c r="W49" s="113">
        <v>0.285051</v>
      </c>
      <c r="X49" s="113">
        <v>0.28827599999999998</v>
      </c>
      <c r="Y49" s="113">
        <v>0.29150199999999998</v>
      </c>
      <c r="Z49" s="113">
        <v>0.29472799999999999</v>
      </c>
      <c r="AA49" s="113">
        <v>0.29795300000000002</v>
      </c>
      <c r="AB49" s="113">
        <v>0.30117899999999997</v>
      </c>
      <c r="AC49" s="113">
        <v>0.30440499999999998</v>
      </c>
      <c r="AD49" s="113">
        <v>0.30763000000000001</v>
      </c>
      <c r="AE49" s="113">
        <v>0.31085600000000002</v>
      </c>
      <c r="AF49" s="113">
        <v>0.31408199999999997</v>
      </c>
      <c r="AG49" s="113">
        <v>0.31730700000000001</v>
      </c>
    </row>
    <row r="50" spans="1:33" ht="15.75" thickBot="1">
      <c r="A50" s="233" t="s">
        <v>18777</v>
      </c>
      <c r="B50" s="233" t="s">
        <v>18773</v>
      </c>
      <c r="C50" s="233" t="s">
        <v>18769</v>
      </c>
      <c r="D50" s="233" t="s">
        <v>18774</v>
      </c>
      <c r="E50" s="233" t="s">
        <v>781</v>
      </c>
      <c r="F50" s="233" t="s">
        <v>598</v>
      </c>
      <c r="G50" s="233" t="s">
        <v>478</v>
      </c>
      <c r="H50" s="233" t="s">
        <v>2266</v>
      </c>
      <c r="I50" s="233" t="s">
        <v>2267</v>
      </c>
      <c r="J50" s="233">
        <v>1.0921999999999999E-2</v>
      </c>
      <c r="K50" s="233">
        <v>1.1067E-2</v>
      </c>
      <c r="L50" s="233">
        <v>1.1212E-2</v>
      </c>
      <c r="M50" s="233">
        <v>1.1357000000000001E-2</v>
      </c>
      <c r="N50" s="233">
        <v>1.1502E-2</v>
      </c>
      <c r="O50" s="233">
        <v>1.1646999999999999E-2</v>
      </c>
      <c r="P50" s="233">
        <v>1.1792E-2</v>
      </c>
      <c r="Q50" s="233">
        <v>1.1936E-2</v>
      </c>
      <c r="R50" s="233">
        <v>1.2081E-2</v>
      </c>
      <c r="S50" s="233">
        <v>1.2226000000000001E-2</v>
      </c>
      <c r="T50" s="233">
        <v>1.2371E-2</v>
      </c>
      <c r="U50" s="233">
        <v>1.2515999999999999E-2</v>
      </c>
      <c r="V50" s="233">
        <v>1.2661E-2</v>
      </c>
      <c r="W50" s="233">
        <v>1.2806E-2</v>
      </c>
      <c r="X50" s="233">
        <v>1.2951000000000001E-2</v>
      </c>
      <c r="Y50" s="233">
        <v>1.3096E-2</v>
      </c>
      <c r="Z50" s="233">
        <v>1.3240999999999999E-2</v>
      </c>
      <c r="AA50" s="233">
        <v>1.3386E-2</v>
      </c>
      <c r="AB50" s="233">
        <v>1.3531E-2</v>
      </c>
      <c r="AC50" s="233">
        <v>1.3675E-2</v>
      </c>
      <c r="AD50" s="233">
        <v>1.3820000000000001E-2</v>
      </c>
      <c r="AE50" s="233">
        <v>1.3965E-2</v>
      </c>
      <c r="AF50" s="233">
        <v>1.4109999999999999E-2</v>
      </c>
      <c r="AG50" s="233">
        <v>1.4255E-2</v>
      </c>
    </row>
    <row r="51" spans="1:33">
      <c r="A51" s="172" t="s">
        <v>18775</v>
      </c>
      <c r="B51" s="113"/>
      <c r="C51" s="113"/>
      <c r="D51" s="113"/>
      <c r="E51" s="113"/>
      <c r="F51" s="113"/>
      <c r="G51" s="113"/>
      <c r="H51" s="113"/>
      <c r="I51" s="113"/>
      <c r="J51" s="113">
        <v>0.25403900000000001</v>
      </c>
      <c r="K51" s="113">
        <v>0.257409</v>
      </c>
      <c r="L51" s="113">
        <v>0.26078000000000001</v>
      </c>
      <c r="M51" s="113">
        <v>0.26415100000000002</v>
      </c>
      <c r="N51" s="113">
        <v>0.26752100000000001</v>
      </c>
      <c r="O51" s="113">
        <v>0.27089200000000002</v>
      </c>
      <c r="P51" s="113">
        <v>0.27426200000000001</v>
      </c>
      <c r="Q51" s="113">
        <v>0.27763300000000002</v>
      </c>
      <c r="R51" s="113">
        <v>0.281003</v>
      </c>
      <c r="S51" s="113">
        <v>0.28437400000000002</v>
      </c>
      <c r="T51" s="113">
        <v>0.28774499999999997</v>
      </c>
      <c r="U51" s="113">
        <v>0.29111500000000001</v>
      </c>
      <c r="V51" s="113">
        <v>0.29448600000000003</v>
      </c>
      <c r="W51" s="113">
        <v>0.29785600000000001</v>
      </c>
      <c r="X51" s="113">
        <v>0.30122700000000002</v>
      </c>
      <c r="Y51" s="113">
        <v>0.30459799999999998</v>
      </c>
      <c r="Z51" s="113">
        <v>0.30796800000000002</v>
      </c>
      <c r="AA51" s="113">
        <v>0.31133899999999998</v>
      </c>
      <c r="AB51" s="113">
        <v>0.31470900000000002</v>
      </c>
      <c r="AC51" s="113">
        <v>0.31807999999999997</v>
      </c>
      <c r="AD51" s="113">
        <v>0.32145099999999999</v>
      </c>
      <c r="AE51" s="113">
        <v>0.32482100000000003</v>
      </c>
      <c r="AF51" s="113">
        <v>0.32819199999999998</v>
      </c>
      <c r="AG51" s="113">
        <v>0.33156200000000002</v>
      </c>
    </row>
    <row r="52" spans="1:33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</row>
    <row r="53" spans="1:33" ht="15.75" thickBot="1">
      <c r="A53" s="231" t="s">
        <v>569</v>
      </c>
      <c r="B53" s="231" t="s">
        <v>570</v>
      </c>
      <c r="C53" s="231" t="s">
        <v>571</v>
      </c>
      <c r="D53" s="231" t="s">
        <v>572</v>
      </c>
      <c r="E53" s="231" t="s">
        <v>573</v>
      </c>
      <c r="F53" s="231" t="s">
        <v>574</v>
      </c>
      <c r="G53" s="231" t="s">
        <v>575</v>
      </c>
      <c r="H53" s="231" t="s">
        <v>576</v>
      </c>
      <c r="I53" s="231" t="s">
        <v>577</v>
      </c>
      <c r="J53" s="231">
        <v>2023</v>
      </c>
      <c r="K53" s="231">
        <v>2024</v>
      </c>
      <c r="L53" s="231">
        <v>2025</v>
      </c>
      <c r="M53" s="231">
        <v>2026</v>
      </c>
      <c r="N53" s="231">
        <v>2027</v>
      </c>
      <c r="O53" s="231">
        <v>2028</v>
      </c>
      <c r="P53" s="231">
        <v>2029</v>
      </c>
      <c r="Q53" s="231">
        <v>2030</v>
      </c>
      <c r="R53" s="231">
        <v>2031</v>
      </c>
      <c r="S53" s="231">
        <v>2032</v>
      </c>
      <c r="T53" s="231">
        <v>2033</v>
      </c>
      <c r="U53" s="231">
        <v>2034</v>
      </c>
      <c r="V53" s="231">
        <v>2035</v>
      </c>
      <c r="W53" s="231">
        <v>2036</v>
      </c>
      <c r="X53" s="231">
        <v>2037</v>
      </c>
      <c r="Y53" s="231">
        <v>2038</v>
      </c>
      <c r="Z53" s="231">
        <v>2039</v>
      </c>
      <c r="AA53" s="231">
        <v>2040</v>
      </c>
      <c r="AB53" s="231">
        <v>2041</v>
      </c>
      <c r="AC53" s="231">
        <v>2042</v>
      </c>
      <c r="AD53" s="231">
        <v>2043</v>
      </c>
      <c r="AE53" s="231">
        <v>2044</v>
      </c>
      <c r="AF53" s="231">
        <v>2045</v>
      </c>
      <c r="AG53" s="231">
        <v>2046</v>
      </c>
    </row>
    <row r="54" spans="1:33">
      <c r="A54" s="113" t="s">
        <v>18778</v>
      </c>
      <c r="B54" s="113" t="s">
        <v>18779</v>
      </c>
      <c r="C54" s="113" t="s">
        <v>18769</v>
      </c>
      <c r="D54" s="113" t="s">
        <v>18780</v>
      </c>
      <c r="E54" s="113" t="s">
        <v>1544</v>
      </c>
      <c r="F54" s="113" t="s">
        <v>598</v>
      </c>
      <c r="G54" s="113" t="s">
        <v>478</v>
      </c>
      <c r="H54" s="113" t="s">
        <v>2266</v>
      </c>
      <c r="I54" s="113" t="s">
        <v>2267</v>
      </c>
      <c r="J54" s="113">
        <v>1.9269999999999999E-3</v>
      </c>
      <c r="K54" s="113">
        <v>1.9269999999999999E-3</v>
      </c>
      <c r="L54" s="113">
        <v>1.9269999999999999E-3</v>
      </c>
      <c r="M54" s="113">
        <v>1.9269999999999999E-3</v>
      </c>
      <c r="N54" s="113">
        <v>1.9269999999999999E-3</v>
      </c>
      <c r="O54" s="113">
        <v>1.9269999999999999E-3</v>
      </c>
      <c r="P54" s="113">
        <v>1.9269999999999999E-3</v>
      </c>
      <c r="Q54" s="113">
        <v>1.9269999999999999E-3</v>
      </c>
      <c r="R54" s="113">
        <v>1.9269999999999999E-3</v>
      </c>
      <c r="S54" s="113">
        <v>1.9269999999999999E-3</v>
      </c>
      <c r="T54" s="113">
        <v>1.9269999999999999E-3</v>
      </c>
      <c r="U54" s="113">
        <v>1.9269999999999999E-3</v>
      </c>
      <c r="V54" s="113">
        <v>1.9269999999999999E-3</v>
      </c>
      <c r="W54" s="113">
        <v>1.9269999999999999E-3</v>
      </c>
      <c r="X54" s="113">
        <v>1.9269999999999999E-3</v>
      </c>
      <c r="Y54" s="113">
        <v>1.9269999999999999E-3</v>
      </c>
      <c r="Z54" s="113">
        <v>1.9269999999999999E-3</v>
      </c>
      <c r="AA54" s="113">
        <v>1.9269999999999999E-3</v>
      </c>
      <c r="AB54" s="113">
        <v>1.9269999999999999E-3</v>
      </c>
      <c r="AC54" s="113">
        <v>1.9269999999999999E-3</v>
      </c>
      <c r="AD54" s="113">
        <v>1.9269999999999999E-3</v>
      </c>
      <c r="AE54" s="113">
        <v>1.9269999999999999E-3</v>
      </c>
      <c r="AF54" s="113">
        <v>1.9269999999999999E-3</v>
      </c>
      <c r="AG54" s="113">
        <v>1.9269999999999999E-3</v>
      </c>
    </row>
    <row r="55" spans="1:33">
      <c r="A55" s="113" t="s">
        <v>18778</v>
      </c>
      <c r="B55" s="113" t="s">
        <v>18781</v>
      </c>
      <c r="C55" s="113" t="s">
        <v>18769</v>
      </c>
      <c r="D55" s="113" t="s">
        <v>18782</v>
      </c>
      <c r="E55" s="113" t="s">
        <v>1544</v>
      </c>
      <c r="F55" s="113" t="s">
        <v>598</v>
      </c>
      <c r="G55" s="113" t="s">
        <v>478</v>
      </c>
      <c r="H55" s="113" t="s">
        <v>2266</v>
      </c>
      <c r="I55" s="113" t="s">
        <v>2267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  <c r="O55" s="113">
        <v>0</v>
      </c>
      <c r="P55" s="113">
        <v>0</v>
      </c>
      <c r="Q55" s="113">
        <v>0</v>
      </c>
      <c r="R55" s="113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13">
        <v>0</v>
      </c>
      <c r="AG55" s="113">
        <v>0</v>
      </c>
    </row>
    <row r="56" spans="1:33">
      <c r="A56" s="113" t="s">
        <v>18778</v>
      </c>
      <c r="B56" s="113" t="s">
        <v>18783</v>
      </c>
      <c r="C56" s="113" t="s">
        <v>18769</v>
      </c>
      <c r="D56" s="113" t="s">
        <v>18784</v>
      </c>
      <c r="E56" s="113" t="s">
        <v>1544</v>
      </c>
      <c r="F56" s="113" t="s">
        <v>598</v>
      </c>
      <c r="G56" s="113" t="s">
        <v>478</v>
      </c>
      <c r="H56" s="113" t="s">
        <v>2266</v>
      </c>
      <c r="I56" s="113" t="s">
        <v>2267</v>
      </c>
      <c r="J56" s="113">
        <v>6.7619999999999998E-3</v>
      </c>
      <c r="K56" s="113">
        <v>6.79E-3</v>
      </c>
      <c r="L56" s="113">
        <v>6.8180000000000003E-3</v>
      </c>
      <c r="M56" s="113">
        <v>6.8459999999999997E-3</v>
      </c>
      <c r="N56" s="113">
        <v>6.8729999999999998E-3</v>
      </c>
      <c r="O56" s="113">
        <v>6.8999999999999999E-3</v>
      </c>
      <c r="P56" s="113">
        <v>6.9259999999999999E-3</v>
      </c>
      <c r="Q56" s="113">
        <v>6.9519999999999998E-3</v>
      </c>
      <c r="R56" s="113">
        <v>6.9779999999999998E-3</v>
      </c>
      <c r="S56" s="113">
        <v>7.0029999999999997E-3</v>
      </c>
      <c r="T56" s="113">
        <v>7.0289999999999997E-3</v>
      </c>
      <c r="U56" s="113">
        <v>7.0530000000000002E-3</v>
      </c>
      <c r="V56" s="113">
        <v>7.077E-3</v>
      </c>
      <c r="W56" s="113">
        <v>7.1019999999999998E-3</v>
      </c>
      <c r="X56" s="113">
        <v>7.1250000000000003E-3</v>
      </c>
      <c r="Y56" s="113">
        <v>7.149E-3</v>
      </c>
      <c r="Z56" s="113">
        <v>7.1720000000000004E-3</v>
      </c>
      <c r="AA56" s="113">
        <v>7.1939999999999999E-3</v>
      </c>
      <c r="AB56" s="113">
        <v>7.2160000000000002E-3</v>
      </c>
      <c r="AC56" s="113">
        <v>7.2379999999999996E-3</v>
      </c>
      <c r="AD56" s="113">
        <v>7.26E-3</v>
      </c>
      <c r="AE56" s="113">
        <v>7.2810000000000001E-3</v>
      </c>
      <c r="AF56" s="113">
        <v>7.3010000000000002E-3</v>
      </c>
      <c r="AG56" s="113">
        <v>7.3220000000000004E-3</v>
      </c>
    </row>
    <row r="57" spans="1:33">
      <c r="A57" s="113" t="s">
        <v>18778</v>
      </c>
      <c r="B57" s="113" t="s">
        <v>18785</v>
      </c>
      <c r="C57" s="113" t="s">
        <v>18769</v>
      </c>
      <c r="D57" s="113" t="s">
        <v>18786</v>
      </c>
      <c r="E57" s="113" t="s">
        <v>1544</v>
      </c>
      <c r="F57" s="113" t="s">
        <v>598</v>
      </c>
      <c r="G57" s="113" t="s">
        <v>478</v>
      </c>
      <c r="H57" s="113" t="s">
        <v>2266</v>
      </c>
      <c r="I57" s="113" t="s">
        <v>2267</v>
      </c>
      <c r="J57" s="113">
        <v>1.4200000000000001E-4</v>
      </c>
      <c r="K57" s="113">
        <v>1.37E-4</v>
      </c>
      <c r="L57" s="113">
        <v>1.3200000000000001E-4</v>
      </c>
      <c r="M57" s="113">
        <v>1.2799999999999999E-4</v>
      </c>
      <c r="N57" s="113">
        <v>1.2400000000000001E-4</v>
      </c>
      <c r="O57" s="113">
        <v>1.1900000000000001E-4</v>
      </c>
      <c r="P57" s="113">
        <v>1.15E-4</v>
      </c>
      <c r="Q57" s="113">
        <v>1.11E-4</v>
      </c>
      <c r="R57" s="113">
        <v>1.0900000000000001E-4</v>
      </c>
      <c r="S57" s="113">
        <v>1.06E-4</v>
      </c>
      <c r="T57" s="113">
        <v>1.03E-4</v>
      </c>
      <c r="U57" s="113">
        <v>1E-4</v>
      </c>
      <c r="V57" s="234">
        <v>9.7700000000000003E-5</v>
      </c>
      <c r="W57" s="234">
        <v>9.5000000000000005E-5</v>
      </c>
      <c r="X57" s="234">
        <v>9.2200000000000005E-5</v>
      </c>
      <c r="Y57" s="234">
        <v>8.9499999999999994E-5</v>
      </c>
      <c r="Z57" s="234">
        <v>8.6799999999999996E-5</v>
      </c>
      <c r="AA57" s="234">
        <v>8.4099999999999998E-5</v>
      </c>
      <c r="AB57" s="234">
        <v>8.14E-5</v>
      </c>
      <c r="AC57" s="234">
        <v>7.86E-5</v>
      </c>
      <c r="AD57" s="234">
        <v>7.5900000000000002E-5</v>
      </c>
      <c r="AE57" s="234">
        <v>7.3200000000000004E-5</v>
      </c>
      <c r="AF57" s="234">
        <v>7.0500000000000006E-5</v>
      </c>
      <c r="AG57" s="234">
        <v>6.7799999999999995E-5</v>
      </c>
    </row>
    <row r="58" spans="1:33">
      <c r="A58" s="113" t="s">
        <v>18778</v>
      </c>
      <c r="B58" s="232" t="s">
        <v>18787</v>
      </c>
      <c r="C58" s="113" t="s">
        <v>18788</v>
      </c>
      <c r="D58" s="113" t="s">
        <v>18788</v>
      </c>
      <c r="E58" s="113" t="s">
        <v>18789</v>
      </c>
      <c r="F58" s="113" t="s">
        <v>18789</v>
      </c>
      <c r="G58" s="113" t="s">
        <v>478</v>
      </c>
      <c r="H58" s="113" t="s">
        <v>2266</v>
      </c>
      <c r="I58" s="113" t="s">
        <v>2267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13">
        <v>0</v>
      </c>
      <c r="AG58" s="113">
        <v>0</v>
      </c>
    </row>
    <row r="59" spans="1:33">
      <c r="A59" s="113" t="s">
        <v>18778</v>
      </c>
      <c r="B59" s="113" t="s">
        <v>18768</v>
      </c>
      <c r="C59" s="113" t="s">
        <v>18769</v>
      </c>
      <c r="D59" s="113" t="s">
        <v>18770</v>
      </c>
      <c r="E59" s="113" t="s">
        <v>781</v>
      </c>
      <c r="F59" s="113" t="s">
        <v>598</v>
      </c>
      <c r="G59" s="113" t="s">
        <v>478</v>
      </c>
      <c r="H59" s="113" t="s">
        <v>2266</v>
      </c>
      <c r="I59" s="113" t="s">
        <v>2267</v>
      </c>
      <c r="J59" s="113">
        <v>2.8808440000000002</v>
      </c>
      <c r="K59" s="113">
        <v>2.8849290000000001</v>
      </c>
      <c r="L59" s="113">
        <v>2.8888769999999999</v>
      </c>
      <c r="M59" s="113">
        <v>2.8925540000000001</v>
      </c>
      <c r="N59" s="113">
        <v>2.8961950000000001</v>
      </c>
      <c r="O59" s="113">
        <v>2.8997790000000001</v>
      </c>
      <c r="P59" s="113">
        <v>2.9031920000000002</v>
      </c>
      <c r="Q59" s="113">
        <v>2.9064899999999998</v>
      </c>
      <c r="R59" s="113">
        <v>2.9096769999999998</v>
      </c>
      <c r="S59" s="113">
        <v>2.912639</v>
      </c>
      <c r="T59" s="113">
        <v>2.9155989999999998</v>
      </c>
      <c r="U59" s="113">
        <v>2.9184130000000001</v>
      </c>
      <c r="V59" s="113">
        <v>2.9211119999999999</v>
      </c>
      <c r="W59" s="113">
        <v>2.923762</v>
      </c>
      <c r="X59" s="113">
        <v>2.9262929999999998</v>
      </c>
      <c r="Y59" s="113">
        <v>2.9287109999999998</v>
      </c>
      <c r="Z59" s="113">
        <v>2.9309569999999998</v>
      </c>
      <c r="AA59" s="113">
        <v>2.9331559999999999</v>
      </c>
      <c r="AB59" s="113">
        <v>2.9351319999999999</v>
      </c>
      <c r="AC59" s="113">
        <v>2.937071</v>
      </c>
      <c r="AD59" s="113">
        <v>2.9389029999999998</v>
      </c>
      <c r="AE59" s="113">
        <v>2.9405290000000002</v>
      </c>
      <c r="AF59" s="113">
        <v>2.9420899999999999</v>
      </c>
      <c r="AG59" s="113">
        <v>2.9434499999999999</v>
      </c>
    </row>
    <row r="60" spans="1:33">
      <c r="A60" s="113" t="s">
        <v>18778</v>
      </c>
      <c r="B60" s="113" t="s">
        <v>18771</v>
      </c>
      <c r="C60" s="113" t="s">
        <v>18769</v>
      </c>
      <c r="D60" s="113" t="s">
        <v>18772</v>
      </c>
      <c r="E60" s="113" t="s">
        <v>781</v>
      </c>
      <c r="F60" s="113" t="s">
        <v>598</v>
      </c>
      <c r="G60" s="113" t="s">
        <v>478</v>
      </c>
      <c r="H60" s="113" t="s">
        <v>2266</v>
      </c>
      <c r="I60" s="113" t="s">
        <v>2267</v>
      </c>
      <c r="J60" s="113">
        <v>0.13003700000000001</v>
      </c>
      <c r="K60" s="113">
        <v>0.13062099999999999</v>
      </c>
      <c r="L60" s="113">
        <v>0.13118199999999999</v>
      </c>
      <c r="M60" s="113">
        <v>0.13172300000000001</v>
      </c>
      <c r="N60" s="113">
        <v>0.13224</v>
      </c>
      <c r="O60" s="113">
        <v>0.132747</v>
      </c>
      <c r="P60" s="113">
        <v>0.13323399999999999</v>
      </c>
      <c r="Q60" s="113">
        <v>0.13370099999999999</v>
      </c>
      <c r="R60" s="113">
        <v>0.13414899999999999</v>
      </c>
      <c r="S60" s="113">
        <v>0.134577</v>
      </c>
      <c r="T60" s="113">
        <v>0.13498599999999999</v>
      </c>
      <c r="U60" s="113">
        <v>0.13536999999999999</v>
      </c>
      <c r="V60" s="113">
        <v>0.13573399999999999</v>
      </c>
      <c r="W60" s="113">
        <v>0.13608999999999999</v>
      </c>
      <c r="X60" s="113">
        <v>0.13642599999999999</v>
      </c>
      <c r="Y60" s="113">
        <v>0.13673299999999999</v>
      </c>
      <c r="Z60" s="113">
        <v>0.13702</v>
      </c>
      <c r="AA60" s="113">
        <v>0.13729</v>
      </c>
      <c r="AB60" s="113">
        <v>0.13753000000000001</v>
      </c>
      <c r="AC60" s="113">
        <v>0.137765</v>
      </c>
      <c r="AD60" s="113">
        <v>0.13797200000000001</v>
      </c>
      <c r="AE60" s="113">
        <v>0.138153</v>
      </c>
      <c r="AF60" s="113">
        <v>0.138322</v>
      </c>
      <c r="AG60" s="113">
        <v>0.138457</v>
      </c>
    </row>
    <row r="61" spans="1:33" ht="15.75" thickBot="1">
      <c r="A61" s="233" t="s">
        <v>18778</v>
      </c>
      <c r="B61" s="233" t="s">
        <v>18773</v>
      </c>
      <c r="C61" s="233" t="s">
        <v>18769</v>
      </c>
      <c r="D61" s="233" t="s">
        <v>18774</v>
      </c>
      <c r="E61" s="233" t="s">
        <v>781</v>
      </c>
      <c r="F61" s="233" t="s">
        <v>598</v>
      </c>
      <c r="G61" s="233" t="s">
        <v>478</v>
      </c>
      <c r="H61" s="233" t="s">
        <v>2266</v>
      </c>
      <c r="I61" s="233" t="s">
        <v>2267</v>
      </c>
      <c r="J61" s="233">
        <v>8.0684000000000006E-2</v>
      </c>
      <c r="K61" s="233">
        <v>8.1755999999999995E-2</v>
      </c>
      <c r="L61" s="233">
        <v>8.2827999999999999E-2</v>
      </c>
      <c r="M61" s="233">
        <v>8.3900000000000002E-2</v>
      </c>
      <c r="N61" s="233">
        <v>8.4971000000000005E-2</v>
      </c>
      <c r="O61" s="233">
        <v>8.6042999999999994E-2</v>
      </c>
      <c r="P61" s="233">
        <v>8.7114999999999998E-2</v>
      </c>
      <c r="Q61" s="233">
        <v>8.8187000000000001E-2</v>
      </c>
      <c r="R61" s="233">
        <v>8.9258000000000004E-2</v>
      </c>
      <c r="S61" s="233">
        <v>9.0329999999999994E-2</v>
      </c>
      <c r="T61" s="233">
        <v>9.1401999999999997E-2</v>
      </c>
      <c r="U61" s="233">
        <v>9.2474000000000001E-2</v>
      </c>
      <c r="V61" s="233">
        <v>9.3546000000000004E-2</v>
      </c>
      <c r="W61" s="233">
        <v>9.4617000000000007E-2</v>
      </c>
      <c r="X61" s="233">
        <v>9.5688999999999996E-2</v>
      </c>
      <c r="Y61" s="233">
        <v>9.6761E-2</v>
      </c>
      <c r="Z61" s="233">
        <v>9.7833000000000003E-2</v>
      </c>
      <c r="AA61" s="233">
        <v>9.8905000000000007E-2</v>
      </c>
      <c r="AB61" s="233">
        <v>9.9975999999999995E-2</v>
      </c>
      <c r="AC61" s="233">
        <v>0.101048</v>
      </c>
      <c r="AD61" s="233">
        <v>0.10212</v>
      </c>
      <c r="AE61" s="233">
        <v>0.10319200000000001</v>
      </c>
      <c r="AF61" s="233">
        <v>0.104264</v>
      </c>
      <c r="AG61" s="233">
        <v>0.105335</v>
      </c>
    </row>
    <row r="62" spans="1:33">
      <c r="A62" s="172" t="s">
        <v>18775</v>
      </c>
      <c r="B62" s="113"/>
      <c r="C62" s="113"/>
      <c r="D62" s="113"/>
      <c r="E62" s="113"/>
      <c r="F62" s="113"/>
      <c r="G62" s="113"/>
      <c r="H62" s="113"/>
      <c r="I62" s="113"/>
      <c r="J62" s="113">
        <v>3.1003959999999999</v>
      </c>
      <c r="K62" s="113">
        <v>3.10616</v>
      </c>
      <c r="L62" s="113">
        <v>3.1117650000000001</v>
      </c>
      <c r="M62" s="113">
        <v>3.1170770000000001</v>
      </c>
      <c r="N62" s="113">
        <v>3.1223299999999998</v>
      </c>
      <c r="O62" s="113">
        <v>3.127516</v>
      </c>
      <c r="P62" s="113">
        <v>3.1325099999999999</v>
      </c>
      <c r="Q62" s="113">
        <v>3.1373690000000001</v>
      </c>
      <c r="R62" s="113">
        <v>3.142099</v>
      </c>
      <c r="S62" s="113">
        <v>3.1465830000000001</v>
      </c>
      <c r="T62" s="113">
        <v>3.151046</v>
      </c>
      <c r="U62" s="113">
        <v>3.155338</v>
      </c>
      <c r="V62" s="113">
        <v>3.159494</v>
      </c>
      <c r="W62" s="113">
        <v>3.1635930000000001</v>
      </c>
      <c r="X62" s="113">
        <v>3.1675529999999998</v>
      </c>
      <c r="Y62" s="113">
        <v>3.1713710000000002</v>
      </c>
      <c r="Z62" s="113">
        <v>3.174995</v>
      </c>
      <c r="AA62" s="113">
        <v>3.1785570000000001</v>
      </c>
      <c r="AB62" s="113">
        <v>3.1818629999999999</v>
      </c>
      <c r="AC62" s="113">
        <v>3.1851280000000002</v>
      </c>
      <c r="AD62" s="113">
        <v>3.1882579999999998</v>
      </c>
      <c r="AE62" s="113">
        <v>3.191154</v>
      </c>
      <c r="AF62" s="113">
        <v>3.1939760000000001</v>
      </c>
      <c r="AG62" s="113">
        <v>3.1965590000000002</v>
      </c>
    </row>
    <row r="63" spans="1:33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</row>
    <row r="64" spans="1:33" ht="15.75" thickBot="1">
      <c r="A64" s="231" t="s">
        <v>569</v>
      </c>
      <c r="B64" s="231" t="s">
        <v>570</v>
      </c>
      <c r="C64" s="231" t="s">
        <v>571</v>
      </c>
      <c r="D64" s="231" t="s">
        <v>572</v>
      </c>
      <c r="E64" s="231" t="s">
        <v>573</v>
      </c>
      <c r="F64" s="231" t="s">
        <v>574</v>
      </c>
      <c r="G64" s="231" t="s">
        <v>575</v>
      </c>
      <c r="H64" s="231" t="s">
        <v>576</v>
      </c>
      <c r="I64" s="231" t="s">
        <v>577</v>
      </c>
      <c r="J64" s="231">
        <v>2023</v>
      </c>
      <c r="K64" s="231">
        <v>2024</v>
      </c>
      <c r="L64" s="231">
        <v>2025</v>
      </c>
      <c r="M64" s="231">
        <v>2026</v>
      </c>
      <c r="N64" s="231">
        <v>2027</v>
      </c>
      <c r="O64" s="231">
        <v>2028</v>
      </c>
      <c r="P64" s="231">
        <v>2029</v>
      </c>
      <c r="Q64" s="231">
        <v>2030</v>
      </c>
      <c r="R64" s="231">
        <v>2031</v>
      </c>
      <c r="S64" s="231">
        <v>2032</v>
      </c>
      <c r="T64" s="231">
        <v>2033</v>
      </c>
      <c r="U64" s="231">
        <v>2034</v>
      </c>
      <c r="V64" s="231">
        <v>2035</v>
      </c>
      <c r="W64" s="231">
        <v>2036</v>
      </c>
      <c r="X64" s="231">
        <v>2037</v>
      </c>
      <c r="Y64" s="231">
        <v>2038</v>
      </c>
      <c r="Z64" s="231">
        <v>2039</v>
      </c>
      <c r="AA64" s="231">
        <v>2040</v>
      </c>
      <c r="AB64" s="231">
        <v>2041</v>
      </c>
      <c r="AC64" s="231">
        <v>2042</v>
      </c>
      <c r="AD64" s="231">
        <v>2043</v>
      </c>
      <c r="AE64" s="231">
        <v>2044</v>
      </c>
      <c r="AF64" s="231">
        <v>2045</v>
      </c>
      <c r="AG64" s="231">
        <v>2046</v>
      </c>
    </row>
    <row r="65" spans="1:33">
      <c r="A65" s="113" t="s">
        <v>18790</v>
      </c>
      <c r="B65" s="113" t="s">
        <v>18785</v>
      </c>
      <c r="C65" s="113" t="s">
        <v>18769</v>
      </c>
      <c r="D65" s="113" t="s">
        <v>18786</v>
      </c>
      <c r="E65" s="113" t="s">
        <v>1544</v>
      </c>
      <c r="F65" s="113" t="s">
        <v>598</v>
      </c>
      <c r="G65" s="113" t="s">
        <v>478</v>
      </c>
      <c r="H65" s="113" t="s">
        <v>2266</v>
      </c>
      <c r="I65" s="113" t="s">
        <v>2267</v>
      </c>
      <c r="J65" s="113">
        <v>0</v>
      </c>
      <c r="K65" s="113">
        <v>0</v>
      </c>
      <c r="L65" s="113">
        <v>0</v>
      </c>
      <c r="M65" s="113">
        <v>0</v>
      </c>
      <c r="N65" s="113">
        <v>0</v>
      </c>
      <c r="O65" s="113">
        <v>0</v>
      </c>
      <c r="P65" s="113">
        <v>0</v>
      </c>
      <c r="Q65" s="113">
        <v>0</v>
      </c>
      <c r="R65" s="113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0</v>
      </c>
      <c r="AF65" s="113">
        <v>0</v>
      </c>
      <c r="AG65" s="113">
        <v>0</v>
      </c>
    </row>
    <row r="66" spans="1:33" ht="15.75" thickBot="1">
      <c r="A66" s="233" t="s">
        <v>18790</v>
      </c>
      <c r="B66" s="233" t="s">
        <v>18773</v>
      </c>
      <c r="C66" s="233" t="s">
        <v>18769</v>
      </c>
      <c r="D66" s="233" t="s">
        <v>18774</v>
      </c>
      <c r="E66" s="233" t="s">
        <v>781</v>
      </c>
      <c r="F66" s="233" t="s">
        <v>598</v>
      </c>
      <c r="G66" s="233" t="s">
        <v>478</v>
      </c>
      <c r="H66" s="233" t="s">
        <v>2266</v>
      </c>
      <c r="I66" s="233" t="s">
        <v>2267</v>
      </c>
      <c r="J66" s="233">
        <v>1.6698999999999999E-2</v>
      </c>
      <c r="K66" s="233">
        <v>1.6709999999999999E-2</v>
      </c>
      <c r="L66" s="233">
        <v>1.6721E-2</v>
      </c>
      <c r="M66" s="233">
        <v>1.6732E-2</v>
      </c>
      <c r="N66" s="233">
        <v>1.6742E-2</v>
      </c>
      <c r="O66" s="233">
        <v>1.6753000000000001E-2</v>
      </c>
      <c r="P66" s="233">
        <v>1.6764000000000001E-2</v>
      </c>
      <c r="Q66" s="233">
        <v>1.6775000000000002E-2</v>
      </c>
      <c r="R66" s="233">
        <v>1.6785000000000001E-2</v>
      </c>
      <c r="S66" s="233">
        <v>1.6795999999999998E-2</v>
      </c>
      <c r="T66" s="233">
        <v>1.6806999999999999E-2</v>
      </c>
      <c r="U66" s="233">
        <v>1.6818E-2</v>
      </c>
      <c r="V66" s="233">
        <v>1.6827999999999999E-2</v>
      </c>
      <c r="W66" s="233">
        <v>1.6839E-2</v>
      </c>
      <c r="X66" s="233">
        <v>1.685E-2</v>
      </c>
      <c r="Y66" s="233">
        <v>1.686E-2</v>
      </c>
      <c r="Z66" s="233">
        <v>1.6871000000000001E-2</v>
      </c>
      <c r="AA66" s="233">
        <v>1.6882000000000001E-2</v>
      </c>
      <c r="AB66" s="233">
        <v>1.6892999999999998E-2</v>
      </c>
      <c r="AC66" s="233">
        <v>1.6903000000000001E-2</v>
      </c>
      <c r="AD66" s="233">
        <v>1.6913999999999998E-2</v>
      </c>
      <c r="AE66" s="233">
        <v>1.6924999999999999E-2</v>
      </c>
      <c r="AF66" s="233">
        <v>1.6936E-2</v>
      </c>
      <c r="AG66" s="233">
        <v>1.6945999999999999E-2</v>
      </c>
    </row>
    <row r="67" spans="1:33">
      <c r="A67" s="172" t="s">
        <v>18775</v>
      </c>
      <c r="B67" s="113"/>
      <c r="C67" s="113"/>
      <c r="D67" s="113"/>
      <c r="E67" s="113"/>
      <c r="F67" s="113"/>
      <c r="G67" s="113"/>
      <c r="H67" s="113"/>
      <c r="I67" s="113"/>
      <c r="J67" s="113">
        <v>1.6698999999999999E-2</v>
      </c>
      <c r="K67" s="113">
        <v>1.6709999999999999E-2</v>
      </c>
      <c r="L67" s="113">
        <v>1.6721E-2</v>
      </c>
      <c r="M67" s="113">
        <v>1.6732E-2</v>
      </c>
      <c r="N67" s="113">
        <v>1.6742E-2</v>
      </c>
      <c r="O67" s="113">
        <v>1.6753000000000001E-2</v>
      </c>
      <c r="P67" s="113">
        <v>1.6764000000000001E-2</v>
      </c>
      <c r="Q67" s="113">
        <v>1.6775000000000002E-2</v>
      </c>
      <c r="R67" s="113">
        <v>1.6785000000000001E-2</v>
      </c>
      <c r="S67" s="113">
        <v>1.6795999999999998E-2</v>
      </c>
      <c r="T67" s="113">
        <v>1.6806999999999999E-2</v>
      </c>
      <c r="U67" s="113">
        <v>1.6818E-2</v>
      </c>
      <c r="V67" s="113">
        <v>1.6827999999999999E-2</v>
      </c>
      <c r="W67" s="113">
        <v>1.6839E-2</v>
      </c>
      <c r="X67" s="113">
        <v>1.685E-2</v>
      </c>
      <c r="Y67" s="113">
        <v>1.686E-2</v>
      </c>
      <c r="Z67" s="113">
        <v>1.6871000000000001E-2</v>
      </c>
      <c r="AA67" s="113">
        <v>1.6882000000000001E-2</v>
      </c>
      <c r="AB67" s="113">
        <v>1.6892999999999998E-2</v>
      </c>
      <c r="AC67" s="113">
        <v>1.6903000000000001E-2</v>
      </c>
      <c r="AD67" s="113">
        <v>1.6913999999999998E-2</v>
      </c>
      <c r="AE67" s="113">
        <v>1.6924999999999999E-2</v>
      </c>
      <c r="AF67" s="113">
        <v>1.6936E-2</v>
      </c>
      <c r="AG67" s="113">
        <v>1.6945999999999999E-2</v>
      </c>
    </row>
    <row r="68" spans="1:33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33" ht="15.75" thickBot="1">
      <c r="A69" s="231" t="s">
        <v>569</v>
      </c>
      <c r="B69" s="231" t="s">
        <v>570</v>
      </c>
      <c r="C69" s="231" t="s">
        <v>571</v>
      </c>
      <c r="D69" s="231" t="s">
        <v>572</v>
      </c>
      <c r="E69" s="231" t="s">
        <v>573</v>
      </c>
      <c r="F69" s="231" t="s">
        <v>574</v>
      </c>
      <c r="G69" s="231" t="s">
        <v>575</v>
      </c>
      <c r="H69" s="231" t="s">
        <v>576</v>
      </c>
      <c r="I69" s="231" t="s">
        <v>577</v>
      </c>
      <c r="J69" s="231">
        <v>2023</v>
      </c>
      <c r="K69" s="231">
        <v>2024</v>
      </c>
      <c r="L69" s="231">
        <v>2025</v>
      </c>
      <c r="M69" s="231">
        <v>2026</v>
      </c>
      <c r="N69" s="231">
        <v>2027</v>
      </c>
      <c r="O69" s="231">
        <v>2028</v>
      </c>
      <c r="P69" s="231">
        <v>2029</v>
      </c>
      <c r="Q69" s="231">
        <v>2030</v>
      </c>
      <c r="R69" s="231">
        <v>2031</v>
      </c>
      <c r="S69" s="231">
        <v>2032</v>
      </c>
      <c r="T69" s="231">
        <v>2033</v>
      </c>
      <c r="U69" s="231">
        <v>2034</v>
      </c>
      <c r="V69" s="231">
        <v>2035</v>
      </c>
      <c r="W69" s="231">
        <v>2036</v>
      </c>
      <c r="X69" s="231">
        <v>2037</v>
      </c>
      <c r="Y69" s="231">
        <v>2038</v>
      </c>
      <c r="Z69" s="231">
        <v>2039</v>
      </c>
      <c r="AA69" s="231">
        <v>2040</v>
      </c>
      <c r="AB69" s="231">
        <v>2041</v>
      </c>
      <c r="AC69" s="231">
        <v>2042</v>
      </c>
      <c r="AD69" s="231">
        <v>2043</v>
      </c>
      <c r="AE69" s="231">
        <v>2044</v>
      </c>
      <c r="AF69" s="231">
        <v>2045</v>
      </c>
      <c r="AG69" s="231">
        <v>2046</v>
      </c>
    </row>
    <row r="70" spans="1:33">
      <c r="A70" s="113" t="s">
        <v>2264</v>
      </c>
      <c r="B70" s="113" t="s">
        <v>18785</v>
      </c>
      <c r="C70" s="113" t="s">
        <v>18769</v>
      </c>
      <c r="D70" s="113" t="s">
        <v>18786</v>
      </c>
      <c r="E70" s="113" t="s">
        <v>1544</v>
      </c>
      <c r="F70" s="113" t="s">
        <v>598</v>
      </c>
      <c r="G70" s="113" t="s">
        <v>478</v>
      </c>
      <c r="H70" s="113" t="s">
        <v>2266</v>
      </c>
      <c r="I70" s="113" t="s">
        <v>2267</v>
      </c>
      <c r="J70" s="113">
        <v>2.7399999999999999E-4</v>
      </c>
      <c r="K70" s="113">
        <v>2.6400000000000002E-4</v>
      </c>
      <c r="L70" s="113">
        <v>2.5500000000000002E-4</v>
      </c>
      <c r="M70" s="113">
        <v>2.4699999999999999E-4</v>
      </c>
      <c r="N70" s="113">
        <v>2.3900000000000001E-4</v>
      </c>
      <c r="O70" s="113">
        <v>2.31E-4</v>
      </c>
      <c r="P70" s="113">
        <v>2.23E-4</v>
      </c>
      <c r="Q70" s="113">
        <v>2.1499999999999999E-4</v>
      </c>
      <c r="R70" s="113">
        <v>2.1000000000000001E-4</v>
      </c>
      <c r="S70" s="113">
        <v>2.05E-4</v>
      </c>
      <c r="T70" s="113">
        <v>1.9900000000000001E-4</v>
      </c>
      <c r="U70" s="113">
        <v>1.94E-4</v>
      </c>
      <c r="V70" s="113">
        <v>1.8900000000000001E-4</v>
      </c>
      <c r="W70" s="113">
        <v>1.84E-4</v>
      </c>
      <c r="X70" s="113">
        <v>1.7799999999999999E-4</v>
      </c>
      <c r="Y70" s="113">
        <v>1.73E-4</v>
      </c>
      <c r="Z70" s="113">
        <v>1.6799999999999999E-4</v>
      </c>
      <c r="AA70" s="113">
        <v>1.63E-4</v>
      </c>
      <c r="AB70" s="113">
        <v>1.5699999999999999E-4</v>
      </c>
      <c r="AC70" s="113">
        <v>1.5200000000000001E-4</v>
      </c>
      <c r="AD70" s="113">
        <v>1.47E-4</v>
      </c>
      <c r="AE70" s="113">
        <v>1.4200000000000001E-4</v>
      </c>
      <c r="AF70" s="113">
        <v>1.36E-4</v>
      </c>
      <c r="AG70" s="113">
        <v>1.3100000000000001E-4</v>
      </c>
    </row>
    <row r="71" spans="1:33">
      <c r="A71" s="113" t="s">
        <v>2264</v>
      </c>
      <c r="B71" s="113" t="s">
        <v>18768</v>
      </c>
      <c r="C71" s="113" t="s">
        <v>18769</v>
      </c>
      <c r="D71" s="113" t="s">
        <v>18770</v>
      </c>
      <c r="E71" s="113" t="s">
        <v>781</v>
      </c>
      <c r="F71" s="113" t="s">
        <v>598</v>
      </c>
      <c r="G71" s="113" t="s">
        <v>478</v>
      </c>
      <c r="H71" s="113" t="s">
        <v>2266</v>
      </c>
      <c r="I71" s="113" t="s">
        <v>2267</v>
      </c>
      <c r="J71" s="113">
        <v>6.1095999999999998E-2</v>
      </c>
      <c r="K71" s="113">
        <v>6.1095999999999998E-2</v>
      </c>
      <c r="L71" s="113">
        <v>6.1095999999999998E-2</v>
      </c>
      <c r="M71" s="113">
        <v>6.1095999999999998E-2</v>
      </c>
      <c r="N71" s="113">
        <v>6.1095999999999998E-2</v>
      </c>
      <c r="O71" s="113">
        <v>6.1095999999999998E-2</v>
      </c>
      <c r="P71" s="113">
        <v>6.1095999999999998E-2</v>
      </c>
      <c r="Q71" s="113">
        <v>6.1095999999999998E-2</v>
      </c>
      <c r="R71" s="113">
        <v>6.1095999999999998E-2</v>
      </c>
      <c r="S71" s="113">
        <v>6.1095999999999998E-2</v>
      </c>
      <c r="T71" s="113">
        <v>6.1095999999999998E-2</v>
      </c>
      <c r="U71" s="113">
        <v>6.1095999999999998E-2</v>
      </c>
      <c r="V71" s="113">
        <v>6.1095999999999998E-2</v>
      </c>
      <c r="W71" s="113">
        <v>6.1095999999999998E-2</v>
      </c>
      <c r="X71" s="113">
        <v>6.1095999999999998E-2</v>
      </c>
      <c r="Y71" s="113">
        <v>6.1095999999999998E-2</v>
      </c>
      <c r="Z71" s="113">
        <v>6.1095999999999998E-2</v>
      </c>
      <c r="AA71" s="113">
        <v>6.1095999999999998E-2</v>
      </c>
      <c r="AB71" s="113">
        <v>6.1095999999999998E-2</v>
      </c>
      <c r="AC71" s="113">
        <v>6.1095999999999998E-2</v>
      </c>
      <c r="AD71" s="113">
        <v>6.1095999999999998E-2</v>
      </c>
      <c r="AE71" s="113">
        <v>6.1095999999999998E-2</v>
      </c>
      <c r="AF71" s="113">
        <v>6.1095999999999998E-2</v>
      </c>
      <c r="AG71" s="113">
        <v>6.1095999999999998E-2</v>
      </c>
    </row>
    <row r="72" spans="1:33">
      <c r="A72" s="113" t="s">
        <v>2264</v>
      </c>
      <c r="B72" s="113" t="s">
        <v>18771</v>
      </c>
      <c r="C72" s="113" t="s">
        <v>18769</v>
      </c>
      <c r="D72" s="113" t="s">
        <v>18772</v>
      </c>
      <c r="E72" s="113" t="s">
        <v>781</v>
      </c>
      <c r="F72" s="113" t="s">
        <v>598</v>
      </c>
      <c r="G72" s="113" t="s">
        <v>478</v>
      </c>
      <c r="H72" s="113" t="s">
        <v>2266</v>
      </c>
      <c r="I72" s="113" t="s">
        <v>2267</v>
      </c>
      <c r="J72" s="113">
        <v>0.44559199999999999</v>
      </c>
      <c r="K72" s="113">
        <v>0.45150899999999999</v>
      </c>
      <c r="L72" s="113">
        <v>0.457426</v>
      </c>
      <c r="M72" s="113">
        <v>0.463343</v>
      </c>
      <c r="N72" s="113">
        <v>0.46926099999999998</v>
      </c>
      <c r="O72" s="113">
        <v>0.47517799999999999</v>
      </c>
      <c r="P72" s="113">
        <v>0.48109499999999999</v>
      </c>
      <c r="Q72" s="113">
        <v>0.48701299999999997</v>
      </c>
      <c r="R72" s="113">
        <v>0.49292999999999998</v>
      </c>
      <c r="S72" s="113">
        <v>0.49884699999999998</v>
      </c>
      <c r="T72" s="113">
        <v>0.50476399999999999</v>
      </c>
      <c r="U72" s="113">
        <v>0.51068199999999997</v>
      </c>
      <c r="V72" s="113">
        <v>0.51659900000000003</v>
      </c>
      <c r="W72" s="113">
        <v>0.52251599999999998</v>
      </c>
      <c r="X72" s="113">
        <v>0.52843399999999996</v>
      </c>
      <c r="Y72" s="113">
        <v>0.53435100000000002</v>
      </c>
      <c r="Z72" s="113">
        <v>0.54026799999999997</v>
      </c>
      <c r="AA72" s="113">
        <v>0.54618500000000003</v>
      </c>
      <c r="AB72" s="113">
        <v>0.55210300000000001</v>
      </c>
      <c r="AC72" s="113">
        <v>0.55801999999999996</v>
      </c>
      <c r="AD72" s="113">
        <v>0.56393700000000002</v>
      </c>
      <c r="AE72" s="113">
        <v>0.569855</v>
      </c>
      <c r="AF72" s="113">
        <v>0.57577199999999995</v>
      </c>
      <c r="AG72" s="113">
        <v>0.58168900000000001</v>
      </c>
    </row>
    <row r="73" spans="1:33" ht="15.75" thickBot="1">
      <c r="A73" s="233" t="s">
        <v>2264</v>
      </c>
      <c r="B73" s="233" t="s">
        <v>18773</v>
      </c>
      <c r="C73" s="233" t="s">
        <v>18769</v>
      </c>
      <c r="D73" s="233" t="s">
        <v>18774</v>
      </c>
      <c r="E73" s="233" t="s">
        <v>781</v>
      </c>
      <c r="F73" s="233" t="s">
        <v>598</v>
      </c>
      <c r="G73" s="233" t="s">
        <v>478</v>
      </c>
      <c r="H73" s="233" t="s">
        <v>2266</v>
      </c>
      <c r="I73" s="233" t="s">
        <v>2267</v>
      </c>
      <c r="J73" s="233">
        <v>3.6206000000000002E-2</v>
      </c>
      <c r="K73" s="233">
        <v>3.6548999999999998E-2</v>
      </c>
      <c r="L73" s="233">
        <v>3.6891E-2</v>
      </c>
      <c r="M73" s="233">
        <v>3.7234000000000003E-2</v>
      </c>
      <c r="N73" s="233">
        <v>3.7575999999999998E-2</v>
      </c>
      <c r="O73" s="233">
        <v>3.7919000000000001E-2</v>
      </c>
      <c r="P73" s="233">
        <v>3.8261000000000003E-2</v>
      </c>
      <c r="Q73" s="233">
        <v>3.8603999999999999E-2</v>
      </c>
      <c r="R73" s="233">
        <v>3.8947000000000002E-2</v>
      </c>
      <c r="S73" s="233">
        <v>3.9288999999999998E-2</v>
      </c>
      <c r="T73" s="233">
        <v>3.9632000000000001E-2</v>
      </c>
      <c r="U73" s="233">
        <v>3.9974000000000003E-2</v>
      </c>
      <c r="V73" s="233">
        <v>4.0316999999999999E-2</v>
      </c>
      <c r="W73" s="233">
        <v>4.0659000000000001E-2</v>
      </c>
      <c r="X73" s="233">
        <v>4.1001999999999997E-2</v>
      </c>
      <c r="Y73" s="233">
        <v>4.1343999999999999E-2</v>
      </c>
      <c r="Z73" s="233">
        <v>4.1687000000000002E-2</v>
      </c>
      <c r="AA73" s="233">
        <v>4.2029999999999998E-2</v>
      </c>
      <c r="AB73" s="233">
        <v>4.2372E-2</v>
      </c>
      <c r="AC73" s="233">
        <v>4.2715000000000003E-2</v>
      </c>
      <c r="AD73" s="233">
        <v>4.3056999999999998E-2</v>
      </c>
      <c r="AE73" s="233">
        <v>4.3400000000000001E-2</v>
      </c>
      <c r="AF73" s="233">
        <v>4.3742000000000003E-2</v>
      </c>
      <c r="AG73" s="233">
        <v>4.4084999999999999E-2</v>
      </c>
    </row>
    <row r="74" spans="1:33">
      <c r="A74" s="172" t="s">
        <v>18775</v>
      </c>
      <c r="B74" s="113"/>
      <c r="C74" s="113"/>
      <c r="D74" s="113"/>
      <c r="E74" s="113"/>
      <c r="F74" s="113"/>
      <c r="G74" s="113"/>
      <c r="H74" s="113"/>
      <c r="I74" s="113"/>
      <c r="J74" s="113">
        <v>0.54316699999999996</v>
      </c>
      <c r="K74" s="113">
        <v>0.54941799999999996</v>
      </c>
      <c r="L74" s="113">
        <v>0.55566800000000005</v>
      </c>
      <c r="M74" s="113">
        <v>0.56191999999999998</v>
      </c>
      <c r="N74" s="113">
        <v>0.56817200000000001</v>
      </c>
      <c r="O74" s="113">
        <v>0.57442400000000005</v>
      </c>
      <c r="P74" s="113">
        <v>0.58067599999999997</v>
      </c>
      <c r="Q74" s="113">
        <v>0.58692800000000001</v>
      </c>
      <c r="R74" s="113">
        <v>0.59318199999999999</v>
      </c>
      <c r="S74" s="113">
        <v>0.599437</v>
      </c>
      <c r="T74" s="113">
        <v>0.60569099999999998</v>
      </c>
      <c r="U74" s="113">
        <v>0.61194599999999999</v>
      </c>
      <c r="V74" s="113">
        <v>0.618201</v>
      </c>
      <c r="W74" s="113">
        <v>0.62445499999999998</v>
      </c>
      <c r="X74" s="113">
        <v>0.63070999999999999</v>
      </c>
      <c r="Y74" s="113">
        <v>0.63696399999999997</v>
      </c>
      <c r="Z74" s="113">
        <v>0.64321899999999999</v>
      </c>
      <c r="AA74" s="113">
        <v>0.64947299999999997</v>
      </c>
      <c r="AB74" s="113">
        <v>0.65572799999999998</v>
      </c>
      <c r="AC74" s="113">
        <v>0.66198299999999999</v>
      </c>
      <c r="AD74" s="113">
        <v>0.66823699999999997</v>
      </c>
      <c r="AE74" s="113">
        <v>0.67449199999999998</v>
      </c>
      <c r="AF74" s="113">
        <v>0.68074599999999996</v>
      </c>
      <c r="AG74" s="113">
        <v>0.68700099999999997</v>
      </c>
    </row>
    <row r="75" spans="1:33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</row>
    <row r="76" spans="1:33" ht="15.75" thickBot="1">
      <c r="A76" s="231" t="s">
        <v>569</v>
      </c>
      <c r="B76" s="231" t="s">
        <v>570</v>
      </c>
      <c r="C76" s="231" t="s">
        <v>571</v>
      </c>
      <c r="D76" s="231" t="s">
        <v>572</v>
      </c>
      <c r="E76" s="231" t="s">
        <v>573</v>
      </c>
      <c r="F76" s="231" t="s">
        <v>574</v>
      </c>
      <c r="G76" s="231" t="s">
        <v>575</v>
      </c>
      <c r="H76" s="231" t="s">
        <v>576</v>
      </c>
      <c r="I76" s="231" t="s">
        <v>577</v>
      </c>
      <c r="J76" s="231">
        <v>2023</v>
      </c>
      <c r="K76" s="231">
        <v>2024</v>
      </c>
      <c r="L76" s="231">
        <v>2025</v>
      </c>
      <c r="M76" s="231">
        <v>2026</v>
      </c>
      <c r="N76" s="231">
        <v>2027</v>
      </c>
      <c r="O76" s="231">
        <v>2028</v>
      </c>
      <c r="P76" s="231">
        <v>2029</v>
      </c>
      <c r="Q76" s="231">
        <v>2030</v>
      </c>
      <c r="R76" s="231">
        <v>2031</v>
      </c>
      <c r="S76" s="231">
        <v>2032</v>
      </c>
      <c r="T76" s="231">
        <v>2033</v>
      </c>
      <c r="U76" s="231">
        <v>2034</v>
      </c>
      <c r="V76" s="231">
        <v>2035</v>
      </c>
      <c r="W76" s="231">
        <v>2036</v>
      </c>
      <c r="X76" s="231">
        <v>2037</v>
      </c>
      <c r="Y76" s="231">
        <v>2038</v>
      </c>
      <c r="Z76" s="231">
        <v>2039</v>
      </c>
      <c r="AA76" s="231">
        <v>2040</v>
      </c>
      <c r="AB76" s="231">
        <v>2041</v>
      </c>
      <c r="AC76" s="231">
        <v>2042</v>
      </c>
      <c r="AD76" s="231">
        <v>2043</v>
      </c>
      <c r="AE76" s="231">
        <v>2044</v>
      </c>
      <c r="AF76" s="231">
        <v>2045</v>
      </c>
      <c r="AG76" s="231">
        <v>2046</v>
      </c>
    </row>
    <row r="77" spans="1:33">
      <c r="A77" s="113" t="s">
        <v>18791</v>
      </c>
      <c r="B77" s="113" t="s">
        <v>18779</v>
      </c>
      <c r="C77" s="113" t="s">
        <v>18769</v>
      </c>
      <c r="D77" s="113" t="s">
        <v>18780</v>
      </c>
      <c r="E77" s="113" t="s">
        <v>1544</v>
      </c>
      <c r="F77" s="113" t="s">
        <v>598</v>
      </c>
      <c r="G77" s="113" t="s">
        <v>478</v>
      </c>
      <c r="H77" s="113" t="s">
        <v>2266</v>
      </c>
      <c r="I77" s="113" t="s">
        <v>2267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18791</v>
      </c>
      <c r="B78" s="113" t="s">
        <v>18781</v>
      </c>
      <c r="C78" s="113" t="s">
        <v>18769</v>
      </c>
      <c r="D78" s="113" t="s">
        <v>18782</v>
      </c>
      <c r="E78" s="113" t="s">
        <v>1544</v>
      </c>
      <c r="F78" s="113" t="s">
        <v>598</v>
      </c>
      <c r="G78" s="113" t="s">
        <v>478</v>
      </c>
      <c r="H78" s="113" t="s">
        <v>2266</v>
      </c>
      <c r="I78" s="113" t="s">
        <v>2267</v>
      </c>
      <c r="J78" s="113">
        <v>1.395E-3</v>
      </c>
      <c r="K78" s="113">
        <v>1.3960000000000001E-3</v>
      </c>
      <c r="L78" s="113">
        <v>1.397E-3</v>
      </c>
      <c r="M78" s="113">
        <v>1.3979999999999999E-3</v>
      </c>
      <c r="N78" s="113">
        <v>1.3990000000000001E-3</v>
      </c>
      <c r="O78" s="113">
        <v>1.4E-3</v>
      </c>
      <c r="P78" s="113">
        <v>1.4009999999999999E-3</v>
      </c>
      <c r="Q78" s="113">
        <v>1.402E-3</v>
      </c>
      <c r="R78" s="113">
        <v>1.403E-3</v>
      </c>
      <c r="S78" s="113">
        <v>1.4040000000000001E-3</v>
      </c>
      <c r="T78" s="113">
        <v>1.405E-3</v>
      </c>
      <c r="U78" s="113">
        <v>1.405E-3</v>
      </c>
      <c r="V78" s="113">
        <v>1.4059999999999999E-3</v>
      </c>
      <c r="W78" s="113">
        <v>1.407E-3</v>
      </c>
      <c r="X78" s="113">
        <v>1.407E-3</v>
      </c>
      <c r="Y78" s="113">
        <v>1.407E-3</v>
      </c>
      <c r="Z78" s="113">
        <v>1.408E-3</v>
      </c>
      <c r="AA78" s="113">
        <v>1.408E-3</v>
      </c>
      <c r="AB78" s="113">
        <v>1.408E-3</v>
      </c>
      <c r="AC78" s="113">
        <v>1.408E-3</v>
      </c>
      <c r="AD78" s="113">
        <v>1.408E-3</v>
      </c>
      <c r="AE78" s="113">
        <v>1.408E-3</v>
      </c>
      <c r="AF78" s="113">
        <v>1.408E-3</v>
      </c>
      <c r="AG78" s="113">
        <v>1.408E-3</v>
      </c>
    </row>
    <row r="79" spans="1:33">
      <c r="A79" s="113" t="s">
        <v>18791</v>
      </c>
      <c r="B79" s="113" t="s">
        <v>18783</v>
      </c>
      <c r="C79" s="113" t="s">
        <v>18769</v>
      </c>
      <c r="D79" s="113" t="s">
        <v>18784</v>
      </c>
      <c r="E79" s="113" t="s">
        <v>1544</v>
      </c>
      <c r="F79" s="113" t="s">
        <v>598</v>
      </c>
      <c r="G79" s="113" t="s">
        <v>478</v>
      </c>
      <c r="H79" s="113" t="s">
        <v>2266</v>
      </c>
      <c r="I79" s="113" t="s">
        <v>2267</v>
      </c>
      <c r="J79" s="113">
        <v>8.7200000000000005E-4</v>
      </c>
      <c r="K79" s="113">
        <v>8.7500000000000002E-4</v>
      </c>
      <c r="L79" s="113">
        <v>8.7699999999999996E-4</v>
      </c>
      <c r="M79" s="113">
        <v>8.7900000000000001E-4</v>
      </c>
      <c r="N79" s="113">
        <v>8.8099999999999995E-4</v>
      </c>
      <c r="O79" s="113">
        <v>8.83E-4</v>
      </c>
      <c r="P79" s="113">
        <v>8.8500000000000004E-4</v>
      </c>
      <c r="Q79" s="113">
        <v>8.8699999999999998E-4</v>
      </c>
      <c r="R79" s="113">
        <v>8.8900000000000003E-4</v>
      </c>
      <c r="S79" s="113">
        <v>8.8999999999999995E-4</v>
      </c>
      <c r="T79" s="113">
        <v>8.92E-4</v>
      </c>
      <c r="U79" s="113">
        <v>8.9300000000000002E-4</v>
      </c>
      <c r="V79" s="113">
        <v>8.9400000000000005E-4</v>
      </c>
      <c r="W79" s="113">
        <v>8.9499999999999996E-4</v>
      </c>
      <c r="X79" s="113">
        <v>8.9599999999999999E-4</v>
      </c>
      <c r="Y79" s="113">
        <v>8.9700000000000001E-4</v>
      </c>
      <c r="Z79" s="113">
        <v>8.9700000000000001E-4</v>
      </c>
      <c r="AA79" s="113">
        <v>8.9800000000000004E-4</v>
      </c>
      <c r="AB79" s="113">
        <v>8.9800000000000004E-4</v>
      </c>
      <c r="AC79" s="113">
        <v>8.9800000000000004E-4</v>
      </c>
      <c r="AD79" s="113">
        <v>8.9899999999999995E-4</v>
      </c>
      <c r="AE79" s="113">
        <v>8.9899999999999995E-4</v>
      </c>
      <c r="AF79" s="113">
        <v>8.9899999999999995E-4</v>
      </c>
      <c r="AG79" s="113">
        <v>8.9899999999999995E-4</v>
      </c>
    </row>
    <row r="80" spans="1:33">
      <c r="A80" s="113" t="s">
        <v>18791</v>
      </c>
      <c r="B80" s="113" t="s">
        <v>18785</v>
      </c>
      <c r="C80" s="113" t="s">
        <v>18769</v>
      </c>
      <c r="D80" s="113" t="s">
        <v>18786</v>
      </c>
      <c r="E80" s="113" t="s">
        <v>1544</v>
      </c>
      <c r="F80" s="113" t="s">
        <v>598</v>
      </c>
      <c r="G80" s="113" t="s">
        <v>478</v>
      </c>
      <c r="H80" s="113" t="s">
        <v>2266</v>
      </c>
      <c r="I80" s="113" t="s">
        <v>2267</v>
      </c>
      <c r="J80" s="113">
        <v>0</v>
      </c>
      <c r="K80" s="113">
        <v>0</v>
      </c>
      <c r="L80" s="113">
        <v>0</v>
      </c>
      <c r="M80" s="113">
        <v>0</v>
      </c>
      <c r="N80" s="113">
        <v>0</v>
      </c>
      <c r="O80" s="113">
        <v>0</v>
      </c>
      <c r="P80" s="113">
        <v>0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v>0</v>
      </c>
      <c r="AC80" s="113">
        <v>0</v>
      </c>
      <c r="AD80" s="113">
        <v>0</v>
      </c>
      <c r="AE80" s="113">
        <v>0</v>
      </c>
      <c r="AF80" s="113">
        <v>0</v>
      </c>
      <c r="AG80" s="113">
        <v>0</v>
      </c>
    </row>
    <row r="81" spans="1:33">
      <c r="A81" s="113" t="s">
        <v>18791</v>
      </c>
      <c r="B81" s="113" t="s">
        <v>18768</v>
      </c>
      <c r="C81" s="113" t="s">
        <v>18769</v>
      </c>
      <c r="D81" s="113" t="s">
        <v>18770</v>
      </c>
      <c r="E81" s="113" t="s">
        <v>781</v>
      </c>
      <c r="F81" s="113" t="s">
        <v>598</v>
      </c>
      <c r="G81" s="113" t="s">
        <v>478</v>
      </c>
      <c r="H81" s="113" t="s">
        <v>2266</v>
      </c>
      <c r="I81" s="113" t="s">
        <v>2267</v>
      </c>
      <c r="J81" s="113">
        <v>1.6440000000000001E-3</v>
      </c>
      <c r="K81" s="113">
        <v>1.6440000000000001E-3</v>
      </c>
      <c r="L81" s="113">
        <v>1.6440000000000001E-3</v>
      </c>
      <c r="M81" s="113">
        <v>1.6440000000000001E-3</v>
      </c>
      <c r="N81" s="113">
        <v>1.6440000000000001E-3</v>
      </c>
      <c r="O81" s="113">
        <v>1.6440000000000001E-3</v>
      </c>
      <c r="P81" s="113">
        <v>1.6440000000000001E-3</v>
      </c>
      <c r="Q81" s="113">
        <v>1.6440000000000001E-3</v>
      </c>
      <c r="R81" s="113">
        <v>1.6440000000000001E-3</v>
      </c>
      <c r="S81" s="113">
        <v>1.6440000000000001E-3</v>
      </c>
      <c r="T81" s="113">
        <v>1.6440000000000001E-3</v>
      </c>
      <c r="U81" s="113">
        <v>1.6440000000000001E-3</v>
      </c>
      <c r="V81" s="113">
        <v>1.6440000000000001E-3</v>
      </c>
      <c r="W81" s="113">
        <v>1.6440000000000001E-3</v>
      </c>
      <c r="X81" s="113">
        <v>1.6440000000000001E-3</v>
      </c>
      <c r="Y81" s="113">
        <v>1.6440000000000001E-3</v>
      </c>
      <c r="Z81" s="113">
        <v>1.6440000000000001E-3</v>
      </c>
      <c r="AA81" s="113">
        <v>1.6440000000000001E-3</v>
      </c>
      <c r="AB81" s="113">
        <v>1.6440000000000001E-3</v>
      </c>
      <c r="AC81" s="113">
        <v>1.6440000000000001E-3</v>
      </c>
      <c r="AD81" s="113">
        <v>1.6440000000000001E-3</v>
      </c>
      <c r="AE81" s="113">
        <v>1.6440000000000001E-3</v>
      </c>
      <c r="AF81" s="113">
        <v>1.6440000000000001E-3</v>
      </c>
      <c r="AG81" s="113">
        <v>1.6440000000000001E-3</v>
      </c>
    </row>
    <row r="82" spans="1:33" ht="15.75" thickBot="1">
      <c r="A82" s="233" t="s">
        <v>18791</v>
      </c>
      <c r="B82" s="233" t="s">
        <v>18771</v>
      </c>
      <c r="C82" s="233" t="s">
        <v>18769</v>
      </c>
      <c r="D82" s="233" t="s">
        <v>18772</v>
      </c>
      <c r="E82" s="233" t="s">
        <v>781</v>
      </c>
      <c r="F82" s="233" t="s">
        <v>598</v>
      </c>
      <c r="G82" s="233" t="s">
        <v>478</v>
      </c>
      <c r="H82" s="233" t="s">
        <v>2266</v>
      </c>
      <c r="I82" s="233" t="s">
        <v>2267</v>
      </c>
      <c r="J82" s="233">
        <v>3.6437999999999998E-2</v>
      </c>
      <c r="K82" s="233">
        <v>3.6437999999999998E-2</v>
      </c>
      <c r="L82" s="233">
        <v>3.6437999999999998E-2</v>
      </c>
      <c r="M82" s="233">
        <v>3.6437999999999998E-2</v>
      </c>
      <c r="N82" s="233">
        <v>3.6437999999999998E-2</v>
      </c>
      <c r="O82" s="233">
        <v>3.6437999999999998E-2</v>
      </c>
      <c r="P82" s="233">
        <v>3.6437999999999998E-2</v>
      </c>
      <c r="Q82" s="233">
        <v>3.6437999999999998E-2</v>
      </c>
      <c r="R82" s="233">
        <v>3.6437999999999998E-2</v>
      </c>
      <c r="S82" s="233">
        <v>3.6437999999999998E-2</v>
      </c>
      <c r="T82" s="233">
        <v>3.6437999999999998E-2</v>
      </c>
      <c r="U82" s="233">
        <v>3.6437999999999998E-2</v>
      </c>
      <c r="V82" s="233">
        <v>3.6437999999999998E-2</v>
      </c>
      <c r="W82" s="233">
        <v>3.6437999999999998E-2</v>
      </c>
      <c r="X82" s="233">
        <v>3.6437999999999998E-2</v>
      </c>
      <c r="Y82" s="233">
        <v>3.6437999999999998E-2</v>
      </c>
      <c r="Z82" s="233">
        <v>3.6437999999999998E-2</v>
      </c>
      <c r="AA82" s="233">
        <v>3.6437999999999998E-2</v>
      </c>
      <c r="AB82" s="233">
        <v>3.6437999999999998E-2</v>
      </c>
      <c r="AC82" s="233">
        <v>3.6437999999999998E-2</v>
      </c>
      <c r="AD82" s="233">
        <v>3.6437999999999998E-2</v>
      </c>
      <c r="AE82" s="233">
        <v>3.6437999999999998E-2</v>
      </c>
      <c r="AF82" s="233">
        <v>3.6437999999999998E-2</v>
      </c>
      <c r="AG82" s="233">
        <v>3.6437999999999998E-2</v>
      </c>
    </row>
    <row r="83" spans="1:33">
      <c r="A83" s="172" t="s">
        <v>18775</v>
      </c>
      <c r="B83" s="113"/>
      <c r="C83" s="113"/>
      <c r="D83" s="113"/>
      <c r="E83" s="113"/>
      <c r="F83" s="113"/>
      <c r="G83" s="113"/>
      <c r="H83" s="113"/>
      <c r="I83" s="113"/>
      <c r="J83" s="113">
        <v>4.0349999999999997E-2</v>
      </c>
      <c r="K83" s="113">
        <v>4.0353E-2</v>
      </c>
      <c r="L83" s="113">
        <v>4.0356000000000003E-2</v>
      </c>
      <c r="M83" s="113">
        <v>4.036E-2</v>
      </c>
      <c r="N83" s="113">
        <v>4.0363000000000003E-2</v>
      </c>
      <c r="O83" s="113">
        <v>4.0365999999999999E-2</v>
      </c>
      <c r="P83" s="113">
        <v>4.0369000000000002E-2</v>
      </c>
      <c r="Q83" s="113">
        <v>4.0370999999999997E-2</v>
      </c>
      <c r="R83" s="113">
        <v>4.0374E-2</v>
      </c>
      <c r="S83" s="113">
        <v>4.0376000000000002E-2</v>
      </c>
      <c r="T83" s="113">
        <v>4.0377999999999997E-2</v>
      </c>
      <c r="U83" s="113">
        <v>4.0379999999999999E-2</v>
      </c>
      <c r="V83" s="113">
        <v>4.0382000000000001E-2</v>
      </c>
      <c r="W83" s="113">
        <v>4.0384000000000003E-2</v>
      </c>
      <c r="X83" s="113">
        <v>4.0384999999999997E-2</v>
      </c>
      <c r="Y83" s="113">
        <v>4.0385999999999998E-2</v>
      </c>
      <c r="Z83" s="113">
        <v>4.0386999999999999E-2</v>
      </c>
      <c r="AA83" s="113">
        <v>4.0388E-2</v>
      </c>
      <c r="AB83" s="113">
        <v>4.0388E-2</v>
      </c>
      <c r="AC83" s="113">
        <v>4.0389000000000001E-2</v>
      </c>
      <c r="AD83" s="113">
        <v>4.0389000000000001E-2</v>
      </c>
      <c r="AE83" s="113">
        <v>4.0389000000000001E-2</v>
      </c>
      <c r="AF83" s="113">
        <v>4.0389000000000001E-2</v>
      </c>
      <c r="AG83" s="113">
        <v>4.0389000000000001E-2</v>
      </c>
    </row>
    <row r="84" spans="1:33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</row>
    <row r="85" spans="1:33" ht="15.75" thickBot="1">
      <c r="A85" s="231" t="s">
        <v>569</v>
      </c>
      <c r="B85" s="231" t="s">
        <v>570</v>
      </c>
      <c r="C85" s="231" t="s">
        <v>571</v>
      </c>
      <c r="D85" s="231" t="s">
        <v>572</v>
      </c>
      <c r="E85" s="231" t="s">
        <v>573</v>
      </c>
      <c r="F85" s="231" t="s">
        <v>574</v>
      </c>
      <c r="G85" s="231" t="s">
        <v>575</v>
      </c>
      <c r="H85" s="231" t="s">
        <v>576</v>
      </c>
      <c r="I85" s="231" t="s">
        <v>577</v>
      </c>
      <c r="J85" s="231">
        <v>2023</v>
      </c>
      <c r="K85" s="231">
        <v>2024</v>
      </c>
      <c r="L85" s="231">
        <v>2025</v>
      </c>
      <c r="M85" s="231">
        <v>2026</v>
      </c>
      <c r="N85" s="231">
        <v>2027</v>
      </c>
      <c r="O85" s="231">
        <v>2028</v>
      </c>
      <c r="P85" s="231">
        <v>2029</v>
      </c>
      <c r="Q85" s="231">
        <v>2030</v>
      </c>
      <c r="R85" s="231">
        <v>2031</v>
      </c>
      <c r="S85" s="231">
        <v>2032</v>
      </c>
      <c r="T85" s="231">
        <v>2033</v>
      </c>
      <c r="U85" s="231">
        <v>2034</v>
      </c>
      <c r="V85" s="231">
        <v>2035</v>
      </c>
      <c r="W85" s="231">
        <v>2036</v>
      </c>
      <c r="X85" s="231">
        <v>2037</v>
      </c>
      <c r="Y85" s="231">
        <v>2038</v>
      </c>
      <c r="Z85" s="231">
        <v>2039</v>
      </c>
      <c r="AA85" s="231">
        <v>2040</v>
      </c>
      <c r="AB85" s="231">
        <v>2041</v>
      </c>
      <c r="AC85" s="231">
        <v>2042</v>
      </c>
      <c r="AD85" s="231">
        <v>2043</v>
      </c>
      <c r="AE85" s="231">
        <v>2044</v>
      </c>
      <c r="AF85" s="231">
        <v>2045</v>
      </c>
      <c r="AG85" s="231">
        <v>2046</v>
      </c>
    </row>
    <row r="86" spans="1:33">
      <c r="A86" s="113" t="s">
        <v>18792</v>
      </c>
      <c r="B86" s="113" t="s">
        <v>18785</v>
      </c>
      <c r="C86" s="113" t="s">
        <v>18769</v>
      </c>
      <c r="D86" s="113" t="s">
        <v>18786</v>
      </c>
      <c r="E86" s="113" t="s">
        <v>1544</v>
      </c>
      <c r="F86" s="113" t="s">
        <v>598</v>
      </c>
      <c r="G86" s="113" t="s">
        <v>478</v>
      </c>
      <c r="H86" s="113" t="s">
        <v>2266</v>
      </c>
      <c r="I86" s="113" t="s">
        <v>2267</v>
      </c>
      <c r="J86" s="113">
        <v>2.7399999999999999E-4</v>
      </c>
      <c r="K86" s="113">
        <v>2.6400000000000002E-4</v>
      </c>
      <c r="L86" s="113">
        <v>2.5500000000000002E-4</v>
      </c>
      <c r="M86" s="113">
        <v>2.4699999999999999E-4</v>
      </c>
      <c r="N86" s="113">
        <v>2.3900000000000001E-4</v>
      </c>
      <c r="O86" s="113">
        <v>2.31E-4</v>
      </c>
      <c r="P86" s="113">
        <v>2.23E-4</v>
      </c>
      <c r="Q86" s="113">
        <v>2.1499999999999999E-4</v>
      </c>
      <c r="R86" s="113">
        <v>2.1000000000000001E-4</v>
      </c>
      <c r="S86" s="113">
        <v>2.05E-4</v>
      </c>
      <c r="T86" s="113">
        <v>1.9900000000000001E-4</v>
      </c>
      <c r="U86" s="113">
        <v>1.94E-4</v>
      </c>
      <c r="V86" s="113">
        <v>1.8900000000000001E-4</v>
      </c>
      <c r="W86" s="113">
        <v>1.84E-4</v>
      </c>
      <c r="X86" s="113">
        <v>1.7799999999999999E-4</v>
      </c>
      <c r="Y86" s="113">
        <v>1.73E-4</v>
      </c>
      <c r="Z86" s="113">
        <v>1.6799999999999999E-4</v>
      </c>
      <c r="AA86" s="113">
        <v>1.63E-4</v>
      </c>
      <c r="AB86" s="113">
        <v>1.5699999999999999E-4</v>
      </c>
      <c r="AC86" s="113">
        <v>1.5200000000000001E-4</v>
      </c>
      <c r="AD86" s="113">
        <v>1.47E-4</v>
      </c>
      <c r="AE86" s="113">
        <v>1.4200000000000001E-4</v>
      </c>
      <c r="AF86" s="113">
        <v>1.36E-4</v>
      </c>
      <c r="AG86" s="113">
        <v>1.3100000000000001E-4</v>
      </c>
    </row>
    <row r="87" spans="1:33" ht="15.75" thickBot="1">
      <c r="A87" s="233" t="s">
        <v>18792</v>
      </c>
      <c r="B87" s="233" t="s">
        <v>18773</v>
      </c>
      <c r="C87" s="233" t="s">
        <v>18769</v>
      </c>
      <c r="D87" s="233" t="s">
        <v>18774</v>
      </c>
      <c r="E87" s="233" t="s">
        <v>781</v>
      </c>
      <c r="F87" s="233" t="s">
        <v>598</v>
      </c>
      <c r="G87" s="233" t="s">
        <v>478</v>
      </c>
      <c r="H87" s="233" t="s">
        <v>2266</v>
      </c>
      <c r="I87" s="233" t="s">
        <v>2267</v>
      </c>
      <c r="J87" s="233">
        <v>1.3699999999999999E-3</v>
      </c>
      <c r="K87" s="233">
        <v>1.3699999999999999E-3</v>
      </c>
      <c r="L87" s="233">
        <v>1.3699999999999999E-3</v>
      </c>
      <c r="M87" s="233">
        <v>1.3699999999999999E-3</v>
      </c>
      <c r="N87" s="233">
        <v>1.3699999999999999E-3</v>
      </c>
      <c r="O87" s="233">
        <v>1.3699999999999999E-3</v>
      </c>
      <c r="P87" s="233">
        <v>1.3699999999999999E-3</v>
      </c>
      <c r="Q87" s="233">
        <v>1.3699999999999999E-3</v>
      </c>
      <c r="R87" s="233">
        <v>1.3699999999999999E-3</v>
      </c>
      <c r="S87" s="233">
        <v>1.3699999999999999E-3</v>
      </c>
      <c r="T87" s="233">
        <v>1.3699999999999999E-3</v>
      </c>
      <c r="U87" s="233">
        <v>1.3699999999999999E-3</v>
      </c>
      <c r="V87" s="233">
        <v>1.3699999999999999E-3</v>
      </c>
      <c r="W87" s="233">
        <v>1.3699999999999999E-3</v>
      </c>
      <c r="X87" s="233">
        <v>1.3699999999999999E-3</v>
      </c>
      <c r="Y87" s="233">
        <v>1.3699999999999999E-3</v>
      </c>
      <c r="Z87" s="233">
        <v>1.3699999999999999E-3</v>
      </c>
      <c r="AA87" s="233">
        <v>1.3699999999999999E-3</v>
      </c>
      <c r="AB87" s="233">
        <v>1.3699999999999999E-3</v>
      </c>
      <c r="AC87" s="233">
        <v>1.3699999999999999E-3</v>
      </c>
      <c r="AD87" s="233">
        <v>1.3699999999999999E-3</v>
      </c>
      <c r="AE87" s="233">
        <v>1.3699999999999999E-3</v>
      </c>
      <c r="AF87" s="233">
        <v>1.3699999999999999E-3</v>
      </c>
      <c r="AG87" s="233">
        <v>1.3699999999999999E-3</v>
      </c>
    </row>
    <row r="88" spans="1:33">
      <c r="A88" s="172" t="s">
        <v>18775</v>
      </c>
      <c r="B88" s="113"/>
      <c r="C88" s="113"/>
      <c r="D88" s="113"/>
      <c r="E88" s="113"/>
      <c r="F88" s="113"/>
      <c r="G88" s="113"/>
      <c r="H88" s="113"/>
      <c r="I88" s="113"/>
      <c r="J88" s="113">
        <v>1.6440000000000001E-3</v>
      </c>
      <c r="K88" s="113">
        <v>1.634E-3</v>
      </c>
      <c r="L88" s="113">
        <v>1.6249999999999999E-3</v>
      </c>
      <c r="M88" s="113">
        <v>1.6169999999999999E-3</v>
      </c>
      <c r="N88" s="113">
        <v>1.609E-3</v>
      </c>
      <c r="O88" s="113">
        <v>1.601E-3</v>
      </c>
      <c r="P88" s="113">
        <v>1.593E-3</v>
      </c>
      <c r="Q88" s="113">
        <v>1.585E-3</v>
      </c>
      <c r="R88" s="113">
        <v>1.58E-3</v>
      </c>
      <c r="S88" s="113">
        <v>1.575E-3</v>
      </c>
      <c r="T88" s="113">
        <v>1.5690000000000001E-3</v>
      </c>
      <c r="U88" s="113">
        <v>1.5640000000000001E-3</v>
      </c>
      <c r="V88" s="113">
        <v>1.5590000000000001E-3</v>
      </c>
      <c r="W88" s="113">
        <v>1.554E-3</v>
      </c>
      <c r="X88" s="113">
        <v>1.5479999999999999E-3</v>
      </c>
      <c r="Y88" s="113">
        <v>1.5430000000000001E-3</v>
      </c>
      <c r="Z88" s="113">
        <v>1.5380000000000001E-3</v>
      </c>
      <c r="AA88" s="113">
        <v>1.5319999999999999E-3</v>
      </c>
      <c r="AB88" s="113">
        <v>1.5269999999999999E-3</v>
      </c>
      <c r="AC88" s="113">
        <v>1.5219999999999999E-3</v>
      </c>
      <c r="AD88" s="113">
        <v>1.5169999999999999E-3</v>
      </c>
      <c r="AE88" s="113">
        <v>1.511E-3</v>
      </c>
      <c r="AF88" s="113">
        <v>1.506E-3</v>
      </c>
      <c r="AG88" s="113">
        <v>1.5009999999999999E-3</v>
      </c>
    </row>
    <row r="89" spans="1:33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</row>
    <row r="90" spans="1:33" ht="15.75" thickBot="1">
      <c r="A90" s="231" t="s">
        <v>569</v>
      </c>
      <c r="B90" s="231" t="s">
        <v>570</v>
      </c>
      <c r="C90" s="231" t="s">
        <v>571</v>
      </c>
      <c r="D90" s="231" t="s">
        <v>572</v>
      </c>
      <c r="E90" s="231" t="s">
        <v>573</v>
      </c>
      <c r="F90" s="231" t="s">
        <v>574</v>
      </c>
      <c r="G90" s="231" t="s">
        <v>575</v>
      </c>
      <c r="H90" s="231" t="s">
        <v>576</v>
      </c>
      <c r="I90" s="231" t="s">
        <v>577</v>
      </c>
      <c r="J90" s="231">
        <v>2023</v>
      </c>
      <c r="K90" s="231">
        <v>2024</v>
      </c>
      <c r="L90" s="231">
        <v>2025</v>
      </c>
      <c r="M90" s="231">
        <v>2026</v>
      </c>
      <c r="N90" s="231">
        <v>2027</v>
      </c>
      <c r="O90" s="231">
        <v>2028</v>
      </c>
      <c r="P90" s="231">
        <v>2029</v>
      </c>
      <c r="Q90" s="231">
        <v>2030</v>
      </c>
      <c r="R90" s="231">
        <v>2031</v>
      </c>
      <c r="S90" s="231">
        <v>2032</v>
      </c>
      <c r="T90" s="231">
        <v>2033</v>
      </c>
      <c r="U90" s="231">
        <v>2034</v>
      </c>
      <c r="V90" s="231">
        <v>2035</v>
      </c>
      <c r="W90" s="231">
        <v>2036</v>
      </c>
      <c r="X90" s="231">
        <v>2037</v>
      </c>
      <c r="Y90" s="231">
        <v>2038</v>
      </c>
      <c r="Z90" s="231">
        <v>2039</v>
      </c>
      <c r="AA90" s="231">
        <v>2040</v>
      </c>
      <c r="AB90" s="231">
        <v>2041</v>
      </c>
      <c r="AC90" s="231">
        <v>2042</v>
      </c>
      <c r="AD90" s="231">
        <v>2043</v>
      </c>
      <c r="AE90" s="231">
        <v>2044</v>
      </c>
      <c r="AF90" s="231">
        <v>2045</v>
      </c>
      <c r="AG90" s="231">
        <v>2046</v>
      </c>
    </row>
    <row r="91" spans="1:33">
      <c r="A91" s="113" t="s">
        <v>18793</v>
      </c>
      <c r="B91" s="113" t="s">
        <v>18779</v>
      </c>
      <c r="C91" s="113" t="s">
        <v>18769</v>
      </c>
      <c r="D91" s="113" t="s">
        <v>18780</v>
      </c>
      <c r="E91" s="113" t="s">
        <v>1544</v>
      </c>
      <c r="F91" s="113" t="s">
        <v>598</v>
      </c>
      <c r="G91" s="113" t="s">
        <v>478</v>
      </c>
      <c r="H91" s="113" t="s">
        <v>2266</v>
      </c>
      <c r="I91" s="113" t="s">
        <v>2267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3">
        <v>0</v>
      </c>
      <c r="R91" s="113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  <c r="AC91" s="113">
        <v>0</v>
      </c>
      <c r="AD91" s="113">
        <v>0</v>
      </c>
      <c r="AE91" s="113">
        <v>0</v>
      </c>
      <c r="AF91" s="113">
        <v>0</v>
      </c>
      <c r="AG91" s="113">
        <v>0</v>
      </c>
    </row>
    <row r="92" spans="1:33">
      <c r="A92" s="113" t="s">
        <v>18793</v>
      </c>
      <c r="B92" s="113" t="s">
        <v>18781</v>
      </c>
      <c r="C92" s="113" t="s">
        <v>18769</v>
      </c>
      <c r="D92" s="113" t="s">
        <v>18782</v>
      </c>
      <c r="E92" s="113" t="s">
        <v>1544</v>
      </c>
      <c r="F92" s="113" t="s">
        <v>598</v>
      </c>
      <c r="G92" s="113" t="s">
        <v>478</v>
      </c>
      <c r="H92" s="113" t="s">
        <v>2266</v>
      </c>
      <c r="I92" s="113" t="s">
        <v>2267</v>
      </c>
      <c r="J92" s="113">
        <v>8.5099999999999998E-4</v>
      </c>
      <c r="K92" s="113">
        <v>8.5999999999999998E-4</v>
      </c>
      <c r="L92" s="113">
        <v>8.6799999999999996E-4</v>
      </c>
      <c r="M92" s="113">
        <v>8.7600000000000004E-4</v>
      </c>
      <c r="N92" s="113">
        <v>8.8500000000000004E-4</v>
      </c>
      <c r="O92" s="113">
        <v>8.9300000000000002E-4</v>
      </c>
      <c r="P92" s="113">
        <v>9.01E-4</v>
      </c>
      <c r="Q92" s="113">
        <v>9.1E-4</v>
      </c>
      <c r="R92" s="113">
        <v>9.1799999999999998E-4</v>
      </c>
      <c r="S92" s="113">
        <v>9.2699999999999998E-4</v>
      </c>
      <c r="T92" s="113">
        <v>9.3499999999999996E-4</v>
      </c>
      <c r="U92" s="113">
        <v>9.4300000000000004E-4</v>
      </c>
      <c r="V92" s="113">
        <v>9.5200000000000005E-4</v>
      </c>
      <c r="W92" s="113">
        <v>9.6000000000000002E-4</v>
      </c>
      <c r="X92" s="113">
        <v>9.68E-4</v>
      </c>
      <c r="Y92" s="113">
        <v>9.77E-4</v>
      </c>
      <c r="Z92" s="113">
        <v>9.8499999999999998E-4</v>
      </c>
      <c r="AA92" s="113">
        <v>9.9299999999999996E-4</v>
      </c>
      <c r="AB92" s="113">
        <v>1.0020000000000001E-3</v>
      </c>
      <c r="AC92" s="113">
        <v>1.01E-3</v>
      </c>
      <c r="AD92" s="113">
        <v>1.0189999999999999E-3</v>
      </c>
      <c r="AE92" s="113">
        <v>1.0269999999999999E-3</v>
      </c>
      <c r="AF92" s="113">
        <v>1.0349999999999999E-3</v>
      </c>
      <c r="AG92" s="113">
        <v>1.044E-3</v>
      </c>
    </row>
    <row r="93" spans="1:33">
      <c r="A93" s="113" t="s">
        <v>18793</v>
      </c>
      <c r="B93" s="113" t="s">
        <v>18783</v>
      </c>
      <c r="C93" s="113" t="s">
        <v>18769</v>
      </c>
      <c r="D93" s="113" t="s">
        <v>18784</v>
      </c>
      <c r="E93" s="113" t="s">
        <v>1544</v>
      </c>
      <c r="F93" s="113" t="s">
        <v>598</v>
      </c>
      <c r="G93" s="113" t="s">
        <v>478</v>
      </c>
      <c r="H93" s="113" t="s">
        <v>2266</v>
      </c>
      <c r="I93" s="113" t="s">
        <v>2267</v>
      </c>
      <c r="J93" s="113">
        <v>1.3953999999999999E-2</v>
      </c>
      <c r="K93" s="113">
        <v>1.3979999999999999E-2</v>
      </c>
      <c r="L93" s="113">
        <v>1.4005E-2</v>
      </c>
      <c r="M93" s="113">
        <v>1.4031E-2</v>
      </c>
      <c r="N93" s="113">
        <v>1.4057E-2</v>
      </c>
      <c r="O93" s="113">
        <v>1.4083E-2</v>
      </c>
      <c r="P93" s="113">
        <v>1.4109E-2</v>
      </c>
      <c r="Q93" s="113">
        <v>1.4135E-2</v>
      </c>
      <c r="R93" s="113">
        <v>1.4161E-2</v>
      </c>
      <c r="S93" s="113">
        <v>1.4187E-2</v>
      </c>
      <c r="T93" s="113">
        <v>1.4213999999999999E-2</v>
      </c>
      <c r="U93" s="113">
        <v>1.4239999999999999E-2</v>
      </c>
      <c r="V93" s="113">
        <v>1.4265999999999999E-2</v>
      </c>
      <c r="W93" s="113">
        <v>1.4293E-2</v>
      </c>
      <c r="X93" s="113">
        <v>1.4319E-2</v>
      </c>
      <c r="Y93" s="113">
        <v>1.4345999999999999E-2</v>
      </c>
      <c r="Z93" s="113">
        <v>1.4371999999999999E-2</v>
      </c>
      <c r="AA93" s="113">
        <v>1.4397999999999999E-2</v>
      </c>
      <c r="AB93" s="113">
        <v>1.4425E-2</v>
      </c>
      <c r="AC93" s="113">
        <v>1.4451E-2</v>
      </c>
      <c r="AD93" s="113">
        <v>1.4478E-2</v>
      </c>
      <c r="AE93" s="113">
        <v>1.4504E-2</v>
      </c>
      <c r="AF93" s="113">
        <v>1.4531000000000001E-2</v>
      </c>
      <c r="AG93" s="113">
        <v>1.4557E-2</v>
      </c>
    </row>
    <row r="94" spans="1:33">
      <c r="A94" s="113" t="s">
        <v>18793</v>
      </c>
      <c r="B94" s="113" t="s">
        <v>18785</v>
      </c>
      <c r="C94" s="113" t="s">
        <v>18769</v>
      </c>
      <c r="D94" s="113" t="s">
        <v>18786</v>
      </c>
      <c r="E94" s="113" t="s">
        <v>1544</v>
      </c>
      <c r="F94" s="113" t="s">
        <v>598</v>
      </c>
      <c r="G94" s="113" t="s">
        <v>478</v>
      </c>
      <c r="H94" s="113" t="s">
        <v>2266</v>
      </c>
      <c r="I94" s="113" t="s">
        <v>2267</v>
      </c>
      <c r="J94" s="113">
        <v>9.9099999999999991E-4</v>
      </c>
      <c r="K94" s="113">
        <v>9.5699999999999995E-4</v>
      </c>
      <c r="L94" s="113">
        <v>9.2299999999999999E-4</v>
      </c>
      <c r="M94" s="113">
        <v>8.9400000000000005E-4</v>
      </c>
      <c r="N94" s="113">
        <v>8.6499999999999999E-4</v>
      </c>
      <c r="O94" s="113">
        <v>8.3600000000000005E-4</v>
      </c>
      <c r="P94" s="113">
        <v>8.0800000000000002E-4</v>
      </c>
      <c r="Q94" s="113">
        <v>7.7899999999999996E-4</v>
      </c>
      <c r="R94" s="113">
        <v>7.6000000000000004E-4</v>
      </c>
      <c r="S94" s="113">
        <v>7.4100000000000001E-4</v>
      </c>
      <c r="T94" s="113">
        <v>7.2199999999999999E-4</v>
      </c>
      <c r="U94" s="113">
        <v>7.0299999999999996E-4</v>
      </c>
      <c r="V94" s="113">
        <v>6.8400000000000004E-4</v>
      </c>
      <c r="W94" s="113">
        <v>6.6500000000000001E-4</v>
      </c>
      <c r="X94" s="113">
        <v>6.4599999999999998E-4</v>
      </c>
      <c r="Y94" s="113">
        <v>6.2699999999999995E-4</v>
      </c>
      <c r="Z94" s="113">
        <v>6.0800000000000003E-4</v>
      </c>
      <c r="AA94" s="113">
        <v>5.8900000000000001E-4</v>
      </c>
      <c r="AB94" s="113">
        <v>5.6999999999999998E-4</v>
      </c>
      <c r="AC94" s="113">
        <v>5.5000000000000003E-4</v>
      </c>
      <c r="AD94" s="113">
        <v>5.31E-4</v>
      </c>
      <c r="AE94" s="113">
        <v>5.1199999999999998E-4</v>
      </c>
      <c r="AF94" s="113">
        <v>4.9299999999999995E-4</v>
      </c>
      <c r="AG94" s="113">
        <v>4.7399999999999997E-4</v>
      </c>
    </row>
    <row r="95" spans="1:33">
      <c r="A95" s="113" t="s">
        <v>18793</v>
      </c>
      <c r="B95" s="113" t="s">
        <v>18768</v>
      </c>
      <c r="C95" s="113" t="s">
        <v>18769</v>
      </c>
      <c r="D95" s="113" t="s">
        <v>18770</v>
      </c>
      <c r="E95" s="113" t="s">
        <v>781</v>
      </c>
      <c r="F95" s="113" t="s">
        <v>598</v>
      </c>
      <c r="G95" s="113" t="s">
        <v>478</v>
      </c>
      <c r="H95" s="113" t="s">
        <v>2266</v>
      </c>
      <c r="I95" s="113" t="s">
        <v>2267</v>
      </c>
      <c r="J95" s="113">
        <v>0.50115699999999996</v>
      </c>
      <c r="K95" s="113">
        <v>0.50115699999999996</v>
      </c>
      <c r="L95" s="113">
        <v>0.50115699999999996</v>
      </c>
      <c r="M95" s="113">
        <v>0.50115699999999996</v>
      </c>
      <c r="N95" s="113">
        <v>0.50115699999999996</v>
      </c>
      <c r="O95" s="113">
        <v>0.50115699999999996</v>
      </c>
      <c r="P95" s="113">
        <v>0.50115699999999996</v>
      </c>
      <c r="Q95" s="113">
        <v>0.50115699999999996</v>
      </c>
      <c r="R95" s="113">
        <v>0.50115699999999996</v>
      </c>
      <c r="S95" s="113">
        <v>0.50115699999999996</v>
      </c>
      <c r="T95" s="113">
        <v>0.50115699999999996</v>
      </c>
      <c r="U95" s="113">
        <v>0.50115699999999996</v>
      </c>
      <c r="V95" s="113">
        <v>0.50115699999999996</v>
      </c>
      <c r="W95" s="113">
        <v>0.50115699999999996</v>
      </c>
      <c r="X95" s="113">
        <v>0.50115699999999996</v>
      </c>
      <c r="Y95" s="113">
        <v>0.50115699999999996</v>
      </c>
      <c r="Z95" s="113">
        <v>0.50115699999999996</v>
      </c>
      <c r="AA95" s="113">
        <v>0.50115699999999996</v>
      </c>
      <c r="AB95" s="113">
        <v>0.50115699999999996</v>
      </c>
      <c r="AC95" s="113">
        <v>0.50115699999999996</v>
      </c>
      <c r="AD95" s="113">
        <v>0.50115699999999996</v>
      </c>
      <c r="AE95" s="113">
        <v>0.50115699999999996</v>
      </c>
      <c r="AF95" s="113">
        <v>0.50115699999999996</v>
      </c>
      <c r="AG95" s="113">
        <v>0.50115699999999996</v>
      </c>
    </row>
    <row r="96" spans="1:33">
      <c r="A96" s="113" t="s">
        <v>18793</v>
      </c>
      <c r="B96" s="113" t="s">
        <v>18771</v>
      </c>
      <c r="C96" s="113" t="s">
        <v>18769</v>
      </c>
      <c r="D96" s="113" t="s">
        <v>18772</v>
      </c>
      <c r="E96" s="113" t="s">
        <v>781</v>
      </c>
      <c r="F96" s="113" t="s">
        <v>598</v>
      </c>
      <c r="G96" s="113" t="s">
        <v>478</v>
      </c>
      <c r="H96" s="113" t="s">
        <v>2266</v>
      </c>
      <c r="I96" s="113" t="s">
        <v>2267</v>
      </c>
      <c r="J96" s="113">
        <v>1.9830620000000001</v>
      </c>
      <c r="K96" s="113">
        <v>2.0185520000000001</v>
      </c>
      <c r="L96" s="113">
        <v>2.0533450000000002</v>
      </c>
      <c r="M96" s="113">
        <v>2.087431</v>
      </c>
      <c r="N96" s="113">
        <v>2.1230220000000002</v>
      </c>
      <c r="O96" s="113">
        <v>2.160282</v>
      </c>
      <c r="P96" s="113">
        <v>2.1984530000000002</v>
      </c>
      <c r="Q96" s="113">
        <v>2.2381669999999998</v>
      </c>
      <c r="R96" s="113">
        <v>2.2779189999999998</v>
      </c>
      <c r="S96" s="113">
        <v>2.3172410000000001</v>
      </c>
      <c r="T96" s="113">
        <v>2.3567149999999999</v>
      </c>
      <c r="U96" s="113">
        <v>2.3964159999999999</v>
      </c>
      <c r="V96" s="113">
        <v>2.43737</v>
      </c>
      <c r="W96" s="113">
        <v>2.4783230000000001</v>
      </c>
      <c r="X96" s="113">
        <v>2.5192770000000002</v>
      </c>
      <c r="Y96" s="113">
        <v>2.5602309999999999</v>
      </c>
      <c r="Z96" s="113">
        <v>2.6011839999999999</v>
      </c>
      <c r="AA96" s="113">
        <v>2.6421380000000001</v>
      </c>
      <c r="AB96" s="113">
        <v>2.6830919999999998</v>
      </c>
      <c r="AC96" s="113">
        <v>2.7240449999999998</v>
      </c>
      <c r="AD96" s="113">
        <v>2.764999</v>
      </c>
      <c r="AE96" s="113">
        <v>2.8059530000000001</v>
      </c>
      <c r="AF96" s="113">
        <v>2.8469060000000002</v>
      </c>
      <c r="AG96" s="113">
        <v>2.8878599999999999</v>
      </c>
    </row>
    <row r="97" spans="1:33" ht="15.75" thickBot="1">
      <c r="A97" s="233" t="s">
        <v>18793</v>
      </c>
      <c r="B97" s="233" t="s">
        <v>18773</v>
      </c>
      <c r="C97" s="233" t="s">
        <v>18769</v>
      </c>
      <c r="D97" s="233" t="s">
        <v>18774</v>
      </c>
      <c r="E97" s="233" t="s">
        <v>781</v>
      </c>
      <c r="F97" s="233" t="s">
        <v>598</v>
      </c>
      <c r="G97" s="233" t="s">
        <v>478</v>
      </c>
      <c r="H97" s="233" t="s">
        <v>2266</v>
      </c>
      <c r="I97" s="233" t="s">
        <v>2267</v>
      </c>
      <c r="J97" s="233">
        <v>0.138964</v>
      </c>
      <c r="K97" s="233">
        <v>0.13985400000000001</v>
      </c>
      <c r="L97" s="233">
        <v>0.14074400000000001</v>
      </c>
      <c r="M97" s="233">
        <v>0.14163500000000001</v>
      </c>
      <c r="N97" s="233">
        <v>0.14252600000000001</v>
      </c>
      <c r="O97" s="233">
        <v>0.14341699999999999</v>
      </c>
      <c r="P97" s="233">
        <v>0.14430799999999999</v>
      </c>
      <c r="Q97" s="233">
        <v>0.14519899999999999</v>
      </c>
      <c r="R97" s="233">
        <v>0.146091</v>
      </c>
      <c r="S97" s="233">
        <v>0.146983</v>
      </c>
      <c r="T97" s="233">
        <v>0.14787500000000001</v>
      </c>
      <c r="U97" s="233">
        <v>0.14876700000000001</v>
      </c>
      <c r="V97" s="233">
        <v>0.14965999999999999</v>
      </c>
      <c r="W97" s="233">
        <v>0.15055299999999999</v>
      </c>
      <c r="X97" s="233">
        <v>0.151445</v>
      </c>
      <c r="Y97" s="233">
        <v>0.152338</v>
      </c>
      <c r="Z97" s="233">
        <v>0.15323100000000001</v>
      </c>
      <c r="AA97" s="233">
        <v>0.15412300000000001</v>
      </c>
      <c r="AB97" s="233">
        <v>0.15501599999999999</v>
      </c>
      <c r="AC97" s="233">
        <v>0.15590899999999999</v>
      </c>
      <c r="AD97" s="233">
        <v>0.156801</v>
      </c>
      <c r="AE97" s="233">
        <v>0.157694</v>
      </c>
      <c r="AF97" s="233">
        <v>0.15858700000000001</v>
      </c>
      <c r="AG97" s="233">
        <v>0.15947900000000001</v>
      </c>
    </row>
    <row r="98" spans="1:33">
      <c r="A98" s="172" t="s">
        <v>18775</v>
      </c>
      <c r="B98" s="113"/>
      <c r="C98" s="113"/>
      <c r="D98" s="113"/>
      <c r="E98" s="113"/>
      <c r="F98" s="113"/>
      <c r="G98" s="113"/>
      <c r="H98" s="113"/>
      <c r="I98" s="113"/>
      <c r="J98" s="113">
        <v>2.638979</v>
      </c>
      <c r="K98" s="113">
        <v>2.6753589999999998</v>
      </c>
      <c r="L98" s="113">
        <v>2.7110430000000001</v>
      </c>
      <c r="M98" s="113">
        <v>2.7460239999999998</v>
      </c>
      <c r="N98" s="113">
        <v>2.782511</v>
      </c>
      <c r="O98" s="113">
        <v>2.820668</v>
      </c>
      <c r="P98" s="113">
        <v>2.8597350000000001</v>
      </c>
      <c r="Q98" s="113">
        <v>2.900347</v>
      </c>
      <c r="R98" s="113">
        <v>2.9410059999999998</v>
      </c>
      <c r="S98" s="113">
        <v>2.9812349999999999</v>
      </c>
      <c r="T98" s="113">
        <v>3.021617</v>
      </c>
      <c r="U98" s="113">
        <v>3.0622259999999999</v>
      </c>
      <c r="V98" s="113">
        <v>3.104088</v>
      </c>
      <c r="W98" s="113">
        <v>3.14595</v>
      </c>
      <c r="X98" s="113">
        <v>3.1878120000000001</v>
      </c>
      <c r="Y98" s="113">
        <v>3.2296740000000002</v>
      </c>
      <c r="Z98" s="113">
        <v>3.2715369999999999</v>
      </c>
      <c r="AA98" s="113">
        <v>3.3133979999999998</v>
      </c>
      <c r="AB98" s="113">
        <v>3.355261</v>
      </c>
      <c r="AC98" s="113">
        <v>3.397122</v>
      </c>
      <c r="AD98" s="113">
        <v>3.438984</v>
      </c>
      <c r="AE98" s="113">
        <v>3.4808469999999998</v>
      </c>
      <c r="AF98" s="113">
        <v>3.5227089999999999</v>
      </c>
      <c r="AG98" s="113">
        <v>3.5645699999999998</v>
      </c>
    </row>
    <row r="99" spans="1:33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</row>
    <row r="100" spans="1:33" ht="15.75" thickBot="1">
      <c r="A100" s="231" t="s">
        <v>569</v>
      </c>
      <c r="B100" s="231" t="s">
        <v>570</v>
      </c>
      <c r="C100" s="231" t="s">
        <v>571</v>
      </c>
      <c r="D100" s="231" t="s">
        <v>572</v>
      </c>
      <c r="E100" s="231" t="s">
        <v>573</v>
      </c>
      <c r="F100" s="231" t="s">
        <v>574</v>
      </c>
      <c r="G100" s="231" t="s">
        <v>575</v>
      </c>
      <c r="H100" s="231" t="s">
        <v>576</v>
      </c>
      <c r="I100" s="231" t="s">
        <v>577</v>
      </c>
      <c r="J100" s="231">
        <v>2023</v>
      </c>
      <c r="K100" s="231">
        <v>2024</v>
      </c>
      <c r="L100" s="231">
        <v>2025</v>
      </c>
      <c r="M100" s="231">
        <v>2026</v>
      </c>
      <c r="N100" s="231">
        <v>2027</v>
      </c>
      <c r="O100" s="231">
        <v>2028</v>
      </c>
      <c r="P100" s="231">
        <v>2029</v>
      </c>
      <c r="Q100" s="231">
        <v>2030</v>
      </c>
      <c r="R100" s="231">
        <v>2031</v>
      </c>
      <c r="S100" s="231">
        <v>2032</v>
      </c>
      <c r="T100" s="231">
        <v>2033</v>
      </c>
      <c r="U100" s="231">
        <v>2034</v>
      </c>
      <c r="V100" s="231">
        <v>2035</v>
      </c>
      <c r="W100" s="231">
        <v>2036</v>
      </c>
      <c r="X100" s="231">
        <v>2037</v>
      </c>
      <c r="Y100" s="231">
        <v>2038</v>
      </c>
      <c r="Z100" s="231">
        <v>2039</v>
      </c>
      <c r="AA100" s="231">
        <v>2040</v>
      </c>
      <c r="AB100" s="231">
        <v>2041</v>
      </c>
      <c r="AC100" s="231">
        <v>2042</v>
      </c>
      <c r="AD100" s="231">
        <v>2043</v>
      </c>
      <c r="AE100" s="231">
        <v>2044</v>
      </c>
      <c r="AF100" s="231">
        <v>2045</v>
      </c>
      <c r="AG100" s="231">
        <v>2046</v>
      </c>
    </row>
    <row r="101" spans="1:33">
      <c r="A101" s="113" t="s">
        <v>18794</v>
      </c>
      <c r="B101" s="113" t="s">
        <v>18783</v>
      </c>
      <c r="C101" s="113" t="s">
        <v>18769</v>
      </c>
      <c r="D101" s="113" t="s">
        <v>18784</v>
      </c>
      <c r="E101" s="113" t="s">
        <v>1544</v>
      </c>
      <c r="F101" s="113" t="s">
        <v>598</v>
      </c>
      <c r="G101" s="113" t="s">
        <v>478</v>
      </c>
      <c r="H101" s="113" t="s">
        <v>2266</v>
      </c>
      <c r="I101" s="113" t="s">
        <v>2267</v>
      </c>
      <c r="J101" s="113">
        <v>1.0907E-2</v>
      </c>
      <c r="K101" s="113">
        <v>1.0928999999999999E-2</v>
      </c>
      <c r="L101" s="113">
        <v>1.0951000000000001E-2</v>
      </c>
      <c r="M101" s="113">
        <v>1.0984000000000001E-2</v>
      </c>
      <c r="N101" s="113">
        <v>1.1006E-2</v>
      </c>
      <c r="O101" s="113">
        <v>1.1028E-2</v>
      </c>
      <c r="P101" s="113">
        <v>1.1050000000000001E-2</v>
      </c>
      <c r="Q101" s="113">
        <v>1.1083000000000001E-2</v>
      </c>
      <c r="R101" s="113">
        <v>1.1106E-2</v>
      </c>
      <c r="S101" s="113">
        <v>1.1106E-2</v>
      </c>
      <c r="T101" s="113">
        <v>1.1106E-2</v>
      </c>
      <c r="U101" s="113">
        <v>1.1117E-2</v>
      </c>
      <c r="V101" s="113">
        <v>1.1117E-2</v>
      </c>
      <c r="W101" s="113">
        <v>1.1117E-2</v>
      </c>
      <c r="X101" s="113">
        <v>1.1117E-2</v>
      </c>
      <c r="Y101" s="113">
        <v>1.1117E-2</v>
      </c>
      <c r="Z101" s="113">
        <v>1.1117E-2</v>
      </c>
      <c r="AA101" s="113">
        <v>1.1117E-2</v>
      </c>
      <c r="AB101" s="113">
        <v>1.1117E-2</v>
      </c>
      <c r="AC101" s="113">
        <v>1.1117E-2</v>
      </c>
      <c r="AD101" s="113">
        <v>1.1117E-2</v>
      </c>
      <c r="AE101" s="113">
        <v>1.1117E-2</v>
      </c>
      <c r="AF101" s="113">
        <v>1.1117E-2</v>
      </c>
      <c r="AG101" s="113">
        <v>1.1117E-2</v>
      </c>
    </row>
    <row r="102" spans="1:33">
      <c r="A102" s="113" t="s">
        <v>18794</v>
      </c>
      <c r="B102" s="113" t="s">
        <v>18785</v>
      </c>
      <c r="C102" s="113" t="s">
        <v>18769</v>
      </c>
      <c r="D102" s="113" t="s">
        <v>18786</v>
      </c>
      <c r="E102" s="113" t="s">
        <v>1544</v>
      </c>
      <c r="F102" s="113" t="s">
        <v>598</v>
      </c>
      <c r="G102" s="113" t="s">
        <v>478</v>
      </c>
      <c r="H102" s="113" t="s">
        <v>2266</v>
      </c>
      <c r="I102" s="113" t="s">
        <v>2267</v>
      </c>
      <c r="J102" s="113">
        <v>1.3669999999999999E-3</v>
      </c>
      <c r="K102" s="113">
        <v>1.328E-3</v>
      </c>
      <c r="L102" s="113">
        <v>1.289E-3</v>
      </c>
      <c r="M102" s="113">
        <v>1.256E-3</v>
      </c>
      <c r="N102" s="113">
        <v>1.2229999999999999E-3</v>
      </c>
      <c r="O102" s="113">
        <v>1.1900000000000001E-3</v>
      </c>
      <c r="P102" s="113">
        <v>1.157E-3</v>
      </c>
      <c r="Q102" s="113">
        <v>1.1249999999999999E-3</v>
      </c>
      <c r="R102" s="113">
        <v>1.103E-3</v>
      </c>
      <c r="S102" s="113">
        <v>1.0809999999999999E-3</v>
      </c>
      <c r="T102" s="113">
        <v>1.059E-3</v>
      </c>
      <c r="U102" s="113">
        <v>1.0380000000000001E-3</v>
      </c>
      <c r="V102" s="113">
        <v>1.016E-3</v>
      </c>
      <c r="W102" s="113">
        <v>9.9400000000000009E-4</v>
      </c>
      <c r="X102" s="113">
        <v>9.7199999999999999E-4</v>
      </c>
      <c r="Y102" s="113">
        <v>9.5E-4</v>
      </c>
      <c r="Z102" s="113">
        <v>9.2900000000000003E-4</v>
      </c>
      <c r="AA102" s="113">
        <v>9.0700000000000004E-4</v>
      </c>
      <c r="AB102" s="113">
        <v>8.8500000000000004E-4</v>
      </c>
      <c r="AC102" s="113">
        <v>8.6300000000000005E-4</v>
      </c>
      <c r="AD102" s="113">
        <v>8.4199999999999998E-4</v>
      </c>
      <c r="AE102" s="113">
        <v>8.1999999999999998E-4</v>
      </c>
      <c r="AF102" s="113">
        <v>7.9799999999999999E-4</v>
      </c>
      <c r="AG102" s="113">
        <v>7.76E-4</v>
      </c>
    </row>
    <row r="103" spans="1:33">
      <c r="A103" s="113" t="s">
        <v>18794</v>
      </c>
      <c r="B103" s="113" t="s">
        <v>18768</v>
      </c>
      <c r="C103" s="113" t="s">
        <v>18769</v>
      </c>
      <c r="D103" s="113" t="s">
        <v>18770</v>
      </c>
      <c r="E103" s="113" t="s">
        <v>781</v>
      </c>
      <c r="F103" s="113" t="s">
        <v>598</v>
      </c>
      <c r="G103" s="113" t="s">
        <v>478</v>
      </c>
      <c r="H103" s="113" t="s">
        <v>2266</v>
      </c>
      <c r="I103" s="113" t="s">
        <v>2267</v>
      </c>
      <c r="J103" s="113">
        <v>3.4651510000000001</v>
      </c>
      <c r="K103" s="113">
        <v>3.5156269999999998</v>
      </c>
      <c r="L103" s="113">
        <v>3.5648409999999999</v>
      </c>
      <c r="M103" s="113">
        <v>3.602697</v>
      </c>
      <c r="N103" s="113">
        <v>3.6392920000000002</v>
      </c>
      <c r="O103" s="113">
        <v>3.677149</v>
      </c>
      <c r="P103" s="113">
        <v>3.7137440000000002</v>
      </c>
      <c r="Q103" s="113">
        <v>3.7515999999999998</v>
      </c>
      <c r="R103" s="113">
        <v>3.7894570000000001</v>
      </c>
      <c r="S103" s="113">
        <v>3.8260519999999998</v>
      </c>
      <c r="T103" s="113">
        <v>3.863909</v>
      </c>
      <c r="U103" s="113">
        <v>3.9005030000000001</v>
      </c>
      <c r="V103" s="113">
        <v>3.9383599999999999</v>
      </c>
      <c r="W103" s="113">
        <v>3.9800019999999998</v>
      </c>
      <c r="X103" s="113">
        <v>4.022907</v>
      </c>
      <c r="Y103" s="113">
        <v>4.0645490000000004</v>
      </c>
      <c r="Z103" s="113">
        <v>4.1074529999999996</v>
      </c>
      <c r="AA103" s="113">
        <v>4.1490960000000001</v>
      </c>
      <c r="AB103" s="113">
        <v>4.1920000000000002</v>
      </c>
      <c r="AC103" s="113">
        <v>4.2336429999999998</v>
      </c>
      <c r="AD103" s="113">
        <v>4.2765459999999997</v>
      </c>
      <c r="AE103" s="113">
        <v>4.3181890000000003</v>
      </c>
      <c r="AF103" s="113">
        <v>4.3610939999999996</v>
      </c>
      <c r="AG103" s="113">
        <v>4.402736</v>
      </c>
    </row>
    <row r="104" spans="1:33">
      <c r="A104" s="113" t="s">
        <v>18794</v>
      </c>
      <c r="B104" s="113" t="s">
        <v>18795</v>
      </c>
      <c r="C104" s="113" t="s">
        <v>18769</v>
      </c>
      <c r="D104" s="113" t="s">
        <v>18770</v>
      </c>
      <c r="E104" s="113" t="s">
        <v>894</v>
      </c>
      <c r="F104" s="113" t="s">
        <v>598</v>
      </c>
      <c r="G104" s="113" t="s">
        <v>478</v>
      </c>
      <c r="H104" s="113" t="s">
        <v>2266</v>
      </c>
      <c r="I104" s="113" t="s">
        <v>2267</v>
      </c>
      <c r="J104" s="113">
        <v>3.0196000000000001E-2</v>
      </c>
      <c r="K104" s="113">
        <v>3.0196000000000001E-2</v>
      </c>
      <c r="L104" s="113">
        <v>3.0196000000000001E-2</v>
      </c>
      <c r="M104" s="113">
        <v>3.0196000000000001E-2</v>
      </c>
      <c r="N104" s="113">
        <v>3.0196000000000001E-2</v>
      </c>
      <c r="O104" s="113">
        <v>3.0196000000000001E-2</v>
      </c>
      <c r="P104" s="113">
        <v>3.0196000000000001E-2</v>
      </c>
      <c r="Q104" s="113">
        <v>3.0196000000000001E-2</v>
      </c>
      <c r="R104" s="113">
        <v>3.0196000000000001E-2</v>
      </c>
      <c r="S104" s="113">
        <v>3.0196000000000001E-2</v>
      </c>
      <c r="T104" s="113">
        <v>3.0196000000000001E-2</v>
      </c>
      <c r="U104" s="113">
        <v>3.0196000000000001E-2</v>
      </c>
      <c r="V104" s="113">
        <v>3.0196000000000001E-2</v>
      </c>
      <c r="W104" s="113">
        <v>3.0196000000000001E-2</v>
      </c>
      <c r="X104" s="113">
        <v>3.0196000000000001E-2</v>
      </c>
      <c r="Y104" s="113">
        <v>3.0196000000000001E-2</v>
      </c>
      <c r="Z104" s="113">
        <v>3.0196000000000001E-2</v>
      </c>
      <c r="AA104" s="113">
        <v>3.0196000000000001E-2</v>
      </c>
      <c r="AB104" s="113">
        <v>3.0196000000000001E-2</v>
      </c>
      <c r="AC104" s="113">
        <v>3.0196000000000001E-2</v>
      </c>
      <c r="AD104" s="113">
        <v>3.0196000000000001E-2</v>
      </c>
      <c r="AE104" s="113">
        <v>3.0196000000000001E-2</v>
      </c>
      <c r="AF104" s="113">
        <v>3.0196000000000001E-2</v>
      </c>
      <c r="AG104" s="113">
        <v>3.0196000000000001E-2</v>
      </c>
    </row>
    <row r="105" spans="1:33">
      <c r="A105" s="113" t="s">
        <v>18794</v>
      </c>
      <c r="B105" s="113" t="s">
        <v>18771</v>
      </c>
      <c r="C105" s="113" t="s">
        <v>18769</v>
      </c>
      <c r="D105" s="113" t="s">
        <v>18772</v>
      </c>
      <c r="E105" s="113" t="s">
        <v>781</v>
      </c>
      <c r="F105" s="113" t="s">
        <v>598</v>
      </c>
      <c r="G105" s="113" t="s">
        <v>478</v>
      </c>
      <c r="H105" s="113" t="s">
        <v>2266</v>
      </c>
      <c r="I105" s="113" t="s">
        <v>2267</v>
      </c>
      <c r="J105" s="113">
        <v>0.25287700000000002</v>
      </c>
      <c r="K105" s="113">
        <v>0.25287700000000002</v>
      </c>
      <c r="L105" s="113">
        <v>0.25287700000000002</v>
      </c>
      <c r="M105" s="113">
        <v>0.25287700000000002</v>
      </c>
      <c r="N105" s="113">
        <v>0.25287700000000002</v>
      </c>
      <c r="O105" s="113">
        <v>0.25287700000000002</v>
      </c>
      <c r="P105" s="113">
        <v>0.25287700000000002</v>
      </c>
      <c r="Q105" s="113">
        <v>0.25287700000000002</v>
      </c>
      <c r="R105" s="113">
        <v>0.25287700000000002</v>
      </c>
      <c r="S105" s="113">
        <v>0.25287700000000002</v>
      </c>
      <c r="T105" s="113">
        <v>0.25287700000000002</v>
      </c>
      <c r="U105" s="113">
        <v>0.25287700000000002</v>
      </c>
      <c r="V105" s="113">
        <v>0.25287700000000002</v>
      </c>
      <c r="W105" s="113">
        <v>0.25287700000000002</v>
      </c>
      <c r="X105" s="113">
        <v>0.25287700000000002</v>
      </c>
      <c r="Y105" s="113">
        <v>0.25287700000000002</v>
      </c>
      <c r="Z105" s="113">
        <v>0.25287700000000002</v>
      </c>
      <c r="AA105" s="113">
        <v>0.25287700000000002</v>
      </c>
      <c r="AB105" s="113">
        <v>0.25287700000000002</v>
      </c>
      <c r="AC105" s="113">
        <v>0.25287700000000002</v>
      </c>
      <c r="AD105" s="113">
        <v>0.25287700000000002</v>
      </c>
      <c r="AE105" s="113">
        <v>0.25287700000000002</v>
      </c>
      <c r="AF105" s="113">
        <v>0.25287700000000002</v>
      </c>
      <c r="AG105" s="113">
        <v>0.25287700000000002</v>
      </c>
    </row>
    <row r="106" spans="1:33">
      <c r="A106" s="113" t="s">
        <v>18794</v>
      </c>
      <c r="B106" s="113" t="s">
        <v>18796</v>
      </c>
      <c r="C106" s="113" t="s">
        <v>18769</v>
      </c>
      <c r="D106" s="113" t="s">
        <v>18772</v>
      </c>
      <c r="E106" s="113" t="s">
        <v>784</v>
      </c>
      <c r="F106" s="113" t="s">
        <v>598</v>
      </c>
      <c r="G106" s="113" t="s">
        <v>478</v>
      </c>
      <c r="H106" s="113" t="s">
        <v>2266</v>
      </c>
      <c r="I106" s="113" t="s">
        <v>2267</v>
      </c>
      <c r="J106" s="113">
        <v>0.33712999999999999</v>
      </c>
      <c r="K106" s="113">
        <v>0.35466999999999999</v>
      </c>
      <c r="L106" s="113">
        <v>0.37246800000000002</v>
      </c>
      <c r="M106" s="113">
        <v>0.39000800000000002</v>
      </c>
      <c r="N106" s="113">
        <v>0.40754800000000002</v>
      </c>
      <c r="O106" s="113">
        <v>0.425346</v>
      </c>
      <c r="P106" s="113">
        <v>0.442886</v>
      </c>
      <c r="Q106" s="113">
        <v>0.460426</v>
      </c>
      <c r="R106" s="113">
        <v>0.47822399999999998</v>
      </c>
      <c r="S106" s="113">
        <v>0.48957400000000001</v>
      </c>
      <c r="T106" s="113">
        <v>0.50092300000000001</v>
      </c>
      <c r="U106" s="113">
        <v>0.51227299999999998</v>
      </c>
      <c r="V106" s="113">
        <v>0.52362200000000003</v>
      </c>
      <c r="W106" s="113">
        <v>0.534972</v>
      </c>
      <c r="X106" s="113">
        <v>0.54657900000000004</v>
      </c>
      <c r="Y106" s="113">
        <v>0.54657900000000004</v>
      </c>
      <c r="Z106" s="113">
        <v>0.54657900000000004</v>
      </c>
      <c r="AA106" s="113">
        <v>0.54657900000000004</v>
      </c>
      <c r="AB106" s="113">
        <v>0.54657900000000004</v>
      </c>
      <c r="AC106" s="113">
        <v>0.54657900000000004</v>
      </c>
      <c r="AD106" s="113">
        <v>0.54657900000000004</v>
      </c>
      <c r="AE106" s="113">
        <v>0.54657900000000004</v>
      </c>
      <c r="AF106" s="113">
        <v>0.54657900000000004</v>
      </c>
      <c r="AG106" s="113">
        <v>0.54657900000000004</v>
      </c>
    </row>
    <row r="107" spans="1:33">
      <c r="A107" s="113" t="s">
        <v>18794</v>
      </c>
      <c r="B107" s="113" t="s">
        <v>18773</v>
      </c>
      <c r="C107" s="113" t="s">
        <v>18769</v>
      </c>
      <c r="D107" s="113" t="s">
        <v>18774</v>
      </c>
      <c r="E107" s="113" t="s">
        <v>781</v>
      </c>
      <c r="F107" s="113" t="s">
        <v>598</v>
      </c>
      <c r="G107" s="113" t="s">
        <v>478</v>
      </c>
      <c r="H107" s="113" t="s">
        <v>2266</v>
      </c>
      <c r="I107" s="113" t="s">
        <v>2267</v>
      </c>
      <c r="J107" s="113">
        <v>7.123E-3</v>
      </c>
      <c r="K107" s="113">
        <v>7.123E-3</v>
      </c>
      <c r="L107" s="113">
        <v>7.123E-3</v>
      </c>
      <c r="M107" s="113">
        <v>7.123E-3</v>
      </c>
      <c r="N107" s="113">
        <v>7.123E-3</v>
      </c>
      <c r="O107" s="113">
        <v>7.123E-3</v>
      </c>
      <c r="P107" s="113">
        <v>7.123E-3</v>
      </c>
      <c r="Q107" s="113">
        <v>7.123E-3</v>
      </c>
      <c r="R107" s="113">
        <v>7.123E-3</v>
      </c>
      <c r="S107" s="113">
        <v>7.123E-3</v>
      </c>
      <c r="T107" s="113">
        <v>7.123E-3</v>
      </c>
      <c r="U107" s="113">
        <v>7.123E-3</v>
      </c>
      <c r="V107" s="113">
        <v>7.123E-3</v>
      </c>
      <c r="W107" s="113">
        <v>7.123E-3</v>
      </c>
      <c r="X107" s="113">
        <v>7.123E-3</v>
      </c>
      <c r="Y107" s="113">
        <v>7.123E-3</v>
      </c>
      <c r="Z107" s="113">
        <v>7.123E-3</v>
      </c>
      <c r="AA107" s="113">
        <v>7.123E-3</v>
      </c>
      <c r="AB107" s="113">
        <v>7.123E-3</v>
      </c>
      <c r="AC107" s="113">
        <v>7.123E-3</v>
      </c>
      <c r="AD107" s="113">
        <v>7.123E-3</v>
      </c>
      <c r="AE107" s="113">
        <v>7.123E-3</v>
      </c>
      <c r="AF107" s="113">
        <v>7.123E-3</v>
      </c>
      <c r="AG107" s="113">
        <v>7.123E-3</v>
      </c>
    </row>
    <row r="108" spans="1:33" ht="15.75" thickBot="1">
      <c r="A108" s="233" t="s">
        <v>18794</v>
      </c>
      <c r="B108" s="233" t="s">
        <v>18797</v>
      </c>
      <c r="C108" s="233" t="s">
        <v>18769</v>
      </c>
      <c r="D108" s="233" t="s">
        <v>18774</v>
      </c>
      <c r="E108" s="233" t="s">
        <v>784</v>
      </c>
      <c r="F108" s="233" t="s">
        <v>598</v>
      </c>
      <c r="G108" s="233" t="s">
        <v>478</v>
      </c>
      <c r="H108" s="233" t="s">
        <v>2266</v>
      </c>
      <c r="I108" s="233" t="s">
        <v>2267</v>
      </c>
      <c r="J108" s="233">
        <v>2.1215999999999999E-2</v>
      </c>
      <c r="K108" s="233">
        <v>2.1259E-2</v>
      </c>
      <c r="L108" s="233">
        <v>2.1302000000000001E-2</v>
      </c>
      <c r="M108" s="233">
        <v>2.1366E-2</v>
      </c>
      <c r="N108" s="233">
        <v>2.1409000000000001E-2</v>
      </c>
      <c r="O108" s="233">
        <v>2.1451999999999999E-2</v>
      </c>
      <c r="P108" s="233">
        <v>2.1495E-2</v>
      </c>
      <c r="Q108" s="233">
        <v>2.1559999999999999E-2</v>
      </c>
      <c r="R108" s="233">
        <v>2.1603000000000001E-2</v>
      </c>
      <c r="S108" s="233">
        <v>2.1603000000000001E-2</v>
      </c>
      <c r="T108" s="233">
        <v>2.1603000000000001E-2</v>
      </c>
      <c r="U108" s="233">
        <v>2.1624000000000001E-2</v>
      </c>
      <c r="V108" s="233">
        <v>2.1624000000000001E-2</v>
      </c>
      <c r="W108" s="233">
        <v>2.1624000000000001E-2</v>
      </c>
      <c r="X108" s="233">
        <v>2.1624000000000001E-2</v>
      </c>
      <c r="Y108" s="233">
        <v>2.1624000000000001E-2</v>
      </c>
      <c r="Z108" s="233">
        <v>2.1624000000000001E-2</v>
      </c>
      <c r="AA108" s="233">
        <v>2.1624000000000001E-2</v>
      </c>
      <c r="AB108" s="233">
        <v>2.1624000000000001E-2</v>
      </c>
      <c r="AC108" s="233">
        <v>2.1624000000000001E-2</v>
      </c>
      <c r="AD108" s="233">
        <v>2.1624000000000001E-2</v>
      </c>
      <c r="AE108" s="233">
        <v>2.1624000000000001E-2</v>
      </c>
      <c r="AF108" s="233">
        <v>2.1624000000000001E-2</v>
      </c>
      <c r="AG108" s="233">
        <v>2.1624000000000001E-2</v>
      </c>
    </row>
    <row r="109" spans="1:33">
      <c r="A109" s="172" t="s">
        <v>18775</v>
      </c>
      <c r="B109" s="113"/>
      <c r="C109" s="113"/>
      <c r="D109" s="113"/>
      <c r="E109" s="113"/>
      <c r="F109" s="113"/>
      <c r="G109" s="113"/>
      <c r="H109" s="113"/>
      <c r="I109" s="113"/>
      <c r="J109" s="113">
        <v>4.125966</v>
      </c>
      <c r="K109" s="113">
        <v>4.1940080000000002</v>
      </c>
      <c r="L109" s="113">
        <v>4.2610460000000003</v>
      </c>
      <c r="M109" s="113">
        <v>4.3165079999999998</v>
      </c>
      <c r="N109" s="113">
        <v>4.3706750000000003</v>
      </c>
      <c r="O109" s="113">
        <v>4.4263620000000001</v>
      </c>
      <c r="P109" s="113">
        <v>4.4805289999999998</v>
      </c>
      <c r="Q109" s="113">
        <v>4.53599</v>
      </c>
      <c r="R109" s="113">
        <v>4.5916889999999997</v>
      </c>
      <c r="S109" s="113">
        <v>4.6396110000000004</v>
      </c>
      <c r="T109" s="113">
        <v>4.6887949999999998</v>
      </c>
      <c r="U109" s="113">
        <v>4.7367499999999998</v>
      </c>
      <c r="V109" s="113">
        <v>4.7859350000000003</v>
      </c>
      <c r="W109" s="113">
        <v>4.8389049999999996</v>
      </c>
      <c r="X109" s="113">
        <v>4.8933949999999999</v>
      </c>
      <c r="Y109" s="113">
        <v>4.9350149999999999</v>
      </c>
      <c r="Z109" s="113">
        <v>4.9778979999999997</v>
      </c>
      <c r="AA109" s="113">
        <v>5.0195189999999998</v>
      </c>
      <c r="AB109" s="113">
        <v>5.0624010000000004</v>
      </c>
      <c r="AC109" s="113">
        <v>5.1040219999999996</v>
      </c>
      <c r="AD109" s="113">
        <v>5.1469040000000001</v>
      </c>
      <c r="AE109" s="113">
        <v>5.1885250000000003</v>
      </c>
      <c r="AF109" s="113">
        <v>5.2314080000000001</v>
      </c>
      <c r="AG109" s="113">
        <v>5.273028</v>
      </c>
    </row>
    <row r="110" spans="1:33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</row>
    <row r="111" spans="1:33" ht="15.75" thickBot="1">
      <c r="A111" s="231" t="s">
        <v>569</v>
      </c>
      <c r="B111" s="231" t="s">
        <v>570</v>
      </c>
      <c r="C111" s="231" t="s">
        <v>571</v>
      </c>
      <c r="D111" s="231" t="s">
        <v>572</v>
      </c>
      <c r="E111" s="231" t="s">
        <v>573</v>
      </c>
      <c r="F111" s="231" t="s">
        <v>574</v>
      </c>
      <c r="G111" s="231" t="s">
        <v>575</v>
      </c>
      <c r="H111" s="231" t="s">
        <v>576</v>
      </c>
      <c r="I111" s="231" t="s">
        <v>577</v>
      </c>
      <c r="J111" s="231">
        <v>2023</v>
      </c>
      <c r="K111" s="231">
        <v>2024</v>
      </c>
      <c r="L111" s="231">
        <v>2025</v>
      </c>
      <c r="M111" s="231">
        <v>2026</v>
      </c>
      <c r="N111" s="231">
        <v>2027</v>
      </c>
      <c r="O111" s="231">
        <v>2028</v>
      </c>
      <c r="P111" s="231">
        <v>2029</v>
      </c>
      <c r="Q111" s="231">
        <v>2030</v>
      </c>
      <c r="R111" s="231">
        <v>2031</v>
      </c>
      <c r="S111" s="231">
        <v>2032</v>
      </c>
      <c r="T111" s="231">
        <v>2033</v>
      </c>
      <c r="U111" s="231">
        <v>2034</v>
      </c>
      <c r="V111" s="231">
        <v>2035</v>
      </c>
      <c r="W111" s="231">
        <v>2036</v>
      </c>
      <c r="X111" s="231">
        <v>2037</v>
      </c>
      <c r="Y111" s="231">
        <v>2038</v>
      </c>
      <c r="Z111" s="231">
        <v>2039</v>
      </c>
      <c r="AA111" s="231">
        <v>2040</v>
      </c>
      <c r="AB111" s="231">
        <v>2041</v>
      </c>
      <c r="AC111" s="231">
        <v>2042</v>
      </c>
      <c r="AD111" s="231">
        <v>2043</v>
      </c>
      <c r="AE111" s="231">
        <v>2044</v>
      </c>
      <c r="AF111" s="231">
        <v>2045</v>
      </c>
      <c r="AG111" s="231">
        <v>2046</v>
      </c>
    </row>
    <row r="112" spans="1:33">
      <c r="A112" s="113" t="s">
        <v>18798</v>
      </c>
      <c r="B112" s="113" t="s">
        <v>18779</v>
      </c>
      <c r="C112" s="113" t="s">
        <v>18769</v>
      </c>
      <c r="D112" s="113" t="s">
        <v>18780</v>
      </c>
      <c r="E112" s="113" t="s">
        <v>1544</v>
      </c>
      <c r="F112" s="113" t="s">
        <v>598</v>
      </c>
      <c r="G112" s="113" t="s">
        <v>478</v>
      </c>
      <c r="H112" s="113" t="s">
        <v>2266</v>
      </c>
      <c r="I112" s="113" t="s">
        <v>2267</v>
      </c>
      <c r="J112" s="113">
        <v>4.3839999999999999E-3</v>
      </c>
      <c r="K112" s="113">
        <v>4.3839999999999999E-3</v>
      </c>
      <c r="L112" s="113">
        <v>4.3839999999999999E-3</v>
      </c>
      <c r="M112" s="113">
        <v>4.3839999999999999E-3</v>
      </c>
      <c r="N112" s="113">
        <v>4.3839999999999999E-3</v>
      </c>
      <c r="O112" s="113">
        <v>4.3839999999999999E-3</v>
      </c>
      <c r="P112" s="113">
        <v>4.3839999999999999E-3</v>
      </c>
      <c r="Q112" s="113">
        <v>4.3839999999999999E-3</v>
      </c>
      <c r="R112" s="113">
        <v>4.3839999999999999E-3</v>
      </c>
      <c r="S112" s="113">
        <v>4.3839999999999999E-3</v>
      </c>
      <c r="T112" s="113">
        <v>4.3839999999999999E-3</v>
      </c>
      <c r="U112" s="113">
        <v>4.3839999999999999E-3</v>
      </c>
      <c r="V112" s="113">
        <v>4.3839999999999999E-3</v>
      </c>
      <c r="W112" s="113">
        <v>4.3839999999999999E-3</v>
      </c>
      <c r="X112" s="113">
        <v>4.3839999999999999E-3</v>
      </c>
      <c r="Y112" s="113">
        <v>4.3839999999999999E-3</v>
      </c>
      <c r="Z112" s="113">
        <v>4.3839999999999999E-3</v>
      </c>
      <c r="AA112" s="113">
        <v>4.3839999999999999E-3</v>
      </c>
      <c r="AB112" s="113">
        <v>4.3839999999999999E-3</v>
      </c>
      <c r="AC112" s="113">
        <v>4.3839999999999999E-3</v>
      </c>
      <c r="AD112" s="113">
        <v>4.3839999999999999E-3</v>
      </c>
      <c r="AE112" s="113">
        <v>4.3839999999999999E-3</v>
      </c>
      <c r="AF112" s="113">
        <v>4.3839999999999999E-3</v>
      </c>
      <c r="AG112" s="113">
        <v>4.3839999999999999E-3</v>
      </c>
    </row>
    <row r="113" spans="1:33">
      <c r="A113" s="113" t="s">
        <v>18798</v>
      </c>
      <c r="B113" s="113" t="s">
        <v>18783</v>
      </c>
      <c r="C113" s="113" t="s">
        <v>18769</v>
      </c>
      <c r="D113" s="113" t="s">
        <v>18784</v>
      </c>
      <c r="E113" s="113" t="s">
        <v>1544</v>
      </c>
      <c r="F113" s="113" t="s">
        <v>598</v>
      </c>
      <c r="G113" s="113" t="s">
        <v>478</v>
      </c>
      <c r="H113" s="113" t="s">
        <v>2266</v>
      </c>
      <c r="I113" s="113" t="s">
        <v>2267</v>
      </c>
      <c r="J113" s="113">
        <v>4.3083000000000003E-2</v>
      </c>
      <c r="K113" s="113">
        <v>4.326E-2</v>
      </c>
      <c r="L113" s="113">
        <v>4.3436000000000002E-2</v>
      </c>
      <c r="M113" s="113">
        <v>4.3612999999999999E-2</v>
      </c>
      <c r="N113" s="113">
        <v>4.3790000000000003E-2</v>
      </c>
      <c r="O113" s="113">
        <v>4.3966999999999999E-2</v>
      </c>
      <c r="P113" s="113">
        <v>4.4143000000000002E-2</v>
      </c>
      <c r="Q113" s="113">
        <v>4.4319999999999998E-2</v>
      </c>
      <c r="R113" s="113">
        <v>4.4497000000000002E-2</v>
      </c>
      <c r="S113" s="113">
        <v>4.4672999999999997E-2</v>
      </c>
      <c r="T113" s="113">
        <v>4.4850000000000001E-2</v>
      </c>
      <c r="U113" s="113">
        <v>4.5026999999999998E-2</v>
      </c>
      <c r="V113" s="113">
        <v>4.5203E-2</v>
      </c>
      <c r="W113" s="113">
        <v>4.5379999999999997E-2</v>
      </c>
      <c r="X113" s="113">
        <v>4.5557E-2</v>
      </c>
      <c r="Y113" s="113">
        <v>4.5733000000000003E-2</v>
      </c>
      <c r="Z113" s="113">
        <v>4.5909999999999999E-2</v>
      </c>
      <c r="AA113" s="113">
        <v>4.6087000000000003E-2</v>
      </c>
      <c r="AB113" s="113">
        <v>4.6264E-2</v>
      </c>
      <c r="AC113" s="113">
        <v>4.6440000000000002E-2</v>
      </c>
      <c r="AD113" s="113">
        <v>4.6616999999999999E-2</v>
      </c>
      <c r="AE113" s="113">
        <v>4.6794000000000002E-2</v>
      </c>
      <c r="AF113" s="113">
        <v>4.6969999999999998E-2</v>
      </c>
      <c r="AG113" s="113">
        <v>4.7147000000000001E-2</v>
      </c>
    </row>
    <row r="114" spans="1:33">
      <c r="A114" s="113" t="s">
        <v>18798</v>
      </c>
      <c r="B114" s="113" t="s">
        <v>18785</v>
      </c>
      <c r="C114" s="113" t="s">
        <v>18769</v>
      </c>
      <c r="D114" s="113" t="s">
        <v>18786</v>
      </c>
      <c r="E114" s="113" t="s">
        <v>1544</v>
      </c>
      <c r="F114" s="113" t="s">
        <v>598</v>
      </c>
      <c r="G114" s="113" t="s">
        <v>478</v>
      </c>
      <c r="H114" s="113" t="s">
        <v>2266</v>
      </c>
      <c r="I114" s="113" t="s">
        <v>2267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0</v>
      </c>
      <c r="AF114" s="113">
        <v>0</v>
      </c>
      <c r="AG114" s="113">
        <v>0</v>
      </c>
    </row>
    <row r="115" spans="1:33">
      <c r="A115" s="113" t="s">
        <v>18798</v>
      </c>
      <c r="B115" s="113" t="s">
        <v>18768</v>
      </c>
      <c r="C115" s="113" t="s">
        <v>18769</v>
      </c>
      <c r="D115" s="113" t="s">
        <v>18770</v>
      </c>
      <c r="E115" s="113" t="s">
        <v>781</v>
      </c>
      <c r="F115" s="113" t="s">
        <v>598</v>
      </c>
      <c r="G115" s="113" t="s">
        <v>478</v>
      </c>
      <c r="H115" s="113" t="s">
        <v>2266</v>
      </c>
      <c r="I115" s="113" t="s">
        <v>2267</v>
      </c>
      <c r="J115" s="113">
        <v>5.0289039999999998</v>
      </c>
      <c r="K115" s="113">
        <v>5.0289039999999998</v>
      </c>
      <c r="L115" s="113">
        <v>5.0289039999999998</v>
      </c>
      <c r="M115" s="113">
        <v>5.0289039999999998</v>
      </c>
      <c r="N115" s="113">
        <v>5.0289039999999998</v>
      </c>
      <c r="O115" s="113">
        <v>5.0289039999999998</v>
      </c>
      <c r="P115" s="113">
        <v>5.0289039999999998</v>
      </c>
      <c r="Q115" s="113">
        <v>5.0289039999999998</v>
      </c>
      <c r="R115" s="113">
        <v>5.0289039999999998</v>
      </c>
      <c r="S115" s="113">
        <v>5.0289039999999998</v>
      </c>
      <c r="T115" s="113">
        <v>5.0289039999999998</v>
      </c>
      <c r="U115" s="113">
        <v>5.0289039999999998</v>
      </c>
      <c r="V115" s="113">
        <v>5.0289039999999998</v>
      </c>
      <c r="W115" s="113">
        <v>5.0289039999999998</v>
      </c>
      <c r="X115" s="113">
        <v>5.0289039999999998</v>
      </c>
      <c r="Y115" s="113">
        <v>5.0289039999999998</v>
      </c>
      <c r="Z115" s="113">
        <v>5.0289039999999998</v>
      </c>
      <c r="AA115" s="113">
        <v>5.0289039999999998</v>
      </c>
      <c r="AB115" s="113">
        <v>5.0289039999999998</v>
      </c>
      <c r="AC115" s="113">
        <v>5.0289039999999998</v>
      </c>
      <c r="AD115" s="113">
        <v>5.0289039999999998</v>
      </c>
      <c r="AE115" s="113">
        <v>5.0289039999999998</v>
      </c>
      <c r="AF115" s="113">
        <v>5.0289039999999998</v>
      </c>
      <c r="AG115" s="113">
        <v>5.0289039999999998</v>
      </c>
    </row>
    <row r="116" spans="1:33">
      <c r="A116" s="113" t="s">
        <v>18798</v>
      </c>
      <c r="B116" s="113" t="s">
        <v>18771</v>
      </c>
      <c r="C116" s="113" t="s">
        <v>18769</v>
      </c>
      <c r="D116" s="113" t="s">
        <v>18772</v>
      </c>
      <c r="E116" s="113" t="s">
        <v>781</v>
      </c>
      <c r="F116" s="113" t="s">
        <v>598</v>
      </c>
      <c r="G116" s="113" t="s">
        <v>478</v>
      </c>
      <c r="H116" s="113" t="s">
        <v>2266</v>
      </c>
      <c r="I116" s="113" t="s">
        <v>2267</v>
      </c>
      <c r="J116" s="113">
        <v>2.962262</v>
      </c>
      <c r="K116" s="113">
        <v>3.0253450000000002</v>
      </c>
      <c r="L116" s="113">
        <v>3.0886629999999999</v>
      </c>
      <c r="M116" s="113">
        <v>3.151627</v>
      </c>
      <c r="N116" s="113">
        <v>3.2148400000000001</v>
      </c>
      <c r="O116" s="113">
        <v>3.279906</v>
      </c>
      <c r="P116" s="113">
        <v>3.343013</v>
      </c>
      <c r="Q116" s="113">
        <v>3.4060679999999999</v>
      </c>
      <c r="R116" s="113">
        <v>3.462421</v>
      </c>
      <c r="S116" s="113">
        <v>3.5187279999999999</v>
      </c>
      <c r="T116" s="113">
        <v>3.5749909999999998</v>
      </c>
      <c r="U116" s="113">
        <v>3.6312090000000001</v>
      </c>
      <c r="V116" s="113">
        <v>3.6873819999999999</v>
      </c>
      <c r="W116" s="113">
        <v>3.7427480000000002</v>
      </c>
      <c r="X116" s="113">
        <v>3.8003290000000001</v>
      </c>
      <c r="Y116" s="113">
        <v>3.85791</v>
      </c>
      <c r="Z116" s="113">
        <v>3.9154900000000001</v>
      </c>
      <c r="AA116" s="113">
        <v>3.973071</v>
      </c>
      <c r="AB116" s="113">
        <v>4.0306519999999999</v>
      </c>
      <c r="AC116" s="113">
        <v>4.0882329999999998</v>
      </c>
      <c r="AD116" s="113">
        <v>4.1458130000000004</v>
      </c>
      <c r="AE116" s="113">
        <v>4.2033940000000003</v>
      </c>
      <c r="AF116" s="113">
        <v>4.2609750000000002</v>
      </c>
      <c r="AG116" s="113">
        <v>4.3185560000000001</v>
      </c>
    </row>
    <row r="117" spans="1:33" ht="15.75" thickBot="1">
      <c r="A117" s="233" t="s">
        <v>18798</v>
      </c>
      <c r="B117" s="233" t="s">
        <v>18773</v>
      </c>
      <c r="C117" s="233" t="s">
        <v>18769</v>
      </c>
      <c r="D117" s="233" t="s">
        <v>18774</v>
      </c>
      <c r="E117" s="233" t="s">
        <v>781</v>
      </c>
      <c r="F117" s="233" t="s">
        <v>598</v>
      </c>
      <c r="G117" s="233" t="s">
        <v>478</v>
      </c>
      <c r="H117" s="233" t="s">
        <v>2266</v>
      </c>
      <c r="I117" s="233" t="s">
        <v>2267</v>
      </c>
      <c r="J117" s="233">
        <v>1.1827000000000001E-2</v>
      </c>
      <c r="K117" s="233">
        <v>1.1984E-2</v>
      </c>
      <c r="L117" s="233">
        <v>1.2141000000000001E-2</v>
      </c>
      <c r="M117" s="233">
        <v>1.2298E-2</v>
      </c>
      <c r="N117" s="233">
        <v>1.2455000000000001E-2</v>
      </c>
      <c r="O117" s="233">
        <v>1.2612E-2</v>
      </c>
      <c r="P117" s="233">
        <v>1.2769000000000001E-2</v>
      </c>
      <c r="Q117" s="233">
        <v>1.2926E-2</v>
      </c>
      <c r="R117" s="233">
        <v>1.3082999999999999E-2</v>
      </c>
      <c r="S117" s="233">
        <v>1.324E-2</v>
      </c>
      <c r="T117" s="233">
        <v>1.3396999999999999E-2</v>
      </c>
      <c r="U117" s="233">
        <v>1.3554E-2</v>
      </c>
      <c r="V117" s="233">
        <v>1.3710999999999999E-2</v>
      </c>
      <c r="W117" s="233">
        <v>1.3868E-2</v>
      </c>
      <c r="X117" s="233">
        <v>1.4024999999999999E-2</v>
      </c>
      <c r="Y117" s="233">
        <v>1.4182E-2</v>
      </c>
      <c r="Z117" s="233">
        <v>1.434E-2</v>
      </c>
      <c r="AA117" s="233">
        <v>1.4496999999999999E-2</v>
      </c>
      <c r="AB117" s="233">
        <v>1.4654E-2</v>
      </c>
      <c r="AC117" s="233">
        <v>1.4811E-2</v>
      </c>
      <c r="AD117" s="233">
        <v>1.4968E-2</v>
      </c>
      <c r="AE117" s="233">
        <v>1.5125E-2</v>
      </c>
      <c r="AF117" s="233">
        <v>1.5282E-2</v>
      </c>
      <c r="AG117" s="233">
        <v>1.5439E-2</v>
      </c>
    </row>
    <row r="118" spans="1:33">
      <c r="A118" s="172" t="s">
        <v>18775</v>
      </c>
      <c r="B118" s="113"/>
      <c r="C118" s="113"/>
      <c r="D118" s="113"/>
      <c r="E118" s="113"/>
      <c r="F118" s="113"/>
      <c r="G118" s="113"/>
      <c r="H118" s="113"/>
      <c r="I118" s="113"/>
      <c r="J118" s="113">
        <v>8.0504599999999993</v>
      </c>
      <c r="K118" s="113">
        <v>8.1138759999999994</v>
      </c>
      <c r="L118" s="113">
        <v>8.1775280000000006</v>
      </c>
      <c r="M118" s="113">
        <v>8.2408260000000002</v>
      </c>
      <c r="N118" s="113">
        <v>8.304373</v>
      </c>
      <c r="O118" s="113">
        <v>8.3697730000000004</v>
      </c>
      <c r="P118" s="113">
        <v>8.4332130000000003</v>
      </c>
      <c r="Q118" s="113">
        <v>8.4966019999999993</v>
      </c>
      <c r="R118" s="113">
        <v>8.5532880000000002</v>
      </c>
      <c r="S118" s="113">
        <v>8.6099300000000003</v>
      </c>
      <c r="T118" s="113">
        <v>8.6665259999999993</v>
      </c>
      <c r="U118" s="113">
        <v>8.7230779999999992</v>
      </c>
      <c r="V118" s="113">
        <v>8.7795850000000009</v>
      </c>
      <c r="W118" s="113">
        <v>8.8352850000000007</v>
      </c>
      <c r="X118" s="113">
        <v>8.8931989999999992</v>
      </c>
      <c r="Y118" s="113">
        <v>8.9511140000000005</v>
      </c>
      <c r="Z118" s="113">
        <v>9.0090280000000007</v>
      </c>
      <c r="AA118" s="113">
        <v>9.0669430000000002</v>
      </c>
      <c r="AB118" s="113">
        <v>9.1248570000000004</v>
      </c>
      <c r="AC118" s="113">
        <v>9.1827719999999999</v>
      </c>
      <c r="AD118" s="113">
        <v>9.2406860000000002</v>
      </c>
      <c r="AE118" s="113">
        <v>9.2986009999999997</v>
      </c>
      <c r="AF118" s="113">
        <v>9.3565149999999999</v>
      </c>
      <c r="AG118" s="113">
        <v>9.4144299999999994</v>
      </c>
    </row>
    <row r="119" spans="1:33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</row>
    <row r="120" spans="1:33" ht="15.75" thickBot="1">
      <c r="A120" s="231" t="s">
        <v>569</v>
      </c>
      <c r="B120" s="231" t="s">
        <v>570</v>
      </c>
      <c r="C120" s="231" t="s">
        <v>571</v>
      </c>
      <c r="D120" s="231" t="s">
        <v>572</v>
      </c>
      <c r="E120" s="231" t="s">
        <v>573</v>
      </c>
      <c r="F120" s="231" t="s">
        <v>574</v>
      </c>
      <c r="G120" s="231" t="s">
        <v>575</v>
      </c>
      <c r="H120" s="231" t="s">
        <v>576</v>
      </c>
      <c r="I120" s="231" t="s">
        <v>577</v>
      </c>
      <c r="J120" s="231">
        <v>2023</v>
      </c>
      <c r="K120" s="231">
        <v>2024</v>
      </c>
      <c r="L120" s="231">
        <v>2025</v>
      </c>
      <c r="M120" s="231">
        <v>2026</v>
      </c>
      <c r="N120" s="231">
        <v>2027</v>
      </c>
      <c r="O120" s="231">
        <v>2028</v>
      </c>
      <c r="P120" s="231">
        <v>2029</v>
      </c>
      <c r="Q120" s="231">
        <v>2030</v>
      </c>
      <c r="R120" s="231">
        <v>2031</v>
      </c>
      <c r="S120" s="231">
        <v>2032</v>
      </c>
      <c r="T120" s="231">
        <v>2033</v>
      </c>
      <c r="U120" s="231">
        <v>2034</v>
      </c>
      <c r="V120" s="231">
        <v>2035</v>
      </c>
      <c r="W120" s="231">
        <v>2036</v>
      </c>
      <c r="X120" s="231">
        <v>2037</v>
      </c>
      <c r="Y120" s="231">
        <v>2038</v>
      </c>
      <c r="Z120" s="231">
        <v>2039</v>
      </c>
      <c r="AA120" s="231">
        <v>2040</v>
      </c>
      <c r="AB120" s="231">
        <v>2041</v>
      </c>
      <c r="AC120" s="231">
        <v>2042</v>
      </c>
      <c r="AD120" s="231">
        <v>2043</v>
      </c>
      <c r="AE120" s="231">
        <v>2044</v>
      </c>
      <c r="AF120" s="231">
        <v>2045</v>
      </c>
      <c r="AG120" s="231">
        <v>2046</v>
      </c>
    </row>
    <row r="121" spans="1:33">
      <c r="A121" s="113" t="s">
        <v>2269</v>
      </c>
      <c r="B121" s="113" t="s">
        <v>18779</v>
      </c>
      <c r="C121" s="113" t="s">
        <v>18769</v>
      </c>
      <c r="D121" s="113" t="s">
        <v>18780</v>
      </c>
      <c r="E121" s="113" t="s">
        <v>1544</v>
      </c>
      <c r="F121" s="113" t="s">
        <v>598</v>
      </c>
      <c r="G121" s="113" t="s">
        <v>478</v>
      </c>
      <c r="H121" s="113" t="s">
        <v>2266</v>
      </c>
      <c r="I121" s="113" t="s">
        <v>2267</v>
      </c>
      <c r="J121" s="113">
        <v>4.5345999999999997E-2</v>
      </c>
      <c r="K121" s="113">
        <v>4.6831999999999999E-2</v>
      </c>
      <c r="L121" s="113">
        <v>4.8543000000000003E-2</v>
      </c>
      <c r="M121" s="113">
        <v>5.0388000000000002E-2</v>
      </c>
      <c r="N121" s="113">
        <v>5.2463000000000003E-2</v>
      </c>
      <c r="O121" s="113">
        <v>5.4884000000000002E-2</v>
      </c>
      <c r="P121" s="113">
        <v>5.7532E-2</v>
      </c>
      <c r="Q121" s="113">
        <v>6.0297999999999997E-2</v>
      </c>
      <c r="R121" s="113">
        <v>6.0297999999999997E-2</v>
      </c>
      <c r="S121" s="113">
        <v>6.0297999999999997E-2</v>
      </c>
      <c r="T121" s="113">
        <v>6.0297999999999997E-2</v>
      </c>
      <c r="U121" s="113">
        <v>6.0297999999999997E-2</v>
      </c>
      <c r="V121" s="113">
        <v>6.0297999999999997E-2</v>
      </c>
      <c r="W121" s="113">
        <v>6.0297999999999997E-2</v>
      </c>
      <c r="X121" s="113">
        <v>6.0297999999999997E-2</v>
      </c>
      <c r="Y121" s="113">
        <v>6.0297999999999997E-2</v>
      </c>
      <c r="Z121" s="113">
        <v>6.0297999999999997E-2</v>
      </c>
      <c r="AA121" s="113">
        <v>6.0297999999999997E-2</v>
      </c>
      <c r="AB121" s="113">
        <v>6.0297999999999997E-2</v>
      </c>
      <c r="AC121" s="113">
        <v>6.0297999999999997E-2</v>
      </c>
      <c r="AD121" s="113">
        <v>6.0297999999999997E-2</v>
      </c>
      <c r="AE121" s="113">
        <v>6.0297999999999997E-2</v>
      </c>
      <c r="AF121" s="113">
        <v>6.0297999999999997E-2</v>
      </c>
      <c r="AG121" s="113">
        <v>6.0297999999999997E-2</v>
      </c>
    </row>
    <row r="122" spans="1:33">
      <c r="A122" s="113" t="s">
        <v>2269</v>
      </c>
      <c r="B122" s="113" t="s">
        <v>18781</v>
      </c>
      <c r="C122" s="113" t="s">
        <v>18769</v>
      </c>
      <c r="D122" s="113" t="s">
        <v>18782</v>
      </c>
      <c r="E122" s="113" t="s">
        <v>1544</v>
      </c>
      <c r="F122" s="113" t="s">
        <v>598</v>
      </c>
      <c r="G122" s="113" t="s">
        <v>478</v>
      </c>
      <c r="H122" s="113" t="s">
        <v>2266</v>
      </c>
      <c r="I122" s="113" t="s">
        <v>2267</v>
      </c>
      <c r="J122" s="113">
        <v>0.235376</v>
      </c>
      <c r="K122" s="113">
        <v>0.23800199999999999</v>
      </c>
      <c r="L122" s="113">
        <v>0.25218000000000002</v>
      </c>
      <c r="M122" s="113">
        <v>0.25348199999999999</v>
      </c>
      <c r="N122" s="113">
        <v>0.25591999999999998</v>
      </c>
      <c r="O122" s="113">
        <v>0.25711299999999998</v>
      </c>
      <c r="P122" s="113">
        <v>0.25930399999999998</v>
      </c>
      <c r="Q122" s="113">
        <v>0.26167899999999999</v>
      </c>
      <c r="R122" s="113">
        <v>0.26167899999999999</v>
      </c>
      <c r="S122" s="113">
        <v>0.26167899999999999</v>
      </c>
      <c r="T122" s="113">
        <v>0.26167899999999999</v>
      </c>
      <c r="U122" s="113">
        <v>0.26167899999999999</v>
      </c>
      <c r="V122" s="113">
        <v>0.26167899999999999</v>
      </c>
      <c r="W122" s="113">
        <v>0.26167899999999999</v>
      </c>
      <c r="X122" s="113">
        <v>0.26167899999999999</v>
      </c>
      <c r="Y122" s="113">
        <v>0.26167899999999999</v>
      </c>
      <c r="Z122" s="113">
        <v>0.26167899999999999</v>
      </c>
      <c r="AA122" s="113">
        <v>0.26167899999999999</v>
      </c>
      <c r="AB122" s="113">
        <v>0.26167899999999999</v>
      </c>
      <c r="AC122" s="113">
        <v>0.26167899999999999</v>
      </c>
      <c r="AD122" s="113">
        <v>0.26167899999999999</v>
      </c>
      <c r="AE122" s="113">
        <v>0.26167899999999999</v>
      </c>
      <c r="AF122" s="113">
        <v>0.26167899999999999</v>
      </c>
      <c r="AG122" s="113">
        <v>0.26167899999999999</v>
      </c>
    </row>
    <row r="123" spans="1:33">
      <c r="A123" s="113" t="s">
        <v>2269</v>
      </c>
      <c r="B123" s="113" t="s">
        <v>18783</v>
      </c>
      <c r="C123" s="113" t="s">
        <v>18769</v>
      </c>
      <c r="D123" s="113" t="s">
        <v>18784</v>
      </c>
      <c r="E123" s="113" t="s">
        <v>1544</v>
      </c>
      <c r="F123" s="113" t="s">
        <v>598</v>
      </c>
      <c r="G123" s="113" t="s">
        <v>478</v>
      </c>
      <c r="H123" s="113" t="s">
        <v>2266</v>
      </c>
      <c r="I123" s="113" t="s">
        <v>2267</v>
      </c>
      <c r="J123" s="113">
        <v>4.3803000000000002E-2</v>
      </c>
      <c r="K123" s="113">
        <v>4.4027999999999998E-2</v>
      </c>
      <c r="L123" s="113">
        <v>4.4302000000000001E-2</v>
      </c>
      <c r="M123" s="113">
        <v>4.4525000000000002E-2</v>
      </c>
      <c r="N123" s="113">
        <v>4.4831999999999997E-2</v>
      </c>
      <c r="O123" s="113">
        <v>4.5099E-2</v>
      </c>
      <c r="P123" s="113">
        <v>4.5325999999999998E-2</v>
      </c>
      <c r="Q123" s="113">
        <v>4.5629999999999997E-2</v>
      </c>
      <c r="R123" s="113">
        <v>4.5629999999999997E-2</v>
      </c>
      <c r="S123" s="113">
        <v>4.5629999999999997E-2</v>
      </c>
      <c r="T123" s="113">
        <v>4.5629999999999997E-2</v>
      </c>
      <c r="U123" s="113">
        <v>4.5629999999999997E-2</v>
      </c>
      <c r="V123" s="113">
        <v>4.5629999999999997E-2</v>
      </c>
      <c r="W123" s="113">
        <v>4.5629999999999997E-2</v>
      </c>
      <c r="X123" s="113">
        <v>4.5629999999999997E-2</v>
      </c>
      <c r="Y123" s="113">
        <v>4.5629999999999997E-2</v>
      </c>
      <c r="Z123" s="113">
        <v>4.5629999999999997E-2</v>
      </c>
      <c r="AA123" s="113">
        <v>4.5629999999999997E-2</v>
      </c>
      <c r="AB123" s="113">
        <v>4.5629999999999997E-2</v>
      </c>
      <c r="AC123" s="113">
        <v>4.5629999999999997E-2</v>
      </c>
      <c r="AD123" s="113">
        <v>4.5629999999999997E-2</v>
      </c>
      <c r="AE123" s="113">
        <v>4.5629999999999997E-2</v>
      </c>
      <c r="AF123" s="113">
        <v>4.5629999999999997E-2</v>
      </c>
      <c r="AG123" s="113">
        <v>4.5629999999999997E-2</v>
      </c>
    </row>
    <row r="124" spans="1:33">
      <c r="A124" s="113" t="s">
        <v>2269</v>
      </c>
      <c r="B124" s="113" t="s">
        <v>18785</v>
      </c>
      <c r="C124" s="113" t="s">
        <v>18769</v>
      </c>
      <c r="D124" s="113" t="s">
        <v>18786</v>
      </c>
      <c r="E124" s="113" t="s">
        <v>1544</v>
      </c>
      <c r="F124" s="113" t="s">
        <v>598</v>
      </c>
      <c r="G124" s="113" t="s">
        <v>478</v>
      </c>
      <c r="H124" s="113" t="s">
        <v>2266</v>
      </c>
      <c r="I124" s="113" t="s">
        <v>2267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3">
        <v>0</v>
      </c>
      <c r="R124" s="113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  <c r="AC124" s="113">
        <v>0</v>
      </c>
      <c r="AD124" s="113">
        <v>0</v>
      </c>
      <c r="AE124" s="113">
        <v>0</v>
      </c>
      <c r="AF124" s="113">
        <v>0</v>
      </c>
      <c r="AG124" s="113">
        <v>0</v>
      </c>
    </row>
    <row r="125" spans="1:33">
      <c r="A125" s="113" t="s">
        <v>2269</v>
      </c>
      <c r="B125" s="113" t="s">
        <v>18768</v>
      </c>
      <c r="C125" s="113" t="s">
        <v>18769</v>
      </c>
      <c r="D125" s="113" t="s">
        <v>18770</v>
      </c>
      <c r="E125" s="113" t="s">
        <v>781</v>
      </c>
      <c r="F125" s="113" t="s">
        <v>598</v>
      </c>
      <c r="G125" s="113" t="s">
        <v>478</v>
      </c>
      <c r="H125" s="113" t="s">
        <v>2266</v>
      </c>
      <c r="I125" s="113" t="s">
        <v>2267</v>
      </c>
      <c r="J125" s="113">
        <v>2.5260660000000001</v>
      </c>
      <c r="K125" s="113">
        <v>2.5333920000000001</v>
      </c>
      <c r="L125" s="113">
        <v>2.540727</v>
      </c>
      <c r="M125" s="113">
        <v>2.5434749999999999</v>
      </c>
      <c r="N125" s="113">
        <v>2.5459960000000001</v>
      </c>
      <c r="O125" s="113">
        <v>2.5533419999999998</v>
      </c>
      <c r="P125" s="113">
        <v>2.5606969999999998</v>
      </c>
      <c r="Q125" s="113">
        <v>2.565957</v>
      </c>
      <c r="R125" s="113">
        <v>2.565957</v>
      </c>
      <c r="S125" s="113">
        <v>2.565957</v>
      </c>
      <c r="T125" s="113">
        <v>2.565957</v>
      </c>
      <c r="U125" s="113">
        <v>2.565957</v>
      </c>
      <c r="V125" s="113">
        <v>2.565957</v>
      </c>
      <c r="W125" s="113">
        <v>2.565957</v>
      </c>
      <c r="X125" s="113">
        <v>2.565957</v>
      </c>
      <c r="Y125" s="113">
        <v>2.565957</v>
      </c>
      <c r="Z125" s="113">
        <v>2.565957</v>
      </c>
      <c r="AA125" s="113">
        <v>2.565957</v>
      </c>
      <c r="AB125" s="113">
        <v>2.565957</v>
      </c>
      <c r="AC125" s="113">
        <v>2.565957</v>
      </c>
      <c r="AD125" s="113">
        <v>2.565957</v>
      </c>
      <c r="AE125" s="113">
        <v>2.565957</v>
      </c>
      <c r="AF125" s="113">
        <v>2.565957</v>
      </c>
      <c r="AG125" s="113">
        <v>2.565957</v>
      </c>
    </row>
    <row r="126" spans="1:33">
      <c r="A126" s="113" t="s">
        <v>2269</v>
      </c>
      <c r="B126" s="113" t="s">
        <v>18771</v>
      </c>
      <c r="C126" s="113" t="s">
        <v>18769</v>
      </c>
      <c r="D126" s="113" t="s">
        <v>18772</v>
      </c>
      <c r="E126" s="113" t="s">
        <v>781</v>
      </c>
      <c r="F126" s="113" t="s">
        <v>598</v>
      </c>
      <c r="G126" s="113" t="s">
        <v>478</v>
      </c>
      <c r="H126" s="113" t="s">
        <v>2266</v>
      </c>
      <c r="I126" s="113" t="s">
        <v>2267</v>
      </c>
      <c r="J126" s="113">
        <v>13.226660000000001</v>
      </c>
      <c r="K126" s="113">
        <v>13.58968</v>
      </c>
      <c r="L126" s="113">
        <v>13.970739999999999</v>
      </c>
      <c r="M126" s="113">
        <v>14.311070000000001</v>
      </c>
      <c r="N126" s="113">
        <v>14.64265</v>
      </c>
      <c r="O126" s="113">
        <v>14.955590000000001</v>
      </c>
      <c r="P126" s="113">
        <v>15.303000000000001</v>
      </c>
      <c r="Q126" s="113">
        <v>15.62279</v>
      </c>
      <c r="R126" s="113">
        <v>15.62279</v>
      </c>
      <c r="S126" s="113">
        <v>15.62279</v>
      </c>
      <c r="T126" s="113">
        <v>15.62279</v>
      </c>
      <c r="U126" s="113">
        <v>15.62279</v>
      </c>
      <c r="V126" s="113">
        <v>15.62279</v>
      </c>
      <c r="W126" s="113">
        <v>15.62279</v>
      </c>
      <c r="X126" s="113">
        <v>15.62279</v>
      </c>
      <c r="Y126" s="113">
        <v>15.62279</v>
      </c>
      <c r="Z126" s="113">
        <v>15.62279</v>
      </c>
      <c r="AA126" s="113">
        <v>15.62279</v>
      </c>
      <c r="AB126" s="113">
        <v>15.62279</v>
      </c>
      <c r="AC126" s="113">
        <v>15.62279</v>
      </c>
      <c r="AD126" s="113">
        <v>15.62279</v>
      </c>
      <c r="AE126" s="113">
        <v>15.62279</v>
      </c>
      <c r="AF126" s="113">
        <v>15.62279</v>
      </c>
      <c r="AG126" s="113">
        <v>15.62279</v>
      </c>
    </row>
    <row r="127" spans="1:33" ht="15.75" thickBot="1">
      <c r="A127" s="233" t="s">
        <v>2269</v>
      </c>
      <c r="B127" s="233" t="s">
        <v>18773</v>
      </c>
      <c r="C127" s="233" t="s">
        <v>18769</v>
      </c>
      <c r="D127" s="233" t="s">
        <v>18774</v>
      </c>
      <c r="E127" s="233" t="s">
        <v>781</v>
      </c>
      <c r="F127" s="233" t="s">
        <v>598</v>
      </c>
      <c r="G127" s="233" t="s">
        <v>478</v>
      </c>
      <c r="H127" s="233" t="s">
        <v>2266</v>
      </c>
      <c r="I127" s="233" t="s">
        <v>2267</v>
      </c>
      <c r="J127" s="233">
        <v>7.1160000000000001E-2</v>
      </c>
      <c r="K127" s="233">
        <v>7.1387000000000006E-2</v>
      </c>
      <c r="L127" s="233">
        <v>7.1474999999999997E-2</v>
      </c>
      <c r="M127" s="233">
        <v>7.2555999999999995E-2</v>
      </c>
      <c r="N127" s="233">
        <v>7.2622999999999993E-2</v>
      </c>
      <c r="O127" s="233">
        <v>7.3712E-2</v>
      </c>
      <c r="P127" s="233">
        <v>7.3866000000000001E-2</v>
      </c>
      <c r="Q127" s="233">
        <v>7.4954999999999994E-2</v>
      </c>
      <c r="R127" s="233">
        <v>7.4954999999999994E-2</v>
      </c>
      <c r="S127" s="233">
        <v>7.4954999999999994E-2</v>
      </c>
      <c r="T127" s="233">
        <v>7.4954999999999994E-2</v>
      </c>
      <c r="U127" s="233">
        <v>7.4954999999999994E-2</v>
      </c>
      <c r="V127" s="233">
        <v>7.4954999999999994E-2</v>
      </c>
      <c r="W127" s="233">
        <v>7.4954999999999994E-2</v>
      </c>
      <c r="X127" s="233">
        <v>7.4954999999999994E-2</v>
      </c>
      <c r="Y127" s="233">
        <v>7.4954999999999994E-2</v>
      </c>
      <c r="Z127" s="233">
        <v>7.4954999999999994E-2</v>
      </c>
      <c r="AA127" s="233">
        <v>7.4954999999999994E-2</v>
      </c>
      <c r="AB127" s="233">
        <v>7.4954999999999994E-2</v>
      </c>
      <c r="AC127" s="233">
        <v>7.4954999999999994E-2</v>
      </c>
      <c r="AD127" s="233">
        <v>7.4954999999999994E-2</v>
      </c>
      <c r="AE127" s="233">
        <v>7.4954999999999994E-2</v>
      </c>
      <c r="AF127" s="233">
        <v>7.4954999999999994E-2</v>
      </c>
      <c r="AG127" s="233">
        <v>7.4954999999999994E-2</v>
      </c>
    </row>
    <row r="128" spans="1:33">
      <c r="A128" s="172" t="s">
        <v>18775</v>
      </c>
      <c r="B128" s="113"/>
      <c r="C128" s="113"/>
      <c r="D128" s="113"/>
      <c r="E128" s="113"/>
      <c r="F128" s="113"/>
      <c r="G128" s="113"/>
      <c r="H128" s="113"/>
      <c r="I128" s="113"/>
      <c r="J128" s="113">
        <v>16.148409999999998</v>
      </c>
      <c r="K128" s="113">
        <v>16.523319999999998</v>
      </c>
      <c r="L128" s="113">
        <v>16.927959999999999</v>
      </c>
      <c r="M128" s="113">
        <v>17.275500000000001</v>
      </c>
      <c r="N128" s="113">
        <v>17.61449</v>
      </c>
      <c r="O128" s="113">
        <v>17.93974</v>
      </c>
      <c r="P128" s="113">
        <v>18.29973</v>
      </c>
      <c r="Q128" s="113">
        <v>18.631309999999999</v>
      </c>
      <c r="R128" s="113">
        <v>18.631309999999999</v>
      </c>
      <c r="S128" s="113">
        <v>18.631309999999999</v>
      </c>
      <c r="T128" s="113">
        <v>18.631309999999999</v>
      </c>
      <c r="U128" s="113">
        <v>18.631309999999999</v>
      </c>
      <c r="V128" s="113">
        <v>18.631309999999999</v>
      </c>
      <c r="W128" s="113">
        <v>18.631309999999999</v>
      </c>
      <c r="X128" s="113">
        <v>18.631309999999999</v>
      </c>
      <c r="Y128" s="113">
        <v>18.631309999999999</v>
      </c>
      <c r="Z128" s="113">
        <v>18.631309999999999</v>
      </c>
      <c r="AA128" s="113">
        <v>18.631309999999999</v>
      </c>
      <c r="AB128" s="113">
        <v>18.631309999999999</v>
      </c>
      <c r="AC128" s="113">
        <v>18.631309999999999</v>
      </c>
      <c r="AD128" s="113">
        <v>18.631309999999999</v>
      </c>
      <c r="AE128" s="113">
        <v>18.631309999999999</v>
      </c>
      <c r="AF128" s="113">
        <v>18.631309999999999</v>
      </c>
      <c r="AG128" s="113">
        <v>18.631309999999999</v>
      </c>
    </row>
    <row r="129" spans="1:33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</row>
    <row r="130" spans="1:33" ht="15.75" thickBot="1">
      <c r="A130" s="231" t="s">
        <v>569</v>
      </c>
      <c r="B130" s="231" t="s">
        <v>570</v>
      </c>
      <c r="C130" s="231" t="s">
        <v>571</v>
      </c>
      <c r="D130" s="231" t="s">
        <v>572</v>
      </c>
      <c r="E130" s="231" t="s">
        <v>573</v>
      </c>
      <c r="F130" s="231" t="s">
        <v>574</v>
      </c>
      <c r="G130" s="231" t="s">
        <v>575</v>
      </c>
      <c r="H130" s="231" t="s">
        <v>576</v>
      </c>
      <c r="I130" s="231" t="s">
        <v>577</v>
      </c>
      <c r="J130" s="231">
        <v>2023</v>
      </c>
      <c r="K130" s="231">
        <v>2024</v>
      </c>
      <c r="L130" s="231">
        <v>2025</v>
      </c>
      <c r="M130" s="231">
        <v>2026</v>
      </c>
      <c r="N130" s="231">
        <v>2027</v>
      </c>
      <c r="O130" s="231">
        <v>2028</v>
      </c>
      <c r="P130" s="231">
        <v>2029</v>
      </c>
      <c r="Q130" s="231">
        <v>2030</v>
      </c>
      <c r="R130" s="231">
        <v>2031</v>
      </c>
      <c r="S130" s="231">
        <v>2032</v>
      </c>
      <c r="T130" s="231">
        <v>2033</v>
      </c>
      <c r="U130" s="231">
        <v>2034</v>
      </c>
      <c r="V130" s="231">
        <v>2035</v>
      </c>
      <c r="W130" s="231">
        <v>2036</v>
      </c>
      <c r="X130" s="231">
        <v>2037</v>
      </c>
      <c r="Y130" s="231">
        <v>2038</v>
      </c>
      <c r="Z130" s="231">
        <v>2039</v>
      </c>
      <c r="AA130" s="231">
        <v>2040</v>
      </c>
      <c r="AB130" s="231">
        <v>2041</v>
      </c>
      <c r="AC130" s="231">
        <v>2042</v>
      </c>
      <c r="AD130" s="231">
        <v>2043</v>
      </c>
      <c r="AE130" s="231">
        <v>2044</v>
      </c>
      <c r="AF130" s="231">
        <v>2045</v>
      </c>
      <c r="AG130" s="231">
        <v>2046</v>
      </c>
    </row>
    <row r="131" spans="1:33">
      <c r="A131" s="113" t="s">
        <v>18690</v>
      </c>
      <c r="B131" s="113" t="s">
        <v>18781</v>
      </c>
      <c r="C131" s="113" t="s">
        <v>18769</v>
      </c>
      <c r="D131" s="113" t="s">
        <v>18782</v>
      </c>
      <c r="E131" s="113" t="s">
        <v>1544</v>
      </c>
      <c r="F131" s="113" t="s">
        <v>598</v>
      </c>
      <c r="G131" s="113" t="s">
        <v>478</v>
      </c>
      <c r="H131" s="113" t="s">
        <v>2266</v>
      </c>
      <c r="I131" s="113" t="s">
        <v>2267</v>
      </c>
      <c r="J131" s="113">
        <v>8.0999999999999996E-4</v>
      </c>
      <c r="K131" s="113">
        <v>8.1599999999999999E-4</v>
      </c>
      <c r="L131" s="113">
        <v>8.2299999999999995E-4</v>
      </c>
      <c r="M131" s="113">
        <v>8.2899999999999998E-4</v>
      </c>
      <c r="N131" s="113">
        <v>8.3600000000000005E-4</v>
      </c>
      <c r="O131" s="113">
        <v>8.4199999999999998E-4</v>
      </c>
      <c r="P131" s="113">
        <v>8.4800000000000001E-4</v>
      </c>
      <c r="Q131" s="113">
        <v>8.5499999999999997E-4</v>
      </c>
      <c r="R131" s="113">
        <v>8.61E-4</v>
      </c>
      <c r="S131" s="113">
        <v>8.6799999999999996E-4</v>
      </c>
      <c r="T131" s="113">
        <v>8.7399999999999999E-4</v>
      </c>
      <c r="U131" s="113">
        <v>8.8000000000000003E-4</v>
      </c>
      <c r="V131" s="113">
        <v>8.8699999999999998E-4</v>
      </c>
      <c r="W131" s="113">
        <v>8.9300000000000002E-4</v>
      </c>
      <c r="X131" s="113">
        <v>8.9999999999999998E-4</v>
      </c>
      <c r="Y131" s="113">
        <v>9.0600000000000001E-4</v>
      </c>
      <c r="Z131" s="113">
        <v>9.1200000000000005E-4</v>
      </c>
      <c r="AA131" s="113">
        <v>9.19E-4</v>
      </c>
      <c r="AB131" s="113">
        <v>9.2500000000000004E-4</v>
      </c>
      <c r="AC131" s="113">
        <v>9.3199999999999999E-4</v>
      </c>
      <c r="AD131" s="113">
        <v>9.3800000000000003E-4</v>
      </c>
      <c r="AE131" s="113">
        <v>9.4399999999999996E-4</v>
      </c>
      <c r="AF131" s="113">
        <v>9.5100000000000002E-4</v>
      </c>
      <c r="AG131" s="113">
        <v>9.5699999999999995E-4</v>
      </c>
    </row>
    <row r="132" spans="1:33">
      <c r="A132" s="113" t="s">
        <v>18690</v>
      </c>
      <c r="B132" s="113" t="s">
        <v>18783</v>
      </c>
      <c r="C132" s="113" t="s">
        <v>18769</v>
      </c>
      <c r="D132" s="113" t="s">
        <v>18784</v>
      </c>
      <c r="E132" s="113" t="s">
        <v>1544</v>
      </c>
      <c r="F132" s="113" t="s">
        <v>598</v>
      </c>
      <c r="G132" s="113" t="s">
        <v>478</v>
      </c>
      <c r="H132" s="113" t="s">
        <v>2266</v>
      </c>
      <c r="I132" s="113" t="s">
        <v>2267</v>
      </c>
      <c r="J132" s="113">
        <v>3.4009999999999999E-2</v>
      </c>
      <c r="K132" s="113">
        <v>3.4118999999999997E-2</v>
      </c>
      <c r="L132" s="113">
        <v>3.4228000000000001E-2</v>
      </c>
      <c r="M132" s="113">
        <v>3.4336999999999999E-2</v>
      </c>
      <c r="N132" s="113">
        <v>3.4445999999999997E-2</v>
      </c>
      <c r="O132" s="113">
        <v>3.4555000000000002E-2</v>
      </c>
      <c r="P132" s="113">
        <v>3.4662999999999999E-2</v>
      </c>
      <c r="Q132" s="113">
        <v>3.4771999999999997E-2</v>
      </c>
      <c r="R132" s="113">
        <v>3.4881000000000002E-2</v>
      </c>
      <c r="S132" s="113">
        <v>3.499E-2</v>
      </c>
      <c r="T132" s="113">
        <v>3.5097999999999997E-2</v>
      </c>
      <c r="U132" s="113">
        <v>3.5207000000000002E-2</v>
      </c>
      <c r="V132" s="113">
        <v>3.5316E-2</v>
      </c>
      <c r="W132" s="113">
        <v>3.5424999999999998E-2</v>
      </c>
      <c r="X132" s="113">
        <v>3.5533000000000002E-2</v>
      </c>
      <c r="Y132" s="113">
        <v>3.5642E-2</v>
      </c>
      <c r="Z132" s="113">
        <v>3.5750999999999998E-2</v>
      </c>
      <c r="AA132" s="113">
        <v>3.5860000000000003E-2</v>
      </c>
      <c r="AB132" s="113">
        <v>3.5968E-2</v>
      </c>
      <c r="AC132" s="113">
        <v>3.6076999999999998E-2</v>
      </c>
      <c r="AD132" s="113">
        <v>3.6186000000000003E-2</v>
      </c>
      <c r="AE132" s="113">
        <v>3.6295000000000001E-2</v>
      </c>
      <c r="AF132" s="113">
        <v>3.6402999999999998E-2</v>
      </c>
      <c r="AG132" s="113">
        <v>3.6512000000000003E-2</v>
      </c>
    </row>
    <row r="133" spans="1:33">
      <c r="A133" s="113" t="s">
        <v>18690</v>
      </c>
      <c r="B133" s="113" t="s">
        <v>18785</v>
      </c>
      <c r="C133" s="113" t="s">
        <v>18769</v>
      </c>
      <c r="D133" s="113" t="s">
        <v>18786</v>
      </c>
      <c r="E133" s="113" t="s">
        <v>1544</v>
      </c>
      <c r="F133" s="113" t="s">
        <v>598</v>
      </c>
      <c r="G133" s="113" t="s">
        <v>478</v>
      </c>
      <c r="H133" s="113" t="s">
        <v>2266</v>
      </c>
      <c r="I133" s="113" t="s">
        <v>2267</v>
      </c>
      <c r="J133" s="113">
        <v>0.13431699999999999</v>
      </c>
      <c r="K133" s="113">
        <v>0.12970000000000001</v>
      </c>
      <c r="L133" s="113">
        <v>0.125084</v>
      </c>
      <c r="M133" s="113">
        <v>0.121188</v>
      </c>
      <c r="N133" s="113">
        <v>0.11729100000000001</v>
      </c>
      <c r="O133" s="113">
        <v>0.11339299999999999</v>
      </c>
      <c r="P133" s="113">
        <v>0.109496</v>
      </c>
      <c r="Q133" s="113">
        <v>0.105599</v>
      </c>
      <c r="R133" s="113">
        <v>0.103018</v>
      </c>
      <c r="S133" s="113">
        <v>0.100438</v>
      </c>
      <c r="T133" s="113">
        <v>9.7857E-2</v>
      </c>
      <c r="U133" s="113">
        <v>9.5274999999999999E-2</v>
      </c>
      <c r="V133" s="113">
        <v>9.2693999999999999E-2</v>
      </c>
      <c r="W133" s="113">
        <v>9.0114E-2</v>
      </c>
      <c r="X133" s="113">
        <v>8.7533E-2</v>
      </c>
      <c r="Y133" s="113">
        <v>8.4952E-2</v>
      </c>
      <c r="Z133" s="113">
        <v>8.2369999999999999E-2</v>
      </c>
      <c r="AA133" s="113">
        <v>7.979E-2</v>
      </c>
      <c r="AB133" s="113">
        <v>7.7209E-2</v>
      </c>
      <c r="AC133" s="113">
        <v>7.4628E-2</v>
      </c>
      <c r="AD133" s="113">
        <v>7.2045999999999999E-2</v>
      </c>
      <c r="AE133" s="113">
        <v>6.9466E-2</v>
      </c>
      <c r="AF133" s="113">
        <v>6.6885E-2</v>
      </c>
      <c r="AG133" s="113">
        <v>6.4304E-2</v>
      </c>
    </row>
    <row r="134" spans="1:33">
      <c r="A134" s="113" t="s">
        <v>18690</v>
      </c>
      <c r="B134" s="113" t="s">
        <v>18768</v>
      </c>
      <c r="C134" s="113" t="s">
        <v>18769</v>
      </c>
      <c r="D134" s="113" t="s">
        <v>18770</v>
      </c>
      <c r="E134" s="113" t="s">
        <v>781</v>
      </c>
      <c r="F134" s="113" t="s">
        <v>598</v>
      </c>
      <c r="G134" s="113" t="s">
        <v>478</v>
      </c>
      <c r="H134" s="113" t="s">
        <v>2266</v>
      </c>
      <c r="I134" s="113" t="s">
        <v>2267</v>
      </c>
      <c r="J134" s="113">
        <v>4.0910510000000002</v>
      </c>
      <c r="K134" s="113">
        <v>4.0910510000000002</v>
      </c>
      <c r="L134" s="113">
        <v>4.0910510000000002</v>
      </c>
      <c r="M134" s="113">
        <v>4.0910510000000002</v>
      </c>
      <c r="N134" s="113">
        <v>4.0910510000000002</v>
      </c>
      <c r="O134" s="113">
        <v>4.0910510000000002</v>
      </c>
      <c r="P134" s="113">
        <v>4.0910510000000002</v>
      </c>
      <c r="Q134" s="113">
        <v>4.0910510000000002</v>
      </c>
      <c r="R134" s="113">
        <v>4.0910510000000002</v>
      </c>
      <c r="S134" s="113">
        <v>4.0910510000000002</v>
      </c>
      <c r="T134" s="113">
        <v>4.0910510000000002</v>
      </c>
      <c r="U134" s="113">
        <v>4.0910510000000002</v>
      </c>
      <c r="V134" s="113">
        <v>4.0910510000000002</v>
      </c>
      <c r="W134" s="113">
        <v>4.0910510000000002</v>
      </c>
      <c r="X134" s="113">
        <v>4.0910510000000002</v>
      </c>
      <c r="Y134" s="113">
        <v>4.0910510000000002</v>
      </c>
      <c r="Z134" s="113">
        <v>4.0910510000000002</v>
      </c>
      <c r="AA134" s="113">
        <v>4.0910510000000002</v>
      </c>
      <c r="AB134" s="113">
        <v>4.0910510000000002</v>
      </c>
      <c r="AC134" s="113">
        <v>4.0910510000000002</v>
      </c>
      <c r="AD134" s="113">
        <v>4.0910510000000002</v>
      </c>
      <c r="AE134" s="113">
        <v>4.0910510000000002</v>
      </c>
      <c r="AF134" s="113">
        <v>4.0910510000000002</v>
      </c>
      <c r="AG134" s="113">
        <v>4.0910510000000002</v>
      </c>
    </row>
    <row r="135" spans="1:33">
      <c r="A135" s="113" t="s">
        <v>18690</v>
      </c>
      <c r="B135" s="113" t="s">
        <v>18771</v>
      </c>
      <c r="C135" s="113" t="s">
        <v>18769</v>
      </c>
      <c r="D135" s="113" t="s">
        <v>18772</v>
      </c>
      <c r="E135" s="113" t="s">
        <v>781</v>
      </c>
      <c r="F135" s="113" t="s">
        <v>598</v>
      </c>
      <c r="G135" s="113" t="s">
        <v>478</v>
      </c>
      <c r="H135" s="113" t="s">
        <v>2266</v>
      </c>
      <c r="I135" s="113" t="s">
        <v>2267</v>
      </c>
      <c r="J135" s="113">
        <v>0.21718699999999999</v>
      </c>
      <c r="K135" s="113">
        <v>0.21973000000000001</v>
      </c>
      <c r="L135" s="113">
        <v>0.222274</v>
      </c>
      <c r="M135" s="113">
        <v>0.22478600000000001</v>
      </c>
      <c r="N135" s="113">
        <v>0.227297</v>
      </c>
      <c r="O135" s="113">
        <v>0.22980900000000001</v>
      </c>
      <c r="P135" s="113">
        <v>0.232321</v>
      </c>
      <c r="Q135" s="113">
        <v>0.23483299999999999</v>
      </c>
      <c r="R135" s="113">
        <v>0.237345</v>
      </c>
      <c r="S135" s="113">
        <v>0.23985699999999999</v>
      </c>
      <c r="T135" s="113">
        <v>0.242368</v>
      </c>
      <c r="U135" s="113">
        <v>0.24487999999999999</v>
      </c>
      <c r="V135" s="113">
        <v>0.247392</v>
      </c>
      <c r="W135" s="113">
        <v>0.24990399999999999</v>
      </c>
      <c r="X135" s="113">
        <v>0.25241599999999997</v>
      </c>
      <c r="Y135" s="113">
        <v>0.25492799999999999</v>
      </c>
      <c r="Z135" s="113">
        <v>0.25744</v>
      </c>
      <c r="AA135" s="113">
        <v>0.25995099999999999</v>
      </c>
      <c r="AB135" s="113">
        <v>0.262463</v>
      </c>
      <c r="AC135" s="113">
        <v>0.26497500000000002</v>
      </c>
      <c r="AD135" s="113">
        <v>0.26748699999999997</v>
      </c>
      <c r="AE135" s="113">
        <v>0.26999899999999999</v>
      </c>
      <c r="AF135" s="113">
        <v>0.272511</v>
      </c>
      <c r="AG135" s="113">
        <v>0.27502300000000002</v>
      </c>
    </row>
    <row r="136" spans="1:33" ht="15.75" thickBot="1">
      <c r="A136" s="233" t="s">
        <v>18690</v>
      </c>
      <c r="B136" s="233" t="s">
        <v>18773</v>
      </c>
      <c r="C136" s="233" t="s">
        <v>18769</v>
      </c>
      <c r="D136" s="233" t="s">
        <v>18774</v>
      </c>
      <c r="E136" s="233" t="s">
        <v>781</v>
      </c>
      <c r="F136" s="233" t="s">
        <v>598</v>
      </c>
      <c r="G136" s="233" t="s">
        <v>478</v>
      </c>
      <c r="H136" s="233" t="s">
        <v>2266</v>
      </c>
      <c r="I136" s="233" t="s">
        <v>2267</v>
      </c>
      <c r="J136" s="233">
        <v>6.9613999999999995E-2</v>
      </c>
      <c r="K136" s="233">
        <v>7.0288000000000003E-2</v>
      </c>
      <c r="L136" s="233">
        <v>7.0961999999999997E-2</v>
      </c>
      <c r="M136" s="233">
        <v>7.1635000000000004E-2</v>
      </c>
      <c r="N136" s="233">
        <v>7.2306999999999996E-2</v>
      </c>
      <c r="O136" s="233">
        <v>7.2980000000000003E-2</v>
      </c>
      <c r="P136" s="233">
        <v>7.3651999999999995E-2</v>
      </c>
      <c r="Q136" s="233">
        <v>7.4325000000000002E-2</v>
      </c>
      <c r="R136" s="233">
        <v>7.4997999999999995E-2</v>
      </c>
      <c r="S136" s="233">
        <v>7.5670000000000001E-2</v>
      </c>
      <c r="T136" s="233">
        <v>7.6342999999999994E-2</v>
      </c>
      <c r="U136" s="233">
        <v>7.7016000000000001E-2</v>
      </c>
      <c r="V136" s="233">
        <v>7.7687999999999993E-2</v>
      </c>
      <c r="W136" s="233">
        <v>7.8361E-2</v>
      </c>
      <c r="X136" s="233">
        <v>7.9033000000000006E-2</v>
      </c>
      <c r="Y136" s="233">
        <v>7.9705999999999999E-2</v>
      </c>
      <c r="Z136" s="233">
        <v>8.0379000000000006E-2</v>
      </c>
      <c r="AA136" s="233">
        <v>8.1050999999999998E-2</v>
      </c>
      <c r="AB136" s="233">
        <v>8.1724000000000005E-2</v>
      </c>
      <c r="AC136" s="233">
        <v>8.2395999999999997E-2</v>
      </c>
      <c r="AD136" s="233">
        <v>8.3069000000000004E-2</v>
      </c>
      <c r="AE136" s="233">
        <v>8.3741999999999997E-2</v>
      </c>
      <c r="AF136" s="233">
        <v>8.4414000000000003E-2</v>
      </c>
      <c r="AG136" s="233">
        <v>8.5086999999999996E-2</v>
      </c>
    </row>
    <row r="137" spans="1:33">
      <c r="A137" s="172" t="s">
        <v>18775</v>
      </c>
      <c r="B137" s="113"/>
      <c r="C137" s="113"/>
      <c r="D137" s="113"/>
      <c r="E137" s="113"/>
      <c r="F137" s="113"/>
      <c r="G137" s="113"/>
      <c r="H137" s="113"/>
      <c r="I137" s="113"/>
      <c r="J137" s="113">
        <v>4.5469879999999998</v>
      </c>
      <c r="K137" s="113">
        <v>4.5457039999999997</v>
      </c>
      <c r="L137" s="113">
        <v>4.544422</v>
      </c>
      <c r="M137" s="113">
        <v>4.543825</v>
      </c>
      <c r="N137" s="113">
        <v>4.5432269999999999</v>
      </c>
      <c r="O137" s="113">
        <v>4.5426289999999998</v>
      </c>
      <c r="P137" s="113">
        <v>4.5420319999999998</v>
      </c>
      <c r="Q137" s="113">
        <v>4.5414349999999999</v>
      </c>
      <c r="R137" s="113">
        <v>4.5421529999999999</v>
      </c>
      <c r="S137" s="113">
        <v>4.5428730000000002</v>
      </c>
      <c r="T137" s="113">
        <v>4.5435910000000002</v>
      </c>
      <c r="U137" s="113">
        <v>4.5443090000000002</v>
      </c>
      <c r="V137" s="113">
        <v>4.5450280000000003</v>
      </c>
      <c r="W137" s="113">
        <v>4.5457470000000004</v>
      </c>
      <c r="X137" s="113">
        <v>4.5464659999999997</v>
      </c>
      <c r="Y137" s="113">
        <v>4.5471839999999997</v>
      </c>
      <c r="Z137" s="113">
        <v>4.5479019999999997</v>
      </c>
      <c r="AA137" s="113">
        <v>4.5486219999999999</v>
      </c>
      <c r="AB137" s="113">
        <v>4.5493399999999999</v>
      </c>
      <c r="AC137" s="113">
        <v>4.5500590000000001</v>
      </c>
      <c r="AD137" s="113">
        <v>4.5507770000000001</v>
      </c>
      <c r="AE137" s="113">
        <v>4.5514960000000002</v>
      </c>
      <c r="AF137" s="113">
        <v>4.5522150000000003</v>
      </c>
      <c r="AG137" s="113">
        <v>4.5529330000000003</v>
      </c>
    </row>
    <row r="138" spans="1:33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</row>
    <row r="139" spans="1:33" ht="15.75" thickBot="1">
      <c r="A139" s="231" t="s">
        <v>569</v>
      </c>
      <c r="B139" s="231" t="s">
        <v>570</v>
      </c>
      <c r="C139" s="231" t="s">
        <v>571</v>
      </c>
      <c r="D139" s="231" t="s">
        <v>572</v>
      </c>
      <c r="E139" s="231" t="s">
        <v>573</v>
      </c>
      <c r="F139" s="231" t="s">
        <v>574</v>
      </c>
      <c r="G139" s="231" t="s">
        <v>575</v>
      </c>
      <c r="H139" s="231" t="s">
        <v>576</v>
      </c>
      <c r="I139" s="231" t="s">
        <v>577</v>
      </c>
      <c r="J139" s="231">
        <v>2023</v>
      </c>
      <c r="K139" s="231">
        <v>2024</v>
      </c>
      <c r="L139" s="231">
        <v>2025</v>
      </c>
      <c r="M139" s="231">
        <v>2026</v>
      </c>
      <c r="N139" s="231">
        <v>2027</v>
      </c>
      <c r="O139" s="231">
        <v>2028</v>
      </c>
      <c r="P139" s="231">
        <v>2029</v>
      </c>
      <c r="Q139" s="231">
        <v>2030</v>
      </c>
      <c r="R139" s="231">
        <v>2031</v>
      </c>
      <c r="S139" s="231">
        <v>2032</v>
      </c>
      <c r="T139" s="231">
        <v>2033</v>
      </c>
      <c r="U139" s="231">
        <v>2034</v>
      </c>
      <c r="V139" s="231">
        <v>2035</v>
      </c>
      <c r="W139" s="231">
        <v>2036</v>
      </c>
      <c r="X139" s="231">
        <v>2037</v>
      </c>
      <c r="Y139" s="231">
        <v>2038</v>
      </c>
      <c r="Z139" s="231">
        <v>2039</v>
      </c>
      <c r="AA139" s="231">
        <v>2040</v>
      </c>
      <c r="AB139" s="231">
        <v>2041</v>
      </c>
      <c r="AC139" s="231">
        <v>2042</v>
      </c>
      <c r="AD139" s="231">
        <v>2043</v>
      </c>
      <c r="AE139" s="231">
        <v>2044</v>
      </c>
      <c r="AF139" s="231">
        <v>2045</v>
      </c>
      <c r="AG139" s="231">
        <v>2046</v>
      </c>
    </row>
    <row r="140" spans="1:33">
      <c r="A140" s="113" t="s">
        <v>18721</v>
      </c>
      <c r="B140" s="113" t="s">
        <v>18779</v>
      </c>
      <c r="C140" s="113" t="s">
        <v>18769</v>
      </c>
      <c r="D140" s="113" t="s">
        <v>18780</v>
      </c>
      <c r="E140" s="113" t="s">
        <v>1544</v>
      </c>
      <c r="F140" s="113" t="s">
        <v>598</v>
      </c>
      <c r="G140" s="113" t="s">
        <v>478</v>
      </c>
      <c r="H140" s="113" t="s">
        <v>2266</v>
      </c>
      <c r="I140" s="113" t="s">
        <v>2267</v>
      </c>
      <c r="J140" s="234">
        <v>8.2200000000000006E-5</v>
      </c>
      <c r="K140" s="234">
        <v>8.2200000000000006E-5</v>
      </c>
      <c r="L140" s="234">
        <v>8.2200000000000006E-5</v>
      </c>
      <c r="M140" s="234">
        <v>8.2200000000000006E-5</v>
      </c>
      <c r="N140" s="234">
        <v>8.2200000000000006E-5</v>
      </c>
      <c r="O140" s="234">
        <v>8.2200000000000006E-5</v>
      </c>
      <c r="P140" s="234">
        <v>8.2200000000000006E-5</v>
      </c>
      <c r="Q140" s="234">
        <v>8.2200000000000006E-5</v>
      </c>
      <c r="R140" s="234">
        <v>8.2200000000000006E-5</v>
      </c>
      <c r="S140" s="234">
        <v>8.2200000000000006E-5</v>
      </c>
      <c r="T140" s="234">
        <v>8.2200000000000006E-5</v>
      </c>
      <c r="U140" s="234">
        <v>8.2200000000000006E-5</v>
      </c>
      <c r="V140" s="234">
        <v>8.2200000000000006E-5</v>
      </c>
      <c r="W140" s="234">
        <v>8.2200000000000006E-5</v>
      </c>
      <c r="X140" s="234">
        <v>8.2200000000000006E-5</v>
      </c>
      <c r="Y140" s="234">
        <v>8.2200000000000006E-5</v>
      </c>
      <c r="Z140" s="234">
        <v>8.2200000000000006E-5</v>
      </c>
      <c r="AA140" s="234">
        <v>8.2200000000000006E-5</v>
      </c>
      <c r="AB140" s="234">
        <v>8.2200000000000006E-5</v>
      </c>
      <c r="AC140" s="234">
        <v>8.2200000000000006E-5</v>
      </c>
      <c r="AD140" s="234">
        <v>8.2200000000000006E-5</v>
      </c>
      <c r="AE140" s="234">
        <v>8.2200000000000006E-5</v>
      </c>
      <c r="AF140" s="234">
        <v>8.2200000000000006E-5</v>
      </c>
      <c r="AG140" s="234">
        <v>8.2200000000000006E-5</v>
      </c>
    </row>
    <row r="141" spans="1:33">
      <c r="A141" s="113" t="s">
        <v>18721</v>
      </c>
      <c r="B141" s="113" t="s">
        <v>18783</v>
      </c>
      <c r="C141" s="113" t="s">
        <v>18769</v>
      </c>
      <c r="D141" s="113" t="s">
        <v>18784</v>
      </c>
      <c r="E141" s="113" t="s">
        <v>1544</v>
      </c>
      <c r="F141" s="113" t="s">
        <v>598</v>
      </c>
      <c r="G141" s="113" t="s">
        <v>478</v>
      </c>
      <c r="H141" s="113" t="s">
        <v>2266</v>
      </c>
      <c r="I141" s="113" t="s">
        <v>2267</v>
      </c>
      <c r="J141" s="113">
        <v>4.2823E-2</v>
      </c>
      <c r="K141" s="113">
        <v>4.2999999999999997E-2</v>
      </c>
      <c r="L141" s="113">
        <v>4.3177E-2</v>
      </c>
      <c r="M141" s="113">
        <v>4.3344000000000001E-2</v>
      </c>
      <c r="N141" s="113">
        <v>4.3512000000000002E-2</v>
      </c>
      <c r="O141" s="113">
        <v>4.3679999999999997E-2</v>
      </c>
      <c r="P141" s="113">
        <v>4.3847999999999998E-2</v>
      </c>
      <c r="Q141" s="113">
        <v>4.4016E-2</v>
      </c>
      <c r="R141" s="113">
        <v>4.4183E-2</v>
      </c>
      <c r="S141" s="113">
        <v>4.4351000000000002E-2</v>
      </c>
      <c r="T141" s="113">
        <v>4.4519000000000003E-2</v>
      </c>
      <c r="U141" s="113">
        <v>4.4686999999999998E-2</v>
      </c>
      <c r="V141" s="113">
        <v>4.4854999999999999E-2</v>
      </c>
      <c r="W141" s="113">
        <v>4.5023000000000001E-2</v>
      </c>
      <c r="X141" s="113">
        <v>4.5191000000000002E-2</v>
      </c>
      <c r="Y141" s="113">
        <v>4.5358000000000002E-2</v>
      </c>
      <c r="Z141" s="113">
        <v>4.5525999999999997E-2</v>
      </c>
      <c r="AA141" s="113">
        <v>4.5693999999999999E-2</v>
      </c>
      <c r="AB141" s="113">
        <v>4.5862E-2</v>
      </c>
      <c r="AC141" s="113">
        <v>4.6030000000000001E-2</v>
      </c>
      <c r="AD141" s="113">
        <v>4.6198000000000003E-2</v>
      </c>
      <c r="AE141" s="113">
        <v>4.6365999999999997E-2</v>
      </c>
      <c r="AF141" s="113">
        <v>4.6533999999999999E-2</v>
      </c>
      <c r="AG141" s="113">
        <v>4.6759000000000002E-2</v>
      </c>
    </row>
    <row r="142" spans="1:33">
      <c r="A142" s="113" t="s">
        <v>18721</v>
      </c>
      <c r="B142" s="113" t="s">
        <v>18785</v>
      </c>
      <c r="C142" s="113" t="s">
        <v>18769</v>
      </c>
      <c r="D142" s="113" t="s">
        <v>18786</v>
      </c>
      <c r="E142" s="113" t="s">
        <v>1544</v>
      </c>
      <c r="F142" s="113" t="s">
        <v>598</v>
      </c>
      <c r="G142" s="113" t="s">
        <v>478</v>
      </c>
      <c r="H142" s="113" t="s">
        <v>2266</v>
      </c>
      <c r="I142" s="113" t="s">
        <v>2267</v>
      </c>
      <c r="J142" s="113">
        <v>1.3140000000000001E-3</v>
      </c>
      <c r="K142" s="113">
        <v>1.2689999999999999E-3</v>
      </c>
      <c r="L142" s="113">
        <v>1.2229999999999999E-3</v>
      </c>
      <c r="M142" s="113">
        <v>1.1850000000000001E-3</v>
      </c>
      <c r="N142" s="113">
        <v>1.147E-3</v>
      </c>
      <c r="O142" s="113">
        <v>1.109E-3</v>
      </c>
      <c r="P142" s="113">
        <v>1.0709999999999999E-3</v>
      </c>
      <c r="Q142" s="113">
        <v>1.0330000000000001E-3</v>
      </c>
      <c r="R142" s="113">
        <v>1.008E-3</v>
      </c>
      <c r="S142" s="113">
        <v>9.8200000000000002E-4</v>
      </c>
      <c r="T142" s="113">
        <v>9.5699999999999995E-4</v>
      </c>
      <c r="U142" s="113">
        <v>9.3199999999999999E-4</v>
      </c>
      <c r="V142" s="113">
        <v>9.0700000000000004E-4</v>
      </c>
      <c r="W142" s="113">
        <v>8.8099999999999995E-4</v>
      </c>
      <c r="X142" s="113">
        <v>8.5599999999999999E-4</v>
      </c>
      <c r="Y142" s="113">
        <v>8.3100000000000003E-4</v>
      </c>
      <c r="Z142" s="113">
        <v>8.0599999999999997E-4</v>
      </c>
      <c r="AA142" s="113">
        <v>7.7999999999999999E-4</v>
      </c>
      <c r="AB142" s="113">
        <v>7.5500000000000003E-4</v>
      </c>
      <c r="AC142" s="113">
        <v>7.2999999999999996E-4</v>
      </c>
      <c r="AD142" s="113">
        <v>7.0500000000000001E-4</v>
      </c>
      <c r="AE142" s="113">
        <v>6.7900000000000002E-4</v>
      </c>
      <c r="AF142" s="113">
        <v>6.5399999999999996E-4</v>
      </c>
      <c r="AG142" s="113">
        <v>6.29E-4</v>
      </c>
    </row>
    <row r="143" spans="1:33">
      <c r="A143" s="113" t="s">
        <v>18721</v>
      </c>
      <c r="B143" s="113" t="s">
        <v>18768</v>
      </c>
      <c r="C143" s="113" t="s">
        <v>18769</v>
      </c>
      <c r="D143" s="113" t="s">
        <v>18770</v>
      </c>
      <c r="E143" s="113" t="s">
        <v>781</v>
      </c>
      <c r="F143" s="113" t="s">
        <v>598</v>
      </c>
      <c r="G143" s="113" t="s">
        <v>478</v>
      </c>
      <c r="H143" s="113" t="s">
        <v>2266</v>
      </c>
      <c r="I143" s="113" t="s">
        <v>2267</v>
      </c>
      <c r="J143" s="113">
        <v>0.45031300000000002</v>
      </c>
      <c r="K143" s="113">
        <v>0.48177500000000001</v>
      </c>
      <c r="L143" s="113">
        <v>0.53526899999999999</v>
      </c>
      <c r="M143" s="113">
        <v>0.535134</v>
      </c>
      <c r="N143" s="113">
        <v>0.53822400000000004</v>
      </c>
      <c r="O143" s="113">
        <v>0.58218000000000003</v>
      </c>
      <c r="P143" s="113">
        <v>0.58086300000000002</v>
      </c>
      <c r="Q143" s="113">
        <v>0.62653899999999996</v>
      </c>
      <c r="R143" s="113">
        <v>0.62699499999999997</v>
      </c>
      <c r="S143" s="113">
        <v>0.67452400000000001</v>
      </c>
      <c r="T143" s="113">
        <v>0.67688899999999996</v>
      </c>
      <c r="U143" s="113">
        <v>0.726433</v>
      </c>
      <c r="V143" s="113">
        <v>0.73086600000000002</v>
      </c>
      <c r="W143" s="113">
        <v>0.78256000000000003</v>
      </c>
      <c r="X143" s="113">
        <v>0.78925000000000001</v>
      </c>
      <c r="Y143" s="113">
        <v>0.84325399999999995</v>
      </c>
      <c r="Z143" s="113">
        <v>0.85238899999999995</v>
      </c>
      <c r="AA143" s="113">
        <v>0.90891900000000003</v>
      </c>
      <c r="AB143" s="113">
        <v>0.92068700000000003</v>
      </c>
      <c r="AC143" s="113">
        <v>0.97995699999999997</v>
      </c>
      <c r="AD143" s="113">
        <v>0.99454600000000004</v>
      </c>
      <c r="AE143" s="113">
        <v>1.056772</v>
      </c>
      <c r="AF143" s="113">
        <v>1.074424</v>
      </c>
      <c r="AG143" s="113">
        <v>1.1398470000000001</v>
      </c>
    </row>
    <row r="144" spans="1:33">
      <c r="A144" s="113" t="s">
        <v>18721</v>
      </c>
      <c r="B144" s="113" t="s">
        <v>18771</v>
      </c>
      <c r="C144" s="113" t="s">
        <v>18769</v>
      </c>
      <c r="D144" s="113" t="s">
        <v>18772</v>
      </c>
      <c r="E144" s="113" t="s">
        <v>781</v>
      </c>
      <c r="F144" s="113" t="s">
        <v>598</v>
      </c>
      <c r="G144" s="113" t="s">
        <v>478</v>
      </c>
      <c r="H144" s="113" t="s">
        <v>2266</v>
      </c>
      <c r="I144" s="113" t="s">
        <v>2267</v>
      </c>
      <c r="J144" s="113">
        <v>9.7183000000000005E-2</v>
      </c>
      <c r="K144" s="113">
        <v>9.8405000000000006E-2</v>
      </c>
      <c r="L144" s="113">
        <v>9.9627999999999994E-2</v>
      </c>
      <c r="M144" s="113">
        <v>0.100839</v>
      </c>
      <c r="N144" s="113">
        <v>0.102051</v>
      </c>
      <c r="O144" s="113">
        <v>0.10326200000000001</v>
      </c>
      <c r="P144" s="113">
        <v>0.104474</v>
      </c>
      <c r="Q144" s="113">
        <v>0.105685</v>
      </c>
      <c r="R144" s="113">
        <v>0.10689700000000001</v>
      </c>
      <c r="S144" s="113">
        <v>0.108108</v>
      </c>
      <c r="T144" s="113">
        <v>0.10932</v>
      </c>
      <c r="U144" s="113">
        <v>0.110531</v>
      </c>
      <c r="V144" s="113">
        <v>0.111743</v>
      </c>
      <c r="W144" s="113">
        <v>0.112954</v>
      </c>
      <c r="X144" s="113">
        <v>0.114166</v>
      </c>
      <c r="Y144" s="113">
        <v>0.11537799999999999</v>
      </c>
      <c r="Z144" s="113">
        <v>0.116589</v>
      </c>
      <c r="AA144" s="113">
        <v>0.117801</v>
      </c>
      <c r="AB144" s="113">
        <v>0.11901200000000001</v>
      </c>
      <c r="AC144" s="113">
        <v>0.120224</v>
      </c>
      <c r="AD144" s="113">
        <v>0.121435</v>
      </c>
      <c r="AE144" s="113">
        <v>0.12264700000000001</v>
      </c>
      <c r="AF144" s="113">
        <v>0.123859</v>
      </c>
      <c r="AG144" s="113">
        <v>0.125138</v>
      </c>
    </row>
    <row r="145" spans="1:33" ht="15.75" thickBot="1">
      <c r="A145" s="233" t="s">
        <v>18721</v>
      </c>
      <c r="B145" s="233" t="s">
        <v>18773</v>
      </c>
      <c r="C145" s="233" t="s">
        <v>18769</v>
      </c>
      <c r="D145" s="233" t="s">
        <v>18774</v>
      </c>
      <c r="E145" s="233" t="s">
        <v>781</v>
      </c>
      <c r="F145" s="233" t="s">
        <v>598</v>
      </c>
      <c r="G145" s="233" t="s">
        <v>478</v>
      </c>
      <c r="H145" s="233" t="s">
        <v>2266</v>
      </c>
      <c r="I145" s="233" t="s">
        <v>2267</v>
      </c>
      <c r="J145" s="233">
        <v>3.884E-2</v>
      </c>
      <c r="K145" s="233">
        <v>3.9315000000000003E-2</v>
      </c>
      <c r="L145" s="233">
        <v>3.9788999999999998E-2</v>
      </c>
      <c r="M145" s="233">
        <v>4.0257000000000001E-2</v>
      </c>
      <c r="N145" s="233">
        <v>4.0724999999999997E-2</v>
      </c>
      <c r="O145" s="233">
        <v>4.1194000000000001E-2</v>
      </c>
      <c r="P145" s="233">
        <v>4.1661999999999998E-2</v>
      </c>
      <c r="Q145" s="233">
        <v>4.2130000000000001E-2</v>
      </c>
      <c r="R145" s="233">
        <v>4.2597999999999997E-2</v>
      </c>
      <c r="S145" s="233">
        <v>4.3066E-2</v>
      </c>
      <c r="T145" s="233">
        <v>4.3534000000000003E-2</v>
      </c>
      <c r="U145" s="233">
        <v>4.4001999999999999E-2</v>
      </c>
      <c r="V145" s="233">
        <v>4.4470000000000003E-2</v>
      </c>
      <c r="W145" s="233">
        <v>4.4937999999999999E-2</v>
      </c>
      <c r="X145" s="233">
        <v>4.5406000000000002E-2</v>
      </c>
      <c r="Y145" s="233">
        <v>4.5873999999999998E-2</v>
      </c>
      <c r="Z145" s="233">
        <v>4.6343000000000002E-2</v>
      </c>
      <c r="AA145" s="233">
        <v>4.6810999999999998E-2</v>
      </c>
      <c r="AB145" s="233">
        <v>4.7279000000000002E-2</v>
      </c>
      <c r="AC145" s="233">
        <v>4.7746999999999998E-2</v>
      </c>
      <c r="AD145" s="233">
        <v>4.8215000000000001E-2</v>
      </c>
      <c r="AE145" s="233">
        <v>4.8682999999999997E-2</v>
      </c>
      <c r="AF145" s="233">
        <v>4.9151E-2</v>
      </c>
      <c r="AG145" s="233">
        <v>4.9660000000000003E-2</v>
      </c>
    </row>
    <row r="146" spans="1:33">
      <c r="A146" s="172" t="s">
        <v>18775</v>
      </c>
      <c r="B146" s="113"/>
      <c r="C146" s="113"/>
      <c r="D146" s="113"/>
      <c r="E146" s="113"/>
      <c r="F146" s="113"/>
      <c r="G146" s="113"/>
      <c r="H146" s="113"/>
      <c r="I146" s="113"/>
      <c r="J146" s="113">
        <v>0.63055499999999998</v>
      </c>
      <c r="K146" s="113">
        <v>0.66384600000000005</v>
      </c>
      <c r="L146" s="113">
        <v>0.71916800000000003</v>
      </c>
      <c r="M146" s="113">
        <v>0.72084300000000001</v>
      </c>
      <c r="N146" s="113">
        <v>0.725742</v>
      </c>
      <c r="O146" s="113">
        <v>0.77150700000000005</v>
      </c>
      <c r="P146" s="113">
        <v>0.77199899999999999</v>
      </c>
      <c r="Q146" s="113">
        <v>0.81948399999999999</v>
      </c>
      <c r="R146" s="113">
        <v>0.82176300000000002</v>
      </c>
      <c r="S146" s="113">
        <v>0.87111400000000005</v>
      </c>
      <c r="T146" s="113">
        <v>0.875301</v>
      </c>
      <c r="U146" s="113">
        <v>0.92666700000000002</v>
      </c>
      <c r="V146" s="113">
        <v>0.93292299999999995</v>
      </c>
      <c r="W146" s="113">
        <v>0.98643899999999995</v>
      </c>
      <c r="X146" s="113">
        <v>0.99495100000000003</v>
      </c>
      <c r="Y146" s="113">
        <v>1.050778</v>
      </c>
      <c r="Z146" s="113">
        <v>1.0617350000000001</v>
      </c>
      <c r="AA146" s="113">
        <v>1.1200870000000001</v>
      </c>
      <c r="AB146" s="113">
        <v>1.133677</v>
      </c>
      <c r="AC146" s="113">
        <v>1.1947700000000001</v>
      </c>
      <c r="AD146" s="113">
        <v>1.2111810000000001</v>
      </c>
      <c r="AE146" s="113">
        <v>1.2752300000000001</v>
      </c>
      <c r="AF146" s="113">
        <v>1.2947040000000001</v>
      </c>
      <c r="AG146" s="113">
        <v>1.362117</v>
      </c>
    </row>
    <row r="147" spans="1:33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</row>
    <row r="148" spans="1:33" ht="15.75" thickBot="1">
      <c r="A148" s="231" t="s">
        <v>569</v>
      </c>
      <c r="B148" s="231" t="s">
        <v>570</v>
      </c>
      <c r="C148" s="231" t="s">
        <v>571</v>
      </c>
      <c r="D148" s="231" t="s">
        <v>572</v>
      </c>
      <c r="E148" s="231" t="s">
        <v>573</v>
      </c>
      <c r="F148" s="231" t="s">
        <v>574</v>
      </c>
      <c r="G148" s="231" t="s">
        <v>575</v>
      </c>
      <c r="H148" s="231" t="s">
        <v>576</v>
      </c>
      <c r="I148" s="231" t="s">
        <v>577</v>
      </c>
      <c r="J148" s="231">
        <v>2023</v>
      </c>
      <c r="K148" s="231">
        <v>2024</v>
      </c>
      <c r="L148" s="231">
        <v>2025</v>
      </c>
      <c r="M148" s="231">
        <v>2026</v>
      </c>
      <c r="N148" s="231">
        <v>2027</v>
      </c>
      <c r="O148" s="231">
        <v>2028</v>
      </c>
      <c r="P148" s="231">
        <v>2029</v>
      </c>
      <c r="Q148" s="231">
        <v>2030</v>
      </c>
      <c r="R148" s="231">
        <v>2031</v>
      </c>
      <c r="S148" s="231">
        <v>2032</v>
      </c>
      <c r="T148" s="231">
        <v>2033</v>
      </c>
      <c r="U148" s="231">
        <v>2034</v>
      </c>
      <c r="V148" s="231">
        <v>2035</v>
      </c>
      <c r="W148" s="231">
        <v>2036</v>
      </c>
      <c r="X148" s="231">
        <v>2037</v>
      </c>
      <c r="Y148" s="231">
        <v>2038</v>
      </c>
      <c r="Z148" s="231">
        <v>2039</v>
      </c>
      <c r="AA148" s="231">
        <v>2040</v>
      </c>
      <c r="AB148" s="231">
        <v>2041</v>
      </c>
      <c r="AC148" s="231">
        <v>2042</v>
      </c>
      <c r="AD148" s="231">
        <v>2043</v>
      </c>
      <c r="AE148" s="231">
        <v>2044</v>
      </c>
      <c r="AF148" s="231">
        <v>2045</v>
      </c>
      <c r="AG148" s="231">
        <v>2046</v>
      </c>
    </row>
    <row r="149" spans="1:33">
      <c r="A149" s="113" t="s">
        <v>18727</v>
      </c>
      <c r="B149" s="113" t="s">
        <v>18783</v>
      </c>
      <c r="C149" s="113" t="s">
        <v>18769</v>
      </c>
      <c r="D149" s="113" t="s">
        <v>18784</v>
      </c>
      <c r="E149" s="113" t="s">
        <v>1544</v>
      </c>
      <c r="F149" s="113" t="s">
        <v>598</v>
      </c>
      <c r="G149" s="113" t="s">
        <v>478</v>
      </c>
      <c r="H149" s="113" t="s">
        <v>2266</v>
      </c>
      <c r="I149" s="113" t="s">
        <v>2267</v>
      </c>
      <c r="J149" s="113">
        <v>0.510772</v>
      </c>
      <c r="K149" s="113">
        <v>0.51179200000000002</v>
      </c>
      <c r="L149" s="113">
        <v>0.51287899999999997</v>
      </c>
      <c r="M149" s="113">
        <v>0.51423799999999997</v>
      </c>
      <c r="N149" s="113">
        <v>0.515324</v>
      </c>
      <c r="O149" s="113">
        <v>0.51634400000000003</v>
      </c>
      <c r="P149" s="113">
        <v>0.51776999999999995</v>
      </c>
      <c r="Q149" s="113">
        <v>0.51878899999999994</v>
      </c>
      <c r="R149" s="113">
        <v>0.51980899999999997</v>
      </c>
      <c r="S149" s="113">
        <v>0.52061599999999997</v>
      </c>
      <c r="T149" s="113">
        <v>0.52104600000000001</v>
      </c>
      <c r="U149" s="113">
        <v>0.52148300000000003</v>
      </c>
      <c r="V149" s="113">
        <v>0.52225299999999997</v>
      </c>
      <c r="W149" s="113">
        <v>0.52268899999999996</v>
      </c>
      <c r="X149" s="113">
        <v>0.52315699999999998</v>
      </c>
      <c r="Y149" s="113">
        <v>0.52315699999999998</v>
      </c>
      <c r="Z149" s="113">
        <v>0.52315699999999998</v>
      </c>
      <c r="AA149" s="113">
        <v>0.52315699999999998</v>
      </c>
      <c r="AB149" s="113">
        <v>0.52315699999999998</v>
      </c>
      <c r="AC149" s="113">
        <v>0.52315699999999998</v>
      </c>
      <c r="AD149" s="113">
        <v>0.52315699999999998</v>
      </c>
      <c r="AE149" s="113">
        <v>0.52315699999999998</v>
      </c>
      <c r="AF149" s="113">
        <v>0.52315699999999998</v>
      </c>
      <c r="AG149" s="113">
        <v>0.52315699999999998</v>
      </c>
    </row>
    <row r="150" spans="1:33">
      <c r="A150" s="113" t="s">
        <v>18727</v>
      </c>
      <c r="B150" s="113" t="s">
        <v>18785</v>
      </c>
      <c r="C150" s="113" t="s">
        <v>18769</v>
      </c>
      <c r="D150" s="113" t="s">
        <v>18786</v>
      </c>
      <c r="E150" s="113" t="s">
        <v>1544</v>
      </c>
      <c r="F150" s="113" t="s">
        <v>598</v>
      </c>
      <c r="G150" s="113" t="s">
        <v>478</v>
      </c>
      <c r="H150" s="113" t="s">
        <v>2266</v>
      </c>
      <c r="I150" s="113" t="s">
        <v>2267</v>
      </c>
      <c r="J150" s="113">
        <v>4.6900000000000002E-4</v>
      </c>
      <c r="K150" s="113">
        <v>4.6900000000000002E-4</v>
      </c>
      <c r="L150" s="113">
        <v>4.6900000000000002E-4</v>
      </c>
      <c r="M150" s="113">
        <v>4.6900000000000002E-4</v>
      </c>
      <c r="N150" s="113">
        <v>4.6900000000000002E-4</v>
      </c>
      <c r="O150" s="113">
        <v>4.6900000000000002E-4</v>
      </c>
      <c r="P150" s="113">
        <v>4.6900000000000002E-4</v>
      </c>
      <c r="Q150" s="113">
        <v>4.6900000000000002E-4</v>
      </c>
      <c r="R150" s="113">
        <v>4.6900000000000002E-4</v>
      </c>
      <c r="S150" s="113">
        <v>4.6900000000000002E-4</v>
      </c>
      <c r="T150" s="113">
        <v>4.6900000000000002E-4</v>
      </c>
      <c r="U150" s="113">
        <v>4.6900000000000002E-4</v>
      </c>
      <c r="V150" s="113">
        <v>4.6900000000000002E-4</v>
      </c>
      <c r="W150" s="113">
        <v>4.6900000000000002E-4</v>
      </c>
      <c r="X150" s="113">
        <v>4.6900000000000002E-4</v>
      </c>
      <c r="Y150" s="113">
        <v>4.6900000000000002E-4</v>
      </c>
      <c r="Z150" s="113">
        <v>4.6900000000000002E-4</v>
      </c>
      <c r="AA150" s="113">
        <v>4.6900000000000002E-4</v>
      </c>
      <c r="AB150" s="113">
        <v>4.6900000000000002E-4</v>
      </c>
      <c r="AC150" s="113">
        <v>4.6900000000000002E-4</v>
      </c>
      <c r="AD150" s="113">
        <v>4.6900000000000002E-4</v>
      </c>
      <c r="AE150" s="113">
        <v>4.6900000000000002E-4</v>
      </c>
      <c r="AF150" s="113">
        <v>4.6900000000000002E-4</v>
      </c>
      <c r="AG150" s="113">
        <v>4.6900000000000002E-4</v>
      </c>
    </row>
    <row r="151" spans="1:33">
      <c r="A151" s="113" t="s">
        <v>18727</v>
      </c>
      <c r="B151" s="113" t="s">
        <v>18795</v>
      </c>
      <c r="C151" s="113" t="s">
        <v>18769</v>
      </c>
      <c r="D151" s="113" t="s">
        <v>18770</v>
      </c>
      <c r="E151" s="113" t="s">
        <v>894</v>
      </c>
      <c r="F151" s="113" t="s">
        <v>598</v>
      </c>
      <c r="G151" s="113" t="s">
        <v>478</v>
      </c>
      <c r="H151" s="113" t="s">
        <v>2266</v>
      </c>
      <c r="I151" s="113" t="s">
        <v>2267</v>
      </c>
      <c r="J151" s="113">
        <v>0.56979299999999999</v>
      </c>
      <c r="K151" s="113">
        <v>0.57137000000000004</v>
      </c>
      <c r="L151" s="113">
        <v>0.57304100000000002</v>
      </c>
      <c r="M151" s="113">
        <v>0.57461799999999996</v>
      </c>
      <c r="N151" s="113">
        <v>0.57628900000000005</v>
      </c>
      <c r="O151" s="113">
        <v>0.57786599999999999</v>
      </c>
      <c r="P151" s="113">
        <v>0.57953600000000005</v>
      </c>
      <c r="Q151" s="113">
        <v>0.58111400000000002</v>
      </c>
      <c r="R151" s="113">
        <v>0.58278399999999997</v>
      </c>
      <c r="S151" s="113">
        <v>0.58415799999999996</v>
      </c>
      <c r="T151" s="113">
        <v>0.58566200000000002</v>
      </c>
      <c r="U151" s="113">
        <v>0.587036</v>
      </c>
      <c r="V151" s="113">
        <v>0.58853999999999995</v>
      </c>
      <c r="W151" s="113">
        <v>0.59002600000000005</v>
      </c>
      <c r="X151" s="113">
        <v>0.59140000000000004</v>
      </c>
      <c r="Y151" s="113">
        <v>0.59140000000000004</v>
      </c>
      <c r="Z151" s="113">
        <v>0.59140000000000004</v>
      </c>
      <c r="AA151" s="113">
        <v>0.59140000000000004</v>
      </c>
      <c r="AB151" s="113">
        <v>0.59140000000000004</v>
      </c>
      <c r="AC151" s="113">
        <v>0.59140000000000004</v>
      </c>
      <c r="AD151" s="113">
        <v>0.59140000000000004</v>
      </c>
      <c r="AE151" s="113">
        <v>0.59140000000000004</v>
      </c>
      <c r="AF151" s="113">
        <v>0.59140000000000004</v>
      </c>
      <c r="AG151" s="113">
        <v>0.59140000000000004</v>
      </c>
    </row>
    <row r="152" spans="1:33">
      <c r="A152" s="113" t="s">
        <v>18727</v>
      </c>
      <c r="B152" s="113" t="s">
        <v>18796</v>
      </c>
      <c r="C152" s="113" t="s">
        <v>18769</v>
      </c>
      <c r="D152" s="113" t="s">
        <v>18772</v>
      </c>
      <c r="E152" s="113" t="s">
        <v>784</v>
      </c>
      <c r="F152" s="113" t="s">
        <v>598</v>
      </c>
      <c r="G152" s="113" t="s">
        <v>478</v>
      </c>
      <c r="H152" s="113" t="s">
        <v>2266</v>
      </c>
      <c r="I152" s="113" t="s">
        <v>2267</v>
      </c>
      <c r="J152" s="113">
        <v>15.62632</v>
      </c>
      <c r="K152" s="113">
        <v>16.56776</v>
      </c>
      <c r="L152" s="113">
        <v>17.510459999999998</v>
      </c>
      <c r="M152" s="113">
        <v>18.45316</v>
      </c>
      <c r="N152" s="113">
        <v>19.382819999999999</v>
      </c>
      <c r="O152" s="113">
        <v>20.325520000000001</v>
      </c>
      <c r="P152" s="113">
        <v>21.266960000000001</v>
      </c>
      <c r="Q152" s="113">
        <v>22.20966</v>
      </c>
      <c r="R152" s="113">
        <v>23.152360000000002</v>
      </c>
      <c r="S152" s="113">
        <v>23.543089999999999</v>
      </c>
      <c r="T152" s="113">
        <v>23.922029999999999</v>
      </c>
      <c r="U152" s="113">
        <v>24.31183</v>
      </c>
      <c r="V152" s="113">
        <v>24.703810000000001</v>
      </c>
      <c r="W152" s="113">
        <v>25.081499999999998</v>
      </c>
      <c r="X152" s="113">
        <v>25.47222</v>
      </c>
      <c r="Y152" s="113">
        <v>25.47222</v>
      </c>
      <c r="Z152" s="113">
        <v>25.47222</v>
      </c>
      <c r="AA152" s="113">
        <v>25.47222</v>
      </c>
      <c r="AB152" s="113">
        <v>25.47222</v>
      </c>
      <c r="AC152" s="113">
        <v>25.47222</v>
      </c>
      <c r="AD152" s="113">
        <v>25.47222</v>
      </c>
      <c r="AE152" s="113">
        <v>25.47222</v>
      </c>
      <c r="AF152" s="113">
        <v>25.47222</v>
      </c>
      <c r="AG152" s="113">
        <v>25.47222</v>
      </c>
    </row>
    <row r="153" spans="1:33" ht="15.75" thickBot="1">
      <c r="A153" s="233" t="s">
        <v>18727</v>
      </c>
      <c r="B153" s="233" t="s">
        <v>18797</v>
      </c>
      <c r="C153" s="233" t="s">
        <v>18769</v>
      </c>
      <c r="D153" s="233" t="s">
        <v>18774</v>
      </c>
      <c r="E153" s="233" t="s">
        <v>784</v>
      </c>
      <c r="F153" s="233" t="s">
        <v>598</v>
      </c>
      <c r="G153" s="233" t="s">
        <v>478</v>
      </c>
      <c r="H153" s="233" t="s">
        <v>2266</v>
      </c>
      <c r="I153" s="233" t="s">
        <v>2267</v>
      </c>
      <c r="J153" s="233">
        <v>0.78073999999999999</v>
      </c>
      <c r="K153" s="233">
        <v>0.783385</v>
      </c>
      <c r="L153" s="233">
        <v>0.78564999999999996</v>
      </c>
      <c r="M153" s="233">
        <v>0.788296</v>
      </c>
      <c r="N153" s="233">
        <v>0.79104799999999997</v>
      </c>
      <c r="O153" s="233">
        <v>0.79369299999999998</v>
      </c>
      <c r="P153" s="233">
        <v>0.79595800000000005</v>
      </c>
      <c r="Q153" s="233">
        <v>0.79860399999999998</v>
      </c>
      <c r="R153" s="233">
        <v>0.80124899999999999</v>
      </c>
      <c r="S153" s="233">
        <v>0.80294699999999997</v>
      </c>
      <c r="T153" s="233">
        <v>0.80460399999999999</v>
      </c>
      <c r="U153" s="233">
        <v>0.80574999999999997</v>
      </c>
      <c r="V153" s="233">
        <v>0.80740699999999999</v>
      </c>
      <c r="W153" s="233">
        <v>0.80903999999999998</v>
      </c>
      <c r="X153" s="233">
        <v>0.81073799999999996</v>
      </c>
      <c r="Y153" s="233">
        <v>0.81073799999999996</v>
      </c>
      <c r="Z153" s="233">
        <v>0.81073799999999996</v>
      </c>
      <c r="AA153" s="233">
        <v>0.81073799999999996</v>
      </c>
      <c r="AB153" s="233">
        <v>0.81073799999999996</v>
      </c>
      <c r="AC153" s="233">
        <v>0.81073799999999996</v>
      </c>
      <c r="AD153" s="233">
        <v>0.81073799999999996</v>
      </c>
      <c r="AE153" s="233">
        <v>0.81073799999999996</v>
      </c>
      <c r="AF153" s="233">
        <v>0.81073799999999996</v>
      </c>
      <c r="AG153" s="233">
        <v>0.81073799999999996</v>
      </c>
    </row>
    <row r="154" spans="1:33">
      <c r="A154" s="172" t="s">
        <v>18775</v>
      </c>
      <c r="B154" s="113"/>
      <c r="C154" s="113"/>
      <c r="D154" s="113"/>
      <c r="E154" s="113"/>
      <c r="F154" s="113"/>
      <c r="G154" s="113"/>
      <c r="H154" s="113"/>
      <c r="I154" s="113"/>
      <c r="J154" s="113">
        <v>17.48809</v>
      </c>
      <c r="K154" s="113">
        <v>18.43477</v>
      </c>
      <c r="L154" s="113">
        <v>19.3825</v>
      </c>
      <c r="M154" s="113">
        <v>20.330780000000001</v>
      </c>
      <c r="N154" s="113">
        <v>21.26595</v>
      </c>
      <c r="O154" s="113">
        <v>22.213889999999999</v>
      </c>
      <c r="P154" s="113">
        <v>23.160699999999999</v>
      </c>
      <c r="Q154" s="113">
        <v>24.108640000000001</v>
      </c>
      <c r="R154" s="113">
        <v>25.05667</v>
      </c>
      <c r="S154" s="113">
        <v>25.451280000000001</v>
      </c>
      <c r="T154" s="113">
        <v>25.83381</v>
      </c>
      <c r="U154" s="113">
        <v>26.226569999999999</v>
      </c>
      <c r="V154" s="113">
        <v>26.622479999999999</v>
      </c>
      <c r="W154" s="113">
        <v>27.003720000000001</v>
      </c>
      <c r="X154" s="113">
        <v>27.39799</v>
      </c>
      <c r="Y154" s="113">
        <v>27.39799</v>
      </c>
      <c r="Z154" s="113">
        <v>27.39799</v>
      </c>
      <c r="AA154" s="113">
        <v>27.39799</v>
      </c>
      <c r="AB154" s="113">
        <v>27.39799</v>
      </c>
      <c r="AC154" s="113">
        <v>27.39799</v>
      </c>
      <c r="AD154" s="113">
        <v>27.39799</v>
      </c>
      <c r="AE154" s="113">
        <v>27.39799</v>
      </c>
      <c r="AF154" s="113">
        <v>27.39799</v>
      </c>
      <c r="AG154" s="113">
        <v>27.39799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3">
    <tabColor rgb="FFFFC000"/>
  </sheetPr>
  <dimension ref="A1:Y3832"/>
  <sheetViews>
    <sheetView workbookViewId="0">
      <selection activeCell="D3836" sqref="D3836"/>
    </sheetView>
  </sheetViews>
  <sheetFormatPr defaultRowHeight="15"/>
  <cols>
    <col min="1" max="1" width="18.7109375" customWidth="1"/>
    <col min="7" max="7" width="11.7109375" customWidth="1"/>
    <col min="9" max="9" width="14.5703125" customWidth="1"/>
  </cols>
  <sheetData>
    <row r="1" spans="1:25">
      <c r="A1" t="s">
        <v>569</v>
      </c>
      <c r="B1" t="s">
        <v>570</v>
      </c>
      <c r="C1" t="s">
        <v>571</v>
      </c>
      <c r="D1" t="s">
        <v>572</v>
      </c>
      <c r="E1" t="s">
        <v>573</v>
      </c>
      <c r="F1" t="s">
        <v>574</v>
      </c>
      <c r="G1" t="s">
        <v>575</v>
      </c>
      <c r="H1" t="s">
        <v>576</v>
      </c>
      <c r="I1" t="s">
        <v>577</v>
      </c>
      <c r="J1" t="s">
        <v>578</v>
      </c>
      <c r="K1" t="s">
        <v>579</v>
      </c>
      <c r="L1" t="s">
        <v>580</v>
      </c>
      <c r="M1" t="s">
        <v>581</v>
      </c>
      <c r="N1" t="s">
        <v>582</v>
      </c>
      <c r="O1" t="s">
        <v>583</v>
      </c>
      <c r="P1" t="s">
        <v>584</v>
      </c>
      <c r="Q1" t="s">
        <v>585</v>
      </c>
      <c r="R1" t="s">
        <v>586</v>
      </c>
      <c r="S1" t="s">
        <v>587</v>
      </c>
      <c r="T1" t="s">
        <v>588</v>
      </c>
      <c r="U1" t="s">
        <v>589</v>
      </c>
      <c r="V1" t="s">
        <v>590</v>
      </c>
      <c r="W1" t="s">
        <v>591</v>
      </c>
      <c r="X1" t="s">
        <v>592</v>
      </c>
      <c r="Y1" t="s">
        <v>593</v>
      </c>
    </row>
    <row r="2" spans="1:25">
      <c r="A2" t="s">
        <v>18799</v>
      </c>
      <c r="B2" t="s">
        <v>627</v>
      </c>
      <c r="C2" t="s">
        <v>595</v>
      </c>
      <c r="D2" t="s">
        <v>621</v>
      </c>
      <c r="E2" t="s">
        <v>628</v>
      </c>
      <c r="F2" t="s">
        <v>598</v>
      </c>
      <c r="G2" t="s">
        <v>478</v>
      </c>
      <c r="H2" t="s">
        <v>600</v>
      </c>
      <c r="I2" t="s">
        <v>601</v>
      </c>
      <c r="J2">
        <v>8.0299999999999996E-2</v>
      </c>
      <c r="K2">
        <v>8.0299999999999996E-2</v>
      </c>
      <c r="L2">
        <v>8.0299999999999996E-2</v>
      </c>
      <c r="M2">
        <v>8.0299999999999996E-2</v>
      </c>
      <c r="N2">
        <v>8.0299999999999996E-2</v>
      </c>
      <c r="O2">
        <v>8.0299999999999996E-2</v>
      </c>
      <c r="P2">
        <v>8.0299999999999996E-2</v>
      </c>
      <c r="Q2">
        <v>8.0299999999999996E-2</v>
      </c>
      <c r="R2">
        <v>8.0299999999999996E-2</v>
      </c>
      <c r="S2">
        <v>8.0299999999999996E-2</v>
      </c>
      <c r="T2">
        <v>8.0299999999999996E-2</v>
      </c>
      <c r="U2">
        <v>8.0299999999999996E-2</v>
      </c>
      <c r="V2">
        <v>8.0299999999999996E-2</v>
      </c>
      <c r="W2">
        <v>8.0299999999999996E-2</v>
      </c>
      <c r="X2">
        <v>8.0299999999999996E-2</v>
      </c>
      <c r="Y2">
        <v>8.0299999999999996E-2</v>
      </c>
    </row>
    <row r="3" spans="1:25">
      <c r="A3" t="s">
        <v>18799</v>
      </c>
      <c r="B3" t="s">
        <v>629</v>
      </c>
      <c r="C3" t="s">
        <v>595</v>
      </c>
      <c r="D3" t="s">
        <v>621</v>
      </c>
      <c r="E3" t="s">
        <v>630</v>
      </c>
      <c r="F3" t="s">
        <v>598</v>
      </c>
      <c r="G3" t="s">
        <v>478</v>
      </c>
      <c r="H3" t="s">
        <v>600</v>
      </c>
      <c r="I3" t="s">
        <v>601</v>
      </c>
      <c r="J3">
        <v>1.5900000000000001E-2</v>
      </c>
      <c r="K3">
        <v>1.5900000000000001E-2</v>
      </c>
      <c r="L3">
        <v>1.5900000000000001E-2</v>
      </c>
      <c r="M3">
        <v>1.5900000000000001E-2</v>
      </c>
      <c r="N3">
        <v>1.5900000000000001E-2</v>
      </c>
      <c r="O3">
        <v>1.5900000000000001E-2</v>
      </c>
      <c r="P3">
        <v>1.5900000000000001E-2</v>
      </c>
      <c r="Q3">
        <v>1.5900000000000001E-2</v>
      </c>
      <c r="R3">
        <v>1.5900000000000001E-2</v>
      </c>
      <c r="S3">
        <v>1.5900000000000001E-2</v>
      </c>
      <c r="T3">
        <v>1.5900000000000001E-2</v>
      </c>
      <c r="U3">
        <v>1.5900000000000001E-2</v>
      </c>
      <c r="V3">
        <v>1.5900000000000001E-2</v>
      </c>
      <c r="W3">
        <v>1.5900000000000001E-2</v>
      </c>
      <c r="X3">
        <v>1.5900000000000001E-2</v>
      </c>
      <c r="Y3">
        <v>1.5900000000000001E-2</v>
      </c>
    </row>
    <row r="4" spans="1:25">
      <c r="A4" t="s">
        <v>18799</v>
      </c>
      <c r="B4" t="s">
        <v>644</v>
      </c>
      <c r="C4" t="s">
        <v>595</v>
      </c>
      <c r="D4" t="s">
        <v>645</v>
      </c>
      <c r="E4" t="s">
        <v>646</v>
      </c>
      <c r="F4" t="s">
        <v>598</v>
      </c>
      <c r="G4" t="s">
        <v>478</v>
      </c>
      <c r="H4" t="s">
        <v>600</v>
      </c>
      <c r="I4" t="s">
        <v>601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>
      <c r="A5" t="s">
        <v>18799</v>
      </c>
      <c r="B5" t="s">
        <v>647</v>
      </c>
      <c r="C5" t="s">
        <v>595</v>
      </c>
      <c r="D5" t="s">
        <v>648</v>
      </c>
      <c r="E5" t="s">
        <v>649</v>
      </c>
      <c r="F5" t="s">
        <v>598</v>
      </c>
      <c r="G5" t="s">
        <v>478</v>
      </c>
      <c r="H5" t="s">
        <v>600</v>
      </c>
      <c r="I5" t="s">
        <v>601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hidden="1">
      <c r="A6" t="s">
        <v>18799</v>
      </c>
      <c r="B6" t="s">
        <v>771</v>
      </c>
      <c r="C6" t="s">
        <v>729</v>
      </c>
      <c r="D6" t="s">
        <v>621</v>
      </c>
      <c r="E6" t="s">
        <v>692</v>
      </c>
      <c r="F6" t="s">
        <v>598</v>
      </c>
      <c r="G6" t="s">
        <v>478</v>
      </c>
      <c r="H6" t="s">
        <v>600</v>
      </c>
      <c r="I6" t="s">
        <v>601</v>
      </c>
      <c r="J6">
        <v>3.1199999999999999E-2</v>
      </c>
      <c r="K6">
        <v>3.1199999999999999E-2</v>
      </c>
      <c r="L6">
        <v>3.1199999999999999E-2</v>
      </c>
      <c r="M6">
        <v>3.1199999999999999E-2</v>
      </c>
      <c r="N6">
        <v>3.1199999999999999E-2</v>
      </c>
      <c r="O6">
        <v>3.1199999999999999E-2</v>
      </c>
      <c r="P6">
        <v>3.1199999999999999E-2</v>
      </c>
      <c r="Q6">
        <v>3.1199999999999999E-2</v>
      </c>
      <c r="R6">
        <v>3.1199999999999999E-2</v>
      </c>
      <c r="S6">
        <v>3.1199999999999999E-2</v>
      </c>
      <c r="T6">
        <v>3.1199999999999999E-2</v>
      </c>
      <c r="U6">
        <v>3.1199999999999999E-2</v>
      </c>
      <c r="V6">
        <v>3.1199999999999999E-2</v>
      </c>
      <c r="W6">
        <v>3.1199999999999999E-2</v>
      </c>
      <c r="X6">
        <v>3.1199999999999999E-2</v>
      </c>
      <c r="Y6">
        <v>3.1199999999999999E-2</v>
      </c>
    </row>
    <row r="7" spans="1:25" hidden="1">
      <c r="A7" t="s">
        <v>18799</v>
      </c>
      <c r="B7" t="s">
        <v>786</v>
      </c>
      <c r="C7" t="s">
        <v>729</v>
      </c>
      <c r="D7" t="s">
        <v>640</v>
      </c>
      <c r="E7" t="s">
        <v>642</v>
      </c>
      <c r="F7" t="s">
        <v>598</v>
      </c>
      <c r="G7" t="s">
        <v>478</v>
      </c>
      <c r="H7" t="s">
        <v>600</v>
      </c>
      <c r="I7" t="s">
        <v>601</v>
      </c>
      <c r="J7">
        <v>1.6000000000000001E-3</v>
      </c>
      <c r="K7">
        <v>1.6000000000000001E-3</v>
      </c>
      <c r="L7">
        <v>1.6000000000000001E-3</v>
      </c>
      <c r="M7">
        <v>1.6000000000000001E-3</v>
      </c>
      <c r="N7">
        <v>1.6000000000000001E-3</v>
      </c>
      <c r="O7">
        <v>1.6000000000000001E-3</v>
      </c>
      <c r="P7">
        <v>1.6000000000000001E-3</v>
      </c>
      <c r="Q7">
        <v>1.6000000000000001E-3</v>
      </c>
      <c r="R7">
        <v>1.6000000000000001E-3</v>
      </c>
      <c r="S7">
        <v>1.6000000000000001E-3</v>
      </c>
      <c r="T7">
        <v>1.6000000000000001E-3</v>
      </c>
      <c r="U7">
        <v>1.6000000000000001E-3</v>
      </c>
      <c r="V7">
        <v>1.6000000000000001E-3</v>
      </c>
      <c r="W7">
        <v>1.6000000000000001E-3</v>
      </c>
      <c r="X7">
        <v>1.6000000000000001E-3</v>
      </c>
      <c r="Y7">
        <v>1.6000000000000001E-3</v>
      </c>
    </row>
    <row r="8" spans="1:25" hidden="1">
      <c r="A8" t="s">
        <v>18799</v>
      </c>
      <c r="B8" t="s">
        <v>791</v>
      </c>
      <c r="C8" t="s">
        <v>729</v>
      </c>
      <c r="D8" t="s">
        <v>640</v>
      </c>
      <c r="E8" t="s">
        <v>619</v>
      </c>
      <c r="F8" t="s">
        <v>598</v>
      </c>
      <c r="G8" t="s">
        <v>478</v>
      </c>
      <c r="H8" t="s">
        <v>600</v>
      </c>
      <c r="I8" t="s">
        <v>601</v>
      </c>
      <c r="J8">
        <v>4.7000000000000002E-3</v>
      </c>
      <c r="K8">
        <v>4.7000000000000002E-3</v>
      </c>
      <c r="L8">
        <v>4.7000000000000002E-3</v>
      </c>
      <c r="M8">
        <v>4.7000000000000002E-3</v>
      </c>
      <c r="N8">
        <v>4.7000000000000002E-3</v>
      </c>
      <c r="O8">
        <v>4.7000000000000002E-3</v>
      </c>
      <c r="P8">
        <v>4.7000000000000002E-3</v>
      </c>
      <c r="Q8">
        <v>4.7000000000000002E-3</v>
      </c>
      <c r="R8">
        <v>4.7000000000000002E-3</v>
      </c>
      <c r="S8">
        <v>4.7000000000000002E-3</v>
      </c>
      <c r="T8">
        <v>4.7000000000000002E-3</v>
      </c>
      <c r="U8">
        <v>4.7000000000000002E-3</v>
      </c>
      <c r="V8">
        <v>4.7000000000000002E-3</v>
      </c>
      <c r="W8">
        <v>4.7000000000000002E-3</v>
      </c>
      <c r="X8">
        <v>4.7000000000000002E-3</v>
      </c>
      <c r="Y8">
        <v>4.7000000000000002E-3</v>
      </c>
    </row>
    <row r="9" spans="1:25" hidden="1">
      <c r="A9" t="s">
        <v>18799</v>
      </c>
      <c r="B9" t="s">
        <v>796</v>
      </c>
      <c r="C9" t="s">
        <v>729</v>
      </c>
      <c r="D9" t="s">
        <v>648</v>
      </c>
      <c r="E9" t="s">
        <v>642</v>
      </c>
      <c r="F9" t="s">
        <v>598</v>
      </c>
      <c r="G9" t="s">
        <v>478</v>
      </c>
      <c r="H9" t="s">
        <v>600</v>
      </c>
      <c r="I9" t="s">
        <v>601</v>
      </c>
      <c r="J9">
        <v>1E-4</v>
      </c>
      <c r="K9">
        <v>1E-4</v>
      </c>
      <c r="L9">
        <v>1E-4</v>
      </c>
      <c r="M9">
        <v>1E-4</v>
      </c>
      <c r="N9">
        <v>1E-4</v>
      </c>
      <c r="O9">
        <v>1E-4</v>
      </c>
      <c r="P9">
        <v>1E-4</v>
      </c>
      <c r="Q9">
        <v>1E-4</v>
      </c>
      <c r="R9">
        <v>1E-4</v>
      </c>
      <c r="S9">
        <v>1E-4</v>
      </c>
      <c r="T9">
        <v>1E-4</v>
      </c>
      <c r="U9">
        <v>1E-4</v>
      </c>
      <c r="V9">
        <v>1E-4</v>
      </c>
      <c r="W9">
        <v>1E-4</v>
      </c>
      <c r="X9">
        <v>1E-4</v>
      </c>
      <c r="Y9">
        <v>1E-4</v>
      </c>
    </row>
    <row r="10" spans="1:25" hidden="1">
      <c r="A10" t="s">
        <v>18799</v>
      </c>
      <c r="B10" t="s">
        <v>801</v>
      </c>
      <c r="C10" t="s">
        <v>729</v>
      </c>
      <c r="D10" t="s">
        <v>648</v>
      </c>
      <c r="E10" t="s">
        <v>619</v>
      </c>
      <c r="F10" t="s">
        <v>598</v>
      </c>
      <c r="G10" t="s">
        <v>478</v>
      </c>
      <c r="H10" t="s">
        <v>600</v>
      </c>
      <c r="I10" t="s">
        <v>601</v>
      </c>
      <c r="J10">
        <v>2.8E-3</v>
      </c>
      <c r="K10">
        <v>3.0999999999999999E-3</v>
      </c>
      <c r="L10">
        <v>3.0999999999999999E-3</v>
      </c>
      <c r="M10">
        <v>3.0999999999999999E-3</v>
      </c>
      <c r="N10">
        <v>3.0999999999999999E-3</v>
      </c>
      <c r="O10">
        <v>3.0999999999999999E-3</v>
      </c>
      <c r="P10">
        <v>3.0999999999999999E-3</v>
      </c>
      <c r="Q10">
        <v>3.0999999999999999E-3</v>
      </c>
      <c r="R10">
        <v>3.0999999999999999E-3</v>
      </c>
      <c r="S10">
        <v>3.0999999999999999E-3</v>
      </c>
      <c r="T10">
        <v>3.0999999999999999E-3</v>
      </c>
      <c r="U10">
        <v>3.0999999999999999E-3</v>
      </c>
      <c r="V10">
        <v>3.0999999999999999E-3</v>
      </c>
      <c r="W10">
        <v>2.8E-3</v>
      </c>
      <c r="X10">
        <v>2.8E-3</v>
      </c>
      <c r="Y10">
        <v>2.8E-3</v>
      </c>
    </row>
    <row r="11" spans="1:25" hidden="1">
      <c r="A11" t="s">
        <v>18799</v>
      </c>
      <c r="B11" t="s">
        <v>802</v>
      </c>
      <c r="C11" t="s">
        <v>729</v>
      </c>
      <c r="D11" t="s">
        <v>648</v>
      </c>
      <c r="E11" t="s">
        <v>676</v>
      </c>
      <c r="F11" t="s">
        <v>598</v>
      </c>
      <c r="G11" t="s">
        <v>478</v>
      </c>
      <c r="H11" t="s">
        <v>600</v>
      </c>
      <c r="I11" t="s">
        <v>601</v>
      </c>
      <c r="J11">
        <v>0.1389</v>
      </c>
      <c r="K11">
        <v>0.1389</v>
      </c>
      <c r="L11">
        <v>0.1389</v>
      </c>
      <c r="M11">
        <v>0.1389</v>
      </c>
      <c r="N11">
        <v>0.1389</v>
      </c>
      <c r="O11">
        <v>0.1389</v>
      </c>
      <c r="P11">
        <v>0.1389</v>
      </c>
      <c r="Q11">
        <v>0.1389</v>
      </c>
      <c r="R11">
        <v>0.1389</v>
      </c>
      <c r="S11">
        <v>0.1389</v>
      </c>
      <c r="T11">
        <v>0.1389</v>
      </c>
      <c r="U11">
        <v>0.1389</v>
      </c>
      <c r="V11">
        <v>0.1389</v>
      </c>
      <c r="W11">
        <v>0.1389</v>
      </c>
      <c r="X11">
        <v>0.1389</v>
      </c>
      <c r="Y11">
        <v>0.1389</v>
      </c>
    </row>
    <row r="12" spans="1:25" hidden="1">
      <c r="A12" t="s">
        <v>18799</v>
      </c>
      <c r="B12" t="s">
        <v>830</v>
      </c>
      <c r="C12" t="s">
        <v>804</v>
      </c>
      <c r="D12" t="s">
        <v>828</v>
      </c>
      <c r="E12" t="s">
        <v>628</v>
      </c>
      <c r="F12" t="s">
        <v>831</v>
      </c>
      <c r="G12" t="s">
        <v>478</v>
      </c>
      <c r="H12" t="s">
        <v>600</v>
      </c>
      <c r="I12" t="s">
        <v>601</v>
      </c>
      <c r="J12">
        <v>8.0699999999999994E-2</v>
      </c>
      <c r="K12">
        <v>4.1799999999999997E-2</v>
      </c>
      <c r="L12">
        <v>3.7100000000000001E-2</v>
      </c>
      <c r="M12">
        <v>3.5400000000000001E-2</v>
      </c>
      <c r="N12">
        <v>3.4799999999999998E-2</v>
      </c>
      <c r="O12">
        <v>3.4500000000000003E-2</v>
      </c>
      <c r="P12">
        <v>3.4099999999999998E-2</v>
      </c>
      <c r="Q12">
        <v>3.3500000000000002E-2</v>
      </c>
      <c r="R12">
        <v>3.3099999999999997E-2</v>
      </c>
      <c r="S12">
        <v>3.2199999999999999E-2</v>
      </c>
      <c r="T12">
        <v>3.15E-2</v>
      </c>
      <c r="U12">
        <v>3.09E-2</v>
      </c>
      <c r="V12">
        <v>2.9899999999999999E-2</v>
      </c>
      <c r="W12">
        <v>2.87E-2</v>
      </c>
      <c r="X12">
        <v>2.7400000000000001E-2</v>
      </c>
      <c r="Y12">
        <v>2.6100000000000002E-2</v>
      </c>
    </row>
    <row r="13" spans="1:25" hidden="1">
      <c r="A13" t="s">
        <v>18799</v>
      </c>
      <c r="B13" t="s">
        <v>832</v>
      </c>
      <c r="C13" t="s">
        <v>804</v>
      </c>
      <c r="D13" t="s">
        <v>828</v>
      </c>
      <c r="E13" t="s">
        <v>628</v>
      </c>
      <c r="F13" t="s">
        <v>833</v>
      </c>
      <c r="G13" t="s">
        <v>478</v>
      </c>
      <c r="H13" t="s">
        <v>600</v>
      </c>
      <c r="I13" t="s">
        <v>601</v>
      </c>
      <c r="J13">
        <v>6.2899999999999998E-2</v>
      </c>
      <c r="K13">
        <v>5.96E-2</v>
      </c>
      <c r="L13">
        <v>5.6300000000000003E-2</v>
      </c>
      <c r="M13">
        <v>5.2999999999999999E-2</v>
      </c>
      <c r="N13">
        <v>4.9799999999999997E-2</v>
      </c>
      <c r="O13">
        <v>4.6399999999999997E-2</v>
      </c>
      <c r="P13">
        <v>4.2799999999999998E-2</v>
      </c>
      <c r="Q13">
        <v>3.95E-2</v>
      </c>
      <c r="R13">
        <v>3.6299999999999999E-2</v>
      </c>
      <c r="S13">
        <v>3.3399999999999999E-2</v>
      </c>
      <c r="T13">
        <v>3.09E-2</v>
      </c>
      <c r="U13">
        <v>2.8500000000000001E-2</v>
      </c>
      <c r="V13">
        <v>2.63E-2</v>
      </c>
      <c r="W13">
        <v>2.4199999999999999E-2</v>
      </c>
      <c r="X13">
        <v>2.23E-2</v>
      </c>
      <c r="Y13">
        <v>2.06E-2</v>
      </c>
    </row>
    <row r="14" spans="1:25" hidden="1">
      <c r="A14" t="s">
        <v>18799</v>
      </c>
      <c r="B14" t="s">
        <v>844</v>
      </c>
      <c r="C14" t="s">
        <v>841</v>
      </c>
      <c r="D14" t="s">
        <v>596</v>
      </c>
      <c r="E14" t="s">
        <v>603</v>
      </c>
      <c r="F14" t="s">
        <v>598</v>
      </c>
      <c r="G14" t="s">
        <v>478</v>
      </c>
      <c r="H14" t="s">
        <v>600</v>
      </c>
      <c r="I14" t="s">
        <v>601</v>
      </c>
      <c r="J14">
        <v>1E-4</v>
      </c>
      <c r="K14">
        <v>1E-4</v>
      </c>
      <c r="L14">
        <v>1E-4</v>
      </c>
      <c r="M14">
        <v>1E-4</v>
      </c>
      <c r="N14">
        <v>1E-4</v>
      </c>
      <c r="O14">
        <v>1E-4</v>
      </c>
      <c r="P14">
        <v>1E-4</v>
      </c>
      <c r="Q14">
        <v>1E-4</v>
      </c>
      <c r="R14">
        <v>1E-4</v>
      </c>
      <c r="S14">
        <v>1E-4</v>
      </c>
      <c r="T14">
        <v>1E-4</v>
      </c>
      <c r="U14">
        <v>1E-4</v>
      </c>
      <c r="V14">
        <v>1E-4</v>
      </c>
      <c r="W14">
        <v>1E-4</v>
      </c>
      <c r="X14">
        <v>1E-4</v>
      </c>
      <c r="Y14">
        <v>1E-4</v>
      </c>
    </row>
    <row r="15" spans="1:25" hidden="1">
      <c r="A15" t="s">
        <v>18799</v>
      </c>
      <c r="B15" t="s">
        <v>853</v>
      </c>
      <c r="C15" t="s">
        <v>841</v>
      </c>
      <c r="D15" t="s">
        <v>596</v>
      </c>
      <c r="E15" t="s">
        <v>744</v>
      </c>
      <c r="F15" t="s">
        <v>598</v>
      </c>
      <c r="G15" t="s">
        <v>478</v>
      </c>
      <c r="H15" t="s">
        <v>600</v>
      </c>
      <c r="I15" t="s">
        <v>601</v>
      </c>
      <c r="J15">
        <v>9.9000000000000008E-3</v>
      </c>
      <c r="K15">
        <v>9.9000000000000008E-3</v>
      </c>
      <c r="L15">
        <v>9.9000000000000008E-3</v>
      </c>
      <c r="M15">
        <v>9.9000000000000008E-3</v>
      </c>
      <c r="N15">
        <v>9.9000000000000008E-3</v>
      </c>
      <c r="O15">
        <v>9.9000000000000008E-3</v>
      </c>
      <c r="P15">
        <v>9.9000000000000008E-3</v>
      </c>
      <c r="Q15">
        <v>9.9000000000000008E-3</v>
      </c>
      <c r="R15">
        <v>9.9000000000000008E-3</v>
      </c>
      <c r="S15">
        <v>9.9000000000000008E-3</v>
      </c>
      <c r="T15">
        <v>9.9000000000000008E-3</v>
      </c>
      <c r="U15">
        <v>9.9000000000000008E-3</v>
      </c>
      <c r="V15">
        <v>9.9000000000000008E-3</v>
      </c>
      <c r="W15">
        <v>9.9000000000000008E-3</v>
      </c>
      <c r="X15">
        <v>9.9000000000000008E-3</v>
      </c>
      <c r="Y15">
        <v>9.9000000000000008E-3</v>
      </c>
    </row>
    <row r="16" spans="1:25" hidden="1">
      <c r="A16" t="s">
        <v>18799</v>
      </c>
      <c r="B16" t="s">
        <v>876</v>
      </c>
      <c r="C16" t="s">
        <v>841</v>
      </c>
      <c r="D16" t="s">
        <v>621</v>
      </c>
      <c r="E16" t="s">
        <v>628</v>
      </c>
      <c r="F16" t="s">
        <v>598</v>
      </c>
      <c r="G16" t="s">
        <v>478</v>
      </c>
      <c r="H16" t="s">
        <v>600</v>
      </c>
      <c r="I16" t="s">
        <v>601</v>
      </c>
      <c r="J16">
        <v>7.5200000000000003E-2</v>
      </c>
      <c r="K16">
        <v>7.5200000000000003E-2</v>
      </c>
      <c r="L16">
        <v>7.5200000000000003E-2</v>
      </c>
      <c r="M16">
        <v>7.5200000000000003E-2</v>
      </c>
      <c r="N16">
        <v>7.5200000000000003E-2</v>
      </c>
      <c r="O16">
        <v>7.5200000000000003E-2</v>
      </c>
      <c r="P16">
        <v>7.5200000000000003E-2</v>
      </c>
      <c r="Q16">
        <v>5.0200000000000002E-2</v>
      </c>
      <c r="R16">
        <v>5.0200000000000002E-2</v>
      </c>
      <c r="S16">
        <v>5.0200000000000002E-2</v>
      </c>
      <c r="T16">
        <v>5.0200000000000002E-2</v>
      </c>
      <c r="U16">
        <v>5.0200000000000002E-2</v>
      </c>
      <c r="V16">
        <v>5.0200000000000002E-2</v>
      </c>
      <c r="W16">
        <v>5.0200000000000002E-2</v>
      </c>
      <c r="X16">
        <v>5.0200000000000002E-2</v>
      </c>
      <c r="Y16">
        <v>5.0200000000000002E-2</v>
      </c>
    </row>
    <row r="17" spans="1:25" hidden="1">
      <c r="A17" t="s">
        <v>18799</v>
      </c>
      <c r="B17" t="s">
        <v>885</v>
      </c>
      <c r="C17" t="s">
        <v>841</v>
      </c>
      <c r="D17" t="s">
        <v>632</v>
      </c>
      <c r="E17" t="s">
        <v>628</v>
      </c>
      <c r="F17" t="s">
        <v>598</v>
      </c>
      <c r="G17" t="s">
        <v>478</v>
      </c>
      <c r="H17" t="s">
        <v>600</v>
      </c>
      <c r="I17" t="s">
        <v>601</v>
      </c>
      <c r="J17">
        <v>6.4199999999999993E-2</v>
      </c>
      <c r="K17">
        <v>6.4199999999999993E-2</v>
      </c>
      <c r="L17">
        <v>6.4199999999999993E-2</v>
      </c>
      <c r="M17">
        <v>6.4199999999999993E-2</v>
      </c>
      <c r="N17">
        <v>6.4199999999999993E-2</v>
      </c>
      <c r="O17">
        <v>6.4199999999999993E-2</v>
      </c>
      <c r="P17">
        <v>6.4199999999999993E-2</v>
      </c>
      <c r="Q17">
        <v>6.4199999999999993E-2</v>
      </c>
      <c r="R17">
        <v>6.4199999999999993E-2</v>
      </c>
      <c r="S17">
        <v>6.4199999999999993E-2</v>
      </c>
      <c r="T17">
        <v>6.4199999999999993E-2</v>
      </c>
      <c r="U17">
        <v>6.4199999999999993E-2</v>
      </c>
      <c r="V17">
        <v>6.4199999999999993E-2</v>
      </c>
      <c r="W17">
        <v>6.4199999999999993E-2</v>
      </c>
      <c r="X17">
        <v>6.4199999999999993E-2</v>
      </c>
      <c r="Y17">
        <v>6.4199999999999993E-2</v>
      </c>
    </row>
    <row r="18" spans="1:25" hidden="1">
      <c r="A18" t="s">
        <v>18799</v>
      </c>
      <c r="B18" t="s">
        <v>912</v>
      </c>
      <c r="C18" t="s">
        <v>841</v>
      </c>
      <c r="D18" t="s">
        <v>648</v>
      </c>
      <c r="E18" t="s">
        <v>676</v>
      </c>
      <c r="F18" t="s">
        <v>598</v>
      </c>
      <c r="G18" t="s">
        <v>478</v>
      </c>
      <c r="H18" t="s">
        <v>600</v>
      </c>
      <c r="I18" t="s">
        <v>601</v>
      </c>
      <c r="J18">
        <v>1E-4</v>
      </c>
      <c r="K18">
        <v>1E-4</v>
      </c>
      <c r="L18">
        <v>1E-4</v>
      </c>
      <c r="M18">
        <v>1E-4</v>
      </c>
      <c r="N18">
        <v>1E-4</v>
      </c>
      <c r="O18">
        <v>1E-4</v>
      </c>
      <c r="P18">
        <v>1E-4</v>
      </c>
      <c r="Q18">
        <v>1E-4</v>
      </c>
      <c r="R18">
        <v>1E-4</v>
      </c>
      <c r="S18">
        <v>1E-4</v>
      </c>
      <c r="T18">
        <v>1E-4</v>
      </c>
      <c r="U18">
        <v>1E-4</v>
      </c>
      <c r="V18">
        <v>1E-4</v>
      </c>
      <c r="W18">
        <v>1E-4</v>
      </c>
      <c r="X18">
        <v>1E-4</v>
      </c>
      <c r="Y18">
        <v>1E-4</v>
      </c>
    </row>
    <row r="19" spans="1:25" hidden="1">
      <c r="A19" t="s">
        <v>18799</v>
      </c>
      <c r="B19" t="s">
        <v>916</v>
      </c>
      <c r="C19" t="s">
        <v>914</v>
      </c>
      <c r="D19" t="s">
        <v>621</v>
      </c>
      <c r="E19" t="s">
        <v>628</v>
      </c>
      <c r="F19" t="s">
        <v>598</v>
      </c>
      <c r="G19" t="s">
        <v>478</v>
      </c>
      <c r="H19" t="s">
        <v>600</v>
      </c>
      <c r="I19" t="s">
        <v>601</v>
      </c>
      <c r="J19">
        <v>1.0475999999999999E-2</v>
      </c>
      <c r="K19">
        <v>1.05536E-2</v>
      </c>
      <c r="L19">
        <v>1.05536E-2</v>
      </c>
      <c r="M19">
        <v>1.05536E-2</v>
      </c>
      <c r="N19">
        <v>1.06312E-2</v>
      </c>
      <c r="O19">
        <v>1.06312E-2</v>
      </c>
      <c r="P19">
        <v>1.0708799999999999E-2</v>
      </c>
      <c r="Q19">
        <v>1.0708799999999999E-2</v>
      </c>
      <c r="R19">
        <v>1.07864E-2</v>
      </c>
      <c r="S19">
        <v>1.07864E-2</v>
      </c>
      <c r="T19">
        <v>1.07864E-2</v>
      </c>
      <c r="U19">
        <v>1.0864E-2</v>
      </c>
      <c r="V19">
        <v>1.0864E-2</v>
      </c>
      <c r="W19">
        <v>1.0941599999999999E-2</v>
      </c>
      <c r="X19">
        <v>1.10192E-2</v>
      </c>
      <c r="Y19">
        <v>1.10192E-2</v>
      </c>
    </row>
    <row r="20" spans="1:25" hidden="1">
      <c r="A20" t="s">
        <v>18799</v>
      </c>
      <c r="B20" t="s">
        <v>919</v>
      </c>
      <c r="C20" t="s">
        <v>914</v>
      </c>
      <c r="D20" t="s">
        <v>648</v>
      </c>
      <c r="E20" t="s">
        <v>920</v>
      </c>
      <c r="F20" t="s">
        <v>598</v>
      </c>
      <c r="G20" t="s">
        <v>478</v>
      </c>
      <c r="H20" t="s">
        <v>600</v>
      </c>
      <c r="I20" t="s">
        <v>601</v>
      </c>
      <c r="J20">
        <v>5.0599999999999999E-2</v>
      </c>
      <c r="K20">
        <v>5.0999999999999997E-2</v>
      </c>
      <c r="L20">
        <v>5.1299999999999998E-2</v>
      </c>
      <c r="M20">
        <v>5.1499999999999997E-2</v>
      </c>
      <c r="N20">
        <v>5.1799999999999999E-2</v>
      </c>
      <c r="O20">
        <v>5.21E-2</v>
      </c>
      <c r="P20">
        <v>5.2400000000000002E-2</v>
      </c>
      <c r="Q20">
        <v>5.2600000000000001E-2</v>
      </c>
      <c r="R20">
        <v>5.28E-2</v>
      </c>
      <c r="S20">
        <v>5.3100000000000001E-2</v>
      </c>
      <c r="T20">
        <v>5.33E-2</v>
      </c>
      <c r="U20">
        <v>5.3699999999999998E-2</v>
      </c>
      <c r="V20">
        <v>5.3900000000000003E-2</v>
      </c>
      <c r="W20">
        <v>5.4199999999999998E-2</v>
      </c>
      <c r="X20">
        <v>5.4600000000000003E-2</v>
      </c>
      <c r="Y20">
        <v>5.4899999999999997E-2</v>
      </c>
    </row>
    <row r="21" spans="1:25" hidden="1">
      <c r="A21" t="s">
        <v>18799</v>
      </c>
      <c r="B21" t="s">
        <v>924</v>
      </c>
      <c r="C21" t="s">
        <v>925</v>
      </c>
      <c r="D21" t="s">
        <v>926</v>
      </c>
      <c r="E21" t="s">
        <v>927</v>
      </c>
      <c r="F21" t="s">
        <v>598</v>
      </c>
      <c r="G21" t="s">
        <v>478</v>
      </c>
      <c r="H21" t="s">
        <v>600</v>
      </c>
      <c r="I21" t="s">
        <v>601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hidden="1">
      <c r="A22" t="s">
        <v>18799</v>
      </c>
      <c r="B22" t="s">
        <v>947</v>
      </c>
      <c r="C22" t="s">
        <v>943</v>
      </c>
      <c r="D22" t="s">
        <v>946</v>
      </c>
      <c r="E22" t="s">
        <v>948</v>
      </c>
      <c r="F22" t="s">
        <v>598</v>
      </c>
      <c r="G22" t="s">
        <v>478</v>
      </c>
      <c r="H22" t="s">
        <v>600</v>
      </c>
      <c r="I22" t="s">
        <v>601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hidden="1">
      <c r="A23" t="s">
        <v>18799</v>
      </c>
      <c r="B23" t="s">
        <v>960</v>
      </c>
      <c r="C23" t="s">
        <v>956</v>
      </c>
      <c r="D23" t="s">
        <v>931</v>
      </c>
      <c r="E23" t="s">
        <v>961</v>
      </c>
      <c r="F23" t="s">
        <v>598</v>
      </c>
      <c r="G23" t="s">
        <v>478</v>
      </c>
      <c r="H23" t="s">
        <v>600</v>
      </c>
      <c r="I23" t="s">
        <v>601</v>
      </c>
      <c r="J23">
        <v>2E-3</v>
      </c>
      <c r="K23">
        <v>2E-3</v>
      </c>
      <c r="L23">
        <v>2E-3</v>
      </c>
      <c r="M23">
        <v>2E-3</v>
      </c>
      <c r="N23">
        <v>2E-3</v>
      </c>
      <c r="O23">
        <v>2E-3</v>
      </c>
      <c r="P23">
        <v>2.0999999999999999E-3</v>
      </c>
      <c r="Q23">
        <v>2.0999999999999999E-3</v>
      </c>
      <c r="R23">
        <v>2.0999999999999999E-3</v>
      </c>
      <c r="S23">
        <v>2.0999999999999999E-3</v>
      </c>
      <c r="T23">
        <v>2.0999999999999999E-3</v>
      </c>
      <c r="U23">
        <v>2.0999999999999999E-3</v>
      </c>
      <c r="V23">
        <v>2.0999999999999999E-3</v>
      </c>
      <c r="W23">
        <v>2.0999999999999999E-3</v>
      </c>
      <c r="X23">
        <v>2.0999999999999999E-3</v>
      </c>
      <c r="Y23">
        <v>2.0999999999999999E-3</v>
      </c>
    </row>
    <row r="24" spans="1:25" hidden="1">
      <c r="A24" t="s">
        <v>18799</v>
      </c>
      <c r="B24" t="s">
        <v>997</v>
      </c>
      <c r="C24" t="s">
        <v>998</v>
      </c>
      <c r="D24" t="s">
        <v>999</v>
      </c>
      <c r="E24" t="s">
        <v>1000</v>
      </c>
      <c r="F24" t="s">
        <v>598</v>
      </c>
      <c r="G24" t="s">
        <v>478</v>
      </c>
      <c r="H24" t="s">
        <v>600</v>
      </c>
      <c r="I24" t="s">
        <v>601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hidden="1">
      <c r="A25" t="s">
        <v>18799</v>
      </c>
      <c r="B25" t="s">
        <v>1009</v>
      </c>
      <c r="C25" t="s">
        <v>998</v>
      </c>
      <c r="D25" t="s">
        <v>999</v>
      </c>
      <c r="E25" t="s">
        <v>1010</v>
      </c>
      <c r="F25" t="s">
        <v>598</v>
      </c>
      <c r="G25" t="s">
        <v>478</v>
      </c>
      <c r="H25" t="s">
        <v>600</v>
      </c>
      <c r="I25" t="s">
        <v>601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hidden="1">
      <c r="A26" t="s">
        <v>18799</v>
      </c>
      <c r="B26" t="s">
        <v>1015</v>
      </c>
      <c r="C26" t="s">
        <v>1016</v>
      </c>
      <c r="D26" t="s">
        <v>1017</v>
      </c>
      <c r="E26" t="s">
        <v>1018</v>
      </c>
      <c r="F26" t="s">
        <v>598</v>
      </c>
      <c r="G26" t="s">
        <v>478</v>
      </c>
      <c r="H26" t="s">
        <v>600</v>
      </c>
      <c r="I26" t="s">
        <v>601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hidden="1">
      <c r="A27" t="s">
        <v>18799</v>
      </c>
      <c r="B27" t="s">
        <v>1029</v>
      </c>
      <c r="C27" t="s">
        <v>1016</v>
      </c>
      <c r="D27" t="s">
        <v>1017</v>
      </c>
      <c r="E27" t="s">
        <v>1030</v>
      </c>
      <c r="F27" t="s">
        <v>598</v>
      </c>
      <c r="G27" t="s">
        <v>478</v>
      </c>
      <c r="H27" t="s">
        <v>600</v>
      </c>
      <c r="I27" t="s">
        <v>601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hidden="1">
      <c r="A28" t="s">
        <v>18799</v>
      </c>
      <c r="B28" t="s">
        <v>1047</v>
      </c>
      <c r="C28" t="s">
        <v>1016</v>
      </c>
      <c r="D28" t="s">
        <v>1017</v>
      </c>
      <c r="E28" t="s">
        <v>1048</v>
      </c>
      <c r="F28" t="s">
        <v>598</v>
      </c>
      <c r="G28" t="s">
        <v>478</v>
      </c>
      <c r="H28" t="s">
        <v>600</v>
      </c>
      <c r="I28" t="s">
        <v>601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hidden="1">
      <c r="A29" t="s">
        <v>18799</v>
      </c>
      <c r="B29" t="s">
        <v>1059</v>
      </c>
      <c r="C29" t="s">
        <v>1016</v>
      </c>
      <c r="D29" t="s">
        <v>1050</v>
      </c>
      <c r="E29" t="s">
        <v>1042</v>
      </c>
      <c r="F29" t="s">
        <v>598</v>
      </c>
      <c r="G29" t="s">
        <v>478</v>
      </c>
      <c r="H29" t="s">
        <v>600</v>
      </c>
      <c r="I29" t="s">
        <v>601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hidden="1">
      <c r="A30" t="s">
        <v>18799</v>
      </c>
      <c r="B30" t="s">
        <v>1062</v>
      </c>
      <c r="C30" t="s">
        <v>1016</v>
      </c>
      <c r="D30" t="s">
        <v>1063</v>
      </c>
      <c r="E30" t="s">
        <v>1018</v>
      </c>
      <c r="F30" t="s">
        <v>598</v>
      </c>
      <c r="G30" t="s">
        <v>478</v>
      </c>
      <c r="H30" t="s">
        <v>600</v>
      </c>
      <c r="I30" t="s">
        <v>601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hidden="1">
      <c r="A31" t="s">
        <v>18799</v>
      </c>
      <c r="B31" t="s">
        <v>1068</v>
      </c>
      <c r="C31" t="s">
        <v>1016</v>
      </c>
      <c r="D31" t="s">
        <v>1063</v>
      </c>
      <c r="E31" t="s">
        <v>1030</v>
      </c>
      <c r="F31" t="s">
        <v>598</v>
      </c>
      <c r="G31" t="s">
        <v>478</v>
      </c>
      <c r="H31" t="s">
        <v>600</v>
      </c>
      <c r="I31" t="s">
        <v>601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hidden="1">
      <c r="A32" t="s">
        <v>18799</v>
      </c>
      <c r="B32" t="s">
        <v>1073</v>
      </c>
      <c r="C32" t="s">
        <v>1016</v>
      </c>
      <c r="D32" t="s">
        <v>1063</v>
      </c>
      <c r="E32" t="s">
        <v>1042</v>
      </c>
      <c r="F32" t="s">
        <v>598</v>
      </c>
      <c r="G32" t="s">
        <v>478</v>
      </c>
      <c r="H32" t="s">
        <v>600</v>
      </c>
      <c r="I32" t="s">
        <v>601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hidden="1">
      <c r="A33" t="s">
        <v>18799</v>
      </c>
      <c r="B33" t="s">
        <v>1076</v>
      </c>
      <c r="C33" t="s">
        <v>1016</v>
      </c>
      <c r="D33" t="s">
        <v>1063</v>
      </c>
      <c r="E33" t="s">
        <v>1048</v>
      </c>
      <c r="F33" t="s">
        <v>598</v>
      </c>
      <c r="G33" t="s">
        <v>478</v>
      </c>
      <c r="H33" t="s">
        <v>600</v>
      </c>
      <c r="I33" t="s">
        <v>601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hidden="1">
      <c r="A34" t="s">
        <v>18799</v>
      </c>
      <c r="B34" t="s">
        <v>1087</v>
      </c>
      <c r="C34" t="s">
        <v>1079</v>
      </c>
      <c r="D34" t="s">
        <v>1086</v>
      </c>
      <c r="E34" t="s">
        <v>1081</v>
      </c>
      <c r="F34" t="s">
        <v>598</v>
      </c>
      <c r="G34" t="s">
        <v>478</v>
      </c>
      <c r="H34" t="s">
        <v>600</v>
      </c>
      <c r="I34" t="s">
        <v>601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hidden="1">
      <c r="A35" t="s">
        <v>18799</v>
      </c>
      <c r="B35" t="s">
        <v>1256</v>
      </c>
      <c r="C35" t="s">
        <v>1253</v>
      </c>
      <c r="D35" t="s">
        <v>1254</v>
      </c>
      <c r="E35" t="s">
        <v>1257</v>
      </c>
      <c r="F35" t="s">
        <v>598</v>
      </c>
      <c r="G35" t="s">
        <v>478</v>
      </c>
      <c r="H35" t="s">
        <v>600</v>
      </c>
      <c r="I35" t="s">
        <v>601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hidden="1">
      <c r="A36" t="s">
        <v>18799</v>
      </c>
      <c r="B36" t="s">
        <v>1258</v>
      </c>
      <c r="C36" t="s">
        <v>1253</v>
      </c>
      <c r="D36" t="s">
        <v>1254</v>
      </c>
      <c r="E36" t="s">
        <v>1259</v>
      </c>
      <c r="F36" t="s">
        <v>598</v>
      </c>
      <c r="G36" t="s">
        <v>478</v>
      </c>
      <c r="H36" t="s">
        <v>600</v>
      </c>
      <c r="I36" t="s">
        <v>601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hidden="1">
      <c r="A37" t="s">
        <v>18799</v>
      </c>
      <c r="B37" t="s">
        <v>1410</v>
      </c>
      <c r="C37" t="s">
        <v>1382</v>
      </c>
      <c r="D37" t="s">
        <v>1320</v>
      </c>
      <c r="E37" t="s">
        <v>1402</v>
      </c>
      <c r="F37" t="s">
        <v>598</v>
      </c>
      <c r="G37" t="s">
        <v>478</v>
      </c>
      <c r="H37" t="s">
        <v>600</v>
      </c>
      <c r="I37" t="s">
        <v>601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hidden="1">
      <c r="A38" t="s">
        <v>18799</v>
      </c>
      <c r="B38" t="s">
        <v>1566</v>
      </c>
      <c r="C38" t="s">
        <v>1472</v>
      </c>
      <c r="D38" t="s">
        <v>1567</v>
      </c>
      <c r="E38" t="s">
        <v>626</v>
      </c>
      <c r="F38" t="s">
        <v>598</v>
      </c>
      <c r="G38" t="s">
        <v>478</v>
      </c>
      <c r="H38" t="s">
        <v>600</v>
      </c>
      <c r="I38" t="s">
        <v>601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hidden="1">
      <c r="A39" t="s">
        <v>18799</v>
      </c>
      <c r="B39" t="s">
        <v>1568</v>
      </c>
      <c r="C39" t="s">
        <v>1472</v>
      </c>
      <c r="D39" t="s">
        <v>1569</v>
      </c>
      <c r="E39" t="s">
        <v>626</v>
      </c>
      <c r="F39" t="s">
        <v>598</v>
      </c>
      <c r="G39" t="s">
        <v>478</v>
      </c>
      <c r="H39" t="s">
        <v>600</v>
      </c>
      <c r="I39" t="s">
        <v>601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hidden="1">
      <c r="A40" t="s">
        <v>18799</v>
      </c>
      <c r="B40" t="s">
        <v>1570</v>
      </c>
      <c r="C40" t="s">
        <v>1472</v>
      </c>
      <c r="D40" t="s">
        <v>1571</v>
      </c>
      <c r="E40" t="s">
        <v>626</v>
      </c>
      <c r="F40" t="s">
        <v>598</v>
      </c>
      <c r="G40" t="s">
        <v>478</v>
      </c>
      <c r="H40" t="s">
        <v>600</v>
      </c>
      <c r="I40" t="s">
        <v>601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hidden="1">
      <c r="A41" t="s">
        <v>18799</v>
      </c>
      <c r="B41" t="s">
        <v>1573</v>
      </c>
      <c r="C41" t="s">
        <v>1472</v>
      </c>
      <c r="D41" t="s">
        <v>1574</v>
      </c>
      <c r="E41" t="s">
        <v>626</v>
      </c>
      <c r="F41" t="s">
        <v>598</v>
      </c>
      <c r="G41" t="s">
        <v>478</v>
      </c>
      <c r="H41" t="s">
        <v>600</v>
      </c>
      <c r="I41" t="s">
        <v>601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hidden="1">
      <c r="A42" t="s">
        <v>18799</v>
      </c>
      <c r="B42" t="s">
        <v>1575</v>
      </c>
      <c r="C42" t="s">
        <v>1472</v>
      </c>
      <c r="D42" t="s">
        <v>1576</v>
      </c>
      <c r="E42" t="s">
        <v>626</v>
      </c>
      <c r="F42" t="s">
        <v>598</v>
      </c>
      <c r="G42" t="s">
        <v>478</v>
      </c>
      <c r="H42" t="s">
        <v>600</v>
      </c>
      <c r="I42" t="s">
        <v>601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hidden="1">
      <c r="A43" t="s">
        <v>18799</v>
      </c>
      <c r="B43" t="s">
        <v>1577</v>
      </c>
      <c r="C43" t="s">
        <v>1472</v>
      </c>
      <c r="D43" t="s">
        <v>1578</v>
      </c>
      <c r="E43" t="s">
        <v>626</v>
      </c>
      <c r="F43" t="s">
        <v>598</v>
      </c>
      <c r="G43" t="s">
        <v>478</v>
      </c>
      <c r="H43" t="s">
        <v>600</v>
      </c>
      <c r="I43" t="s">
        <v>601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18799</v>
      </c>
      <c r="B44" t="s">
        <v>1582</v>
      </c>
      <c r="C44" t="s">
        <v>1472</v>
      </c>
      <c r="D44" t="s">
        <v>1583</v>
      </c>
      <c r="E44" t="s">
        <v>626</v>
      </c>
      <c r="F44" t="s">
        <v>598</v>
      </c>
      <c r="G44" t="s">
        <v>478</v>
      </c>
      <c r="H44" t="s">
        <v>600</v>
      </c>
      <c r="I44" t="s">
        <v>601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hidden="1">
      <c r="A45" t="s">
        <v>18799</v>
      </c>
      <c r="B45" t="s">
        <v>1590</v>
      </c>
      <c r="C45" t="s">
        <v>1472</v>
      </c>
      <c r="D45" t="s">
        <v>1365</v>
      </c>
      <c r="E45" t="s">
        <v>626</v>
      </c>
      <c r="F45" t="s">
        <v>598</v>
      </c>
      <c r="G45" t="s">
        <v>478</v>
      </c>
      <c r="H45" t="s">
        <v>600</v>
      </c>
      <c r="I45" t="s">
        <v>601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hidden="1">
      <c r="A46" t="s">
        <v>18799</v>
      </c>
      <c r="B46" t="s">
        <v>1600</v>
      </c>
      <c r="C46" t="s">
        <v>1472</v>
      </c>
      <c r="D46" t="s">
        <v>1601</v>
      </c>
      <c r="E46" t="s">
        <v>626</v>
      </c>
      <c r="F46" t="s">
        <v>598</v>
      </c>
      <c r="G46" t="s">
        <v>478</v>
      </c>
      <c r="H46" t="s">
        <v>600</v>
      </c>
      <c r="I46" t="s">
        <v>601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hidden="1">
      <c r="A47" t="s">
        <v>18799</v>
      </c>
      <c r="B47" t="s">
        <v>1602</v>
      </c>
      <c r="C47" t="s">
        <v>1472</v>
      </c>
      <c r="D47" t="s">
        <v>1603</v>
      </c>
      <c r="E47" t="s">
        <v>626</v>
      </c>
      <c r="F47" t="s">
        <v>598</v>
      </c>
      <c r="G47" t="s">
        <v>478</v>
      </c>
      <c r="H47" t="s">
        <v>600</v>
      </c>
      <c r="I47" t="s">
        <v>601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hidden="1">
      <c r="A48" t="s">
        <v>18799</v>
      </c>
      <c r="B48" t="s">
        <v>1604</v>
      </c>
      <c r="C48" t="s">
        <v>1472</v>
      </c>
      <c r="D48" t="s">
        <v>1605</v>
      </c>
      <c r="E48" t="s">
        <v>626</v>
      </c>
      <c r="F48" t="s">
        <v>598</v>
      </c>
      <c r="G48" t="s">
        <v>478</v>
      </c>
      <c r="H48" t="s">
        <v>600</v>
      </c>
      <c r="I48" t="s">
        <v>601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hidden="1">
      <c r="A49" t="s">
        <v>18799</v>
      </c>
      <c r="B49" t="s">
        <v>1964</v>
      </c>
      <c r="C49" t="s">
        <v>1959</v>
      </c>
      <c r="D49" t="s">
        <v>1965</v>
      </c>
      <c r="E49" t="s">
        <v>1966</v>
      </c>
      <c r="F49" t="s">
        <v>598</v>
      </c>
      <c r="G49" t="s">
        <v>478</v>
      </c>
      <c r="H49" t="s">
        <v>600</v>
      </c>
      <c r="I49" t="s">
        <v>601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hidden="1">
      <c r="A50" t="s">
        <v>18799</v>
      </c>
      <c r="B50" t="s">
        <v>1967</v>
      </c>
      <c r="C50" t="s">
        <v>1959</v>
      </c>
      <c r="D50" t="s">
        <v>1968</v>
      </c>
      <c r="E50" t="s">
        <v>1962</v>
      </c>
      <c r="F50" t="s">
        <v>598</v>
      </c>
      <c r="G50" t="s">
        <v>478</v>
      </c>
      <c r="H50" t="s">
        <v>600</v>
      </c>
      <c r="I50" t="s">
        <v>601</v>
      </c>
      <c r="J50">
        <v>4.4600000000000001E-2</v>
      </c>
      <c r="K50">
        <v>4.4900000000000002E-2</v>
      </c>
      <c r="L50">
        <v>4.4900000000000002E-2</v>
      </c>
      <c r="M50">
        <v>4.53E-2</v>
      </c>
      <c r="N50">
        <v>4.5600000000000002E-2</v>
      </c>
      <c r="O50">
        <v>4.5600000000000002E-2</v>
      </c>
      <c r="P50">
        <v>5.9200000000000003E-2</v>
      </c>
      <c r="Q50">
        <v>5.9200000000000003E-2</v>
      </c>
      <c r="R50">
        <v>5.9499999999999997E-2</v>
      </c>
      <c r="S50">
        <v>5.9499999999999997E-2</v>
      </c>
      <c r="T50">
        <v>5.9499999999999997E-2</v>
      </c>
      <c r="U50">
        <v>5.9900000000000002E-2</v>
      </c>
      <c r="V50">
        <v>6.0199999999999997E-2</v>
      </c>
      <c r="W50">
        <v>6.0199999999999997E-2</v>
      </c>
      <c r="X50">
        <v>6.0600000000000001E-2</v>
      </c>
      <c r="Y50">
        <v>6.0900000000000003E-2</v>
      </c>
    </row>
    <row r="51" spans="1:25" hidden="1">
      <c r="A51" t="s">
        <v>18799</v>
      </c>
      <c r="B51" t="s">
        <v>1977</v>
      </c>
      <c r="C51" t="s">
        <v>1959</v>
      </c>
      <c r="D51" t="s">
        <v>1972</v>
      </c>
      <c r="E51" t="s">
        <v>1966</v>
      </c>
      <c r="F51" t="s">
        <v>598</v>
      </c>
      <c r="G51" t="s">
        <v>478</v>
      </c>
      <c r="H51" t="s">
        <v>600</v>
      </c>
      <c r="I51" t="s">
        <v>601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hidden="1">
      <c r="A52" t="s">
        <v>18799</v>
      </c>
      <c r="B52" t="s">
        <v>1978</v>
      </c>
      <c r="C52" t="s">
        <v>1959</v>
      </c>
      <c r="D52" t="s">
        <v>1972</v>
      </c>
      <c r="E52" t="s">
        <v>1979</v>
      </c>
      <c r="F52" t="s">
        <v>598</v>
      </c>
      <c r="G52" t="s">
        <v>478</v>
      </c>
      <c r="H52" t="s">
        <v>600</v>
      </c>
      <c r="I52" t="s">
        <v>601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hidden="1">
      <c r="A53" t="s">
        <v>18799</v>
      </c>
      <c r="B53" t="s">
        <v>2005</v>
      </c>
      <c r="C53" t="s">
        <v>1959</v>
      </c>
      <c r="D53" t="s">
        <v>2001</v>
      </c>
      <c r="E53" t="s">
        <v>1976</v>
      </c>
      <c r="F53" t="s">
        <v>598</v>
      </c>
      <c r="G53" t="s">
        <v>478</v>
      </c>
      <c r="H53" t="s">
        <v>600</v>
      </c>
      <c r="I53" t="s">
        <v>601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hidden="1">
      <c r="A54" t="s">
        <v>18799</v>
      </c>
      <c r="B54" t="s">
        <v>2014</v>
      </c>
      <c r="C54" t="s">
        <v>1959</v>
      </c>
      <c r="D54" t="s">
        <v>2012</v>
      </c>
      <c r="E54" t="s">
        <v>1970</v>
      </c>
      <c r="F54" t="s">
        <v>598</v>
      </c>
      <c r="G54" t="s">
        <v>478</v>
      </c>
      <c r="H54" t="s">
        <v>600</v>
      </c>
      <c r="I54" t="s">
        <v>601</v>
      </c>
      <c r="J54">
        <v>3.8E-3</v>
      </c>
      <c r="K54">
        <v>3.8E-3</v>
      </c>
      <c r="L54">
        <v>3.8E-3</v>
      </c>
      <c r="M54">
        <v>3.8E-3</v>
      </c>
      <c r="N54">
        <v>3.8E-3</v>
      </c>
      <c r="O54">
        <v>3.8E-3</v>
      </c>
      <c r="P54">
        <v>5.7999999999999996E-3</v>
      </c>
      <c r="Q54">
        <v>5.7999999999999996E-3</v>
      </c>
      <c r="R54">
        <v>5.7999999999999996E-3</v>
      </c>
      <c r="S54">
        <v>5.7999999999999996E-3</v>
      </c>
      <c r="T54">
        <v>5.7999999999999996E-3</v>
      </c>
      <c r="U54">
        <v>5.7999999999999996E-3</v>
      </c>
      <c r="V54">
        <v>5.7999999999999996E-3</v>
      </c>
      <c r="W54">
        <v>5.7999999999999996E-3</v>
      </c>
      <c r="X54">
        <v>5.7999999999999996E-3</v>
      </c>
      <c r="Y54">
        <v>5.7999999999999996E-3</v>
      </c>
    </row>
    <row r="55" spans="1:25" hidden="1">
      <c r="A55" t="s">
        <v>18799</v>
      </c>
      <c r="B55" t="s">
        <v>2023</v>
      </c>
      <c r="C55" t="s">
        <v>1959</v>
      </c>
      <c r="D55" t="s">
        <v>1817</v>
      </c>
      <c r="E55" t="s">
        <v>1970</v>
      </c>
      <c r="F55" t="s">
        <v>598</v>
      </c>
      <c r="G55" t="s">
        <v>478</v>
      </c>
      <c r="H55" t="s">
        <v>600</v>
      </c>
      <c r="I55" t="s">
        <v>601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hidden="1">
      <c r="A56" t="s">
        <v>18799</v>
      </c>
      <c r="B56" t="s">
        <v>2024</v>
      </c>
      <c r="C56" t="s">
        <v>1959</v>
      </c>
      <c r="D56" t="s">
        <v>1817</v>
      </c>
      <c r="E56" t="s">
        <v>2025</v>
      </c>
      <c r="F56" t="s">
        <v>598</v>
      </c>
      <c r="G56" t="s">
        <v>478</v>
      </c>
      <c r="H56" t="s">
        <v>600</v>
      </c>
      <c r="I56" t="s">
        <v>601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hidden="1">
      <c r="A57" t="s">
        <v>18799</v>
      </c>
      <c r="B57" t="s">
        <v>2026</v>
      </c>
      <c r="C57" t="s">
        <v>1959</v>
      </c>
      <c r="D57" t="s">
        <v>1817</v>
      </c>
      <c r="E57" t="s">
        <v>2027</v>
      </c>
      <c r="F57" t="s">
        <v>598</v>
      </c>
      <c r="G57" t="s">
        <v>478</v>
      </c>
      <c r="H57" t="s">
        <v>600</v>
      </c>
      <c r="I57" t="s">
        <v>601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hidden="1">
      <c r="A58" t="s">
        <v>18799</v>
      </c>
      <c r="B58" t="s">
        <v>2028</v>
      </c>
      <c r="C58" t="s">
        <v>1959</v>
      </c>
      <c r="D58" t="s">
        <v>1817</v>
      </c>
      <c r="E58" t="s">
        <v>1966</v>
      </c>
      <c r="F58" t="s">
        <v>598</v>
      </c>
      <c r="G58" t="s">
        <v>478</v>
      </c>
      <c r="H58" t="s">
        <v>600</v>
      </c>
      <c r="I58" t="s">
        <v>601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hidden="1">
      <c r="A59" t="s">
        <v>18799</v>
      </c>
      <c r="B59" t="s">
        <v>2039</v>
      </c>
      <c r="C59" t="s">
        <v>1959</v>
      </c>
      <c r="D59" t="s">
        <v>648</v>
      </c>
      <c r="E59" t="s">
        <v>1378</v>
      </c>
      <c r="F59" t="s">
        <v>598</v>
      </c>
      <c r="G59" t="s">
        <v>478</v>
      </c>
      <c r="H59" t="s">
        <v>600</v>
      </c>
      <c r="I59" t="s">
        <v>601</v>
      </c>
      <c r="J59">
        <v>4.4000000000000003E-3</v>
      </c>
      <c r="K59">
        <v>4.4999999999999997E-3</v>
      </c>
      <c r="L59">
        <v>4.4999999999999997E-3</v>
      </c>
      <c r="M59">
        <v>4.4999999999999997E-3</v>
      </c>
      <c r="N59">
        <v>4.5999999999999999E-3</v>
      </c>
      <c r="O59">
        <v>4.5999999999999999E-3</v>
      </c>
      <c r="P59">
        <v>5.4000000000000003E-3</v>
      </c>
      <c r="Q59">
        <v>5.4000000000000003E-3</v>
      </c>
      <c r="R59">
        <v>5.4000000000000003E-3</v>
      </c>
      <c r="S59">
        <v>5.4000000000000003E-3</v>
      </c>
      <c r="T59">
        <v>5.4000000000000003E-3</v>
      </c>
      <c r="U59">
        <v>5.4999999999999997E-3</v>
      </c>
      <c r="V59">
        <v>5.5999999999999999E-3</v>
      </c>
      <c r="W59">
        <v>5.5999999999999999E-3</v>
      </c>
      <c r="X59">
        <v>5.5999999999999999E-3</v>
      </c>
      <c r="Y59">
        <v>5.7000000000000002E-3</v>
      </c>
    </row>
    <row r="60" spans="1:25" hidden="1">
      <c r="A60" t="s">
        <v>18799</v>
      </c>
      <c r="B60" t="s">
        <v>2044</v>
      </c>
      <c r="C60" t="s">
        <v>1959</v>
      </c>
      <c r="D60" t="s">
        <v>648</v>
      </c>
      <c r="E60" t="s">
        <v>2045</v>
      </c>
      <c r="F60" t="s">
        <v>598</v>
      </c>
      <c r="G60" t="s">
        <v>478</v>
      </c>
      <c r="H60" t="s">
        <v>600</v>
      </c>
      <c r="I60" t="s">
        <v>601</v>
      </c>
      <c r="J60">
        <v>2.7000000000000001E-3</v>
      </c>
      <c r="K60">
        <v>2.7000000000000001E-3</v>
      </c>
      <c r="L60">
        <v>2.7000000000000001E-3</v>
      </c>
      <c r="M60">
        <v>2.7000000000000001E-3</v>
      </c>
      <c r="N60">
        <v>2.7000000000000001E-3</v>
      </c>
      <c r="O60">
        <v>2.7000000000000001E-3</v>
      </c>
      <c r="P60">
        <v>4.1000000000000003E-3</v>
      </c>
      <c r="Q60">
        <v>4.1000000000000003E-3</v>
      </c>
      <c r="R60">
        <v>4.1000000000000003E-3</v>
      </c>
      <c r="S60">
        <v>4.1000000000000003E-3</v>
      </c>
      <c r="T60">
        <v>4.1000000000000003E-3</v>
      </c>
      <c r="U60">
        <v>4.1000000000000003E-3</v>
      </c>
      <c r="V60">
        <v>4.1000000000000003E-3</v>
      </c>
      <c r="W60">
        <v>4.1000000000000003E-3</v>
      </c>
      <c r="X60">
        <v>4.1000000000000003E-3</v>
      </c>
      <c r="Y60">
        <v>4.1000000000000003E-3</v>
      </c>
    </row>
    <row r="61" spans="1:25" hidden="1">
      <c r="A61" t="s">
        <v>18799</v>
      </c>
      <c r="B61" t="s">
        <v>2058</v>
      </c>
      <c r="C61" t="s">
        <v>1959</v>
      </c>
      <c r="D61" t="s">
        <v>648</v>
      </c>
      <c r="E61" t="s">
        <v>2025</v>
      </c>
      <c r="F61" t="s">
        <v>598</v>
      </c>
      <c r="G61" t="s">
        <v>478</v>
      </c>
      <c r="H61" t="s">
        <v>600</v>
      </c>
      <c r="I61" t="s">
        <v>601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hidden="1">
      <c r="A62" t="s">
        <v>18799</v>
      </c>
      <c r="B62" t="s">
        <v>2063</v>
      </c>
      <c r="C62" t="s">
        <v>1959</v>
      </c>
      <c r="D62" t="s">
        <v>648</v>
      </c>
      <c r="E62" t="s">
        <v>2064</v>
      </c>
      <c r="F62" t="s">
        <v>598</v>
      </c>
      <c r="G62" t="s">
        <v>478</v>
      </c>
      <c r="H62" t="s">
        <v>600</v>
      </c>
      <c r="I62" t="s">
        <v>601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1:25" hidden="1">
      <c r="A63" t="s">
        <v>18799</v>
      </c>
      <c r="B63" t="s">
        <v>2067</v>
      </c>
      <c r="C63" t="s">
        <v>1959</v>
      </c>
      <c r="D63" t="s">
        <v>648</v>
      </c>
      <c r="E63" t="s">
        <v>2027</v>
      </c>
      <c r="F63" t="s">
        <v>598</v>
      </c>
      <c r="G63" t="s">
        <v>478</v>
      </c>
      <c r="H63" t="s">
        <v>600</v>
      </c>
      <c r="I63" t="s">
        <v>601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</row>
    <row r="64" spans="1:25" hidden="1">
      <c r="A64" t="s">
        <v>18799</v>
      </c>
      <c r="B64" t="s">
        <v>2073</v>
      </c>
      <c r="C64" t="s">
        <v>1959</v>
      </c>
      <c r="D64" t="s">
        <v>648</v>
      </c>
      <c r="E64" t="s">
        <v>1979</v>
      </c>
      <c r="F64" t="s">
        <v>598</v>
      </c>
      <c r="G64" t="s">
        <v>478</v>
      </c>
      <c r="H64" t="s">
        <v>600</v>
      </c>
      <c r="I64" t="s">
        <v>601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hidden="1">
      <c r="A65" t="s">
        <v>18799</v>
      </c>
      <c r="B65" t="s">
        <v>2108</v>
      </c>
      <c r="C65" t="s">
        <v>2075</v>
      </c>
      <c r="D65" t="s">
        <v>648</v>
      </c>
      <c r="E65" t="s">
        <v>2083</v>
      </c>
      <c r="F65" t="s">
        <v>598</v>
      </c>
      <c r="G65" t="s">
        <v>478</v>
      </c>
      <c r="H65" t="s">
        <v>600</v>
      </c>
      <c r="I65" t="s">
        <v>601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hidden="1">
      <c r="A66" t="s">
        <v>18799</v>
      </c>
      <c r="B66" t="s">
        <v>2172</v>
      </c>
      <c r="C66" t="s">
        <v>2154</v>
      </c>
      <c r="D66" t="s">
        <v>1435</v>
      </c>
      <c r="E66" t="s">
        <v>973</v>
      </c>
      <c r="F66" t="s">
        <v>598</v>
      </c>
      <c r="G66" t="s">
        <v>478</v>
      </c>
      <c r="H66" t="s">
        <v>600</v>
      </c>
      <c r="I66" t="s">
        <v>601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18799</v>
      </c>
      <c r="B67" t="s">
        <v>2188</v>
      </c>
      <c r="C67" t="s">
        <v>2154</v>
      </c>
      <c r="D67" t="s">
        <v>648</v>
      </c>
      <c r="E67" t="s">
        <v>973</v>
      </c>
      <c r="F67" t="s">
        <v>598</v>
      </c>
      <c r="G67" t="s">
        <v>478</v>
      </c>
      <c r="H67" t="s">
        <v>600</v>
      </c>
      <c r="I67" t="s">
        <v>601</v>
      </c>
      <c r="J67">
        <v>2.9999999999999997E-4</v>
      </c>
      <c r="K67">
        <v>2.9999999999999997E-4</v>
      </c>
      <c r="L67">
        <v>2.9999999999999997E-4</v>
      </c>
      <c r="M67">
        <v>2.9999999999999997E-4</v>
      </c>
      <c r="N67">
        <v>2.9999999999999997E-4</v>
      </c>
      <c r="O67">
        <v>2.9999999999999997E-4</v>
      </c>
      <c r="P67">
        <v>2.9999999999999997E-4</v>
      </c>
      <c r="Q67">
        <v>2.9999999999999997E-4</v>
      </c>
      <c r="R67">
        <v>2.9999999999999997E-4</v>
      </c>
      <c r="S67">
        <v>2.9999999999999997E-4</v>
      </c>
      <c r="T67">
        <v>2.9999999999999997E-4</v>
      </c>
      <c r="U67">
        <v>2.9999999999999997E-4</v>
      </c>
      <c r="V67">
        <v>2.9999999999999997E-4</v>
      </c>
      <c r="W67">
        <v>2.9999999999999997E-4</v>
      </c>
      <c r="X67">
        <v>2.9999999999999997E-4</v>
      </c>
      <c r="Y67">
        <v>2.9999999999999997E-4</v>
      </c>
    </row>
    <row r="68" spans="1:25">
      <c r="J68">
        <f t="shared" ref="J68:Y68" si="0">SUBTOTAL(109,J2:J67)</f>
        <v>9.6199999999999994E-2</v>
      </c>
      <c r="K68">
        <f t="shared" si="0"/>
        <v>9.6199999999999994E-2</v>
      </c>
      <c r="L68">
        <f t="shared" si="0"/>
        <v>9.6199999999999994E-2</v>
      </c>
      <c r="M68">
        <f t="shared" si="0"/>
        <v>9.6199999999999994E-2</v>
      </c>
      <c r="N68">
        <f t="shared" si="0"/>
        <v>9.6199999999999994E-2</v>
      </c>
      <c r="O68">
        <f t="shared" si="0"/>
        <v>9.6199999999999994E-2</v>
      </c>
      <c r="P68">
        <f t="shared" si="0"/>
        <v>9.6199999999999994E-2</v>
      </c>
      <c r="Q68">
        <f t="shared" si="0"/>
        <v>9.6199999999999994E-2</v>
      </c>
      <c r="R68">
        <f t="shared" si="0"/>
        <v>9.6199999999999994E-2</v>
      </c>
      <c r="S68">
        <f t="shared" si="0"/>
        <v>9.6199999999999994E-2</v>
      </c>
      <c r="T68">
        <f t="shared" si="0"/>
        <v>9.6199999999999994E-2</v>
      </c>
      <c r="U68">
        <f t="shared" si="0"/>
        <v>9.6199999999999994E-2</v>
      </c>
      <c r="V68">
        <f t="shared" si="0"/>
        <v>9.6199999999999994E-2</v>
      </c>
      <c r="W68">
        <f t="shared" si="0"/>
        <v>9.6199999999999994E-2</v>
      </c>
      <c r="X68">
        <f t="shared" si="0"/>
        <v>9.6199999999999994E-2</v>
      </c>
      <c r="Y68">
        <f t="shared" si="0"/>
        <v>9.6199999999999994E-2</v>
      </c>
    </row>
    <row r="70" spans="1:25">
      <c r="A70" t="s">
        <v>569</v>
      </c>
      <c r="B70" t="s">
        <v>570</v>
      </c>
      <c r="C70" t="s">
        <v>571</v>
      </c>
      <c r="D70" t="s">
        <v>572</v>
      </c>
      <c r="E70" t="s">
        <v>573</v>
      </c>
      <c r="F70" t="s">
        <v>574</v>
      </c>
      <c r="G70" t="s">
        <v>575</v>
      </c>
      <c r="H70" t="s">
        <v>576</v>
      </c>
      <c r="I70" t="s">
        <v>577</v>
      </c>
      <c r="J70" t="s">
        <v>578</v>
      </c>
      <c r="K70" t="s">
        <v>579</v>
      </c>
      <c r="L70" t="s">
        <v>580</v>
      </c>
      <c r="M70" t="s">
        <v>581</v>
      </c>
      <c r="N70" t="s">
        <v>582</v>
      </c>
      <c r="O70" t="s">
        <v>583</v>
      </c>
      <c r="P70" t="s">
        <v>584</v>
      </c>
      <c r="Q70" t="s">
        <v>585</v>
      </c>
      <c r="R70" t="s">
        <v>586</v>
      </c>
      <c r="S70" t="s">
        <v>587</v>
      </c>
      <c r="T70" t="s">
        <v>588</v>
      </c>
      <c r="U70" t="s">
        <v>589</v>
      </c>
      <c r="V70" t="s">
        <v>590</v>
      </c>
      <c r="W70" t="s">
        <v>591</v>
      </c>
      <c r="X70" t="s">
        <v>592</v>
      </c>
      <c r="Y70" t="s">
        <v>593</v>
      </c>
    </row>
    <row r="71" spans="1:25">
      <c r="A71" t="s">
        <v>18800</v>
      </c>
      <c r="B71" t="s">
        <v>627</v>
      </c>
      <c r="C71" t="s">
        <v>595</v>
      </c>
      <c r="D71" t="s">
        <v>621</v>
      </c>
      <c r="E71" t="s">
        <v>628</v>
      </c>
      <c r="F71" t="s">
        <v>598</v>
      </c>
      <c r="G71" t="s">
        <v>478</v>
      </c>
      <c r="H71" t="s">
        <v>600</v>
      </c>
      <c r="I71" t="s">
        <v>601</v>
      </c>
      <c r="J71">
        <v>8.0000000000000004E-4</v>
      </c>
      <c r="K71">
        <v>8.0000000000000004E-4</v>
      </c>
      <c r="L71">
        <v>8.0000000000000004E-4</v>
      </c>
      <c r="M71">
        <v>8.0000000000000004E-4</v>
      </c>
      <c r="N71">
        <v>8.0000000000000004E-4</v>
      </c>
      <c r="O71">
        <v>8.0000000000000004E-4</v>
      </c>
      <c r="P71">
        <v>8.0000000000000004E-4</v>
      </c>
      <c r="Q71">
        <v>8.0000000000000004E-4</v>
      </c>
      <c r="R71">
        <v>8.0000000000000004E-4</v>
      </c>
      <c r="S71">
        <v>8.0000000000000004E-4</v>
      </c>
      <c r="T71">
        <v>8.0000000000000004E-4</v>
      </c>
      <c r="U71">
        <v>8.0000000000000004E-4</v>
      </c>
      <c r="V71">
        <v>8.0000000000000004E-4</v>
      </c>
      <c r="W71">
        <v>8.0000000000000004E-4</v>
      </c>
      <c r="X71">
        <v>8.0000000000000004E-4</v>
      </c>
      <c r="Y71">
        <v>8.0000000000000004E-4</v>
      </c>
    </row>
    <row r="72" spans="1:25">
      <c r="A72" t="s">
        <v>18800</v>
      </c>
      <c r="B72" t="s">
        <v>647</v>
      </c>
      <c r="C72" t="s">
        <v>595</v>
      </c>
      <c r="D72" t="s">
        <v>648</v>
      </c>
      <c r="E72" t="s">
        <v>649</v>
      </c>
      <c r="F72" t="s">
        <v>598</v>
      </c>
      <c r="G72" t="s">
        <v>478</v>
      </c>
      <c r="H72" t="s">
        <v>600</v>
      </c>
      <c r="I72" t="s">
        <v>601</v>
      </c>
      <c r="J72">
        <v>1.78E-2</v>
      </c>
      <c r="K72">
        <v>1.78E-2</v>
      </c>
      <c r="L72">
        <v>1.78E-2</v>
      </c>
      <c r="M72">
        <v>1.78E-2</v>
      </c>
      <c r="N72">
        <v>1.78E-2</v>
      </c>
      <c r="O72">
        <v>1.78E-2</v>
      </c>
      <c r="P72">
        <v>1.78E-2</v>
      </c>
      <c r="Q72">
        <v>1.78E-2</v>
      </c>
      <c r="R72">
        <v>1.78E-2</v>
      </c>
      <c r="S72">
        <v>1.78E-2</v>
      </c>
      <c r="T72">
        <v>1.78E-2</v>
      </c>
      <c r="U72">
        <v>1.78E-2</v>
      </c>
      <c r="V72">
        <v>1.78E-2</v>
      </c>
      <c r="W72">
        <v>1.78E-2</v>
      </c>
      <c r="X72">
        <v>1.78E-2</v>
      </c>
      <c r="Y72">
        <v>1.78E-2</v>
      </c>
    </row>
    <row r="73" spans="1:25" hidden="1">
      <c r="A73" t="s">
        <v>18800</v>
      </c>
      <c r="B73" t="s">
        <v>740</v>
      </c>
      <c r="C73" t="s">
        <v>729</v>
      </c>
      <c r="D73" t="s">
        <v>596</v>
      </c>
      <c r="E73" t="s">
        <v>619</v>
      </c>
      <c r="F73" t="s">
        <v>598</v>
      </c>
      <c r="G73" t="s">
        <v>478</v>
      </c>
      <c r="H73" t="s">
        <v>600</v>
      </c>
      <c r="I73" t="s">
        <v>601</v>
      </c>
      <c r="J73">
        <v>2.9999999999999997E-4</v>
      </c>
      <c r="K73">
        <v>2.9999999999999997E-4</v>
      </c>
      <c r="L73">
        <v>2.9999999999999997E-4</v>
      </c>
      <c r="M73">
        <v>2.9999999999999997E-4</v>
      </c>
      <c r="N73">
        <v>2.9999999999999997E-4</v>
      </c>
      <c r="O73">
        <v>2.9999999999999997E-4</v>
      </c>
      <c r="P73">
        <v>2.9999999999999997E-4</v>
      </c>
      <c r="Q73">
        <v>2.9999999999999997E-4</v>
      </c>
      <c r="R73">
        <v>2.9999999999999997E-4</v>
      </c>
      <c r="S73">
        <v>2.9999999999999997E-4</v>
      </c>
      <c r="T73">
        <v>2.9999999999999997E-4</v>
      </c>
      <c r="U73">
        <v>2.9999999999999997E-4</v>
      </c>
      <c r="V73">
        <v>2.9999999999999997E-4</v>
      </c>
      <c r="W73">
        <v>2.9999999999999997E-4</v>
      </c>
      <c r="X73">
        <v>2.9999999999999997E-4</v>
      </c>
      <c r="Y73">
        <v>2.9999999999999997E-4</v>
      </c>
    </row>
    <row r="74" spans="1:25" hidden="1">
      <c r="A74" t="s">
        <v>18800</v>
      </c>
      <c r="B74" t="s">
        <v>770</v>
      </c>
      <c r="C74" t="s">
        <v>729</v>
      </c>
      <c r="D74" t="s">
        <v>621</v>
      </c>
      <c r="E74" t="s">
        <v>628</v>
      </c>
      <c r="F74" t="s">
        <v>598</v>
      </c>
      <c r="G74" t="s">
        <v>478</v>
      </c>
      <c r="H74" t="s">
        <v>600</v>
      </c>
      <c r="I74" t="s">
        <v>601</v>
      </c>
      <c r="J74">
        <v>6.1600000000000002E-2</v>
      </c>
      <c r="K74">
        <v>6.1600000000000002E-2</v>
      </c>
      <c r="L74">
        <v>6.1600000000000002E-2</v>
      </c>
      <c r="M74">
        <v>6.1600000000000002E-2</v>
      </c>
      <c r="N74">
        <v>6.1600000000000002E-2</v>
      </c>
      <c r="O74">
        <v>6.1600000000000002E-2</v>
      </c>
      <c r="P74">
        <v>6.1600000000000002E-2</v>
      </c>
      <c r="Q74">
        <v>6.1600000000000002E-2</v>
      </c>
      <c r="R74">
        <v>6.1600000000000002E-2</v>
      </c>
      <c r="S74">
        <v>6.1600000000000002E-2</v>
      </c>
      <c r="T74">
        <v>6.1600000000000002E-2</v>
      </c>
      <c r="U74">
        <v>6.1600000000000002E-2</v>
      </c>
      <c r="V74">
        <v>6.1600000000000002E-2</v>
      </c>
      <c r="W74">
        <v>6.1600000000000002E-2</v>
      </c>
      <c r="X74">
        <v>6.1600000000000002E-2</v>
      </c>
      <c r="Y74">
        <v>6.1600000000000002E-2</v>
      </c>
    </row>
    <row r="75" spans="1:25" hidden="1">
      <c r="A75" t="s">
        <v>18800</v>
      </c>
      <c r="B75" t="s">
        <v>778</v>
      </c>
      <c r="C75" t="s">
        <v>729</v>
      </c>
      <c r="D75" t="s">
        <v>632</v>
      </c>
      <c r="E75" t="s">
        <v>628</v>
      </c>
      <c r="F75" t="s">
        <v>598</v>
      </c>
      <c r="G75" t="s">
        <v>478</v>
      </c>
      <c r="H75" t="s">
        <v>600</v>
      </c>
      <c r="I75" t="s">
        <v>601</v>
      </c>
      <c r="J75">
        <v>0.104</v>
      </c>
      <c r="K75">
        <v>0.104</v>
      </c>
      <c r="L75">
        <v>0.104</v>
      </c>
      <c r="M75">
        <v>0.104</v>
      </c>
      <c r="N75">
        <v>0.104</v>
      </c>
      <c r="O75">
        <v>0.104</v>
      </c>
      <c r="P75">
        <v>0.104</v>
      </c>
      <c r="Q75">
        <v>0.104</v>
      </c>
      <c r="R75">
        <v>0.104</v>
      </c>
      <c r="S75">
        <v>0.104</v>
      </c>
      <c r="T75">
        <v>0.104</v>
      </c>
      <c r="U75">
        <v>0.104</v>
      </c>
      <c r="V75">
        <v>0.104</v>
      </c>
      <c r="W75">
        <v>0.104</v>
      </c>
      <c r="X75">
        <v>0.104</v>
      </c>
      <c r="Y75">
        <v>0.104</v>
      </c>
    </row>
    <row r="76" spans="1:25" hidden="1">
      <c r="A76" t="s">
        <v>18800</v>
      </c>
      <c r="B76" t="s">
        <v>830</v>
      </c>
      <c r="C76" t="s">
        <v>804</v>
      </c>
      <c r="D76" t="s">
        <v>828</v>
      </c>
      <c r="E76" t="s">
        <v>628</v>
      </c>
      <c r="F76" t="s">
        <v>831</v>
      </c>
      <c r="G76" t="s">
        <v>478</v>
      </c>
      <c r="H76" t="s">
        <v>600</v>
      </c>
      <c r="I76" t="s">
        <v>601</v>
      </c>
      <c r="J76">
        <v>1.72E-2</v>
      </c>
      <c r="K76">
        <v>8.2000000000000007E-3</v>
      </c>
      <c r="L76">
        <v>7.3000000000000001E-3</v>
      </c>
      <c r="M76">
        <v>6.8999999999999999E-3</v>
      </c>
      <c r="N76">
        <v>6.7999999999999996E-3</v>
      </c>
      <c r="O76">
        <v>6.7000000000000002E-3</v>
      </c>
      <c r="P76">
        <v>6.7000000000000002E-3</v>
      </c>
      <c r="Q76">
        <v>6.6E-3</v>
      </c>
      <c r="R76">
        <v>6.4000000000000003E-3</v>
      </c>
      <c r="S76">
        <v>6.3E-3</v>
      </c>
      <c r="T76">
        <v>6.1999999999999998E-3</v>
      </c>
      <c r="U76">
        <v>6.0000000000000001E-3</v>
      </c>
      <c r="V76">
        <v>5.7999999999999996E-3</v>
      </c>
      <c r="W76">
        <v>5.5999999999999999E-3</v>
      </c>
      <c r="X76">
        <v>5.4000000000000003E-3</v>
      </c>
      <c r="Y76">
        <v>5.1000000000000004E-3</v>
      </c>
    </row>
    <row r="77" spans="1:25" hidden="1">
      <c r="A77" t="s">
        <v>18800</v>
      </c>
      <c r="B77" t="s">
        <v>832</v>
      </c>
      <c r="C77" t="s">
        <v>804</v>
      </c>
      <c r="D77" t="s">
        <v>828</v>
      </c>
      <c r="E77" t="s">
        <v>628</v>
      </c>
      <c r="F77" t="s">
        <v>833</v>
      </c>
      <c r="G77" t="s">
        <v>478</v>
      </c>
      <c r="H77" t="s">
        <v>600</v>
      </c>
      <c r="I77" t="s">
        <v>601</v>
      </c>
      <c r="J77">
        <v>1.15E-2</v>
      </c>
      <c r="K77">
        <v>1.09E-2</v>
      </c>
      <c r="L77">
        <v>1.03E-2</v>
      </c>
      <c r="M77">
        <v>9.7000000000000003E-3</v>
      </c>
      <c r="N77">
        <v>9.1000000000000004E-3</v>
      </c>
      <c r="O77">
        <v>8.5000000000000006E-3</v>
      </c>
      <c r="P77">
        <v>7.7999999999999996E-3</v>
      </c>
      <c r="Q77">
        <v>7.1999999999999998E-3</v>
      </c>
      <c r="R77">
        <v>6.6E-3</v>
      </c>
      <c r="S77">
        <v>6.0000000000000001E-3</v>
      </c>
      <c r="T77">
        <v>5.4999999999999997E-3</v>
      </c>
      <c r="U77">
        <v>5.1000000000000004E-3</v>
      </c>
      <c r="V77">
        <v>4.7000000000000002E-3</v>
      </c>
      <c r="W77">
        <v>4.3E-3</v>
      </c>
      <c r="X77">
        <v>3.8999999999999998E-3</v>
      </c>
      <c r="Y77">
        <v>3.5999999999999999E-3</v>
      </c>
    </row>
    <row r="78" spans="1:25" hidden="1">
      <c r="A78" t="s">
        <v>18800</v>
      </c>
      <c r="B78" t="s">
        <v>839</v>
      </c>
      <c r="C78" t="s">
        <v>804</v>
      </c>
      <c r="D78" t="s">
        <v>648</v>
      </c>
      <c r="E78" t="s">
        <v>688</v>
      </c>
      <c r="F78" t="s">
        <v>598</v>
      </c>
      <c r="G78" t="s">
        <v>478</v>
      </c>
      <c r="H78" t="s">
        <v>600</v>
      </c>
      <c r="I78" t="s">
        <v>601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hidden="1">
      <c r="A79" t="s">
        <v>18800</v>
      </c>
      <c r="B79" t="s">
        <v>852</v>
      </c>
      <c r="C79" t="s">
        <v>841</v>
      </c>
      <c r="D79" t="s">
        <v>596</v>
      </c>
      <c r="E79" t="s">
        <v>619</v>
      </c>
      <c r="F79" t="s">
        <v>598</v>
      </c>
      <c r="G79" t="s">
        <v>478</v>
      </c>
      <c r="H79" t="s">
        <v>600</v>
      </c>
      <c r="I79" t="s">
        <v>601</v>
      </c>
      <c r="J79">
        <v>2.5399999999999999E-2</v>
      </c>
      <c r="K79">
        <v>2.5399999999999999E-2</v>
      </c>
      <c r="L79">
        <v>2.5399999999999999E-2</v>
      </c>
      <c r="M79">
        <v>2.5399999999999999E-2</v>
      </c>
      <c r="N79">
        <v>2.5399999999999999E-2</v>
      </c>
      <c r="O79">
        <v>2.5399999999999999E-2</v>
      </c>
      <c r="P79">
        <v>2.5399999999999999E-2</v>
      </c>
      <c r="Q79">
        <v>2.5399999999999999E-2</v>
      </c>
      <c r="R79">
        <v>2.5399999999999999E-2</v>
      </c>
      <c r="S79">
        <v>2.5399999999999999E-2</v>
      </c>
      <c r="T79">
        <v>2.5399999999999999E-2</v>
      </c>
      <c r="U79">
        <v>2.5399999999999999E-2</v>
      </c>
      <c r="V79">
        <v>2.5399999999999999E-2</v>
      </c>
      <c r="W79">
        <v>2.5399999999999999E-2</v>
      </c>
      <c r="X79">
        <v>2.5399999999999999E-2</v>
      </c>
      <c r="Y79">
        <v>2.5399999999999999E-2</v>
      </c>
    </row>
    <row r="80" spans="1:25" hidden="1">
      <c r="A80" t="s">
        <v>18800</v>
      </c>
      <c r="B80" t="s">
        <v>870</v>
      </c>
      <c r="C80" t="s">
        <v>841</v>
      </c>
      <c r="D80" t="s">
        <v>621</v>
      </c>
      <c r="E80" t="s">
        <v>603</v>
      </c>
      <c r="F80" t="s">
        <v>598</v>
      </c>
      <c r="G80" t="s">
        <v>478</v>
      </c>
      <c r="H80" t="s">
        <v>600</v>
      </c>
      <c r="I80" t="s">
        <v>601</v>
      </c>
      <c r="J80">
        <v>1E-4</v>
      </c>
      <c r="K80">
        <v>1E-4</v>
      </c>
      <c r="L80">
        <v>1E-4</v>
      </c>
      <c r="M80">
        <v>1E-4</v>
      </c>
      <c r="N80">
        <v>1E-4</v>
      </c>
      <c r="O80">
        <v>1E-4</v>
      </c>
      <c r="P80">
        <v>1E-4</v>
      </c>
      <c r="Q80">
        <v>1E-4</v>
      </c>
      <c r="R80">
        <v>1E-4</v>
      </c>
      <c r="S80">
        <v>1E-4</v>
      </c>
      <c r="T80">
        <v>1E-4</v>
      </c>
      <c r="U80">
        <v>1E-4</v>
      </c>
      <c r="V80">
        <v>1E-4</v>
      </c>
      <c r="W80">
        <v>1E-4</v>
      </c>
      <c r="X80">
        <v>1E-4</v>
      </c>
      <c r="Y80">
        <v>1E-4</v>
      </c>
    </row>
    <row r="81" spans="1:25" hidden="1">
      <c r="A81" t="s">
        <v>18800</v>
      </c>
      <c r="B81" t="s">
        <v>876</v>
      </c>
      <c r="C81" t="s">
        <v>841</v>
      </c>
      <c r="D81" t="s">
        <v>621</v>
      </c>
      <c r="E81" t="s">
        <v>628</v>
      </c>
      <c r="F81" t="s">
        <v>598</v>
      </c>
      <c r="G81" t="s">
        <v>478</v>
      </c>
      <c r="H81" t="s">
        <v>600</v>
      </c>
      <c r="I81" t="s">
        <v>601</v>
      </c>
      <c r="J81">
        <v>5.9999999999999995E-4</v>
      </c>
      <c r="K81">
        <v>5.9999999999999995E-4</v>
      </c>
      <c r="L81">
        <v>5.9999999999999995E-4</v>
      </c>
      <c r="M81">
        <v>5.9999999999999995E-4</v>
      </c>
      <c r="N81">
        <v>5.9999999999999995E-4</v>
      </c>
      <c r="O81">
        <v>5.9999999999999995E-4</v>
      </c>
      <c r="P81">
        <v>5.9999999999999995E-4</v>
      </c>
      <c r="Q81">
        <v>4.0000000000000002E-4</v>
      </c>
      <c r="R81">
        <v>4.0000000000000002E-4</v>
      </c>
      <c r="S81">
        <v>4.0000000000000002E-4</v>
      </c>
      <c r="T81">
        <v>4.0000000000000002E-4</v>
      </c>
      <c r="U81">
        <v>4.0000000000000002E-4</v>
      </c>
      <c r="V81">
        <v>4.0000000000000002E-4</v>
      </c>
      <c r="W81">
        <v>4.0000000000000002E-4</v>
      </c>
      <c r="X81">
        <v>4.0000000000000002E-4</v>
      </c>
      <c r="Y81">
        <v>4.0000000000000002E-4</v>
      </c>
    </row>
    <row r="82" spans="1:25" hidden="1">
      <c r="A82" t="s">
        <v>18800</v>
      </c>
      <c r="B82" t="s">
        <v>911</v>
      </c>
      <c r="C82" t="s">
        <v>841</v>
      </c>
      <c r="D82" t="s">
        <v>648</v>
      </c>
      <c r="E82" t="s">
        <v>619</v>
      </c>
      <c r="F82" t="s">
        <v>598</v>
      </c>
      <c r="G82" t="s">
        <v>478</v>
      </c>
      <c r="H82" t="s">
        <v>600</v>
      </c>
      <c r="I82" t="s">
        <v>601</v>
      </c>
      <c r="J82">
        <v>7.6E-3</v>
      </c>
      <c r="K82">
        <v>7.7000000000000002E-3</v>
      </c>
      <c r="L82">
        <v>7.7999999999999996E-3</v>
      </c>
      <c r="M82">
        <v>7.7999999999999996E-3</v>
      </c>
      <c r="N82">
        <v>7.9000000000000008E-3</v>
      </c>
      <c r="O82">
        <v>7.9000000000000008E-3</v>
      </c>
      <c r="P82">
        <v>7.9000000000000008E-3</v>
      </c>
      <c r="Q82">
        <v>8.0000000000000002E-3</v>
      </c>
      <c r="R82">
        <v>8.0000000000000002E-3</v>
      </c>
      <c r="S82">
        <v>8.0000000000000002E-3</v>
      </c>
      <c r="T82">
        <v>8.0999999999999996E-3</v>
      </c>
      <c r="U82">
        <v>8.0999999999999996E-3</v>
      </c>
      <c r="V82">
        <v>8.0999999999999996E-3</v>
      </c>
      <c r="W82">
        <v>8.2000000000000007E-3</v>
      </c>
      <c r="X82">
        <v>8.2000000000000007E-3</v>
      </c>
      <c r="Y82">
        <v>8.3000000000000001E-3</v>
      </c>
    </row>
    <row r="83" spans="1:25" hidden="1">
      <c r="A83" t="s">
        <v>18800</v>
      </c>
      <c r="B83" t="s">
        <v>916</v>
      </c>
      <c r="C83" t="s">
        <v>914</v>
      </c>
      <c r="D83" t="s">
        <v>621</v>
      </c>
      <c r="E83" t="s">
        <v>628</v>
      </c>
      <c r="F83" t="s">
        <v>598</v>
      </c>
      <c r="G83" t="s">
        <v>478</v>
      </c>
      <c r="H83" t="s">
        <v>600</v>
      </c>
      <c r="I83" t="s">
        <v>601</v>
      </c>
      <c r="J83">
        <v>2.8712E-3</v>
      </c>
      <c r="K83">
        <v>2.8712E-3</v>
      </c>
      <c r="L83">
        <v>2.9488000000000001E-3</v>
      </c>
      <c r="M83">
        <v>2.9488000000000001E-3</v>
      </c>
      <c r="N83">
        <v>2.9488000000000001E-3</v>
      </c>
      <c r="O83">
        <v>2.7160000000000001E-3</v>
      </c>
      <c r="P83">
        <v>2.7935999999999998E-3</v>
      </c>
      <c r="Q83">
        <v>2.7935999999999998E-3</v>
      </c>
      <c r="R83">
        <v>2.7935999999999998E-3</v>
      </c>
      <c r="S83">
        <v>2.7935999999999998E-3</v>
      </c>
      <c r="T83">
        <v>2.7935999999999998E-3</v>
      </c>
      <c r="U83">
        <v>2.7935999999999998E-3</v>
      </c>
      <c r="V83">
        <v>2.7935999999999998E-3</v>
      </c>
      <c r="W83">
        <v>2.7935999999999998E-3</v>
      </c>
      <c r="X83">
        <v>2.7935999999999998E-3</v>
      </c>
      <c r="Y83">
        <v>2.8712E-3</v>
      </c>
    </row>
    <row r="84" spans="1:25" hidden="1">
      <c r="A84" t="s">
        <v>18800</v>
      </c>
      <c r="B84" t="s">
        <v>924</v>
      </c>
      <c r="C84" t="s">
        <v>925</v>
      </c>
      <c r="D84" t="s">
        <v>926</v>
      </c>
      <c r="E84" t="s">
        <v>927</v>
      </c>
      <c r="F84" t="s">
        <v>598</v>
      </c>
      <c r="G84" t="s">
        <v>478</v>
      </c>
      <c r="H84" t="s">
        <v>600</v>
      </c>
      <c r="I84" t="s">
        <v>601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hidden="1">
      <c r="A85" t="s">
        <v>18800</v>
      </c>
      <c r="B85" t="s">
        <v>947</v>
      </c>
      <c r="C85" t="s">
        <v>943</v>
      </c>
      <c r="D85" t="s">
        <v>946</v>
      </c>
      <c r="E85" t="s">
        <v>948</v>
      </c>
      <c r="F85" t="s">
        <v>598</v>
      </c>
      <c r="G85" t="s">
        <v>478</v>
      </c>
      <c r="H85" t="s">
        <v>600</v>
      </c>
      <c r="I85" t="s">
        <v>601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hidden="1">
      <c r="A86" t="s">
        <v>18800</v>
      </c>
      <c r="B86" t="s">
        <v>981</v>
      </c>
      <c r="C86" t="s">
        <v>980</v>
      </c>
      <c r="D86" t="s">
        <v>982</v>
      </c>
      <c r="E86" t="s">
        <v>613</v>
      </c>
      <c r="F86" t="s">
        <v>598</v>
      </c>
      <c r="G86" t="s">
        <v>478</v>
      </c>
      <c r="H86" t="s">
        <v>600</v>
      </c>
      <c r="I86" t="s">
        <v>601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hidden="1">
      <c r="A87" t="s">
        <v>18800</v>
      </c>
      <c r="B87" t="s">
        <v>997</v>
      </c>
      <c r="C87" t="s">
        <v>998</v>
      </c>
      <c r="D87" t="s">
        <v>999</v>
      </c>
      <c r="E87" t="s">
        <v>1000</v>
      </c>
      <c r="F87" t="s">
        <v>598</v>
      </c>
      <c r="G87" t="s">
        <v>478</v>
      </c>
      <c r="H87" t="s">
        <v>600</v>
      </c>
      <c r="I87" t="s">
        <v>601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hidden="1">
      <c r="A88" t="s">
        <v>18800</v>
      </c>
      <c r="B88" t="s">
        <v>1009</v>
      </c>
      <c r="C88" t="s">
        <v>998</v>
      </c>
      <c r="D88" t="s">
        <v>999</v>
      </c>
      <c r="E88" t="s">
        <v>1010</v>
      </c>
      <c r="F88" t="s">
        <v>598</v>
      </c>
      <c r="G88" t="s">
        <v>478</v>
      </c>
      <c r="H88" t="s">
        <v>600</v>
      </c>
      <c r="I88" t="s">
        <v>601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hidden="1">
      <c r="A89" t="s">
        <v>18800</v>
      </c>
      <c r="B89" t="s">
        <v>1015</v>
      </c>
      <c r="C89" t="s">
        <v>1016</v>
      </c>
      <c r="D89" t="s">
        <v>1017</v>
      </c>
      <c r="E89" t="s">
        <v>1018</v>
      </c>
      <c r="F89" t="s">
        <v>598</v>
      </c>
      <c r="G89" t="s">
        <v>478</v>
      </c>
      <c r="H89" t="s">
        <v>600</v>
      </c>
      <c r="I89" t="s">
        <v>601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hidden="1">
      <c r="A90" t="s">
        <v>18800</v>
      </c>
      <c r="B90" t="s">
        <v>1021</v>
      </c>
      <c r="C90" t="s">
        <v>1016</v>
      </c>
      <c r="D90" t="s">
        <v>1017</v>
      </c>
      <c r="E90" t="s">
        <v>1022</v>
      </c>
      <c r="F90" t="s">
        <v>598</v>
      </c>
      <c r="G90" t="s">
        <v>478</v>
      </c>
      <c r="H90" t="s">
        <v>600</v>
      </c>
      <c r="I90" t="s">
        <v>601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hidden="1">
      <c r="A91" t="s">
        <v>18800</v>
      </c>
      <c r="B91" t="s">
        <v>1023</v>
      </c>
      <c r="C91" t="s">
        <v>1016</v>
      </c>
      <c r="D91" t="s">
        <v>1017</v>
      </c>
      <c r="E91" t="s">
        <v>1024</v>
      </c>
      <c r="F91" t="s">
        <v>598</v>
      </c>
      <c r="G91" t="s">
        <v>478</v>
      </c>
      <c r="H91" t="s">
        <v>600</v>
      </c>
      <c r="I91" t="s">
        <v>601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hidden="1">
      <c r="A92" t="s">
        <v>18800</v>
      </c>
      <c r="B92" t="s">
        <v>1029</v>
      </c>
      <c r="C92" t="s">
        <v>1016</v>
      </c>
      <c r="D92" t="s">
        <v>1017</v>
      </c>
      <c r="E92" t="s">
        <v>1030</v>
      </c>
      <c r="F92" t="s">
        <v>598</v>
      </c>
      <c r="G92" t="s">
        <v>478</v>
      </c>
      <c r="H92" t="s">
        <v>600</v>
      </c>
      <c r="I92" t="s">
        <v>601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hidden="1">
      <c r="A93" t="s">
        <v>18800</v>
      </c>
      <c r="B93" t="s">
        <v>1037</v>
      </c>
      <c r="C93" t="s">
        <v>1016</v>
      </c>
      <c r="D93" t="s">
        <v>1017</v>
      </c>
      <c r="E93" t="s">
        <v>1038</v>
      </c>
      <c r="F93" t="s">
        <v>598</v>
      </c>
      <c r="G93" t="s">
        <v>478</v>
      </c>
      <c r="H93" t="s">
        <v>600</v>
      </c>
      <c r="I93" t="s">
        <v>601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hidden="1">
      <c r="A94" t="s">
        <v>18800</v>
      </c>
      <c r="B94" t="s">
        <v>1041</v>
      </c>
      <c r="C94" t="s">
        <v>1016</v>
      </c>
      <c r="D94" t="s">
        <v>1017</v>
      </c>
      <c r="E94" t="s">
        <v>1042</v>
      </c>
      <c r="F94" t="s">
        <v>598</v>
      </c>
      <c r="G94" t="s">
        <v>478</v>
      </c>
      <c r="H94" t="s">
        <v>600</v>
      </c>
      <c r="I94" t="s">
        <v>601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hidden="1">
      <c r="A95" t="s">
        <v>18800</v>
      </c>
      <c r="B95" t="s">
        <v>1047</v>
      </c>
      <c r="C95" t="s">
        <v>1016</v>
      </c>
      <c r="D95" t="s">
        <v>1017</v>
      </c>
      <c r="E95" t="s">
        <v>1048</v>
      </c>
      <c r="F95" t="s">
        <v>598</v>
      </c>
      <c r="G95" t="s">
        <v>478</v>
      </c>
      <c r="H95" t="s">
        <v>600</v>
      </c>
      <c r="I95" t="s">
        <v>601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hidden="1">
      <c r="A96" t="s">
        <v>18800</v>
      </c>
      <c r="B96" t="s">
        <v>1061</v>
      </c>
      <c r="C96" t="s">
        <v>1016</v>
      </c>
      <c r="D96" t="s">
        <v>1050</v>
      </c>
      <c r="E96" t="s">
        <v>1048</v>
      </c>
      <c r="F96" t="s">
        <v>598</v>
      </c>
      <c r="G96" t="s">
        <v>478</v>
      </c>
      <c r="H96" t="s">
        <v>600</v>
      </c>
      <c r="I96" t="s">
        <v>601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hidden="1">
      <c r="A97" t="s">
        <v>18800</v>
      </c>
      <c r="B97" t="s">
        <v>1062</v>
      </c>
      <c r="C97" t="s">
        <v>1016</v>
      </c>
      <c r="D97" t="s">
        <v>1063</v>
      </c>
      <c r="E97" t="s">
        <v>1018</v>
      </c>
      <c r="F97" t="s">
        <v>598</v>
      </c>
      <c r="G97" t="s">
        <v>478</v>
      </c>
      <c r="H97" t="s">
        <v>600</v>
      </c>
      <c r="I97" t="s">
        <v>601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hidden="1">
      <c r="A98" t="s">
        <v>18800</v>
      </c>
      <c r="B98" t="s">
        <v>1064</v>
      </c>
      <c r="C98" t="s">
        <v>1016</v>
      </c>
      <c r="D98" t="s">
        <v>1063</v>
      </c>
      <c r="E98" t="s">
        <v>1022</v>
      </c>
      <c r="F98" t="s">
        <v>598</v>
      </c>
      <c r="G98" t="s">
        <v>478</v>
      </c>
      <c r="H98" t="s">
        <v>600</v>
      </c>
      <c r="I98" t="s">
        <v>601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18800</v>
      </c>
      <c r="B99" t="s">
        <v>1067</v>
      </c>
      <c r="C99" t="s">
        <v>1016</v>
      </c>
      <c r="D99" t="s">
        <v>1063</v>
      </c>
      <c r="E99" t="s">
        <v>1026</v>
      </c>
      <c r="F99" t="s">
        <v>598</v>
      </c>
      <c r="G99" t="s">
        <v>478</v>
      </c>
      <c r="H99" t="s">
        <v>600</v>
      </c>
      <c r="I99" t="s">
        <v>601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hidden="1">
      <c r="A100" t="s">
        <v>18800</v>
      </c>
      <c r="B100" t="s">
        <v>1068</v>
      </c>
      <c r="C100" t="s">
        <v>1016</v>
      </c>
      <c r="D100" t="s">
        <v>1063</v>
      </c>
      <c r="E100" t="s">
        <v>1030</v>
      </c>
      <c r="F100" t="s">
        <v>598</v>
      </c>
      <c r="G100" t="s">
        <v>478</v>
      </c>
      <c r="H100" t="s">
        <v>600</v>
      </c>
      <c r="I100" t="s">
        <v>601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hidden="1">
      <c r="A101" t="s">
        <v>18800</v>
      </c>
      <c r="B101" t="s">
        <v>1069</v>
      </c>
      <c r="C101" t="s">
        <v>1016</v>
      </c>
      <c r="D101" t="s">
        <v>1063</v>
      </c>
      <c r="E101" t="s">
        <v>1035</v>
      </c>
      <c r="F101" t="s">
        <v>598</v>
      </c>
      <c r="G101" t="s">
        <v>478</v>
      </c>
      <c r="H101" t="s">
        <v>600</v>
      </c>
      <c r="I101" t="s">
        <v>601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hidden="1">
      <c r="A102" t="s">
        <v>18800</v>
      </c>
      <c r="B102" t="s">
        <v>1072</v>
      </c>
      <c r="C102" t="s">
        <v>1016</v>
      </c>
      <c r="D102" t="s">
        <v>1063</v>
      </c>
      <c r="E102" t="s">
        <v>1040</v>
      </c>
      <c r="F102" t="s">
        <v>598</v>
      </c>
      <c r="G102" t="s">
        <v>478</v>
      </c>
      <c r="H102" t="s">
        <v>600</v>
      </c>
      <c r="I102" t="s">
        <v>601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hidden="1">
      <c r="A103" t="s">
        <v>18800</v>
      </c>
      <c r="B103" t="s">
        <v>1073</v>
      </c>
      <c r="C103" t="s">
        <v>1016</v>
      </c>
      <c r="D103" t="s">
        <v>1063</v>
      </c>
      <c r="E103" t="s">
        <v>1042</v>
      </c>
      <c r="F103" t="s">
        <v>598</v>
      </c>
      <c r="G103" t="s">
        <v>478</v>
      </c>
      <c r="H103" t="s">
        <v>600</v>
      </c>
      <c r="I103" t="s">
        <v>601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1:25" hidden="1">
      <c r="A104" t="s">
        <v>18800</v>
      </c>
      <c r="B104" t="s">
        <v>1075</v>
      </c>
      <c r="C104" t="s">
        <v>1016</v>
      </c>
      <c r="D104" t="s">
        <v>1063</v>
      </c>
      <c r="E104" t="s">
        <v>1046</v>
      </c>
      <c r="F104" t="s">
        <v>598</v>
      </c>
      <c r="G104" t="s">
        <v>478</v>
      </c>
      <c r="H104" t="s">
        <v>600</v>
      </c>
      <c r="I104" t="s">
        <v>601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hidden="1">
      <c r="A105" t="s">
        <v>18800</v>
      </c>
      <c r="B105" t="s">
        <v>1076</v>
      </c>
      <c r="C105" t="s">
        <v>1016</v>
      </c>
      <c r="D105" t="s">
        <v>1063</v>
      </c>
      <c r="E105" t="s">
        <v>1048</v>
      </c>
      <c r="F105" t="s">
        <v>598</v>
      </c>
      <c r="G105" t="s">
        <v>478</v>
      </c>
      <c r="H105" t="s">
        <v>600</v>
      </c>
      <c r="I105" t="s">
        <v>601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hidden="1">
      <c r="A106" t="s">
        <v>18800</v>
      </c>
      <c r="B106" t="s">
        <v>1087</v>
      </c>
      <c r="C106" t="s">
        <v>1079</v>
      </c>
      <c r="D106" t="s">
        <v>1086</v>
      </c>
      <c r="E106" t="s">
        <v>1081</v>
      </c>
      <c r="F106" t="s">
        <v>598</v>
      </c>
      <c r="G106" t="s">
        <v>478</v>
      </c>
      <c r="H106" t="s">
        <v>600</v>
      </c>
      <c r="I106" t="s">
        <v>601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hidden="1">
      <c r="A107" t="s">
        <v>18800</v>
      </c>
      <c r="B107" t="s">
        <v>1256</v>
      </c>
      <c r="C107" t="s">
        <v>1253</v>
      </c>
      <c r="D107" t="s">
        <v>1254</v>
      </c>
      <c r="E107" t="s">
        <v>1257</v>
      </c>
      <c r="F107" t="s">
        <v>598</v>
      </c>
      <c r="G107" t="s">
        <v>478</v>
      </c>
      <c r="H107" t="s">
        <v>600</v>
      </c>
      <c r="I107" t="s">
        <v>601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hidden="1">
      <c r="A108" t="s">
        <v>18800</v>
      </c>
      <c r="B108" t="s">
        <v>1258</v>
      </c>
      <c r="C108" t="s">
        <v>1253</v>
      </c>
      <c r="D108" t="s">
        <v>1254</v>
      </c>
      <c r="E108" t="s">
        <v>1259</v>
      </c>
      <c r="F108" t="s">
        <v>598</v>
      </c>
      <c r="G108" t="s">
        <v>478</v>
      </c>
      <c r="H108" t="s">
        <v>600</v>
      </c>
      <c r="I108" t="s">
        <v>601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hidden="1">
      <c r="A109" t="s">
        <v>18800</v>
      </c>
      <c r="B109" t="s">
        <v>1531</v>
      </c>
      <c r="C109" t="s">
        <v>1472</v>
      </c>
      <c r="D109" t="s">
        <v>1332</v>
      </c>
      <c r="E109" t="s">
        <v>1326</v>
      </c>
      <c r="F109" t="s">
        <v>598</v>
      </c>
      <c r="G109" t="s">
        <v>478</v>
      </c>
      <c r="H109" t="s">
        <v>600</v>
      </c>
      <c r="I109" t="s">
        <v>601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18800</v>
      </c>
      <c r="B110" t="s">
        <v>1566</v>
      </c>
      <c r="C110" t="s">
        <v>1472</v>
      </c>
      <c r="D110" t="s">
        <v>1567</v>
      </c>
      <c r="E110" t="s">
        <v>626</v>
      </c>
      <c r="F110" t="s">
        <v>598</v>
      </c>
      <c r="G110" t="s">
        <v>478</v>
      </c>
      <c r="H110" t="s">
        <v>600</v>
      </c>
      <c r="I110" t="s">
        <v>601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hidden="1">
      <c r="A111" t="s">
        <v>18800</v>
      </c>
      <c r="B111" t="s">
        <v>1568</v>
      </c>
      <c r="C111" t="s">
        <v>1472</v>
      </c>
      <c r="D111" t="s">
        <v>1569</v>
      </c>
      <c r="E111" t="s">
        <v>626</v>
      </c>
      <c r="F111" t="s">
        <v>598</v>
      </c>
      <c r="G111" t="s">
        <v>478</v>
      </c>
      <c r="H111" t="s">
        <v>600</v>
      </c>
      <c r="I111" t="s">
        <v>601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hidden="1">
      <c r="A112" t="s">
        <v>18800</v>
      </c>
      <c r="B112" t="s">
        <v>1570</v>
      </c>
      <c r="C112" t="s">
        <v>1472</v>
      </c>
      <c r="D112" t="s">
        <v>1571</v>
      </c>
      <c r="E112" t="s">
        <v>626</v>
      </c>
      <c r="F112" t="s">
        <v>598</v>
      </c>
      <c r="G112" t="s">
        <v>478</v>
      </c>
      <c r="H112" t="s">
        <v>600</v>
      </c>
      <c r="I112" t="s">
        <v>601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hidden="1">
      <c r="A113" t="s">
        <v>18800</v>
      </c>
      <c r="B113" t="s">
        <v>1573</v>
      </c>
      <c r="C113" t="s">
        <v>1472</v>
      </c>
      <c r="D113" t="s">
        <v>1574</v>
      </c>
      <c r="E113" t="s">
        <v>626</v>
      </c>
      <c r="F113" t="s">
        <v>598</v>
      </c>
      <c r="G113" t="s">
        <v>478</v>
      </c>
      <c r="H113" t="s">
        <v>600</v>
      </c>
      <c r="I113" t="s">
        <v>601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18800</v>
      </c>
      <c r="B114" t="s">
        <v>1575</v>
      </c>
      <c r="C114" t="s">
        <v>1472</v>
      </c>
      <c r="D114" t="s">
        <v>1576</v>
      </c>
      <c r="E114" t="s">
        <v>626</v>
      </c>
      <c r="F114" t="s">
        <v>598</v>
      </c>
      <c r="G114" t="s">
        <v>478</v>
      </c>
      <c r="H114" t="s">
        <v>600</v>
      </c>
      <c r="I114" t="s">
        <v>601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hidden="1">
      <c r="A115" t="s">
        <v>18800</v>
      </c>
      <c r="B115" t="s">
        <v>1577</v>
      </c>
      <c r="C115" t="s">
        <v>1472</v>
      </c>
      <c r="D115" t="s">
        <v>1578</v>
      </c>
      <c r="E115" t="s">
        <v>626</v>
      </c>
      <c r="F115" t="s">
        <v>598</v>
      </c>
      <c r="G115" t="s">
        <v>478</v>
      </c>
      <c r="H115" t="s">
        <v>600</v>
      </c>
      <c r="I115" t="s">
        <v>601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hidden="1">
      <c r="A116" t="s">
        <v>18800</v>
      </c>
      <c r="B116" t="s">
        <v>1582</v>
      </c>
      <c r="C116" t="s">
        <v>1472</v>
      </c>
      <c r="D116" t="s">
        <v>1583</v>
      </c>
      <c r="E116" t="s">
        <v>626</v>
      </c>
      <c r="F116" t="s">
        <v>598</v>
      </c>
      <c r="G116" t="s">
        <v>478</v>
      </c>
      <c r="H116" t="s">
        <v>600</v>
      </c>
      <c r="I116" t="s">
        <v>601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hidden="1">
      <c r="A117" t="s">
        <v>18800</v>
      </c>
      <c r="B117" t="s">
        <v>1585</v>
      </c>
      <c r="C117" t="s">
        <v>1472</v>
      </c>
      <c r="D117" t="s">
        <v>1583</v>
      </c>
      <c r="E117" t="s">
        <v>1399</v>
      </c>
      <c r="F117" t="s">
        <v>598</v>
      </c>
      <c r="G117" t="s">
        <v>478</v>
      </c>
      <c r="H117" t="s">
        <v>600</v>
      </c>
      <c r="I117" t="s">
        <v>601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18800</v>
      </c>
      <c r="B118" t="s">
        <v>1590</v>
      </c>
      <c r="C118" t="s">
        <v>1472</v>
      </c>
      <c r="D118" t="s">
        <v>1365</v>
      </c>
      <c r="E118" t="s">
        <v>626</v>
      </c>
      <c r="F118" t="s">
        <v>598</v>
      </c>
      <c r="G118" t="s">
        <v>478</v>
      </c>
      <c r="H118" t="s">
        <v>600</v>
      </c>
      <c r="I118" t="s">
        <v>601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hidden="1">
      <c r="A119" t="s">
        <v>18800</v>
      </c>
      <c r="B119" t="s">
        <v>1600</v>
      </c>
      <c r="C119" t="s">
        <v>1472</v>
      </c>
      <c r="D119" t="s">
        <v>1601</v>
      </c>
      <c r="E119" t="s">
        <v>626</v>
      </c>
      <c r="F119" t="s">
        <v>598</v>
      </c>
      <c r="G119" t="s">
        <v>478</v>
      </c>
      <c r="H119" t="s">
        <v>600</v>
      </c>
      <c r="I119" t="s">
        <v>601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18800</v>
      </c>
      <c r="B120" t="s">
        <v>1602</v>
      </c>
      <c r="C120" t="s">
        <v>1472</v>
      </c>
      <c r="D120" t="s">
        <v>1603</v>
      </c>
      <c r="E120" t="s">
        <v>626</v>
      </c>
      <c r="F120" t="s">
        <v>598</v>
      </c>
      <c r="G120" t="s">
        <v>478</v>
      </c>
      <c r="H120" t="s">
        <v>600</v>
      </c>
      <c r="I120" t="s">
        <v>601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18800</v>
      </c>
      <c r="B121" t="s">
        <v>1604</v>
      </c>
      <c r="C121" t="s">
        <v>1472</v>
      </c>
      <c r="D121" t="s">
        <v>1605</v>
      </c>
      <c r="E121" t="s">
        <v>626</v>
      </c>
      <c r="F121" t="s">
        <v>598</v>
      </c>
      <c r="G121" t="s">
        <v>478</v>
      </c>
      <c r="H121" t="s">
        <v>600</v>
      </c>
      <c r="I121" t="s">
        <v>601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hidden="1">
      <c r="A122" t="s">
        <v>18800</v>
      </c>
      <c r="B122" t="s">
        <v>1858</v>
      </c>
      <c r="C122" t="s">
        <v>1845</v>
      </c>
      <c r="D122" t="s">
        <v>1859</v>
      </c>
      <c r="E122" t="s">
        <v>1860</v>
      </c>
      <c r="F122" t="s">
        <v>598</v>
      </c>
      <c r="G122" t="s">
        <v>478</v>
      </c>
      <c r="H122" t="s">
        <v>600</v>
      </c>
      <c r="I122" t="s">
        <v>601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hidden="1">
      <c r="A123" t="s">
        <v>18800</v>
      </c>
      <c r="B123" t="s">
        <v>1861</v>
      </c>
      <c r="C123" t="s">
        <v>1845</v>
      </c>
      <c r="D123" t="s">
        <v>1862</v>
      </c>
      <c r="E123" t="s">
        <v>1860</v>
      </c>
      <c r="F123" t="s">
        <v>598</v>
      </c>
      <c r="G123" t="s">
        <v>478</v>
      </c>
      <c r="H123" t="s">
        <v>600</v>
      </c>
      <c r="I123" t="s">
        <v>601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hidden="1">
      <c r="A124" t="s">
        <v>18800</v>
      </c>
      <c r="B124" t="s">
        <v>1877</v>
      </c>
      <c r="C124" t="s">
        <v>1845</v>
      </c>
      <c r="D124" t="s">
        <v>1878</v>
      </c>
      <c r="E124" t="s">
        <v>1872</v>
      </c>
      <c r="F124" t="s">
        <v>598</v>
      </c>
      <c r="G124" t="s">
        <v>478</v>
      </c>
      <c r="H124" t="s">
        <v>600</v>
      </c>
      <c r="I124" t="s">
        <v>601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hidden="1">
      <c r="A125" t="s">
        <v>18800</v>
      </c>
      <c r="B125" t="s">
        <v>1949</v>
      </c>
      <c r="C125" t="s">
        <v>1845</v>
      </c>
      <c r="D125" t="s">
        <v>648</v>
      </c>
      <c r="E125" t="s">
        <v>1872</v>
      </c>
      <c r="F125" t="s">
        <v>598</v>
      </c>
      <c r="G125" t="s">
        <v>478</v>
      </c>
      <c r="H125" t="s">
        <v>600</v>
      </c>
      <c r="I125" t="s">
        <v>601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hidden="1">
      <c r="A126" t="s">
        <v>18800</v>
      </c>
      <c r="B126" t="s">
        <v>1964</v>
      </c>
      <c r="C126" t="s">
        <v>1959</v>
      </c>
      <c r="D126" t="s">
        <v>1965</v>
      </c>
      <c r="E126" t="s">
        <v>1966</v>
      </c>
      <c r="F126" t="s">
        <v>598</v>
      </c>
      <c r="G126" t="s">
        <v>478</v>
      </c>
      <c r="H126" t="s">
        <v>600</v>
      </c>
      <c r="I126" t="s">
        <v>601</v>
      </c>
      <c r="J126">
        <v>1.15E-2</v>
      </c>
      <c r="K126">
        <v>1.15E-2</v>
      </c>
      <c r="L126">
        <v>1.15E-2</v>
      </c>
      <c r="M126">
        <v>1.15E-2</v>
      </c>
      <c r="N126">
        <v>1.3100000000000001E-2</v>
      </c>
      <c r="O126">
        <v>1.3100000000000001E-2</v>
      </c>
      <c r="P126">
        <v>1.3100000000000001E-2</v>
      </c>
      <c r="Q126">
        <v>1.3100000000000001E-2</v>
      </c>
      <c r="R126">
        <v>1.3100000000000001E-2</v>
      </c>
      <c r="S126">
        <v>1.3100000000000001E-2</v>
      </c>
      <c r="T126">
        <v>1.4800000000000001E-2</v>
      </c>
      <c r="U126">
        <v>1.4800000000000001E-2</v>
      </c>
      <c r="V126">
        <v>1.4800000000000001E-2</v>
      </c>
      <c r="W126">
        <v>1.4800000000000001E-2</v>
      </c>
      <c r="X126">
        <v>1.4800000000000001E-2</v>
      </c>
      <c r="Y126">
        <v>1.6400000000000001E-2</v>
      </c>
    </row>
    <row r="127" spans="1:25" hidden="1">
      <c r="A127" t="s">
        <v>18800</v>
      </c>
      <c r="B127" t="s">
        <v>1967</v>
      </c>
      <c r="C127" t="s">
        <v>1959</v>
      </c>
      <c r="D127" t="s">
        <v>1968</v>
      </c>
      <c r="E127" t="s">
        <v>1962</v>
      </c>
      <c r="F127" t="s">
        <v>598</v>
      </c>
      <c r="G127" t="s">
        <v>478</v>
      </c>
      <c r="H127" t="s">
        <v>600</v>
      </c>
      <c r="I127" t="s">
        <v>601</v>
      </c>
      <c r="J127">
        <v>8.9099999999999999E-2</v>
      </c>
      <c r="K127">
        <v>8.9099999999999999E-2</v>
      </c>
      <c r="L127">
        <v>8.9099999999999999E-2</v>
      </c>
      <c r="M127">
        <v>8.9099999999999999E-2</v>
      </c>
      <c r="N127">
        <v>0.1019</v>
      </c>
      <c r="O127">
        <v>0.1019</v>
      </c>
      <c r="P127">
        <v>0.1019</v>
      </c>
      <c r="Q127">
        <v>0.1019</v>
      </c>
      <c r="R127">
        <v>0.1019</v>
      </c>
      <c r="S127">
        <v>0.1019</v>
      </c>
      <c r="T127">
        <v>0.11459999999999999</v>
      </c>
      <c r="U127">
        <v>0.11459999999999999</v>
      </c>
      <c r="V127">
        <v>0.11459999999999999</v>
      </c>
      <c r="W127">
        <v>0.11459999999999999</v>
      </c>
      <c r="X127">
        <v>0.11459999999999999</v>
      </c>
      <c r="Y127">
        <v>0.1273</v>
      </c>
    </row>
    <row r="128" spans="1:25" hidden="1">
      <c r="A128" t="s">
        <v>18800</v>
      </c>
      <c r="B128" t="s">
        <v>1977</v>
      </c>
      <c r="C128" t="s">
        <v>1959</v>
      </c>
      <c r="D128" t="s">
        <v>1972</v>
      </c>
      <c r="E128" t="s">
        <v>1966</v>
      </c>
      <c r="F128" t="s">
        <v>598</v>
      </c>
      <c r="G128" t="s">
        <v>478</v>
      </c>
      <c r="H128" t="s">
        <v>600</v>
      </c>
      <c r="I128" t="s">
        <v>601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hidden="1">
      <c r="A129" t="s">
        <v>18800</v>
      </c>
      <c r="B129" t="s">
        <v>1978</v>
      </c>
      <c r="C129" t="s">
        <v>1959</v>
      </c>
      <c r="D129" t="s">
        <v>1972</v>
      </c>
      <c r="E129" t="s">
        <v>1979</v>
      </c>
      <c r="F129" t="s">
        <v>598</v>
      </c>
      <c r="G129" t="s">
        <v>478</v>
      </c>
      <c r="H129" t="s">
        <v>600</v>
      </c>
      <c r="I129" t="s">
        <v>601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hidden="1">
      <c r="A130" t="s">
        <v>18800</v>
      </c>
      <c r="B130" t="s">
        <v>2005</v>
      </c>
      <c r="C130" t="s">
        <v>1959</v>
      </c>
      <c r="D130" t="s">
        <v>2001</v>
      </c>
      <c r="E130" t="s">
        <v>1976</v>
      </c>
      <c r="F130" t="s">
        <v>598</v>
      </c>
      <c r="G130" t="s">
        <v>478</v>
      </c>
      <c r="H130" t="s">
        <v>600</v>
      </c>
      <c r="I130" t="s">
        <v>601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1:25" hidden="1">
      <c r="A131" t="s">
        <v>18800</v>
      </c>
      <c r="B131" t="s">
        <v>2023</v>
      </c>
      <c r="C131" t="s">
        <v>1959</v>
      </c>
      <c r="D131" t="s">
        <v>1817</v>
      </c>
      <c r="E131" t="s">
        <v>1970</v>
      </c>
      <c r="F131" t="s">
        <v>598</v>
      </c>
      <c r="G131" t="s">
        <v>478</v>
      </c>
      <c r="H131" t="s">
        <v>600</v>
      </c>
      <c r="I131" t="s">
        <v>601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hidden="1">
      <c r="A132" t="s">
        <v>18800</v>
      </c>
      <c r="B132" t="s">
        <v>2037</v>
      </c>
      <c r="C132" t="s">
        <v>1959</v>
      </c>
      <c r="D132" t="s">
        <v>648</v>
      </c>
      <c r="E132" t="s">
        <v>646</v>
      </c>
      <c r="F132" t="s">
        <v>598</v>
      </c>
      <c r="G132" t="s">
        <v>478</v>
      </c>
      <c r="H132" t="s">
        <v>600</v>
      </c>
      <c r="I132" t="s">
        <v>601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hidden="1">
      <c r="A133" t="s">
        <v>18800</v>
      </c>
      <c r="B133" t="s">
        <v>2040</v>
      </c>
      <c r="C133" t="s">
        <v>1959</v>
      </c>
      <c r="D133" t="s">
        <v>648</v>
      </c>
      <c r="E133" t="s">
        <v>1962</v>
      </c>
      <c r="F133" t="s">
        <v>598</v>
      </c>
      <c r="G133" t="s">
        <v>478</v>
      </c>
      <c r="H133" t="s">
        <v>600</v>
      </c>
      <c r="I133" t="s">
        <v>601</v>
      </c>
      <c r="J133">
        <v>2.9999999999999997E-4</v>
      </c>
      <c r="K133">
        <v>2.9999999999999997E-4</v>
      </c>
      <c r="L133">
        <v>2.9999999999999997E-4</v>
      </c>
      <c r="M133">
        <v>2.9999999999999997E-4</v>
      </c>
      <c r="N133">
        <v>4.0000000000000002E-4</v>
      </c>
      <c r="O133">
        <v>4.0000000000000002E-4</v>
      </c>
      <c r="P133">
        <v>4.0000000000000002E-4</v>
      </c>
      <c r="Q133">
        <v>4.0000000000000002E-4</v>
      </c>
      <c r="R133">
        <v>4.0000000000000002E-4</v>
      </c>
      <c r="S133">
        <v>4.0000000000000002E-4</v>
      </c>
      <c r="T133">
        <v>4.0000000000000002E-4</v>
      </c>
      <c r="U133">
        <v>4.0000000000000002E-4</v>
      </c>
      <c r="V133">
        <v>4.0000000000000002E-4</v>
      </c>
      <c r="W133">
        <v>4.0000000000000002E-4</v>
      </c>
      <c r="X133">
        <v>4.0000000000000002E-4</v>
      </c>
      <c r="Y133">
        <v>5.0000000000000001E-4</v>
      </c>
    </row>
    <row r="134" spans="1:25" hidden="1">
      <c r="A134" t="s">
        <v>18800</v>
      </c>
      <c r="B134" t="s">
        <v>2050</v>
      </c>
      <c r="C134" t="s">
        <v>1959</v>
      </c>
      <c r="D134" t="s">
        <v>648</v>
      </c>
      <c r="E134" t="s">
        <v>2051</v>
      </c>
      <c r="F134" t="s">
        <v>598</v>
      </c>
      <c r="G134" t="s">
        <v>478</v>
      </c>
      <c r="H134" t="s">
        <v>600</v>
      </c>
      <c r="I134" t="s">
        <v>601</v>
      </c>
      <c r="J134">
        <v>7.7399999999999997E-2</v>
      </c>
      <c r="K134">
        <v>7.7399999999999997E-2</v>
      </c>
      <c r="L134">
        <v>7.7399999999999997E-2</v>
      </c>
      <c r="M134">
        <v>7.7399999999999997E-2</v>
      </c>
      <c r="N134">
        <v>8.8400000000000006E-2</v>
      </c>
      <c r="O134">
        <v>8.8400000000000006E-2</v>
      </c>
      <c r="P134">
        <v>8.8400000000000006E-2</v>
      </c>
      <c r="Q134">
        <v>8.8400000000000006E-2</v>
      </c>
      <c r="R134">
        <v>8.8400000000000006E-2</v>
      </c>
      <c r="S134">
        <v>8.8400000000000006E-2</v>
      </c>
      <c r="T134">
        <v>9.9500000000000005E-2</v>
      </c>
      <c r="U134">
        <v>9.9500000000000005E-2</v>
      </c>
      <c r="V134">
        <v>9.9500000000000005E-2</v>
      </c>
      <c r="W134">
        <v>9.9500000000000005E-2</v>
      </c>
      <c r="X134">
        <v>9.9500000000000005E-2</v>
      </c>
      <c r="Y134">
        <v>0.1105</v>
      </c>
    </row>
    <row r="135" spans="1:25" hidden="1">
      <c r="A135" t="s">
        <v>18800</v>
      </c>
      <c r="B135" t="s">
        <v>2187</v>
      </c>
      <c r="C135" t="s">
        <v>2154</v>
      </c>
      <c r="D135" t="s">
        <v>648</v>
      </c>
      <c r="E135" t="s">
        <v>920</v>
      </c>
      <c r="F135" t="s">
        <v>598</v>
      </c>
      <c r="G135" t="s">
        <v>478</v>
      </c>
      <c r="H135" t="s">
        <v>600</v>
      </c>
      <c r="I135" t="s">
        <v>601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5">
      <c r="J136">
        <f t="shared" ref="J136:Y136" si="1">SUBTOTAL(109,J71:J135)</f>
        <v>1.8599999999999998E-2</v>
      </c>
      <c r="K136">
        <f t="shared" si="1"/>
        <v>1.8599999999999998E-2</v>
      </c>
      <c r="L136">
        <f t="shared" si="1"/>
        <v>1.8599999999999998E-2</v>
      </c>
      <c r="M136">
        <f t="shared" si="1"/>
        <v>1.8599999999999998E-2</v>
      </c>
      <c r="N136">
        <f t="shared" si="1"/>
        <v>1.8599999999999998E-2</v>
      </c>
      <c r="O136">
        <f t="shared" si="1"/>
        <v>1.8599999999999998E-2</v>
      </c>
      <c r="P136">
        <f t="shared" si="1"/>
        <v>1.8599999999999998E-2</v>
      </c>
      <c r="Q136">
        <f t="shared" si="1"/>
        <v>1.8599999999999998E-2</v>
      </c>
      <c r="R136">
        <f t="shared" si="1"/>
        <v>1.8599999999999998E-2</v>
      </c>
      <c r="S136">
        <f t="shared" si="1"/>
        <v>1.8599999999999998E-2</v>
      </c>
      <c r="T136">
        <f t="shared" si="1"/>
        <v>1.8599999999999998E-2</v>
      </c>
      <c r="U136">
        <f t="shared" si="1"/>
        <v>1.8599999999999998E-2</v>
      </c>
      <c r="V136">
        <f t="shared" si="1"/>
        <v>1.8599999999999998E-2</v>
      </c>
      <c r="W136">
        <f t="shared" si="1"/>
        <v>1.8599999999999998E-2</v>
      </c>
      <c r="X136">
        <f t="shared" si="1"/>
        <v>1.8599999999999998E-2</v>
      </c>
      <c r="Y136">
        <f t="shared" si="1"/>
        <v>1.8599999999999998E-2</v>
      </c>
    </row>
    <row r="138" spans="1:25">
      <c r="A138" t="s">
        <v>569</v>
      </c>
      <c r="B138" t="s">
        <v>570</v>
      </c>
      <c r="C138" t="s">
        <v>571</v>
      </c>
      <c r="D138" t="s">
        <v>572</v>
      </c>
      <c r="E138" t="s">
        <v>573</v>
      </c>
      <c r="F138" t="s">
        <v>574</v>
      </c>
      <c r="G138" t="s">
        <v>575</v>
      </c>
      <c r="H138" t="s">
        <v>576</v>
      </c>
      <c r="I138" t="s">
        <v>577</v>
      </c>
      <c r="J138" t="s">
        <v>578</v>
      </c>
      <c r="K138" t="s">
        <v>579</v>
      </c>
      <c r="L138" t="s">
        <v>580</v>
      </c>
      <c r="M138" t="s">
        <v>581</v>
      </c>
      <c r="N138" t="s">
        <v>582</v>
      </c>
      <c r="O138" t="s">
        <v>583</v>
      </c>
      <c r="P138" t="s">
        <v>584</v>
      </c>
      <c r="Q138" t="s">
        <v>585</v>
      </c>
      <c r="R138" t="s">
        <v>586</v>
      </c>
      <c r="S138" t="s">
        <v>587</v>
      </c>
      <c r="T138" t="s">
        <v>588</v>
      </c>
      <c r="U138" t="s">
        <v>589</v>
      </c>
      <c r="V138" t="s">
        <v>590</v>
      </c>
      <c r="W138" t="s">
        <v>591</v>
      </c>
      <c r="X138" t="s">
        <v>592</v>
      </c>
      <c r="Y138" t="s">
        <v>593</v>
      </c>
    </row>
    <row r="139" spans="1:25">
      <c r="A139" t="s">
        <v>18801</v>
      </c>
      <c r="B139" t="s">
        <v>627</v>
      </c>
      <c r="C139" t="s">
        <v>595</v>
      </c>
      <c r="D139" t="s">
        <v>621</v>
      </c>
      <c r="E139" t="s">
        <v>628</v>
      </c>
      <c r="F139" t="s">
        <v>598</v>
      </c>
      <c r="G139" t="s">
        <v>478</v>
      </c>
      <c r="H139" t="s">
        <v>600</v>
      </c>
      <c r="I139" t="s">
        <v>601</v>
      </c>
      <c r="J139">
        <v>1.0999999999999999E-2</v>
      </c>
      <c r="K139">
        <v>1.0999999999999999E-2</v>
      </c>
      <c r="L139">
        <v>1.0999999999999999E-2</v>
      </c>
      <c r="M139">
        <v>1.0999999999999999E-2</v>
      </c>
      <c r="N139">
        <v>1.0999999999999999E-2</v>
      </c>
      <c r="O139">
        <v>1.0999999999999999E-2</v>
      </c>
      <c r="P139">
        <v>1.0999999999999999E-2</v>
      </c>
      <c r="Q139">
        <v>1.0999999999999999E-2</v>
      </c>
      <c r="R139">
        <v>1.0999999999999999E-2</v>
      </c>
      <c r="S139">
        <v>1.0999999999999999E-2</v>
      </c>
      <c r="T139">
        <v>1.0999999999999999E-2</v>
      </c>
      <c r="U139">
        <v>1.0999999999999999E-2</v>
      </c>
      <c r="V139">
        <v>1.0999999999999999E-2</v>
      </c>
      <c r="W139">
        <v>1.0999999999999999E-2</v>
      </c>
      <c r="X139">
        <v>1.0999999999999999E-2</v>
      </c>
      <c r="Y139">
        <v>1.0999999999999999E-2</v>
      </c>
    </row>
    <row r="140" spans="1:25" hidden="1">
      <c r="A140" t="s">
        <v>18801</v>
      </c>
      <c r="B140" t="s">
        <v>761</v>
      </c>
      <c r="C140" t="s">
        <v>729</v>
      </c>
      <c r="D140" t="s">
        <v>621</v>
      </c>
      <c r="E140" t="s">
        <v>597</v>
      </c>
      <c r="F140" t="s">
        <v>598</v>
      </c>
      <c r="G140" t="s">
        <v>478</v>
      </c>
      <c r="H140" t="s">
        <v>600</v>
      </c>
      <c r="I140" t="s">
        <v>601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hidden="1">
      <c r="A141" t="s">
        <v>18801</v>
      </c>
      <c r="B141" t="s">
        <v>762</v>
      </c>
      <c r="C141" t="s">
        <v>729</v>
      </c>
      <c r="D141" t="s">
        <v>621</v>
      </c>
      <c r="E141" t="s">
        <v>642</v>
      </c>
      <c r="F141" t="s">
        <v>598</v>
      </c>
      <c r="G141" t="s">
        <v>478</v>
      </c>
      <c r="H141" t="s">
        <v>600</v>
      </c>
      <c r="I141" t="s">
        <v>601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hidden="1">
      <c r="A142" t="s">
        <v>18801</v>
      </c>
      <c r="B142" t="s">
        <v>770</v>
      </c>
      <c r="C142" t="s">
        <v>729</v>
      </c>
      <c r="D142" t="s">
        <v>621</v>
      </c>
      <c r="E142" t="s">
        <v>628</v>
      </c>
      <c r="F142" t="s">
        <v>598</v>
      </c>
      <c r="G142" t="s">
        <v>478</v>
      </c>
      <c r="H142" t="s">
        <v>600</v>
      </c>
      <c r="I142" t="s">
        <v>601</v>
      </c>
      <c r="J142">
        <v>1.6000000000000001E-3</v>
      </c>
      <c r="K142">
        <v>1.6000000000000001E-3</v>
      </c>
      <c r="L142">
        <v>1.6000000000000001E-3</v>
      </c>
      <c r="M142">
        <v>1.6000000000000001E-3</v>
      </c>
      <c r="N142">
        <v>1.6000000000000001E-3</v>
      </c>
      <c r="O142">
        <v>1.6000000000000001E-3</v>
      </c>
      <c r="P142">
        <v>1.6000000000000001E-3</v>
      </c>
      <c r="Q142">
        <v>1.6000000000000001E-3</v>
      </c>
      <c r="R142">
        <v>1.6000000000000001E-3</v>
      </c>
      <c r="S142">
        <v>1.6000000000000001E-3</v>
      </c>
      <c r="T142">
        <v>1.6000000000000001E-3</v>
      </c>
      <c r="U142">
        <v>1.6000000000000001E-3</v>
      </c>
      <c r="V142">
        <v>1.6000000000000001E-3</v>
      </c>
      <c r="W142">
        <v>1.6000000000000001E-3</v>
      </c>
      <c r="X142">
        <v>1.6000000000000001E-3</v>
      </c>
      <c r="Y142">
        <v>1.6000000000000001E-3</v>
      </c>
    </row>
    <row r="143" spans="1:25" hidden="1">
      <c r="A143" t="s">
        <v>18801</v>
      </c>
      <c r="B143" t="s">
        <v>795</v>
      </c>
      <c r="C143" t="s">
        <v>729</v>
      </c>
      <c r="D143" t="s">
        <v>648</v>
      </c>
      <c r="E143" t="s">
        <v>597</v>
      </c>
      <c r="F143" t="s">
        <v>598</v>
      </c>
      <c r="G143" t="s">
        <v>478</v>
      </c>
      <c r="H143" t="s">
        <v>600</v>
      </c>
      <c r="I143" t="s">
        <v>601</v>
      </c>
      <c r="J143">
        <v>5.9999999999999995E-4</v>
      </c>
      <c r="K143">
        <v>5.9999999999999995E-4</v>
      </c>
      <c r="L143">
        <v>5.9999999999999995E-4</v>
      </c>
      <c r="M143">
        <v>5.9999999999999995E-4</v>
      </c>
      <c r="N143">
        <v>5.9999999999999995E-4</v>
      </c>
      <c r="O143">
        <v>5.9999999999999995E-4</v>
      </c>
      <c r="P143">
        <v>5.9999999999999995E-4</v>
      </c>
      <c r="Q143">
        <v>5.9999999999999995E-4</v>
      </c>
      <c r="R143">
        <v>5.9999999999999995E-4</v>
      </c>
      <c r="S143">
        <v>5.9999999999999995E-4</v>
      </c>
      <c r="T143">
        <v>5.9999999999999995E-4</v>
      </c>
      <c r="U143">
        <v>5.9999999999999995E-4</v>
      </c>
      <c r="V143">
        <v>5.9999999999999995E-4</v>
      </c>
      <c r="W143">
        <v>5.9999999999999995E-4</v>
      </c>
      <c r="X143">
        <v>6.9999999999999999E-4</v>
      </c>
      <c r="Y143">
        <v>6.9999999999999999E-4</v>
      </c>
    </row>
    <row r="144" spans="1:25" hidden="1">
      <c r="A144" t="s">
        <v>18801</v>
      </c>
      <c r="B144" t="s">
        <v>842</v>
      </c>
      <c r="C144" t="s">
        <v>841</v>
      </c>
      <c r="D144" t="s">
        <v>596</v>
      </c>
      <c r="E144" t="s">
        <v>597</v>
      </c>
      <c r="F144" t="s">
        <v>598</v>
      </c>
      <c r="G144" t="s">
        <v>478</v>
      </c>
      <c r="H144" t="s">
        <v>600</v>
      </c>
      <c r="I144" t="s">
        <v>601</v>
      </c>
      <c r="J144">
        <v>6.9999999999999999E-4</v>
      </c>
      <c r="K144">
        <v>6.9999999999999999E-4</v>
      </c>
      <c r="L144">
        <v>6.9999999999999999E-4</v>
      </c>
      <c r="M144">
        <v>6.9999999999999999E-4</v>
      </c>
      <c r="N144">
        <v>6.9999999999999999E-4</v>
      </c>
      <c r="O144">
        <v>6.9999999999999999E-4</v>
      </c>
      <c r="P144">
        <v>6.9999999999999999E-4</v>
      </c>
      <c r="Q144">
        <v>6.9999999999999999E-4</v>
      </c>
      <c r="R144">
        <v>6.9999999999999999E-4</v>
      </c>
      <c r="S144">
        <v>6.9999999999999999E-4</v>
      </c>
      <c r="T144">
        <v>6.9999999999999999E-4</v>
      </c>
      <c r="U144">
        <v>6.9999999999999999E-4</v>
      </c>
      <c r="V144">
        <v>6.9999999999999999E-4</v>
      </c>
      <c r="W144">
        <v>6.9999999999999999E-4</v>
      </c>
      <c r="X144">
        <v>6.9999999999999999E-4</v>
      </c>
      <c r="Y144">
        <v>6.9999999999999999E-4</v>
      </c>
    </row>
    <row r="145" spans="1:25" hidden="1">
      <c r="A145" t="s">
        <v>18801</v>
      </c>
      <c r="B145" t="s">
        <v>844</v>
      </c>
      <c r="C145" t="s">
        <v>841</v>
      </c>
      <c r="D145" t="s">
        <v>596</v>
      </c>
      <c r="E145" t="s">
        <v>603</v>
      </c>
      <c r="F145" t="s">
        <v>598</v>
      </c>
      <c r="G145" t="s">
        <v>478</v>
      </c>
      <c r="H145" t="s">
        <v>600</v>
      </c>
      <c r="I145" t="s">
        <v>601</v>
      </c>
      <c r="J145">
        <v>2.4400000000000002E-2</v>
      </c>
      <c r="K145">
        <v>2.4400000000000002E-2</v>
      </c>
      <c r="L145">
        <v>2.4400000000000002E-2</v>
      </c>
      <c r="M145">
        <v>2.4400000000000002E-2</v>
      </c>
      <c r="N145">
        <v>2.4400000000000002E-2</v>
      </c>
      <c r="O145">
        <v>2.4400000000000002E-2</v>
      </c>
      <c r="P145">
        <v>2.4400000000000002E-2</v>
      </c>
      <c r="Q145">
        <v>2.4400000000000002E-2</v>
      </c>
      <c r="R145">
        <v>2.4400000000000002E-2</v>
      </c>
      <c r="S145">
        <v>2.4400000000000002E-2</v>
      </c>
      <c r="T145">
        <v>2.4400000000000002E-2</v>
      </c>
      <c r="U145">
        <v>2.4400000000000002E-2</v>
      </c>
      <c r="V145">
        <v>2.4400000000000002E-2</v>
      </c>
      <c r="W145">
        <v>2.4400000000000002E-2</v>
      </c>
      <c r="X145">
        <v>2.4400000000000002E-2</v>
      </c>
      <c r="Y145">
        <v>2.4400000000000002E-2</v>
      </c>
    </row>
    <row r="146" spans="1:25" hidden="1">
      <c r="A146" t="s">
        <v>18801</v>
      </c>
      <c r="B146" t="s">
        <v>868</v>
      </c>
      <c r="C146" t="s">
        <v>841</v>
      </c>
      <c r="D146" t="s">
        <v>621</v>
      </c>
      <c r="E146" t="s">
        <v>597</v>
      </c>
      <c r="F146" t="s">
        <v>598</v>
      </c>
      <c r="G146" t="s">
        <v>478</v>
      </c>
      <c r="H146" t="s">
        <v>600</v>
      </c>
      <c r="I146" t="s">
        <v>601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 hidden="1">
      <c r="A147" t="s">
        <v>18801</v>
      </c>
      <c r="B147" t="s">
        <v>870</v>
      </c>
      <c r="C147" t="s">
        <v>841</v>
      </c>
      <c r="D147" t="s">
        <v>621</v>
      </c>
      <c r="E147" t="s">
        <v>603</v>
      </c>
      <c r="F147" t="s">
        <v>598</v>
      </c>
      <c r="G147" t="s">
        <v>478</v>
      </c>
      <c r="H147" t="s">
        <v>600</v>
      </c>
      <c r="I147" t="s">
        <v>601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18801</v>
      </c>
      <c r="B148" t="s">
        <v>876</v>
      </c>
      <c r="C148" t="s">
        <v>841</v>
      </c>
      <c r="D148" t="s">
        <v>621</v>
      </c>
      <c r="E148" t="s">
        <v>628</v>
      </c>
      <c r="F148" t="s">
        <v>598</v>
      </c>
      <c r="G148" t="s">
        <v>478</v>
      </c>
      <c r="H148" t="s">
        <v>600</v>
      </c>
      <c r="I148" t="s">
        <v>601</v>
      </c>
      <c r="J148">
        <v>5.0000000000000001E-4</v>
      </c>
      <c r="K148">
        <v>5.0000000000000001E-4</v>
      </c>
      <c r="L148">
        <v>5.0000000000000001E-4</v>
      </c>
      <c r="M148">
        <v>5.0000000000000001E-4</v>
      </c>
      <c r="N148">
        <v>5.0000000000000001E-4</v>
      </c>
      <c r="O148">
        <v>5.0000000000000001E-4</v>
      </c>
      <c r="P148">
        <v>5.0000000000000001E-4</v>
      </c>
      <c r="Q148">
        <v>2.9999999999999997E-4</v>
      </c>
      <c r="R148">
        <v>2.9999999999999997E-4</v>
      </c>
      <c r="S148">
        <v>2.9999999999999997E-4</v>
      </c>
      <c r="T148">
        <v>2.9999999999999997E-4</v>
      </c>
      <c r="U148">
        <v>2.9999999999999997E-4</v>
      </c>
      <c r="V148">
        <v>2.9999999999999997E-4</v>
      </c>
      <c r="W148">
        <v>2.9999999999999997E-4</v>
      </c>
      <c r="X148">
        <v>2.9999999999999997E-4</v>
      </c>
      <c r="Y148">
        <v>2.9999999999999997E-4</v>
      </c>
    </row>
    <row r="149" spans="1:25" hidden="1">
      <c r="A149" t="s">
        <v>18801</v>
      </c>
      <c r="B149" t="s">
        <v>902</v>
      </c>
      <c r="C149" t="s">
        <v>841</v>
      </c>
      <c r="D149" t="s">
        <v>648</v>
      </c>
      <c r="E149" t="s">
        <v>597</v>
      </c>
      <c r="F149" t="s">
        <v>598</v>
      </c>
      <c r="G149" t="s">
        <v>478</v>
      </c>
      <c r="H149" t="s">
        <v>600</v>
      </c>
      <c r="I149" t="s">
        <v>601</v>
      </c>
      <c r="J149">
        <v>6.7000000000000004E-2</v>
      </c>
      <c r="K149">
        <v>6.8000000000000005E-2</v>
      </c>
      <c r="L149">
        <v>6.9099999999999995E-2</v>
      </c>
      <c r="M149">
        <v>7.0400000000000004E-2</v>
      </c>
      <c r="N149">
        <v>7.1199999999999999E-2</v>
      </c>
      <c r="O149">
        <v>7.1800000000000003E-2</v>
      </c>
      <c r="P149">
        <v>7.2300000000000003E-2</v>
      </c>
      <c r="Q149">
        <v>7.2700000000000001E-2</v>
      </c>
      <c r="R149">
        <v>7.2900000000000006E-2</v>
      </c>
      <c r="S149">
        <v>7.2900000000000006E-2</v>
      </c>
      <c r="T149">
        <v>7.2599999999999998E-2</v>
      </c>
      <c r="U149">
        <v>7.2400000000000006E-2</v>
      </c>
      <c r="V149">
        <v>7.2499999999999995E-2</v>
      </c>
      <c r="W149">
        <v>7.2999999999999995E-2</v>
      </c>
      <c r="X149">
        <v>7.3300000000000004E-2</v>
      </c>
      <c r="Y149">
        <v>7.3899999999999993E-2</v>
      </c>
    </row>
    <row r="150" spans="1:25" hidden="1">
      <c r="A150" t="s">
        <v>18801</v>
      </c>
      <c r="B150" t="s">
        <v>911</v>
      </c>
      <c r="C150" t="s">
        <v>841</v>
      </c>
      <c r="D150" t="s">
        <v>648</v>
      </c>
      <c r="E150" t="s">
        <v>619</v>
      </c>
      <c r="F150" t="s">
        <v>598</v>
      </c>
      <c r="G150" t="s">
        <v>478</v>
      </c>
      <c r="H150" t="s">
        <v>600</v>
      </c>
      <c r="I150" t="s">
        <v>601</v>
      </c>
      <c r="J150">
        <v>8.0000000000000004E-4</v>
      </c>
      <c r="K150">
        <v>8.0000000000000004E-4</v>
      </c>
      <c r="L150">
        <v>8.0000000000000004E-4</v>
      </c>
      <c r="M150">
        <v>8.0000000000000004E-4</v>
      </c>
      <c r="N150">
        <v>8.0000000000000004E-4</v>
      </c>
      <c r="O150">
        <v>8.0000000000000004E-4</v>
      </c>
      <c r="P150">
        <v>8.0000000000000004E-4</v>
      </c>
      <c r="Q150">
        <v>8.0000000000000004E-4</v>
      </c>
      <c r="R150">
        <v>8.0000000000000004E-4</v>
      </c>
      <c r="S150">
        <v>8.0000000000000004E-4</v>
      </c>
      <c r="T150">
        <v>8.0000000000000004E-4</v>
      </c>
      <c r="U150">
        <v>8.0000000000000004E-4</v>
      </c>
      <c r="V150">
        <v>8.0000000000000004E-4</v>
      </c>
      <c r="W150">
        <v>8.0000000000000004E-4</v>
      </c>
      <c r="X150">
        <v>8.0000000000000004E-4</v>
      </c>
      <c r="Y150">
        <v>8.0000000000000004E-4</v>
      </c>
    </row>
    <row r="151" spans="1:25" hidden="1">
      <c r="A151" t="s">
        <v>18801</v>
      </c>
      <c r="B151" t="s">
        <v>916</v>
      </c>
      <c r="C151" t="s">
        <v>914</v>
      </c>
      <c r="D151" t="s">
        <v>621</v>
      </c>
      <c r="E151" t="s">
        <v>628</v>
      </c>
      <c r="F151" t="s">
        <v>598</v>
      </c>
      <c r="G151" t="s">
        <v>478</v>
      </c>
      <c r="H151" t="s">
        <v>600</v>
      </c>
      <c r="I151" t="s">
        <v>601</v>
      </c>
      <c r="J151">
        <v>2.0874400000000001E-2</v>
      </c>
      <c r="K151">
        <v>2.0951999999999998E-2</v>
      </c>
      <c r="L151">
        <v>2.1029599999999999E-2</v>
      </c>
      <c r="M151">
        <v>2.1029599999999999E-2</v>
      </c>
      <c r="N151">
        <v>2.1029599999999999E-2</v>
      </c>
      <c r="O151">
        <v>1.9788E-2</v>
      </c>
      <c r="P151">
        <v>1.9865600000000001E-2</v>
      </c>
      <c r="Q151">
        <v>1.9865600000000001E-2</v>
      </c>
      <c r="R151">
        <v>1.9943200000000001E-2</v>
      </c>
      <c r="S151">
        <v>2.0098399999999999E-2</v>
      </c>
      <c r="T151">
        <v>2.0098399999999999E-2</v>
      </c>
      <c r="U151">
        <v>2.0175999999999999E-2</v>
      </c>
      <c r="V151">
        <v>2.0175999999999999E-2</v>
      </c>
      <c r="W151">
        <v>2.02536E-2</v>
      </c>
      <c r="X151">
        <v>2.0408800000000001E-2</v>
      </c>
      <c r="Y151">
        <v>2.0408800000000001E-2</v>
      </c>
    </row>
    <row r="152" spans="1:25" hidden="1">
      <c r="A152" t="s">
        <v>18801</v>
      </c>
      <c r="B152" t="s">
        <v>919</v>
      </c>
      <c r="C152" t="s">
        <v>914</v>
      </c>
      <c r="D152" t="s">
        <v>648</v>
      </c>
      <c r="E152" t="s">
        <v>920</v>
      </c>
      <c r="F152" t="s">
        <v>598</v>
      </c>
      <c r="G152" t="s">
        <v>478</v>
      </c>
      <c r="H152" t="s">
        <v>600</v>
      </c>
      <c r="I152" t="s">
        <v>601</v>
      </c>
      <c r="J152">
        <v>1E-4</v>
      </c>
      <c r="K152">
        <v>1E-4</v>
      </c>
      <c r="L152">
        <v>1E-4</v>
      </c>
      <c r="M152">
        <v>1E-4</v>
      </c>
      <c r="N152">
        <v>1E-4</v>
      </c>
      <c r="O152">
        <v>1E-4</v>
      </c>
      <c r="P152">
        <v>1E-4</v>
      </c>
      <c r="Q152">
        <v>1E-4</v>
      </c>
      <c r="R152">
        <v>1E-4</v>
      </c>
      <c r="S152">
        <v>1E-4</v>
      </c>
      <c r="T152">
        <v>1E-4</v>
      </c>
      <c r="U152">
        <v>1E-4</v>
      </c>
      <c r="V152">
        <v>1E-4</v>
      </c>
      <c r="W152">
        <v>1E-4</v>
      </c>
      <c r="X152">
        <v>1E-4</v>
      </c>
      <c r="Y152">
        <v>1E-4</v>
      </c>
    </row>
    <row r="153" spans="1:25" hidden="1">
      <c r="A153" t="s">
        <v>18801</v>
      </c>
      <c r="B153" t="s">
        <v>924</v>
      </c>
      <c r="C153" t="s">
        <v>925</v>
      </c>
      <c r="D153" t="s">
        <v>926</v>
      </c>
      <c r="E153" t="s">
        <v>927</v>
      </c>
      <c r="F153" t="s">
        <v>598</v>
      </c>
      <c r="G153" t="s">
        <v>478</v>
      </c>
      <c r="H153" t="s">
        <v>600</v>
      </c>
      <c r="I153" t="s">
        <v>601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hidden="1">
      <c r="A154" t="s">
        <v>18801</v>
      </c>
      <c r="B154" t="s">
        <v>947</v>
      </c>
      <c r="C154" t="s">
        <v>943</v>
      </c>
      <c r="D154" t="s">
        <v>946</v>
      </c>
      <c r="E154" t="s">
        <v>948</v>
      </c>
      <c r="F154" t="s">
        <v>598</v>
      </c>
      <c r="G154" t="s">
        <v>478</v>
      </c>
      <c r="H154" t="s">
        <v>600</v>
      </c>
      <c r="I154" t="s">
        <v>601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hidden="1">
      <c r="A155" t="s">
        <v>18801</v>
      </c>
      <c r="B155" t="s">
        <v>951</v>
      </c>
      <c r="C155" t="s">
        <v>943</v>
      </c>
      <c r="D155" t="s">
        <v>934</v>
      </c>
      <c r="E155" t="s">
        <v>937</v>
      </c>
      <c r="F155" t="s">
        <v>598</v>
      </c>
      <c r="G155" t="s">
        <v>478</v>
      </c>
      <c r="H155" t="s">
        <v>600</v>
      </c>
      <c r="I155" t="s">
        <v>601</v>
      </c>
      <c r="J155">
        <v>2.9999999999999997E-4</v>
      </c>
      <c r="K155">
        <v>2.9999999999999997E-4</v>
      </c>
      <c r="L155">
        <v>2.9999999999999997E-4</v>
      </c>
      <c r="M155">
        <v>2.9999999999999997E-4</v>
      </c>
      <c r="N155">
        <v>2.9999999999999997E-4</v>
      </c>
      <c r="O155">
        <v>2.9999999999999997E-4</v>
      </c>
      <c r="P155">
        <v>2.9999999999999997E-4</v>
      </c>
      <c r="Q155">
        <v>2.9999999999999997E-4</v>
      </c>
      <c r="R155">
        <v>2.9999999999999997E-4</v>
      </c>
      <c r="S155">
        <v>2.9999999999999997E-4</v>
      </c>
      <c r="T155">
        <v>2.9999999999999997E-4</v>
      </c>
      <c r="U155">
        <v>2.9999999999999997E-4</v>
      </c>
      <c r="V155">
        <v>2.9999999999999997E-4</v>
      </c>
      <c r="W155">
        <v>2.9999999999999997E-4</v>
      </c>
      <c r="X155">
        <v>2.9999999999999997E-4</v>
      </c>
      <c r="Y155">
        <v>2.9999999999999997E-4</v>
      </c>
    </row>
    <row r="156" spans="1:25" hidden="1">
      <c r="A156" t="s">
        <v>18801</v>
      </c>
      <c r="B156" t="s">
        <v>959</v>
      </c>
      <c r="C156" t="s">
        <v>956</v>
      </c>
      <c r="D156" t="s">
        <v>931</v>
      </c>
      <c r="E156" t="s">
        <v>613</v>
      </c>
      <c r="F156" t="s">
        <v>598</v>
      </c>
      <c r="G156" t="s">
        <v>478</v>
      </c>
      <c r="H156" t="s">
        <v>600</v>
      </c>
      <c r="I156" t="s">
        <v>601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hidden="1">
      <c r="A157" t="s">
        <v>18801</v>
      </c>
      <c r="B157" t="s">
        <v>997</v>
      </c>
      <c r="C157" t="s">
        <v>998</v>
      </c>
      <c r="D157" t="s">
        <v>999</v>
      </c>
      <c r="E157" t="s">
        <v>1000</v>
      </c>
      <c r="F157" t="s">
        <v>598</v>
      </c>
      <c r="G157" t="s">
        <v>478</v>
      </c>
      <c r="H157" t="s">
        <v>600</v>
      </c>
      <c r="I157" t="s">
        <v>601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hidden="1">
      <c r="A158" t="s">
        <v>18801</v>
      </c>
      <c r="B158" t="s">
        <v>1009</v>
      </c>
      <c r="C158" t="s">
        <v>998</v>
      </c>
      <c r="D158" t="s">
        <v>999</v>
      </c>
      <c r="E158" t="s">
        <v>1010</v>
      </c>
      <c r="F158" t="s">
        <v>598</v>
      </c>
      <c r="G158" t="s">
        <v>478</v>
      </c>
      <c r="H158" t="s">
        <v>600</v>
      </c>
      <c r="I158" t="s">
        <v>601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18801</v>
      </c>
      <c r="B159" t="s">
        <v>1015</v>
      </c>
      <c r="C159" t="s">
        <v>1016</v>
      </c>
      <c r="D159" t="s">
        <v>1017</v>
      </c>
      <c r="E159" t="s">
        <v>1018</v>
      </c>
      <c r="F159" t="s">
        <v>598</v>
      </c>
      <c r="G159" t="s">
        <v>478</v>
      </c>
      <c r="H159" t="s">
        <v>600</v>
      </c>
      <c r="I159" t="s">
        <v>601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hidden="1">
      <c r="A160" t="s">
        <v>18801</v>
      </c>
      <c r="B160" t="s">
        <v>1021</v>
      </c>
      <c r="C160" t="s">
        <v>1016</v>
      </c>
      <c r="D160" t="s">
        <v>1017</v>
      </c>
      <c r="E160" t="s">
        <v>1022</v>
      </c>
      <c r="F160" t="s">
        <v>598</v>
      </c>
      <c r="G160" t="s">
        <v>478</v>
      </c>
      <c r="H160" t="s">
        <v>600</v>
      </c>
      <c r="I160" t="s">
        <v>601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hidden="1">
      <c r="A161" t="s">
        <v>18801</v>
      </c>
      <c r="B161" t="s">
        <v>1023</v>
      </c>
      <c r="C161" t="s">
        <v>1016</v>
      </c>
      <c r="D161" t="s">
        <v>1017</v>
      </c>
      <c r="E161" t="s">
        <v>1024</v>
      </c>
      <c r="F161" t="s">
        <v>598</v>
      </c>
      <c r="G161" t="s">
        <v>478</v>
      </c>
      <c r="H161" t="s">
        <v>600</v>
      </c>
      <c r="I161" t="s">
        <v>601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hidden="1">
      <c r="A162" t="s">
        <v>18801</v>
      </c>
      <c r="B162" t="s">
        <v>1029</v>
      </c>
      <c r="C162" t="s">
        <v>1016</v>
      </c>
      <c r="D162" t="s">
        <v>1017</v>
      </c>
      <c r="E162" t="s">
        <v>1030</v>
      </c>
      <c r="F162" t="s">
        <v>598</v>
      </c>
      <c r="G162" t="s">
        <v>478</v>
      </c>
      <c r="H162" t="s">
        <v>600</v>
      </c>
      <c r="I162" t="s">
        <v>601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hidden="1">
      <c r="A163" t="s">
        <v>18801</v>
      </c>
      <c r="B163" t="s">
        <v>1037</v>
      </c>
      <c r="C163" t="s">
        <v>1016</v>
      </c>
      <c r="D163" t="s">
        <v>1017</v>
      </c>
      <c r="E163" t="s">
        <v>1038</v>
      </c>
      <c r="F163" t="s">
        <v>598</v>
      </c>
      <c r="G163" t="s">
        <v>478</v>
      </c>
      <c r="H163" t="s">
        <v>600</v>
      </c>
      <c r="I163" t="s">
        <v>601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hidden="1">
      <c r="A164" t="s">
        <v>18801</v>
      </c>
      <c r="B164" t="s">
        <v>1041</v>
      </c>
      <c r="C164" t="s">
        <v>1016</v>
      </c>
      <c r="D164" t="s">
        <v>1017</v>
      </c>
      <c r="E164" t="s">
        <v>1042</v>
      </c>
      <c r="F164" t="s">
        <v>598</v>
      </c>
      <c r="G164" t="s">
        <v>478</v>
      </c>
      <c r="H164" t="s">
        <v>600</v>
      </c>
      <c r="I164" t="s">
        <v>601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18801</v>
      </c>
      <c r="B165" t="s">
        <v>1047</v>
      </c>
      <c r="C165" t="s">
        <v>1016</v>
      </c>
      <c r="D165" t="s">
        <v>1017</v>
      </c>
      <c r="E165" t="s">
        <v>1048</v>
      </c>
      <c r="F165" t="s">
        <v>598</v>
      </c>
      <c r="G165" t="s">
        <v>478</v>
      </c>
      <c r="H165" t="s">
        <v>600</v>
      </c>
      <c r="I165" t="s">
        <v>601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18801</v>
      </c>
      <c r="B166" t="s">
        <v>1049</v>
      </c>
      <c r="C166" t="s">
        <v>1016</v>
      </c>
      <c r="D166" t="s">
        <v>1050</v>
      </c>
      <c r="E166" t="s">
        <v>1024</v>
      </c>
      <c r="F166" t="s">
        <v>598</v>
      </c>
      <c r="G166" t="s">
        <v>478</v>
      </c>
      <c r="H166" t="s">
        <v>600</v>
      </c>
      <c r="I166" t="s">
        <v>601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18801</v>
      </c>
      <c r="B167" t="s">
        <v>1059</v>
      </c>
      <c r="C167" t="s">
        <v>1016</v>
      </c>
      <c r="D167" t="s">
        <v>1050</v>
      </c>
      <c r="E167" t="s">
        <v>1042</v>
      </c>
      <c r="F167" t="s">
        <v>598</v>
      </c>
      <c r="G167" t="s">
        <v>478</v>
      </c>
      <c r="H167" t="s">
        <v>600</v>
      </c>
      <c r="I167" t="s">
        <v>601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hidden="1">
      <c r="A168" t="s">
        <v>18801</v>
      </c>
      <c r="B168" t="s">
        <v>1062</v>
      </c>
      <c r="C168" t="s">
        <v>1016</v>
      </c>
      <c r="D168" t="s">
        <v>1063</v>
      </c>
      <c r="E168" t="s">
        <v>1018</v>
      </c>
      <c r="F168" t="s">
        <v>598</v>
      </c>
      <c r="G168" t="s">
        <v>478</v>
      </c>
      <c r="H168" t="s">
        <v>600</v>
      </c>
      <c r="I168" t="s">
        <v>601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18801</v>
      </c>
      <c r="B169" t="s">
        <v>1064</v>
      </c>
      <c r="C169" t="s">
        <v>1016</v>
      </c>
      <c r="D169" t="s">
        <v>1063</v>
      </c>
      <c r="E169" t="s">
        <v>1022</v>
      </c>
      <c r="F169" t="s">
        <v>598</v>
      </c>
      <c r="G169" t="s">
        <v>478</v>
      </c>
      <c r="H169" t="s">
        <v>600</v>
      </c>
      <c r="I169" t="s">
        <v>601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18801</v>
      </c>
      <c r="B170" t="s">
        <v>1065</v>
      </c>
      <c r="C170" t="s">
        <v>1016</v>
      </c>
      <c r="D170" t="s">
        <v>1063</v>
      </c>
      <c r="E170" t="s">
        <v>1024</v>
      </c>
      <c r="F170" t="s">
        <v>598</v>
      </c>
      <c r="G170" t="s">
        <v>478</v>
      </c>
      <c r="H170" t="s">
        <v>600</v>
      </c>
      <c r="I170" t="s">
        <v>601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hidden="1">
      <c r="A171" t="s">
        <v>18801</v>
      </c>
      <c r="B171" t="s">
        <v>1067</v>
      </c>
      <c r="C171" t="s">
        <v>1016</v>
      </c>
      <c r="D171" t="s">
        <v>1063</v>
      </c>
      <c r="E171" t="s">
        <v>1026</v>
      </c>
      <c r="F171" t="s">
        <v>598</v>
      </c>
      <c r="G171" t="s">
        <v>478</v>
      </c>
      <c r="H171" t="s">
        <v>600</v>
      </c>
      <c r="I171" t="s">
        <v>601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18801</v>
      </c>
      <c r="B172" t="s">
        <v>1068</v>
      </c>
      <c r="C172" t="s">
        <v>1016</v>
      </c>
      <c r="D172" t="s">
        <v>1063</v>
      </c>
      <c r="E172" t="s">
        <v>1030</v>
      </c>
      <c r="F172" t="s">
        <v>598</v>
      </c>
      <c r="G172" t="s">
        <v>478</v>
      </c>
      <c r="H172" t="s">
        <v>600</v>
      </c>
      <c r="I172" t="s">
        <v>601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hidden="1">
      <c r="A173" t="s">
        <v>18801</v>
      </c>
      <c r="B173" t="s">
        <v>1069</v>
      </c>
      <c r="C173" t="s">
        <v>1016</v>
      </c>
      <c r="D173" t="s">
        <v>1063</v>
      </c>
      <c r="E173" t="s">
        <v>1035</v>
      </c>
      <c r="F173" t="s">
        <v>598</v>
      </c>
      <c r="G173" t="s">
        <v>478</v>
      </c>
      <c r="H173" t="s">
        <v>600</v>
      </c>
      <c r="I173" t="s">
        <v>601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18801</v>
      </c>
      <c r="B174" t="s">
        <v>1072</v>
      </c>
      <c r="C174" t="s">
        <v>1016</v>
      </c>
      <c r="D174" t="s">
        <v>1063</v>
      </c>
      <c r="E174" t="s">
        <v>1040</v>
      </c>
      <c r="F174" t="s">
        <v>598</v>
      </c>
      <c r="G174" t="s">
        <v>478</v>
      </c>
      <c r="H174" t="s">
        <v>600</v>
      </c>
      <c r="I174" t="s">
        <v>601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hidden="1">
      <c r="A175" t="s">
        <v>18801</v>
      </c>
      <c r="B175" t="s">
        <v>1073</v>
      </c>
      <c r="C175" t="s">
        <v>1016</v>
      </c>
      <c r="D175" t="s">
        <v>1063</v>
      </c>
      <c r="E175" t="s">
        <v>1042</v>
      </c>
      <c r="F175" t="s">
        <v>598</v>
      </c>
      <c r="G175" t="s">
        <v>478</v>
      </c>
      <c r="H175" t="s">
        <v>600</v>
      </c>
      <c r="I175" t="s">
        <v>601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hidden="1">
      <c r="A176" t="s">
        <v>18801</v>
      </c>
      <c r="B176" t="s">
        <v>1075</v>
      </c>
      <c r="C176" t="s">
        <v>1016</v>
      </c>
      <c r="D176" t="s">
        <v>1063</v>
      </c>
      <c r="E176" t="s">
        <v>1046</v>
      </c>
      <c r="F176" t="s">
        <v>598</v>
      </c>
      <c r="G176" t="s">
        <v>478</v>
      </c>
      <c r="H176" t="s">
        <v>600</v>
      </c>
      <c r="I176" t="s">
        <v>601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hidden="1">
      <c r="A177" t="s">
        <v>18801</v>
      </c>
      <c r="B177" t="s">
        <v>1076</v>
      </c>
      <c r="C177" t="s">
        <v>1016</v>
      </c>
      <c r="D177" t="s">
        <v>1063</v>
      </c>
      <c r="E177" t="s">
        <v>1048</v>
      </c>
      <c r="F177" t="s">
        <v>598</v>
      </c>
      <c r="G177" t="s">
        <v>478</v>
      </c>
      <c r="H177" t="s">
        <v>600</v>
      </c>
      <c r="I177" t="s">
        <v>601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hidden="1">
      <c r="A178" t="s">
        <v>18801</v>
      </c>
      <c r="B178" t="s">
        <v>1087</v>
      </c>
      <c r="C178" t="s">
        <v>1079</v>
      </c>
      <c r="D178" t="s">
        <v>1086</v>
      </c>
      <c r="E178" t="s">
        <v>1081</v>
      </c>
      <c r="F178" t="s">
        <v>598</v>
      </c>
      <c r="G178" t="s">
        <v>478</v>
      </c>
      <c r="H178" t="s">
        <v>600</v>
      </c>
      <c r="I178" t="s">
        <v>601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hidden="1">
      <c r="A179" t="s">
        <v>18801</v>
      </c>
      <c r="B179" t="s">
        <v>1144</v>
      </c>
      <c r="C179" t="s">
        <v>1079</v>
      </c>
      <c r="D179" t="s">
        <v>1145</v>
      </c>
      <c r="E179" t="s">
        <v>1081</v>
      </c>
      <c r="F179" t="s">
        <v>598</v>
      </c>
      <c r="G179" t="s">
        <v>478</v>
      </c>
      <c r="H179" t="s">
        <v>600</v>
      </c>
      <c r="I179" t="s">
        <v>601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hidden="1">
      <c r="A180" t="s">
        <v>18801</v>
      </c>
      <c r="B180" t="s">
        <v>1155</v>
      </c>
      <c r="C180" t="s">
        <v>1079</v>
      </c>
      <c r="D180" t="s">
        <v>1156</v>
      </c>
      <c r="E180" t="s">
        <v>1081</v>
      </c>
      <c r="F180" t="s">
        <v>598</v>
      </c>
      <c r="G180" t="s">
        <v>478</v>
      </c>
      <c r="H180" t="s">
        <v>600</v>
      </c>
      <c r="I180" t="s">
        <v>601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hidden="1">
      <c r="A181" t="s">
        <v>18801</v>
      </c>
      <c r="B181" t="s">
        <v>1217</v>
      </c>
      <c r="C181" t="s">
        <v>1079</v>
      </c>
      <c r="D181" t="s">
        <v>1188</v>
      </c>
      <c r="E181" t="s">
        <v>1106</v>
      </c>
      <c r="F181" t="s">
        <v>598</v>
      </c>
      <c r="G181" t="s">
        <v>478</v>
      </c>
      <c r="H181" t="s">
        <v>600</v>
      </c>
      <c r="I181" t="s">
        <v>601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hidden="1">
      <c r="A182" t="s">
        <v>18801</v>
      </c>
      <c r="B182" t="s">
        <v>1221</v>
      </c>
      <c r="C182" t="s">
        <v>1079</v>
      </c>
      <c r="D182" t="s">
        <v>648</v>
      </c>
      <c r="E182" t="s">
        <v>1081</v>
      </c>
      <c r="F182" t="s">
        <v>598</v>
      </c>
      <c r="G182" t="s">
        <v>478</v>
      </c>
      <c r="H182" t="s">
        <v>600</v>
      </c>
      <c r="I182" t="s">
        <v>601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18801</v>
      </c>
      <c r="B183" t="s">
        <v>1247</v>
      </c>
      <c r="C183" t="s">
        <v>1230</v>
      </c>
      <c r="D183" t="s">
        <v>1246</v>
      </c>
      <c r="E183" t="s">
        <v>1239</v>
      </c>
      <c r="F183" t="s">
        <v>598</v>
      </c>
      <c r="G183" t="s">
        <v>478</v>
      </c>
      <c r="H183" t="s">
        <v>600</v>
      </c>
      <c r="I183" t="s">
        <v>601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hidden="1">
      <c r="A184" t="s">
        <v>18801</v>
      </c>
      <c r="B184" t="s">
        <v>1256</v>
      </c>
      <c r="C184" t="s">
        <v>1253</v>
      </c>
      <c r="D184" t="s">
        <v>1254</v>
      </c>
      <c r="E184" t="s">
        <v>1257</v>
      </c>
      <c r="F184" t="s">
        <v>598</v>
      </c>
      <c r="G184" t="s">
        <v>478</v>
      </c>
      <c r="H184" t="s">
        <v>600</v>
      </c>
      <c r="I184" t="s">
        <v>601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hidden="1">
      <c r="A185" t="s">
        <v>18801</v>
      </c>
      <c r="B185" t="s">
        <v>1258</v>
      </c>
      <c r="C185" t="s">
        <v>1253</v>
      </c>
      <c r="D185" t="s">
        <v>1254</v>
      </c>
      <c r="E185" t="s">
        <v>1259</v>
      </c>
      <c r="F185" t="s">
        <v>598</v>
      </c>
      <c r="G185" t="s">
        <v>478</v>
      </c>
      <c r="H185" t="s">
        <v>600</v>
      </c>
      <c r="I185" t="s">
        <v>601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hidden="1">
      <c r="A186" t="s">
        <v>18801</v>
      </c>
      <c r="B186" t="s">
        <v>1482</v>
      </c>
      <c r="C186" t="s">
        <v>1472</v>
      </c>
      <c r="D186" t="s">
        <v>1483</v>
      </c>
      <c r="E186" t="s">
        <v>597</v>
      </c>
      <c r="F186" t="s">
        <v>598</v>
      </c>
      <c r="G186" t="s">
        <v>478</v>
      </c>
      <c r="H186" t="s">
        <v>600</v>
      </c>
      <c r="I186" t="s">
        <v>601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hidden="1">
      <c r="A187" t="s">
        <v>18801</v>
      </c>
      <c r="B187" t="s">
        <v>1566</v>
      </c>
      <c r="C187" t="s">
        <v>1472</v>
      </c>
      <c r="D187" t="s">
        <v>1567</v>
      </c>
      <c r="E187" t="s">
        <v>626</v>
      </c>
      <c r="F187" t="s">
        <v>598</v>
      </c>
      <c r="G187" t="s">
        <v>478</v>
      </c>
      <c r="H187" t="s">
        <v>600</v>
      </c>
      <c r="I187" t="s">
        <v>601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hidden="1">
      <c r="A188" t="s">
        <v>18801</v>
      </c>
      <c r="B188" t="s">
        <v>1568</v>
      </c>
      <c r="C188" t="s">
        <v>1472</v>
      </c>
      <c r="D188" t="s">
        <v>1569</v>
      </c>
      <c r="E188" t="s">
        <v>626</v>
      </c>
      <c r="F188" t="s">
        <v>598</v>
      </c>
      <c r="G188" t="s">
        <v>478</v>
      </c>
      <c r="H188" t="s">
        <v>600</v>
      </c>
      <c r="I188" t="s">
        <v>601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hidden="1">
      <c r="A189" t="s">
        <v>18801</v>
      </c>
      <c r="B189" t="s">
        <v>1570</v>
      </c>
      <c r="C189" t="s">
        <v>1472</v>
      </c>
      <c r="D189" t="s">
        <v>1571</v>
      </c>
      <c r="E189" t="s">
        <v>626</v>
      </c>
      <c r="F189" t="s">
        <v>598</v>
      </c>
      <c r="G189" t="s">
        <v>478</v>
      </c>
      <c r="H189" t="s">
        <v>600</v>
      </c>
      <c r="I189" t="s">
        <v>601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hidden="1">
      <c r="A190" t="s">
        <v>18801</v>
      </c>
      <c r="B190" t="s">
        <v>1573</v>
      </c>
      <c r="C190" t="s">
        <v>1472</v>
      </c>
      <c r="D190" t="s">
        <v>1574</v>
      </c>
      <c r="E190" t="s">
        <v>626</v>
      </c>
      <c r="F190" t="s">
        <v>598</v>
      </c>
      <c r="G190" t="s">
        <v>478</v>
      </c>
      <c r="H190" t="s">
        <v>600</v>
      </c>
      <c r="I190" t="s">
        <v>601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hidden="1">
      <c r="A191" t="s">
        <v>18801</v>
      </c>
      <c r="B191" t="s">
        <v>1575</v>
      </c>
      <c r="C191" t="s">
        <v>1472</v>
      </c>
      <c r="D191" t="s">
        <v>1576</v>
      </c>
      <c r="E191" t="s">
        <v>626</v>
      </c>
      <c r="F191" t="s">
        <v>598</v>
      </c>
      <c r="G191" t="s">
        <v>478</v>
      </c>
      <c r="H191" t="s">
        <v>600</v>
      </c>
      <c r="I191" t="s">
        <v>601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hidden="1">
      <c r="A192" t="s">
        <v>18801</v>
      </c>
      <c r="B192" t="s">
        <v>1577</v>
      </c>
      <c r="C192" t="s">
        <v>1472</v>
      </c>
      <c r="D192" t="s">
        <v>1578</v>
      </c>
      <c r="E192" t="s">
        <v>626</v>
      </c>
      <c r="F192" t="s">
        <v>598</v>
      </c>
      <c r="G192" t="s">
        <v>478</v>
      </c>
      <c r="H192" t="s">
        <v>600</v>
      </c>
      <c r="I192" t="s">
        <v>601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18801</v>
      </c>
      <c r="B193" t="s">
        <v>1582</v>
      </c>
      <c r="C193" t="s">
        <v>1472</v>
      </c>
      <c r="D193" t="s">
        <v>1583</v>
      </c>
      <c r="E193" t="s">
        <v>626</v>
      </c>
      <c r="F193" t="s">
        <v>598</v>
      </c>
      <c r="G193" t="s">
        <v>478</v>
      </c>
      <c r="H193" t="s">
        <v>600</v>
      </c>
      <c r="I193" t="s">
        <v>601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hidden="1">
      <c r="A194" t="s">
        <v>18801</v>
      </c>
      <c r="B194" t="s">
        <v>1590</v>
      </c>
      <c r="C194" t="s">
        <v>1472</v>
      </c>
      <c r="D194" t="s">
        <v>1365</v>
      </c>
      <c r="E194" t="s">
        <v>626</v>
      </c>
      <c r="F194" t="s">
        <v>598</v>
      </c>
      <c r="G194" t="s">
        <v>478</v>
      </c>
      <c r="H194" t="s">
        <v>600</v>
      </c>
      <c r="I194" t="s">
        <v>601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hidden="1">
      <c r="A195" t="s">
        <v>18801</v>
      </c>
      <c r="B195" t="s">
        <v>1600</v>
      </c>
      <c r="C195" t="s">
        <v>1472</v>
      </c>
      <c r="D195" t="s">
        <v>1601</v>
      </c>
      <c r="E195" t="s">
        <v>626</v>
      </c>
      <c r="F195" t="s">
        <v>598</v>
      </c>
      <c r="G195" t="s">
        <v>478</v>
      </c>
      <c r="H195" t="s">
        <v>600</v>
      </c>
      <c r="I195" t="s">
        <v>601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hidden="1">
      <c r="A196" t="s">
        <v>18801</v>
      </c>
      <c r="B196" t="s">
        <v>1602</v>
      </c>
      <c r="C196" t="s">
        <v>1472</v>
      </c>
      <c r="D196" t="s">
        <v>1603</v>
      </c>
      <c r="E196" t="s">
        <v>626</v>
      </c>
      <c r="F196" t="s">
        <v>598</v>
      </c>
      <c r="G196" t="s">
        <v>478</v>
      </c>
      <c r="H196" t="s">
        <v>600</v>
      </c>
      <c r="I196" t="s">
        <v>601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hidden="1">
      <c r="A197" t="s">
        <v>18801</v>
      </c>
      <c r="B197" t="s">
        <v>1604</v>
      </c>
      <c r="C197" t="s">
        <v>1472</v>
      </c>
      <c r="D197" t="s">
        <v>1605</v>
      </c>
      <c r="E197" t="s">
        <v>626</v>
      </c>
      <c r="F197" t="s">
        <v>598</v>
      </c>
      <c r="G197" t="s">
        <v>478</v>
      </c>
      <c r="H197" t="s">
        <v>600</v>
      </c>
      <c r="I197" t="s">
        <v>601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hidden="1">
      <c r="A198" t="s">
        <v>18801</v>
      </c>
      <c r="B198" t="s">
        <v>1610</v>
      </c>
      <c r="C198" t="s">
        <v>1611</v>
      </c>
      <c r="D198" t="s">
        <v>648</v>
      </c>
      <c r="E198" t="s">
        <v>920</v>
      </c>
      <c r="F198" t="s">
        <v>598</v>
      </c>
      <c r="G198" t="s">
        <v>478</v>
      </c>
      <c r="H198" t="s">
        <v>600</v>
      </c>
      <c r="I198" t="s">
        <v>601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hidden="1">
      <c r="A199" t="s">
        <v>18801</v>
      </c>
      <c r="B199" t="s">
        <v>1885</v>
      </c>
      <c r="C199" t="s">
        <v>1845</v>
      </c>
      <c r="D199" t="s">
        <v>1878</v>
      </c>
      <c r="E199" t="s">
        <v>1886</v>
      </c>
      <c r="F199" t="s">
        <v>598</v>
      </c>
      <c r="G199" t="s">
        <v>478</v>
      </c>
      <c r="H199" t="s">
        <v>600</v>
      </c>
      <c r="I199" t="s">
        <v>601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18801</v>
      </c>
      <c r="B200" t="s">
        <v>1967</v>
      </c>
      <c r="C200" t="s">
        <v>1959</v>
      </c>
      <c r="D200" t="s">
        <v>1968</v>
      </c>
      <c r="E200" t="s">
        <v>1962</v>
      </c>
      <c r="F200" t="s">
        <v>598</v>
      </c>
      <c r="G200" t="s">
        <v>478</v>
      </c>
      <c r="H200" t="s">
        <v>600</v>
      </c>
      <c r="I200" t="s">
        <v>601</v>
      </c>
      <c r="J200">
        <v>1E-3</v>
      </c>
      <c r="K200">
        <v>1E-3</v>
      </c>
      <c r="L200">
        <v>1.1000000000000001E-3</v>
      </c>
      <c r="M200">
        <v>1.1000000000000001E-3</v>
      </c>
      <c r="N200">
        <v>1.1000000000000001E-3</v>
      </c>
      <c r="O200">
        <v>1.1000000000000001E-3</v>
      </c>
      <c r="P200">
        <v>1.1000000000000001E-3</v>
      </c>
      <c r="Q200">
        <v>1.1000000000000001E-3</v>
      </c>
      <c r="R200">
        <v>1.1999999999999999E-3</v>
      </c>
      <c r="S200">
        <v>1.1999999999999999E-3</v>
      </c>
      <c r="T200">
        <v>1.1999999999999999E-3</v>
      </c>
      <c r="U200">
        <v>1.1999999999999999E-3</v>
      </c>
      <c r="V200">
        <v>1.1999999999999999E-3</v>
      </c>
      <c r="W200">
        <v>1.1999999999999999E-3</v>
      </c>
      <c r="X200">
        <v>1.1999999999999999E-3</v>
      </c>
      <c r="Y200">
        <v>1.2999999999999999E-3</v>
      </c>
    </row>
    <row r="201" spans="1:25" hidden="1">
      <c r="A201" t="s">
        <v>18801</v>
      </c>
      <c r="B201" t="s">
        <v>2005</v>
      </c>
      <c r="C201" t="s">
        <v>1959</v>
      </c>
      <c r="D201" t="s">
        <v>2001</v>
      </c>
      <c r="E201" t="s">
        <v>1976</v>
      </c>
      <c r="F201" t="s">
        <v>598</v>
      </c>
      <c r="G201" t="s">
        <v>478</v>
      </c>
      <c r="H201" t="s">
        <v>600</v>
      </c>
      <c r="I201" t="s">
        <v>601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>
      <c r="J202">
        <f t="shared" ref="J202:Y202" si="2">SUBTOTAL(109,J139:J201)</f>
        <v>1.0999999999999999E-2</v>
      </c>
      <c r="K202">
        <f t="shared" si="2"/>
        <v>1.0999999999999999E-2</v>
      </c>
      <c r="L202">
        <f t="shared" si="2"/>
        <v>1.0999999999999999E-2</v>
      </c>
      <c r="M202">
        <f t="shared" si="2"/>
        <v>1.0999999999999999E-2</v>
      </c>
      <c r="N202">
        <f t="shared" si="2"/>
        <v>1.0999999999999999E-2</v>
      </c>
      <c r="O202">
        <f t="shared" si="2"/>
        <v>1.0999999999999999E-2</v>
      </c>
      <c r="P202">
        <f t="shared" si="2"/>
        <v>1.0999999999999999E-2</v>
      </c>
      <c r="Q202">
        <f t="shared" si="2"/>
        <v>1.0999999999999999E-2</v>
      </c>
      <c r="R202">
        <f t="shared" si="2"/>
        <v>1.0999999999999999E-2</v>
      </c>
      <c r="S202">
        <f t="shared" si="2"/>
        <v>1.0999999999999999E-2</v>
      </c>
      <c r="T202">
        <f t="shared" si="2"/>
        <v>1.0999999999999999E-2</v>
      </c>
      <c r="U202">
        <f t="shared" si="2"/>
        <v>1.0999999999999999E-2</v>
      </c>
      <c r="V202">
        <f t="shared" si="2"/>
        <v>1.0999999999999999E-2</v>
      </c>
      <c r="W202">
        <f t="shared" si="2"/>
        <v>1.0999999999999999E-2</v>
      </c>
      <c r="X202">
        <f t="shared" si="2"/>
        <v>1.0999999999999999E-2</v>
      </c>
      <c r="Y202">
        <f t="shared" si="2"/>
        <v>1.0999999999999999E-2</v>
      </c>
    </row>
    <row r="204" spans="1:25">
      <c r="A204" t="s">
        <v>569</v>
      </c>
      <c r="B204" t="s">
        <v>570</v>
      </c>
      <c r="C204" t="s">
        <v>571</v>
      </c>
      <c r="D204" t="s">
        <v>572</v>
      </c>
      <c r="E204" t="s">
        <v>573</v>
      </c>
      <c r="F204" t="s">
        <v>574</v>
      </c>
      <c r="G204" t="s">
        <v>575</v>
      </c>
      <c r="H204" t="s">
        <v>576</v>
      </c>
      <c r="I204" t="s">
        <v>577</v>
      </c>
      <c r="J204" t="s">
        <v>578</v>
      </c>
      <c r="K204" t="s">
        <v>579</v>
      </c>
      <c r="L204" t="s">
        <v>580</v>
      </c>
      <c r="M204" t="s">
        <v>581</v>
      </c>
      <c r="N204" t="s">
        <v>582</v>
      </c>
      <c r="O204" t="s">
        <v>583</v>
      </c>
      <c r="P204" t="s">
        <v>584</v>
      </c>
      <c r="Q204" t="s">
        <v>585</v>
      </c>
      <c r="R204" t="s">
        <v>586</v>
      </c>
      <c r="S204" t="s">
        <v>587</v>
      </c>
      <c r="T204" t="s">
        <v>588</v>
      </c>
      <c r="U204" t="s">
        <v>589</v>
      </c>
      <c r="V204" t="s">
        <v>590</v>
      </c>
      <c r="W204" t="s">
        <v>591</v>
      </c>
      <c r="X204" t="s">
        <v>592</v>
      </c>
      <c r="Y204" t="s">
        <v>593</v>
      </c>
    </row>
    <row r="205" spans="1:25">
      <c r="A205" t="s">
        <v>18802</v>
      </c>
      <c r="B205" t="s">
        <v>594</v>
      </c>
      <c r="C205" t="s">
        <v>595</v>
      </c>
      <c r="D205" t="s">
        <v>596</v>
      </c>
      <c r="E205" t="s">
        <v>597</v>
      </c>
      <c r="F205" t="s">
        <v>598</v>
      </c>
      <c r="G205" t="s">
        <v>478</v>
      </c>
      <c r="H205" t="s">
        <v>600</v>
      </c>
      <c r="I205" t="s">
        <v>601</v>
      </c>
      <c r="J205">
        <v>0.21560000000000001</v>
      </c>
      <c r="K205">
        <v>0.21429999999999999</v>
      </c>
      <c r="L205">
        <v>0.20849999999999999</v>
      </c>
      <c r="M205">
        <v>0.21010000000000001</v>
      </c>
      <c r="N205">
        <v>0.20949999999999999</v>
      </c>
      <c r="O205">
        <v>0.20930000000000001</v>
      </c>
      <c r="P205">
        <v>0.2175</v>
      </c>
      <c r="Q205">
        <v>0.22309999999999999</v>
      </c>
      <c r="R205">
        <v>0.22700000000000001</v>
      </c>
      <c r="S205">
        <v>0.22969999999999999</v>
      </c>
      <c r="T205">
        <v>0.23150000000000001</v>
      </c>
      <c r="U205">
        <v>0.23150000000000001</v>
      </c>
      <c r="V205">
        <v>0.23150000000000001</v>
      </c>
      <c r="W205">
        <v>0.23150000000000001</v>
      </c>
      <c r="X205">
        <v>0.23150000000000001</v>
      </c>
      <c r="Y205">
        <v>0.23150000000000001</v>
      </c>
    </row>
    <row r="206" spans="1:25">
      <c r="A206" t="s">
        <v>18802</v>
      </c>
      <c r="B206" t="s">
        <v>606</v>
      </c>
      <c r="C206" t="s">
        <v>595</v>
      </c>
      <c r="D206" t="s">
        <v>596</v>
      </c>
      <c r="E206" t="s">
        <v>607</v>
      </c>
      <c r="F206" t="s">
        <v>598</v>
      </c>
      <c r="G206" t="s">
        <v>478</v>
      </c>
      <c r="H206" t="s">
        <v>600</v>
      </c>
      <c r="I206" t="s">
        <v>601</v>
      </c>
      <c r="J206">
        <v>0.61890000000000001</v>
      </c>
      <c r="K206">
        <v>0.61509999999999998</v>
      </c>
      <c r="L206">
        <v>0.59840000000000004</v>
      </c>
      <c r="M206">
        <v>0.60289999999999999</v>
      </c>
      <c r="N206">
        <v>0.60140000000000005</v>
      </c>
      <c r="O206">
        <v>0.60070000000000001</v>
      </c>
      <c r="P206">
        <v>0.62419999999999998</v>
      </c>
      <c r="Q206">
        <v>0.6401</v>
      </c>
      <c r="R206">
        <v>0.65149999999999997</v>
      </c>
      <c r="S206">
        <v>0.65910000000000002</v>
      </c>
      <c r="T206">
        <v>0.66439999999999999</v>
      </c>
      <c r="U206">
        <v>0.66439999999999999</v>
      </c>
      <c r="V206">
        <v>0.66439999999999999</v>
      </c>
      <c r="W206">
        <v>0.66439999999999999</v>
      </c>
      <c r="X206">
        <v>0.66439999999999999</v>
      </c>
      <c r="Y206">
        <v>0.66439999999999999</v>
      </c>
    </row>
    <row r="207" spans="1:25">
      <c r="A207" t="s">
        <v>18802</v>
      </c>
      <c r="B207" t="s">
        <v>625</v>
      </c>
      <c r="C207" t="s">
        <v>595</v>
      </c>
      <c r="D207" t="s">
        <v>621</v>
      </c>
      <c r="E207" t="s">
        <v>626</v>
      </c>
      <c r="F207" t="s">
        <v>598</v>
      </c>
      <c r="G207" t="s">
        <v>478</v>
      </c>
      <c r="H207" t="s">
        <v>600</v>
      </c>
      <c r="I207" t="s">
        <v>601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18802</v>
      </c>
      <c r="B208" t="s">
        <v>627</v>
      </c>
      <c r="C208" t="s">
        <v>595</v>
      </c>
      <c r="D208" t="s">
        <v>621</v>
      </c>
      <c r="E208" t="s">
        <v>628</v>
      </c>
      <c r="F208" t="s">
        <v>598</v>
      </c>
      <c r="G208" t="s">
        <v>478</v>
      </c>
      <c r="H208" t="s">
        <v>600</v>
      </c>
      <c r="I208" t="s">
        <v>601</v>
      </c>
      <c r="J208">
        <v>1.0200000000000001E-2</v>
      </c>
      <c r="K208">
        <v>1.0200000000000001E-2</v>
      </c>
      <c r="L208">
        <v>9.9000000000000008E-3</v>
      </c>
      <c r="M208">
        <v>0.01</v>
      </c>
      <c r="N208">
        <v>9.9000000000000008E-3</v>
      </c>
      <c r="O208">
        <v>9.9000000000000008E-3</v>
      </c>
      <c r="P208">
        <v>1.03E-2</v>
      </c>
      <c r="Q208">
        <v>1.0699999999999999E-2</v>
      </c>
      <c r="R208">
        <v>1.0800000000000001E-2</v>
      </c>
      <c r="S208">
        <v>1.0999999999999999E-2</v>
      </c>
      <c r="T208">
        <v>1.0999999999999999E-2</v>
      </c>
      <c r="U208">
        <v>1.0999999999999999E-2</v>
      </c>
      <c r="V208">
        <v>1.0999999999999999E-2</v>
      </c>
      <c r="W208">
        <v>1.0999999999999999E-2</v>
      </c>
      <c r="X208">
        <v>1.0999999999999999E-2</v>
      </c>
      <c r="Y208">
        <v>1.0999999999999999E-2</v>
      </c>
    </row>
    <row r="209" spans="1:25">
      <c r="A209" t="s">
        <v>18802</v>
      </c>
      <c r="B209" t="s">
        <v>631</v>
      </c>
      <c r="C209" t="s">
        <v>595</v>
      </c>
      <c r="D209" t="s">
        <v>632</v>
      </c>
      <c r="E209" t="s">
        <v>597</v>
      </c>
      <c r="F209" t="s">
        <v>598</v>
      </c>
      <c r="G209" t="s">
        <v>478</v>
      </c>
      <c r="H209" t="s">
        <v>600</v>
      </c>
      <c r="I209" t="s">
        <v>601</v>
      </c>
      <c r="J209">
        <v>1.0269999999999999</v>
      </c>
      <c r="K209">
        <v>1.0207999999999999</v>
      </c>
      <c r="L209">
        <v>0.99299999999999999</v>
      </c>
      <c r="M209">
        <v>1.0006999999999999</v>
      </c>
      <c r="N209">
        <v>0.99809999999999999</v>
      </c>
      <c r="O209">
        <v>0.99680000000000002</v>
      </c>
      <c r="P209">
        <v>1.0358000000000001</v>
      </c>
      <c r="Q209">
        <v>1.0623</v>
      </c>
      <c r="R209">
        <v>1.0810999999999999</v>
      </c>
      <c r="S209">
        <v>1.0936999999999999</v>
      </c>
      <c r="T209">
        <v>1.1025</v>
      </c>
      <c r="U209">
        <v>1.1025</v>
      </c>
      <c r="V209">
        <v>1.1025</v>
      </c>
      <c r="W209">
        <v>1.1025</v>
      </c>
      <c r="X209">
        <v>1.1025</v>
      </c>
      <c r="Y209">
        <v>1.1025</v>
      </c>
    </row>
    <row r="210" spans="1:25">
      <c r="A210" t="s">
        <v>18802</v>
      </c>
      <c r="B210" t="s">
        <v>636</v>
      </c>
      <c r="C210" t="s">
        <v>595</v>
      </c>
      <c r="D210" t="s">
        <v>632</v>
      </c>
      <c r="E210" t="s">
        <v>628</v>
      </c>
      <c r="F210" t="s">
        <v>598</v>
      </c>
      <c r="G210" t="s">
        <v>478</v>
      </c>
      <c r="H210" t="s">
        <v>600</v>
      </c>
      <c r="I210" t="s">
        <v>601</v>
      </c>
      <c r="J210">
        <v>3.8999999999999998E-3</v>
      </c>
      <c r="K210">
        <v>3.8999999999999998E-3</v>
      </c>
      <c r="L210">
        <v>3.8E-3</v>
      </c>
      <c r="M210">
        <v>3.8E-3</v>
      </c>
      <c r="N210">
        <v>3.8E-3</v>
      </c>
      <c r="O210">
        <v>3.8E-3</v>
      </c>
      <c r="P210">
        <v>3.8999999999999998E-3</v>
      </c>
      <c r="Q210">
        <v>4.0000000000000001E-3</v>
      </c>
      <c r="R210">
        <v>4.1000000000000003E-3</v>
      </c>
      <c r="S210">
        <v>4.1999999999999997E-3</v>
      </c>
      <c r="T210">
        <v>4.1999999999999997E-3</v>
      </c>
      <c r="U210">
        <v>4.1999999999999997E-3</v>
      </c>
      <c r="V210">
        <v>4.1999999999999997E-3</v>
      </c>
      <c r="W210">
        <v>4.1999999999999997E-3</v>
      </c>
      <c r="X210">
        <v>4.1999999999999997E-3</v>
      </c>
      <c r="Y210">
        <v>4.1999999999999997E-3</v>
      </c>
    </row>
    <row r="211" spans="1:25">
      <c r="A211" t="s">
        <v>18802</v>
      </c>
      <c r="B211" t="s">
        <v>644</v>
      </c>
      <c r="C211" t="s">
        <v>595</v>
      </c>
      <c r="D211" t="s">
        <v>645</v>
      </c>
      <c r="E211" t="s">
        <v>646</v>
      </c>
      <c r="F211" t="s">
        <v>598</v>
      </c>
      <c r="G211" t="s">
        <v>478</v>
      </c>
      <c r="H211" t="s">
        <v>600</v>
      </c>
      <c r="I211" t="s">
        <v>601</v>
      </c>
      <c r="J211">
        <v>2.2000000000000001E-3</v>
      </c>
      <c r="K211">
        <v>2.2000000000000001E-3</v>
      </c>
      <c r="L211">
        <v>2.0999999999999999E-3</v>
      </c>
      <c r="M211">
        <v>2.0999999999999999E-3</v>
      </c>
      <c r="N211">
        <v>2.0999999999999999E-3</v>
      </c>
      <c r="O211">
        <v>2.0999999999999999E-3</v>
      </c>
      <c r="P211">
        <v>2.2000000000000001E-3</v>
      </c>
      <c r="Q211">
        <v>2.2000000000000001E-3</v>
      </c>
      <c r="R211">
        <v>2.3E-3</v>
      </c>
      <c r="S211">
        <v>2.3E-3</v>
      </c>
      <c r="T211">
        <v>2.3E-3</v>
      </c>
      <c r="U211">
        <v>2.3E-3</v>
      </c>
      <c r="V211">
        <v>2.3E-3</v>
      </c>
      <c r="W211">
        <v>2.3E-3</v>
      </c>
      <c r="X211">
        <v>2.3E-3</v>
      </c>
      <c r="Y211">
        <v>2.3E-3</v>
      </c>
    </row>
    <row r="212" spans="1:25" hidden="1">
      <c r="A212" t="s">
        <v>18802</v>
      </c>
      <c r="B212" t="s">
        <v>650</v>
      </c>
      <c r="C212" t="s">
        <v>651</v>
      </c>
      <c r="D212" t="s">
        <v>596</v>
      </c>
      <c r="E212" t="s">
        <v>597</v>
      </c>
      <c r="F212" t="s">
        <v>598</v>
      </c>
      <c r="G212" t="s">
        <v>478</v>
      </c>
      <c r="H212" t="s">
        <v>600</v>
      </c>
      <c r="I212" t="s">
        <v>601</v>
      </c>
      <c r="J212">
        <v>5.0000000000000001E-4</v>
      </c>
      <c r="K212">
        <v>5.0000000000000001E-4</v>
      </c>
      <c r="L212">
        <v>4.0000000000000002E-4</v>
      </c>
      <c r="M212">
        <v>4.0000000000000002E-4</v>
      </c>
      <c r="N212">
        <v>4.0000000000000002E-4</v>
      </c>
      <c r="O212">
        <v>4.0000000000000002E-4</v>
      </c>
      <c r="P212">
        <v>4.0000000000000002E-4</v>
      </c>
      <c r="Q212">
        <v>4.0000000000000002E-4</v>
      </c>
      <c r="R212">
        <v>4.0000000000000002E-4</v>
      </c>
      <c r="S212">
        <v>4.0000000000000002E-4</v>
      </c>
      <c r="T212">
        <v>4.0000000000000002E-4</v>
      </c>
      <c r="U212">
        <v>4.0000000000000002E-4</v>
      </c>
      <c r="V212">
        <v>4.0000000000000002E-4</v>
      </c>
      <c r="W212">
        <v>4.0000000000000002E-4</v>
      </c>
      <c r="X212">
        <v>4.0000000000000002E-4</v>
      </c>
      <c r="Y212">
        <v>4.0000000000000002E-4</v>
      </c>
    </row>
    <row r="213" spans="1:25" hidden="1">
      <c r="A213" t="s">
        <v>18802</v>
      </c>
      <c r="B213" t="s">
        <v>653</v>
      </c>
      <c r="C213" t="s">
        <v>651</v>
      </c>
      <c r="D213" t="s">
        <v>596</v>
      </c>
      <c r="E213" t="s">
        <v>607</v>
      </c>
      <c r="F213" t="s">
        <v>598</v>
      </c>
      <c r="G213" t="s">
        <v>478</v>
      </c>
      <c r="H213" t="s">
        <v>600</v>
      </c>
      <c r="I213" t="s">
        <v>601</v>
      </c>
      <c r="J213">
        <v>3.0548000000000002</v>
      </c>
      <c r="K213">
        <v>2.9685999999999999</v>
      </c>
      <c r="L213">
        <v>2.8822999999999999</v>
      </c>
      <c r="M213">
        <v>2.7563</v>
      </c>
      <c r="N213">
        <v>2.6999</v>
      </c>
      <c r="O213">
        <v>2.6137000000000001</v>
      </c>
      <c r="P213">
        <v>2.6435</v>
      </c>
      <c r="Q213">
        <v>2.6766999999999999</v>
      </c>
      <c r="R213">
        <v>2.6833</v>
      </c>
      <c r="S213">
        <v>2.6899000000000002</v>
      </c>
      <c r="T213">
        <v>2.6966000000000001</v>
      </c>
      <c r="U213">
        <v>2.7031999999999998</v>
      </c>
      <c r="V213">
        <v>2.7132000000000001</v>
      </c>
      <c r="W213">
        <v>2.7198000000000002</v>
      </c>
      <c r="X213">
        <v>2.7296999999999998</v>
      </c>
      <c r="Y213">
        <v>2.7364000000000002</v>
      </c>
    </row>
    <row r="214" spans="1:25" hidden="1">
      <c r="A214" t="s">
        <v>18802</v>
      </c>
      <c r="B214" t="s">
        <v>657</v>
      </c>
      <c r="C214" t="s">
        <v>651</v>
      </c>
      <c r="D214" t="s">
        <v>621</v>
      </c>
      <c r="E214" t="s">
        <v>597</v>
      </c>
      <c r="F214" t="s">
        <v>598</v>
      </c>
      <c r="G214" t="s">
        <v>478</v>
      </c>
      <c r="H214" t="s">
        <v>600</v>
      </c>
      <c r="I214" t="s">
        <v>601</v>
      </c>
      <c r="J214">
        <v>3.04E-2</v>
      </c>
      <c r="K214">
        <v>3.1199999999999999E-2</v>
      </c>
      <c r="L214">
        <v>3.2000000000000001E-2</v>
      </c>
      <c r="M214">
        <v>3.2899999999999999E-2</v>
      </c>
      <c r="N214">
        <v>3.3799999999999997E-2</v>
      </c>
      <c r="O214">
        <v>3.4700000000000002E-2</v>
      </c>
      <c r="P214">
        <v>3.5900000000000001E-2</v>
      </c>
      <c r="Q214">
        <v>3.6999999999999998E-2</v>
      </c>
      <c r="R214">
        <v>3.7499999999999999E-2</v>
      </c>
      <c r="S214">
        <v>3.7900000000000003E-2</v>
      </c>
      <c r="T214">
        <v>3.8399999999999997E-2</v>
      </c>
      <c r="U214">
        <v>3.8800000000000001E-2</v>
      </c>
      <c r="V214">
        <v>3.9300000000000002E-2</v>
      </c>
      <c r="W214">
        <v>3.9800000000000002E-2</v>
      </c>
      <c r="X214">
        <v>4.02E-2</v>
      </c>
      <c r="Y214">
        <v>4.07E-2</v>
      </c>
    </row>
    <row r="215" spans="1:25" hidden="1">
      <c r="A215" t="s">
        <v>18802</v>
      </c>
      <c r="B215" t="s">
        <v>660</v>
      </c>
      <c r="C215" t="s">
        <v>651</v>
      </c>
      <c r="D215" t="s">
        <v>632</v>
      </c>
      <c r="E215" t="s">
        <v>597</v>
      </c>
      <c r="F215" t="s">
        <v>598</v>
      </c>
      <c r="G215" t="s">
        <v>478</v>
      </c>
      <c r="H215" t="s">
        <v>600</v>
      </c>
      <c r="I215" t="s">
        <v>601</v>
      </c>
      <c r="J215">
        <v>0.4481</v>
      </c>
      <c r="K215">
        <v>0.45300000000000001</v>
      </c>
      <c r="L215">
        <v>0.45800000000000002</v>
      </c>
      <c r="M215">
        <v>0.46289999999999998</v>
      </c>
      <c r="N215">
        <v>0.46789999999999998</v>
      </c>
      <c r="O215">
        <v>0.47310000000000002</v>
      </c>
      <c r="P215">
        <v>0.47810000000000002</v>
      </c>
      <c r="Q215">
        <v>0.48330000000000001</v>
      </c>
      <c r="R215">
        <v>0.48859999999999998</v>
      </c>
      <c r="S215">
        <v>0.49390000000000001</v>
      </c>
      <c r="T215">
        <v>0.49930000000000002</v>
      </c>
      <c r="U215">
        <v>0.50470000000000004</v>
      </c>
      <c r="V215">
        <v>0.5101</v>
      </c>
      <c r="W215">
        <v>0.51570000000000005</v>
      </c>
      <c r="X215">
        <v>0.52129999999999999</v>
      </c>
      <c r="Y215">
        <v>0.52700000000000002</v>
      </c>
    </row>
    <row r="216" spans="1:25" hidden="1">
      <c r="A216" t="s">
        <v>18802</v>
      </c>
      <c r="B216" t="s">
        <v>662</v>
      </c>
      <c r="C216" t="s">
        <v>651</v>
      </c>
      <c r="D216" t="s">
        <v>648</v>
      </c>
      <c r="E216" t="s">
        <v>649</v>
      </c>
      <c r="F216" t="s">
        <v>598</v>
      </c>
      <c r="G216" t="s">
        <v>478</v>
      </c>
      <c r="H216" t="s">
        <v>600</v>
      </c>
      <c r="I216" t="s">
        <v>601</v>
      </c>
      <c r="J216">
        <v>1.5E-3</v>
      </c>
      <c r="K216">
        <v>1.5E-3</v>
      </c>
      <c r="L216">
        <v>1.4E-3</v>
      </c>
      <c r="M216">
        <v>1.4E-3</v>
      </c>
      <c r="N216">
        <v>1.4E-3</v>
      </c>
      <c r="O216">
        <v>1.4E-3</v>
      </c>
      <c r="P216">
        <v>1.5E-3</v>
      </c>
      <c r="Q216">
        <v>1.5E-3</v>
      </c>
      <c r="R216">
        <v>1.5E-3</v>
      </c>
      <c r="S216">
        <v>1.6000000000000001E-3</v>
      </c>
      <c r="T216">
        <v>1.6000000000000001E-3</v>
      </c>
      <c r="U216">
        <v>1.6000000000000001E-3</v>
      </c>
      <c r="V216">
        <v>1.6000000000000001E-3</v>
      </c>
      <c r="W216">
        <v>1.6000000000000001E-3</v>
      </c>
      <c r="X216">
        <v>1.6000000000000001E-3</v>
      </c>
      <c r="Y216">
        <v>1.6000000000000001E-3</v>
      </c>
    </row>
    <row r="217" spans="1:25" hidden="1">
      <c r="A217" t="s">
        <v>18802</v>
      </c>
      <c r="B217" t="s">
        <v>728</v>
      </c>
      <c r="C217" t="s">
        <v>729</v>
      </c>
      <c r="D217" t="s">
        <v>596</v>
      </c>
      <c r="E217" t="s">
        <v>597</v>
      </c>
      <c r="F217" t="s">
        <v>598</v>
      </c>
      <c r="G217" t="s">
        <v>478</v>
      </c>
      <c r="H217" t="s">
        <v>600</v>
      </c>
      <c r="I217" t="s">
        <v>601</v>
      </c>
      <c r="J217">
        <v>0.12640000000000001</v>
      </c>
      <c r="K217">
        <v>0.1258</v>
      </c>
      <c r="L217">
        <v>0.1255</v>
      </c>
      <c r="M217">
        <v>0.12509999999999999</v>
      </c>
      <c r="N217">
        <v>0.12559999999999999</v>
      </c>
      <c r="O217">
        <v>0.12559999999999999</v>
      </c>
      <c r="P217">
        <v>0.1288</v>
      </c>
      <c r="Q217">
        <v>0.13159999999999999</v>
      </c>
      <c r="R217">
        <v>0.13289999999999999</v>
      </c>
      <c r="S217">
        <v>0.13420000000000001</v>
      </c>
      <c r="T217">
        <v>0.1356</v>
      </c>
      <c r="U217">
        <v>0.13719999999999999</v>
      </c>
      <c r="V217">
        <v>0.13900000000000001</v>
      </c>
      <c r="W217">
        <v>0.1406</v>
      </c>
      <c r="X217">
        <v>0.14219999999999999</v>
      </c>
      <c r="Y217">
        <v>0.1439</v>
      </c>
    </row>
    <row r="218" spans="1:25" hidden="1">
      <c r="A218" t="s">
        <v>18802</v>
      </c>
      <c r="B218" t="s">
        <v>732</v>
      </c>
      <c r="C218" t="s">
        <v>729</v>
      </c>
      <c r="D218" t="s">
        <v>596</v>
      </c>
      <c r="E218" t="s">
        <v>603</v>
      </c>
      <c r="F218" t="s">
        <v>598</v>
      </c>
      <c r="G218" t="s">
        <v>478</v>
      </c>
      <c r="H218" t="s">
        <v>600</v>
      </c>
      <c r="I218" t="s">
        <v>601</v>
      </c>
      <c r="J218">
        <v>4.4999999999999997E-3</v>
      </c>
      <c r="K218">
        <v>4.5999999999999999E-3</v>
      </c>
      <c r="L218">
        <v>4.7000000000000002E-3</v>
      </c>
      <c r="M218">
        <v>4.7000000000000002E-3</v>
      </c>
      <c r="N218">
        <v>4.7999999999999996E-3</v>
      </c>
      <c r="O218">
        <v>4.7999999999999996E-3</v>
      </c>
      <c r="P218">
        <v>5.0000000000000001E-3</v>
      </c>
      <c r="Q218">
        <v>5.1999999999999998E-3</v>
      </c>
      <c r="R218">
        <v>5.1999999999999998E-3</v>
      </c>
      <c r="S218">
        <v>5.3E-3</v>
      </c>
      <c r="T218">
        <v>5.3E-3</v>
      </c>
      <c r="U218">
        <v>5.4000000000000003E-3</v>
      </c>
      <c r="V218">
        <v>5.4000000000000003E-3</v>
      </c>
      <c r="W218">
        <v>5.4999999999999997E-3</v>
      </c>
      <c r="X218">
        <v>5.4999999999999997E-3</v>
      </c>
      <c r="Y218">
        <v>5.5999999999999999E-3</v>
      </c>
    </row>
    <row r="219" spans="1:25" hidden="1">
      <c r="A219" t="s">
        <v>18802</v>
      </c>
      <c r="B219" t="s">
        <v>734</v>
      </c>
      <c r="C219" t="s">
        <v>729</v>
      </c>
      <c r="D219" t="s">
        <v>596</v>
      </c>
      <c r="E219" t="s">
        <v>735</v>
      </c>
      <c r="F219" t="s">
        <v>598</v>
      </c>
      <c r="G219" t="s">
        <v>478</v>
      </c>
      <c r="H219" t="s">
        <v>600</v>
      </c>
      <c r="I219" t="s">
        <v>601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</row>
    <row r="220" spans="1:25" hidden="1">
      <c r="A220" t="s">
        <v>18802</v>
      </c>
      <c r="B220" t="s">
        <v>736</v>
      </c>
      <c r="C220" t="s">
        <v>729</v>
      </c>
      <c r="D220" t="s">
        <v>596</v>
      </c>
      <c r="E220" t="s">
        <v>611</v>
      </c>
      <c r="F220" t="s">
        <v>598</v>
      </c>
      <c r="G220" t="s">
        <v>478</v>
      </c>
      <c r="H220" t="s">
        <v>600</v>
      </c>
      <c r="I220" t="s">
        <v>601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 hidden="1">
      <c r="A221" t="s">
        <v>18802</v>
      </c>
      <c r="B221" t="s">
        <v>740</v>
      </c>
      <c r="C221" t="s">
        <v>729</v>
      </c>
      <c r="D221" t="s">
        <v>596</v>
      </c>
      <c r="E221" t="s">
        <v>619</v>
      </c>
      <c r="F221" t="s">
        <v>598</v>
      </c>
      <c r="G221" t="s">
        <v>478</v>
      </c>
      <c r="H221" t="s">
        <v>600</v>
      </c>
      <c r="I221" t="s">
        <v>601</v>
      </c>
      <c r="J221">
        <v>1.4500000000000001E-2</v>
      </c>
      <c r="K221">
        <v>1.41E-2</v>
      </c>
      <c r="L221">
        <v>1.37E-2</v>
      </c>
      <c r="M221">
        <v>1.3100000000000001E-2</v>
      </c>
      <c r="N221">
        <v>1.2800000000000001E-2</v>
      </c>
      <c r="O221">
        <v>1.24E-2</v>
      </c>
      <c r="P221">
        <v>1.26E-2</v>
      </c>
      <c r="Q221">
        <v>1.2699999999999999E-2</v>
      </c>
      <c r="R221">
        <v>1.2800000000000001E-2</v>
      </c>
      <c r="S221">
        <v>1.2800000000000001E-2</v>
      </c>
      <c r="T221">
        <v>1.2800000000000001E-2</v>
      </c>
      <c r="U221">
        <v>1.2800000000000001E-2</v>
      </c>
      <c r="V221">
        <v>1.29E-2</v>
      </c>
      <c r="W221">
        <v>1.29E-2</v>
      </c>
      <c r="X221">
        <v>1.2999999999999999E-2</v>
      </c>
      <c r="Y221">
        <v>1.2999999999999999E-2</v>
      </c>
    </row>
    <row r="222" spans="1:25" hidden="1">
      <c r="A222" t="s">
        <v>18802</v>
      </c>
      <c r="B222" t="s">
        <v>745</v>
      </c>
      <c r="C222" t="s">
        <v>729</v>
      </c>
      <c r="D222" t="s">
        <v>671</v>
      </c>
      <c r="E222" t="s">
        <v>597</v>
      </c>
      <c r="F222" t="s">
        <v>598</v>
      </c>
      <c r="G222" t="s">
        <v>478</v>
      </c>
      <c r="H222" t="s">
        <v>600</v>
      </c>
      <c r="I222" t="s">
        <v>601</v>
      </c>
      <c r="J222">
        <v>7.3099999999999998E-2</v>
      </c>
      <c r="K222">
        <v>7.4099999999999999E-2</v>
      </c>
      <c r="L222">
        <v>7.5200000000000003E-2</v>
      </c>
      <c r="M222">
        <v>7.9500000000000001E-2</v>
      </c>
      <c r="N222">
        <v>8.1199999999999994E-2</v>
      </c>
      <c r="O222">
        <v>8.3000000000000004E-2</v>
      </c>
      <c r="P222">
        <v>8.5900000000000004E-2</v>
      </c>
      <c r="Q222">
        <v>8.6800000000000002E-2</v>
      </c>
      <c r="R222">
        <v>8.7300000000000003E-2</v>
      </c>
      <c r="S222">
        <v>8.7400000000000005E-2</v>
      </c>
      <c r="T222">
        <v>8.8300000000000003E-2</v>
      </c>
      <c r="U222">
        <v>8.9099999999999999E-2</v>
      </c>
      <c r="V222">
        <v>9.0200000000000002E-2</v>
      </c>
      <c r="W222">
        <v>9.1499999999999998E-2</v>
      </c>
      <c r="X222">
        <v>9.2200000000000004E-2</v>
      </c>
      <c r="Y222">
        <v>9.3299999999999994E-2</v>
      </c>
    </row>
    <row r="223" spans="1:25" hidden="1">
      <c r="A223" t="s">
        <v>18802</v>
      </c>
      <c r="B223" t="s">
        <v>746</v>
      </c>
      <c r="C223" t="s">
        <v>729</v>
      </c>
      <c r="D223" t="s">
        <v>671</v>
      </c>
      <c r="E223" t="s">
        <v>642</v>
      </c>
      <c r="F223" t="s">
        <v>598</v>
      </c>
      <c r="G223" t="s">
        <v>478</v>
      </c>
      <c r="H223" t="s">
        <v>600</v>
      </c>
      <c r="I223" t="s">
        <v>601</v>
      </c>
      <c r="J223">
        <v>1.1000000000000001E-3</v>
      </c>
      <c r="K223">
        <v>1.1000000000000001E-3</v>
      </c>
      <c r="L223">
        <v>1.1000000000000001E-3</v>
      </c>
      <c r="M223">
        <v>1.1000000000000001E-3</v>
      </c>
      <c r="N223">
        <v>1.1000000000000001E-3</v>
      </c>
      <c r="O223">
        <v>1.1000000000000001E-3</v>
      </c>
      <c r="P223">
        <v>1.1000000000000001E-3</v>
      </c>
      <c r="Q223">
        <v>1.1000000000000001E-3</v>
      </c>
      <c r="R223">
        <v>1.1000000000000001E-3</v>
      </c>
      <c r="S223">
        <v>1.1000000000000001E-3</v>
      </c>
      <c r="T223">
        <v>1.1000000000000001E-3</v>
      </c>
      <c r="U223">
        <v>1.1000000000000001E-3</v>
      </c>
      <c r="V223">
        <v>1.1000000000000001E-3</v>
      </c>
      <c r="W223">
        <v>1.1000000000000001E-3</v>
      </c>
      <c r="X223">
        <v>1.1000000000000001E-3</v>
      </c>
      <c r="Y223">
        <v>1.1000000000000001E-3</v>
      </c>
    </row>
    <row r="224" spans="1:25" hidden="1">
      <c r="A224" t="s">
        <v>18802</v>
      </c>
      <c r="B224" t="s">
        <v>749</v>
      </c>
      <c r="C224" t="s">
        <v>729</v>
      </c>
      <c r="D224" t="s">
        <v>671</v>
      </c>
      <c r="E224" t="s">
        <v>750</v>
      </c>
      <c r="F224" t="s">
        <v>598</v>
      </c>
      <c r="G224" t="s">
        <v>478</v>
      </c>
      <c r="H224" t="s">
        <v>600</v>
      </c>
      <c r="I224" t="s">
        <v>601</v>
      </c>
      <c r="J224">
        <v>6.9999999999999999E-4</v>
      </c>
      <c r="K224">
        <v>5.9999999999999995E-4</v>
      </c>
      <c r="L224">
        <v>5.9999999999999995E-4</v>
      </c>
      <c r="M224">
        <v>5.9999999999999995E-4</v>
      </c>
      <c r="N224">
        <v>5.9999999999999995E-4</v>
      </c>
      <c r="O224">
        <v>5.9999999999999995E-4</v>
      </c>
      <c r="P224">
        <v>5.9999999999999995E-4</v>
      </c>
      <c r="Q224">
        <v>5.9999999999999995E-4</v>
      </c>
      <c r="R224">
        <v>5.9999999999999995E-4</v>
      </c>
      <c r="S224">
        <v>5.9999999999999995E-4</v>
      </c>
      <c r="T224">
        <v>5.9999999999999995E-4</v>
      </c>
      <c r="U224">
        <v>5.9999999999999995E-4</v>
      </c>
      <c r="V224">
        <v>5.9999999999999995E-4</v>
      </c>
      <c r="W224">
        <v>5.9999999999999995E-4</v>
      </c>
      <c r="X224">
        <v>5.9999999999999995E-4</v>
      </c>
      <c r="Y224">
        <v>5.9999999999999995E-4</v>
      </c>
    </row>
    <row r="225" spans="1:25" hidden="1">
      <c r="A225" t="s">
        <v>18802</v>
      </c>
      <c r="B225" t="s">
        <v>752</v>
      </c>
      <c r="C225" t="s">
        <v>729</v>
      </c>
      <c r="D225" t="s">
        <v>753</v>
      </c>
      <c r="E225" t="s">
        <v>597</v>
      </c>
      <c r="F225" t="s">
        <v>598</v>
      </c>
      <c r="G225" t="s">
        <v>478</v>
      </c>
      <c r="H225" t="s">
        <v>600</v>
      </c>
      <c r="I225" t="s">
        <v>601</v>
      </c>
      <c r="J225">
        <v>1.1000000000000001E-3</v>
      </c>
      <c r="K225">
        <v>1.2999999999999999E-3</v>
      </c>
      <c r="L225">
        <v>1.2999999999999999E-3</v>
      </c>
      <c r="M225">
        <v>1.4E-3</v>
      </c>
      <c r="N225">
        <v>1.4E-3</v>
      </c>
      <c r="O225">
        <v>1.6000000000000001E-3</v>
      </c>
      <c r="P225">
        <v>1.6000000000000001E-3</v>
      </c>
      <c r="Q225">
        <v>1.6000000000000001E-3</v>
      </c>
      <c r="R225">
        <v>1.6000000000000001E-3</v>
      </c>
      <c r="S225">
        <v>1.6000000000000001E-3</v>
      </c>
      <c r="T225">
        <v>1.6000000000000001E-3</v>
      </c>
      <c r="U225">
        <v>1.6999999999999999E-3</v>
      </c>
      <c r="V225">
        <v>1.6999999999999999E-3</v>
      </c>
      <c r="W225">
        <v>1.6999999999999999E-3</v>
      </c>
      <c r="X225">
        <v>1.6999999999999999E-3</v>
      </c>
      <c r="Y225">
        <v>1.6999999999999999E-3</v>
      </c>
    </row>
    <row r="226" spans="1:25" hidden="1">
      <c r="A226" t="s">
        <v>18802</v>
      </c>
      <c r="B226" t="s">
        <v>755</v>
      </c>
      <c r="C226" t="s">
        <v>729</v>
      </c>
      <c r="D226" t="s">
        <v>756</v>
      </c>
      <c r="E226" t="s">
        <v>597</v>
      </c>
      <c r="F226" t="s">
        <v>598</v>
      </c>
      <c r="G226" t="s">
        <v>478</v>
      </c>
      <c r="H226" t="s">
        <v>600</v>
      </c>
      <c r="I226" t="s">
        <v>601</v>
      </c>
      <c r="J226">
        <v>1.4800000000000001E-2</v>
      </c>
      <c r="K226">
        <v>1.44E-2</v>
      </c>
      <c r="L226">
        <v>1.41E-2</v>
      </c>
      <c r="M226">
        <v>1.37E-2</v>
      </c>
      <c r="N226">
        <v>1.35E-2</v>
      </c>
      <c r="O226">
        <v>1.3299999999999999E-2</v>
      </c>
      <c r="P226">
        <v>1.35E-2</v>
      </c>
      <c r="Q226">
        <v>1.3599999999999999E-2</v>
      </c>
      <c r="R226">
        <v>1.38E-2</v>
      </c>
      <c r="S226">
        <v>1.3899999999999999E-2</v>
      </c>
      <c r="T226">
        <v>1.3899999999999999E-2</v>
      </c>
      <c r="U226">
        <v>1.4E-2</v>
      </c>
      <c r="V226">
        <v>1.41E-2</v>
      </c>
      <c r="W226">
        <v>1.43E-2</v>
      </c>
      <c r="X226">
        <v>1.44E-2</v>
      </c>
      <c r="Y226">
        <v>1.4500000000000001E-2</v>
      </c>
    </row>
    <row r="227" spans="1:25" hidden="1">
      <c r="A227" t="s">
        <v>18802</v>
      </c>
      <c r="B227" t="s">
        <v>757</v>
      </c>
      <c r="C227" t="s">
        <v>729</v>
      </c>
      <c r="D227" t="s">
        <v>756</v>
      </c>
      <c r="E227" t="s">
        <v>642</v>
      </c>
      <c r="F227" t="s">
        <v>598</v>
      </c>
      <c r="G227" t="s">
        <v>478</v>
      </c>
      <c r="H227" t="s">
        <v>600</v>
      </c>
      <c r="I227" t="s">
        <v>601</v>
      </c>
      <c r="J227">
        <v>5.9999999999999995E-4</v>
      </c>
      <c r="K227">
        <v>5.9999999999999995E-4</v>
      </c>
      <c r="L227">
        <v>6.9999999999999999E-4</v>
      </c>
      <c r="M227">
        <v>6.9999999999999999E-4</v>
      </c>
      <c r="N227">
        <v>6.9999999999999999E-4</v>
      </c>
      <c r="O227">
        <v>8.0000000000000004E-4</v>
      </c>
      <c r="P227">
        <v>8.0000000000000004E-4</v>
      </c>
      <c r="Q227">
        <v>8.0000000000000004E-4</v>
      </c>
      <c r="R227">
        <v>8.0000000000000004E-4</v>
      </c>
      <c r="S227">
        <v>8.9999999999999998E-4</v>
      </c>
      <c r="T227">
        <v>8.9999999999999998E-4</v>
      </c>
      <c r="U227">
        <v>8.9999999999999998E-4</v>
      </c>
      <c r="V227">
        <v>8.9999999999999998E-4</v>
      </c>
      <c r="W227">
        <v>1E-3</v>
      </c>
      <c r="X227">
        <v>1E-3</v>
      </c>
      <c r="Y227">
        <v>1E-3</v>
      </c>
    </row>
    <row r="228" spans="1:25" hidden="1">
      <c r="A228" t="s">
        <v>18802</v>
      </c>
      <c r="B228" t="s">
        <v>760</v>
      </c>
      <c r="C228" t="s">
        <v>729</v>
      </c>
      <c r="D228" t="s">
        <v>621</v>
      </c>
      <c r="E228" t="s">
        <v>649</v>
      </c>
      <c r="F228" t="s">
        <v>598</v>
      </c>
      <c r="G228" t="s">
        <v>478</v>
      </c>
      <c r="H228" t="s">
        <v>600</v>
      </c>
      <c r="I228" t="s">
        <v>601</v>
      </c>
      <c r="J228">
        <v>1.77E-2</v>
      </c>
      <c r="K228">
        <v>1.8800000000000001E-2</v>
      </c>
      <c r="L228">
        <v>2.01E-2</v>
      </c>
      <c r="M228">
        <v>2.18E-2</v>
      </c>
      <c r="N228">
        <v>2.29E-2</v>
      </c>
      <c r="O228">
        <v>2.4400000000000002E-2</v>
      </c>
      <c r="P228">
        <v>2.58E-2</v>
      </c>
      <c r="Q228">
        <v>2.75E-2</v>
      </c>
      <c r="R228">
        <v>2.8500000000000001E-2</v>
      </c>
      <c r="S228">
        <v>2.9899999999999999E-2</v>
      </c>
      <c r="T228">
        <v>3.1199999999999999E-2</v>
      </c>
      <c r="U228">
        <v>3.2300000000000002E-2</v>
      </c>
      <c r="V228">
        <v>3.3599999999999998E-2</v>
      </c>
      <c r="W228">
        <v>3.4700000000000002E-2</v>
      </c>
      <c r="X228">
        <v>3.5999999999999997E-2</v>
      </c>
      <c r="Y228">
        <v>3.73E-2</v>
      </c>
    </row>
    <row r="229" spans="1:25" hidden="1">
      <c r="A229" t="s">
        <v>18802</v>
      </c>
      <c r="B229" t="s">
        <v>761</v>
      </c>
      <c r="C229" t="s">
        <v>729</v>
      </c>
      <c r="D229" t="s">
        <v>621</v>
      </c>
      <c r="E229" t="s">
        <v>597</v>
      </c>
      <c r="F229" t="s">
        <v>598</v>
      </c>
      <c r="G229" t="s">
        <v>478</v>
      </c>
      <c r="H229" t="s">
        <v>600</v>
      </c>
      <c r="I229" t="s">
        <v>601</v>
      </c>
      <c r="J229">
        <v>0.17030000000000001</v>
      </c>
      <c r="K229">
        <v>0.17050000000000001</v>
      </c>
      <c r="L229">
        <v>0.16950000000000001</v>
      </c>
      <c r="M229">
        <v>0.16880000000000001</v>
      </c>
      <c r="N229">
        <v>0.1666</v>
      </c>
      <c r="O229">
        <v>0.17480000000000001</v>
      </c>
      <c r="P229">
        <v>0.1724</v>
      </c>
      <c r="Q229">
        <v>0.1709</v>
      </c>
      <c r="R229">
        <v>0.16889999999999999</v>
      </c>
      <c r="S229">
        <v>0.16769999999999999</v>
      </c>
      <c r="T229">
        <v>0.16619999999999999</v>
      </c>
      <c r="U229">
        <v>0.16489999999999999</v>
      </c>
      <c r="V229">
        <v>0.16339999999999999</v>
      </c>
      <c r="W229">
        <v>0.16209999999999999</v>
      </c>
      <c r="X229">
        <v>0.1613</v>
      </c>
      <c r="Y229">
        <v>0.1608</v>
      </c>
    </row>
    <row r="230" spans="1:25" hidden="1">
      <c r="A230" t="s">
        <v>18802</v>
      </c>
      <c r="B230" t="s">
        <v>762</v>
      </c>
      <c r="C230" t="s">
        <v>729</v>
      </c>
      <c r="D230" t="s">
        <v>621</v>
      </c>
      <c r="E230" t="s">
        <v>642</v>
      </c>
      <c r="F230" t="s">
        <v>598</v>
      </c>
      <c r="G230" t="s">
        <v>478</v>
      </c>
      <c r="H230" t="s">
        <v>600</v>
      </c>
      <c r="I230" t="s">
        <v>601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 hidden="1">
      <c r="A231" t="s">
        <v>18802</v>
      </c>
      <c r="B231" t="s">
        <v>764</v>
      </c>
      <c r="C231" t="s">
        <v>729</v>
      </c>
      <c r="D231" t="s">
        <v>621</v>
      </c>
      <c r="E231" t="s">
        <v>603</v>
      </c>
      <c r="F231" t="s">
        <v>598</v>
      </c>
      <c r="G231" t="s">
        <v>478</v>
      </c>
      <c r="H231" t="s">
        <v>600</v>
      </c>
      <c r="I231" t="s">
        <v>601</v>
      </c>
      <c r="J231">
        <v>9.2999999999999992E-3</v>
      </c>
      <c r="K231">
        <v>9.9000000000000008E-3</v>
      </c>
      <c r="L231">
        <v>1.0500000000000001E-2</v>
      </c>
      <c r="M231">
        <v>1.12E-2</v>
      </c>
      <c r="N231">
        <v>1.1900000000000001E-2</v>
      </c>
      <c r="O231">
        <v>1.2800000000000001E-2</v>
      </c>
      <c r="P231">
        <v>1.3299999999999999E-2</v>
      </c>
      <c r="Q231">
        <v>1.4E-2</v>
      </c>
      <c r="R231">
        <v>1.44E-2</v>
      </c>
      <c r="S231">
        <v>1.4999999999999999E-2</v>
      </c>
      <c r="T231">
        <v>1.54E-2</v>
      </c>
      <c r="U231">
        <v>1.5800000000000002E-2</v>
      </c>
      <c r="V231">
        <v>1.6199999999999999E-2</v>
      </c>
      <c r="W231">
        <v>1.6799999999999999E-2</v>
      </c>
      <c r="X231">
        <v>1.72E-2</v>
      </c>
      <c r="Y231">
        <v>1.77E-2</v>
      </c>
    </row>
    <row r="232" spans="1:25" hidden="1">
      <c r="A232" t="s">
        <v>18802</v>
      </c>
      <c r="B232" t="s">
        <v>769</v>
      </c>
      <c r="C232" t="s">
        <v>729</v>
      </c>
      <c r="D232" t="s">
        <v>621</v>
      </c>
      <c r="E232" t="s">
        <v>626</v>
      </c>
      <c r="F232" t="s">
        <v>598</v>
      </c>
      <c r="G232" t="s">
        <v>478</v>
      </c>
      <c r="H232" t="s">
        <v>600</v>
      </c>
      <c r="I232" t="s">
        <v>601</v>
      </c>
      <c r="J232">
        <v>0.24779999999999999</v>
      </c>
      <c r="K232">
        <v>0.25009999999999999</v>
      </c>
      <c r="L232">
        <v>0.25369999999999998</v>
      </c>
      <c r="M232">
        <v>0.25640000000000002</v>
      </c>
      <c r="N232">
        <v>0.26079999999999998</v>
      </c>
      <c r="O232">
        <v>0.26450000000000001</v>
      </c>
      <c r="P232">
        <v>0.26989999999999997</v>
      </c>
      <c r="Q232">
        <v>0.27560000000000001</v>
      </c>
      <c r="R232">
        <v>0.27789999999999998</v>
      </c>
      <c r="S232">
        <v>0.28000000000000003</v>
      </c>
      <c r="T232">
        <v>0.28210000000000002</v>
      </c>
      <c r="U232">
        <v>0.28460000000000002</v>
      </c>
      <c r="V232">
        <v>0.28739999999999999</v>
      </c>
      <c r="W232">
        <v>0.2898</v>
      </c>
      <c r="X232">
        <v>0.29249999999999998</v>
      </c>
      <c r="Y232">
        <v>0.29509999999999997</v>
      </c>
    </row>
    <row r="233" spans="1:25" hidden="1">
      <c r="A233" t="s">
        <v>18802</v>
      </c>
      <c r="B233" t="s">
        <v>770</v>
      </c>
      <c r="C233" t="s">
        <v>729</v>
      </c>
      <c r="D233" t="s">
        <v>621</v>
      </c>
      <c r="E233" t="s">
        <v>628</v>
      </c>
      <c r="F233" t="s">
        <v>598</v>
      </c>
      <c r="G233" t="s">
        <v>478</v>
      </c>
      <c r="H233" t="s">
        <v>600</v>
      </c>
      <c r="I233" t="s">
        <v>601</v>
      </c>
      <c r="J233">
        <v>1.4560999999999999</v>
      </c>
      <c r="K233">
        <v>1.5163</v>
      </c>
      <c r="L233">
        <v>1.5913999999999999</v>
      </c>
      <c r="M233">
        <v>1.6665000000000001</v>
      </c>
      <c r="N233">
        <v>1.7383</v>
      </c>
      <c r="O233">
        <v>1.8218000000000001</v>
      </c>
      <c r="P233">
        <v>1.8708</v>
      </c>
      <c r="Q233">
        <v>1.9242999999999999</v>
      </c>
      <c r="R233">
        <v>1.9516</v>
      </c>
      <c r="S233">
        <v>1.9729000000000001</v>
      </c>
      <c r="T233">
        <v>1.9941</v>
      </c>
      <c r="U233">
        <v>2.0224000000000002</v>
      </c>
      <c r="V233">
        <v>2.052</v>
      </c>
      <c r="W233">
        <v>2.0804</v>
      </c>
      <c r="X233">
        <v>2.1099000000000001</v>
      </c>
      <c r="Y233">
        <v>2.1387999999999998</v>
      </c>
    </row>
    <row r="234" spans="1:25" hidden="1">
      <c r="A234" t="s">
        <v>18802</v>
      </c>
      <c r="B234" t="s">
        <v>771</v>
      </c>
      <c r="C234" t="s">
        <v>729</v>
      </c>
      <c r="D234" t="s">
        <v>621</v>
      </c>
      <c r="E234" t="s">
        <v>692</v>
      </c>
      <c r="F234" t="s">
        <v>598</v>
      </c>
      <c r="G234" t="s">
        <v>478</v>
      </c>
      <c r="H234" t="s">
        <v>600</v>
      </c>
      <c r="I234" t="s">
        <v>601</v>
      </c>
      <c r="J234">
        <v>1.5299999999999999E-2</v>
      </c>
      <c r="K234">
        <v>1.49E-2</v>
      </c>
      <c r="L234">
        <v>1.4500000000000001E-2</v>
      </c>
      <c r="M234">
        <v>1.38E-2</v>
      </c>
      <c r="N234">
        <v>1.35E-2</v>
      </c>
      <c r="O234">
        <v>1.3100000000000001E-2</v>
      </c>
      <c r="P234">
        <v>1.3299999999999999E-2</v>
      </c>
      <c r="Q234">
        <v>1.34E-2</v>
      </c>
      <c r="R234">
        <v>1.35E-2</v>
      </c>
      <c r="S234">
        <v>1.35E-2</v>
      </c>
      <c r="T234">
        <v>1.35E-2</v>
      </c>
      <c r="U234">
        <v>1.3599999999999999E-2</v>
      </c>
      <c r="V234">
        <v>1.3599999999999999E-2</v>
      </c>
      <c r="W234">
        <v>1.3599999999999999E-2</v>
      </c>
      <c r="X234">
        <v>1.37E-2</v>
      </c>
      <c r="Y234">
        <v>1.37E-2</v>
      </c>
    </row>
    <row r="235" spans="1:25" hidden="1">
      <c r="A235" t="s">
        <v>18802</v>
      </c>
      <c r="B235" t="s">
        <v>776</v>
      </c>
      <c r="C235" t="s">
        <v>729</v>
      </c>
      <c r="D235" t="s">
        <v>632</v>
      </c>
      <c r="E235" t="s">
        <v>597</v>
      </c>
      <c r="F235" t="s">
        <v>598</v>
      </c>
      <c r="G235" t="s">
        <v>478</v>
      </c>
      <c r="H235" t="s">
        <v>600</v>
      </c>
      <c r="I235" t="s">
        <v>601</v>
      </c>
      <c r="J235">
        <v>3.2000000000000002E-3</v>
      </c>
      <c r="K235">
        <v>3.0999999999999999E-3</v>
      </c>
      <c r="L235">
        <v>3.0000000000000001E-3</v>
      </c>
      <c r="M235">
        <v>2.8999999999999998E-3</v>
      </c>
      <c r="N235">
        <v>2.8E-3</v>
      </c>
      <c r="O235">
        <v>2.7000000000000001E-3</v>
      </c>
      <c r="P235">
        <v>2.8E-3</v>
      </c>
      <c r="Q235">
        <v>2.8E-3</v>
      </c>
      <c r="R235">
        <v>2.8E-3</v>
      </c>
      <c r="S235">
        <v>2.8E-3</v>
      </c>
      <c r="T235">
        <v>2.8E-3</v>
      </c>
      <c r="U235">
        <v>2.8E-3</v>
      </c>
      <c r="V235">
        <v>2.8E-3</v>
      </c>
      <c r="W235">
        <v>2.8E-3</v>
      </c>
      <c r="X235">
        <v>2.8999999999999998E-3</v>
      </c>
      <c r="Y235">
        <v>2.8999999999999998E-3</v>
      </c>
    </row>
    <row r="236" spans="1:25" hidden="1">
      <c r="A236" t="s">
        <v>18802</v>
      </c>
      <c r="B236" t="s">
        <v>777</v>
      </c>
      <c r="C236" t="s">
        <v>729</v>
      </c>
      <c r="D236" t="s">
        <v>632</v>
      </c>
      <c r="E236" t="s">
        <v>626</v>
      </c>
      <c r="F236" t="s">
        <v>598</v>
      </c>
      <c r="G236" t="s">
        <v>478</v>
      </c>
      <c r="H236" t="s">
        <v>600</v>
      </c>
      <c r="I236" t="s">
        <v>601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hidden="1">
      <c r="A237" t="s">
        <v>18802</v>
      </c>
      <c r="B237" t="s">
        <v>778</v>
      </c>
      <c r="C237" t="s">
        <v>729</v>
      </c>
      <c r="D237" t="s">
        <v>632</v>
      </c>
      <c r="E237" t="s">
        <v>628</v>
      </c>
      <c r="F237" t="s">
        <v>598</v>
      </c>
      <c r="G237" t="s">
        <v>478</v>
      </c>
      <c r="H237" t="s">
        <v>600</v>
      </c>
      <c r="I237" t="s">
        <v>601</v>
      </c>
      <c r="J237">
        <v>5.0000000000000001E-4</v>
      </c>
      <c r="K237">
        <v>5.0000000000000001E-4</v>
      </c>
      <c r="L237">
        <v>5.9999999999999995E-4</v>
      </c>
      <c r="M237">
        <v>5.9999999999999995E-4</v>
      </c>
      <c r="N237">
        <v>5.9999999999999995E-4</v>
      </c>
      <c r="O237">
        <v>5.9999999999999995E-4</v>
      </c>
      <c r="P237">
        <v>6.9999999999999999E-4</v>
      </c>
      <c r="Q237">
        <v>6.9999999999999999E-4</v>
      </c>
      <c r="R237">
        <v>6.9999999999999999E-4</v>
      </c>
      <c r="S237">
        <v>6.9999999999999999E-4</v>
      </c>
      <c r="T237">
        <v>6.9999999999999999E-4</v>
      </c>
      <c r="U237">
        <v>6.9999999999999999E-4</v>
      </c>
      <c r="V237">
        <v>8.0000000000000004E-4</v>
      </c>
      <c r="W237">
        <v>8.0000000000000004E-4</v>
      </c>
      <c r="X237">
        <v>8.0000000000000004E-4</v>
      </c>
      <c r="Y237">
        <v>8.0000000000000004E-4</v>
      </c>
    </row>
    <row r="238" spans="1:25" hidden="1">
      <c r="A238" t="s">
        <v>18802</v>
      </c>
      <c r="B238" t="s">
        <v>780</v>
      </c>
      <c r="C238" t="s">
        <v>729</v>
      </c>
      <c r="D238" t="s">
        <v>632</v>
      </c>
      <c r="E238" t="s">
        <v>781</v>
      </c>
      <c r="F238" t="s">
        <v>598</v>
      </c>
      <c r="G238" t="s">
        <v>478</v>
      </c>
      <c r="H238" t="s">
        <v>600</v>
      </c>
      <c r="I238" t="s">
        <v>601</v>
      </c>
      <c r="J238">
        <v>1.6799999999999999E-2</v>
      </c>
      <c r="K238">
        <v>1.7500000000000002E-2</v>
      </c>
      <c r="L238">
        <v>1.83E-2</v>
      </c>
      <c r="M238">
        <v>1.9300000000000001E-2</v>
      </c>
      <c r="N238">
        <v>2.01E-2</v>
      </c>
      <c r="O238">
        <v>2.1000000000000001E-2</v>
      </c>
      <c r="P238">
        <v>2.1999999999999999E-2</v>
      </c>
      <c r="Q238">
        <v>2.3099999999999999E-2</v>
      </c>
      <c r="R238">
        <v>2.3699999999999999E-2</v>
      </c>
      <c r="S238">
        <v>2.4500000000000001E-2</v>
      </c>
      <c r="T238">
        <v>2.53E-2</v>
      </c>
      <c r="U238">
        <v>2.5999999999999999E-2</v>
      </c>
      <c r="V238">
        <v>2.6800000000000001E-2</v>
      </c>
      <c r="W238">
        <v>2.76E-2</v>
      </c>
      <c r="X238">
        <v>2.8400000000000002E-2</v>
      </c>
      <c r="Y238">
        <v>2.92E-2</v>
      </c>
    </row>
    <row r="239" spans="1:25" hidden="1">
      <c r="A239" t="s">
        <v>18802</v>
      </c>
      <c r="B239" t="s">
        <v>782</v>
      </c>
      <c r="C239" t="s">
        <v>729</v>
      </c>
      <c r="D239" t="s">
        <v>632</v>
      </c>
      <c r="E239" t="s">
        <v>638</v>
      </c>
      <c r="F239" t="s">
        <v>598</v>
      </c>
      <c r="G239" t="s">
        <v>478</v>
      </c>
      <c r="H239" t="s">
        <v>600</v>
      </c>
      <c r="I239" t="s">
        <v>601</v>
      </c>
      <c r="J239">
        <v>5.9999999999999995E-4</v>
      </c>
      <c r="K239">
        <v>5.9999999999999995E-4</v>
      </c>
      <c r="L239">
        <v>6.9999999999999999E-4</v>
      </c>
      <c r="M239">
        <v>6.9999999999999999E-4</v>
      </c>
      <c r="N239">
        <v>6.9999999999999999E-4</v>
      </c>
      <c r="O239">
        <v>8.0000000000000004E-4</v>
      </c>
      <c r="P239">
        <v>8.0000000000000004E-4</v>
      </c>
      <c r="Q239">
        <v>8.0000000000000004E-4</v>
      </c>
      <c r="R239">
        <v>8.9999999999999998E-4</v>
      </c>
      <c r="S239">
        <v>8.9999999999999998E-4</v>
      </c>
      <c r="T239">
        <v>8.9999999999999998E-4</v>
      </c>
      <c r="U239">
        <v>1E-3</v>
      </c>
      <c r="V239">
        <v>1E-3</v>
      </c>
      <c r="W239">
        <v>1E-3</v>
      </c>
      <c r="X239">
        <v>1E-3</v>
      </c>
      <c r="Y239">
        <v>1.1000000000000001E-3</v>
      </c>
    </row>
    <row r="240" spans="1:25" hidden="1">
      <c r="A240" t="s">
        <v>18802</v>
      </c>
      <c r="B240" t="s">
        <v>783</v>
      </c>
      <c r="C240" t="s">
        <v>729</v>
      </c>
      <c r="D240" t="s">
        <v>632</v>
      </c>
      <c r="E240" t="s">
        <v>784</v>
      </c>
      <c r="F240" t="s">
        <v>598</v>
      </c>
      <c r="G240" t="s">
        <v>478</v>
      </c>
      <c r="H240" t="s">
        <v>600</v>
      </c>
      <c r="I240" t="s">
        <v>601</v>
      </c>
      <c r="J240">
        <v>3.5999999999999999E-3</v>
      </c>
      <c r="K240">
        <v>3.8E-3</v>
      </c>
      <c r="L240">
        <v>3.8999999999999998E-3</v>
      </c>
      <c r="M240">
        <v>4.1000000000000003E-3</v>
      </c>
      <c r="N240">
        <v>4.3E-3</v>
      </c>
      <c r="O240">
        <v>4.4999999999999997E-3</v>
      </c>
      <c r="P240">
        <v>4.7000000000000002E-3</v>
      </c>
      <c r="Q240">
        <v>5.0000000000000001E-3</v>
      </c>
      <c r="R240">
        <v>5.1000000000000004E-3</v>
      </c>
      <c r="S240">
        <v>5.3E-3</v>
      </c>
      <c r="T240">
        <v>5.4000000000000003E-3</v>
      </c>
      <c r="U240">
        <v>5.5999999999999999E-3</v>
      </c>
      <c r="V240">
        <v>5.7999999999999996E-3</v>
      </c>
      <c r="W240">
        <v>5.8999999999999999E-3</v>
      </c>
      <c r="X240">
        <v>6.1000000000000004E-3</v>
      </c>
      <c r="Y240">
        <v>6.3E-3</v>
      </c>
    </row>
    <row r="241" spans="1:25" hidden="1">
      <c r="A241" t="s">
        <v>18802</v>
      </c>
      <c r="B241" t="s">
        <v>785</v>
      </c>
      <c r="C241" t="s">
        <v>729</v>
      </c>
      <c r="D241" t="s">
        <v>640</v>
      </c>
      <c r="E241" t="s">
        <v>597</v>
      </c>
      <c r="F241" t="s">
        <v>598</v>
      </c>
      <c r="G241" t="s">
        <v>478</v>
      </c>
      <c r="H241" t="s">
        <v>600</v>
      </c>
      <c r="I241" t="s">
        <v>601</v>
      </c>
      <c r="J241">
        <v>4.1999999999999997E-3</v>
      </c>
      <c r="K241">
        <v>4.4999999999999997E-3</v>
      </c>
      <c r="L241">
        <v>4.7999999999999996E-3</v>
      </c>
      <c r="M241">
        <v>5.1000000000000004E-3</v>
      </c>
      <c r="N241">
        <v>5.3E-3</v>
      </c>
      <c r="O241">
        <v>5.5999999999999999E-3</v>
      </c>
      <c r="P241">
        <v>5.7999999999999996E-3</v>
      </c>
      <c r="Q241">
        <v>5.8999999999999999E-3</v>
      </c>
      <c r="R241">
        <v>6.0000000000000001E-3</v>
      </c>
      <c r="S241">
        <v>6.1000000000000004E-3</v>
      </c>
      <c r="T241">
        <v>6.1000000000000004E-3</v>
      </c>
      <c r="U241">
        <v>6.1999999999999998E-3</v>
      </c>
      <c r="V241">
        <v>6.3E-3</v>
      </c>
      <c r="W241">
        <v>6.4000000000000003E-3</v>
      </c>
      <c r="X241">
        <v>6.4999999999999997E-3</v>
      </c>
      <c r="Y241">
        <v>6.4999999999999997E-3</v>
      </c>
    </row>
    <row r="242" spans="1:25" hidden="1">
      <c r="A242" t="s">
        <v>18802</v>
      </c>
      <c r="B242" t="s">
        <v>792</v>
      </c>
      <c r="C242" t="s">
        <v>729</v>
      </c>
      <c r="D242" t="s">
        <v>640</v>
      </c>
      <c r="E242" t="s">
        <v>750</v>
      </c>
      <c r="F242" t="s">
        <v>598</v>
      </c>
      <c r="G242" t="s">
        <v>478</v>
      </c>
      <c r="H242" t="s">
        <v>600</v>
      </c>
      <c r="I242" t="s">
        <v>601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hidden="1">
      <c r="A243" t="s">
        <v>18802</v>
      </c>
      <c r="B243" t="s">
        <v>793</v>
      </c>
      <c r="C243" t="s">
        <v>729</v>
      </c>
      <c r="D243" t="s">
        <v>640</v>
      </c>
      <c r="E243" t="s">
        <v>676</v>
      </c>
      <c r="F243" t="s">
        <v>598</v>
      </c>
      <c r="G243" t="s">
        <v>478</v>
      </c>
      <c r="H243" t="s">
        <v>600</v>
      </c>
      <c r="I243" t="s">
        <v>601</v>
      </c>
      <c r="J243">
        <v>4.1000000000000003E-3</v>
      </c>
      <c r="K243">
        <v>4.0000000000000001E-3</v>
      </c>
      <c r="L243">
        <v>3.8999999999999998E-3</v>
      </c>
      <c r="M243">
        <v>3.7000000000000002E-3</v>
      </c>
      <c r="N243">
        <v>3.5999999999999999E-3</v>
      </c>
      <c r="O243">
        <v>3.5000000000000001E-3</v>
      </c>
      <c r="P243">
        <v>3.5999999999999999E-3</v>
      </c>
      <c r="Q243">
        <v>3.5999999999999999E-3</v>
      </c>
      <c r="R243">
        <v>3.5999999999999999E-3</v>
      </c>
      <c r="S243">
        <v>3.5999999999999999E-3</v>
      </c>
      <c r="T243">
        <v>3.5999999999999999E-3</v>
      </c>
      <c r="U243">
        <v>3.5999999999999999E-3</v>
      </c>
      <c r="V243">
        <v>3.7000000000000002E-3</v>
      </c>
      <c r="W243">
        <v>3.7000000000000002E-3</v>
      </c>
      <c r="X243">
        <v>3.7000000000000002E-3</v>
      </c>
      <c r="Y243">
        <v>3.7000000000000002E-3</v>
      </c>
    </row>
    <row r="244" spans="1:25" hidden="1">
      <c r="A244" t="s">
        <v>18802</v>
      </c>
      <c r="B244" t="s">
        <v>794</v>
      </c>
      <c r="C244" t="s">
        <v>729</v>
      </c>
      <c r="D244" t="s">
        <v>648</v>
      </c>
      <c r="E244" t="s">
        <v>649</v>
      </c>
      <c r="F244" t="s">
        <v>598</v>
      </c>
      <c r="G244" t="s">
        <v>478</v>
      </c>
      <c r="H244" t="s">
        <v>600</v>
      </c>
      <c r="I244" t="s">
        <v>601</v>
      </c>
      <c r="J244">
        <v>9.9699999999999997E-2</v>
      </c>
      <c r="K244">
        <v>9.69E-2</v>
      </c>
      <c r="L244">
        <v>9.4100000000000003E-2</v>
      </c>
      <c r="M244">
        <v>8.9899999999999994E-2</v>
      </c>
      <c r="N244">
        <v>8.8099999999999998E-2</v>
      </c>
      <c r="O244">
        <v>8.5300000000000001E-2</v>
      </c>
      <c r="P244">
        <v>8.6199999999999999E-2</v>
      </c>
      <c r="Q244">
        <v>8.7400000000000005E-2</v>
      </c>
      <c r="R244">
        <v>8.7599999999999997E-2</v>
      </c>
      <c r="S244">
        <v>8.7800000000000003E-2</v>
      </c>
      <c r="T244">
        <v>8.7999999999999995E-2</v>
      </c>
      <c r="U244">
        <v>8.8200000000000001E-2</v>
      </c>
      <c r="V244">
        <v>8.8599999999999998E-2</v>
      </c>
      <c r="W244">
        <v>8.8800000000000004E-2</v>
      </c>
      <c r="X244">
        <v>8.9099999999999999E-2</v>
      </c>
      <c r="Y244">
        <v>8.9300000000000004E-2</v>
      </c>
    </row>
    <row r="245" spans="1:25" hidden="1">
      <c r="A245" t="s">
        <v>18802</v>
      </c>
      <c r="B245" t="s">
        <v>795</v>
      </c>
      <c r="C245" t="s">
        <v>729</v>
      </c>
      <c r="D245" t="s">
        <v>648</v>
      </c>
      <c r="E245" t="s">
        <v>597</v>
      </c>
      <c r="F245" t="s">
        <v>598</v>
      </c>
      <c r="G245" t="s">
        <v>478</v>
      </c>
      <c r="H245" t="s">
        <v>600</v>
      </c>
      <c r="I245" t="s">
        <v>601</v>
      </c>
      <c r="J245">
        <v>3.3837999999999999</v>
      </c>
      <c r="K245">
        <v>3.3723000000000001</v>
      </c>
      <c r="L245">
        <v>3.3357000000000001</v>
      </c>
      <c r="M245">
        <v>3.3677000000000001</v>
      </c>
      <c r="N245">
        <v>3.3302999999999998</v>
      </c>
      <c r="O245">
        <v>3.4015</v>
      </c>
      <c r="P245">
        <v>3.4026000000000001</v>
      </c>
      <c r="Q245">
        <v>3.3719000000000001</v>
      </c>
      <c r="R245">
        <v>3.3344999999999998</v>
      </c>
      <c r="S245">
        <v>3.3062999999999998</v>
      </c>
      <c r="T245">
        <v>3.2856000000000001</v>
      </c>
      <c r="U245">
        <v>3.2686000000000002</v>
      </c>
      <c r="V245">
        <v>3.2576000000000001</v>
      </c>
      <c r="W245">
        <v>3.2486000000000002</v>
      </c>
      <c r="X245">
        <v>3.238</v>
      </c>
      <c r="Y245">
        <v>3.2410999999999999</v>
      </c>
    </row>
    <row r="246" spans="1:25" hidden="1">
      <c r="A246" t="s">
        <v>18802</v>
      </c>
      <c r="B246" t="s">
        <v>796</v>
      </c>
      <c r="C246" t="s">
        <v>729</v>
      </c>
      <c r="D246" t="s">
        <v>648</v>
      </c>
      <c r="E246" t="s">
        <v>642</v>
      </c>
      <c r="F246" t="s">
        <v>598</v>
      </c>
      <c r="G246" t="s">
        <v>478</v>
      </c>
      <c r="H246" t="s">
        <v>600</v>
      </c>
      <c r="I246" t="s">
        <v>601</v>
      </c>
      <c r="J246">
        <v>2.3999999999999998E-3</v>
      </c>
      <c r="K246">
        <v>2.5000000000000001E-3</v>
      </c>
      <c r="L246">
        <v>2.5999999999999999E-3</v>
      </c>
      <c r="M246">
        <v>2.7000000000000001E-3</v>
      </c>
      <c r="N246">
        <v>2.8E-3</v>
      </c>
      <c r="O246">
        <v>2.8999999999999998E-3</v>
      </c>
      <c r="P246">
        <v>3.0000000000000001E-3</v>
      </c>
      <c r="Q246">
        <v>3.0999999999999999E-3</v>
      </c>
      <c r="R246">
        <v>3.2000000000000002E-3</v>
      </c>
      <c r="S246">
        <v>3.3E-3</v>
      </c>
      <c r="T246">
        <v>3.3999999999999998E-3</v>
      </c>
      <c r="U246">
        <v>3.5000000000000001E-3</v>
      </c>
      <c r="V246">
        <v>3.5999999999999999E-3</v>
      </c>
      <c r="W246">
        <v>3.7000000000000002E-3</v>
      </c>
      <c r="X246">
        <v>3.8E-3</v>
      </c>
      <c r="Y246">
        <v>3.8999999999999998E-3</v>
      </c>
    </row>
    <row r="247" spans="1:25" hidden="1">
      <c r="A247" t="s">
        <v>18802</v>
      </c>
      <c r="B247" t="s">
        <v>801</v>
      </c>
      <c r="C247" t="s">
        <v>729</v>
      </c>
      <c r="D247" t="s">
        <v>648</v>
      </c>
      <c r="E247" t="s">
        <v>619</v>
      </c>
      <c r="F247" t="s">
        <v>598</v>
      </c>
      <c r="G247" t="s">
        <v>478</v>
      </c>
      <c r="H247" t="s">
        <v>600</v>
      </c>
      <c r="I247" t="s">
        <v>601</v>
      </c>
      <c r="J247">
        <v>3.1800000000000002E-2</v>
      </c>
      <c r="K247">
        <v>3.4599999999999999E-2</v>
      </c>
      <c r="L247">
        <v>3.4599999999999999E-2</v>
      </c>
      <c r="M247">
        <v>3.4599999999999999E-2</v>
      </c>
      <c r="N247">
        <v>3.4599999999999999E-2</v>
      </c>
      <c r="O247">
        <v>3.4700000000000002E-2</v>
      </c>
      <c r="P247">
        <v>3.4700000000000002E-2</v>
      </c>
      <c r="Q247">
        <v>3.4700000000000002E-2</v>
      </c>
      <c r="R247">
        <v>3.4700000000000002E-2</v>
      </c>
      <c r="S247">
        <v>3.4700000000000002E-2</v>
      </c>
      <c r="T247">
        <v>3.4799999999999998E-2</v>
      </c>
      <c r="U247">
        <v>3.4799999999999998E-2</v>
      </c>
      <c r="V247">
        <v>3.4799999999999998E-2</v>
      </c>
      <c r="W247">
        <v>3.2000000000000001E-2</v>
      </c>
      <c r="X247">
        <v>3.2000000000000001E-2</v>
      </c>
      <c r="Y247">
        <v>3.2000000000000001E-2</v>
      </c>
    </row>
    <row r="248" spans="1:25" hidden="1">
      <c r="A248" t="s">
        <v>18802</v>
      </c>
      <c r="B248" t="s">
        <v>802</v>
      </c>
      <c r="C248" t="s">
        <v>729</v>
      </c>
      <c r="D248" t="s">
        <v>648</v>
      </c>
      <c r="E248" t="s">
        <v>676</v>
      </c>
      <c r="F248" t="s">
        <v>598</v>
      </c>
      <c r="G248" t="s">
        <v>478</v>
      </c>
      <c r="H248" t="s">
        <v>600</v>
      </c>
      <c r="I248" t="s">
        <v>601</v>
      </c>
      <c r="J248">
        <v>2.9999999999999997E-4</v>
      </c>
      <c r="K248">
        <v>2.9999999999999997E-4</v>
      </c>
      <c r="L248">
        <v>2.9999999999999997E-4</v>
      </c>
      <c r="M248">
        <v>2.9999999999999997E-4</v>
      </c>
      <c r="N248">
        <v>2.9999999999999997E-4</v>
      </c>
      <c r="O248">
        <v>2.9999999999999997E-4</v>
      </c>
      <c r="P248">
        <v>2.9999999999999997E-4</v>
      </c>
      <c r="Q248">
        <v>2.9999999999999997E-4</v>
      </c>
      <c r="R248">
        <v>2.9999999999999997E-4</v>
      </c>
      <c r="S248">
        <v>2.9999999999999997E-4</v>
      </c>
      <c r="T248">
        <v>2.9999999999999997E-4</v>
      </c>
      <c r="U248">
        <v>2.9999999999999997E-4</v>
      </c>
      <c r="V248">
        <v>2.9999999999999997E-4</v>
      </c>
      <c r="W248">
        <v>2.9999999999999997E-4</v>
      </c>
      <c r="X248">
        <v>2.9999999999999997E-4</v>
      </c>
      <c r="Y248">
        <v>2.9999999999999997E-4</v>
      </c>
    </row>
    <row r="249" spans="1:25" hidden="1">
      <c r="A249" t="s">
        <v>18802</v>
      </c>
      <c r="B249" t="s">
        <v>803</v>
      </c>
      <c r="C249" t="s">
        <v>804</v>
      </c>
      <c r="D249" t="s">
        <v>596</v>
      </c>
      <c r="E249" t="s">
        <v>597</v>
      </c>
      <c r="F249" t="s">
        <v>598</v>
      </c>
      <c r="G249" t="s">
        <v>478</v>
      </c>
      <c r="H249" t="s">
        <v>600</v>
      </c>
      <c r="I249" t="s">
        <v>601</v>
      </c>
      <c r="J249">
        <v>1.2699999999999999E-2</v>
      </c>
      <c r="K249">
        <v>1.3299999999999999E-2</v>
      </c>
      <c r="L249">
        <v>1.41E-2</v>
      </c>
      <c r="M249">
        <v>1.4999999999999999E-2</v>
      </c>
      <c r="N249">
        <v>1.5699999999999999E-2</v>
      </c>
      <c r="O249">
        <v>1.6500000000000001E-2</v>
      </c>
      <c r="P249">
        <v>1.6799999999999999E-2</v>
      </c>
      <c r="Q249">
        <v>1.72E-2</v>
      </c>
      <c r="R249">
        <v>1.7399999999999999E-2</v>
      </c>
      <c r="S249">
        <v>1.7600000000000001E-2</v>
      </c>
      <c r="T249">
        <v>1.78E-2</v>
      </c>
      <c r="U249">
        <v>1.7899999999999999E-2</v>
      </c>
      <c r="V249">
        <v>1.8100000000000002E-2</v>
      </c>
      <c r="W249">
        <v>1.84E-2</v>
      </c>
      <c r="X249">
        <v>1.8499999999999999E-2</v>
      </c>
      <c r="Y249">
        <v>1.8800000000000001E-2</v>
      </c>
    </row>
    <row r="250" spans="1:25" hidden="1">
      <c r="A250" t="s">
        <v>18802</v>
      </c>
      <c r="B250" t="s">
        <v>815</v>
      </c>
      <c r="C250" t="s">
        <v>804</v>
      </c>
      <c r="D250" t="s">
        <v>671</v>
      </c>
      <c r="E250" t="s">
        <v>597</v>
      </c>
      <c r="F250" t="s">
        <v>598</v>
      </c>
      <c r="G250" t="s">
        <v>478</v>
      </c>
      <c r="H250" t="s">
        <v>600</v>
      </c>
      <c r="I250" t="s">
        <v>601</v>
      </c>
      <c r="J250">
        <v>5.0000000000000001E-4</v>
      </c>
      <c r="K250">
        <v>5.0000000000000001E-4</v>
      </c>
      <c r="L250">
        <v>5.0000000000000001E-4</v>
      </c>
      <c r="M250">
        <v>5.9999999999999995E-4</v>
      </c>
      <c r="N250">
        <v>5.9999999999999995E-4</v>
      </c>
      <c r="O250">
        <v>5.9999999999999995E-4</v>
      </c>
      <c r="P250">
        <v>5.9999999999999995E-4</v>
      </c>
      <c r="Q250">
        <v>5.9999999999999995E-4</v>
      </c>
      <c r="R250">
        <v>5.9999999999999995E-4</v>
      </c>
      <c r="S250">
        <v>5.9999999999999995E-4</v>
      </c>
      <c r="T250">
        <v>5.9999999999999995E-4</v>
      </c>
      <c r="U250">
        <v>5.9999999999999995E-4</v>
      </c>
      <c r="V250">
        <v>6.9999999999999999E-4</v>
      </c>
      <c r="W250">
        <v>6.9999999999999999E-4</v>
      </c>
      <c r="X250">
        <v>6.9999999999999999E-4</v>
      </c>
      <c r="Y250">
        <v>6.9999999999999999E-4</v>
      </c>
    </row>
    <row r="251" spans="1:25" hidden="1">
      <c r="A251" t="s">
        <v>18802</v>
      </c>
      <c r="B251" t="s">
        <v>824</v>
      </c>
      <c r="C251" t="s">
        <v>804</v>
      </c>
      <c r="D251" t="s">
        <v>621</v>
      </c>
      <c r="E251" t="s">
        <v>626</v>
      </c>
      <c r="F251" t="s">
        <v>598</v>
      </c>
      <c r="G251" t="s">
        <v>478</v>
      </c>
      <c r="H251" t="s">
        <v>600</v>
      </c>
      <c r="I251" t="s">
        <v>601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hidden="1">
      <c r="A252" t="s">
        <v>18802</v>
      </c>
      <c r="B252" t="s">
        <v>825</v>
      </c>
      <c r="C252" t="s">
        <v>804</v>
      </c>
      <c r="D252" t="s">
        <v>621</v>
      </c>
      <c r="E252" t="s">
        <v>628</v>
      </c>
      <c r="F252" t="s">
        <v>598</v>
      </c>
      <c r="G252" t="s">
        <v>478</v>
      </c>
      <c r="H252" t="s">
        <v>600</v>
      </c>
      <c r="I252" t="s">
        <v>601</v>
      </c>
      <c r="J252">
        <v>2.8500000000000001E-2</v>
      </c>
      <c r="K252">
        <v>2.76E-2</v>
      </c>
      <c r="L252">
        <v>2.7300000000000001E-2</v>
      </c>
      <c r="M252">
        <v>2.5499999999999998E-2</v>
      </c>
      <c r="N252">
        <v>2.5499999999999998E-2</v>
      </c>
      <c r="O252">
        <v>2.7E-2</v>
      </c>
      <c r="P252">
        <v>2.7699999999999999E-2</v>
      </c>
      <c r="Q252">
        <v>2.92E-2</v>
      </c>
      <c r="R252">
        <v>3.0099999999999998E-2</v>
      </c>
      <c r="S252">
        <v>3.0300000000000001E-2</v>
      </c>
      <c r="T252">
        <v>3.0499999999999999E-2</v>
      </c>
      <c r="U252">
        <v>3.1399999999999997E-2</v>
      </c>
      <c r="V252">
        <v>3.2399999999999998E-2</v>
      </c>
      <c r="W252">
        <v>3.3399999999999999E-2</v>
      </c>
      <c r="X252">
        <v>3.44E-2</v>
      </c>
      <c r="Y252">
        <v>3.5400000000000001E-2</v>
      </c>
    </row>
    <row r="253" spans="1:25" hidden="1">
      <c r="A253" t="s">
        <v>18802</v>
      </c>
      <c r="B253" t="s">
        <v>827</v>
      </c>
      <c r="C253" t="s">
        <v>804</v>
      </c>
      <c r="D253" t="s">
        <v>828</v>
      </c>
      <c r="E253" t="s">
        <v>597</v>
      </c>
      <c r="F253" t="s">
        <v>598</v>
      </c>
      <c r="G253" t="s">
        <v>478</v>
      </c>
      <c r="H253" t="s">
        <v>600</v>
      </c>
      <c r="I253" t="s">
        <v>601</v>
      </c>
      <c r="J253">
        <v>6.7299999999999999E-2</v>
      </c>
      <c r="K253">
        <v>6.7000000000000004E-2</v>
      </c>
      <c r="L253">
        <v>6.5500000000000003E-2</v>
      </c>
      <c r="M253">
        <v>6.4600000000000005E-2</v>
      </c>
      <c r="N253">
        <v>6.4399999999999999E-2</v>
      </c>
      <c r="O253">
        <v>6.25E-2</v>
      </c>
      <c r="P253">
        <v>6.5000000000000002E-2</v>
      </c>
      <c r="Q253">
        <v>6.8199999999999997E-2</v>
      </c>
      <c r="R253">
        <v>6.9199999999999998E-2</v>
      </c>
      <c r="S253">
        <v>7.1499999999999994E-2</v>
      </c>
      <c r="T253">
        <v>7.3700000000000002E-2</v>
      </c>
      <c r="U253">
        <v>7.4800000000000005E-2</v>
      </c>
      <c r="V253">
        <v>7.6300000000000007E-2</v>
      </c>
      <c r="W253">
        <v>7.7799999999999994E-2</v>
      </c>
      <c r="X253">
        <v>7.9399999999999998E-2</v>
      </c>
      <c r="Y253">
        <v>8.09E-2</v>
      </c>
    </row>
    <row r="254" spans="1:25" hidden="1">
      <c r="A254" t="s">
        <v>18802</v>
      </c>
      <c r="B254" t="s">
        <v>830</v>
      </c>
      <c r="C254" t="s">
        <v>804</v>
      </c>
      <c r="D254" t="s">
        <v>828</v>
      </c>
      <c r="E254" t="s">
        <v>628</v>
      </c>
      <c r="F254" t="s">
        <v>831</v>
      </c>
      <c r="G254" t="s">
        <v>478</v>
      </c>
      <c r="H254" t="s">
        <v>600</v>
      </c>
      <c r="I254" t="s">
        <v>601</v>
      </c>
      <c r="J254">
        <v>2.0400000000000001E-2</v>
      </c>
      <c r="K254">
        <v>1.54E-2</v>
      </c>
      <c r="L254">
        <v>1.3599999999999999E-2</v>
      </c>
      <c r="M254">
        <v>1.35E-2</v>
      </c>
      <c r="N254">
        <v>1.3299999999999999E-2</v>
      </c>
      <c r="O254">
        <v>1.32E-2</v>
      </c>
      <c r="P254">
        <v>1.2999999999999999E-2</v>
      </c>
      <c r="Q254">
        <v>1.29E-2</v>
      </c>
      <c r="R254">
        <v>1.2699999999999999E-2</v>
      </c>
      <c r="S254">
        <v>1.24E-2</v>
      </c>
      <c r="T254">
        <v>1.21E-2</v>
      </c>
      <c r="U254">
        <v>1.18E-2</v>
      </c>
      <c r="V254">
        <v>1.15E-2</v>
      </c>
      <c r="W254">
        <v>1.09E-2</v>
      </c>
      <c r="X254">
        <v>1.04E-2</v>
      </c>
      <c r="Y254">
        <v>9.9000000000000008E-3</v>
      </c>
    </row>
    <row r="255" spans="1:25" hidden="1">
      <c r="A255" t="s">
        <v>18802</v>
      </c>
      <c r="B255" t="s">
        <v>832</v>
      </c>
      <c r="C255" t="s">
        <v>804</v>
      </c>
      <c r="D255" t="s">
        <v>828</v>
      </c>
      <c r="E255" t="s">
        <v>628</v>
      </c>
      <c r="F255" t="s">
        <v>833</v>
      </c>
      <c r="G255" t="s">
        <v>478</v>
      </c>
      <c r="H255" t="s">
        <v>600</v>
      </c>
      <c r="I255" t="s">
        <v>601</v>
      </c>
      <c r="J255">
        <v>1.23E-2</v>
      </c>
      <c r="K255">
        <v>1.1599999999999999E-2</v>
      </c>
      <c r="L255">
        <v>1.0999999999999999E-2</v>
      </c>
      <c r="M255">
        <v>1.03E-2</v>
      </c>
      <c r="N255">
        <v>9.5999999999999992E-3</v>
      </c>
      <c r="O255">
        <v>8.8999999999999999E-3</v>
      </c>
      <c r="P255">
        <v>8.0999999999999996E-3</v>
      </c>
      <c r="Q255">
        <v>7.3000000000000001E-3</v>
      </c>
      <c r="R255">
        <v>6.7000000000000002E-3</v>
      </c>
      <c r="S255">
        <v>6.1000000000000004E-3</v>
      </c>
      <c r="T255">
        <v>5.7000000000000002E-3</v>
      </c>
      <c r="U255">
        <v>5.1999999999999998E-3</v>
      </c>
      <c r="V255">
        <v>4.7000000000000002E-3</v>
      </c>
      <c r="W255">
        <v>4.8999999999999998E-3</v>
      </c>
      <c r="X255">
        <v>4.4999999999999997E-3</v>
      </c>
      <c r="Y255">
        <v>4.1999999999999997E-3</v>
      </c>
    </row>
    <row r="256" spans="1:25" hidden="1">
      <c r="A256" t="s">
        <v>18802</v>
      </c>
      <c r="B256" t="s">
        <v>839</v>
      </c>
      <c r="C256" t="s">
        <v>804</v>
      </c>
      <c r="D256" t="s">
        <v>648</v>
      </c>
      <c r="E256" t="s">
        <v>688</v>
      </c>
      <c r="F256" t="s">
        <v>598</v>
      </c>
      <c r="G256" t="s">
        <v>478</v>
      </c>
      <c r="H256" t="s">
        <v>600</v>
      </c>
      <c r="I256" t="s">
        <v>601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hidden="1">
      <c r="A257" t="s">
        <v>18802</v>
      </c>
      <c r="B257" t="s">
        <v>842</v>
      </c>
      <c r="C257" t="s">
        <v>841</v>
      </c>
      <c r="D257" t="s">
        <v>596</v>
      </c>
      <c r="E257" t="s">
        <v>597</v>
      </c>
      <c r="F257" t="s">
        <v>598</v>
      </c>
      <c r="G257" t="s">
        <v>478</v>
      </c>
      <c r="H257" t="s">
        <v>600</v>
      </c>
      <c r="I257" t="s">
        <v>601</v>
      </c>
      <c r="J257">
        <v>7.4899999999999994E-2</v>
      </c>
      <c r="K257">
        <v>7.5800000000000006E-2</v>
      </c>
      <c r="L257">
        <v>7.7100000000000002E-2</v>
      </c>
      <c r="M257">
        <v>8.0500000000000002E-2</v>
      </c>
      <c r="N257">
        <v>8.1500000000000003E-2</v>
      </c>
      <c r="O257">
        <v>8.2799999999999999E-2</v>
      </c>
      <c r="P257">
        <v>8.4699999999999998E-2</v>
      </c>
      <c r="Q257">
        <v>8.6300000000000002E-2</v>
      </c>
      <c r="R257">
        <v>8.7999999999999995E-2</v>
      </c>
      <c r="S257">
        <v>8.9700000000000002E-2</v>
      </c>
      <c r="T257">
        <v>9.0800000000000006E-2</v>
      </c>
      <c r="U257">
        <v>9.1600000000000001E-2</v>
      </c>
      <c r="V257">
        <v>9.2700000000000005E-2</v>
      </c>
      <c r="W257">
        <v>9.4100000000000003E-2</v>
      </c>
      <c r="X257">
        <v>9.5500000000000002E-2</v>
      </c>
      <c r="Y257">
        <v>9.7000000000000003E-2</v>
      </c>
    </row>
    <row r="258" spans="1:25" hidden="1">
      <c r="A258" t="s">
        <v>18802</v>
      </c>
      <c r="B258" t="s">
        <v>844</v>
      </c>
      <c r="C258" t="s">
        <v>841</v>
      </c>
      <c r="D258" t="s">
        <v>596</v>
      </c>
      <c r="E258" t="s">
        <v>603</v>
      </c>
      <c r="F258" t="s">
        <v>598</v>
      </c>
      <c r="G258" t="s">
        <v>478</v>
      </c>
      <c r="H258" t="s">
        <v>600</v>
      </c>
      <c r="I258" t="s">
        <v>601</v>
      </c>
      <c r="J258">
        <v>2.5700000000000001E-2</v>
      </c>
      <c r="K258">
        <v>2.5100000000000001E-2</v>
      </c>
      <c r="L258">
        <v>2.46E-2</v>
      </c>
      <c r="M258">
        <v>2.4400000000000002E-2</v>
      </c>
      <c r="N258">
        <v>2.3599999999999999E-2</v>
      </c>
      <c r="O258">
        <v>2.29E-2</v>
      </c>
      <c r="P258">
        <v>2.3300000000000001E-2</v>
      </c>
      <c r="Q258">
        <v>2.4E-2</v>
      </c>
      <c r="R258">
        <v>2.4299999999999999E-2</v>
      </c>
      <c r="S258">
        <v>2.52E-2</v>
      </c>
      <c r="T258">
        <v>2.5999999999999999E-2</v>
      </c>
      <c r="U258">
        <v>2.64E-2</v>
      </c>
      <c r="V258">
        <v>2.6800000000000001E-2</v>
      </c>
      <c r="W258">
        <v>2.7400000000000001E-2</v>
      </c>
      <c r="X258">
        <v>2.7799999999999998E-2</v>
      </c>
      <c r="Y258">
        <v>2.8400000000000002E-2</v>
      </c>
    </row>
    <row r="259" spans="1:25" hidden="1">
      <c r="A259" t="s">
        <v>18802</v>
      </c>
      <c r="B259" t="s">
        <v>847</v>
      </c>
      <c r="C259" t="s">
        <v>841</v>
      </c>
      <c r="D259" t="s">
        <v>596</v>
      </c>
      <c r="E259" t="s">
        <v>808</v>
      </c>
      <c r="F259" t="s">
        <v>598</v>
      </c>
      <c r="G259" t="s">
        <v>478</v>
      </c>
      <c r="H259" t="s">
        <v>600</v>
      </c>
      <c r="I259" t="s">
        <v>601</v>
      </c>
      <c r="J259">
        <v>3.0000000000000001E-3</v>
      </c>
      <c r="K259">
        <v>3.0999999999999999E-3</v>
      </c>
      <c r="L259">
        <v>3.2000000000000002E-3</v>
      </c>
      <c r="M259">
        <v>3.3E-3</v>
      </c>
      <c r="N259">
        <v>3.3999999999999998E-3</v>
      </c>
      <c r="O259">
        <v>3.5000000000000001E-3</v>
      </c>
      <c r="P259">
        <v>3.5999999999999999E-3</v>
      </c>
      <c r="Q259">
        <v>3.8E-3</v>
      </c>
      <c r="R259">
        <v>3.8E-3</v>
      </c>
      <c r="S259">
        <v>4.0000000000000001E-3</v>
      </c>
      <c r="T259">
        <v>4.1000000000000003E-3</v>
      </c>
      <c r="U259">
        <v>4.1999999999999997E-3</v>
      </c>
      <c r="V259">
        <v>4.3E-3</v>
      </c>
      <c r="W259">
        <v>4.4000000000000003E-3</v>
      </c>
      <c r="X259">
        <v>4.4999999999999997E-3</v>
      </c>
      <c r="Y259">
        <v>4.5999999999999999E-3</v>
      </c>
    </row>
    <row r="260" spans="1:25" hidden="1">
      <c r="A260" t="s">
        <v>18802</v>
      </c>
      <c r="B260" t="s">
        <v>852</v>
      </c>
      <c r="C260" t="s">
        <v>841</v>
      </c>
      <c r="D260" t="s">
        <v>596</v>
      </c>
      <c r="E260" t="s">
        <v>619</v>
      </c>
      <c r="F260" t="s">
        <v>598</v>
      </c>
      <c r="G260" t="s">
        <v>478</v>
      </c>
      <c r="H260" t="s">
        <v>600</v>
      </c>
      <c r="I260" t="s">
        <v>601</v>
      </c>
      <c r="J260">
        <v>9.4000000000000004E-3</v>
      </c>
      <c r="K260">
        <v>9.2999999999999992E-3</v>
      </c>
      <c r="L260">
        <v>9.2999999999999992E-3</v>
      </c>
      <c r="M260">
        <v>9.2999999999999992E-3</v>
      </c>
      <c r="N260">
        <v>9.1999999999999998E-3</v>
      </c>
      <c r="O260">
        <v>9.1999999999999998E-3</v>
      </c>
      <c r="P260">
        <v>9.1999999999999998E-3</v>
      </c>
      <c r="Q260">
        <v>9.1999999999999998E-3</v>
      </c>
      <c r="R260">
        <v>9.2999999999999992E-3</v>
      </c>
      <c r="S260">
        <v>9.2999999999999992E-3</v>
      </c>
      <c r="T260">
        <v>9.4000000000000004E-3</v>
      </c>
      <c r="U260">
        <v>9.4000000000000004E-3</v>
      </c>
      <c r="V260">
        <v>9.4999999999999998E-3</v>
      </c>
      <c r="W260">
        <v>9.4999999999999998E-3</v>
      </c>
      <c r="X260">
        <v>9.4999999999999998E-3</v>
      </c>
      <c r="Y260">
        <v>9.5999999999999992E-3</v>
      </c>
    </row>
    <row r="261" spans="1:25" hidden="1">
      <c r="A261" t="s">
        <v>18802</v>
      </c>
      <c r="B261" t="s">
        <v>862</v>
      </c>
      <c r="C261" t="s">
        <v>841</v>
      </c>
      <c r="D261" t="s">
        <v>756</v>
      </c>
      <c r="E261" t="s">
        <v>597</v>
      </c>
      <c r="F261" t="s">
        <v>598</v>
      </c>
      <c r="G261" t="s">
        <v>478</v>
      </c>
      <c r="H261" t="s">
        <v>600</v>
      </c>
      <c r="I261" t="s">
        <v>601</v>
      </c>
      <c r="J261">
        <v>7.4200000000000002E-2</v>
      </c>
      <c r="K261">
        <v>7.4499999999999997E-2</v>
      </c>
      <c r="L261">
        <v>7.4499999999999997E-2</v>
      </c>
      <c r="M261">
        <v>7.4700000000000003E-2</v>
      </c>
      <c r="N261">
        <v>7.4399999999999994E-2</v>
      </c>
      <c r="O261">
        <v>7.8899999999999998E-2</v>
      </c>
      <c r="P261">
        <v>7.9000000000000001E-2</v>
      </c>
      <c r="Q261">
        <v>7.9100000000000004E-2</v>
      </c>
      <c r="R261">
        <v>7.8700000000000006E-2</v>
      </c>
      <c r="S261">
        <v>7.8700000000000006E-2</v>
      </c>
      <c r="T261">
        <v>7.8600000000000003E-2</v>
      </c>
      <c r="U261">
        <v>7.8799999999999995E-2</v>
      </c>
      <c r="V261">
        <v>7.8899999999999998E-2</v>
      </c>
      <c r="W261">
        <v>7.9200000000000007E-2</v>
      </c>
      <c r="X261">
        <v>7.9600000000000004E-2</v>
      </c>
      <c r="Y261">
        <v>8.0100000000000005E-2</v>
      </c>
    </row>
    <row r="262" spans="1:25" hidden="1">
      <c r="A262" t="s">
        <v>18802</v>
      </c>
      <c r="B262" t="s">
        <v>865</v>
      </c>
      <c r="C262" t="s">
        <v>841</v>
      </c>
      <c r="D262" t="s">
        <v>866</v>
      </c>
      <c r="E262" t="s">
        <v>597</v>
      </c>
      <c r="F262" t="s">
        <v>598</v>
      </c>
      <c r="G262" t="s">
        <v>478</v>
      </c>
      <c r="H262" t="s">
        <v>600</v>
      </c>
      <c r="I262" t="s">
        <v>601</v>
      </c>
      <c r="J262">
        <v>3.7999999999999999E-2</v>
      </c>
      <c r="K262">
        <v>3.7999999999999999E-2</v>
      </c>
      <c r="L262">
        <v>3.7999999999999999E-2</v>
      </c>
      <c r="M262">
        <v>3.7999999999999999E-2</v>
      </c>
      <c r="N262">
        <v>3.7699999999999997E-2</v>
      </c>
      <c r="O262">
        <v>3.9699999999999999E-2</v>
      </c>
      <c r="P262">
        <v>3.9300000000000002E-2</v>
      </c>
      <c r="Q262">
        <v>3.9E-2</v>
      </c>
      <c r="R262">
        <v>3.8600000000000002E-2</v>
      </c>
      <c r="S262">
        <v>3.8399999999999997E-2</v>
      </c>
      <c r="T262">
        <v>3.8100000000000002E-2</v>
      </c>
      <c r="U262">
        <v>3.7900000000000003E-2</v>
      </c>
      <c r="V262">
        <v>3.78E-2</v>
      </c>
      <c r="W262">
        <v>3.78E-2</v>
      </c>
      <c r="X262">
        <v>3.78E-2</v>
      </c>
      <c r="Y262">
        <v>3.7900000000000003E-2</v>
      </c>
    </row>
    <row r="263" spans="1:25" hidden="1">
      <c r="A263" t="s">
        <v>18802</v>
      </c>
      <c r="B263" t="s">
        <v>868</v>
      </c>
      <c r="C263" t="s">
        <v>841</v>
      </c>
      <c r="D263" t="s">
        <v>621</v>
      </c>
      <c r="E263" t="s">
        <v>597</v>
      </c>
      <c r="F263" t="s">
        <v>598</v>
      </c>
      <c r="G263" t="s">
        <v>478</v>
      </c>
      <c r="H263" t="s">
        <v>600</v>
      </c>
      <c r="I263" t="s">
        <v>601</v>
      </c>
      <c r="J263">
        <v>2.2086000000000001</v>
      </c>
      <c r="K263">
        <v>2.3992</v>
      </c>
      <c r="L263">
        <v>2.6328</v>
      </c>
      <c r="M263">
        <v>2.8940000000000001</v>
      </c>
      <c r="N263">
        <v>3.1503999999999999</v>
      </c>
      <c r="O263">
        <v>3.4388000000000001</v>
      </c>
      <c r="P263">
        <v>3.6844999999999999</v>
      </c>
      <c r="Q263">
        <v>3.9634999999999998</v>
      </c>
      <c r="R263">
        <v>4.0970000000000004</v>
      </c>
      <c r="S263">
        <v>4.2521000000000004</v>
      </c>
      <c r="T263">
        <v>4.4046000000000003</v>
      </c>
      <c r="U263">
        <v>4.5540000000000003</v>
      </c>
      <c r="V263">
        <v>4.7191000000000001</v>
      </c>
      <c r="W263">
        <v>4.883</v>
      </c>
      <c r="X263">
        <v>5.0484999999999998</v>
      </c>
      <c r="Y263">
        <v>5.2126999999999999</v>
      </c>
    </row>
    <row r="264" spans="1:25" hidden="1">
      <c r="A264" t="s">
        <v>18802</v>
      </c>
      <c r="B264" t="s">
        <v>870</v>
      </c>
      <c r="C264" t="s">
        <v>841</v>
      </c>
      <c r="D264" t="s">
        <v>621</v>
      </c>
      <c r="E264" t="s">
        <v>603</v>
      </c>
      <c r="F264" t="s">
        <v>598</v>
      </c>
      <c r="G264" t="s">
        <v>478</v>
      </c>
      <c r="H264" t="s">
        <v>600</v>
      </c>
      <c r="I264" t="s">
        <v>601</v>
      </c>
      <c r="J264">
        <v>1.1999999999999999E-3</v>
      </c>
      <c r="K264">
        <v>1.1999999999999999E-3</v>
      </c>
      <c r="L264">
        <v>1.2999999999999999E-3</v>
      </c>
      <c r="M264">
        <v>1.2999999999999999E-3</v>
      </c>
      <c r="N264">
        <v>1.4E-3</v>
      </c>
      <c r="O264">
        <v>1.4E-3</v>
      </c>
      <c r="P264">
        <v>1.4E-3</v>
      </c>
      <c r="Q264">
        <v>1.5E-3</v>
      </c>
      <c r="R264">
        <v>1.5E-3</v>
      </c>
      <c r="S264">
        <v>1.5E-3</v>
      </c>
      <c r="T264">
        <v>1.6000000000000001E-3</v>
      </c>
      <c r="U264">
        <v>1.6000000000000001E-3</v>
      </c>
      <c r="V264">
        <v>1.6000000000000001E-3</v>
      </c>
      <c r="W264">
        <v>1.6999999999999999E-3</v>
      </c>
      <c r="X264">
        <v>1.6999999999999999E-3</v>
      </c>
      <c r="Y264">
        <v>1.6999999999999999E-3</v>
      </c>
    </row>
    <row r="265" spans="1:25" hidden="1">
      <c r="A265" t="s">
        <v>18802</v>
      </c>
      <c r="B265" t="s">
        <v>875</v>
      </c>
      <c r="C265" t="s">
        <v>841</v>
      </c>
      <c r="D265" t="s">
        <v>621</v>
      </c>
      <c r="E265" t="s">
        <v>626</v>
      </c>
      <c r="F265" t="s">
        <v>598</v>
      </c>
      <c r="G265" t="s">
        <v>478</v>
      </c>
      <c r="H265" t="s">
        <v>600</v>
      </c>
      <c r="I265" t="s">
        <v>601</v>
      </c>
      <c r="J265">
        <v>2.9999999999999997E-4</v>
      </c>
      <c r="K265">
        <v>2.9999999999999997E-4</v>
      </c>
      <c r="L265">
        <v>2.9999999999999997E-4</v>
      </c>
      <c r="M265">
        <v>4.0000000000000002E-4</v>
      </c>
      <c r="N265">
        <v>4.0000000000000002E-4</v>
      </c>
      <c r="O265">
        <v>4.0000000000000002E-4</v>
      </c>
      <c r="P265">
        <v>4.0000000000000002E-4</v>
      </c>
      <c r="Q265">
        <v>4.0000000000000002E-4</v>
      </c>
      <c r="R265">
        <v>4.0000000000000002E-4</v>
      </c>
      <c r="S265">
        <v>4.0000000000000002E-4</v>
      </c>
      <c r="T265">
        <v>4.0000000000000002E-4</v>
      </c>
      <c r="U265">
        <v>5.0000000000000001E-4</v>
      </c>
      <c r="V265">
        <v>5.0000000000000001E-4</v>
      </c>
      <c r="W265">
        <v>5.0000000000000001E-4</v>
      </c>
      <c r="X265">
        <v>5.0000000000000001E-4</v>
      </c>
      <c r="Y265">
        <v>5.0000000000000001E-4</v>
      </c>
    </row>
    <row r="266" spans="1:25" hidden="1">
      <c r="A266" t="s">
        <v>18802</v>
      </c>
      <c r="B266" t="s">
        <v>876</v>
      </c>
      <c r="C266" t="s">
        <v>841</v>
      </c>
      <c r="D266" t="s">
        <v>621</v>
      </c>
      <c r="E266" t="s">
        <v>628</v>
      </c>
      <c r="F266" t="s">
        <v>598</v>
      </c>
      <c r="G266" t="s">
        <v>478</v>
      </c>
      <c r="H266" t="s">
        <v>600</v>
      </c>
      <c r="I266" t="s">
        <v>601</v>
      </c>
      <c r="J266">
        <v>9.7299999999999998E-2</v>
      </c>
      <c r="K266">
        <v>9.8400000000000001E-2</v>
      </c>
      <c r="L266">
        <v>9.98E-2</v>
      </c>
      <c r="M266">
        <v>0.10150000000000001</v>
      </c>
      <c r="N266">
        <v>0.1026</v>
      </c>
      <c r="O266">
        <v>0.104</v>
      </c>
      <c r="P266">
        <v>0.10639999999999999</v>
      </c>
      <c r="Q266">
        <v>0.1069</v>
      </c>
      <c r="R266">
        <v>0.109</v>
      </c>
      <c r="S266">
        <v>0.11210000000000001</v>
      </c>
      <c r="T266">
        <v>0.11459999999999999</v>
      </c>
      <c r="U266">
        <v>0.1167</v>
      </c>
      <c r="V266">
        <v>0.11890000000000001</v>
      </c>
      <c r="W266">
        <v>0.12139999999999999</v>
      </c>
      <c r="X266">
        <v>0.1235</v>
      </c>
      <c r="Y266">
        <v>0.12570000000000001</v>
      </c>
    </row>
    <row r="267" spans="1:25" hidden="1">
      <c r="A267" t="s">
        <v>18802</v>
      </c>
      <c r="B267" t="s">
        <v>879</v>
      </c>
      <c r="C267" t="s">
        <v>841</v>
      </c>
      <c r="D267" t="s">
        <v>621</v>
      </c>
      <c r="E267" t="s">
        <v>773</v>
      </c>
      <c r="F267" t="s">
        <v>598</v>
      </c>
      <c r="G267" t="s">
        <v>478</v>
      </c>
      <c r="H267" t="s">
        <v>600</v>
      </c>
      <c r="I267" t="s">
        <v>601</v>
      </c>
      <c r="J267">
        <v>6.7000000000000002E-3</v>
      </c>
      <c r="K267">
        <v>6.4999999999999997E-3</v>
      </c>
      <c r="L267">
        <v>6.3E-3</v>
      </c>
      <c r="M267">
        <v>6.3E-3</v>
      </c>
      <c r="N267">
        <v>6.0000000000000001E-3</v>
      </c>
      <c r="O267">
        <v>5.7999999999999996E-3</v>
      </c>
      <c r="P267">
        <v>6.0000000000000001E-3</v>
      </c>
      <c r="Q267">
        <v>6.1999999999999998E-3</v>
      </c>
      <c r="R267">
        <v>6.3E-3</v>
      </c>
      <c r="S267">
        <v>6.4999999999999997E-3</v>
      </c>
      <c r="T267">
        <v>6.7000000000000002E-3</v>
      </c>
      <c r="U267">
        <v>6.7999999999999996E-3</v>
      </c>
      <c r="V267">
        <v>7.0000000000000001E-3</v>
      </c>
      <c r="W267">
        <v>7.1000000000000004E-3</v>
      </c>
      <c r="X267">
        <v>7.3000000000000001E-3</v>
      </c>
      <c r="Y267">
        <v>7.4000000000000003E-3</v>
      </c>
    </row>
    <row r="268" spans="1:25" hidden="1">
      <c r="A268" t="s">
        <v>18802</v>
      </c>
      <c r="B268" t="s">
        <v>885</v>
      </c>
      <c r="C268" t="s">
        <v>841</v>
      </c>
      <c r="D268" t="s">
        <v>632</v>
      </c>
      <c r="E268" t="s">
        <v>628</v>
      </c>
      <c r="F268" t="s">
        <v>598</v>
      </c>
      <c r="G268" t="s">
        <v>478</v>
      </c>
      <c r="H268" t="s">
        <v>600</v>
      </c>
      <c r="I268" t="s">
        <v>601</v>
      </c>
      <c r="J268">
        <v>3.0999999999999999E-3</v>
      </c>
      <c r="K268">
        <v>3.2000000000000002E-3</v>
      </c>
      <c r="L268">
        <v>3.3999999999999998E-3</v>
      </c>
      <c r="M268">
        <v>3.5999999999999999E-3</v>
      </c>
      <c r="N268">
        <v>3.8E-3</v>
      </c>
      <c r="O268">
        <v>4.0000000000000001E-3</v>
      </c>
      <c r="P268">
        <v>4.1000000000000003E-3</v>
      </c>
      <c r="Q268">
        <v>4.3E-3</v>
      </c>
      <c r="R268">
        <v>4.4000000000000003E-3</v>
      </c>
      <c r="S268">
        <v>4.4999999999999997E-3</v>
      </c>
      <c r="T268">
        <v>4.5999999999999999E-3</v>
      </c>
      <c r="U268">
        <v>4.7999999999999996E-3</v>
      </c>
      <c r="V268">
        <v>4.8999999999999998E-3</v>
      </c>
      <c r="W268">
        <v>5.0000000000000001E-3</v>
      </c>
      <c r="X268">
        <v>5.1000000000000004E-3</v>
      </c>
      <c r="Y268">
        <v>5.1999999999999998E-3</v>
      </c>
    </row>
    <row r="269" spans="1:25" hidden="1">
      <c r="A269" t="s">
        <v>18802</v>
      </c>
      <c r="B269" t="s">
        <v>886</v>
      </c>
      <c r="C269" t="s">
        <v>841</v>
      </c>
      <c r="D269" t="s">
        <v>632</v>
      </c>
      <c r="E269" t="s">
        <v>773</v>
      </c>
      <c r="F269" t="s">
        <v>598</v>
      </c>
      <c r="G269" t="s">
        <v>478</v>
      </c>
      <c r="H269" t="s">
        <v>600</v>
      </c>
      <c r="I269" t="s">
        <v>601</v>
      </c>
      <c r="J269">
        <v>3.0933999999999999</v>
      </c>
      <c r="K269">
        <v>3.0135999999999998</v>
      </c>
      <c r="L269">
        <v>2.9371</v>
      </c>
      <c r="M269">
        <v>2.9104999999999999</v>
      </c>
      <c r="N269">
        <v>2.8007</v>
      </c>
      <c r="O269">
        <v>2.7075999999999998</v>
      </c>
      <c r="P269">
        <v>2.7608000000000001</v>
      </c>
      <c r="Q269">
        <v>2.8605999999999998</v>
      </c>
      <c r="R269">
        <v>2.9037999999999999</v>
      </c>
      <c r="S269">
        <v>3.0103</v>
      </c>
      <c r="T269">
        <v>3.1133999999999999</v>
      </c>
      <c r="U269">
        <v>3.1699000000000002</v>
      </c>
      <c r="V269">
        <v>3.2364999999999999</v>
      </c>
      <c r="W269">
        <v>3.2997000000000001</v>
      </c>
      <c r="X269">
        <v>3.3662000000000001</v>
      </c>
      <c r="Y269">
        <v>3.4293999999999998</v>
      </c>
    </row>
    <row r="270" spans="1:25" hidden="1">
      <c r="A270" t="s">
        <v>18802</v>
      </c>
      <c r="B270" t="s">
        <v>890</v>
      </c>
      <c r="C270" t="s">
        <v>841</v>
      </c>
      <c r="D270" t="s">
        <v>632</v>
      </c>
      <c r="E270" t="s">
        <v>638</v>
      </c>
      <c r="F270" t="s">
        <v>598</v>
      </c>
      <c r="G270" t="s">
        <v>478</v>
      </c>
      <c r="H270" t="s">
        <v>600</v>
      </c>
      <c r="I270" t="s">
        <v>601</v>
      </c>
      <c r="J270">
        <v>0.1774</v>
      </c>
      <c r="K270">
        <v>0.1774</v>
      </c>
      <c r="L270">
        <v>0.1774</v>
      </c>
      <c r="M270">
        <v>0.1774</v>
      </c>
      <c r="N270">
        <v>0.1774</v>
      </c>
      <c r="O270">
        <v>0.1774</v>
      </c>
      <c r="P270">
        <v>0.1774</v>
      </c>
      <c r="Q270">
        <v>0.1774</v>
      </c>
      <c r="R270">
        <v>0.1774</v>
      </c>
      <c r="S270">
        <v>0.1774</v>
      </c>
      <c r="T270">
        <v>0.1774</v>
      </c>
      <c r="U270">
        <v>0.1774</v>
      </c>
      <c r="V270">
        <v>0.1774</v>
      </c>
      <c r="W270">
        <v>0.1774</v>
      </c>
      <c r="X270">
        <v>0.1774</v>
      </c>
      <c r="Y270">
        <v>0.1774</v>
      </c>
    </row>
    <row r="271" spans="1:25" hidden="1">
      <c r="A271" t="s">
        <v>18802</v>
      </c>
      <c r="B271" t="s">
        <v>893</v>
      </c>
      <c r="C271" t="s">
        <v>841</v>
      </c>
      <c r="D271" t="s">
        <v>632</v>
      </c>
      <c r="E271" t="s">
        <v>894</v>
      </c>
      <c r="F271" t="s">
        <v>598</v>
      </c>
      <c r="G271" t="s">
        <v>478</v>
      </c>
      <c r="H271" t="s">
        <v>600</v>
      </c>
      <c r="I271" t="s">
        <v>601</v>
      </c>
      <c r="J271">
        <v>6.08E-2</v>
      </c>
      <c r="K271">
        <v>6.08E-2</v>
      </c>
      <c r="L271">
        <v>6.08E-2</v>
      </c>
      <c r="M271">
        <v>6.08E-2</v>
      </c>
      <c r="N271">
        <v>6.08E-2</v>
      </c>
      <c r="O271">
        <v>6.08E-2</v>
      </c>
      <c r="P271">
        <v>6.08E-2</v>
      </c>
      <c r="Q271">
        <v>6.08E-2</v>
      </c>
      <c r="R271">
        <v>6.08E-2</v>
      </c>
      <c r="S271">
        <v>6.08E-2</v>
      </c>
      <c r="T271">
        <v>6.08E-2</v>
      </c>
      <c r="U271">
        <v>6.08E-2</v>
      </c>
      <c r="V271">
        <v>6.08E-2</v>
      </c>
      <c r="W271">
        <v>6.08E-2</v>
      </c>
      <c r="X271">
        <v>6.08E-2</v>
      </c>
      <c r="Y271">
        <v>6.08E-2</v>
      </c>
    </row>
    <row r="272" spans="1:25" hidden="1">
      <c r="A272" t="s">
        <v>18802</v>
      </c>
      <c r="B272" t="s">
        <v>895</v>
      </c>
      <c r="C272" t="s">
        <v>841</v>
      </c>
      <c r="D272" t="s">
        <v>632</v>
      </c>
      <c r="E272" t="s">
        <v>784</v>
      </c>
      <c r="F272" t="s">
        <v>598</v>
      </c>
      <c r="G272" t="s">
        <v>478</v>
      </c>
      <c r="H272" t="s">
        <v>600</v>
      </c>
      <c r="I272" t="s">
        <v>601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hidden="1">
      <c r="A273" t="s">
        <v>18802</v>
      </c>
      <c r="B273" t="s">
        <v>900</v>
      </c>
      <c r="C273" t="s">
        <v>841</v>
      </c>
      <c r="D273" t="s">
        <v>640</v>
      </c>
      <c r="E273" t="s">
        <v>619</v>
      </c>
      <c r="F273" t="s">
        <v>598</v>
      </c>
      <c r="G273" t="s">
        <v>478</v>
      </c>
      <c r="H273" t="s">
        <v>600</v>
      </c>
      <c r="I273" t="s">
        <v>601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18802</v>
      </c>
      <c r="B274" t="s">
        <v>902</v>
      </c>
      <c r="C274" t="s">
        <v>841</v>
      </c>
      <c r="D274" t="s">
        <v>648</v>
      </c>
      <c r="E274" t="s">
        <v>597</v>
      </c>
      <c r="F274" t="s">
        <v>598</v>
      </c>
      <c r="G274" t="s">
        <v>478</v>
      </c>
      <c r="H274" t="s">
        <v>600</v>
      </c>
      <c r="I274" t="s">
        <v>601</v>
      </c>
      <c r="J274">
        <v>5.9989999999999997</v>
      </c>
      <c r="K274">
        <v>6.3741000000000003</v>
      </c>
      <c r="L274">
        <v>6.8308</v>
      </c>
      <c r="M274">
        <v>7.3394000000000004</v>
      </c>
      <c r="N274">
        <v>7.8390000000000004</v>
      </c>
      <c r="O274">
        <v>8.3999000000000006</v>
      </c>
      <c r="P274">
        <v>8.8779000000000003</v>
      </c>
      <c r="Q274">
        <v>9.4196000000000009</v>
      </c>
      <c r="R274">
        <v>9.6849000000000007</v>
      </c>
      <c r="S274">
        <v>9.9915000000000003</v>
      </c>
      <c r="T274">
        <v>10.2935</v>
      </c>
      <c r="U274">
        <v>10.589600000000001</v>
      </c>
      <c r="V274">
        <v>10.9152</v>
      </c>
      <c r="W274">
        <v>11.2385</v>
      </c>
      <c r="X274">
        <v>11.565</v>
      </c>
      <c r="Y274">
        <v>11.8889</v>
      </c>
    </row>
    <row r="275" spans="1:25" hidden="1">
      <c r="A275" t="s">
        <v>18802</v>
      </c>
      <c r="B275" t="s">
        <v>909</v>
      </c>
      <c r="C275" t="s">
        <v>841</v>
      </c>
      <c r="D275" t="s">
        <v>648</v>
      </c>
      <c r="E275" t="s">
        <v>642</v>
      </c>
      <c r="F275" t="s">
        <v>598</v>
      </c>
      <c r="G275" t="s">
        <v>478</v>
      </c>
      <c r="H275" t="s">
        <v>600</v>
      </c>
      <c r="I275" t="s">
        <v>601</v>
      </c>
      <c r="J275">
        <v>2.3E-2</v>
      </c>
      <c r="K275">
        <v>2.3E-2</v>
      </c>
      <c r="L275">
        <v>2.29E-2</v>
      </c>
      <c r="M275">
        <v>2.3099999999999999E-2</v>
      </c>
      <c r="N275">
        <v>2.29E-2</v>
      </c>
      <c r="O275">
        <v>2.2800000000000001E-2</v>
      </c>
      <c r="P275">
        <v>2.35E-2</v>
      </c>
      <c r="Q275">
        <v>2.4500000000000001E-2</v>
      </c>
      <c r="R275">
        <v>2.52E-2</v>
      </c>
      <c r="S275">
        <v>2.6100000000000002E-2</v>
      </c>
      <c r="T275">
        <v>2.7E-2</v>
      </c>
      <c r="U275">
        <v>2.76E-2</v>
      </c>
      <c r="V275">
        <v>2.8500000000000001E-2</v>
      </c>
      <c r="W275">
        <v>2.93E-2</v>
      </c>
      <c r="X275">
        <v>0.03</v>
      </c>
      <c r="Y275">
        <v>3.0700000000000002E-2</v>
      </c>
    </row>
    <row r="276" spans="1:25" hidden="1">
      <c r="A276" t="s">
        <v>18802</v>
      </c>
      <c r="B276" t="s">
        <v>910</v>
      </c>
      <c r="C276" t="s">
        <v>841</v>
      </c>
      <c r="D276" t="s">
        <v>648</v>
      </c>
      <c r="E276" t="s">
        <v>799</v>
      </c>
      <c r="F276" t="s">
        <v>598</v>
      </c>
      <c r="G276" t="s">
        <v>478</v>
      </c>
      <c r="H276" t="s">
        <v>600</v>
      </c>
      <c r="I276" t="s">
        <v>601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hidden="1">
      <c r="A277" t="s">
        <v>18802</v>
      </c>
      <c r="B277" t="s">
        <v>911</v>
      </c>
      <c r="C277" t="s">
        <v>841</v>
      </c>
      <c r="D277" t="s">
        <v>648</v>
      </c>
      <c r="E277" t="s">
        <v>619</v>
      </c>
      <c r="F277" t="s">
        <v>598</v>
      </c>
      <c r="G277" t="s">
        <v>478</v>
      </c>
      <c r="H277" t="s">
        <v>600</v>
      </c>
      <c r="I277" t="s">
        <v>601</v>
      </c>
      <c r="J277">
        <v>1E-4</v>
      </c>
      <c r="K277">
        <v>1E-4</v>
      </c>
      <c r="L277">
        <v>1E-4</v>
      </c>
      <c r="M277">
        <v>1E-4</v>
      </c>
      <c r="N277">
        <v>1E-4</v>
      </c>
      <c r="O277">
        <v>1E-4</v>
      </c>
      <c r="P277">
        <v>1E-4</v>
      </c>
      <c r="Q277">
        <v>1E-4</v>
      </c>
      <c r="R277">
        <v>1E-4</v>
      </c>
      <c r="S277">
        <v>2.0000000000000001E-4</v>
      </c>
      <c r="T277">
        <v>2.9999999999999997E-4</v>
      </c>
      <c r="U277">
        <v>2.9999999999999997E-4</v>
      </c>
      <c r="V277">
        <v>2.9999999999999997E-4</v>
      </c>
      <c r="W277">
        <v>2.9999999999999997E-4</v>
      </c>
      <c r="X277">
        <v>2.9999999999999997E-4</v>
      </c>
      <c r="Y277">
        <v>2.9999999999999997E-4</v>
      </c>
    </row>
    <row r="278" spans="1:25" hidden="1">
      <c r="A278" t="s">
        <v>18802</v>
      </c>
      <c r="B278" t="s">
        <v>912</v>
      </c>
      <c r="C278" t="s">
        <v>841</v>
      </c>
      <c r="D278" t="s">
        <v>648</v>
      </c>
      <c r="E278" t="s">
        <v>676</v>
      </c>
      <c r="F278" t="s">
        <v>598</v>
      </c>
      <c r="G278" t="s">
        <v>478</v>
      </c>
      <c r="H278" t="s">
        <v>600</v>
      </c>
      <c r="I278" t="s">
        <v>601</v>
      </c>
      <c r="J278">
        <v>2.5899999999999999E-2</v>
      </c>
      <c r="K278">
        <v>2.5899999999999999E-2</v>
      </c>
      <c r="L278">
        <v>2.5899999999999999E-2</v>
      </c>
      <c r="M278">
        <v>2.5899999999999999E-2</v>
      </c>
      <c r="N278">
        <v>2.5899999999999999E-2</v>
      </c>
      <c r="O278">
        <v>2.5899999999999999E-2</v>
      </c>
      <c r="P278">
        <v>2.5899999999999999E-2</v>
      </c>
      <c r="Q278">
        <v>2.5899999999999999E-2</v>
      </c>
      <c r="R278">
        <v>2.5899999999999999E-2</v>
      </c>
      <c r="S278">
        <v>2.5899999999999999E-2</v>
      </c>
      <c r="T278">
        <v>2.5899999999999999E-2</v>
      </c>
      <c r="U278">
        <v>2.5899999999999999E-2</v>
      </c>
      <c r="V278">
        <v>2.5899999999999999E-2</v>
      </c>
      <c r="W278">
        <v>2.5899999999999999E-2</v>
      </c>
      <c r="X278">
        <v>2.5899999999999999E-2</v>
      </c>
      <c r="Y278">
        <v>2.5899999999999999E-2</v>
      </c>
    </row>
    <row r="279" spans="1:25" hidden="1">
      <c r="A279" t="s">
        <v>18802</v>
      </c>
      <c r="B279" t="s">
        <v>913</v>
      </c>
      <c r="C279" t="s">
        <v>914</v>
      </c>
      <c r="D279" t="s">
        <v>671</v>
      </c>
      <c r="E279" t="s">
        <v>597</v>
      </c>
      <c r="F279" t="s">
        <v>598</v>
      </c>
      <c r="G279" t="s">
        <v>478</v>
      </c>
      <c r="H279" t="s">
        <v>600</v>
      </c>
      <c r="I279" t="s">
        <v>601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18802</v>
      </c>
      <c r="B280" t="s">
        <v>915</v>
      </c>
      <c r="C280" t="s">
        <v>914</v>
      </c>
      <c r="D280" t="s">
        <v>671</v>
      </c>
      <c r="E280" t="s">
        <v>642</v>
      </c>
      <c r="F280" t="s">
        <v>598</v>
      </c>
      <c r="G280" t="s">
        <v>478</v>
      </c>
      <c r="H280" t="s">
        <v>600</v>
      </c>
      <c r="I280" t="s">
        <v>601</v>
      </c>
      <c r="J280">
        <v>1E-4</v>
      </c>
      <c r="K280">
        <v>1E-4</v>
      </c>
      <c r="L280">
        <v>1E-4</v>
      </c>
      <c r="M280">
        <v>1E-4</v>
      </c>
      <c r="N280">
        <v>1E-4</v>
      </c>
      <c r="O280">
        <v>1E-4</v>
      </c>
      <c r="P280">
        <v>1E-4</v>
      </c>
      <c r="Q280">
        <v>1E-4</v>
      </c>
      <c r="R280">
        <v>1E-4</v>
      </c>
      <c r="S280">
        <v>1E-4</v>
      </c>
      <c r="T280">
        <v>1E-4</v>
      </c>
      <c r="U280">
        <v>1E-4</v>
      </c>
      <c r="V280">
        <v>1E-4</v>
      </c>
      <c r="W280">
        <v>1E-4</v>
      </c>
      <c r="X280">
        <v>1E-4</v>
      </c>
      <c r="Y280">
        <v>1E-4</v>
      </c>
    </row>
    <row r="281" spans="1:25" hidden="1">
      <c r="A281" t="s">
        <v>18802</v>
      </c>
      <c r="B281" t="s">
        <v>916</v>
      </c>
      <c r="C281" t="s">
        <v>914</v>
      </c>
      <c r="D281" t="s">
        <v>621</v>
      </c>
      <c r="E281" t="s">
        <v>628</v>
      </c>
      <c r="F281" t="s">
        <v>598</v>
      </c>
      <c r="G281" t="s">
        <v>478</v>
      </c>
      <c r="H281" t="s">
        <v>600</v>
      </c>
      <c r="I281" t="s">
        <v>601</v>
      </c>
      <c r="J281">
        <v>1.0462807999999999</v>
      </c>
      <c r="K281">
        <v>1.0471344</v>
      </c>
      <c r="L281">
        <v>1.0488416</v>
      </c>
      <c r="M281">
        <v>1.0470568</v>
      </c>
      <c r="N281">
        <v>1.0495399999999999</v>
      </c>
      <c r="O281">
        <v>1.0024367999999999</v>
      </c>
      <c r="P281">
        <v>1.0176464000000001</v>
      </c>
      <c r="Q281">
        <v>1.0344856</v>
      </c>
      <c r="R281">
        <v>1.0460480000000001</v>
      </c>
      <c r="S281">
        <v>1.0584640000000001</v>
      </c>
      <c r="T281">
        <v>1.0711904000000001</v>
      </c>
      <c r="U281">
        <v>1.0836064000000001</v>
      </c>
      <c r="V281">
        <v>1.0964103999999999</v>
      </c>
      <c r="W281">
        <v>1.1091367999999999</v>
      </c>
      <c r="X281">
        <v>1.122484</v>
      </c>
      <c r="Y281">
        <v>1.1359864</v>
      </c>
    </row>
    <row r="282" spans="1:25" hidden="1">
      <c r="A282" t="s">
        <v>18802</v>
      </c>
      <c r="B282" t="s">
        <v>919</v>
      </c>
      <c r="C282" t="s">
        <v>914</v>
      </c>
      <c r="D282" t="s">
        <v>648</v>
      </c>
      <c r="E282" t="s">
        <v>920</v>
      </c>
      <c r="F282" t="s">
        <v>598</v>
      </c>
      <c r="G282" t="s">
        <v>478</v>
      </c>
      <c r="H282" t="s">
        <v>600</v>
      </c>
      <c r="I282" t="s">
        <v>601</v>
      </c>
      <c r="J282">
        <v>0.41070000000000001</v>
      </c>
      <c r="K282">
        <v>0.41739999999999999</v>
      </c>
      <c r="L282">
        <v>0.42620000000000002</v>
      </c>
      <c r="M282">
        <v>0.43469999999999998</v>
      </c>
      <c r="N282">
        <v>0.44369999999999998</v>
      </c>
      <c r="O282">
        <v>0.45250000000000001</v>
      </c>
      <c r="P282">
        <v>0.46129999999999999</v>
      </c>
      <c r="Q282">
        <v>0.47020000000000001</v>
      </c>
      <c r="R282">
        <v>0.47460000000000002</v>
      </c>
      <c r="S282">
        <v>0.47839999999999999</v>
      </c>
      <c r="T282">
        <v>0.48249999999999998</v>
      </c>
      <c r="U282">
        <v>0.48680000000000001</v>
      </c>
      <c r="V282">
        <v>0.49159999999999998</v>
      </c>
      <c r="W282">
        <v>0.496</v>
      </c>
      <c r="X282">
        <v>0.50070000000000003</v>
      </c>
      <c r="Y282">
        <v>0.50529999999999997</v>
      </c>
    </row>
    <row r="283" spans="1:25" hidden="1">
      <c r="A283" t="s">
        <v>18802</v>
      </c>
      <c r="B283" t="s">
        <v>923</v>
      </c>
      <c r="C283" t="s">
        <v>914</v>
      </c>
      <c r="D283" t="s">
        <v>648</v>
      </c>
      <c r="E283" t="s">
        <v>781</v>
      </c>
      <c r="F283" t="s">
        <v>598</v>
      </c>
      <c r="G283" t="s">
        <v>478</v>
      </c>
      <c r="H283" t="s">
        <v>600</v>
      </c>
      <c r="I283" t="s">
        <v>601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</row>
    <row r="284" spans="1:25" hidden="1">
      <c r="A284" t="s">
        <v>18802</v>
      </c>
      <c r="B284" t="s">
        <v>924</v>
      </c>
      <c r="C284" t="s">
        <v>925</v>
      </c>
      <c r="D284" t="s">
        <v>926</v>
      </c>
      <c r="E284" t="s">
        <v>927</v>
      </c>
      <c r="F284" t="s">
        <v>598</v>
      </c>
      <c r="G284" t="s">
        <v>478</v>
      </c>
      <c r="H284" t="s">
        <v>600</v>
      </c>
      <c r="I284" t="s">
        <v>601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18802</v>
      </c>
      <c r="B285" t="s">
        <v>945</v>
      </c>
      <c r="C285" t="s">
        <v>943</v>
      </c>
      <c r="D285" t="s">
        <v>946</v>
      </c>
      <c r="E285" t="s">
        <v>613</v>
      </c>
      <c r="F285" t="s">
        <v>598</v>
      </c>
      <c r="G285" t="s">
        <v>478</v>
      </c>
      <c r="H285" t="s">
        <v>600</v>
      </c>
      <c r="I285" t="s">
        <v>601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</row>
    <row r="286" spans="1:25" hidden="1">
      <c r="A286" t="s">
        <v>18802</v>
      </c>
      <c r="B286" t="s">
        <v>947</v>
      </c>
      <c r="C286" t="s">
        <v>943</v>
      </c>
      <c r="D286" t="s">
        <v>946</v>
      </c>
      <c r="E286" t="s">
        <v>948</v>
      </c>
      <c r="F286" t="s">
        <v>598</v>
      </c>
      <c r="G286" t="s">
        <v>478</v>
      </c>
      <c r="H286" t="s">
        <v>600</v>
      </c>
      <c r="I286" t="s">
        <v>601</v>
      </c>
      <c r="J286">
        <v>4.5999999999999999E-3</v>
      </c>
      <c r="K286">
        <v>4.7999999999999996E-3</v>
      </c>
      <c r="L286">
        <v>5.0000000000000001E-3</v>
      </c>
      <c r="M286">
        <v>5.1999999999999998E-3</v>
      </c>
      <c r="N286">
        <v>5.4000000000000003E-3</v>
      </c>
      <c r="O286">
        <v>5.5999999999999999E-3</v>
      </c>
      <c r="P286">
        <v>5.7000000000000002E-3</v>
      </c>
      <c r="Q286">
        <v>5.8999999999999999E-3</v>
      </c>
      <c r="R286">
        <v>6.0000000000000001E-3</v>
      </c>
      <c r="S286">
        <v>6.1999999999999998E-3</v>
      </c>
      <c r="T286">
        <v>6.3E-3</v>
      </c>
      <c r="U286">
        <v>6.4999999999999997E-3</v>
      </c>
      <c r="V286">
        <v>6.6E-3</v>
      </c>
      <c r="W286">
        <v>6.7999999999999996E-3</v>
      </c>
      <c r="X286">
        <v>6.8999999999999999E-3</v>
      </c>
      <c r="Y286">
        <v>7.1000000000000004E-3</v>
      </c>
    </row>
    <row r="287" spans="1:25" hidden="1">
      <c r="A287" t="s">
        <v>18802</v>
      </c>
      <c r="B287" t="s">
        <v>949</v>
      </c>
      <c r="C287" t="s">
        <v>943</v>
      </c>
      <c r="D287" t="s">
        <v>950</v>
      </c>
      <c r="E287" t="s">
        <v>646</v>
      </c>
      <c r="F287" t="s">
        <v>598</v>
      </c>
      <c r="G287" t="s">
        <v>478</v>
      </c>
      <c r="H287" t="s">
        <v>600</v>
      </c>
      <c r="I287" t="s">
        <v>601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hidden="1">
      <c r="A288" t="s">
        <v>18802</v>
      </c>
      <c r="B288" t="s">
        <v>951</v>
      </c>
      <c r="C288" t="s">
        <v>943</v>
      </c>
      <c r="D288" t="s">
        <v>934</v>
      </c>
      <c r="E288" t="s">
        <v>937</v>
      </c>
      <c r="F288" t="s">
        <v>598</v>
      </c>
      <c r="G288" t="s">
        <v>478</v>
      </c>
      <c r="H288" t="s">
        <v>600</v>
      </c>
      <c r="I288" t="s">
        <v>601</v>
      </c>
      <c r="J288">
        <v>1.7000000000000001E-2</v>
      </c>
      <c r="K288">
        <v>1.7600000000000001E-2</v>
      </c>
      <c r="L288">
        <v>1.8200000000000001E-2</v>
      </c>
      <c r="M288">
        <v>1.9099999999999999E-2</v>
      </c>
      <c r="N288">
        <v>1.9599999999999999E-2</v>
      </c>
      <c r="O288">
        <v>2.0299999999999999E-2</v>
      </c>
      <c r="P288">
        <v>2.0899999999999998E-2</v>
      </c>
      <c r="Q288">
        <v>2.18E-2</v>
      </c>
      <c r="R288">
        <v>2.2499999999999999E-2</v>
      </c>
      <c r="S288">
        <v>2.3199999999999998E-2</v>
      </c>
      <c r="T288">
        <v>2.3900000000000001E-2</v>
      </c>
      <c r="U288">
        <v>2.46E-2</v>
      </c>
      <c r="V288">
        <v>2.5399999999999999E-2</v>
      </c>
      <c r="W288">
        <v>2.6100000000000002E-2</v>
      </c>
      <c r="X288">
        <v>2.69E-2</v>
      </c>
      <c r="Y288">
        <v>2.76E-2</v>
      </c>
    </row>
    <row r="289" spans="1:25" hidden="1">
      <c r="A289" t="s">
        <v>18802</v>
      </c>
      <c r="B289" t="s">
        <v>955</v>
      </c>
      <c r="C289" t="s">
        <v>956</v>
      </c>
      <c r="D289" t="s">
        <v>931</v>
      </c>
      <c r="E289" t="s">
        <v>597</v>
      </c>
      <c r="F289" t="s">
        <v>598</v>
      </c>
      <c r="G289" t="s">
        <v>478</v>
      </c>
      <c r="H289" t="s">
        <v>600</v>
      </c>
      <c r="I289" t="s">
        <v>601</v>
      </c>
      <c r="J289">
        <v>2.2000000000000001E-3</v>
      </c>
      <c r="K289">
        <v>2.3E-3</v>
      </c>
      <c r="L289">
        <v>2.5000000000000001E-3</v>
      </c>
      <c r="M289">
        <v>2.5999999999999999E-3</v>
      </c>
      <c r="N289">
        <v>2.8E-3</v>
      </c>
      <c r="O289">
        <v>3.0000000000000001E-3</v>
      </c>
      <c r="P289">
        <v>3.0999999999999999E-3</v>
      </c>
      <c r="Q289">
        <v>3.2000000000000002E-3</v>
      </c>
      <c r="R289">
        <v>3.2000000000000002E-3</v>
      </c>
      <c r="S289">
        <v>3.2000000000000002E-3</v>
      </c>
      <c r="T289">
        <v>3.3E-3</v>
      </c>
      <c r="U289">
        <v>3.3E-3</v>
      </c>
      <c r="V289">
        <v>3.3999999999999998E-3</v>
      </c>
      <c r="W289">
        <v>3.3999999999999998E-3</v>
      </c>
      <c r="X289">
        <v>3.5000000000000001E-3</v>
      </c>
      <c r="Y289">
        <v>3.5000000000000001E-3</v>
      </c>
    </row>
    <row r="290" spans="1:25" hidden="1">
      <c r="A290" t="s">
        <v>18802</v>
      </c>
      <c r="B290" t="s">
        <v>959</v>
      </c>
      <c r="C290" t="s">
        <v>956</v>
      </c>
      <c r="D290" t="s">
        <v>931</v>
      </c>
      <c r="E290" t="s">
        <v>613</v>
      </c>
      <c r="F290" t="s">
        <v>598</v>
      </c>
      <c r="G290" t="s">
        <v>478</v>
      </c>
      <c r="H290" t="s">
        <v>600</v>
      </c>
      <c r="I290" t="s">
        <v>601</v>
      </c>
      <c r="J290">
        <v>6.5600000000000006E-2</v>
      </c>
      <c r="K290">
        <v>6.83E-2</v>
      </c>
      <c r="L290">
        <v>7.1199999999999999E-2</v>
      </c>
      <c r="M290">
        <v>7.4099999999999999E-2</v>
      </c>
      <c r="N290">
        <v>7.6700000000000004E-2</v>
      </c>
      <c r="O290">
        <v>7.9500000000000001E-2</v>
      </c>
      <c r="P290">
        <v>8.1600000000000006E-2</v>
      </c>
      <c r="Q290">
        <v>8.4000000000000005E-2</v>
      </c>
      <c r="R290">
        <v>8.5900000000000004E-2</v>
      </c>
      <c r="S290">
        <v>8.8200000000000001E-2</v>
      </c>
      <c r="T290">
        <v>9.0399999999999994E-2</v>
      </c>
      <c r="U290">
        <v>9.2600000000000002E-2</v>
      </c>
      <c r="V290">
        <v>9.4700000000000006E-2</v>
      </c>
      <c r="W290">
        <v>9.6799999999999997E-2</v>
      </c>
      <c r="X290">
        <v>9.9000000000000005E-2</v>
      </c>
      <c r="Y290">
        <v>0.1011</v>
      </c>
    </row>
    <row r="291" spans="1:25" hidden="1">
      <c r="A291" t="s">
        <v>18802</v>
      </c>
      <c r="B291" t="s">
        <v>960</v>
      </c>
      <c r="C291" t="s">
        <v>956</v>
      </c>
      <c r="D291" t="s">
        <v>931</v>
      </c>
      <c r="E291" t="s">
        <v>961</v>
      </c>
      <c r="F291" t="s">
        <v>598</v>
      </c>
      <c r="G291" t="s">
        <v>478</v>
      </c>
      <c r="H291" t="s">
        <v>600</v>
      </c>
      <c r="I291" t="s">
        <v>601</v>
      </c>
      <c r="J291">
        <v>2.9999999999999997E-4</v>
      </c>
      <c r="K291">
        <v>2.9999999999999997E-4</v>
      </c>
      <c r="L291">
        <v>2.9999999999999997E-4</v>
      </c>
      <c r="M291">
        <v>2.9999999999999997E-4</v>
      </c>
      <c r="N291">
        <v>2.9999999999999997E-4</v>
      </c>
      <c r="O291">
        <v>2.9999999999999997E-4</v>
      </c>
      <c r="P291">
        <v>2.9999999999999997E-4</v>
      </c>
      <c r="Q291">
        <v>4.0000000000000002E-4</v>
      </c>
      <c r="R291">
        <v>4.0000000000000002E-4</v>
      </c>
      <c r="S291">
        <v>4.0000000000000002E-4</v>
      </c>
      <c r="T291">
        <v>4.0000000000000002E-4</v>
      </c>
      <c r="U291">
        <v>4.0000000000000002E-4</v>
      </c>
      <c r="V291">
        <v>4.0000000000000002E-4</v>
      </c>
      <c r="W291">
        <v>4.0000000000000002E-4</v>
      </c>
      <c r="X291">
        <v>4.0000000000000002E-4</v>
      </c>
      <c r="Y291">
        <v>4.0000000000000002E-4</v>
      </c>
    </row>
    <row r="292" spans="1:25" hidden="1">
      <c r="A292" t="s">
        <v>18802</v>
      </c>
      <c r="B292" t="s">
        <v>968</v>
      </c>
      <c r="C292" t="s">
        <v>956</v>
      </c>
      <c r="D292" t="s">
        <v>648</v>
      </c>
      <c r="E292" t="s">
        <v>961</v>
      </c>
      <c r="F292" t="s">
        <v>598</v>
      </c>
      <c r="G292" t="s">
        <v>478</v>
      </c>
      <c r="H292" t="s">
        <v>600</v>
      </c>
      <c r="I292" t="s">
        <v>601</v>
      </c>
      <c r="J292">
        <v>2.9999999999999997E-4</v>
      </c>
      <c r="K292">
        <v>2.9999999999999997E-4</v>
      </c>
      <c r="L292">
        <v>2.9999999999999997E-4</v>
      </c>
      <c r="M292">
        <v>2.9999999999999997E-4</v>
      </c>
      <c r="N292">
        <v>2.9999999999999997E-4</v>
      </c>
      <c r="O292">
        <v>2.9999999999999997E-4</v>
      </c>
      <c r="P292">
        <v>2.9999999999999997E-4</v>
      </c>
      <c r="Q292">
        <v>2.9999999999999997E-4</v>
      </c>
      <c r="R292">
        <v>2.9999999999999997E-4</v>
      </c>
      <c r="S292">
        <v>2.9999999999999997E-4</v>
      </c>
      <c r="T292">
        <v>2.9999999999999997E-4</v>
      </c>
      <c r="U292">
        <v>2.9999999999999997E-4</v>
      </c>
      <c r="V292">
        <v>2.9999999999999997E-4</v>
      </c>
      <c r="W292">
        <v>4.0000000000000002E-4</v>
      </c>
      <c r="X292">
        <v>4.0000000000000002E-4</v>
      </c>
      <c r="Y292">
        <v>4.0000000000000002E-4</v>
      </c>
    </row>
    <row r="293" spans="1:25" hidden="1">
      <c r="A293" t="s">
        <v>18802</v>
      </c>
      <c r="B293" t="s">
        <v>974</v>
      </c>
      <c r="C293" t="s">
        <v>971</v>
      </c>
      <c r="D293" t="s">
        <v>648</v>
      </c>
      <c r="E293" t="s">
        <v>973</v>
      </c>
      <c r="F293" t="s">
        <v>598</v>
      </c>
      <c r="G293" t="s">
        <v>478</v>
      </c>
      <c r="H293" t="s">
        <v>600</v>
      </c>
      <c r="I293" t="s">
        <v>601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hidden="1">
      <c r="A294" t="s">
        <v>18802</v>
      </c>
      <c r="B294" t="s">
        <v>977</v>
      </c>
      <c r="C294" t="s">
        <v>971</v>
      </c>
      <c r="D294" t="s">
        <v>648</v>
      </c>
      <c r="E294" t="s">
        <v>613</v>
      </c>
      <c r="F294" t="s">
        <v>598</v>
      </c>
      <c r="G294" t="s">
        <v>478</v>
      </c>
      <c r="H294" t="s">
        <v>600</v>
      </c>
      <c r="I294" t="s">
        <v>601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hidden="1">
      <c r="A295" t="s">
        <v>18802</v>
      </c>
      <c r="B295" t="s">
        <v>981</v>
      </c>
      <c r="C295" t="s">
        <v>980</v>
      </c>
      <c r="D295" t="s">
        <v>982</v>
      </c>
      <c r="E295" t="s">
        <v>613</v>
      </c>
      <c r="F295" t="s">
        <v>598</v>
      </c>
      <c r="G295" t="s">
        <v>478</v>
      </c>
      <c r="H295" t="s">
        <v>600</v>
      </c>
      <c r="I295" t="s">
        <v>601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hidden="1">
      <c r="A296" t="s">
        <v>18802</v>
      </c>
      <c r="B296" t="s">
        <v>985</v>
      </c>
      <c r="C296" t="s">
        <v>980</v>
      </c>
      <c r="D296" t="s">
        <v>986</v>
      </c>
      <c r="E296" t="s">
        <v>973</v>
      </c>
      <c r="F296" t="s">
        <v>598</v>
      </c>
      <c r="G296" t="s">
        <v>478</v>
      </c>
      <c r="H296" t="s">
        <v>600</v>
      </c>
      <c r="I296" t="s">
        <v>601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</row>
    <row r="297" spans="1:25" hidden="1">
      <c r="A297" t="s">
        <v>18802</v>
      </c>
      <c r="B297" t="s">
        <v>987</v>
      </c>
      <c r="C297" t="s">
        <v>980</v>
      </c>
      <c r="D297" t="s">
        <v>986</v>
      </c>
      <c r="E297" t="s">
        <v>927</v>
      </c>
      <c r="F297" t="s">
        <v>598</v>
      </c>
      <c r="G297" t="s">
        <v>478</v>
      </c>
      <c r="H297" t="s">
        <v>600</v>
      </c>
      <c r="I297" t="s">
        <v>601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hidden="1">
      <c r="A298" t="s">
        <v>18802</v>
      </c>
      <c r="B298" t="s">
        <v>988</v>
      </c>
      <c r="C298" t="s">
        <v>980</v>
      </c>
      <c r="D298" t="s">
        <v>648</v>
      </c>
      <c r="E298" t="s">
        <v>920</v>
      </c>
      <c r="F298" t="s">
        <v>598</v>
      </c>
      <c r="G298" t="s">
        <v>478</v>
      </c>
      <c r="H298" t="s">
        <v>600</v>
      </c>
      <c r="I298" t="s">
        <v>601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hidden="1">
      <c r="A299" t="s">
        <v>18802</v>
      </c>
      <c r="B299" t="s">
        <v>997</v>
      </c>
      <c r="C299" t="s">
        <v>998</v>
      </c>
      <c r="D299" t="s">
        <v>999</v>
      </c>
      <c r="E299" t="s">
        <v>1000</v>
      </c>
      <c r="F299" t="s">
        <v>598</v>
      </c>
      <c r="G299" t="s">
        <v>478</v>
      </c>
      <c r="H299" t="s">
        <v>600</v>
      </c>
      <c r="I299" t="s">
        <v>601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18802</v>
      </c>
      <c r="B300" t="s">
        <v>1007</v>
      </c>
      <c r="C300" t="s">
        <v>998</v>
      </c>
      <c r="D300" t="s">
        <v>999</v>
      </c>
      <c r="E300" t="s">
        <v>1008</v>
      </c>
      <c r="F300" t="s">
        <v>598</v>
      </c>
      <c r="G300" t="s">
        <v>478</v>
      </c>
      <c r="H300" t="s">
        <v>600</v>
      </c>
      <c r="I300" t="s">
        <v>601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hidden="1">
      <c r="A301" t="s">
        <v>18802</v>
      </c>
      <c r="B301" t="s">
        <v>1009</v>
      </c>
      <c r="C301" t="s">
        <v>998</v>
      </c>
      <c r="D301" t="s">
        <v>999</v>
      </c>
      <c r="E301" t="s">
        <v>1010</v>
      </c>
      <c r="F301" t="s">
        <v>598</v>
      </c>
      <c r="G301" t="s">
        <v>478</v>
      </c>
      <c r="H301" t="s">
        <v>600</v>
      </c>
      <c r="I301" t="s">
        <v>601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hidden="1">
      <c r="A302" t="s">
        <v>18802</v>
      </c>
      <c r="B302" t="s">
        <v>1015</v>
      </c>
      <c r="C302" t="s">
        <v>1016</v>
      </c>
      <c r="D302" t="s">
        <v>1017</v>
      </c>
      <c r="E302" t="s">
        <v>1018</v>
      </c>
      <c r="F302" t="s">
        <v>598</v>
      </c>
      <c r="G302" t="s">
        <v>478</v>
      </c>
      <c r="H302" t="s">
        <v>600</v>
      </c>
      <c r="I302" t="s">
        <v>601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18802</v>
      </c>
      <c r="B303" t="s">
        <v>1019</v>
      </c>
      <c r="C303" t="s">
        <v>1016</v>
      </c>
      <c r="D303" t="s">
        <v>1017</v>
      </c>
      <c r="E303" t="s">
        <v>1020</v>
      </c>
      <c r="F303" t="s">
        <v>598</v>
      </c>
      <c r="G303" t="s">
        <v>478</v>
      </c>
      <c r="H303" t="s">
        <v>600</v>
      </c>
      <c r="I303" t="s">
        <v>601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18802</v>
      </c>
      <c r="B304" t="s">
        <v>1021</v>
      </c>
      <c r="C304" t="s">
        <v>1016</v>
      </c>
      <c r="D304" t="s">
        <v>1017</v>
      </c>
      <c r="E304" t="s">
        <v>1022</v>
      </c>
      <c r="F304" t="s">
        <v>598</v>
      </c>
      <c r="G304" t="s">
        <v>478</v>
      </c>
      <c r="H304" t="s">
        <v>600</v>
      </c>
      <c r="I304" t="s">
        <v>601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18802</v>
      </c>
      <c r="B305" t="s">
        <v>1023</v>
      </c>
      <c r="C305" t="s">
        <v>1016</v>
      </c>
      <c r="D305" t="s">
        <v>1017</v>
      </c>
      <c r="E305" t="s">
        <v>1024</v>
      </c>
      <c r="F305" t="s">
        <v>598</v>
      </c>
      <c r="G305" t="s">
        <v>478</v>
      </c>
      <c r="H305" t="s">
        <v>600</v>
      </c>
      <c r="I305" t="s">
        <v>601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18802</v>
      </c>
      <c r="B306" t="s">
        <v>1025</v>
      </c>
      <c r="C306" t="s">
        <v>1016</v>
      </c>
      <c r="D306" t="s">
        <v>1017</v>
      </c>
      <c r="E306" t="s">
        <v>1026</v>
      </c>
      <c r="F306" t="s">
        <v>598</v>
      </c>
      <c r="G306" t="s">
        <v>478</v>
      </c>
      <c r="H306" t="s">
        <v>600</v>
      </c>
      <c r="I306" t="s">
        <v>601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18802</v>
      </c>
      <c r="B307" t="s">
        <v>1029</v>
      </c>
      <c r="C307" t="s">
        <v>1016</v>
      </c>
      <c r="D307" t="s">
        <v>1017</v>
      </c>
      <c r="E307" t="s">
        <v>1030</v>
      </c>
      <c r="F307" t="s">
        <v>598</v>
      </c>
      <c r="G307" t="s">
        <v>478</v>
      </c>
      <c r="H307" t="s">
        <v>600</v>
      </c>
      <c r="I307" t="s">
        <v>601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18802</v>
      </c>
      <c r="B308" t="s">
        <v>1034</v>
      </c>
      <c r="C308" t="s">
        <v>1016</v>
      </c>
      <c r="D308" t="s">
        <v>1017</v>
      </c>
      <c r="E308" t="s">
        <v>1035</v>
      </c>
      <c r="F308" t="s">
        <v>598</v>
      </c>
      <c r="G308" t="s">
        <v>478</v>
      </c>
      <c r="H308" t="s">
        <v>600</v>
      </c>
      <c r="I308" t="s">
        <v>601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hidden="1">
      <c r="A309" t="s">
        <v>18802</v>
      </c>
      <c r="B309" t="s">
        <v>1037</v>
      </c>
      <c r="C309" t="s">
        <v>1016</v>
      </c>
      <c r="D309" t="s">
        <v>1017</v>
      </c>
      <c r="E309" t="s">
        <v>1038</v>
      </c>
      <c r="F309" t="s">
        <v>598</v>
      </c>
      <c r="G309" t="s">
        <v>478</v>
      </c>
      <c r="H309" t="s">
        <v>600</v>
      </c>
      <c r="I309" t="s">
        <v>601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18802</v>
      </c>
      <c r="B310" t="s">
        <v>1039</v>
      </c>
      <c r="C310" t="s">
        <v>1016</v>
      </c>
      <c r="D310" t="s">
        <v>1017</v>
      </c>
      <c r="E310" t="s">
        <v>1040</v>
      </c>
      <c r="F310" t="s">
        <v>598</v>
      </c>
      <c r="G310" t="s">
        <v>478</v>
      </c>
      <c r="H310" t="s">
        <v>600</v>
      </c>
      <c r="I310" t="s">
        <v>601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18802</v>
      </c>
      <c r="B311" t="s">
        <v>1041</v>
      </c>
      <c r="C311" t="s">
        <v>1016</v>
      </c>
      <c r="D311" t="s">
        <v>1017</v>
      </c>
      <c r="E311" t="s">
        <v>1042</v>
      </c>
      <c r="F311" t="s">
        <v>598</v>
      </c>
      <c r="G311" t="s">
        <v>478</v>
      </c>
      <c r="H311" t="s">
        <v>600</v>
      </c>
      <c r="I311" t="s">
        <v>601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18802</v>
      </c>
      <c r="B312" t="s">
        <v>1045</v>
      </c>
      <c r="C312" t="s">
        <v>1016</v>
      </c>
      <c r="D312" t="s">
        <v>1017</v>
      </c>
      <c r="E312" t="s">
        <v>1046</v>
      </c>
      <c r="F312" t="s">
        <v>598</v>
      </c>
      <c r="G312" t="s">
        <v>478</v>
      </c>
      <c r="H312" t="s">
        <v>600</v>
      </c>
      <c r="I312" t="s">
        <v>601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hidden="1">
      <c r="A313" t="s">
        <v>18802</v>
      </c>
      <c r="B313" t="s">
        <v>1047</v>
      </c>
      <c r="C313" t="s">
        <v>1016</v>
      </c>
      <c r="D313" t="s">
        <v>1017</v>
      </c>
      <c r="E313" t="s">
        <v>1048</v>
      </c>
      <c r="F313" t="s">
        <v>598</v>
      </c>
      <c r="G313" t="s">
        <v>478</v>
      </c>
      <c r="H313" t="s">
        <v>600</v>
      </c>
      <c r="I313" t="s">
        <v>601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hidden="1">
      <c r="A314" t="s">
        <v>18802</v>
      </c>
      <c r="B314" t="s">
        <v>1049</v>
      </c>
      <c r="C314" t="s">
        <v>1016</v>
      </c>
      <c r="D314" t="s">
        <v>1050</v>
      </c>
      <c r="E314" t="s">
        <v>1024</v>
      </c>
      <c r="F314" t="s">
        <v>598</v>
      </c>
      <c r="G314" t="s">
        <v>478</v>
      </c>
      <c r="H314" t="s">
        <v>600</v>
      </c>
      <c r="I314" t="s">
        <v>601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18802</v>
      </c>
      <c r="B315" t="s">
        <v>1051</v>
      </c>
      <c r="C315" t="s">
        <v>1016</v>
      </c>
      <c r="D315" t="s">
        <v>1050</v>
      </c>
      <c r="E315" t="s">
        <v>1052</v>
      </c>
      <c r="F315" t="s">
        <v>598</v>
      </c>
      <c r="G315" t="s">
        <v>478</v>
      </c>
      <c r="H315" t="s">
        <v>600</v>
      </c>
      <c r="I315" t="s">
        <v>601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18802</v>
      </c>
      <c r="B316" t="s">
        <v>1053</v>
      </c>
      <c r="C316" t="s">
        <v>1016</v>
      </c>
      <c r="D316" t="s">
        <v>1050</v>
      </c>
      <c r="E316" t="s">
        <v>1000</v>
      </c>
      <c r="F316" t="s">
        <v>598</v>
      </c>
      <c r="G316" t="s">
        <v>478</v>
      </c>
      <c r="H316" t="s">
        <v>600</v>
      </c>
      <c r="I316" t="s">
        <v>601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18802</v>
      </c>
      <c r="B317" t="s">
        <v>1054</v>
      </c>
      <c r="C317" t="s">
        <v>1016</v>
      </c>
      <c r="D317" t="s">
        <v>1050</v>
      </c>
      <c r="E317" t="s">
        <v>1055</v>
      </c>
      <c r="F317" t="s">
        <v>598</v>
      </c>
      <c r="G317" t="s">
        <v>478</v>
      </c>
      <c r="H317" t="s">
        <v>600</v>
      </c>
      <c r="I317" t="s">
        <v>601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18802</v>
      </c>
      <c r="B318" t="s">
        <v>1056</v>
      </c>
      <c r="C318" t="s">
        <v>1016</v>
      </c>
      <c r="D318" t="s">
        <v>1050</v>
      </c>
      <c r="E318" t="s">
        <v>1002</v>
      </c>
      <c r="F318" t="s">
        <v>598</v>
      </c>
      <c r="G318" t="s">
        <v>478</v>
      </c>
      <c r="H318" t="s">
        <v>600</v>
      </c>
      <c r="I318" t="s">
        <v>601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18802</v>
      </c>
      <c r="B319" t="s">
        <v>1059</v>
      </c>
      <c r="C319" t="s">
        <v>1016</v>
      </c>
      <c r="D319" t="s">
        <v>1050</v>
      </c>
      <c r="E319" t="s">
        <v>1042</v>
      </c>
      <c r="F319" t="s">
        <v>598</v>
      </c>
      <c r="G319" t="s">
        <v>478</v>
      </c>
      <c r="H319" t="s">
        <v>600</v>
      </c>
      <c r="I319" t="s">
        <v>601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18802</v>
      </c>
      <c r="B320" t="s">
        <v>1060</v>
      </c>
      <c r="C320" t="s">
        <v>1016</v>
      </c>
      <c r="D320" t="s">
        <v>1050</v>
      </c>
      <c r="E320" t="s">
        <v>1044</v>
      </c>
      <c r="F320" t="s">
        <v>598</v>
      </c>
      <c r="G320" t="s">
        <v>478</v>
      </c>
      <c r="H320" t="s">
        <v>600</v>
      </c>
      <c r="I320" t="s">
        <v>601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18802</v>
      </c>
      <c r="B321" t="s">
        <v>1061</v>
      </c>
      <c r="C321" t="s">
        <v>1016</v>
      </c>
      <c r="D321" t="s">
        <v>1050</v>
      </c>
      <c r="E321" t="s">
        <v>1048</v>
      </c>
      <c r="F321" t="s">
        <v>598</v>
      </c>
      <c r="G321" t="s">
        <v>478</v>
      </c>
      <c r="H321" t="s">
        <v>600</v>
      </c>
      <c r="I321" t="s">
        <v>601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18802</v>
      </c>
      <c r="B322" t="s">
        <v>1062</v>
      </c>
      <c r="C322" t="s">
        <v>1016</v>
      </c>
      <c r="D322" t="s">
        <v>1063</v>
      </c>
      <c r="E322" t="s">
        <v>1018</v>
      </c>
      <c r="F322" t="s">
        <v>598</v>
      </c>
      <c r="G322" t="s">
        <v>478</v>
      </c>
      <c r="H322" t="s">
        <v>600</v>
      </c>
      <c r="I322" t="s">
        <v>601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18802</v>
      </c>
      <c r="B323" t="s">
        <v>1064</v>
      </c>
      <c r="C323" t="s">
        <v>1016</v>
      </c>
      <c r="D323" t="s">
        <v>1063</v>
      </c>
      <c r="E323" t="s">
        <v>1022</v>
      </c>
      <c r="F323" t="s">
        <v>598</v>
      </c>
      <c r="G323" t="s">
        <v>478</v>
      </c>
      <c r="H323" t="s">
        <v>600</v>
      </c>
      <c r="I323" t="s">
        <v>601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18802</v>
      </c>
      <c r="B324" t="s">
        <v>1065</v>
      </c>
      <c r="C324" t="s">
        <v>1016</v>
      </c>
      <c r="D324" t="s">
        <v>1063</v>
      </c>
      <c r="E324" t="s">
        <v>1024</v>
      </c>
      <c r="F324" t="s">
        <v>598</v>
      </c>
      <c r="G324" t="s">
        <v>478</v>
      </c>
      <c r="H324" t="s">
        <v>600</v>
      </c>
      <c r="I324" t="s">
        <v>601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18802</v>
      </c>
      <c r="B325" t="s">
        <v>1067</v>
      </c>
      <c r="C325" t="s">
        <v>1016</v>
      </c>
      <c r="D325" t="s">
        <v>1063</v>
      </c>
      <c r="E325" t="s">
        <v>1026</v>
      </c>
      <c r="F325" t="s">
        <v>598</v>
      </c>
      <c r="G325" t="s">
        <v>478</v>
      </c>
      <c r="H325" t="s">
        <v>600</v>
      </c>
      <c r="I325" t="s">
        <v>601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18802</v>
      </c>
      <c r="B326" t="s">
        <v>1068</v>
      </c>
      <c r="C326" t="s">
        <v>1016</v>
      </c>
      <c r="D326" t="s">
        <v>1063</v>
      </c>
      <c r="E326" t="s">
        <v>1030</v>
      </c>
      <c r="F326" t="s">
        <v>598</v>
      </c>
      <c r="G326" t="s">
        <v>478</v>
      </c>
      <c r="H326" t="s">
        <v>600</v>
      </c>
      <c r="I326" t="s">
        <v>601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18802</v>
      </c>
      <c r="B327" t="s">
        <v>1069</v>
      </c>
      <c r="C327" t="s">
        <v>1016</v>
      </c>
      <c r="D327" t="s">
        <v>1063</v>
      </c>
      <c r="E327" t="s">
        <v>1035</v>
      </c>
      <c r="F327" t="s">
        <v>598</v>
      </c>
      <c r="G327" t="s">
        <v>478</v>
      </c>
      <c r="H327" t="s">
        <v>600</v>
      </c>
      <c r="I327" t="s">
        <v>601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18802</v>
      </c>
      <c r="B328" t="s">
        <v>1071</v>
      </c>
      <c r="C328" t="s">
        <v>1016</v>
      </c>
      <c r="D328" t="s">
        <v>1063</v>
      </c>
      <c r="E328" t="s">
        <v>1038</v>
      </c>
      <c r="F328" t="s">
        <v>598</v>
      </c>
      <c r="G328" t="s">
        <v>478</v>
      </c>
      <c r="H328" t="s">
        <v>600</v>
      </c>
      <c r="I328" t="s">
        <v>601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18802</v>
      </c>
      <c r="B329" t="s">
        <v>1072</v>
      </c>
      <c r="C329" t="s">
        <v>1016</v>
      </c>
      <c r="D329" t="s">
        <v>1063</v>
      </c>
      <c r="E329" t="s">
        <v>1040</v>
      </c>
      <c r="F329" t="s">
        <v>598</v>
      </c>
      <c r="G329" t="s">
        <v>478</v>
      </c>
      <c r="H329" t="s">
        <v>600</v>
      </c>
      <c r="I329" t="s">
        <v>601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18802</v>
      </c>
      <c r="B330" t="s">
        <v>1073</v>
      </c>
      <c r="C330" t="s">
        <v>1016</v>
      </c>
      <c r="D330" t="s">
        <v>1063</v>
      </c>
      <c r="E330" t="s">
        <v>1042</v>
      </c>
      <c r="F330" t="s">
        <v>598</v>
      </c>
      <c r="G330" t="s">
        <v>478</v>
      </c>
      <c r="H330" t="s">
        <v>600</v>
      </c>
      <c r="I330" t="s">
        <v>601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hidden="1">
      <c r="A331" t="s">
        <v>18802</v>
      </c>
      <c r="B331" t="s">
        <v>1074</v>
      </c>
      <c r="C331" t="s">
        <v>1016</v>
      </c>
      <c r="D331" t="s">
        <v>1063</v>
      </c>
      <c r="E331" t="s">
        <v>1044</v>
      </c>
      <c r="F331" t="s">
        <v>598</v>
      </c>
      <c r="G331" t="s">
        <v>478</v>
      </c>
      <c r="H331" t="s">
        <v>600</v>
      </c>
      <c r="I331" t="s">
        <v>601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18802</v>
      </c>
      <c r="B332" t="s">
        <v>1075</v>
      </c>
      <c r="C332" t="s">
        <v>1016</v>
      </c>
      <c r="D332" t="s">
        <v>1063</v>
      </c>
      <c r="E332" t="s">
        <v>1046</v>
      </c>
      <c r="F332" t="s">
        <v>598</v>
      </c>
      <c r="G332" t="s">
        <v>478</v>
      </c>
      <c r="H332" t="s">
        <v>600</v>
      </c>
      <c r="I332" t="s">
        <v>601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18802</v>
      </c>
      <c r="B333" t="s">
        <v>1076</v>
      </c>
      <c r="C333" t="s">
        <v>1016</v>
      </c>
      <c r="D333" t="s">
        <v>1063</v>
      </c>
      <c r="E333" t="s">
        <v>1048</v>
      </c>
      <c r="F333" t="s">
        <v>598</v>
      </c>
      <c r="G333" t="s">
        <v>478</v>
      </c>
      <c r="H333" t="s">
        <v>600</v>
      </c>
      <c r="I333" t="s">
        <v>601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18802</v>
      </c>
      <c r="B334" t="s">
        <v>1082</v>
      </c>
      <c r="C334" t="s">
        <v>1079</v>
      </c>
      <c r="D334" t="s">
        <v>1083</v>
      </c>
      <c r="E334" t="s">
        <v>1084</v>
      </c>
      <c r="F334" t="s">
        <v>598</v>
      </c>
      <c r="G334" t="s">
        <v>478</v>
      </c>
      <c r="H334" t="s">
        <v>600</v>
      </c>
      <c r="I334" t="s">
        <v>601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18802</v>
      </c>
      <c r="B335" t="s">
        <v>1087</v>
      </c>
      <c r="C335" t="s">
        <v>1079</v>
      </c>
      <c r="D335" t="s">
        <v>1086</v>
      </c>
      <c r="E335" t="s">
        <v>1081</v>
      </c>
      <c r="F335" t="s">
        <v>598</v>
      </c>
      <c r="G335" t="s">
        <v>478</v>
      </c>
      <c r="H335" t="s">
        <v>600</v>
      </c>
      <c r="I335" t="s">
        <v>601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hidden="1">
      <c r="A336" t="s">
        <v>18802</v>
      </c>
      <c r="B336" t="s">
        <v>1090</v>
      </c>
      <c r="C336" t="s">
        <v>1079</v>
      </c>
      <c r="D336" t="s">
        <v>1086</v>
      </c>
      <c r="E336" t="s">
        <v>1091</v>
      </c>
      <c r="F336" t="s">
        <v>598</v>
      </c>
      <c r="G336" t="s">
        <v>478</v>
      </c>
      <c r="H336" t="s">
        <v>600</v>
      </c>
      <c r="I336" t="s">
        <v>601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18802</v>
      </c>
      <c r="B337" t="s">
        <v>1092</v>
      </c>
      <c r="C337" t="s">
        <v>1079</v>
      </c>
      <c r="D337" t="s">
        <v>1086</v>
      </c>
      <c r="E337" t="s">
        <v>1093</v>
      </c>
      <c r="F337" t="s">
        <v>598</v>
      </c>
      <c r="G337" t="s">
        <v>478</v>
      </c>
      <c r="H337" t="s">
        <v>600</v>
      </c>
      <c r="I337" t="s">
        <v>601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18802</v>
      </c>
      <c r="B338" t="s">
        <v>1094</v>
      </c>
      <c r="C338" t="s">
        <v>1079</v>
      </c>
      <c r="D338" t="s">
        <v>1086</v>
      </c>
      <c r="E338" t="s">
        <v>1095</v>
      </c>
      <c r="F338" t="s">
        <v>598</v>
      </c>
      <c r="G338" t="s">
        <v>478</v>
      </c>
      <c r="H338" t="s">
        <v>600</v>
      </c>
      <c r="I338" t="s">
        <v>601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hidden="1">
      <c r="A339" t="s">
        <v>18802</v>
      </c>
      <c r="B339" t="s">
        <v>1100</v>
      </c>
      <c r="C339" t="s">
        <v>1079</v>
      </c>
      <c r="D339" t="s">
        <v>1086</v>
      </c>
      <c r="E339" t="s">
        <v>1101</v>
      </c>
      <c r="F339" t="s">
        <v>598</v>
      </c>
      <c r="G339" t="s">
        <v>478</v>
      </c>
      <c r="H339" t="s">
        <v>600</v>
      </c>
      <c r="I339" t="s">
        <v>601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18802</v>
      </c>
      <c r="B340" t="s">
        <v>1113</v>
      </c>
      <c r="C340" t="s">
        <v>1079</v>
      </c>
      <c r="D340" t="s">
        <v>1108</v>
      </c>
      <c r="E340" t="s">
        <v>1101</v>
      </c>
      <c r="F340" t="s">
        <v>598</v>
      </c>
      <c r="G340" t="s">
        <v>478</v>
      </c>
      <c r="H340" t="s">
        <v>600</v>
      </c>
      <c r="I340" t="s">
        <v>601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18802</v>
      </c>
      <c r="B341" t="s">
        <v>1114</v>
      </c>
      <c r="C341" t="s">
        <v>1079</v>
      </c>
      <c r="D341" t="s">
        <v>1115</v>
      </c>
      <c r="E341" t="s">
        <v>1081</v>
      </c>
      <c r="F341" t="s">
        <v>598</v>
      </c>
      <c r="G341" t="s">
        <v>478</v>
      </c>
      <c r="H341" t="s">
        <v>600</v>
      </c>
      <c r="I341" t="s">
        <v>601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18802</v>
      </c>
      <c r="B342" t="s">
        <v>1120</v>
      </c>
      <c r="C342" t="s">
        <v>1079</v>
      </c>
      <c r="D342" t="s">
        <v>1121</v>
      </c>
      <c r="E342" t="s">
        <v>1081</v>
      </c>
      <c r="F342" t="s">
        <v>598</v>
      </c>
      <c r="G342" t="s">
        <v>478</v>
      </c>
      <c r="H342" t="s">
        <v>600</v>
      </c>
      <c r="I342" t="s">
        <v>601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18802</v>
      </c>
      <c r="B343" t="s">
        <v>1125</v>
      </c>
      <c r="C343" t="s">
        <v>1079</v>
      </c>
      <c r="D343" t="s">
        <v>1126</v>
      </c>
      <c r="E343" t="s">
        <v>1081</v>
      </c>
      <c r="F343" t="s">
        <v>598</v>
      </c>
      <c r="G343" t="s">
        <v>478</v>
      </c>
      <c r="H343" t="s">
        <v>600</v>
      </c>
      <c r="I343" t="s">
        <v>601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18802</v>
      </c>
      <c r="B344" t="s">
        <v>1133</v>
      </c>
      <c r="C344" t="s">
        <v>1079</v>
      </c>
      <c r="D344" t="s">
        <v>1134</v>
      </c>
      <c r="E344" t="s">
        <v>1081</v>
      </c>
      <c r="F344" t="s">
        <v>598</v>
      </c>
      <c r="G344" t="s">
        <v>478</v>
      </c>
      <c r="H344" t="s">
        <v>600</v>
      </c>
      <c r="I344" t="s">
        <v>601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18802</v>
      </c>
      <c r="B345" t="s">
        <v>1144</v>
      </c>
      <c r="C345" t="s">
        <v>1079</v>
      </c>
      <c r="D345" t="s">
        <v>1145</v>
      </c>
      <c r="E345" t="s">
        <v>1081</v>
      </c>
      <c r="F345" t="s">
        <v>598</v>
      </c>
      <c r="G345" t="s">
        <v>478</v>
      </c>
      <c r="H345" t="s">
        <v>600</v>
      </c>
      <c r="I345" t="s">
        <v>601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hidden="1">
      <c r="A346" t="s">
        <v>18802</v>
      </c>
      <c r="B346" t="s">
        <v>1146</v>
      </c>
      <c r="C346" t="s">
        <v>1079</v>
      </c>
      <c r="D346" t="s">
        <v>1145</v>
      </c>
      <c r="E346" t="s">
        <v>1091</v>
      </c>
      <c r="F346" t="s">
        <v>598</v>
      </c>
      <c r="G346" t="s">
        <v>478</v>
      </c>
      <c r="H346" t="s">
        <v>600</v>
      </c>
      <c r="I346" t="s">
        <v>601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hidden="1">
      <c r="A347" t="s">
        <v>18802</v>
      </c>
      <c r="B347" t="s">
        <v>1148</v>
      </c>
      <c r="C347" t="s">
        <v>1079</v>
      </c>
      <c r="D347" t="s">
        <v>1145</v>
      </c>
      <c r="E347" t="s">
        <v>1095</v>
      </c>
      <c r="F347" t="s">
        <v>598</v>
      </c>
      <c r="G347" t="s">
        <v>478</v>
      </c>
      <c r="H347" t="s">
        <v>600</v>
      </c>
      <c r="I347" t="s">
        <v>601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hidden="1">
      <c r="A348" t="s">
        <v>18802</v>
      </c>
      <c r="B348" t="s">
        <v>1150</v>
      </c>
      <c r="C348" t="s">
        <v>1079</v>
      </c>
      <c r="D348" t="s">
        <v>1145</v>
      </c>
      <c r="E348" t="s">
        <v>1099</v>
      </c>
      <c r="F348" t="s">
        <v>598</v>
      </c>
      <c r="G348" t="s">
        <v>478</v>
      </c>
      <c r="H348" t="s">
        <v>600</v>
      </c>
      <c r="I348" t="s">
        <v>601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hidden="1">
      <c r="A349" t="s">
        <v>18802</v>
      </c>
      <c r="B349" t="s">
        <v>1151</v>
      </c>
      <c r="C349" t="s">
        <v>1079</v>
      </c>
      <c r="D349" t="s">
        <v>1145</v>
      </c>
      <c r="E349" t="s">
        <v>1101</v>
      </c>
      <c r="F349" t="s">
        <v>598</v>
      </c>
      <c r="G349" t="s">
        <v>478</v>
      </c>
      <c r="H349" t="s">
        <v>600</v>
      </c>
      <c r="I349" t="s">
        <v>601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hidden="1">
      <c r="A350" t="s">
        <v>18802</v>
      </c>
      <c r="B350" t="s">
        <v>1155</v>
      </c>
      <c r="C350" t="s">
        <v>1079</v>
      </c>
      <c r="D350" t="s">
        <v>1156</v>
      </c>
      <c r="E350" t="s">
        <v>1081</v>
      </c>
      <c r="F350" t="s">
        <v>598</v>
      </c>
      <c r="G350" t="s">
        <v>478</v>
      </c>
      <c r="H350" t="s">
        <v>600</v>
      </c>
      <c r="I350" t="s">
        <v>601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hidden="1">
      <c r="A351" t="s">
        <v>18802</v>
      </c>
      <c r="B351" t="s">
        <v>1163</v>
      </c>
      <c r="C351" t="s">
        <v>1079</v>
      </c>
      <c r="D351" t="s">
        <v>1164</v>
      </c>
      <c r="E351" t="s">
        <v>1081</v>
      </c>
      <c r="F351" t="s">
        <v>598</v>
      </c>
      <c r="G351" t="s">
        <v>478</v>
      </c>
      <c r="H351" t="s">
        <v>600</v>
      </c>
      <c r="I351" t="s">
        <v>601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18802</v>
      </c>
      <c r="B352" t="s">
        <v>1165</v>
      </c>
      <c r="C352" t="s">
        <v>1079</v>
      </c>
      <c r="D352" t="s">
        <v>1164</v>
      </c>
      <c r="E352" t="s">
        <v>1089</v>
      </c>
      <c r="F352" t="s">
        <v>598</v>
      </c>
      <c r="G352" t="s">
        <v>478</v>
      </c>
      <c r="H352" t="s">
        <v>600</v>
      </c>
      <c r="I352" t="s">
        <v>601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18802</v>
      </c>
      <c r="B353" t="s">
        <v>1170</v>
      </c>
      <c r="C353" t="s">
        <v>1079</v>
      </c>
      <c r="D353" t="s">
        <v>1164</v>
      </c>
      <c r="E353" t="s">
        <v>1103</v>
      </c>
      <c r="F353" t="s">
        <v>598</v>
      </c>
      <c r="G353" t="s">
        <v>478</v>
      </c>
      <c r="H353" t="s">
        <v>600</v>
      </c>
      <c r="I353" t="s">
        <v>601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18802</v>
      </c>
      <c r="B354" t="s">
        <v>1179</v>
      </c>
      <c r="C354" t="s">
        <v>1079</v>
      </c>
      <c r="D354" t="s">
        <v>1180</v>
      </c>
      <c r="E354" t="s">
        <v>1081</v>
      </c>
      <c r="F354" t="s">
        <v>598</v>
      </c>
      <c r="G354" t="s">
        <v>478</v>
      </c>
      <c r="H354" t="s">
        <v>600</v>
      </c>
      <c r="I354" t="s">
        <v>601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hidden="1">
      <c r="A355" t="s">
        <v>18802</v>
      </c>
      <c r="B355" t="s">
        <v>1181</v>
      </c>
      <c r="C355" t="s">
        <v>1079</v>
      </c>
      <c r="D355" t="s">
        <v>1180</v>
      </c>
      <c r="E355" t="s">
        <v>1091</v>
      </c>
      <c r="F355" t="s">
        <v>598</v>
      </c>
      <c r="G355" t="s">
        <v>478</v>
      </c>
      <c r="H355" t="s">
        <v>600</v>
      </c>
      <c r="I355" t="s">
        <v>601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18802</v>
      </c>
      <c r="B356" t="s">
        <v>1182</v>
      </c>
      <c r="C356" t="s">
        <v>1079</v>
      </c>
      <c r="D356" t="s">
        <v>1180</v>
      </c>
      <c r="E356" t="s">
        <v>1095</v>
      </c>
      <c r="F356" t="s">
        <v>598</v>
      </c>
      <c r="G356" t="s">
        <v>478</v>
      </c>
      <c r="H356" t="s">
        <v>600</v>
      </c>
      <c r="I356" t="s">
        <v>601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18802</v>
      </c>
      <c r="B357" t="s">
        <v>1185</v>
      </c>
      <c r="C357" t="s">
        <v>1079</v>
      </c>
      <c r="D357" t="s">
        <v>1180</v>
      </c>
      <c r="E357" t="s">
        <v>1101</v>
      </c>
      <c r="F357" t="s">
        <v>598</v>
      </c>
      <c r="G357" t="s">
        <v>478</v>
      </c>
      <c r="H357" t="s">
        <v>600</v>
      </c>
      <c r="I357" t="s">
        <v>601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hidden="1">
      <c r="A358" t="s">
        <v>18802</v>
      </c>
      <c r="B358" t="s">
        <v>1217</v>
      </c>
      <c r="C358" t="s">
        <v>1079</v>
      </c>
      <c r="D358" t="s">
        <v>1188</v>
      </c>
      <c r="E358" t="s">
        <v>1106</v>
      </c>
      <c r="F358" t="s">
        <v>598</v>
      </c>
      <c r="G358" t="s">
        <v>478</v>
      </c>
      <c r="H358" t="s">
        <v>600</v>
      </c>
      <c r="I358" t="s">
        <v>601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hidden="1">
      <c r="A359" t="s">
        <v>18802</v>
      </c>
      <c r="B359" t="s">
        <v>1218</v>
      </c>
      <c r="C359" t="s">
        <v>1079</v>
      </c>
      <c r="D359" t="s">
        <v>1188</v>
      </c>
      <c r="E359" t="s">
        <v>1219</v>
      </c>
      <c r="F359" t="s">
        <v>598</v>
      </c>
      <c r="G359" t="s">
        <v>478</v>
      </c>
      <c r="H359" t="s">
        <v>600</v>
      </c>
      <c r="I359" t="s">
        <v>601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hidden="1">
      <c r="A360" t="s">
        <v>18802</v>
      </c>
      <c r="B360" t="s">
        <v>1221</v>
      </c>
      <c r="C360" t="s">
        <v>1079</v>
      </c>
      <c r="D360" t="s">
        <v>648</v>
      </c>
      <c r="E360" t="s">
        <v>1081</v>
      </c>
      <c r="F360" t="s">
        <v>598</v>
      </c>
      <c r="G360" t="s">
        <v>478</v>
      </c>
      <c r="H360" t="s">
        <v>600</v>
      </c>
      <c r="I360" t="s">
        <v>601</v>
      </c>
      <c r="J360">
        <v>2.3999999999999998E-3</v>
      </c>
      <c r="K360">
        <v>2.3999999999999998E-3</v>
      </c>
      <c r="L360">
        <v>2.5999999999999999E-3</v>
      </c>
      <c r="M360">
        <v>2.8999999999999998E-3</v>
      </c>
      <c r="N360">
        <v>3.0000000000000001E-3</v>
      </c>
      <c r="O360">
        <v>3.0999999999999999E-3</v>
      </c>
      <c r="P360">
        <v>3.3E-3</v>
      </c>
      <c r="Q360">
        <v>3.7000000000000002E-3</v>
      </c>
      <c r="R360">
        <v>3.8E-3</v>
      </c>
      <c r="S360">
        <v>4.0000000000000001E-3</v>
      </c>
      <c r="T360">
        <v>4.3E-3</v>
      </c>
      <c r="U360">
        <v>4.4000000000000003E-3</v>
      </c>
      <c r="V360">
        <v>4.5999999999999999E-3</v>
      </c>
      <c r="W360">
        <v>4.8999999999999998E-3</v>
      </c>
      <c r="X360">
        <v>5.1000000000000004E-3</v>
      </c>
      <c r="Y360">
        <v>5.1999999999999998E-3</v>
      </c>
    </row>
    <row r="361" spans="1:25" hidden="1">
      <c r="A361" t="s">
        <v>18802</v>
      </c>
      <c r="B361" t="s">
        <v>1222</v>
      </c>
      <c r="C361" t="s">
        <v>1079</v>
      </c>
      <c r="D361" t="s">
        <v>648</v>
      </c>
      <c r="E361" t="s">
        <v>1091</v>
      </c>
      <c r="F361" t="s">
        <v>598</v>
      </c>
      <c r="G361" t="s">
        <v>478</v>
      </c>
      <c r="H361" t="s">
        <v>600</v>
      </c>
      <c r="I361" t="s">
        <v>601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hidden="1">
      <c r="A362" t="s">
        <v>18802</v>
      </c>
      <c r="B362" t="s">
        <v>1224</v>
      </c>
      <c r="C362" t="s">
        <v>1079</v>
      </c>
      <c r="D362" t="s">
        <v>648</v>
      </c>
      <c r="E362" t="s">
        <v>1095</v>
      </c>
      <c r="F362" t="s">
        <v>598</v>
      </c>
      <c r="G362" t="s">
        <v>478</v>
      </c>
      <c r="H362" t="s">
        <v>600</v>
      </c>
      <c r="I362" t="s">
        <v>601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hidden="1">
      <c r="A363" t="s">
        <v>18802</v>
      </c>
      <c r="B363" t="s">
        <v>1226</v>
      </c>
      <c r="C363" t="s">
        <v>1079</v>
      </c>
      <c r="D363" t="s">
        <v>648</v>
      </c>
      <c r="E363" t="s">
        <v>1099</v>
      </c>
      <c r="F363" t="s">
        <v>598</v>
      </c>
      <c r="G363" t="s">
        <v>478</v>
      </c>
      <c r="H363" t="s">
        <v>600</v>
      </c>
      <c r="I363" t="s">
        <v>601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18802</v>
      </c>
      <c r="B364" t="s">
        <v>1227</v>
      </c>
      <c r="C364" t="s">
        <v>1079</v>
      </c>
      <c r="D364" t="s">
        <v>648</v>
      </c>
      <c r="E364" t="s">
        <v>1101</v>
      </c>
      <c r="F364" t="s">
        <v>598</v>
      </c>
      <c r="G364" t="s">
        <v>478</v>
      </c>
      <c r="H364" t="s">
        <v>600</v>
      </c>
      <c r="I364" t="s">
        <v>601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</row>
    <row r="365" spans="1:25" hidden="1">
      <c r="A365" t="s">
        <v>18802</v>
      </c>
      <c r="B365" t="s">
        <v>1228</v>
      </c>
      <c r="C365" t="s">
        <v>1079</v>
      </c>
      <c r="D365" t="s">
        <v>648</v>
      </c>
      <c r="E365" t="s">
        <v>1103</v>
      </c>
      <c r="F365" t="s">
        <v>598</v>
      </c>
      <c r="G365" t="s">
        <v>478</v>
      </c>
      <c r="H365" t="s">
        <v>600</v>
      </c>
      <c r="I365" t="s">
        <v>601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hidden="1">
      <c r="A366" t="s">
        <v>18802</v>
      </c>
      <c r="B366" t="s">
        <v>1244</v>
      </c>
      <c r="C366" t="s">
        <v>1230</v>
      </c>
      <c r="D366" t="s">
        <v>1243</v>
      </c>
      <c r="E366" t="s">
        <v>1239</v>
      </c>
      <c r="F366" t="s">
        <v>598</v>
      </c>
      <c r="G366" t="s">
        <v>478</v>
      </c>
      <c r="H366" t="s">
        <v>600</v>
      </c>
      <c r="I366" t="s">
        <v>601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hidden="1">
      <c r="A367" t="s">
        <v>18802</v>
      </c>
      <c r="B367" t="s">
        <v>1247</v>
      </c>
      <c r="C367" t="s">
        <v>1230</v>
      </c>
      <c r="D367" t="s">
        <v>1246</v>
      </c>
      <c r="E367" t="s">
        <v>1239</v>
      </c>
      <c r="F367" t="s">
        <v>598</v>
      </c>
      <c r="G367" t="s">
        <v>478</v>
      </c>
      <c r="H367" t="s">
        <v>600</v>
      </c>
      <c r="I367" t="s">
        <v>601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hidden="1">
      <c r="A368" t="s">
        <v>18802</v>
      </c>
      <c r="B368" t="s">
        <v>1250</v>
      </c>
      <c r="C368" t="s">
        <v>1230</v>
      </c>
      <c r="D368" t="s">
        <v>648</v>
      </c>
      <c r="E368" t="s">
        <v>1004</v>
      </c>
      <c r="F368" t="s">
        <v>598</v>
      </c>
      <c r="G368" t="s">
        <v>478</v>
      </c>
      <c r="H368" t="s">
        <v>600</v>
      </c>
      <c r="I368" t="s">
        <v>601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hidden="1">
      <c r="A369" t="s">
        <v>18802</v>
      </c>
      <c r="B369" t="s">
        <v>1252</v>
      </c>
      <c r="C369" t="s">
        <v>1253</v>
      </c>
      <c r="D369" t="s">
        <v>1254</v>
      </c>
      <c r="E369" t="s">
        <v>1255</v>
      </c>
      <c r="F369" t="s">
        <v>598</v>
      </c>
      <c r="G369" t="s">
        <v>478</v>
      </c>
      <c r="H369" t="s">
        <v>600</v>
      </c>
      <c r="I369" t="s">
        <v>601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hidden="1">
      <c r="A370" t="s">
        <v>18802</v>
      </c>
      <c r="B370" t="s">
        <v>1256</v>
      </c>
      <c r="C370" t="s">
        <v>1253</v>
      </c>
      <c r="D370" t="s">
        <v>1254</v>
      </c>
      <c r="E370" t="s">
        <v>1257</v>
      </c>
      <c r="F370" t="s">
        <v>598</v>
      </c>
      <c r="G370" t="s">
        <v>478</v>
      </c>
      <c r="H370" t="s">
        <v>600</v>
      </c>
      <c r="I370" t="s">
        <v>601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18802</v>
      </c>
      <c r="B371" t="s">
        <v>1258</v>
      </c>
      <c r="C371" t="s">
        <v>1253</v>
      </c>
      <c r="D371" t="s">
        <v>1254</v>
      </c>
      <c r="E371" t="s">
        <v>1259</v>
      </c>
      <c r="F371" t="s">
        <v>598</v>
      </c>
      <c r="G371" t="s">
        <v>478</v>
      </c>
      <c r="H371" t="s">
        <v>600</v>
      </c>
      <c r="I371" t="s">
        <v>601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18802</v>
      </c>
      <c r="B372" t="s">
        <v>1260</v>
      </c>
      <c r="C372" t="s">
        <v>1261</v>
      </c>
      <c r="D372" t="s">
        <v>648</v>
      </c>
      <c r="E372" t="s">
        <v>920</v>
      </c>
      <c r="F372" t="s">
        <v>598</v>
      </c>
      <c r="G372" t="s">
        <v>478</v>
      </c>
      <c r="H372" t="s">
        <v>600</v>
      </c>
      <c r="I372" t="s">
        <v>601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hidden="1">
      <c r="A373" t="s">
        <v>18802</v>
      </c>
      <c r="B373" t="s">
        <v>1262</v>
      </c>
      <c r="C373" t="s">
        <v>1261</v>
      </c>
      <c r="D373" t="s">
        <v>648</v>
      </c>
      <c r="E373" t="s">
        <v>973</v>
      </c>
      <c r="F373" t="s">
        <v>598</v>
      </c>
      <c r="G373" t="s">
        <v>478</v>
      </c>
      <c r="H373" t="s">
        <v>600</v>
      </c>
      <c r="I373" t="s">
        <v>601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 hidden="1">
      <c r="A374" t="s">
        <v>18802</v>
      </c>
      <c r="B374" t="s">
        <v>1263</v>
      </c>
      <c r="C374" t="s">
        <v>1261</v>
      </c>
      <c r="D374" t="s">
        <v>648</v>
      </c>
      <c r="E374" t="s">
        <v>1264</v>
      </c>
      <c r="F374" t="s">
        <v>598</v>
      </c>
      <c r="G374" t="s">
        <v>478</v>
      </c>
      <c r="H374" t="s">
        <v>600</v>
      </c>
      <c r="I374" t="s">
        <v>601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 hidden="1">
      <c r="A375" t="s">
        <v>18802</v>
      </c>
      <c r="B375" t="s">
        <v>1265</v>
      </c>
      <c r="C375" t="s">
        <v>1261</v>
      </c>
      <c r="D375" t="s">
        <v>648</v>
      </c>
      <c r="E375" t="s">
        <v>1004</v>
      </c>
      <c r="F375" t="s">
        <v>598</v>
      </c>
      <c r="G375" t="s">
        <v>478</v>
      </c>
      <c r="H375" t="s">
        <v>600</v>
      </c>
      <c r="I375" t="s">
        <v>601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18802</v>
      </c>
      <c r="B376" t="s">
        <v>1269</v>
      </c>
      <c r="C376" t="s">
        <v>1267</v>
      </c>
      <c r="D376" t="s">
        <v>1268</v>
      </c>
      <c r="E376" t="s">
        <v>678</v>
      </c>
      <c r="F376" t="s">
        <v>598</v>
      </c>
      <c r="G376" t="s">
        <v>478</v>
      </c>
      <c r="H376" t="s">
        <v>600</v>
      </c>
      <c r="I376" t="s">
        <v>601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18802</v>
      </c>
      <c r="B377" t="s">
        <v>1276</v>
      </c>
      <c r="C377" t="s">
        <v>1267</v>
      </c>
      <c r="D377" t="s">
        <v>1274</v>
      </c>
      <c r="E377" t="s">
        <v>678</v>
      </c>
      <c r="F377" t="s">
        <v>598</v>
      </c>
      <c r="G377" t="s">
        <v>478</v>
      </c>
      <c r="H377" t="s">
        <v>600</v>
      </c>
      <c r="I377" t="s">
        <v>601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18802</v>
      </c>
      <c r="B378" t="s">
        <v>1286</v>
      </c>
      <c r="C378" t="s">
        <v>1267</v>
      </c>
      <c r="D378" t="s">
        <v>1287</v>
      </c>
      <c r="E378" t="s">
        <v>597</v>
      </c>
      <c r="F378" t="s">
        <v>598</v>
      </c>
      <c r="G378" t="s">
        <v>478</v>
      </c>
      <c r="H378" t="s">
        <v>600</v>
      </c>
      <c r="I378" t="s">
        <v>601</v>
      </c>
      <c r="J378">
        <v>5.9999999999999995E-4</v>
      </c>
      <c r="K378">
        <v>6.9999999999999999E-4</v>
      </c>
      <c r="L378">
        <v>6.9999999999999999E-4</v>
      </c>
      <c r="M378">
        <v>8.0000000000000004E-4</v>
      </c>
      <c r="N378">
        <v>8.9999999999999998E-4</v>
      </c>
      <c r="O378">
        <v>1E-3</v>
      </c>
      <c r="P378">
        <v>1E-3</v>
      </c>
      <c r="Q378">
        <v>1.1000000000000001E-3</v>
      </c>
      <c r="R378">
        <v>1.1999999999999999E-3</v>
      </c>
      <c r="S378">
        <v>1.1999999999999999E-3</v>
      </c>
      <c r="T378">
        <v>1.1999999999999999E-3</v>
      </c>
      <c r="U378">
        <v>1.2999999999999999E-3</v>
      </c>
      <c r="V378">
        <v>1.2999999999999999E-3</v>
      </c>
      <c r="W378">
        <v>1.4E-3</v>
      </c>
      <c r="X378">
        <v>1.4E-3</v>
      </c>
      <c r="Y378">
        <v>1.5E-3</v>
      </c>
    </row>
    <row r="379" spans="1:25" hidden="1">
      <c r="A379" t="s">
        <v>18802</v>
      </c>
      <c r="B379" t="s">
        <v>1323</v>
      </c>
      <c r="C379" t="s">
        <v>1267</v>
      </c>
      <c r="D379" t="s">
        <v>1324</v>
      </c>
      <c r="E379" t="s">
        <v>688</v>
      </c>
      <c r="F379" t="s">
        <v>598</v>
      </c>
      <c r="G379" t="s">
        <v>478</v>
      </c>
      <c r="H379" t="s">
        <v>600</v>
      </c>
      <c r="I379" t="s">
        <v>601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18802</v>
      </c>
      <c r="B380" t="s">
        <v>1459</v>
      </c>
      <c r="C380" t="s">
        <v>1382</v>
      </c>
      <c r="D380" t="s">
        <v>648</v>
      </c>
      <c r="E380" t="s">
        <v>920</v>
      </c>
      <c r="F380" t="s">
        <v>598</v>
      </c>
      <c r="G380" t="s">
        <v>478</v>
      </c>
      <c r="H380" t="s">
        <v>600</v>
      </c>
      <c r="I380" t="s">
        <v>601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18802</v>
      </c>
      <c r="B381" t="s">
        <v>1460</v>
      </c>
      <c r="C381" t="s">
        <v>1382</v>
      </c>
      <c r="D381" t="s">
        <v>648</v>
      </c>
      <c r="E381" t="s">
        <v>973</v>
      </c>
      <c r="F381" t="s">
        <v>598</v>
      </c>
      <c r="G381" t="s">
        <v>478</v>
      </c>
      <c r="H381" t="s">
        <v>600</v>
      </c>
      <c r="I381" t="s">
        <v>601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18802</v>
      </c>
      <c r="B382" t="s">
        <v>1475</v>
      </c>
      <c r="C382" t="s">
        <v>1472</v>
      </c>
      <c r="D382" t="s">
        <v>1281</v>
      </c>
      <c r="E382" t="s">
        <v>678</v>
      </c>
      <c r="F382" t="s">
        <v>598</v>
      </c>
      <c r="G382" t="s">
        <v>478</v>
      </c>
      <c r="H382" t="s">
        <v>600</v>
      </c>
      <c r="I382" t="s">
        <v>601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hidden="1">
      <c r="A383" t="s">
        <v>18802</v>
      </c>
      <c r="B383" t="s">
        <v>1478</v>
      </c>
      <c r="C383" t="s">
        <v>1472</v>
      </c>
      <c r="D383" t="s">
        <v>1305</v>
      </c>
      <c r="E383" t="s">
        <v>973</v>
      </c>
      <c r="F383" t="s">
        <v>598</v>
      </c>
      <c r="G383" t="s">
        <v>478</v>
      </c>
      <c r="H383" t="s">
        <v>600</v>
      </c>
      <c r="I383" t="s">
        <v>601</v>
      </c>
      <c r="J383">
        <v>1.6000000000000001E-3</v>
      </c>
      <c r="K383">
        <v>1.6999999999999999E-3</v>
      </c>
      <c r="L383">
        <v>1.9E-3</v>
      </c>
      <c r="M383">
        <v>2E-3</v>
      </c>
      <c r="N383">
        <v>2.0999999999999999E-3</v>
      </c>
      <c r="O383">
        <v>2.3E-3</v>
      </c>
      <c r="P383">
        <v>2.3999999999999998E-3</v>
      </c>
      <c r="Q383">
        <v>2.5999999999999999E-3</v>
      </c>
      <c r="R383">
        <v>2.5999999999999999E-3</v>
      </c>
      <c r="S383">
        <v>2.7000000000000001E-3</v>
      </c>
      <c r="T383">
        <v>2.8E-3</v>
      </c>
      <c r="U383">
        <v>2.8999999999999998E-3</v>
      </c>
      <c r="V383">
        <v>3.0000000000000001E-3</v>
      </c>
      <c r="W383">
        <v>3.0999999999999999E-3</v>
      </c>
      <c r="X383">
        <v>3.2000000000000002E-3</v>
      </c>
      <c r="Y383">
        <v>3.3E-3</v>
      </c>
    </row>
    <row r="384" spans="1:25" hidden="1">
      <c r="A384" t="s">
        <v>18802</v>
      </c>
      <c r="B384" t="s">
        <v>1481</v>
      </c>
      <c r="C384" t="s">
        <v>1472</v>
      </c>
      <c r="D384" t="s">
        <v>1305</v>
      </c>
      <c r="E384" t="s">
        <v>1378</v>
      </c>
      <c r="F384" t="s">
        <v>598</v>
      </c>
      <c r="G384" t="s">
        <v>478</v>
      </c>
      <c r="H384" t="s">
        <v>600</v>
      </c>
      <c r="I384" t="s">
        <v>601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18802</v>
      </c>
      <c r="B385" t="s">
        <v>1482</v>
      </c>
      <c r="C385" t="s">
        <v>1472</v>
      </c>
      <c r="D385" t="s">
        <v>1483</v>
      </c>
      <c r="E385" t="s">
        <v>597</v>
      </c>
      <c r="F385" t="s">
        <v>598</v>
      </c>
      <c r="G385" t="s">
        <v>478</v>
      </c>
      <c r="H385" t="s">
        <v>600</v>
      </c>
      <c r="I385" t="s">
        <v>601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18802</v>
      </c>
      <c r="B386" t="s">
        <v>1488</v>
      </c>
      <c r="C386" t="s">
        <v>1472</v>
      </c>
      <c r="D386" t="s">
        <v>1392</v>
      </c>
      <c r="E386" t="s">
        <v>688</v>
      </c>
      <c r="F386" t="s">
        <v>598</v>
      </c>
      <c r="G386" t="s">
        <v>478</v>
      </c>
      <c r="H386" t="s">
        <v>600</v>
      </c>
      <c r="I386" t="s">
        <v>601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18802</v>
      </c>
      <c r="B387" t="s">
        <v>1494</v>
      </c>
      <c r="C387" t="s">
        <v>1472</v>
      </c>
      <c r="D387" t="s">
        <v>1316</v>
      </c>
      <c r="E387" t="s">
        <v>1334</v>
      </c>
      <c r="F387" t="s">
        <v>598</v>
      </c>
      <c r="G387" t="s">
        <v>478</v>
      </c>
      <c r="H387" t="s">
        <v>600</v>
      </c>
      <c r="I387" t="s">
        <v>601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18802</v>
      </c>
      <c r="B388" t="s">
        <v>1498</v>
      </c>
      <c r="C388" t="s">
        <v>1472</v>
      </c>
      <c r="D388" t="s">
        <v>1316</v>
      </c>
      <c r="E388" t="s">
        <v>1402</v>
      </c>
      <c r="F388" t="s">
        <v>598</v>
      </c>
      <c r="G388" t="s">
        <v>478</v>
      </c>
      <c r="H388" t="s">
        <v>600</v>
      </c>
      <c r="I388" t="s">
        <v>601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18802</v>
      </c>
      <c r="B389" t="s">
        <v>1514</v>
      </c>
      <c r="C389" t="s">
        <v>1472</v>
      </c>
      <c r="D389" t="s">
        <v>1324</v>
      </c>
      <c r="E389" t="s">
        <v>1334</v>
      </c>
      <c r="F389" t="s">
        <v>598</v>
      </c>
      <c r="G389" t="s">
        <v>478</v>
      </c>
      <c r="H389" t="s">
        <v>600</v>
      </c>
      <c r="I389" t="s">
        <v>601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hidden="1">
      <c r="A390" t="s">
        <v>18802</v>
      </c>
      <c r="B390" t="s">
        <v>1515</v>
      </c>
      <c r="C390" t="s">
        <v>1472</v>
      </c>
      <c r="D390" t="s">
        <v>1324</v>
      </c>
      <c r="E390" t="s">
        <v>1399</v>
      </c>
      <c r="F390" t="s">
        <v>598</v>
      </c>
      <c r="G390" t="s">
        <v>478</v>
      </c>
      <c r="H390" t="s">
        <v>600</v>
      </c>
      <c r="I390" t="s">
        <v>601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hidden="1">
      <c r="A391" t="s">
        <v>18802</v>
      </c>
      <c r="B391" t="s">
        <v>1517</v>
      </c>
      <c r="C391" t="s">
        <v>1472</v>
      </c>
      <c r="D391" t="s">
        <v>1324</v>
      </c>
      <c r="E391" t="s">
        <v>692</v>
      </c>
      <c r="F391" t="s">
        <v>598</v>
      </c>
      <c r="G391" t="s">
        <v>478</v>
      </c>
      <c r="H391" t="s">
        <v>600</v>
      </c>
      <c r="I391" t="s">
        <v>601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18802</v>
      </c>
      <c r="B392" t="s">
        <v>1518</v>
      </c>
      <c r="C392" t="s">
        <v>1472</v>
      </c>
      <c r="D392" t="s">
        <v>1324</v>
      </c>
      <c r="E392" t="s">
        <v>1326</v>
      </c>
      <c r="F392" t="s">
        <v>598</v>
      </c>
      <c r="G392" t="s">
        <v>478</v>
      </c>
      <c r="H392" t="s">
        <v>600</v>
      </c>
      <c r="I392" t="s">
        <v>601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18802</v>
      </c>
      <c r="B393" t="s">
        <v>1519</v>
      </c>
      <c r="C393" t="s">
        <v>1472</v>
      </c>
      <c r="D393" t="s">
        <v>1324</v>
      </c>
      <c r="E393" t="s">
        <v>750</v>
      </c>
      <c r="F393" t="s">
        <v>598</v>
      </c>
      <c r="G393" t="s">
        <v>478</v>
      </c>
      <c r="H393" t="s">
        <v>600</v>
      </c>
      <c r="I393" t="s">
        <v>601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18802</v>
      </c>
      <c r="B394" t="s">
        <v>1520</v>
      </c>
      <c r="C394" t="s">
        <v>1472</v>
      </c>
      <c r="D394" t="s">
        <v>1324</v>
      </c>
      <c r="E394" t="s">
        <v>1402</v>
      </c>
      <c r="F394" t="s">
        <v>598</v>
      </c>
      <c r="G394" t="s">
        <v>478</v>
      </c>
      <c r="H394" t="s">
        <v>600</v>
      </c>
      <c r="I394" t="s">
        <v>601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18802</v>
      </c>
      <c r="B395" t="s">
        <v>1526</v>
      </c>
      <c r="C395" t="s">
        <v>1472</v>
      </c>
      <c r="D395" t="s">
        <v>1332</v>
      </c>
      <c r="E395" t="s">
        <v>688</v>
      </c>
      <c r="F395" t="s">
        <v>598</v>
      </c>
      <c r="G395" t="s">
        <v>478</v>
      </c>
      <c r="H395" t="s">
        <v>600</v>
      </c>
      <c r="I395" t="s">
        <v>601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18802</v>
      </c>
      <c r="B396" t="s">
        <v>1527</v>
      </c>
      <c r="C396" t="s">
        <v>1472</v>
      </c>
      <c r="D396" t="s">
        <v>1332</v>
      </c>
      <c r="E396" t="s">
        <v>1334</v>
      </c>
      <c r="F396" t="s">
        <v>598</v>
      </c>
      <c r="G396" t="s">
        <v>478</v>
      </c>
      <c r="H396" t="s">
        <v>600</v>
      </c>
      <c r="I396" t="s">
        <v>601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18802</v>
      </c>
      <c r="B397" t="s">
        <v>1528</v>
      </c>
      <c r="C397" t="s">
        <v>1472</v>
      </c>
      <c r="D397" t="s">
        <v>1332</v>
      </c>
      <c r="E397" t="s">
        <v>1399</v>
      </c>
      <c r="F397" t="s">
        <v>598</v>
      </c>
      <c r="G397" t="s">
        <v>478</v>
      </c>
      <c r="H397" t="s">
        <v>600</v>
      </c>
      <c r="I397" t="s">
        <v>601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hidden="1">
      <c r="A398" t="s">
        <v>18802</v>
      </c>
      <c r="B398" t="s">
        <v>1531</v>
      </c>
      <c r="C398" t="s">
        <v>1472</v>
      </c>
      <c r="D398" t="s">
        <v>1332</v>
      </c>
      <c r="E398" t="s">
        <v>1326</v>
      </c>
      <c r="F398" t="s">
        <v>598</v>
      </c>
      <c r="G398" t="s">
        <v>478</v>
      </c>
      <c r="H398" t="s">
        <v>600</v>
      </c>
      <c r="I398" t="s">
        <v>601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hidden="1">
      <c r="A399" t="s">
        <v>18802</v>
      </c>
      <c r="B399" t="s">
        <v>1532</v>
      </c>
      <c r="C399" t="s">
        <v>1472</v>
      </c>
      <c r="D399" t="s">
        <v>1332</v>
      </c>
      <c r="E399" t="s">
        <v>619</v>
      </c>
      <c r="F399" t="s">
        <v>598</v>
      </c>
      <c r="G399" t="s">
        <v>478</v>
      </c>
      <c r="H399" t="s">
        <v>600</v>
      </c>
      <c r="I399" t="s">
        <v>601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hidden="1">
      <c r="A400" t="s">
        <v>18802</v>
      </c>
      <c r="B400" t="s">
        <v>1533</v>
      </c>
      <c r="C400" t="s">
        <v>1472</v>
      </c>
      <c r="D400" t="s">
        <v>1332</v>
      </c>
      <c r="E400" t="s">
        <v>750</v>
      </c>
      <c r="F400" t="s">
        <v>598</v>
      </c>
      <c r="G400" t="s">
        <v>478</v>
      </c>
      <c r="H400" t="s">
        <v>600</v>
      </c>
      <c r="I400" t="s">
        <v>601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hidden="1">
      <c r="A401" t="s">
        <v>18802</v>
      </c>
      <c r="B401" t="s">
        <v>1534</v>
      </c>
      <c r="C401" t="s">
        <v>1472</v>
      </c>
      <c r="D401" t="s">
        <v>1332</v>
      </c>
      <c r="E401" t="s">
        <v>1402</v>
      </c>
      <c r="F401" t="s">
        <v>598</v>
      </c>
      <c r="G401" t="s">
        <v>478</v>
      </c>
      <c r="H401" t="s">
        <v>600</v>
      </c>
      <c r="I401" t="s">
        <v>601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18802</v>
      </c>
      <c r="B402" t="s">
        <v>1535</v>
      </c>
      <c r="C402" t="s">
        <v>1472</v>
      </c>
      <c r="D402" t="s">
        <v>1332</v>
      </c>
      <c r="E402" t="s">
        <v>892</v>
      </c>
      <c r="F402" t="s">
        <v>598</v>
      </c>
      <c r="G402" t="s">
        <v>478</v>
      </c>
      <c r="H402" t="s">
        <v>600</v>
      </c>
      <c r="I402" t="s">
        <v>601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hidden="1">
      <c r="A403" t="s">
        <v>18802</v>
      </c>
      <c r="B403" t="s">
        <v>1538</v>
      </c>
      <c r="C403" t="s">
        <v>1472</v>
      </c>
      <c r="D403" t="s">
        <v>1332</v>
      </c>
      <c r="E403" t="s">
        <v>1318</v>
      </c>
      <c r="F403" t="s">
        <v>598</v>
      </c>
      <c r="G403" t="s">
        <v>478</v>
      </c>
      <c r="H403" t="s">
        <v>600</v>
      </c>
      <c r="I403" t="s">
        <v>601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hidden="1">
      <c r="A404" t="s">
        <v>18802</v>
      </c>
      <c r="B404" t="s">
        <v>1539</v>
      </c>
      <c r="C404" t="s">
        <v>1472</v>
      </c>
      <c r="D404" t="s">
        <v>1348</v>
      </c>
      <c r="E404" t="s">
        <v>688</v>
      </c>
      <c r="F404" t="s">
        <v>598</v>
      </c>
      <c r="G404" t="s">
        <v>478</v>
      </c>
      <c r="H404" t="s">
        <v>600</v>
      </c>
      <c r="I404" t="s">
        <v>601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hidden="1">
      <c r="A405" t="s">
        <v>18802</v>
      </c>
      <c r="B405" t="s">
        <v>1540</v>
      </c>
      <c r="C405" t="s">
        <v>1472</v>
      </c>
      <c r="D405" t="s">
        <v>1348</v>
      </c>
      <c r="E405" t="s">
        <v>1334</v>
      </c>
      <c r="F405" t="s">
        <v>598</v>
      </c>
      <c r="G405" t="s">
        <v>478</v>
      </c>
      <c r="H405" t="s">
        <v>600</v>
      </c>
      <c r="I405" t="s">
        <v>601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hidden="1">
      <c r="A406" t="s">
        <v>18802</v>
      </c>
      <c r="B406" t="s">
        <v>1541</v>
      </c>
      <c r="C406" t="s">
        <v>1472</v>
      </c>
      <c r="D406" t="s">
        <v>1348</v>
      </c>
      <c r="E406" t="s">
        <v>1399</v>
      </c>
      <c r="F406" t="s">
        <v>598</v>
      </c>
      <c r="G406" t="s">
        <v>478</v>
      </c>
      <c r="H406" t="s">
        <v>600</v>
      </c>
      <c r="I406" t="s">
        <v>601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18802</v>
      </c>
      <c r="B407" t="s">
        <v>1550</v>
      </c>
      <c r="C407" t="s">
        <v>1472</v>
      </c>
      <c r="D407" t="s">
        <v>1354</v>
      </c>
      <c r="E407" t="s">
        <v>973</v>
      </c>
      <c r="F407" t="s">
        <v>598</v>
      </c>
      <c r="G407" t="s">
        <v>478</v>
      </c>
      <c r="H407" t="s">
        <v>600</v>
      </c>
      <c r="I407" t="s">
        <v>601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hidden="1">
      <c r="A408" t="s">
        <v>18802</v>
      </c>
      <c r="B408" t="s">
        <v>1566</v>
      </c>
      <c r="C408" t="s">
        <v>1472</v>
      </c>
      <c r="D408" t="s">
        <v>1567</v>
      </c>
      <c r="E408" t="s">
        <v>626</v>
      </c>
      <c r="F408" t="s">
        <v>598</v>
      </c>
      <c r="G408" t="s">
        <v>478</v>
      </c>
      <c r="H408" t="s">
        <v>600</v>
      </c>
      <c r="I408" t="s">
        <v>601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hidden="1">
      <c r="A409" t="s">
        <v>18802</v>
      </c>
      <c r="B409" t="s">
        <v>1568</v>
      </c>
      <c r="C409" t="s">
        <v>1472</v>
      </c>
      <c r="D409" t="s">
        <v>1569</v>
      </c>
      <c r="E409" t="s">
        <v>626</v>
      </c>
      <c r="F409" t="s">
        <v>598</v>
      </c>
      <c r="G409" t="s">
        <v>478</v>
      </c>
      <c r="H409" t="s">
        <v>600</v>
      </c>
      <c r="I409" t="s">
        <v>601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hidden="1">
      <c r="A410" t="s">
        <v>18802</v>
      </c>
      <c r="B410" t="s">
        <v>1570</v>
      </c>
      <c r="C410" t="s">
        <v>1472</v>
      </c>
      <c r="D410" t="s">
        <v>1571</v>
      </c>
      <c r="E410" t="s">
        <v>626</v>
      </c>
      <c r="F410" t="s">
        <v>598</v>
      </c>
      <c r="G410" t="s">
        <v>478</v>
      </c>
      <c r="H410" t="s">
        <v>600</v>
      </c>
      <c r="I410" t="s">
        <v>601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hidden="1">
      <c r="A411" t="s">
        <v>18802</v>
      </c>
      <c r="B411" t="s">
        <v>1572</v>
      </c>
      <c r="C411" t="s">
        <v>1472</v>
      </c>
      <c r="D411" t="s">
        <v>1571</v>
      </c>
      <c r="E411" t="s">
        <v>692</v>
      </c>
      <c r="F411" t="s">
        <v>598</v>
      </c>
      <c r="G411" t="s">
        <v>478</v>
      </c>
      <c r="H411" t="s">
        <v>600</v>
      </c>
      <c r="I411" t="s">
        <v>601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18802</v>
      </c>
      <c r="B412" t="s">
        <v>1573</v>
      </c>
      <c r="C412" t="s">
        <v>1472</v>
      </c>
      <c r="D412" t="s">
        <v>1574</v>
      </c>
      <c r="E412" t="s">
        <v>626</v>
      </c>
      <c r="F412" t="s">
        <v>598</v>
      </c>
      <c r="G412" t="s">
        <v>478</v>
      </c>
      <c r="H412" t="s">
        <v>600</v>
      </c>
      <c r="I412" t="s">
        <v>601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hidden="1">
      <c r="A413" t="s">
        <v>18802</v>
      </c>
      <c r="B413" t="s">
        <v>1575</v>
      </c>
      <c r="C413" t="s">
        <v>1472</v>
      </c>
      <c r="D413" t="s">
        <v>1576</v>
      </c>
      <c r="E413" t="s">
        <v>626</v>
      </c>
      <c r="F413" t="s">
        <v>598</v>
      </c>
      <c r="G413" t="s">
        <v>478</v>
      </c>
      <c r="H413" t="s">
        <v>600</v>
      </c>
      <c r="I413" t="s">
        <v>601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hidden="1">
      <c r="A414" t="s">
        <v>18802</v>
      </c>
      <c r="B414" t="s">
        <v>1577</v>
      </c>
      <c r="C414" t="s">
        <v>1472</v>
      </c>
      <c r="D414" t="s">
        <v>1578</v>
      </c>
      <c r="E414" t="s">
        <v>626</v>
      </c>
      <c r="F414" t="s">
        <v>598</v>
      </c>
      <c r="G414" t="s">
        <v>478</v>
      </c>
      <c r="H414" t="s">
        <v>600</v>
      </c>
      <c r="I414" t="s">
        <v>601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hidden="1">
      <c r="A415" t="s">
        <v>18802</v>
      </c>
      <c r="B415" t="s">
        <v>1582</v>
      </c>
      <c r="C415" t="s">
        <v>1472</v>
      </c>
      <c r="D415" t="s">
        <v>1583</v>
      </c>
      <c r="E415" t="s">
        <v>626</v>
      </c>
      <c r="F415" t="s">
        <v>598</v>
      </c>
      <c r="G415" t="s">
        <v>478</v>
      </c>
      <c r="H415" t="s">
        <v>600</v>
      </c>
      <c r="I415" t="s">
        <v>601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18802</v>
      </c>
      <c r="B416" t="s">
        <v>1584</v>
      </c>
      <c r="C416" t="s">
        <v>1472</v>
      </c>
      <c r="D416" t="s">
        <v>1583</v>
      </c>
      <c r="E416" t="s">
        <v>1334</v>
      </c>
      <c r="F416" t="s">
        <v>598</v>
      </c>
      <c r="G416" t="s">
        <v>478</v>
      </c>
      <c r="H416" t="s">
        <v>600</v>
      </c>
      <c r="I416" t="s">
        <v>601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18802</v>
      </c>
      <c r="B417" t="s">
        <v>1589</v>
      </c>
      <c r="C417" t="s">
        <v>1472</v>
      </c>
      <c r="D417" t="s">
        <v>1365</v>
      </c>
      <c r="E417" t="s">
        <v>973</v>
      </c>
      <c r="F417" t="s">
        <v>598</v>
      </c>
      <c r="G417" t="s">
        <v>478</v>
      </c>
      <c r="H417" t="s">
        <v>600</v>
      </c>
      <c r="I417" t="s">
        <v>601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18802</v>
      </c>
      <c r="B418" t="s">
        <v>1590</v>
      </c>
      <c r="C418" t="s">
        <v>1472</v>
      </c>
      <c r="D418" t="s">
        <v>1365</v>
      </c>
      <c r="E418" t="s">
        <v>626</v>
      </c>
      <c r="F418" t="s">
        <v>598</v>
      </c>
      <c r="G418" t="s">
        <v>478</v>
      </c>
      <c r="H418" t="s">
        <v>600</v>
      </c>
      <c r="I418" t="s">
        <v>601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18802</v>
      </c>
      <c r="B419" t="s">
        <v>1591</v>
      </c>
      <c r="C419" t="s">
        <v>1472</v>
      </c>
      <c r="D419" t="s">
        <v>1365</v>
      </c>
      <c r="E419" t="s">
        <v>628</v>
      </c>
      <c r="F419" t="s">
        <v>598</v>
      </c>
      <c r="G419" t="s">
        <v>478</v>
      </c>
      <c r="H419" t="s">
        <v>600</v>
      </c>
      <c r="I419" t="s">
        <v>601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18802</v>
      </c>
      <c r="B420" t="s">
        <v>1592</v>
      </c>
      <c r="C420" t="s">
        <v>1472</v>
      </c>
      <c r="D420" t="s">
        <v>1365</v>
      </c>
      <c r="E420" t="s">
        <v>888</v>
      </c>
      <c r="F420" t="s">
        <v>598</v>
      </c>
      <c r="G420" t="s">
        <v>478</v>
      </c>
      <c r="H420" t="s">
        <v>600</v>
      </c>
      <c r="I420" t="s">
        <v>601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18802</v>
      </c>
      <c r="B421" t="s">
        <v>1600</v>
      </c>
      <c r="C421" t="s">
        <v>1472</v>
      </c>
      <c r="D421" t="s">
        <v>1601</v>
      </c>
      <c r="E421" t="s">
        <v>626</v>
      </c>
      <c r="F421" t="s">
        <v>598</v>
      </c>
      <c r="G421" t="s">
        <v>478</v>
      </c>
      <c r="H421" t="s">
        <v>600</v>
      </c>
      <c r="I421" t="s">
        <v>601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18802</v>
      </c>
      <c r="B422" t="s">
        <v>1602</v>
      </c>
      <c r="C422" t="s">
        <v>1472</v>
      </c>
      <c r="D422" t="s">
        <v>1603</v>
      </c>
      <c r="E422" t="s">
        <v>626</v>
      </c>
      <c r="F422" t="s">
        <v>598</v>
      </c>
      <c r="G422" t="s">
        <v>478</v>
      </c>
      <c r="H422" t="s">
        <v>600</v>
      </c>
      <c r="I422" t="s">
        <v>601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18802</v>
      </c>
      <c r="B423" t="s">
        <v>1604</v>
      </c>
      <c r="C423" t="s">
        <v>1472</v>
      </c>
      <c r="D423" t="s">
        <v>1605</v>
      </c>
      <c r="E423" t="s">
        <v>626</v>
      </c>
      <c r="F423" t="s">
        <v>598</v>
      </c>
      <c r="G423" t="s">
        <v>478</v>
      </c>
      <c r="H423" t="s">
        <v>600</v>
      </c>
      <c r="I423" t="s">
        <v>601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18802</v>
      </c>
      <c r="B424" t="s">
        <v>1609</v>
      </c>
      <c r="C424" t="s">
        <v>1472</v>
      </c>
      <c r="D424" t="s">
        <v>648</v>
      </c>
      <c r="E424" t="s">
        <v>626</v>
      </c>
      <c r="F424" t="s">
        <v>598</v>
      </c>
      <c r="G424" t="s">
        <v>478</v>
      </c>
      <c r="H424" t="s">
        <v>600</v>
      </c>
      <c r="I424" t="s">
        <v>601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18802</v>
      </c>
      <c r="B425" t="s">
        <v>1610</v>
      </c>
      <c r="C425" t="s">
        <v>1611</v>
      </c>
      <c r="D425" t="s">
        <v>648</v>
      </c>
      <c r="E425" t="s">
        <v>920</v>
      </c>
      <c r="F425" t="s">
        <v>598</v>
      </c>
      <c r="G425" t="s">
        <v>478</v>
      </c>
      <c r="H425" t="s">
        <v>600</v>
      </c>
      <c r="I425" t="s">
        <v>601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hidden="1">
      <c r="A426" t="s">
        <v>18802</v>
      </c>
      <c r="B426" t="s">
        <v>1617</v>
      </c>
      <c r="C426" t="s">
        <v>1614</v>
      </c>
      <c r="D426" t="s">
        <v>1316</v>
      </c>
      <c r="E426" t="s">
        <v>954</v>
      </c>
      <c r="F426" t="s">
        <v>598</v>
      </c>
      <c r="G426" t="s">
        <v>478</v>
      </c>
      <c r="H426" t="s">
        <v>600</v>
      </c>
      <c r="I426" t="s">
        <v>601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18802</v>
      </c>
      <c r="B427" t="s">
        <v>1683</v>
      </c>
      <c r="C427" t="s">
        <v>1614</v>
      </c>
      <c r="D427" t="s">
        <v>1332</v>
      </c>
      <c r="E427" t="s">
        <v>1684</v>
      </c>
      <c r="F427" t="s">
        <v>598</v>
      </c>
      <c r="G427" t="s">
        <v>478</v>
      </c>
      <c r="H427" t="s">
        <v>600</v>
      </c>
      <c r="I427" t="s">
        <v>601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18802</v>
      </c>
      <c r="B428" t="s">
        <v>1740</v>
      </c>
      <c r="C428" t="s">
        <v>1614</v>
      </c>
      <c r="D428" t="s">
        <v>1722</v>
      </c>
      <c r="E428" t="s">
        <v>1741</v>
      </c>
      <c r="F428" t="s">
        <v>598</v>
      </c>
      <c r="G428" t="s">
        <v>478</v>
      </c>
      <c r="H428" t="s">
        <v>600</v>
      </c>
      <c r="I428" t="s">
        <v>601</v>
      </c>
      <c r="J428">
        <v>4.53E-2</v>
      </c>
      <c r="K428">
        <v>4.3999999999999997E-2</v>
      </c>
      <c r="L428">
        <v>4.2799999999999998E-2</v>
      </c>
      <c r="M428">
        <v>4.0899999999999999E-2</v>
      </c>
      <c r="N428">
        <v>4.0099999999999997E-2</v>
      </c>
      <c r="O428">
        <v>3.8800000000000001E-2</v>
      </c>
      <c r="P428">
        <v>3.9199999999999999E-2</v>
      </c>
      <c r="Q428">
        <v>3.9699999999999999E-2</v>
      </c>
      <c r="R428">
        <v>3.9800000000000002E-2</v>
      </c>
      <c r="S428">
        <v>3.9899999999999998E-2</v>
      </c>
      <c r="T428">
        <v>0.04</v>
      </c>
      <c r="U428">
        <v>4.0099999999999997E-2</v>
      </c>
      <c r="V428">
        <v>4.02E-2</v>
      </c>
      <c r="W428">
        <v>4.0300000000000002E-2</v>
      </c>
      <c r="X428">
        <v>4.0500000000000001E-2</v>
      </c>
      <c r="Y428">
        <v>4.0599999999999997E-2</v>
      </c>
    </row>
    <row r="429" spans="1:25" hidden="1">
      <c r="A429" t="s">
        <v>18802</v>
      </c>
      <c r="B429" t="s">
        <v>1742</v>
      </c>
      <c r="C429" t="s">
        <v>1614</v>
      </c>
      <c r="D429" t="s">
        <v>1722</v>
      </c>
      <c r="E429" t="s">
        <v>1743</v>
      </c>
      <c r="F429" t="s">
        <v>598</v>
      </c>
      <c r="G429" t="s">
        <v>478</v>
      </c>
      <c r="H429" t="s">
        <v>600</v>
      </c>
      <c r="I429" t="s">
        <v>601</v>
      </c>
      <c r="J429">
        <v>0.82969999999999999</v>
      </c>
      <c r="K429">
        <v>0.80620000000000003</v>
      </c>
      <c r="L429">
        <v>0.78280000000000005</v>
      </c>
      <c r="M429">
        <v>0.74850000000000005</v>
      </c>
      <c r="N429">
        <v>0.73329999999999995</v>
      </c>
      <c r="O429">
        <v>0.70979999999999999</v>
      </c>
      <c r="P429">
        <v>0.71789999999999998</v>
      </c>
      <c r="Q429">
        <v>0.72699999999999998</v>
      </c>
      <c r="R429">
        <v>0.7288</v>
      </c>
      <c r="S429">
        <v>0.73050000000000004</v>
      </c>
      <c r="T429">
        <v>0.73240000000000005</v>
      </c>
      <c r="U429">
        <v>0.73419999999999996</v>
      </c>
      <c r="V429">
        <v>0.73680000000000001</v>
      </c>
      <c r="W429">
        <v>0.73870000000000002</v>
      </c>
      <c r="X429">
        <v>0.74139999999999995</v>
      </c>
      <c r="Y429">
        <v>0.74309999999999998</v>
      </c>
    </row>
    <row r="430" spans="1:25" hidden="1">
      <c r="A430" t="s">
        <v>18802</v>
      </c>
      <c r="B430" t="s">
        <v>1746</v>
      </c>
      <c r="C430" t="s">
        <v>1614</v>
      </c>
      <c r="D430" t="s">
        <v>1722</v>
      </c>
      <c r="E430" t="s">
        <v>954</v>
      </c>
      <c r="F430" t="s">
        <v>598</v>
      </c>
      <c r="G430" t="s">
        <v>478</v>
      </c>
      <c r="H430" t="s">
        <v>600</v>
      </c>
      <c r="I430" t="s">
        <v>601</v>
      </c>
      <c r="J430">
        <v>7.7000000000000002E-3</v>
      </c>
      <c r="K430">
        <v>7.4999999999999997E-3</v>
      </c>
      <c r="L430">
        <v>7.3000000000000001E-3</v>
      </c>
      <c r="M430">
        <v>7.1999999999999998E-3</v>
      </c>
      <c r="N430">
        <v>7.0000000000000001E-3</v>
      </c>
      <c r="O430">
        <v>6.7000000000000002E-3</v>
      </c>
      <c r="P430">
        <v>6.8999999999999999E-3</v>
      </c>
      <c r="Q430">
        <v>7.1000000000000004E-3</v>
      </c>
      <c r="R430">
        <v>7.1999999999999998E-3</v>
      </c>
      <c r="S430">
        <v>7.4999999999999997E-3</v>
      </c>
      <c r="T430">
        <v>7.7999999999999996E-3</v>
      </c>
      <c r="U430">
        <v>7.9000000000000008E-3</v>
      </c>
      <c r="V430">
        <v>8.0999999999999996E-3</v>
      </c>
      <c r="W430">
        <v>8.2000000000000007E-3</v>
      </c>
      <c r="X430">
        <v>8.3999999999999995E-3</v>
      </c>
      <c r="Y430">
        <v>8.5000000000000006E-3</v>
      </c>
    </row>
    <row r="431" spans="1:25" hidden="1">
      <c r="A431" t="s">
        <v>18802</v>
      </c>
      <c r="B431" t="s">
        <v>1760</v>
      </c>
      <c r="C431" t="s">
        <v>1614</v>
      </c>
      <c r="D431" t="s">
        <v>1722</v>
      </c>
      <c r="E431" t="s">
        <v>1761</v>
      </c>
      <c r="F431" t="s">
        <v>598</v>
      </c>
      <c r="G431" t="s">
        <v>478</v>
      </c>
      <c r="H431" t="s">
        <v>600</v>
      </c>
      <c r="I431" t="s">
        <v>601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18802</v>
      </c>
      <c r="B432" t="s">
        <v>1771</v>
      </c>
      <c r="C432" t="s">
        <v>1614</v>
      </c>
      <c r="D432" t="s">
        <v>1768</v>
      </c>
      <c r="E432" t="s">
        <v>1772</v>
      </c>
      <c r="F432" t="s">
        <v>598</v>
      </c>
      <c r="G432" t="s">
        <v>478</v>
      </c>
      <c r="H432" t="s">
        <v>600</v>
      </c>
      <c r="I432" t="s">
        <v>601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18802</v>
      </c>
      <c r="B433" t="s">
        <v>1775</v>
      </c>
      <c r="C433" t="s">
        <v>1614</v>
      </c>
      <c r="D433" t="s">
        <v>1776</v>
      </c>
      <c r="E433" t="s">
        <v>1777</v>
      </c>
      <c r="F433" t="s">
        <v>598</v>
      </c>
      <c r="G433" t="s">
        <v>478</v>
      </c>
      <c r="H433" t="s">
        <v>600</v>
      </c>
      <c r="I433" t="s">
        <v>601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hidden="1">
      <c r="A434" t="s">
        <v>18802</v>
      </c>
      <c r="B434" t="s">
        <v>1780</v>
      </c>
      <c r="C434" t="s">
        <v>1614</v>
      </c>
      <c r="D434" t="s">
        <v>1781</v>
      </c>
      <c r="E434" t="s">
        <v>1716</v>
      </c>
      <c r="F434" t="s">
        <v>598</v>
      </c>
      <c r="G434" t="s">
        <v>478</v>
      </c>
      <c r="H434" t="s">
        <v>600</v>
      </c>
      <c r="I434" t="s">
        <v>601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hidden="1">
      <c r="A435" t="s">
        <v>18802</v>
      </c>
      <c r="B435" t="s">
        <v>1810</v>
      </c>
      <c r="C435" t="s">
        <v>1614</v>
      </c>
      <c r="D435" t="s">
        <v>1781</v>
      </c>
      <c r="E435" t="s">
        <v>1081</v>
      </c>
      <c r="F435" t="s">
        <v>598</v>
      </c>
      <c r="G435" t="s">
        <v>478</v>
      </c>
      <c r="H435" t="s">
        <v>600</v>
      </c>
      <c r="I435" t="s">
        <v>601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18802</v>
      </c>
      <c r="B436" t="s">
        <v>1814</v>
      </c>
      <c r="C436" t="s">
        <v>1614</v>
      </c>
      <c r="D436" t="s">
        <v>1812</v>
      </c>
      <c r="E436" t="s">
        <v>1081</v>
      </c>
      <c r="F436" t="s">
        <v>598</v>
      </c>
      <c r="G436" t="s">
        <v>478</v>
      </c>
      <c r="H436" t="s">
        <v>600</v>
      </c>
      <c r="I436" t="s">
        <v>601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hidden="1">
      <c r="A437" t="s">
        <v>18802</v>
      </c>
      <c r="B437" t="s">
        <v>1815</v>
      </c>
      <c r="C437" t="s">
        <v>1614</v>
      </c>
      <c r="D437" t="s">
        <v>1812</v>
      </c>
      <c r="E437" t="s">
        <v>1093</v>
      </c>
      <c r="F437" t="s">
        <v>598</v>
      </c>
      <c r="G437" t="s">
        <v>478</v>
      </c>
      <c r="H437" t="s">
        <v>600</v>
      </c>
      <c r="I437" t="s">
        <v>601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18802</v>
      </c>
      <c r="B438" t="s">
        <v>1819</v>
      </c>
      <c r="C438" t="s">
        <v>1614</v>
      </c>
      <c r="D438" t="s">
        <v>648</v>
      </c>
      <c r="E438" t="s">
        <v>1340</v>
      </c>
      <c r="F438" t="s">
        <v>598</v>
      </c>
      <c r="G438" t="s">
        <v>478</v>
      </c>
      <c r="H438" t="s">
        <v>600</v>
      </c>
      <c r="I438" t="s">
        <v>601</v>
      </c>
      <c r="J438">
        <v>2E-3</v>
      </c>
      <c r="K438">
        <v>1.9E-3</v>
      </c>
      <c r="L438">
        <v>1.9E-3</v>
      </c>
      <c r="M438">
        <v>1.8E-3</v>
      </c>
      <c r="N438">
        <v>1.8E-3</v>
      </c>
      <c r="O438">
        <v>1.6999999999999999E-3</v>
      </c>
      <c r="P438">
        <v>1.6999999999999999E-3</v>
      </c>
      <c r="Q438">
        <v>1.8E-3</v>
      </c>
      <c r="R438">
        <v>1.8E-3</v>
      </c>
      <c r="S438">
        <v>1.8E-3</v>
      </c>
      <c r="T438">
        <v>1.8E-3</v>
      </c>
      <c r="U438">
        <v>1.8E-3</v>
      </c>
      <c r="V438">
        <v>1.8E-3</v>
      </c>
      <c r="W438">
        <v>1.8E-3</v>
      </c>
      <c r="X438">
        <v>1.8E-3</v>
      </c>
      <c r="Y438">
        <v>1.8E-3</v>
      </c>
    </row>
    <row r="439" spans="1:25" hidden="1">
      <c r="A439" t="s">
        <v>18802</v>
      </c>
      <c r="B439" t="s">
        <v>1821</v>
      </c>
      <c r="C439" t="s">
        <v>1614</v>
      </c>
      <c r="D439" t="s">
        <v>648</v>
      </c>
      <c r="E439" t="s">
        <v>1822</v>
      </c>
      <c r="F439" t="s">
        <v>598</v>
      </c>
      <c r="G439" t="s">
        <v>478</v>
      </c>
      <c r="H439" t="s">
        <v>600</v>
      </c>
      <c r="I439" t="s">
        <v>601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hidden="1">
      <c r="A440" t="s">
        <v>18802</v>
      </c>
      <c r="B440" t="s">
        <v>1825</v>
      </c>
      <c r="C440" t="s">
        <v>1614</v>
      </c>
      <c r="D440" t="s">
        <v>648</v>
      </c>
      <c r="E440" t="s">
        <v>954</v>
      </c>
      <c r="F440" t="s">
        <v>598</v>
      </c>
      <c r="G440" t="s">
        <v>478</v>
      </c>
      <c r="H440" t="s">
        <v>600</v>
      </c>
      <c r="I440" t="s">
        <v>601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18802</v>
      </c>
      <c r="B441" t="s">
        <v>1832</v>
      </c>
      <c r="C441" t="s">
        <v>1614</v>
      </c>
      <c r="D441" t="s">
        <v>648</v>
      </c>
      <c r="E441" t="s">
        <v>1393</v>
      </c>
      <c r="F441" t="s">
        <v>598</v>
      </c>
      <c r="G441" t="s">
        <v>478</v>
      </c>
      <c r="H441" t="s">
        <v>600</v>
      </c>
      <c r="I441" t="s">
        <v>601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18802</v>
      </c>
      <c r="B442" t="s">
        <v>1839</v>
      </c>
      <c r="C442" t="s">
        <v>1614</v>
      </c>
      <c r="D442" t="s">
        <v>648</v>
      </c>
      <c r="E442" t="s">
        <v>1765</v>
      </c>
      <c r="F442" t="s">
        <v>598</v>
      </c>
      <c r="G442" t="s">
        <v>478</v>
      </c>
      <c r="H442" t="s">
        <v>600</v>
      </c>
      <c r="I442" t="s">
        <v>601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hidden="1">
      <c r="A443" t="s">
        <v>18802</v>
      </c>
      <c r="B443" t="s">
        <v>1858</v>
      </c>
      <c r="C443" t="s">
        <v>1845</v>
      </c>
      <c r="D443" t="s">
        <v>1859</v>
      </c>
      <c r="E443" t="s">
        <v>1860</v>
      </c>
      <c r="F443" t="s">
        <v>598</v>
      </c>
      <c r="G443" t="s">
        <v>478</v>
      </c>
      <c r="H443" t="s">
        <v>600</v>
      </c>
      <c r="I443" t="s">
        <v>601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18802</v>
      </c>
      <c r="B444" t="s">
        <v>1861</v>
      </c>
      <c r="C444" t="s">
        <v>1845</v>
      </c>
      <c r="D444" t="s">
        <v>1862</v>
      </c>
      <c r="E444" t="s">
        <v>1860</v>
      </c>
      <c r="F444" t="s">
        <v>598</v>
      </c>
      <c r="G444" t="s">
        <v>478</v>
      </c>
      <c r="H444" t="s">
        <v>600</v>
      </c>
      <c r="I444" t="s">
        <v>601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18802</v>
      </c>
      <c r="B445" t="s">
        <v>1863</v>
      </c>
      <c r="C445" t="s">
        <v>1845</v>
      </c>
      <c r="D445" t="s">
        <v>1864</v>
      </c>
      <c r="E445" t="s">
        <v>1865</v>
      </c>
      <c r="F445" t="s">
        <v>598</v>
      </c>
      <c r="G445" t="s">
        <v>478</v>
      </c>
      <c r="H445" t="s">
        <v>600</v>
      </c>
      <c r="I445" t="s">
        <v>601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18802</v>
      </c>
      <c r="B446" t="s">
        <v>1870</v>
      </c>
      <c r="C446" t="s">
        <v>1845</v>
      </c>
      <c r="D446" t="s">
        <v>1871</v>
      </c>
      <c r="E446" t="s">
        <v>1872</v>
      </c>
      <c r="F446" t="s">
        <v>598</v>
      </c>
      <c r="G446" t="s">
        <v>478</v>
      </c>
      <c r="H446" t="s">
        <v>600</v>
      </c>
      <c r="I446" t="s">
        <v>601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hidden="1">
      <c r="A447" t="s">
        <v>18802</v>
      </c>
      <c r="B447" t="s">
        <v>1877</v>
      </c>
      <c r="C447" t="s">
        <v>1845</v>
      </c>
      <c r="D447" t="s">
        <v>1878</v>
      </c>
      <c r="E447" t="s">
        <v>1872</v>
      </c>
      <c r="F447" t="s">
        <v>598</v>
      </c>
      <c r="G447" t="s">
        <v>478</v>
      </c>
      <c r="H447" t="s">
        <v>600</v>
      </c>
      <c r="I447" t="s">
        <v>601</v>
      </c>
      <c r="J447">
        <v>2.9999999999999997E-4</v>
      </c>
      <c r="K447">
        <v>2.9999999999999997E-4</v>
      </c>
      <c r="L447">
        <v>4.0000000000000002E-4</v>
      </c>
      <c r="M447">
        <v>4.0000000000000002E-4</v>
      </c>
      <c r="N447">
        <v>4.0000000000000002E-4</v>
      </c>
      <c r="O447">
        <v>4.0000000000000002E-4</v>
      </c>
      <c r="P447">
        <v>4.0000000000000002E-4</v>
      </c>
      <c r="Q447">
        <v>4.0000000000000002E-4</v>
      </c>
      <c r="R447">
        <v>4.0000000000000002E-4</v>
      </c>
      <c r="S447">
        <v>4.0000000000000002E-4</v>
      </c>
      <c r="T447">
        <v>4.0000000000000002E-4</v>
      </c>
      <c r="U447">
        <v>4.0000000000000002E-4</v>
      </c>
      <c r="V447">
        <v>4.0000000000000002E-4</v>
      </c>
      <c r="W447">
        <v>4.0000000000000002E-4</v>
      </c>
      <c r="X447">
        <v>4.0000000000000002E-4</v>
      </c>
      <c r="Y447">
        <v>4.0000000000000002E-4</v>
      </c>
    </row>
    <row r="448" spans="1:25" hidden="1">
      <c r="A448" t="s">
        <v>18802</v>
      </c>
      <c r="B448" t="s">
        <v>1905</v>
      </c>
      <c r="C448" t="s">
        <v>1845</v>
      </c>
      <c r="D448" t="s">
        <v>1878</v>
      </c>
      <c r="E448" t="s">
        <v>1906</v>
      </c>
      <c r="F448" t="s">
        <v>598</v>
      </c>
      <c r="G448" t="s">
        <v>478</v>
      </c>
      <c r="H448" t="s">
        <v>600</v>
      </c>
      <c r="I448" t="s">
        <v>601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hidden="1">
      <c r="A449" t="s">
        <v>18802</v>
      </c>
      <c r="B449" t="s">
        <v>1927</v>
      </c>
      <c r="C449" t="s">
        <v>1845</v>
      </c>
      <c r="D449" t="s">
        <v>1918</v>
      </c>
      <c r="E449" t="s">
        <v>1892</v>
      </c>
      <c r="F449" t="s">
        <v>598</v>
      </c>
      <c r="G449" t="s">
        <v>478</v>
      </c>
      <c r="H449" t="s">
        <v>600</v>
      </c>
      <c r="I449" t="s">
        <v>601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hidden="1">
      <c r="A450" t="s">
        <v>18802</v>
      </c>
      <c r="B450" t="s">
        <v>1949</v>
      </c>
      <c r="C450" t="s">
        <v>1845</v>
      </c>
      <c r="D450" t="s">
        <v>648</v>
      </c>
      <c r="E450" t="s">
        <v>1872</v>
      </c>
      <c r="F450" t="s">
        <v>598</v>
      </c>
      <c r="G450" t="s">
        <v>478</v>
      </c>
      <c r="H450" t="s">
        <v>600</v>
      </c>
      <c r="I450" t="s">
        <v>601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hidden="1">
      <c r="A451" t="s">
        <v>18802</v>
      </c>
      <c r="B451" t="s">
        <v>1960</v>
      </c>
      <c r="C451" t="s">
        <v>1959</v>
      </c>
      <c r="D451" t="s">
        <v>1332</v>
      </c>
      <c r="E451" t="s">
        <v>954</v>
      </c>
      <c r="F451" t="s">
        <v>598</v>
      </c>
      <c r="G451" t="s">
        <v>478</v>
      </c>
      <c r="H451" t="s">
        <v>600</v>
      </c>
      <c r="I451" t="s">
        <v>601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18802</v>
      </c>
      <c r="B452" t="s">
        <v>1964</v>
      </c>
      <c r="C452" t="s">
        <v>1959</v>
      </c>
      <c r="D452" t="s">
        <v>1965</v>
      </c>
      <c r="E452" t="s">
        <v>1966</v>
      </c>
      <c r="F452" t="s">
        <v>598</v>
      </c>
      <c r="G452" t="s">
        <v>478</v>
      </c>
      <c r="H452" t="s">
        <v>600</v>
      </c>
      <c r="I452" t="s">
        <v>601</v>
      </c>
      <c r="J452">
        <v>0.1641</v>
      </c>
      <c r="K452">
        <v>0.16220000000000001</v>
      </c>
      <c r="L452">
        <v>0.1605</v>
      </c>
      <c r="M452">
        <v>0.15759999999999999</v>
      </c>
      <c r="N452">
        <v>0.15720000000000001</v>
      </c>
      <c r="O452">
        <v>0.1555</v>
      </c>
      <c r="P452">
        <v>0.15820000000000001</v>
      </c>
      <c r="Q452">
        <v>0.16120000000000001</v>
      </c>
      <c r="R452">
        <v>0.1623</v>
      </c>
      <c r="S452">
        <v>0.1633</v>
      </c>
      <c r="T452">
        <v>0.16439999999999999</v>
      </c>
      <c r="U452">
        <v>0.16539999999999999</v>
      </c>
      <c r="V452">
        <v>0.1668</v>
      </c>
      <c r="W452">
        <v>0.16789999999999999</v>
      </c>
      <c r="X452">
        <v>0.16919999999999999</v>
      </c>
      <c r="Y452">
        <v>0.1704</v>
      </c>
    </row>
    <row r="453" spans="1:25" hidden="1">
      <c r="A453" t="s">
        <v>18802</v>
      </c>
      <c r="B453" t="s">
        <v>1967</v>
      </c>
      <c r="C453" t="s">
        <v>1959</v>
      </c>
      <c r="D453" t="s">
        <v>1968</v>
      </c>
      <c r="E453" t="s">
        <v>1962</v>
      </c>
      <c r="F453" t="s">
        <v>598</v>
      </c>
      <c r="G453" t="s">
        <v>478</v>
      </c>
      <c r="H453" t="s">
        <v>600</v>
      </c>
      <c r="I453" t="s">
        <v>601</v>
      </c>
      <c r="J453">
        <v>6.8400000000000002E-2</v>
      </c>
      <c r="K453">
        <v>7.1599999999999997E-2</v>
      </c>
      <c r="L453">
        <v>7.4999999999999997E-2</v>
      </c>
      <c r="M453">
        <v>7.8399999999999997E-2</v>
      </c>
      <c r="N453">
        <v>8.1000000000000003E-2</v>
      </c>
      <c r="O453">
        <v>8.3699999999999997E-2</v>
      </c>
      <c r="P453">
        <v>8.5800000000000001E-2</v>
      </c>
      <c r="Q453">
        <v>8.8099999999999998E-2</v>
      </c>
      <c r="R453">
        <v>0.09</v>
      </c>
      <c r="S453">
        <v>9.2499999999999999E-2</v>
      </c>
      <c r="T453">
        <v>9.5000000000000001E-2</v>
      </c>
      <c r="U453">
        <v>9.7100000000000006E-2</v>
      </c>
      <c r="V453">
        <v>9.9500000000000005E-2</v>
      </c>
      <c r="W453">
        <v>0.10199999999999999</v>
      </c>
      <c r="X453">
        <v>0.1042</v>
      </c>
      <c r="Y453">
        <v>0.1066</v>
      </c>
    </row>
    <row r="454" spans="1:25" hidden="1">
      <c r="A454" t="s">
        <v>18802</v>
      </c>
      <c r="B454" t="s">
        <v>1977</v>
      </c>
      <c r="C454" t="s">
        <v>1959</v>
      </c>
      <c r="D454" t="s">
        <v>1972</v>
      </c>
      <c r="E454" t="s">
        <v>1966</v>
      </c>
      <c r="F454" t="s">
        <v>598</v>
      </c>
      <c r="G454" t="s">
        <v>478</v>
      </c>
      <c r="H454" t="s">
        <v>600</v>
      </c>
      <c r="I454" t="s">
        <v>601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</row>
    <row r="455" spans="1:25" hidden="1">
      <c r="A455" t="s">
        <v>18802</v>
      </c>
      <c r="B455" t="s">
        <v>1978</v>
      </c>
      <c r="C455" t="s">
        <v>1959</v>
      </c>
      <c r="D455" t="s">
        <v>1972</v>
      </c>
      <c r="E455" t="s">
        <v>1979</v>
      </c>
      <c r="F455" t="s">
        <v>598</v>
      </c>
      <c r="G455" t="s">
        <v>478</v>
      </c>
      <c r="H455" t="s">
        <v>600</v>
      </c>
      <c r="I455" t="s">
        <v>601</v>
      </c>
      <c r="J455">
        <v>2.3999999999999998E-3</v>
      </c>
      <c r="K455">
        <v>2.5000000000000001E-3</v>
      </c>
      <c r="L455">
        <v>2.5999999999999999E-3</v>
      </c>
      <c r="M455">
        <v>2.5999999999999999E-3</v>
      </c>
      <c r="N455">
        <v>2.7000000000000001E-3</v>
      </c>
      <c r="O455">
        <v>2.7000000000000001E-3</v>
      </c>
      <c r="P455">
        <v>2.8E-3</v>
      </c>
      <c r="Q455">
        <v>2.8E-3</v>
      </c>
      <c r="R455">
        <v>2.8E-3</v>
      </c>
      <c r="S455">
        <v>2.8999999999999998E-3</v>
      </c>
      <c r="T455">
        <v>2.8999999999999998E-3</v>
      </c>
      <c r="U455">
        <v>3.0000000000000001E-3</v>
      </c>
      <c r="V455">
        <v>3.0000000000000001E-3</v>
      </c>
      <c r="W455">
        <v>3.0999999999999999E-3</v>
      </c>
      <c r="X455">
        <v>3.2000000000000002E-3</v>
      </c>
      <c r="Y455">
        <v>3.2000000000000002E-3</v>
      </c>
    </row>
    <row r="456" spans="1:25" hidden="1">
      <c r="A456" t="s">
        <v>18802</v>
      </c>
      <c r="B456" t="s">
        <v>1982</v>
      </c>
      <c r="C456" t="s">
        <v>1959</v>
      </c>
      <c r="D456" t="s">
        <v>1983</v>
      </c>
      <c r="E456" t="s">
        <v>1984</v>
      </c>
      <c r="F456" t="s">
        <v>598</v>
      </c>
      <c r="G456" t="s">
        <v>478</v>
      </c>
      <c r="H456" t="s">
        <v>600</v>
      </c>
      <c r="I456" t="s">
        <v>601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hidden="1">
      <c r="A457" t="s">
        <v>18802</v>
      </c>
      <c r="B457" t="s">
        <v>1985</v>
      </c>
      <c r="C457" t="s">
        <v>1959</v>
      </c>
      <c r="D457" t="s">
        <v>1983</v>
      </c>
      <c r="E457" t="s">
        <v>1378</v>
      </c>
      <c r="F457" t="s">
        <v>598</v>
      </c>
      <c r="G457" t="s">
        <v>478</v>
      </c>
      <c r="H457" t="s">
        <v>600</v>
      </c>
      <c r="I457" t="s">
        <v>601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hidden="1">
      <c r="A458" t="s">
        <v>18802</v>
      </c>
      <c r="B458" t="s">
        <v>1988</v>
      </c>
      <c r="C458" t="s">
        <v>1959</v>
      </c>
      <c r="D458" t="s">
        <v>1983</v>
      </c>
      <c r="E458" t="s">
        <v>1966</v>
      </c>
      <c r="F458" t="s">
        <v>598</v>
      </c>
      <c r="G458" t="s">
        <v>478</v>
      </c>
      <c r="H458" t="s">
        <v>600</v>
      </c>
      <c r="I458" t="s">
        <v>601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hidden="1">
      <c r="A459" t="s">
        <v>18802</v>
      </c>
      <c r="B459" t="s">
        <v>1991</v>
      </c>
      <c r="C459" t="s">
        <v>1959</v>
      </c>
      <c r="D459" t="s">
        <v>1983</v>
      </c>
      <c r="E459" t="s">
        <v>1992</v>
      </c>
      <c r="F459" t="s">
        <v>598</v>
      </c>
      <c r="G459" t="s">
        <v>478</v>
      </c>
      <c r="H459" t="s">
        <v>600</v>
      </c>
      <c r="I459" t="s">
        <v>601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</row>
    <row r="460" spans="1:25" hidden="1">
      <c r="A460" t="s">
        <v>18802</v>
      </c>
      <c r="B460" t="s">
        <v>1995</v>
      </c>
      <c r="C460" t="s">
        <v>1959</v>
      </c>
      <c r="D460" t="s">
        <v>1996</v>
      </c>
      <c r="E460" t="s">
        <v>1973</v>
      </c>
      <c r="F460" t="s">
        <v>598</v>
      </c>
      <c r="G460" t="s">
        <v>478</v>
      </c>
      <c r="H460" t="s">
        <v>600</v>
      </c>
      <c r="I460" t="s">
        <v>601</v>
      </c>
      <c r="J460">
        <v>1.5213000000000001</v>
      </c>
      <c r="K460">
        <v>1.6051</v>
      </c>
      <c r="L460">
        <v>1.7054</v>
      </c>
      <c r="M460">
        <v>1.8159000000000001</v>
      </c>
      <c r="N460">
        <v>1.9086000000000001</v>
      </c>
      <c r="O460">
        <v>2.0102000000000002</v>
      </c>
      <c r="P460">
        <v>2.0648</v>
      </c>
      <c r="Q460">
        <v>2.1206999999999998</v>
      </c>
      <c r="R460">
        <v>2.1486000000000001</v>
      </c>
      <c r="S460">
        <v>2.1726999999999999</v>
      </c>
      <c r="T460">
        <v>2.1968999999999999</v>
      </c>
      <c r="U460">
        <v>2.2261000000000002</v>
      </c>
      <c r="V460">
        <v>2.2566000000000002</v>
      </c>
      <c r="W460">
        <v>2.2858000000000001</v>
      </c>
      <c r="X460">
        <v>2.3161999999999998</v>
      </c>
      <c r="Y460">
        <v>2.3454000000000002</v>
      </c>
    </row>
    <row r="461" spans="1:25" hidden="1">
      <c r="A461" t="s">
        <v>18802</v>
      </c>
      <c r="B461" t="s">
        <v>1997</v>
      </c>
      <c r="C461" t="s">
        <v>1959</v>
      </c>
      <c r="D461" t="s">
        <v>1996</v>
      </c>
      <c r="E461" t="s">
        <v>1380</v>
      </c>
      <c r="F461" t="s">
        <v>598</v>
      </c>
      <c r="G461" t="s">
        <v>478</v>
      </c>
      <c r="H461" t="s">
        <v>600</v>
      </c>
      <c r="I461" t="s">
        <v>601</v>
      </c>
      <c r="J461">
        <v>13.5634</v>
      </c>
      <c r="K461">
        <v>13.923299999999999</v>
      </c>
      <c r="L461">
        <v>14.259</v>
      </c>
      <c r="M461">
        <v>14.5989</v>
      </c>
      <c r="N461">
        <v>14.747400000000001</v>
      </c>
      <c r="O461">
        <v>14.909000000000001</v>
      </c>
      <c r="P461">
        <v>15.075100000000001</v>
      </c>
      <c r="Q461">
        <v>15.2836</v>
      </c>
      <c r="R461">
        <v>15.485099999999999</v>
      </c>
      <c r="S461">
        <v>15.7021</v>
      </c>
      <c r="T461">
        <v>15.941599999999999</v>
      </c>
      <c r="U461">
        <v>16.201699999999999</v>
      </c>
      <c r="V461">
        <v>16.4985</v>
      </c>
      <c r="W461">
        <v>16.792200000000001</v>
      </c>
      <c r="X461">
        <v>17.0396</v>
      </c>
      <c r="Y461">
        <v>17.3049</v>
      </c>
    </row>
    <row r="462" spans="1:25" hidden="1">
      <c r="A462" t="s">
        <v>18802</v>
      </c>
      <c r="B462" t="s">
        <v>1998</v>
      </c>
      <c r="C462" t="s">
        <v>1959</v>
      </c>
      <c r="D462" t="s">
        <v>1996</v>
      </c>
      <c r="E462" t="s">
        <v>1999</v>
      </c>
      <c r="F462" t="s">
        <v>598</v>
      </c>
      <c r="G462" t="s">
        <v>478</v>
      </c>
      <c r="H462" t="s">
        <v>600</v>
      </c>
      <c r="I462" t="s">
        <v>601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</row>
    <row r="463" spans="1:25" hidden="1">
      <c r="A463" t="s">
        <v>18802</v>
      </c>
      <c r="B463" t="s">
        <v>2005</v>
      </c>
      <c r="C463" t="s">
        <v>1959</v>
      </c>
      <c r="D463" t="s">
        <v>2001</v>
      </c>
      <c r="E463" t="s">
        <v>1976</v>
      </c>
      <c r="F463" t="s">
        <v>598</v>
      </c>
      <c r="G463" t="s">
        <v>478</v>
      </c>
      <c r="H463" t="s">
        <v>600</v>
      </c>
      <c r="I463" t="s">
        <v>601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hidden="1">
      <c r="A464" t="s">
        <v>18802</v>
      </c>
      <c r="B464" t="s">
        <v>2007</v>
      </c>
      <c r="C464" t="s">
        <v>1959</v>
      </c>
      <c r="D464" t="s">
        <v>2001</v>
      </c>
      <c r="E464" t="s">
        <v>1966</v>
      </c>
      <c r="F464" t="s">
        <v>598</v>
      </c>
      <c r="G464" t="s">
        <v>478</v>
      </c>
      <c r="H464" t="s">
        <v>600</v>
      </c>
      <c r="I464" t="s">
        <v>601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hidden="1">
      <c r="A465" t="s">
        <v>18802</v>
      </c>
      <c r="B465" t="s">
        <v>2011</v>
      </c>
      <c r="C465" t="s">
        <v>1959</v>
      </c>
      <c r="D465" t="s">
        <v>2012</v>
      </c>
      <c r="E465" t="s">
        <v>2013</v>
      </c>
      <c r="F465" t="s">
        <v>598</v>
      </c>
      <c r="G465" t="s">
        <v>478</v>
      </c>
      <c r="H465" t="s">
        <v>600</v>
      </c>
      <c r="I465" t="s">
        <v>601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18802</v>
      </c>
      <c r="B466" t="s">
        <v>2014</v>
      </c>
      <c r="C466" t="s">
        <v>1959</v>
      </c>
      <c r="D466" t="s">
        <v>2012</v>
      </c>
      <c r="E466" t="s">
        <v>1970</v>
      </c>
      <c r="F466" t="s">
        <v>598</v>
      </c>
      <c r="G466" t="s">
        <v>478</v>
      </c>
      <c r="H466" t="s">
        <v>600</v>
      </c>
      <c r="I466" t="s">
        <v>601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hidden="1">
      <c r="A467" t="s">
        <v>18802</v>
      </c>
      <c r="B467" t="s">
        <v>2015</v>
      </c>
      <c r="C467" t="s">
        <v>1959</v>
      </c>
      <c r="D467" t="s">
        <v>1817</v>
      </c>
      <c r="E467" t="s">
        <v>1973</v>
      </c>
      <c r="F467" t="s">
        <v>598</v>
      </c>
      <c r="G467" t="s">
        <v>478</v>
      </c>
      <c r="H467" t="s">
        <v>600</v>
      </c>
      <c r="I467" t="s">
        <v>601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hidden="1">
      <c r="A468" t="s">
        <v>18802</v>
      </c>
      <c r="B468" t="s">
        <v>2018</v>
      </c>
      <c r="C468" t="s">
        <v>1959</v>
      </c>
      <c r="D468" t="s">
        <v>1817</v>
      </c>
      <c r="E468" t="s">
        <v>1380</v>
      </c>
      <c r="F468" t="s">
        <v>598</v>
      </c>
      <c r="G468" t="s">
        <v>478</v>
      </c>
      <c r="H468" t="s">
        <v>600</v>
      </c>
      <c r="I468" t="s">
        <v>601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hidden="1">
      <c r="A469" t="s">
        <v>18802</v>
      </c>
      <c r="B469" t="s">
        <v>2019</v>
      </c>
      <c r="C469" t="s">
        <v>1959</v>
      </c>
      <c r="D469" t="s">
        <v>1817</v>
      </c>
      <c r="E469" t="s">
        <v>1976</v>
      </c>
      <c r="F469" t="s">
        <v>598</v>
      </c>
      <c r="G469" t="s">
        <v>478</v>
      </c>
      <c r="H469" t="s">
        <v>600</v>
      </c>
      <c r="I469" t="s">
        <v>601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hidden="1">
      <c r="A470" t="s">
        <v>18802</v>
      </c>
      <c r="B470" t="s">
        <v>2020</v>
      </c>
      <c r="C470" t="s">
        <v>1959</v>
      </c>
      <c r="D470" t="s">
        <v>1817</v>
      </c>
      <c r="E470" t="s">
        <v>1999</v>
      </c>
      <c r="F470" t="s">
        <v>598</v>
      </c>
      <c r="G470" t="s">
        <v>478</v>
      </c>
      <c r="H470" t="s">
        <v>600</v>
      </c>
      <c r="I470" t="s">
        <v>601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hidden="1">
      <c r="A471" t="s">
        <v>18802</v>
      </c>
      <c r="B471" t="s">
        <v>2021</v>
      </c>
      <c r="C471" t="s">
        <v>1959</v>
      </c>
      <c r="D471" t="s">
        <v>1817</v>
      </c>
      <c r="E471" t="s">
        <v>2022</v>
      </c>
      <c r="F471" t="s">
        <v>598</v>
      </c>
      <c r="G471" t="s">
        <v>478</v>
      </c>
      <c r="H471" t="s">
        <v>600</v>
      </c>
      <c r="I471" t="s">
        <v>601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hidden="1">
      <c r="A472" t="s">
        <v>18802</v>
      </c>
      <c r="B472" t="s">
        <v>2026</v>
      </c>
      <c r="C472" t="s">
        <v>1959</v>
      </c>
      <c r="D472" t="s">
        <v>1817</v>
      </c>
      <c r="E472" t="s">
        <v>2027</v>
      </c>
      <c r="F472" t="s">
        <v>598</v>
      </c>
      <c r="G472" t="s">
        <v>478</v>
      </c>
      <c r="H472" t="s">
        <v>600</v>
      </c>
      <c r="I472" t="s">
        <v>601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hidden="1">
      <c r="A473" t="s">
        <v>18802</v>
      </c>
      <c r="B473" t="s">
        <v>2028</v>
      </c>
      <c r="C473" t="s">
        <v>1959</v>
      </c>
      <c r="D473" t="s">
        <v>1817</v>
      </c>
      <c r="E473" t="s">
        <v>1966</v>
      </c>
      <c r="F473" t="s">
        <v>598</v>
      </c>
      <c r="G473" t="s">
        <v>478</v>
      </c>
      <c r="H473" t="s">
        <v>600</v>
      </c>
      <c r="I473" t="s">
        <v>601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</row>
    <row r="474" spans="1:25" hidden="1">
      <c r="A474" t="s">
        <v>18802</v>
      </c>
      <c r="B474" t="s">
        <v>2029</v>
      </c>
      <c r="C474" t="s">
        <v>1959</v>
      </c>
      <c r="D474" t="s">
        <v>1817</v>
      </c>
      <c r="E474" t="s">
        <v>1979</v>
      </c>
      <c r="F474" t="s">
        <v>598</v>
      </c>
      <c r="G474" t="s">
        <v>478</v>
      </c>
      <c r="H474" t="s">
        <v>600</v>
      </c>
      <c r="I474" t="s">
        <v>601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hidden="1">
      <c r="A475" t="s">
        <v>18802</v>
      </c>
      <c r="B475" t="s">
        <v>2033</v>
      </c>
      <c r="C475" t="s">
        <v>1959</v>
      </c>
      <c r="D475" t="s">
        <v>648</v>
      </c>
      <c r="E475" t="s">
        <v>973</v>
      </c>
      <c r="F475" t="s">
        <v>598</v>
      </c>
      <c r="G475" t="s">
        <v>478</v>
      </c>
      <c r="H475" t="s">
        <v>600</v>
      </c>
      <c r="I475" t="s">
        <v>601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hidden="1">
      <c r="A476" t="s">
        <v>18802</v>
      </c>
      <c r="B476" t="s">
        <v>2034</v>
      </c>
      <c r="C476" t="s">
        <v>1959</v>
      </c>
      <c r="D476" t="s">
        <v>648</v>
      </c>
      <c r="E476" t="s">
        <v>1973</v>
      </c>
      <c r="F476" t="s">
        <v>598</v>
      </c>
      <c r="G476" t="s">
        <v>478</v>
      </c>
      <c r="H476" t="s">
        <v>600</v>
      </c>
      <c r="I476" t="s">
        <v>601</v>
      </c>
      <c r="J476">
        <v>7.3000000000000001E-3</v>
      </c>
      <c r="K476">
        <v>7.1999999999999998E-3</v>
      </c>
      <c r="L476">
        <v>7.0000000000000001E-3</v>
      </c>
      <c r="M476">
        <v>6.8999999999999999E-3</v>
      </c>
      <c r="N476">
        <v>6.6E-3</v>
      </c>
      <c r="O476">
        <v>6.4000000000000003E-3</v>
      </c>
      <c r="P476">
        <v>6.6E-3</v>
      </c>
      <c r="Q476">
        <v>6.7999999999999996E-3</v>
      </c>
      <c r="R476">
        <v>6.8999999999999999E-3</v>
      </c>
      <c r="S476">
        <v>7.1000000000000004E-3</v>
      </c>
      <c r="T476">
        <v>7.4000000000000003E-3</v>
      </c>
      <c r="U476">
        <v>7.4999999999999997E-3</v>
      </c>
      <c r="V476">
        <v>7.7000000000000002E-3</v>
      </c>
      <c r="W476">
        <v>7.7999999999999996E-3</v>
      </c>
      <c r="X476">
        <v>8.0000000000000002E-3</v>
      </c>
      <c r="Y476">
        <v>8.0999999999999996E-3</v>
      </c>
    </row>
    <row r="477" spans="1:25" hidden="1">
      <c r="A477" t="s">
        <v>18802</v>
      </c>
      <c r="B477" t="s">
        <v>2037</v>
      </c>
      <c r="C477" t="s">
        <v>1959</v>
      </c>
      <c r="D477" t="s">
        <v>648</v>
      </c>
      <c r="E477" t="s">
        <v>646</v>
      </c>
      <c r="F477" t="s">
        <v>598</v>
      </c>
      <c r="G477" t="s">
        <v>478</v>
      </c>
      <c r="H477" t="s">
        <v>600</v>
      </c>
      <c r="I477" t="s">
        <v>601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</row>
    <row r="478" spans="1:25" hidden="1">
      <c r="A478" t="s">
        <v>18802</v>
      </c>
      <c r="B478" t="s">
        <v>2039</v>
      </c>
      <c r="C478" t="s">
        <v>1959</v>
      </c>
      <c r="D478" t="s">
        <v>648</v>
      </c>
      <c r="E478" t="s">
        <v>1378</v>
      </c>
      <c r="F478" t="s">
        <v>598</v>
      </c>
      <c r="G478" t="s">
        <v>478</v>
      </c>
      <c r="H478" t="s">
        <v>600</v>
      </c>
      <c r="I478" t="s">
        <v>601</v>
      </c>
      <c r="J478">
        <v>22.401900000000001</v>
      </c>
      <c r="K478">
        <v>23.3979</v>
      </c>
      <c r="L478">
        <v>24.545100000000001</v>
      </c>
      <c r="M478">
        <v>25.796299999999999</v>
      </c>
      <c r="N478">
        <v>26.780100000000001</v>
      </c>
      <c r="O478">
        <v>27.840900000000001</v>
      </c>
      <c r="P478">
        <v>28.4785</v>
      </c>
      <c r="Q478">
        <v>29.139299999999999</v>
      </c>
      <c r="R478">
        <v>29.538499999999999</v>
      </c>
      <c r="S478">
        <v>29.918099999999999</v>
      </c>
      <c r="T478">
        <v>30.302600000000002</v>
      </c>
      <c r="U478">
        <v>30.755299999999998</v>
      </c>
      <c r="V478">
        <v>31.241</v>
      </c>
      <c r="W478">
        <v>31.714200000000002</v>
      </c>
      <c r="X478">
        <v>32.179400000000001</v>
      </c>
      <c r="Y478">
        <v>32.647500000000001</v>
      </c>
    </row>
    <row r="479" spans="1:25" hidden="1">
      <c r="A479" t="s">
        <v>18802</v>
      </c>
      <c r="B479" t="s">
        <v>2040</v>
      </c>
      <c r="C479" t="s">
        <v>1959</v>
      </c>
      <c r="D479" t="s">
        <v>648</v>
      </c>
      <c r="E479" t="s">
        <v>1962</v>
      </c>
      <c r="F479" t="s">
        <v>598</v>
      </c>
      <c r="G479" t="s">
        <v>478</v>
      </c>
      <c r="H479" t="s">
        <v>600</v>
      </c>
      <c r="I479" t="s">
        <v>601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</row>
    <row r="480" spans="1:25" hidden="1">
      <c r="A480" t="s">
        <v>18802</v>
      </c>
      <c r="B480" t="s">
        <v>2042</v>
      </c>
      <c r="C480" t="s">
        <v>1959</v>
      </c>
      <c r="D480" t="s">
        <v>648</v>
      </c>
      <c r="E480" t="s">
        <v>1380</v>
      </c>
      <c r="F480" t="s">
        <v>598</v>
      </c>
      <c r="G480" t="s">
        <v>478</v>
      </c>
      <c r="H480" t="s">
        <v>600</v>
      </c>
      <c r="I480" t="s">
        <v>601</v>
      </c>
      <c r="J480">
        <v>5.0000000000000001E-4</v>
      </c>
      <c r="K480">
        <v>5.0000000000000001E-4</v>
      </c>
      <c r="L480">
        <v>5.9999999999999995E-4</v>
      </c>
      <c r="M480">
        <v>5.9999999999999995E-4</v>
      </c>
      <c r="N480">
        <v>5.9999999999999995E-4</v>
      </c>
      <c r="O480">
        <v>5.9999999999999995E-4</v>
      </c>
      <c r="P480">
        <v>5.9999999999999995E-4</v>
      </c>
      <c r="Q480">
        <v>5.9999999999999995E-4</v>
      </c>
      <c r="R480">
        <v>5.9999999999999995E-4</v>
      </c>
      <c r="S480">
        <v>5.9999999999999995E-4</v>
      </c>
      <c r="T480">
        <v>5.9999999999999995E-4</v>
      </c>
      <c r="U480">
        <v>6.9999999999999999E-4</v>
      </c>
      <c r="V480">
        <v>6.9999999999999999E-4</v>
      </c>
      <c r="W480">
        <v>6.9999999999999999E-4</v>
      </c>
      <c r="X480">
        <v>6.9999999999999999E-4</v>
      </c>
      <c r="Y480">
        <v>6.9999999999999999E-4</v>
      </c>
    </row>
    <row r="481" spans="1:25" hidden="1">
      <c r="A481" t="s">
        <v>18802</v>
      </c>
      <c r="B481" t="s">
        <v>2055</v>
      </c>
      <c r="C481" t="s">
        <v>1959</v>
      </c>
      <c r="D481" t="s">
        <v>648</v>
      </c>
      <c r="E481" t="s">
        <v>1970</v>
      </c>
      <c r="F481" t="s">
        <v>598</v>
      </c>
      <c r="G481" t="s">
        <v>478</v>
      </c>
      <c r="H481" t="s">
        <v>600</v>
      </c>
      <c r="I481" t="s">
        <v>601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18802</v>
      </c>
      <c r="B482" t="s">
        <v>2056</v>
      </c>
      <c r="C482" t="s">
        <v>1959</v>
      </c>
      <c r="D482" t="s">
        <v>648</v>
      </c>
      <c r="E482" t="s">
        <v>2057</v>
      </c>
      <c r="F482" t="s">
        <v>598</v>
      </c>
      <c r="G482" t="s">
        <v>478</v>
      </c>
      <c r="H482" t="s">
        <v>600</v>
      </c>
      <c r="I482" t="s">
        <v>601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</row>
    <row r="483" spans="1:25" hidden="1">
      <c r="A483" t="s">
        <v>18802</v>
      </c>
      <c r="B483" t="s">
        <v>2058</v>
      </c>
      <c r="C483" t="s">
        <v>1959</v>
      </c>
      <c r="D483" t="s">
        <v>648</v>
      </c>
      <c r="E483" t="s">
        <v>2025</v>
      </c>
      <c r="F483" t="s">
        <v>598</v>
      </c>
      <c r="G483" t="s">
        <v>478</v>
      </c>
      <c r="H483" t="s">
        <v>600</v>
      </c>
      <c r="I483" t="s">
        <v>601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hidden="1">
      <c r="A484" t="s">
        <v>18802</v>
      </c>
      <c r="B484" t="s">
        <v>2059</v>
      </c>
      <c r="C484" t="s">
        <v>1959</v>
      </c>
      <c r="D484" t="s">
        <v>648</v>
      </c>
      <c r="E484" t="s">
        <v>2060</v>
      </c>
      <c r="F484" t="s">
        <v>598</v>
      </c>
      <c r="G484" t="s">
        <v>478</v>
      </c>
      <c r="H484" t="s">
        <v>600</v>
      </c>
      <c r="I484" t="s">
        <v>601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hidden="1">
      <c r="A485" t="s">
        <v>18802</v>
      </c>
      <c r="B485" t="s">
        <v>2061</v>
      </c>
      <c r="C485" t="s">
        <v>1959</v>
      </c>
      <c r="D485" t="s">
        <v>648</v>
      </c>
      <c r="E485" t="s">
        <v>2062</v>
      </c>
      <c r="F485" t="s">
        <v>598</v>
      </c>
      <c r="G485" t="s">
        <v>478</v>
      </c>
      <c r="H485" t="s">
        <v>600</v>
      </c>
      <c r="I485" t="s">
        <v>601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hidden="1">
      <c r="A486" t="s">
        <v>18802</v>
      </c>
      <c r="B486" t="s">
        <v>2067</v>
      </c>
      <c r="C486" t="s">
        <v>1959</v>
      </c>
      <c r="D486" t="s">
        <v>648</v>
      </c>
      <c r="E486" t="s">
        <v>2027</v>
      </c>
      <c r="F486" t="s">
        <v>598</v>
      </c>
      <c r="G486" t="s">
        <v>478</v>
      </c>
      <c r="H486" t="s">
        <v>600</v>
      </c>
      <c r="I486" t="s">
        <v>601</v>
      </c>
      <c r="J486">
        <v>5.9999999999999995E-4</v>
      </c>
      <c r="K486">
        <v>5.9999999999999995E-4</v>
      </c>
      <c r="L486">
        <v>5.9999999999999995E-4</v>
      </c>
      <c r="M486">
        <v>5.9999999999999995E-4</v>
      </c>
      <c r="N486">
        <v>5.0000000000000001E-4</v>
      </c>
      <c r="O486">
        <v>5.0000000000000001E-4</v>
      </c>
      <c r="P486">
        <v>5.0000000000000001E-4</v>
      </c>
      <c r="Q486">
        <v>5.0000000000000001E-4</v>
      </c>
      <c r="R486">
        <v>5.0000000000000001E-4</v>
      </c>
      <c r="S486">
        <v>5.0000000000000001E-4</v>
      </c>
      <c r="T486">
        <v>5.0000000000000001E-4</v>
      </c>
      <c r="U486">
        <v>5.0000000000000001E-4</v>
      </c>
      <c r="V486">
        <v>5.0000000000000001E-4</v>
      </c>
      <c r="W486">
        <v>5.0000000000000001E-4</v>
      </c>
      <c r="X486">
        <v>5.0000000000000001E-4</v>
      </c>
      <c r="Y486">
        <v>5.0000000000000001E-4</v>
      </c>
    </row>
    <row r="487" spans="1:25" hidden="1">
      <c r="A487" t="s">
        <v>18802</v>
      </c>
      <c r="B487" t="s">
        <v>2070</v>
      </c>
      <c r="C487" t="s">
        <v>1959</v>
      </c>
      <c r="D487" t="s">
        <v>648</v>
      </c>
      <c r="E487" t="s">
        <v>2071</v>
      </c>
      <c r="F487" t="s">
        <v>598</v>
      </c>
      <c r="G487" t="s">
        <v>478</v>
      </c>
      <c r="H487" t="s">
        <v>600</v>
      </c>
      <c r="I487" t="s">
        <v>601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hidden="1">
      <c r="A488" t="s">
        <v>18802</v>
      </c>
      <c r="B488" t="s">
        <v>2072</v>
      </c>
      <c r="C488" t="s">
        <v>1959</v>
      </c>
      <c r="D488" t="s">
        <v>648</v>
      </c>
      <c r="E488" t="s">
        <v>1966</v>
      </c>
      <c r="F488" t="s">
        <v>598</v>
      </c>
      <c r="G488" t="s">
        <v>478</v>
      </c>
      <c r="H488" t="s">
        <v>600</v>
      </c>
      <c r="I488" t="s">
        <v>601</v>
      </c>
      <c r="J488">
        <v>5.2900000000000003E-2</v>
      </c>
      <c r="K488">
        <v>5.4300000000000001E-2</v>
      </c>
      <c r="L488">
        <v>5.57E-2</v>
      </c>
      <c r="M488">
        <v>5.7200000000000001E-2</v>
      </c>
      <c r="N488">
        <v>5.8900000000000001E-2</v>
      </c>
      <c r="O488">
        <v>6.0400000000000002E-2</v>
      </c>
      <c r="P488">
        <v>6.25E-2</v>
      </c>
      <c r="Q488">
        <v>6.4399999999999999E-2</v>
      </c>
      <c r="R488">
        <v>6.5199999999999994E-2</v>
      </c>
      <c r="S488">
        <v>6.6000000000000003E-2</v>
      </c>
      <c r="T488">
        <v>6.6699999999999995E-2</v>
      </c>
      <c r="U488">
        <v>6.7599999999999993E-2</v>
      </c>
      <c r="V488">
        <v>6.8400000000000002E-2</v>
      </c>
      <c r="W488">
        <v>6.9199999999999998E-2</v>
      </c>
      <c r="X488">
        <v>7.0000000000000007E-2</v>
      </c>
      <c r="Y488">
        <v>7.0800000000000002E-2</v>
      </c>
    </row>
    <row r="489" spans="1:25" hidden="1">
      <c r="A489" t="s">
        <v>18802</v>
      </c>
      <c r="B489" t="s">
        <v>2073</v>
      </c>
      <c r="C489" t="s">
        <v>1959</v>
      </c>
      <c r="D489" t="s">
        <v>648</v>
      </c>
      <c r="E489" t="s">
        <v>1979</v>
      </c>
      <c r="F489" t="s">
        <v>598</v>
      </c>
      <c r="G489" t="s">
        <v>478</v>
      </c>
      <c r="H489" t="s">
        <v>600</v>
      </c>
      <c r="I489" t="s">
        <v>601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hidden="1">
      <c r="A490" t="s">
        <v>18802</v>
      </c>
      <c r="B490" t="s">
        <v>2078</v>
      </c>
      <c r="C490" t="s">
        <v>2075</v>
      </c>
      <c r="D490" t="s">
        <v>2079</v>
      </c>
      <c r="E490" t="s">
        <v>1378</v>
      </c>
      <c r="F490" t="s">
        <v>598</v>
      </c>
      <c r="G490" t="s">
        <v>478</v>
      </c>
      <c r="H490" t="s">
        <v>600</v>
      </c>
      <c r="I490" t="s">
        <v>601</v>
      </c>
      <c r="J490">
        <v>1.21E-2</v>
      </c>
      <c r="K490">
        <v>1.2200000000000001E-2</v>
      </c>
      <c r="L490">
        <v>1.2E-2</v>
      </c>
      <c r="M490">
        <v>1.18E-2</v>
      </c>
      <c r="N490">
        <v>1.1599999999999999E-2</v>
      </c>
      <c r="O490">
        <v>1.1599999999999999E-2</v>
      </c>
      <c r="P490">
        <v>1.1599999999999999E-2</v>
      </c>
      <c r="Q490">
        <v>1.17E-2</v>
      </c>
      <c r="R490">
        <v>1.18E-2</v>
      </c>
      <c r="S490">
        <v>1.1900000000000001E-2</v>
      </c>
      <c r="T490">
        <v>1.2E-2</v>
      </c>
      <c r="U490">
        <v>1.21E-2</v>
      </c>
      <c r="V490">
        <v>1.2200000000000001E-2</v>
      </c>
      <c r="W490">
        <v>1.24E-2</v>
      </c>
      <c r="X490">
        <v>1.2500000000000001E-2</v>
      </c>
      <c r="Y490">
        <v>1.26E-2</v>
      </c>
    </row>
    <row r="491" spans="1:25" hidden="1">
      <c r="A491" t="s">
        <v>18802</v>
      </c>
      <c r="B491" t="s">
        <v>2085</v>
      </c>
      <c r="C491" t="s">
        <v>2075</v>
      </c>
      <c r="D491" t="s">
        <v>2079</v>
      </c>
      <c r="E491" t="s">
        <v>2086</v>
      </c>
      <c r="F491" t="s">
        <v>598</v>
      </c>
      <c r="G491" t="s">
        <v>478</v>
      </c>
      <c r="H491" t="s">
        <v>600</v>
      </c>
      <c r="I491" t="s">
        <v>601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hidden="1">
      <c r="A492" t="s">
        <v>18802</v>
      </c>
      <c r="B492" t="s">
        <v>2101</v>
      </c>
      <c r="C492" t="s">
        <v>2075</v>
      </c>
      <c r="D492" t="s">
        <v>2090</v>
      </c>
      <c r="E492" t="s">
        <v>2102</v>
      </c>
      <c r="F492" t="s">
        <v>598</v>
      </c>
      <c r="G492" t="s">
        <v>478</v>
      </c>
      <c r="H492" t="s">
        <v>600</v>
      </c>
      <c r="I492" t="s">
        <v>601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hidden="1">
      <c r="A493" t="s">
        <v>18802</v>
      </c>
      <c r="B493" t="s">
        <v>2103</v>
      </c>
      <c r="C493" t="s">
        <v>2075</v>
      </c>
      <c r="D493" t="s">
        <v>648</v>
      </c>
      <c r="E493" t="s">
        <v>973</v>
      </c>
      <c r="F493" t="s">
        <v>598</v>
      </c>
      <c r="G493" t="s">
        <v>478</v>
      </c>
      <c r="H493" t="s">
        <v>600</v>
      </c>
      <c r="I493" t="s">
        <v>601</v>
      </c>
      <c r="J493">
        <v>1E-4</v>
      </c>
      <c r="K493">
        <v>1E-4</v>
      </c>
      <c r="L493">
        <v>1E-4</v>
      </c>
      <c r="M493">
        <v>1E-4</v>
      </c>
      <c r="N493">
        <v>1E-4</v>
      </c>
      <c r="O493">
        <v>1E-4</v>
      </c>
      <c r="P493">
        <v>1E-4</v>
      </c>
      <c r="Q493">
        <v>1E-4</v>
      </c>
      <c r="R493">
        <v>1E-4</v>
      </c>
      <c r="S493">
        <v>1E-4</v>
      </c>
      <c r="T493">
        <v>1E-4</v>
      </c>
      <c r="U493">
        <v>1E-4</v>
      </c>
      <c r="V493">
        <v>1E-4</v>
      </c>
      <c r="W493">
        <v>1E-4</v>
      </c>
      <c r="X493">
        <v>1E-4</v>
      </c>
      <c r="Y493">
        <v>1E-4</v>
      </c>
    </row>
    <row r="494" spans="1:25" hidden="1">
      <c r="A494" t="s">
        <v>18802</v>
      </c>
      <c r="B494" t="s">
        <v>2106</v>
      </c>
      <c r="C494" t="s">
        <v>2075</v>
      </c>
      <c r="D494" t="s">
        <v>648</v>
      </c>
      <c r="E494" t="s">
        <v>1378</v>
      </c>
      <c r="F494" t="s">
        <v>598</v>
      </c>
      <c r="G494" t="s">
        <v>478</v>
      </c>
      <c r="H494" t="s">
        <v>600</v>
      </c>
      <c r="I494" t="s">
        <v>601</v>
      </c>
      <c r="J494">
        <v>0.47320000000000001</v>
      </c>
      <c r="K494">
        <v>0.47110000000000002</v>
      </c>
      <c r="L494">
        <v>0.47089999999999999</v>
      </c>
      <c r="M494">
        <v>0.47720000000000001</v>
      </c>
      <c r="N494">
        <v>0.4728</v>
      </c>
      <c r="O494">
        <v>0.47099999999999997</v>
      </c>
      <c r="P494">
        <v>0.48230000000000001</v>
      </c>
      <c r="Q494">
        <v>0.49909999999999999</v>
      </c>
      <c r="R494">
        <v>0.50690000000000002</v>
      </c>
      <c r="S494">
        <v>0.52170000000000005</v>
      </c>
      <c r="T494">
        <v>0.53610000000000002</v>
      </c>
      <c r="U494">
        <v>0.54549999999999998</v>
      </c>
      <c r="V494">
        <v>0.55620000000000003</v>
      </c>
      <c r="W494">
        <v>0.56659999999999999</v>
      </c>
      <c r="X494">
        <v>0.57730000000000004</v>
      </c>
      <c r="Y494">
        <v>0.5877</v>
      </c>
    </row>
    <row r="495" spans="1:25" hidden="1">
      <c r="A495" t="s">
        <v>18802</v>
      </c>
      <c r="B495" t="s">
        <v>2112</v>
      </c>
      <c r="C495" t="s">
        <v>2075</v>
      </c>
      <c r="D495" t="s">
        <v>648</v>
      </c>
      <c r="E495" t="s">
        <v>2113</v>
      </c>
      <c r="F495" t="s">
        <v>598</v>
      </c>
      <c r="G495" t="s">
        <v>478</v>
      </c>
      <c r="H495" t="s">
        <v>600</v>
      </c>
      <c r="I495" t="s">
        <v>601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hidden="1">
      <c r="A496" t="s">
        <v>18802</v>
      </c>
      <c r="B496" t="s">
        <v>2126</v>
      </c>
      <c r="C496" t="s">
        <v>2116</v>
      </c>
      <c r="D496" t="s">
        <v>2127</v>
      </c>
      <c r="E496" t="s">
        <v>656</v>
      </c>
      <c r="F496" t="s">
        <v>598</v>
      </c>
      <c r="G496" t="s">
        <v>478</v>
      </c>
      <c r="H496" t="s">
        <v>600</v>
      </c>
      <c r="I496" t="s">
        <v>601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hidden="1">
      <c r="A497" t="s">
        <v>18802</v>
      </c>
      <c r="B497" t="s">
        <v>2128</v>
      </c>
      <c r="C497" t="s">
        <v>2116</v>
      </c>
      <c r="D497" t="s">
        <v>648</v>
      </c>
      <c r="E497" t="s">
        <v>656</v>
      </c>
      <c r="F497" t="s">
        <v>598</v>
      </c>
      <c r="G497" t="s">
        <v>478</v>
      </c>
      <c r="H497" t="s">
        <v>600</v>
      </c>
      <c r="I497" t="s">
        <v>601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hidden="1">
      <c r="A498" t="s">
        <v>18802</v>
      </c>
      <c r="B498" t="s">
        <v>2148</v>
      </c>
      <c r="C498" t="s">
        <v>2144</v>
      </c>
      <c r="D498" t="s">
        <v>2147</v>
      </c>
      <c r="E498" t="s">
        <v>1393</v>
      </c>
      <c r="F498" t="s">
        <v>598</v>
      </c>
      <c r="G498" t="s">
        <v>478</v>
      </c>
      <c r="H498" t="s">
        <v>600</v>
      </c>
      <c r="I498" t="s">
        <v>601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hidden="1">
      <c r="A499" t="s">
        <v>18802</v>
      </c>
      <c r="B499" t="s">
        <v>2163</v>
      </c>
      <c r="C499" t="s">
        <v>2154</v>
      </c>
      <c r="D499" t="s">
        <v>1324</v>
      </c>
      <c r="E499" t="s">
        <v>954</v>
      </c>
      <c r="F499" t="s">
        <v>598</v>
      </c>
      <c r="G499" t="s">
        <v>478</v>
      </c>
      <c r="H499" t="s">
        <v>600</v>
      </c>
      <c r="I499" t="s">
        <v>601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hidden="1">
      <c r="A500" t="s">
        <v>18802</v>
      </c>
      <c r="B500" t="s">
        <v>2168</v>
      </c>
      <c r="C500" t="s">
        <v>2154</v>
      </c>
      <c r="D500" t="s">
        <v>1332</v>
      </c>
      <c r="E500" t="s">
        <v>954</v>
      </c>
      <c r="F500" t="s">
        <v>598</v>
      </c>
      <c r="G500" t="s">
        <v>478</v>
      </c>
      <c r="H500" t="s">
        <v>600</v>
      </c>
      <c r="I500" t="s">
        <v>601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18802</v>
      </c>
      <c r="B501" t="s">
        <v>2172</v>
      </c>
      <c r="C501" t="s">
        <v>2154</v>
      </c>
      <c r="D501" t="s">
        <v>1435</v>
      </c>
      <c r="E501" t="s">
        <v>973</v>
      </c>
      <c r="F501" t="s">
        <v>598</v>
      </c>
      <c r="G501" t="s">
        <v>478</v>
      </c>
      <c r="H501" t="s">
        <v>600</v>
      </c>
      <c r="I501" t="s">
        <v>601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hidden="1">
      <c r="A502" t="s">
        <v>18802</v>
      </c>
      <c r="B502" t="s">
        <v>2173</v>
      </c>
      <c r="C502" t="s">
        <v>2154</v>
      </c>
      <c r="D502" t="s">
        <v>1354</v>
      </c>
      <c r="E502" t="s">
        <v>973</v>
      </c>
      <c r="F502" t="s">
        <v>598</v>
      </c>
      <c r="G502" t="s">
        <v>478</v>
      </c>
      <c r="H502" t="s">
        <v>600</v>
      </c>
      <c r="I502" t="s">
        <v>601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18802</v>
      </c>
      <c r="B503" t="s">
        <v>2174</v>
      </c>
      <c r="C503" t="s">
        <v>2154</v>
      </c>
      <c r="D503" t="s">
        <v>1354</v>
      </c>
      <c r="E503" t="s">
        <v>927</v>
      </c>
      <c r="F503" t="s">
        <v>598</v>
      </c>
      <c r="G503" t="s">
        <v>478</v>
      </c>
      <c r="H503" t="s">
        <v>600</v>
      </c>
      <c r="I503" t="s">
        <v>601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18802</v>
      </c>
      <c r="B504" t="s">
        <v>2187</v>
      </c>
      <c r="C504" t="s">
        <v>2154</v>
      </c>
      <c r="D504" t="s">
        <v>648</v>
      </c>
      <c r="E504" t="s">
        <v>920</v>
      </c>
      <c r="F504" t="s">
        <v>598</v>
      </c>
      <c r="G504" t="s">
        <v>478</v>
      </c>
      <c r="H504" t="s">
        <v>600</v>
      </c>
      <c r="I504" t="s">
        <v>601</v>
      </c>
      <c r="J504">
        <v>4.3E-3</v>
      </c>
      <c r="K504">
        <v>4.1999999999999997E-3</v>
      </c>
      <c r="L504">
        <v>4.1999999999999997E-3</v>
      </c>
      <c r="M504">
        <v>4.1999999999999997E-3</v>
      </c>
      <c r="N504">
        <v>4.1999999999999997E-3</v>
      </c>
      <c r="O504">
        <v>4.1000000000000003E-3</v>
      </c>
      <c r="P504">
        <v>4.1999999999999997E-3</v>
      </c>
      <c r="Q504">
        <v>4.3E-3</v>
      </c>
      <c r="R504">
        <v>4.3E-3</v>
      </c>
      <c r="S504">
        <v>4.4000000000000003E-3</v>
      </c>
      <c r="T504">
        <v>4.4000000000000003E-3</v>
      </c>
      <c r="U504">
        <v>4.4000000000000003E-3</v>
      </c>
      <c r="V504">
        <v>4.4999999999999997E-3</v>
      </c>
      <c r="W504">
        <v>4.4999999999999997E-3</v>
      </c>
      <c r="X504">
        <v>4.5999999999999999E-3</v>
      </c>
      <c r="Y504">
        <v>4.5999999999999999E-3</v>
      </c>
    </row>
    <row r="505" spans="1:25" hidden="1">
      <c r="A505" t="s">
        <v>18802</v>
      </c>
      <c r="B505" t="s">
        <v>2188</v>
      </c>
      <c r="C505" t="s">
        <v>2154</v>
      </c>
      <c r="D505" t="s">
        <v>648</v>
      </c>
      <c r="E505" t="s">
        <v>973</v>
      </c>
      <c r="F505" t="s">
        <v>598</v>
      </c>
      <c r="G505" t="s">
        <v>478</v>
      </c>
      <c r="H505" t="s">
        <v>600</v>
      </c>
      <c r="I505" t="s">
        <v>601</v>
      </c>
      <c r="J505">
        <v>1.3826000000000001</v>
      </c>
      <c r="K505">
        <v>1.3469</v>
      </c>
      <c r="L505">
        <v>1.3128</v>
      </c>
      <c r="M505">
        <v>1.3008999999999999</v>
      </c>
      <c r="N505">
        <v>1.2518</v>
      </c>
      <c r="O505">
        <v>1.2101</v>
      </c>
      <c r="P505">
        <v>1.234</v>
      </c>
      <c r="Q505">
        <v>1.2786</v>
      </c>
      <c r="R505">
        <v>1.2979000000000001</v>
      </c>
      <c r="S505">
        <v>1.3453999999999999</v>
      </c>
      <c r="T505">
        <v>1.3915999999999999</v>
      </c>
      <c r="U505">
        <v>1.4169</v>
      </c>
      <c r="V505">
        <v>1.4466000000000001</v>
      </c>
      <c r="W505">
        <v>1.4748000000000001</v>
      </c>
      <c r="X505">
        <v>1.5044999999999999</v>
      </c>
      <c r="Y505">
        <v>1.5327</v>
      </c>
    </row>
    <row r="506" spans="1:25" hidden="1">
      <c r="A506" t="s">
        <v>18802</v>
      </c>
      <c r="B506" t="s">
        <v>2194</v>
      </c>
      <c r="C506" t="s">
        <v>2154</v>
      </c>
      <c r="D506" t="s">
        <v>648</v>
      </c>
      <c r="E506" t="s">
        <v>2195</v>
      </c>
      <c r="F506" t="s">
        <v>598</v>
      </c>
      <c r="G506" t="s">
        <v>478</v>
      </c>
      <c r="H506" t="s">
        <v>600</v>
      </c>
      <c r="I506" t="s">
        <v>601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18802</v>
      </c>
      <c r="B507" t="s">
        <v>2196</v>
      </c>
      <c r="C507" t="s">
        <v>2154</v>
      </c>
      <c r="D507" t="s">
        <v>648</v>
      </c>
      <c r="E507" t="s">
        <v>1393</v>
      </c>
      <c r="F507" t="s">
        <v>598</v>
      </c>
      <c r="G507" t="s">
        <v>478</v>
      </c>
      <c r="H507" t="s">
        <v>600</v>
      </c>
      <c r="I507" t="s">
        <v>601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18802</v>
      </c>
      <c r="B508" t="s">
        <v>2197</v>
      </c>
      <c r="C508" t="s">
        <v>2154</v>
      </c>
      <c r="D508" t="s">
        <v>648</v>
      </c>
      <c r="E508" t="s">
        <v>646</v>
      </c>
      <c r="F508" t="s">
        <v>598</v>
      </c>
      <c r="G508" t="s">
        <v>478</v>
      </c>
      <c r="H508" t="s">
        <v>600</v>
      </c>
      <c r="I508" t="s">
        <v>601</v>
      </c>
      <c r="J508">
        <v>0.18240000000000001</v>
      </c>
      <c r="K508">
        <v>0.17960000000000001</v>
      </c>
      <c r="L508">
        <v>0.1769</v>
      </c>
      <c r="M508">
        <v>0.17280000000000001</v>
      </c>
      <c r="N508">
        <v>0.17100000000000001</v>
      </c>
      <c r="O508">
        <v>0.16819999999999999</v>
      </c>
      <c r="P508">
        <v>0.16919999999999999</v>
      </c>
      <c r="Q508">
        <v>0.17019999999999999</v>
      </c>
      <c r="R508">
        <v>0.17050000000000001</v>
      </c>
      <c r="S508">
        <v>0.17069999999999999</v>
      </c>
      <c r="T508">
        <v>0.1709</v>
      </c>
      <c r="U508">
        <v>0.1711</v>
      </c>
      <c r="V508">
        <v>0.1714</v>
      </c>
      <c r="W508">
        <v>0.1716</v>
      </c>
      <c r="X508">
        <v>0.17199999999999999</v>
      </c>
      <c r="Y508">
        <v>0.1724</v>
      </c>
    </row>
    <row r="509" spans="1:25" hidden="1">
      <c r="A509" t="s">
        <v>18802</v>
      </c>
      <c r="B509" t="s">
        <v>2209</v>
      </c>
      <c r="C509" t="s">
        <v>2154</v>
      </c>
      <c r="D509" t="s">
        <v>648</v>
      </c>
      <c r="E509" t="s">
        <v>1004</v>
      </c>
      <c r="F509" t="s">
        <v>598</v>
      </c>
      <c r="G509" t="s">
        <v>478</v>
      </c>
      <c r="H509" t="s">
        <v>600</v>
      </c>
      <c r="I509" t="s">
        <v>601</v>
      </c>
      <c r="J509">
        <v>5.4000000000000003E-3</v>
      </c>
      <c r="K509">
        <v>5.3E-3</v>
      </c>
      <c r="L509">
        <v>5.1999999999999998E-3</v>
      </c>
      <c r="M509">
        <v>5.1000000000000004E-3</v>
      </c>
      <c r="N509">
        <v>4.8999999999999998E-3</v>
      </c>
      <c r="O509">
        <v>4.7999999999999996E-3</v>
      </c>
      <c r="P509">
        <v>4.8999999999999998E-3</v>
      </c>
      <c r="Q509">
        <v>5.0000000000000001E-3</v>
      </c>
      <c r="R509">
        <v>5.1000000000000004E-3</v>
      </c>
      <c r="S509">
        <v>5.3E-3</v>
      </c>
      <c r="T509">
        <v>5.4999999999999997E-3</v>
      </c>
      <c r="U509">
        <v>5.5999999999999999E-3</v>
      </c>
      <c r="V509">
        <v>5.7000000000000002E-3</v>
      </c>
      <c r="W509">
        <v>5.7999999999999996E-3</v>
      </c>
      <c r="X509">
        <v>5.8999999999999999E-3</v>
      </c>
      <c r="Y509">
        <v>6.0000000000000001E-3</v>
      </c>
    </row>
    <row r="510" spans="1:25">
      <c r="J510">
        <f t="shared" ref="J510:Y510" si="3">SUBTOTAL(109,J205:J509)</f>
        <v>1.8777999999999999</v>
      </c>
      <c r="K510">
        <f t="shared" si="3"/>
        <v>1.8664999999999998</v>
      </c>
      <c r="L510">
        <f t="shared" si="3"/>
        <v>1.8157000000000001</v>
      </c>
      <c r="M510">
        <f t="shared" si="3"/>
        <v>1.8295999999999999</v>
      </c>
      <c r="N510">
        <f t="shared" si="3"/>
        <v>1.8248000000000002</v>
      </c>
      <c r="O510">
        <f t="shared" si="3"/>
        <v>1.8226</v>
      </c>
      <c r="P510">
        <f t="shared" si="3"/>
        <v>1.8938999999999999</v>
      </c>
      <c r="Q510">
        <f t="shared" si="3"/>
        <v>1.9423999999999999</v>
      </c>
      <c r="R510">
        <f t="shared" si="3"/>
        <v>1.9767999999999999</v>
      </c>
      <c r="S510">
        <f t="shared" si="3"/>
        <v>2</v>
      </c>
      <c r="T510">
        <f t="shared" si="3"/>
        <v>2.0159000000000002</v>
      </c>
      <c r="U510">
        <f t="shared" si="3"/>
        <v>2.0159000000000002</v>
      </c>
      <c r="V510">
        <f t="shared" si="3"/>
        <v>2.0159000000000002</v>
      </c>
      <c r="W510">
        <f t="shared" si="3"/>
        <v>2.0159000000000002</v>
      </c>
      <c r="X510">
        <f t="shared" si="3"/>
        <v>2.0159000000000002</v>
      </c>
      <c r="Y510">
        <f t="shared" si="3"/>
        <v>2.0159000000000002</v>
      </c>
    </row>
    <row r="512" spans="1:25">
      <c r="A512" t="s">
        <v>569</v>
      </c>
      <c r="B512" t="s">
        <v>570</v>
      </c>
      <c r="C512" t="s">
        <v>571</v>
      </c>
      <c r="D512" t="s">
        <v>572</v>
      </c>
      <c r="E512" t="s">
        <v>573</v>
      </c>
      <c r="F512" t="s">
        <v>574</v>
      </c>
      <c r="G512" t="s">
        <v>575</v>
      </c>
      <c r="H512" t="s">
        <v>576</v>
      </c>
      <c r="I512" t="s">
        <v>577</v>
      </c>
      <c r="J512" t="s">
        <v>578</v>
      </c>
      <c r="K512" t="s">
        <v>579</v>
      </c>
      <c r="L512" t="s">
        <v>580</v>
      </c>
      <c r="M512" t="s">
        <v>581</v>
      </c>
      <c r="N512" t="s">
        <v>582</v>
      </c>
      <c r="O512" t="s">
        <v>583</v>
      </c>
      <c r="P512" t="s">
        <v>584</v>
      </c>
      <c r="Q512" t="s">
        <v>585</v>
      </c>
      <c r="R512" t="s">
        <v>586</v>
      </c>
      <c r="S512" t="s">
        <v>587</v>
      </c>
      <c r="T512" t="s">
        <v>588</v>
      </c>
      <c r="U512" t="s">
        <v>589</v>
      </c>
      <c r="V512" t="s">
        <v>590</v>
      </c>
      <c r="W512" t="s">
        <v>591</v>
      </c>
      <c r="X512" t="s">
        <v>592</v>
      </c>
      <c r="Y512" t="s">
        <v>593</v>
      </c>
    </row>
    <row r="513" spans="1:25">
      <c r="A513" t="s">
        <v>18803</v>
      </c>
      <c r="B513" t="s">
        <v>616</v>
      </c>
      <c r="C513" t="s">
        <v>595</v>
      </c>
      <c r="D513" t="s">
        <v>596</v>
      </c>
      <c r="E513" t="s">
        <v>617</v>
      </c>
      <c r="F513" t="s">
        <v>598</v>
      </c>
      <c r="G513" t="s">
        <v>478</v>
      </c>
      <c r="H513" t="s">
        <v>600</v>
      </c>
      <c r="I513" t="s">
        <v>601</v>
      </c>
      <c r="J513">
        <v>0.60819999999999996</v>
      </c>
      <c r="K513">
        <v>0.62860000000000005</v>
      </c>
      <c r="L513">
        <v>0.63180000000000003</v>
      </c>
      <c r="M513">
        <v>0.64390000000000003</v>
      </c>
      <c r="N513">
        <v>0.65149999999999997</v>
      </c>
      <c r="O513">
        <v>0.67689999999999995</v>
      </c>
      <c r="P513">
        <v>0.68130000000000002</v>
      </c>
      <c r="Q513">
        <v>0.69220000000000004</v>
      </c>
      <c r="R513">
        <v>0.69969999999999999</v>
      </c>
      <c r="S513">
        <v>0.71779999999999999</v>
      </c>
      <c r="T513">
        <v>0.73809999999999998</v>
      </c>
      <c r="U513">
        <v>0.75290000000000001</v>
      </c>
      <c r="V513">
        <v>0.75929999999999997</v>
      </c>
      <c r="W513">
        <v>0.77549999999999997</v>
      </c>
      <c r="X513">
        <v>0.79179999999999995</v>
      </c>
      <c r="Y513">
        <v>0.80189999999999995</v>
      </c>
    </row>
    <row r="514" spans="1:25">
      <c r="A514" t="s">
        <v>18803</v>
      </c>
      <c r="B514" t="s">
        <v>618</v>
      </c>
      <c r="C514" t="s">
        <v>595</v>
      </c>
      <c r="D514" t="s">
        <v>596</v>
      </c>
      <c r="E514" t="s">
        <v>619</v>
      </c>
      <c r="F514" t="s">
        <v>598</v>
      </c>
      <c r="G514" t="s">
        <v>478</v>
      </c>
      <c r="H514" t="s">
        <v>600</v>
      </c>
      <c r="I514" t="s">
        <v>601</v>
      </c>
      <c r="J514">
        <v>1E-4</v>
      </c>
      <c r="K514">
        <v>1E-4</v>
      </c>
      <c r="L514">
        <v>1E-4</v>
      </c>
      <c r="M514">
        <v>1E-4</v>
      </c>
      <c r="N514">
        <v>1E-4</v>
      </c>
      <c r="O514">
        <v>1E-4</v>
      </c>
      <c r="P514">
        <v>1E-4</v>
      </c>
      <c r="Q514">
        <v>1E-4</v>
      </c>
      <c r="R514">
        <v>1E-4</v>
      </c>
      <c r="S514">
        <v>1E-4</v>
      </c>
      <c r="T514">
        <v>1E-4</v>
      </c>
      <c r="U514">
        <v>1E-4</v>
      </c>
      <c r="V514">
        <v>1E-4</v>
      </c>
      <c r="W514">
        <v>1E-4</v>
      </c>
      <c r="X514">
        <v>1E-4</v>
      </c>
      <c r="Y514">
        <v>1E-4</v>
      </c>
    </row>
    <row r="515" spans="1:25">
      <c r="A515" t="s">
        <v>18803</v>
      </c>
      <c r="B515" t="s">
        <v>620</v>
      </c>
      <c r="C515" t="s">
        <v>595</v>
      </c>
      <c r="D515" t="s">
        <v>621</v>
      </c>
      <c r="E515" t="s">
        <v>597</v>
      </c>
      <c r="F515" t="s">
        <v>598</v>
      </c>
      <c r="G515" t="s">
        <v>478</v>
      </c>
      <c r="H515" t="s">
        <v>600</v>
      </c>
      <c r="I515" t="s">
        <v>601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>
      <c r="A516" t="s">
        <v>18803</v>
      </c>
      <c r="B516" t="s">
        <v>627</v>
      </c>
      <c r="C516" t="s">
        <v>595</v>
      </c>
      <c r="D516" t="s">
        <v>621</v>
      </c>
      <c r="E516" t="s">
        <v>628</v>
      </c>
      <c r="F516" t="s">
        <v>598</v>
      </c>
      <c r="G516" t="s">
        <v>478</v>
      </c>
      <c r="H516" t="s">
        <v>600</v>
      </c>
      <c r="I516" t="s">
        <v>601</v>
      </c>
      <c r="J516">
        <v>6.2700000000000006E-2</v>
      </c>
      <c r="K516">
        <v>6.2700000000000006E-2</v>
      </c>
      <c r="L516">
        <v>6.2700000000000006E-2</v>
      </c>
      <c r="M516">
        <v>6.2700000000000006E-2</v>
      </c>
      <c r="N516">
        <v>6.2700000000000006E-2</v>
      </c>
      <c r="O516">
        <v>6.2700000000000006E-2</v>
      </c>
      <c r="P516">
        <v>6.2700000000000006E-2</v>
      </c>
      <c r="Q516">
        <v>6.2700000000000006E-2</v>
      </c>
      <c r="R516">
        <v>6.2700000000000006E-2</v>
      </c>
      <c r="S516">
        <v>6.2700000000000006E-2</v>
      </c>
      <c r="T516">
        <v>6.2700000000000006E-2</v>
      </c>
      <c r="U516">
        <v>6.2700000000000006E-2</v>
      </c>
      <c r="V516">
        <v>6.2700000000000006E-2</v>
      </c>
      <c r="W516">
        <v>6.2700000000000006E-2</v>
      </c>
      <c r="X516">
        <v>6.2700000000000006E-2</v>
      </c>
      <c r="Y516">
        <v>6.2700000000000006E-2</v>
      </c>
    </row>
    <row r="517" spans="1:25" hidden="1">
      <c r="A517" t="s">
        <v>18803</v>
      </c>
      <c r="B517" t="s">
        <v>655</v>
      </c>
      <c r="C517" t="s">
        <v>651</v>
      </c>
      <c r="D517" t="s">
        <v>596</v>
      </c>
      <c r="E517" t="s">
        <v>656</v>
      </c>
      <c r="F517" t="s">
        <v>598</v>
      </c>
      <c r="G517" t="s">
        <v>478</v>
      </c>
      <c r="H517" t="s">
        <v>600</v>
      </c>
      <c r="I517" t="s">
        <v>601</v>
      </c>
      <c r="J517">
        <v>1.9986999999999999</v>
      </c>
      <c r="K517">
        <v>2.2869999999999999</v>
      </c>
      <c r="L517">
        <v>2.4550999999999998</v>
      </c>
      <c r="M517">
        <v>2.6713</v>
      </c>
      <c r="N517">
        <v>2.8250000000000002</v>
      </c>
      <c r="O517">
        <v>2.9355000000000002</v>
      </c>
      <c r="P517">
        <v>2.9691000000000001</v>
      </c>
      <c r="Q517">
        <v>3.0028000000000001</v>
      </c>
      <c r="R517">
        <v>3.0796000000000001</v>
      </c>
      <c r="S517">
        <v>3.1324999999999998</v>
      </c>
      <c r="T517">
        <v>3.1852999999999998</v>
      </c>
      <c r="U517">
        <v>3.2382</v>
      </c>
      <c r="V517">
        <v>3.2959000000000001</v>
      </c>
      <c r="W517">
        <v>3.2862</v>
      </c>
      <c r="X517">
        <v>3.3102</v>
      </c>
      <c r="Y517">
        <v>3.3007</v>
      </c>
    </row>
    <row r="518" spans="1:25" hidden="1">
      <c r="A518" t="s">
        <v>18803</v>
      </c>
      <c r="B518" t="s">
        <v>657</v>
      </c>
      <c r="C518" t="s">
        <v>651</v>
      </c>
      <c r="D518" t="s">
        <v>621</v>
      </c>
      <c r="E518" t="s">
        <v>597</v>
      </c>
      <c r="F518" t="s">
        <v>598</v>
      </c>
      <c r="G518" t="s">
        <v>478</v>
      </c>
      <c r="H518" t="s">
        <v>600</v>
      </c>
      <c r="I518" t="s">
        <v>601</v>
      </c>
      <c r="J518">
        <v>1.9599999999999999E-2</v>
      </c>
      <c r="K518">
        <v>1.9599999999999999E-2</v>
      </c>
      <c r="L518">
        <v>1.9599999999999999E-2</v>
      </c>
      <c r="M518">
        <v>1.9599999999999999E-2</v>
      </c>
      <c r="N518">
        <v>1.9599999999999999E-2</v>
      </c>
      <c r="O518">
        <v>1.9599999999999999E-2</v>
      </c>
      <c r="P518">
        <v>1.9599999999999999E-2</v>
      </c>
      <c r="Q518">
        <v>1.9599999999999999E-2</v>
      </c>
      <c r="R518">
        <v>1.9599999999999999E-2</v>
      </c>
      <c r="S518">
        <v>1.9599999999999999E-2</v>
      </c>
      <c r="T518">
        <v>1.9599999999999999E-2</v>
      </c>
      <c r="U518">
        <v>1.9599999999999999E-2</v>
      </c>
      <c r="V518">
        <v>1.9599999999999999E-2</v>
      </c>
      <c r="W518">
        <v>1.9599999999999999E-2</v>
      </c>
      <c r="X518">
        <v>1.9599999999999999E-2</v>
      </c>
      <c r="Y518">
        <v>1.9599999999999999E-2</v>
      </c>
    </row>
    <row r="519" spans="1:25" hidden="1">
      <c r="A519" t="s">
        <v>18803</v>
      </c>
      <c r="B519" t="s">
        <v>659</v>
      </c>
      <c r="C519" t="s">
        <v>651</v>
      </c>
      <c r="D519" t="s">
        <v>621</v>
      </c>
      <c r="E519" t="s">
        <v>628</v>
      </c>
      <c r="F519" t="s">
        <v>598</v>
      </c>
      <c r="G519" t="s">
        <v>478</v>
      </c>
      <c r="H519" t="s">
        <v>600</v>
      </c>
      <c r="I519" t="s">
        <v>601</v>
      </c>
      <c r="J519">
        <v>1.1999999999999999E-3</v>
      </c>
      <c r="K519">
        <v>1.1999999999999999E-3</v>
      </c>
      <c r="L519">
        <v>1.1999999999999999E-3</v>
      </c>
      <c r="M519">
        <v>1.1999999999999999E-3</v>
      </c>
      <c r="N519">
        <v>1.1999999999999999E-3</v>
      </c>
      <c r="O519">
        <v>1.1999999999999999E-3</v>
      </c>
      <c r="P519">
        <v>1.1999999999999999E-3</v>
      </c>
      <c r="Q519">
        <v>1.1999999999999999E-3</v>
      </c>
      <c r="R519">
        <v>1.1999999999999999E-3</v>
      </c>
      <c r="S519">
        <v>1.1999999999999999E-3</v>
      </c>
      <c r="T519">
        <v>1.1999999999999999E-3</v>
      </c>
      <c r="U519">
        <v>1.1999999999999999E-3</v>
      </c>
      <c r="V519">
        <v>1.1999999999999999E-3</v>
      </c>
      <c r="W519">
        <v>1.1999999999999999E-3</v>
      </c>
      <c r="X519">
        <v>1.1999999999999999E-3</v>
      </c>
      <c r="Y519">
        <v>1.1999999999999999E-3</v>
      </c>
    </row>
    <row r="520" spans="1:25" hidden="1">
      <c r="A520" t="s">
        <v>18803</v>
      </c>
      <c r="B520" t="s">
        <v>661</v>
      </c>
      <c r="C520" t="s">
        <v>651</v>
      </c>
      <c r="D520" t="s">
        <v>632</v>
      </c>
      <c r="E520" t="s">
        <v>628</v>
      </c>
      <c r="F520" t="s">
        <v>598</v>
      </c>
      <c r="G520" t="s">
        <v>478</v>
      </c>
      <c r="H520" t="s">
        <v>600</v>
      </c>
      <c r="I520" t="s">
        <v>601</v>
      </c>
      <c r="J520">
        <v>5.9999999999999995E-4</v>
      </c>
      <c r="K520">
        <v>5.9999999999999995E-4</v>
      </c>
      <c r="L520">
        <v>5.9999999999999995E-4</v>
      </c>
      <c r="M520">
        <v>5.9999999999999995E-4</v>
      </c>
      <c r="N520">
        <v>5.9999999999999995E-4</v>
      </c>
      <c r="O520">
        <v>5.9999999999999995E-4</v>
      </c>
      <c r="P520">
        <v>5.9999999999999995E-4</v>
      </c>
      <c r="Q520">
        <v>5.9999999999999995E-4</v>
      </c>
      <c r="R520">
        <v>5.9999999999999995E-4</v>
      </c>
      <c r="S520">
        <v>5.9999999999999995E-4</v>
      </c>
      <c r="T520">
        <v>5.9999999999999995E-4</v>
      </c>
      <c r="U520">
        <v>5.9999999999999995E-4</v>
      </c>
      <c r="V520">
        <v>5.9999999999999995E-4</v>
      </c>
      <c r="W520">
        <v>5.9999999999999995E-4</v>
      </c>
      <c r="X520">
        <v>5.9999999999999995E-4</v>
      </c>
      <c r="Y520">
        <v>5.9999999999999995E-4</v>
      </c>
    </row>
    <row r="521" spans="1:25" hidden="1">
      <c r="A521" t="s">
        <v>18803</v>
      </c>
      <c r="B521" t="s">
        <v>662</v>
      </c>
      <c r="C521" t="s">
        <v>651</v>
      </c>
      <c r="D521" t="s">
        <v>648</v>
      </c>
      <c r="E521" t="s">
        <v>649</v>
      </c>
      <c r="F521" t="s">
        <v>598</v>
      </c>
      <c r="G521" t="s">
        <v>478</v>
      </c>
      <c r="H521" t="s">
        <v>600</v>
      </c>
      <c r="I521" t="s">
        <v>601</v>
      </c>
      <c r="J521">
        <v>0.78800000000000003</v>
      </c>
      <c r="K521">
        <v>0.82110000000000005</v>
      </c>
      <c r="L521">
        <v>0.83819999999999995</v>
      </c>
      <c r="M521">
        <v>0.86480000000000001</v>
      </c>
      <c r="N521">
        <v>0.88770000000000004</v>
      </c>
      <c r="O521">
        <v>0.90459999999999996</v>
      </c>
      <c r="P521">
        <v>0.92720000000000002</v>
      </c>
      <c r="Q521">
        <v>0.94479999999999997</v>
      </c>
      <c r="R521">
        <v>0.96450000000000002</v>
      </c>
      <c r="S521">
        <v>0.98570000000000002</v>
      </c>
      <c r="T521">
        <v>1.0052000000000001</v>
      </c>
      <c r="U521">
        <v>1.0275000000000001</v>
      </c>
      <c r="V521">
        <v>1.0494000000000001</v>
      </c>
      <c r="W521">
        <v>1.0658000000000001</v>
      </c>
      <c r="X521">
        <v>1.0863</v>
      </c>
      <c r="Y521">
        <v>1.1055999999999999</v>
      </c>
    </row>
    <row r="522" spans="1:25" hidden="1">
      <c r="A522" t="s">
        <v>18803</v>
      </c>
      <c r="B522" t="s">
        <v>677</v>
      </c>
      <c r="C522" t="s">
        <v>664</v>
      </c>
      <c r="D522" t="s">
        <v>671</v>
      </c>
      <c r="E522" t="s">
        <v>678</v>
      </c>
      <c r="F522" t="s">
        <v>598</v>
      </c>
      <c r="G522" t="s">
        <v>478</v>
      </c>
      <c r="H522" t="s">
        <v>600</v>
      </c>
      <c r="I522" t="s">
        <v>601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18803</v>
      </c>
      <c r="B523" t="s">
        <v>693</v>
      </c>
      <c r="C523" t="s">
        <v>664</v>
      </c>
      <c r="D523" t="s">
        <v>621</v>
      </c>
      <c r="E523" t="s">
        <v>678</v>
      </c>
      <c r="F523" t="s">
        <v>598</v>
      </c>
      <c r="G523" t="s">
        <v>478</v>
      </c>
      <c r="H523" t="s">
        <v>600</v>
      </c>
      <c r="I523" t="s">
        <v>601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18803</v>
      </c>
      <c r="B524" t="s">
        <v>760</v>
      </c>
      <c r="C524" t="s">
        <v>729</v>
      </c>
      <c r="D524" t="s">
        <v>621</v>
      </c>
      <c r="E524" t="s">
        <v>649</v>
      </c>
      <c r="F524" t="s">
        <v>598</v>
      </c>
      <c r="G524" t="s">
        <v>478</v>
      </c>
      <c r="H524" t="s">
        <v>600</v>
      </c>
      <c r="I524" t="s">
        <v>601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18803</v>
      </c>
      <c r="B525" t="s">
        <v>761</v>
      </c>
      <c r="C525" t="s">
        <v>729</v>
      </c>
      <c r="D525" t="s">
        <v>621</v>
      </c>
      <c r="E525" t="s">
        <v>597</v>
      </c>
      <c r="F525" t="s">
        <v>598</v>
      </c>
      <c r="G525" t="s">
        <v>478</v>
      </c>
      <c r="H525" t="s">
        <v>600</v>
      </c>
      <c r="I525" t="s">
        <v>601</v>
      </c>
      <c r="J525">
        <v>2.9999999999999997E-4</v>
      </c>
      <c r="K525">
        <v>2.9999999999999997E-4</v>
      </c>
      <c r="L525">
        <v>2.9999999999999997E-4</v>
      </c>
      <c r="M525">
        <v>2.9999999999999997E-4</v>
      </c>
      <c r="N525">
        <v>2.9999999999999997E-4</v>
      </c>
      <c r="O525">
        <v>2.9999999999999997E-4</v>
      </c>
      <c r="P525">
        <v>2.9999999999999997E-4</v>
      </c>
      <c r="Q525">
        <v>2.9999999999999997E-4</v>
      </c>
      <c r="R525">
        <v>2.9999999999999997E-4</v>
      </c>
      <c r="S525">
        <v>2.9999999999999997E-4</v>
      </c>
      <c r="T525">
        <v>2.9999999999999997E-4</v>
      </c>
      <c r="U525">
        <v>2.9999999999999997E-4</v>
      </c>
      <c r="V525">
        <v>2.9999999999999997E-4</v>
      </c>
      <c r="W525">
        <v>2.9999999999999997E-4</v>
      </c>
      <c r="X525">
        <v>2.9999999999999997E-4</v>
      </c>
      <c r="Y525">
        <v>2.9999999999999997E-4</v>
      </c>
    </row>
    <row r="526" spans="1:25" hidden="1">
      <c r="A526" t="s">
        <v>18803</v>
      </c>
      <c r="B526" t="s">
        <v>769</v>
      </c>
      <c r="C526" t="s">
        <v>729</v>
      </c>
      <c r="D526" t="s">
        <v>621</v>
      </c>
      <c r="E526" t="s">
        <v>626</v>
      </c>
      <c r="F526" t="s">
        <v>598</v>
      </c>
      <c r="G526" t="s">
        <v>478</v>
      </c>
      <c r="H526" t="s">
        <v>600</v>
      </c>
      <c r="I526" t="s">
        <v>601</v>
      </c>
      <c r="J526">
        <v>2.7000000000000001E-3</v>
      </c>
      <c r="K526">
        <v>2.7000000000000001E-3</v>
      </c>
      <c r="L526">
        <v>2.7000000000000001E-3</v>
      </c>
      <c r="M526">
        <v>2.7000000000000001E-3</v>
      </c>
      <c r="N526">
        <v>2.7000000000000001E-3</v>
      </c>
      <c r="O526">
        <v>2.7000000000000001E-3</v>
      </c>
      <c r="P526">
        <v>2.7000000000000001E-3</v>
      </c>
      <c r="Q526">
        <v>2.7000000000000001E-3</v>
      </c>
      <c r="R526">
        <v>2.7000000000000001E-3</v>
      </c>
      <c r="S526">
        <v>2.7000000000000001E-3</v>
      </c>
      <c r="T526">
        <v>2.7000000000000001E-3</v>
      </c>
      <c r="U526">
        <v>2.7000000000000001E-3</v>
      </c>
      <c r="V526">
        <v>2.7000000000000001E-3</v>
      </c>
      <c r="W526">
        <v>2.7000000000000001E-3</v>
      </c>
      <c r="X526">
        <v>2.7000000000000001E-3</v>
      </c>
      <c r="Y526">
        <v>2.7000000000000001E-3</v>
      </c>
    </row>
    <row r="527" spans="1:25" hidden="1">
      <c r="A527" t="s">
        <v>18803</v>
      </c>
      <c r="B527" t="s">
        <v>770</v>
      </c>
      <c r="C527" t="s">
        <v>729</v>
      </c>
      <c r="D527" t="s">
        <v>621</v>
      </c>
      <c r="E527" t="s">
        <v>628</v>
      </c>
      <c r="F527" t="s">
        <v>598</v>
      </c>
      <c r="G527" t="s">
        <v>478</v>
      </c>
      <c r="H527" t="s">
        <v>600</v>
      </c>
      <c r="I527" t="s">
        <v>601</v>
      </c>
      <c r="J527">
        <v>8.2699999999999996E-2</v>
      </c>
      <c r="K527">
        <v>8.2699999999999996E-2</v>
      </c>
      <c r="L527">
        <v>8.2699999999999996E-2</v>
      </c>
      <c r="M527">
        <v>8.2699999999999996E-2</v>
      </c>
      <c r="N527">
        <v>8.2699999999999996E-2</v>
      </c>
      <c r="O527">
        <v>8.2699999999999996E-2</v>
      </c>
      <c r="P527">
        <v>8.2699999999999996E-2</v>
      </c>
      <c r="Q527">
        <v>8.2699999999999996E-2</v>
      </c>
      <c r="R527">
        <v>8.2699999999999996E-2</v>
      </c>
      <c r="S527">
        <v>8.2699999999999996E-2</v>
      </c>
      <c r="T527">
        <v>8.2699999999999996E-2</v>
      </c>
      <c r="U527">
        <v>8.2699999999999996E-2</v>
      </c>
      <c r="V527">
        <v>8.2699999999999996E-2</v>
      </c>
      <c r="W527">
        <v>8.2699999999999996E-2</v>
      </c>
      <c r="X527">
        <v>8.2699999999999996E-2</v>
      </c>
      <c r="Y527">
        <v>8.2699999999999996E-2</v>
      </c>
    </row>
    <row r="528" spans="1:25" hidden="1">
      <c r="A528" t="s">
        <v>18803</v>
      </c>
      <c r="B528" t="s">
        <v>785</v>
      </c>
      <c r="C528" t="s">
        <v>729</v>
      </c>
      <c r="D528" t="s">
        <v>640</v>
      </c>
      <c r="E528" t="s">
        <v>597</v>
      </c>
      <c r="F528" t="s">
        <v>598</v>
      </c>
      <c r="G528" t="s">
        <v>478</v>
      </c>
      <c r="H528" t="s">
        <v>600</v>
      </c>
      <c r="I528" t="s">
        <v>601</v>
      </c>
      <c r="J528">
        <v>7.3999999999999996E-2</v>
      </c>
      <c r="K528">
        <v>7.3999999999999996E-2</v>
      </c>
      <c r="L528">
        <v>7.3999999999999996E-2</v>
      </c>
      <c r="M528">
        <v>7.3999999999999996E-2</v>
      </c>
      <c r="N528">
        <v>7.3999999999999996E-2</v>
      </c>
      <c r="O528">
        <v>7.3999999999999996E-2</v>
      </c>
      <c r="P528">
        <v>7.3999999999999996E-2</v>
      </c>
      <c r="Q528">
        <v>7.3999999999999996E-2</v>
      </c>
      <c r="R528">
        <v>7.3999999999999996E-2</v>
      </c>
      <c r="S528">
        <v>7.3999999999999996E-2</v>
      </c>
      <c r="T528">
        <v>7.3999999999999996E-2</v>
      </c>
      <c r="U528">
        <v>7.3999999999999996E-2</v>
      </c>
      <c r="V528">
        <v>7.3999999999999996E-2</v>
      </c>
      <c r="W528">
        <v>7.3999999999999996E-2</v>
      </c>
      <c r="X528">
        <v>7.3999999999999996E-2</v>
      </c>
      <c r="Y528">
        <v>7.3999999999999996E-2</v>
      </c>
    </row>
    <row r="529" spans="1:25" hidden="1">
      <c r="A529" t="s">
        <v>18803</v>
      </c>
      <c r="B529" t="s">
        <v>791</v>
      </c>
      <c r="C529" t="s">
        <v>729</v>
      </c>
      <c r="D529" t="s">
        <v>640</v>
      </c>
      <c r="E529" t="s">
        <v>619</v>
      </c>
      <c r="F529" t="s">
        <v>598</v>
      </c>
      <c r="G529" t="s">
        <v>478</v>
      </c>
      <c r="H529" t="s">
        <v>600</v>
      </c>
      <c r="I529" t="s">
        <v>601</v>
      </c>
      <c r="J529">
        <v>5.0000000000000001E-4</v>
      </c>
      <c r="K529">
        <v>5.0000000000000001E-4</v>
      </c>
      <c r="L529">
        <v>5.0000000000000001E-4</v>
      </c>
      <c r="M529">
        <v>5.0000000000000001E-4</v>
      </c>
      <c r="N529">
        <v>5.0000000000000001E-4</v>
      </c>
      <c r="O529">
        <v>5.0000000000000001E-4</v>
      </c>
      <c r="P529">
        <v>5.0000000000000001E-4</v>
      </c>
      <c r="Q529">
        <v>5.0000000000000001E-4</v>
      </c>
      <c r="R529">
        <v>5.0000000000000001E-4</v>
      </c>
      <c r="S529">
        <v>5.0000000000000001E-4</v>
      </c>
      <c r="T529">
        <v>5.0000000000000001E-4</v>
      </c>
      <c r="U529">
        <v>5.0000000000000001E-4</v>
      </c>
      <c r="V529">
        <v>5.0000000000000001E-4</v>
      </c>
      <c r="W529">
        <v>5.0000000000000001E-4</v>
      </c>
      <c r="X529">
        <v>5.0000000000000001E-4</v>
      </c>
      <c r="Y529">
        <v>5.0000000000000001E-4</v>
      </c>
    </row>
    <row r="530" spans="1:25" hidden="1">
      <c r="A530" t="s">
        <v>18803</v>
      </c>
      <c r="B530" t="s">
        <v>795</v>
      </c>
      <c r="C530" t="s">
        <v>729</v>
      </c>
      <c r="D530" t="s">
        <v>648</v>
      </c>
      <c r="E530" t="s">
        <v>597</v>
      </c>
      <c r="F530" t="s">
        <v>598</v>
      </c>
      <c r="G530" t="s">
        <v>478</v>
      </c>
      <c r="H530" t="s">
        <v>600</v>
      </c>
      <c r="I530" t="s">
        <v>601</v>
      </c>
      <c r="J530">
        <v>1.1659999999999999</v>
      </c>
      <c r="K530">
        <v>1.1658999999999999</v>
      </c>
      <c r="L530">
        <v>1.1657</v>
      </c>
      <c r="M530">
        <v>1.1657999999999999</v>
      </c>
      <c r="N530">
        <v>1.1657999999999999</v>
      </c>
      <c r="O530">
        <v>1.1657</v>
      </c>
      <c r="P530">
        <v>1.1657999999999999</v>
      </c>
      <c r="Q530">
        <v>1.1657999999999999</v>
      </c>
      <c r="R530">
        <v>1.1657</v>
      </c>
      <c r="S530">
        <v>1.1657</v>
      </c>
      <c r="T530">
        <v>1.1657999999999999</v>
      </c>
      <c r="U530">
        <v>1.1657999999999999</v>
      </c>
      <c r="V530">
        <v>1.1658999999999999</v>
      </c>
      <c r="W530">
        <v>1.1660999999999999</v>
      </c>
      <c r="X530">
        <v>1.1660999999999999</v>
      </c>
      <c r="Y530">
        <v>1.1661999999999999</v>
      </c>
    </row>
    <row r="531" spans="1:25" hidden="1">
      <c r="A531" t="s">
        <v>18803</v>
      </c>
      <c r="B531" t="s">
        <v>796</v>
      </c>
      <c r="C531" t="s">
        <v>729</v>
      </c>
      <c r="D531" t="s">
        <v>648</v>
      </c>
      <c r="E531" t="s">
        <v>642</v>
      </c>
      <c r="F531" t="s">
        <v>598</v>
      </c>
      <c r="G531" t="s">
        <v>478</v>
      </c>
      <c r="H531" t="s">
        <v>600</v>
      </c>
      <c r="I531" t="s">
        <v>601</v>
      </c>
      <c r="J531">
        <v>7.0000000000000001E-3</v>
      </c>
      <c r="K531">
        <v>7.0000000000000001E-3</v>
      </c>
      <c r="L531">
        <v>7.0000000000000001E-3</v>
      </c>
      <c r="M531">
        <v>7.0000000000000001E-3</v>
      </c>
      <c r="N531">
        <v>7.0000000000000001E-3</v>
      </c>
      <c r="O531">
        <v>7.0000000000000001E-3</v>
      </c>
      <c r="P531">
        <v>7.0000000000000001E-3</v>
      </c>
      <c r="Q531">
        <v>7.0000000000000001E-3</v>
      </c>
      <c r="R531">
        <v>7.0000000000000001E-3</v>
      </c>
      <c r="S531">
        <v>7.0000000000000001E-3</v>
      </c>
      <c r="T531">
        <v>7.0000000000000001E-3</v>
      </c>
      <c r="U531">
        <v>7.0000000000000001E-3</v>
      </c>
      <c r="V531">
        <v>7.0000000000000001E-3</v>
      </c>
      <c r="W531">
        <v>7.0000000000000001E-3</v>
      </c>
      <c r="X531">
        <v>7.0000000000000001E-3</v>
      </c>
      <c r="Y531">
        <v>7.0000000000000001E-3</v>
      </c>
    </row>
    <row r="532" spans="1:25" hidden="1">
      <c r="A532" t="s">
        <v>18803</v>
      </c>
      <c r="B532" t="s">
        <v>801</v>
      </c>
      <c r="C532" t="s">
        <v>729</v>
      </c>
      <c r="D532" t="s">
        <v>648</v>
      </c>
      <c r="E532" t="s">
        <v>619</v>
      </c>
      <c r="F532" t="s">
        <v>598</v>
      </c>
      <c r="G532" t="s">
        <v>478</v>
      </c>
      <c r="H532" t="s">
        <v>600</v>
      </c>
      <c r="I532" t="s">
        <v>601</v>
      </c>
      <c r="J532">
        <v>8.1000000000000003E-2</v>
      </c>
      <c r="K532">
        <v>8.8499999999999995E-2</v>
      </c>
      <c r="L532">
        <v>8.8499999999999995E-2</v>
      </c>
      <c r="M532">
        <v>8.8499999999999995E-2</v>
      </c>
      <c r="N532">
        <v>8.8499999999999995E-2</v>
      </c>
      <c r="O532">
        <v>8.8499999999999995E-2</v>
      </c>
      <c r="P532">
        <v>8.8499999999999995E-2</v>
      </c>
      <c r="Q532">
        <v>8.8499999999999995E-2</v>
      </c>
      <c r="R532">
        <v>8.8499999999999995E-2</v>
      </c>
      <c r="S532">
        <v>8.8499999999999995E-2</v>
      </c>
      <c r="T532">
        <v>8.8499999999999995E-2</v>
      </c>
      <c r="U532">
        <v>8.8499999999999995E-2</v>
      </c>
      <c r="V532">
        <v>8.8499999999999995E-2</v>
      </c>
      <c r="W532">
        <v>8.1000000000000003E-2</v>
      </c>
      <c r="X532">
        <v>8.1000000000000003E-2</v>
      </c>
      <c r="Y532">
        <v>8.1000000000000003E-2</v>
      </c>
    </row>
    <row r="533" spans="1:25" hidden="1">
      <c r="A533" t="s">
        <v>18803</v>
      </c>
      <c r="B533" t="s">
        <v>802</v>
      </c>
      <c r="C533" t="s">
        <v>729</v>
      </c>
      <c r="D533" t="s">
        <v>648</v>
      </c>
      <c r="E533" t="s">
        <v>676</v>
      </c>
      <c r="F533" t="s">
        <v>598</v>
      </c>
      <c r="G533" t="s">
        <v>478</v>
      </c>
      <c r="H533" t="s">
        <v>600</v>
      </c>
      <c r="I533" t="s">
        <v>601</v>
      </c>
      <c r="J533">
        <v>9.5399999999999999E-2</v>
      </c>
      <c r="K533">
        <v>9.5399999999999999E-2</v>
      </c>
      <c r="L533">
        <v>9.5399999999999999E-2</v>
      </c>
      <c r="M533">
        <v>9.5399999999999999E-2</v>
      </c>
      <c r="N533">
        <v>9.5399999999999999E-2</v>
      </c>
      <c r="O533">
        <v>9.5399999999999999E-2</v>
      </c>
      <c r="P533">
        <v>9.5399999999999999E-2</v>
      </c>
      <c r="Q533">
        <v>9.5399999999999999E-2</v>
      </c>
      <c r="R533">
        <v>9.5399999999999999E-2</v>
      </c>
      <c r="S533">
        <v>9.5399999999999999E-2</v>
      </c>
      <c r="T533">
        <v>9.5399999999999999E-2</v>
      </c>
      <c r="U533">
        <v>9.5399999999999999E-2</v>
      </c>
      <c r="V533">
        <v>9.5399999999999999E-2</v>
      </c>
      <c r="W533">
        <v>9.5399999999999999E-2</v>
      </c>
      <c r="X533">
        <v>9.5399999999999999E-2</v>
      </c>
      <c r="Y533">
        <v>9.5399999999999999E-2</v>
      </c>
    </row>
    <row r="534" spans="1:25" hidden="1">
      <c r="A534" t="s">
        <v>18803</v>
      </c>
      <c r="B534" t="s">
        <v>822</v>
      </c>
      <c r="C534" t="s">
        <v>804</v>
      </c>
      <c r="D534" t="s">
        <v>621</v>
      </c>
      <c r="E534" t="s">
        <v>603</v>
      </c>
      <c r="F534" t="s">
        <v>598</v>
      </c>
      <c r="G534" t="s">
        <v>478</v>
      </c>
      <c r="H534" t="s">
        <v>600</v>
      </c>
      <c r="I534" t="s">
        <v>601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18803</v>
      </c>
      <c r="B535" t="s">
        <v>830</v>
      </c>
      <c r="C535" t="s">
        <v>804</v>
      </c>
      <c r="D535" t="s">
        <v>828</v>
      </c>
      <c r="E535" t="s">
        <v>628</v>
      </c>
      <c r="F535" t="s">
        <v>831</v>
      </c>
      <c r="G535" t="s">
        <v>478</v>
      </c>
      <c r="H535" t="s">
        <v>600</v>
      </c>
      <c r="I535" t="s">
        <v>601</v>
      </c>
      <c r="J535">
        <v>4.2200000000000001E-2</v>
      </c>
      <c r="K535">
        <v>2.3300000000000001E-2</v>
      </c>
      <c r="L535">
        <v>2.1299999999999999E-2</v>
      </c>
      <c r="M535">
        <v>2.0500000000000001E-2</v>
      </c>
      <c r="N535">
        <v>2.0199999999999999E-2</v>
      </c>
      <c r="O535">
        <v>1.9900000000000001E-2</v>
      </c>
      <c r="P535">
        <v>1.9800000000000002E-2</v>
      </c>
      <c r="Q535">
        <v>1.9400000000000001E-2</v>
      </c>
      <c r="R535">
        <v>1.9199999999999998E-2</v>
      </c>
      <c r="S535">
        <v>1.89E-2</v>
      </c>
      <c r="T535">
        <v>1.8499999999999999E-2</v>
      </c>
      <c r="U535">
        <v>1.7999999999999999E-2</v>
      </c>
      <c r="V535">
        <v>1.7399999999999999E-2</v>
      </c>
      <c r="W535">
        <v>1.6799999999999999E-2</v>
      </c>
      <c r="X535">
        <v>1.61E-2</v>
      </c>
      <c r="Y535">
        <v>1.54E-2</v>
      </c>
    </row>
    <row r="536" spans="1:25" hidden="1">
      <c r="A536" t="s">
        <v>18803</v>
      </c>
      <c r="B536" t="s">
        <v>832</v>
      </c>
      <c r="C536" t="s">
        <v>804</v>
      </c>
      <c r="D536" t="s">
        <v>828</v>
      </c>
      <c r="E536" t="s">
        <v>628</v>
      </c>
      <c r="F536" t="s">
        <v>833</v>
      </c>
      <c r="G536" t="s">
        <v>478</v>
      </c>
      <c r="H536" t="s">
        <v>600</v>
      </c>
      <c r="I536" t="s">
        <v>601</v>
      </c>
      <c r="J536">
        <v>3.7400000000000003E-2</v>
      </c>
      <c r="K536">
        <v>3.5400000000000001E-2</v>
      </c>
      <c r="L536">
        <v>3.3399999999999999E-2</v>
      </c>
      <c r="M536">
        <v>3.1300000000000001E-2</v>
      </c>
      <c r="N536">
        <v>2.93E-2</v>
      </c>
      <c r="O536">
        <v>2.7400000000000001E-2</v>
      </c>
      <c r="P536">
        <v>2.5499999999999998E-2</v>
      </c>
      <c r="Q536">
        <v>2.3400000000000001E-2</v>
      </c>
      <c r="R536">
        <v>2.1700000000000001E-2</v>
      </c>
      <c r="S536">
        <v>1.9900000000000001E-2</v>
      </c>
      <c r="T536">
        <v>1.8499999999999999E-2</v>
      </c>
      <c r="U536">
        <v>1.72E-2</v>
      </c>
      <c r="V536">
        <v>1.5699999999999999E-2</v>
      </c>
      <c r="W536">
        <v>1.4500000000000001E-2</v>
      </c>
      <c r="X536">
        <v>1.34E-2</v>
      </c>
      <c r="Y536">
        <v>1.2500000000000001E-2</v>
      </c>
    </row>
    <row r="537" spans="1:25" hidden="1">
      <c r="A537" t="s">
        <v>18803</v>
      </c>
      <c r="B537" t="s">
        <v>842</v>
      </c>
      <c r="C537" t="s">
        <v>841</v>
      </c>
      <c r="D537" t="s">
        <v>596</v>
      </c>
      <c r="E537" t="s">
        <v>597</v>
      </c>
      <c r="F537" t="s">
        <v>598</v>
      </c>
      <c r="G537" t="s">
        <v>478</v>
      </c>
      <c r="H537" t="s">
        <v>600</v>
      </c>
      <c r="I537" t="s">
        <v>601</v>
      </c>
      <c r="J537">
        <v>3.2500000000000001E-2</v>
      </c>
      <c r="K537">
        <v>3.3099999999999997E-2</v>
      </c>
      <c r="L537">
        <v>3.3599999999999998E-2</v>
      </c>
      <c r="M537">
        <v>3.4200000000000001E-2</v>
      </c>
      <c r="N537">
        <v>3.4500000000000003E-2</v>
      </c>
      <c r="O537">
        <v>3.4799999999999998E-2</v>
      </c>
      <c r="P537">
        <v>3.5200000000000002E-2</v>
      </c>
      <c r="Q537">
        <v>3.5299999999999998E-2</v>
      </c>
      <c r="R537">
        <v>3.5499999999999997E-2</v>
      </c>
      <c r="S537">
        <v>3.5499999999999997E-2</v>
      </c>
      <c r="T537">
        <v>3.5499999999999997E-2</v>
      </c>
      <c r="U537">
        <v>3.5299999999999998E-2</v>
      </c>
      <c r="V537">
        <v>3.5499999999999997E-2</v>
      </c>
      <c r="W537">
        <v>3.5499999999999997E-2</v>
      </c>
      <c r="X537">
        <v>3.5700000000000003E-2</v>
      </c>
      <c r="Y537">
        <v>3.5900000000000001E-2</v>
      </c>
    </row>
    <row r="538" spans="1:25" hidden="1">
      <c r="A538" t="s">
        <v>18803</v>
      </c>
      <c r="B538" t="s">
        <v>844</v>
      </c>
      <c r="C538" t="s">
        <v>841</v>
      </c>
      <c r="D538" t="s">
        <v>596</v>
      </c>
      <c r="E538" t="s">
        <v>603</v>
      </c>
      <c r="F538" t="s">
        <v>598</v>
      </c>
      <c r="G538" t="s">
        <v>478</v>
      </c>
      <c r="H538" t="s">
        <v>600</v>
      </c>
      <c r="I538" t="s">
        <v>601</v>
      </c>
      <c r="J538">
        <v>1.6000000000000001E-3</v>
      </c>
      <c r="K538">
        <v>1.6000000000000001E-3</v>
      </c>
      <c r="L538">
        <v>1.6000000000000001E-3</v>
      </c>
      <c r="M538">
        <v>1.6000000000000001E-3</v>
      </c>
      <c r="N538">
        <v>1.6000000000000001E-3</v>
      </c>
      <c r="O538">
        <v>1.6000000000000001E-3</v>
      </c>
      <c r="P538">
        <v>1.6000000000000001E-3</v>
      </c>
      <c r="Q538">
        <v>1.6000000000000001E-3</v>
      </c>
      <c r="R538">
        <v>1.6000000000000001E-3</v>
      </c>
      <c r="S538">
        <v>1.6000000000000001E-3</v>
      </c>
      <c r="T538">
        <v>1.6000000000000001E-3</v>
      </c>
      <c r="U538">
        <v>1.6000000000000001E-3</v>
      </c>
      <c r="V538">
        <v>1.6000000000000001E-3</v>
      </c>
      <c r="W538">
        <v>1.6000000000000001E-3</v>
      </c>
      <c r="X538">
        <v>1.6000000000000001E-3</v>
      </c>
      <c r="Y538">
        <v>1.6000000000000001E-3</v>
      </c>
    </row>
    <row r="539" spans="1:25" hidden="1">
      <c r="A539" t="s">
        <v>18803</v>
      </c>
      <c r="B539" t="s">
        <v>845</v>
      </c>
      <c r="C539" t="s">
        <v>841</v>
      </c>
      <c r="D539" t="s">
        <v>596</v>
      </c>
      <c r="E539" t="s">
        <v>605</v>
      </c>
      <c r="F539" t="s">
        <v>598</v>
      </c>
      <c r="G539" t="s">
        <v>478</v>
      </c>
      <c r="H539" t="s">
        <v>600</v>
      </c>
      <c r="I539" t="s">
        <v>601</v>
      </c>
      <c r="J539">
        <v>2.0000000000000001E-4</v>
      </c>
      <c r="K539">
        <v>2.0000000000000001E-4</v>
      </c>
      <c r="L539">
        <v>2.0000000000000001E-4</v>
      </c>
      <c r="M539">
        <v>2.0000000000000001E-4</v>
      </c>
      <c r="N539">
        <v>2.0000000000000001E-4</v>
      </c>
      <c r="O539">
        <v>2.0000000000000001E-4</v>
      </c>
      <c r="P539">
        <v>2.0000000000000001E-4</v>
      </c>
      <c r="Q539">
        <v>2.0000000000000001E-4</v>
      </c>
      <c r="R539">
        <v>2.0000000000000001E-4</v>
      </c>
      <c r="S539">
        <v>2.0000000000000001E-4</v>
      </c>
      <c r="T539">
        <v>2.0000000000000001E-4</v>
      </c>
      <c r="U539">
        <v>2.0000000000000001E-4</v>
      </c>
      <c r="V539">
        <v>2.0000000000000001E-4</v>
      </c>
      <c r="W539">
        <v>2.0000000000000001E-4</v>
      </c>
      <c r="X539">
        <v>2.0000000000000001E-4</v>
      </c>
      <c r="Y539">
        <v>2.0000000000000001E-4</v>
      </c>
    </row>
    <row r="540" spans="1:25" hidden="1">
      <c r="A540" t="s">
        <v>18803</v>
      </c>
      <c r="B540" t="s">
        <v>852</v>
      </c>
      <c r="C540" t="s">
        <v>841</v>
      </c>
      <c r="D540" t="s">
        <v>596</v>
      </c>
      <c r="E540" t="s">
        <v>619</v>
      </c>
      <c r="F540" t="s">
        <v>598</v>
      </c>
      <c r="G540" t="s">
        <v>478</v>
      </c>
      <c r="H540" t="s">
        <v>600</v>
      </c>
      <c r="I540" t="s">
        <v>601</v>
      </c>
      <c r="J540">
        <v>2.0999999999999999E-3</v>
      </c>
      <c r="K540">
        <v>2.0999999999999999E-3</v>
      </c>
      <c r="L540">
        <v>2.0999999999999999E-3</v>
      </c>
      <c r="M540">
        <v>2.0999999999999999E-3</v>
      </c>
      <c r="N540">
        <v>2.0999999999999999E-3</v>
      </c>
      <c r="O540">
        <v>2.0999999999999999E-3</v>
      </c>
      <c r="P540">
        <v>2.0999999999999999E-3</v>
      </c>
      <c r="Q540">
        <v>2.0999999999999999E-3</v>
      </c>
      <c r="R540">
        <v>2.0999999999999999E-3</v>
      </c>
      <c r="S540">
        <v>2.0999999999999999E-3</v>
      </c>
      <c r="T540">
        <v>2.0999999999999999E-3</v>
      </c>
      <c r="U540">
        <v>2.0999999999999999E-3</v>
      </c>
      <c r="V540">
        <v>2.0999999999999999E-3</v>
      </c>
      <c r="W540">
        <v>2.0999999999999999E-3</v>
      </c>
      <c r="X540">
        <v>2.0999999999999999E-3</v>
      </c>
      <c r="Y540">
        <v>2.0999999999999999E-3</v>
      </c>
    </row>
    <row r="541" spans="1:25" hidden="1">
      <c r="A541" t="s">
        <v>18803</v>
      </c>
      <c r="B541" t="s">
        <v>854</v>
      </c>
      <c r="C541" t="s">
        <v>841</v>
      </c>
      <c r="D541" t="s">
        <v>596</v>
      </c>
      <c r="E541" t="s">
        <v>669</v>
      </c>
      <c r="F541" t="s">
        <v>598</v>
      </c>
      <c r="G541" t="s">
        <v>478</v>
      </c>
      <c r="H541" t="s">
        <v>600</v>
      </c>
      <c r="I541" t="s">
        <v>601</v>
      </c>
      <c r="J541">
        <v>1.9800000000000002E-2</v>
      </c>
      <c r="K541">
        <v>1.9800000000000002E-2</v>
      </c>
      <c r="L541">
        <v>1.9800000000000002E-2</v>
      </c>
      <c r="M541">
        <v>1.9800000000000002E-2</v>
      </c>
      <c r="N541">
        <v>1.9800000000000002E-2</v>
      </c>
      <c r="O541">
        <v>1.9800000000000002E-2</v>
      </c>
      <c r="P541">
        <v>1.9800000000000002E-2</v>
      </c>
      <c r="Q541">
        <v>1.9800000000000002E-2</v>
      </c>
      <c r="R541">
        <v>1.9800000000000002E-2</v>
      </c>
      <c r="S541">
        <v>1.9800000000000002E-2</v>
      </c>
      <c r="T541">
        <v>1.9800000000000002E-2</v>
      </c>
      <c r="U541">
        <v>1.9800000000000002E-2</v>
      </c>
      <c r="V541">
        <v>1.9800000000000002E-2</v>
      </c>
      <c r="W541">
        <v>1.9800000000000002E-2</v>
      </c>
      <c r="X541">
        <v>1.9800000000000002E-2</v>
      </c>
      <c r="Y541">
        <v>1.9800000000000002E-2</v>
      </c>
    </row>
    <row r="542" spans="1:25" hidden="1">
      <c r="A542" t="s">
        <v>18803</v>
      </c>
      <c r="B542" t="s">
        <v>862</v>
      </c>
      <c r="C542" t="s">
        <v>841</v>
      </c>
      <c r="D542" t="s">
        <v>756</v>
      </c>
      <c r="E542" t="s">
        <v>597</v>
      </c>
      <c r="F542" t="s">
        <v>598</v>
      </c>
      <c r="G542" t="s">
        <v>478</v>
      </c>
      <c r="H542" t="s">
        <v>600</v>
      </c>
      <c r="I542" t="s">
        <v>601</v>
      </c>
      <c r="J542">
        <v>3.2500000000000001E-2</v>
      </c>
      <c r="K542">
        <v>3.3000000000000002E-2</v>
      </c>
      <c r="L542">
        <v>3.3500000000000002E-2</v>
      </c>
      <c r="M542">
        <v>3.4099999999999998E-2</v>
      </c>
      <c r="N542">
        <v>3.4500000000000003E-2</v>
      </c>
      <c r="O542">
        <v>3.4799999999999998E-2</v>
      </c>
      <c r="P542">
        <v>3.5099999999999999E-2</v>
      </c>
      <c r="Q542">
        <v>3.5200000000000002E-2</v>
      </c>
      <c r="R542">
        <v>3.5299999999999998E-2</v>
      </c>
      <c r="S542">
        <v>3.5400000000000001E-2</v>
      </c>
      <c r="T542">
        <v>3.5299999999999998E-2</v>
      </c>
      <c r="U542">
        <v>3.5200000000000002E-2</v>
      </c>
      <c r="V542">
        <v>3.5200000000000002E-2</v>
      </c>
      <c r="W542">
        <v>3.5400000000000001E-2</v>
      </c>
      <c r="X542">
        <v>3.5700000000000003E-2</v>
      </c>
      <c r="Y542">
        <v>3.5799999999999998E-2</v>
      </c>
    </row>
    <row r="543" spans="1:25" hidden="1">
      <c r="A543" t="s">
        <v>18803</v>
      </c>
      <c r="B543" t="s">
        <v>865</v>
      </c>
      <c r="C543" t="s">
        <v>841</v>
      </c>
      <c r="D543" t="s">
        <v>866</v>
      </c>
      <c r="E543" t="s">
        <v>597</v>
      </c>
      <c r="F543" t="s">
        <v>598</v>
      </c>
      <c r="G543" t="s">
        <v>478</v>
      </c>
      <c r="H543" t="s">
        <v>600</v>
      </c>
      <c r="I543" t="s">
        <v>601</v>
      </c>
      <c r="J543">
        <v>1.46E-2</v>
      </c>
      <c r="K543">
        <v>1.4800000000000001E-2</v>
      </c>
      <c r="L543">
        <v>1.4999999999999999E-2</v>
      </c>
      <c r="M543">
        <v>1.5299999999999999E-2</v>
      </c>
      <c r="N543">
        <v>1.55E-2</v>
      </c>
      <c r="O543">
        <v>1.5599999999999999E-2</v>
      </c>
      <c r="P543">
        <v>1.5800000000000002E-2</v>
      </c>
      <c r="Q543">
        <v>1.5800000000000002E-2</v>
      </c>
      <c r="R543">
        <v>1.5900000000000001E-2</v>
      </c>
      <c r="S543">
        <v>1.5900000000000001E-2</v>
      </c>
      <c r="T543">
        <v>1.5900000000000001E-2</v>
      </c>
      <c r="U543">
        <v>1.5800000000000002E-2</v>
      </c>
      <c r="V543">
        <v>1.5800000000000002E-2</v>
      </c>
      <c r="W543">
        <v>1.5900000000000001E-2</v>
      </c>
      <c r="X543">
        <v>1.6E-2</v>
      </c>
      <c r="Y543">
        <v>1.61E-2</v>
      </c>
    </row>
    <row r="544" spans="1:25" hidden="1">
      <c r="A544" t="s">
        <v>18803</v>
      </c>
      <c r="B544" t="s">
        <v>870</v>
      </c>
      <c r="C544" t="s">
        <v>841</v>
      </c>
      <c r="D544" t="s">
        <v>621</v>
      </c>
      <c r="E544" t="s">
        <v>603</v>
      </c>
      <c r="F544" t="s">
        <v>598</v>
      </c>
      <c r="G544" t="s">
        <v>478</v>
      </c>
      <c r="H544" t="s">
        <v>600</v>
      </c>
      <c r="I544" t="s">
        <v>601</v>
      </c>
      <c r="J544">
        <v>2.0000000000000001E-4</v>
      </c>
      <c r="K544">
        <v>2.0000000000000001E-4</v>
      </c>
      <c r="L544">
        <v>2.0000000000000001E-4</v>
      </c>
      <c r="M544">
        <v>2.0000000000000001E-4</v>
      </c>
      <c r="N544">
        <v>2.0000000000000001E-4</v>
      </c>
      <c r="O544">
        <v>2.0000000000000001E-4</v>
      </c>
      <c r="P544">
        <v>2.0000000000000001E-4</v>
      </c>
      <c r="Q544">
        <v>2.0000000000000001E-4</v>
      </c>
      <c r="R544">
        <v>2.0000000000000001E-4</v>
      </c>
      <c r="S544">
        <v>2.0000000000000001E-4</v>
      </c>
      <c r="T544">
        <v>2.0000000000000001E-4</v>
      </c>
      <c r="U544">
        <v>2.0000000000000001E-4</v>
      </c>
      <c r="V544">
        <v>2.0000000000000001E-4</v>
      </c>
      <c r="W544">
        <v>2.0000000000000001E-4</v>
      </c>
      <c r="X544">
        <v>2.0000000000000001E-4</v>
      </c>
      <c r="Y544">
        <v>2.0000000000000001E-4</v>
      </c>
    </row>
    <row r="545" spans="1:25" hidden="1">
      <c r="A545" t="s">
        <v>18803</v>
      </c>
      <c r="B545" t="s">
        <v>876</v>
      </c>
      <c r="C545" t="s">
        <v>841</v>
      </c>
      <c r="D545" t="s">
        <v>621</v>
      </c>
      <c r="E545" t="s">
        <v>628</v>
      </c>
      <c r="F545" t="s">
        <v>598</v>
      </c>
      <c r="G545" t="s">
        <v>478</v>
      </c>
      <c r="H545" t="s">
        <v>600</v>
      </c>
      <c r="I545" t="s">
        <v>601</v>
      </c>
      <c r="J545">
        <v>1.5E-3</v>
      </c>
      <c r="K545">
        <v>1.5E-3</v>
      </c>
      <c r="L545">
        <v>1.5E-3</v>
      </c>
      <c r="M545">
        <v>1.5E-3</v>
      </c>
      <c r="N545">
        <v>1.5E-3</v>
      </c>
      <c r="O545">
        <v>1.5E-3</v>
      </c>
      <c r="P545">
        <v>1.5E-3</v>
      </c>
      <c r="Q545">
        <v>1.1000000000000001E-3</v>
      </c>
      <c r="R545">
        <v>1.1000000000000001E-3</v>
      </c>
      <c r="S545">
        <v>1.1000000000000001E-3</v>
      </c>
      <c r="T545">
        <v>1.1000000000000001E-3</v>
      </c>
      <c r="U545">
        <v>1.1000000000000001E-3</v>
      </c>
      <c r="V545">
        <v>1.1000000000000001E-3</v>
      </c>
      <c r="W545">
        <v>1.1000000000000001E-3</v>
      </c>
      <c r="X545">
        <v>1.1000000000000001E-3</v>
      </c>
      <c r="Y545">
        <v>1.1000000000000001E-3</v>
      </c>
    </row>
    <row r="546" spans="1:25" hidden="1">
      <c r="A546" t="s">
        <v>18803</v>
      </c>
      <c r="B546" t="s">
        <v>898</v>
      </c>
      <c r="C546" t="s">
        <v>841</v>
      </c>
      <c r="D546" t="s">
        <v>640</v>
      </c>
      <c r="E546" t="s">
        <v>656</v>
      </c>
      <c r="F546" t="s">
        <v>598</v>
      </c>
      <c r="G546" t="s">
        <v>478</v>
      </c>
      <c r="H546" t="s">
        <v>600</v>
      </c>
      <c r="I546" t="s">
        <v>601</v>
      </c>
      <c r="J546">
        <v>3.5999999999999999E-3</v>
      </c>
      <c r="K546">
        <v>3.5999999999999999E-3</v>
      </c>
      <c r="L546">
        <v>3.5999999999999999E-3</v>
      </c>
      <c r="M546">
        <v>3.5999999999999999E-3</v>
      </c>
      <c r="N546">
        <v>3.5999999999999999E-3</v>
      </c>
      <c r="O546">
        <v>3.5999999999999999E-3</v>
      </c>
      <c r="P546">
        <v>3.5999999999999999E-3</v>
      </c>
      <c r="Q546">
        <v>3.5999999999999999E-3</v>
      </c>
      <c r="R546">
        <v>3.5999999999999999E-3</v>
      </c>
      <c r="S546">
        <v>3.5999999999999999E-3</v>
      </c>
      <c r="T546">
        <v>3.5999999999999999E-3</v>
      </c>
      <c r="U546">
        <v>3.5999999999999999E-3</v>
      </c>
      <c r="V546">
        <v>3.5999999999999999E-3</v>
      </c>
      <c r="W546">
        <v>3.5999999999999999E-3</v>
      </c>
      <c r="X546">
        <v>3.5999999999999999E-3</v>
      </c>
      <c r="Y546">
        <v>3.5999999999999999E-3</v>
      </c>
    </row>
    <row r="547" spans="1:25" hidden="1">
      <c r="A547" t="s">
        <v>18803</v>
      </c>
      <c r="B547" t="s">
        <v>901</v>
      </c>
      <c r="C547" t="s">
        <v>841</v>
      </c>
      <c r="D547" t="s">
        <v>648</v>
      </c>
      <c r="E547" t="s">
        <v>649</v>
      </c>
      <c r="F547" t="s">
        <v>598</v>
      </c>
      <c r="G547" t="s">
        <v>478</v>
      </c>
      <c r="H547" t="s">
        <v>600</v>
      </c>
      <c r="I547" t="s">
        <v>601</v>
      </c>
      <c r="J547">
        <v>6.9999999999999999E-4</v>
      </c>
      <c r="K547">
        <v>6.9999999999999999E-4</v>
      </c>
      <c r="L547">
        <v>6.9999999999999999E-4</v>
      </c>
      <c r="M547">
        <v>6.9999999999999999E-4</v>
      </c>
      <c r="N547">
        <v>6.9999999999999999E-4</v>
      </c>
      <c r="O547">
        <v>6.9999999999999999E-4</v>
      </c>
      <c r="P547">
        <v>6.9999999999999999E-4</v>
      </c>
      <c r="Q547">
        <v>6.9999999999999999E-4</v>
      </c>
      <c r="R547">
        <v>6.9999999999999999E-4</v>
      </c>
      <c r="S547">
        <v>6.9999999999999999E-4</v>
      </c>
      <c r="T547">
        <v>6.9999999999999999E-4</v>
      </c>
      <c r="U547">
        <v>6.9999999999999999E-4</v>
      </c>
      <c r="V547">
        <v>6.9999999999999999E-4</v>
      </c>
      <c r="W547">
        <v>6.9999999999999999E-4</v>
      </c>
      <c r="X547">
        <v>6.9999999999999999E-4</v>
      </c>
      <c r="Y547">
        <v>6.9999999999999999E-4</v>
      </c>
    </row>
    <row r="548" spans="1:25" hidden="1">
      <c r="A548" t="s">
        <v>18803</v>
      </c>
      <c r="B548" t="s">
        <v>902</v>
      </c>
      <c r="C548" t="s">
        <v>841</v>
      </c>
      <c r="D548" t="s">
        <v>648</v>
      </c>
      <c r="E548" t="s">
        <v>597</v>
      </c>
      <c r="F548" t="s">
        <v>598</v>
      </c>
      <c r="G548" t="s">
        <v>478</v>
      </c>
      <c r="H548" t="s">
        <v>600</v>
      </c>
      <c r="I548" t="s">
        <v>601</v>
      </c>
      <c r="J548">
        <v>0.20399999999999999</v>
      </c>
      <c r="K548">
        <v>0.2069</v>
      </c>
      <c r="L548">
        <v>0.21010000000000001</v>
      </c>
      <c r="M548">
        <v>0.21410000000000001</v>
      </c>
      <c r="N548">
        <v>0.21659999999999999</v>
      </c>
      <c r="O548">
        <v>0.21840000000000001</v>
      </c>
      <c r="P548">
        <v>0.22</v>
      </c>
      <c r="Q548">
        <v>0.22109999999999999</v>
      </c>
      <c r="R548">
        <v>0.22170000000000001</v>
      </c>
      <c r="S548">
        <v>0.222</v>
      </c>
      <c r="T548">
        <v>0.22159999999999999</v>
      </c>
      <c r="U548">
        <v>0.22059999999999999</v>
      </c>
      <c r="V548">
        <v>0.22159999999999999</v>
      </c>
      <c r="W548">
        <v>0.2218</v>
      </c>
      <c r="X548">
        <v>0.22309999999999999</v>
      </c>
      <c r="Y548">
        <v>0.22420000000000001</v>
      </c>
    </row>
    <row r="549" spans="1:25" hidden="1">
      <c r="A549" t="s">
        <v>18803</v>
      </c>
      <c r="B549" t="s">
        <v>912</v>
      </c>
      <c r="C549" t="s">
        <v>841</v>
      </c>
      <c r="D549" t="s">
        <v>648</v>
      </c>
      <c r="E549" t="s">
        <v>676</v>
      </c>
      <c r="F549" t="s">
        <v>598</v>
      </c>
      <c r="G549" t="s">
        <v>478</v>
      </c>
      <c r="H549" t="s">
        <v>600</v>
      </c>
      <c r="I549" t="s">
        <v>601</v>
      </c>
      <c r="J549">
        <v>3.6200000000000003E-2</v>
      </c>
      <c r="K549">
        <v>3.6200000000000003E-2</v>
      </c>
      <c r="L549">
        <v>3.6200000000000003E-2</v>
      </c>
      <c r="M549">
        <v>3.6200000000000003E-2</v>
      </c>
      <c r="N549">
        <v>3.6200000000000003E-2</v>
      </c>
      <c r="O549">
        <v>3.6200000000000003E-2</v>
      </c>
      <c r="P549">
        <v>3.6200000000000003E-2</v>
      </c>
      <c r="Q549">
        <v>3.6200000000000003E-2</v>
      </c>
      <c r="R549">
        <v>3.6200000000000003E-2</v>
      </c>
      <c r="S549">
        <v>3.6200000000000003E-2</v>
      </c>
      <c r="T549">
        <v>3.6200000000000003E-2</v>
      </c>
      <c r="U549">
        <v>3.6200000000000003E-2</v>
      </c>
      <c r="V549">
        <v>3.6200000000000003E-2</v>
      </c>
      <c r="W549">
        <v>3.6200000000000003E-2</v>
      </c>
      <c r="X549">
        <v>3.6200000000000003E-2</v>
      </c>
      <c r="Y549">
        <v>3.6200000000000003E-2</v>
      </c>
    </row>
    <row r="550" spans="1:25" hidden="1">
      <c r="A550" t="s">
        <v>18803</v>
      </c>
      <c r="B550" t="s">
        <v>916</v>
      </c>
      <c r="C550" t="s">
        <v>914</v>
      </c>
      <c r="D550" t="s">
        <v>621</v>
      </c>
      <c r="E550" t="s">
        <v>628</v>
      </c>
      <c r="F550" t="s">
        <v>598</v>
      </c>
      <c r="G550" t="s">
        <v>478</v>
      </c>
      <c r="H550" t="s">
        <v>600</v>
      </c>
      <c r="I550" t="s">
        <v>601</v>
      </c>
      <c r="J550">
        <v>8.8852E-2</v>
      </c>
      <c r="K550">
        <v>8.9007199999999995E-2</v>
      </c>
      <c r="L550">
        <v>8.9007199999999995E-2</v>
      </c>
      <c r="M550">
        <v>8.9007199999999995E-2</v>
      </c>
      <c r="N550">
        <v>8.9162400000000003E-2</v>
      </c>
      <c r="O550">
        <v>7.7444799999999994E-2</v>
      </c>
      <c r="P550">
        <v>7.7600000000000002E-2</v>
      </c>
      <c r="Q550">
        <v>7.7755199999999997E-2</v>
      </c>
      <c r="R550">
        <v>7.7910400000000005E-2</v>
      </c>
      <c r="S550">
        <v>7.7910400000000005E-2</v>
      </c>
      <c r="T550">
        <v>7.8065599999999999E-2</v>
      </c>
      <c r="U550">
        <v>7.8143199999999996E-2</v>
      </c>
      <c r="V550">
        <v>7.8220799999999993E-2</v>
      </c>
      <c r="W550">
        <v>7.8298400000000004E-2</v>
      </c>
      <c r="X550">
        <v>7.8376000000000001E-2</v>
      </c>
      <c r="Y550">
        <v>7.8608800000000006E-2</v>
      </c>
    </row>
    <row r="551" spans="1:25" hidden="1">
      <c r="A551" t="s">
        <v>18803</v>
      </c>
      <c r="B551" t="s">
        <v>917</v>
      </c>
      <c r="C551" t="s">
        <v>914</v>
      </c>
      <c r="D551" t="s">
        <v>918</v>
      </c>
      <c r="E551" t="s">
        <v>649</v>
      </c>
      <c r="F551" t="s">
        <v>598</v>
      </c>
      <c r="G551" t="s">
        <v>478</v>
      </c>
      <c r="H551" t="s">
        <v>600</v>
      </c>
      <c r="I551" t="s">
        <v>601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18803</v>
      </c>
      <c r="B552" t="s">
        <v>924</v>
      </c>
      <c r="C552" t="s">
        <v>925</v>
      </c>
      <c r="D552" t="s">
        <v>926</v>
      </c>
      <c r="E552" t="s">
        <v>927</v>
      </c>
      <c r="F552" t="s">
        <v>598</v>
      </c>
      <c r="G552" t="s">
        <v>478</v>
      </c>
      <c r="H552" t="s">
        <v>600</v>
      </c>
      <c r="I552" t="s">
        <v>601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18803</v>
      </c>
      <c r="B553" t="s">
        <v>947</v>
      </c>
      <c r="C553" t="s">
        <v>943</v>
      </c>
      <c r="D553" t="s">
        <v>946</v>
      </c>
      <c r="E553" t="s">
        <v>948</v>
      </c>
      <c r="F553" t="s">
        <v>598</v>
      </c>
      <c r="G553" t="s">
        <v>478</v>
      </c>
      <c r="H553" t="s">
        <v>600</v>
      </c>
      <c r="I553" t="s">
        <v>601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18803</v>
      </c>
      <c r="B554" t="s">
        <v>951</v>
      </c>
      <c r="C554" t="s">
        <v>943</v>
      </c>
      <c r="D554" t="s">
        <v>934</v>
      </c>
      <c r="E554" t="s">
        <v>937</v>
      </c>
      <c r="F554" t="s">
        <v>598</v>
      </c>
      <c r="G554" t="s">
        <v>478</v>
      </c>
      <c r="H554" t="s">
        <v>600</v>
      </c>
      <c r="I554" t="s">
        <v>601</v>
      </c>
      <c r="J554">
        <v>6.3E-3</v>
      </c>
      <c r="K554">
        <v>6.3E-3</v>
      </c>
      <c r="L554">
        <v>6.3E-3</v>
      </c>
      <c r="M554">
        <v>6.4000000000000003E-3</v>
      </c>
      <c r="N554">
        <v>6.4000000000000003E-3</v>
      </c>
      <c r="O554">
        <v>6.4999999999999997E-3</v>
      </c>
      <c r="P554">
        <v>6.4999999999999997E-3</v>
      </c>
      <c r="Q554">
        <v>6.6E-3</v>
      </c>
      <c r="R554">
        <v>6.6E-3</v>
      </c>
      <c r="S554">
        <v>6.6E-3</v>
      </c>
      <c r="T554">
        <v>6.7000000000000002E-3</v>
      </c>
      <c r="U554">
        <v>6.7000000000000002E-3</v>
      </c>
      <c r="V554">
        <v>6.7000000000000002E-3</v>
      </c>
      <c r="W554">
        <v>6.7999999999999996E-3</v>
      </c>
      <c r="X554">
        <v>6.7999999999999996E-3</v>
      </c>
      <c r="Y554">
        <v>6.7999999999999996E-3</v>
      </c>
    </row>
    <row r="555" spans="1:25" hidden="1">
      <c r="A555" t="s">
        <v>18803</v>
      </c>
      <c r="B555" t="s">
        <v>959</v>
      </c>
      <c r="C555" t="s">
        <v>956</v>
      </c>
      <c r="D555" t="s">
        <v>931</v>
      </c>
      <c r="E555" t="s">
        <v>613</v>
      </c>
      <c r="F555" t="s">
        <v>598</v>
      </c>
      <c r="G555" t="s">
        <v>478</v>
      </c>
      <c r="H555" t="s">
        <v>600</v>
      </c>
      <c r="I555" t="s">
        <v>601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18803</v>
      </c>
      <c r="B556" t="s">
        <v>960</v>
      </c>
      <c r="C556" t="s">
        <v>956</v>
      </c>
      <c r="D556" t="s">
        <v>931</v>
      </c>
      <c r="E556" t="s">
        <v>961</v>
      </c>
      <c r="F556" t="s">
        <v>598</v>
      </c>
      <c r="G556" t="s">
        <v>478</v>
      </c>
      <c r="H556" t="s">
        <v>600</v>
      </c>
      <c r="I556" t="s">
        <v>601</v>
      </c>
      <c r="J556">
        <v>1E-4</v>
      </c>
      <c r="K556">
        <v>1E-4</v>
      </c>
      <c r="L556">
        <v>1E-4</v>
      </c>
      <c r="M556">
        <v>1E-4</v>
      </c>
      <c r="N556">
        <v>1E-4</v>
      </c>
      <c r="O556">
        <v>1E-4</v>
      </c>
      <c r="P556">
        <v>1E-4</v>
      </c>
      <c r="Q556">
        <v>1E-4</v>
      </c>
      <c r="R556">
        <v>1E-4</v>
      </c>
      <c r="S556">
        <v>1E-4</v>
      </c>
      <c r="T556">
        <v>1E-4</v>
      </c>
      <c r="U556">
        <v>1E-4</v>
      </c>
      <c r="V556">
        <v>1E-4</v>
      </c>
      <c r="W556">
        <v>1E-4</v>
      </c>
      <c r="X556">
        <v>1E-4</v>
      </c>
      <c r="Y556">
        <v>1E-4</v>
      </c>
    </row>
    <row r="557" spans="1:25" hidden="1">
      <c r="A557" t="s">
        <v>18803</v>
      </c>
      <c r="B557" t="s">
        <v>968</v>
      </c>
      <c r="C557" t="s">
        <v>956</v>
      </c>
      <c r="D557" t="s">
        <v>648</v>
      </c>
      <c r="E557" t="s">
        <v>961</v>
      </c>
      <c r="F557" t="s">
        <v>598</v>
      </c>
      <c r="G557" t="s">
        <v>478</v>
      </c>
      <c r="H557" t="s">
        <v>600</v>
      </c>
      <c r="I557" t="s">
        <v>601</v>
      </c>
      <c r="J557">
        <v>1.4E-3</v>
      </c>
      <c r="K557">
        <v>1.4E-3</v>
      </c>
      <c r="L557">
        <v>1.4E-3</v>
      </c>
      <c r="M557">
        <v>1.4E-3</v>
      </c>
      <c r="N557">
        <v>1.4E-3</v>
      </c>
      <c r="O557">
        <v>1.4E-3</v>
      </c>
      <c r="P557">
        <v>1.4E-3</v>
      </c>
      <c r="Q557">
        <v>1.5E-3</v>
      </c>
      <c r="R557">
        <v>1.5E-3</v>
      </c>
      <c r="S557">
        <v>1.5E-3</v>
      </c>
      <c r="T557">
        <v>1.5E-3</v>
      </c>
      <c r="U557">
        <v>1.5E-3</v>
      </c>
      <c r="V557">
        <v>1.5E-3</v>
      </c>
      <c r="W557">
        <v>1.5E-3</v>
      </c>
      <c r="X557">
        <v>1.5E-3</v>
      </c>
      <c r="Y557">
        <v>1.5E-3</v>
      </c>
    </row>
    <row r="558" spans="1:25" hidden="1">
      <c r="A558" t="s">
        <v>18803</v>
      </c>
      <c r="B558" t="s">
        <v>974</v>
      </c>
      <c r="C558" t="s">
        <v>971</v>
      </c>
      <c r="D558" t="s">
        <v>648</v>
      </c>
      <c r="E558" t="s">
        <v>973</v>
      </c>
      <c r="F558" t="s">
        <v>598</v>
      </c>
      <c r="G558" t="s">
        <v>478</v>
      </c>
      <c r="H558" t="s">
        <v>600</v>
      </c>
      <c r="I558" t="s">
        <v>601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hidden="1">
      <c r="A559" t="s">
        <v>18803</v>
      </c>
      <c r="B559" t="s">
        <v>981</v>
      </c>
      <c r="C559" t="s">
        <v>980</v>
      </c>
      <c r="D559" t="s">
        <v>982</v>
      </c>
      <c r="E559" t="s">
        <v>613</v>
      </c>
      <c r="F559" t="s">
        <v>598</v>
      </c>
      <c r="G559" t="s">
        <v>478</v>
      </c>
      <c r="H559" t="s">
        <v>600</v>
      </c>
      <c r="I559" t="s">
        <v>601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18803</v>
      </c>
      <c r="B560" t="s">
        <v>990</v>
      </c>
      <c r="C560" t="s">
        <v>980</v>
      </c>
      <c r="D560" t="s">
        <v>648</v>
      </c>
      <c r="E560" t="s">
        <v>984</v>
      </c>
      <c r="F560" t="s">
        <v>598</v>
      </c>
      <c r="G560" t="s">
        <v>478</v>
      </c>
      <c r="H560" t="s">
        <v>600</v>
      </c>
      <c r="I560" t="s">
        <v>601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hidden="1">
      <c r="A561" t="s">
        <v>18803</v>
      </c>
      <c r="B561" t="s">
        <v>997</v>
      </c>
      <c r="C561" t="s">
        <v>998</v>
      </c>
      <c r="D561" t="s">
        <v>999</v>
      </c>
      <c r="E561" t="s">
        <v>1000</v>
      </c>
      <c r="F561" t="s">
        <v>598</v>
      </c>
      <c r="G561" t="s">
        <v>478</v>
      </c>
      <c r="H561" t="s">
        <v>600</v>
      </c>
      <c r="I561" t="s">
        <v>601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18803</v>
      </c>
      <c r="B562" t="s">
        <v>1009</v>
      </c>
      <c r="C562" t="s">
        <v>998</v>
      </c>
      <c r="D562" t="s">
        <v>999</v>
      </c>
      <c r="E562" t="s">
        <v>1010</v>
      </c>
      <c r="F562" t="s">
        <v>598</v>
      </c>
      <c r="G562" t="s">
        <v>478</v>
      </c>
      <c r="H562" t="s">
        <v>600</v>
      </c>
      <c r="I562" t="s">
        <v>601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18803</v>
      </c>
      <c r="B563" t="s">
        <v>1015</v>
      </c>
      <c r="C563" t="s">
        <v>1016</v>
      </c>
      <c r="D563" t="s">
        <v>1017</v>
      </c>
      <c r="E563" t="s">
        <v>1018</v>
      </c>
      <c r="F563" t="s">
        <v>598</v>
      </c>
      <c r="G563" t="s">
        <v>478</v>
      </c>
      <c r="H563" t="s">
        <v>600</v>
      </c>
      <c r="I563" t="s">
        <v>601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18803</v>
      </c>
      <c r="B564" t="s">
        <v>1021</v>
      </c>
      <c r="C564" t="s">
        <v>1016</v>
      </c>
      <c r="D564" t="s">
        <v>1017</v>
      </c>
      <c r="E564" t="s">
        <v>1022</v>
      </c>
      <c r="F564" t="s">
        <v>598</v>
      </c>
      <c r="G564" t="s">
        <v>478</v>
      </c>
      <c r="H564" t="s">
        <v>600</v>
      </c>
      <c r="I564" t="s">
        <v>601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18803</v>
      </c>
      <c r="B565" t="s">
        <v>1023</v>
      </c>
      <c r="C565" t="s">
        <v>1016</v>
      </c>
      <c r="D565" t="s">
        <v>1017</v>
      </c>
      <c r="E565" t="s">
        <v>1024</v>
      </c>
      <c r="F565" t="s">
        <v>598</v>
      </c>
      <c r="G565" t="s">
        <v>478</v>
      </c>
      <c r="H565" t="s">
        <v>600</v>
      </c>
      <c r="I565" t="s">
        <v>601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18803</v>
      </c>
      <c r="B566" t="s">
        <v>1025</v>
      </c>
      <c r="C566" t="s">
        <v>1016</v>
      </c>
      <c r="D566" t="s">
        <v>1017</v>
      </c>
      <c r="E566" t="s">
        <v>1026</v>
      </c>
      <c r="F566" t="s">
        <v>598</v>
      </c>
      <c r="G566" t="s">
        <v>478</v>
      </c>
      <c r="H566" t="s">
        <v>600</v>
      </c>
      <c r="I566" t="s">
        <v>601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hidden="1">
      <c r="A567" t="s">
        <v>18803</v>
      </c>
      <c r="B567" t="s">
        <v>1029</v>
      </c>
      <c r="C567" t="s">
        <v>1016</v>
      </c>
      <c r="D567" t="s">
        <v>1017</v>
      </c>
      <c r="E567" t="s">
        <v>1030</v>
      </c>
      <c r="F567" t="s">
        <v>598</v>
      </c>
      <c r="G567" t="s">
        <v>478</v>
      </c>
      <c r="H567" t="s">
        <v>600</v>
      </c>
      <c r="I567" t="s">
        <v>601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hidden="1">
      <c r="A568" t="s">
        <v>18803</v>
      </c>
      <c r="B568" t="s">
        <v>1037</v>
      </c>
      <c r="C568" t="s">
        <v>1016</v>
      </c>
      <c r="D568" t="s">
        <v>1017</v>
      </c>
      <c r="E568" t="s">
        <v>1038</v>
      </c>
      <c r="F568" t="s">
        <v>598</v>
      </c>
      <c r="G568" t="s">
        <v>478</v>
      </c>
      <c r="H568" t="s">
        <v>600</v>
      </c>
      <c r="I568" t="s">
        <v>601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18803</v>
      </c>
      <c r="B569" t="s">
        <v>1039</v>
      </c>
      <c r="C569" t="s">
        <v>1016</v>
      </c>
      <c r="D569" t="s">
        <v>1017</v>
      </c>
      <c r="E569" t="s">
        <v>1040</v>
      </c>
      <c r="F569" t="s">
        <v>598</v>
      </c>
      <c r="G569" t="s">
        <v>478</v>
      </c>
      <c r="H569" t="s">
        <v>600</v>
      </c>
      <c r="I569" t="s">
        <v>601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hidden="1">
      <c r="A570" t="s">
        <v>18803</v>
      </c>
      <c r="B570" t="s">
        <v>1041</v>
      </c>
      <c r="C570" t="s">
        <v>1016</v>
      </c>
      <c r="D570" t="s">
        <v>1017</v>
      </c>
      <c r="E570" t="s">
        <v>1042</v>
      </c>
      <c r="F570" t="s">
        <v>598</v>
      </c>
      <c r="G570" t="s">
        <v>478</v>
      </c>
      <c r="H570" t="s">
        <v>600</v>
      </c>
      <c r="I570" t="s">
        <v>601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18803</v>
      </c>
      <c r="B571" t="s">
        <v>1047</v>
      </c>
      <c r="C571" t="s">
        <v>1016</v>
      </c>
      <c r="D571" t="s">
        <v>1017</v>
      </c>
      <c r="E571" t="s">
        <v>1048</v>
      </c>
      <c r="F571" t="s">
        <v>598</v>
      </c>
      <c r="G571" t="s">
        <v>478</v>
      </c>
      <c r="H571" t="s">
        <v>600</v>
      </c>
      <c r="I571" t="s">
        <v>601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18803</v>
      </c>
      <c r="B572" t="s">
        <v>1049</v>
      </c>
      <c r="C572" t="s">
        <v>1016</v>
      </c>
      <c r="D572" t="s">
        <v>1050</v>
      </c>
      <c r="E572" t="s">
        <v>1024</v>
      </c>
      <c r="F572" t="s">
        <v>598</v>
      </c>
      <c r="G572" t="s">
        <v>478</v>
      </c>
      <c r="H572" t="s">
        <v>600</v>
      </c>
      <c r="I572" t="s">
        <v>601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18803</v>
      </c>
      <c r="B573" t="s">
        <v>1051</v>
      </c>
      <c r="C573" t="s">
        <v>1016</v>
      </c>
      <c r="D573" t="s">
        <v>1050</v>
      </c>
      <c r="E573" t="s">
        <v>1052</v>
      </c>
      <c r="F573" t="s">
        <v>598</v>
      </c>
      <c r="G573" t="s">
        <v>478</v>
      </c>
      <c r="H573" t="s">
        <v>600</v>
      </c>
      <c r="I573" t="s">
        <v>601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18803</v>
      </c>
      <c r="B574" t="s">
        <v>1059</v>
      </c>
      <c r="C574" t="s">
        <v>1016</v>
      </c>
      <c r="D574" t="s">
        <v>1050</v>
      </c>
      <c r="E574" t="s">
        <v>1042</v>
      </c>
      <c r="F574" t="s">
        <v>598</v>
      </c>
      <c r="G574" t="s">
        <v>478</v>
      </c>
      <c r="H574" t="s">
        <v>600</v>
      </c>
      <c r="I574" t="s">
        <v>601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18803</v>
      </c>
      <c r="B575" t="s">
        <v>1062</v>
      </c>
      <c r="C575" t="s">
        <v>1016</v>
      </c>
      <c r="D575" t="s">
        <v>1063</v>
      </c>
      <c r="E575" t="s">
        <v>1018</v>
      </c>
      <c r="F575" t="s">
        <v>598</v>
      </c>
      <c r="G575" t="s">
        <v>478</v>
      </c>
      <c r="H575" t="s">
        <v>600</v>
      </c>
      <c r="I575" t="s">
        <v>601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18803</v>
      </c>
      <c r="B576" t="s">
        <v>1064</v>
      </c>
      <c r="C576" t="s">
        <v>1016</v>
      </c>
      <c r="D576" t="s">
        <v>1063</v>
      </c>
      <c r="E576" t="s">
        <v>1022</v>
      </c>
      <c r="F576" t="s">
        <v>598</v>
      </c>
      <c r="G576" t="s">
        <v>478</v>
      </c>
      <c r="H576" t="s">
        <v>600</v>
      </c>
      <c r="I576" t="s">
        <v>601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18803</v>
      </c>
      <c r="B577" t="s">
        <v>1065</v>
      </c>
      <c r="C577" t="s">
        <v>1016</v>
      </c>
      <c r="D577" t="s">
        <v>1063</v>
      </c>
      <c r="E577" t="s">
        <v>1024</v>
      </c>
      <c r="F577" t="s">
        <v>598</v>
      </c>
      <c r="G577" t="s">
        <v>478</v>
      </c>
      <c r="H577" t="s">
        <v>600</v>
      </c>
      <c r="I577" t="s">
        <v>601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18803</v>
      </c>
      <c r="B578" t="s">
        <v>1067</v>
      </c>
      <c r="C578" t="s">
        <v>1016</v>
      </c>
      <c r="D578" t="s">
        <v>1063</v>
      </c>
      <c r="E578" t="s">
        <v>1026</v>
      </c>
      <c r="F578" t="s">
        <v>598</v>
      </c>
      <c r="G578" t="s">
        <v>478</v>
      </c>
      <c r="H578" t="s">
        <v>600</v>
      </c>
      <c r="I578" t="s">
        <v>601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18803</v>
      </c>
      <c r="B579" t="s">
        <v>1068</v>
      </c>
      <c r="C579" t="s">
        <v>1016</v>
      </c>
      <c r="D579" t="s">
        <v>1063</v>
      </c>
      <c r="E579" t="s">
        <v>1030</v>
      </c>
      <c r="F579" t="s">
        <v>598</v>
      </c>
      <c r="G579" t="s">
        <v>478</v>
      </c>
      <c r="H579" t="s">
        <v>600</v>
      </c>
      <c r="I579" t="s">
        <v>601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18803</v>
      </c>
      <c r="B580" t="s">
        <v>1069</v>
      </c>
      <c r="C580" t="s">
        <v>1016</v>
      </c>
      <c r="D580" t="s">
        <v>1063</v>
      </c>
      <c r="E580" t="s">
        <v>1035</v>
      </c>
      <c r="F580" t="s">
        <v>598</v>
      </c>
      <c r="G580" t="s">
        <v>478</v>
      </c>
      <c r="H580" t="s">
        <v>600</v>
      </c>
      <c r="I580" t="s">
        <v>601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18803</v>
      </c>
      <c r="B581" t="s">
        <v>1072</v>
      </c>
      <c r="C581" t="s">
        <v>1016</v>
      </c>
      <c r="D581" t="s">
        <v>1063</v>
      </c>
      <c r="E581" t="s">
        <v>1040</v>
      </c>
      <c r="F581" t="s">
        <v>598</v>
      </c>
      <c r="G581" t="s">
        <v>478</v>
      </c>
      <c r="H581" t="s">
        <v>600</v>
      </c>
      <c r="I581" t="s">
        <v>601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18803</v>
      </c>
      <c r="B582" t="s">
        <v>1073</v>
      </c>
      <c r="C582" t="s">
        <v>1016</v>
      </c>
      <c r="D582" t="s">
        <v>1063</v>
      </c>
      <c r="E582" t="s">
        <v>1042</v>
      </c>
      <c r="F582" t="s">
        <v>598</v>
      </c>
      <c r="G582" t="s">
        <v>478</v>
      </c>
      <c r="H582" t="s">
        <v>600</v>
      </c>
      <c r="I582" t="s">
        <v>601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18803</v>
      </c>
      <c r="B583" t="s">
        <v>1075</v>
      </c>
      <c r="C583" t="s">
        <v>1016</v>
      </c>
      <c r="D583" t="s">
        <v>1063</v>
      </c>
      <c r="E583" t="s">
        <v>1046</v>
      </c>
      <c r="F583" t="s">
        <v>598</v>
      </c>
      <c r="G583" t="s">
        <v>478</v>
      </c>
      <c r="H583" t="s">
        <v>600</v>
      </c>
      <c r="I583" t="s">
        <v>601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18803</v>
      </c>
      <c r="B584" t="s">
        <v>1076</v>
      </c>
      <c r="C584" t="s">
        <v>1016</v>
      </c>
      <c r="D584" t="s">
        <v>1063</v>
      </c>
      <c r="E584" t="s">
        <v>1048</v>
      </c>
      <c r="F584" t="s">
        <v>598</v>
      </c>
      <c r="G584" t="s">
        <v>478</v>
      </c>
      <c r="H584" t="s">
        <v>600</v>
      </c>
      <c r="I584" t="s">
        <v>601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18803</v>
      </c>
      <c r="B585" t="s">
        <v>1082</v>
      </c>
      <c r="C585" t="s">
        <v>1079</v>
      </c>
      <c r="D585" t="s">
        <v>1083</v>
      </c>
      <c r="E585" t="s">
        <v>1084</v>
      </c>
      <c r="F585" t="s">
        <v>598</v>
      </c>
      <c r="G585" t="s">
        <v>478</v>
      </c>
      <c r="H585" t="s">
        <v>600</v>
      </c>
      <c r="I585" t="s">
        <v>601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18803</v>
      </c>
      <c r="B586" t="s">
        <v>1087</v>
      </c>
      <c r="C586" t="s">
        <v>1079</v>
      </c>
      <c r="D586" t="s">
        <v>1086</v>
      </c>
      <c r="E586" t="s">
        <v>1081</v>
      </c>
      <c r="F586" t="s">
        <v>598</v>
      </c>
      <c r="G586" t="s">
        <v>478</v>
      </c>
      <c r="H586" t="s">
        <v>600</v>
      </c>
      <c r="I586" t="s">
        <v>601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18803</v>
      </c>
      <c r="B587" t="s">
        <v>1100</v>
      </c>
      <c r="C587" t="s">
        <v>1079</v>
      </c>
      <c r="D587" t="s">
        <v>1086</v>
      </c>
      <c r="E587" t="s">
        <v>1101</v>
      </c>
      <c r="F587" t="s">
        <v>598</v>
      </c>
      <c r="G587" t="s">
        <v>478</v>
      </c>
      <c r="H587" t="s">
        <v>600</v>
      </c>
      <c r="I587" t="s">
        <v>601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18803</v>
      </c>
      <c r="B588" t="s">
        <v>1144</v>
      </c>
      <c r="C588" t="s">
        <v>1079</v>
      </c>
      <c r="D588" t="s">
        <v>1145</v>
      </c>
      <c r="E588" t="s">
        <v>1081</v>
      </c>
      <c r="F588" t="s">
        <v>598</v>
      </c>
      <c r="G588" t="s">
        <v>478</v>
      </c>
      <c r="H588" t="s">
        <v>600</v>
      </c>
      <c r="I588" t="s">
        <v>601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hidden="1">
      <c r="A589" t="s">
        <v>18803</v>
      </c>
      <c r="B589" t="s">
        <v>1151</v>
      </c>
      <c r="C589" t="s">
        <v>1079</v>
      </c>
      <c r="D589" t="s">
        <v>1145</v>
      </c>
      <c r="E589" t="s">
        <v>1101</v>
      </c>
      <c r="F589" t="s">
        <v>598</v>
      </c>
      <c r="G589" t="s">
        <v>478</v>
      </c>
      <c r="H589" t="s">
        <v>600</v>
      </c>
      <c r="I589" t="s">
        <v>601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18803</v>
      </c>
      <c r="B590" t="s">
        <v>1155</v>
      </c>
      <c r="C590" t="s">
        <v>1079</v>
      </c>
      <c r="D590" t="s">
        <v>1156</v>
      </c>
      <c r="E590" t="s">
        <v>1081</v>
      </c>
      <c r="F590" t="s">
        <v>598</v>
      </c>
      <c r="G590" t="s">
        <v>478</v>
      </c>
      <c r="H590" t="s">
        <v>600</v>
      </c>
      <c r="I590" t="s">
        <v>601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18803</v>
      </c>
      <c r="B591" t="s">
        <v>1157</v>
      </c>
      <c r="C591" t="s">
        <v>1079</v>
      </c>
      <c r="D591" t="s">
        <v>1156</v>
      </c>
      <c r="E591" t="s">
        <v>1091</v>
      </c>
      <c r="F591" t="s">
        <v>598</v>
      </c>
      <c r="G591" t="s">
        <v>478</v>
      </c>
      <c r="H591" t="s">
        <v>600</v>
      </c>
      <c r="I591" t="s">
        <v>601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18803</v>
      </c>
      <c r="B592" t="s">
        <v>1161</v>
      </c>
      <c r="C592" t="s">
        <v>1079</v>
      </c>
      <c r="D592" t="s">
        <v>1156</v>
      </c>
      <c r="E592" t="s">
        <v>1101</v>
      </c>
      <c r="F592" t="s">
        <v>598</v>
      </c>
      <c r="G592" t="s">
        <v>478</v>
      </c>
      <c r="H592" t="s">
        <v>600</v>
      </c>
      <c r="I592" t="s">
        <v>601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hidden="1">
      <c r="A593" t="s">
        <v>18803</v>
      </c>
      <c r="B593" t="s">
        <v>1217</v>
      </c>
      <c r="C593" t="s">
        <v>1079</v>
      </c>
      <c r="D593" t="s">
        <v>1188</v>
      </c>
      <c r="E593" t="s">
        <v>1106</v>
      </c>
      <c r="F593" t="s">
        <v>598</v>
      </c>
      <c r="G593" t="s">
        <v>478</v>
      </c>
      <c r="H593" t="s">
        <v>600</v>
      </c>
      <c r="I593" t="s">
        <v>601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18803</v>
      </c>
      <c r="B594" t="s">
        <v>1221</v>
      </c>
      <c r="C594" t="s">
        <v>1079</v>
      </c>
      <c r="D594" t="s">
        <v>648</v>
      </c>
      <c r="E594" t="s">
        <v>1081</v>
      </c>
      <c r="F594" t="s">
        <v>598</v>
      </c>
      <c r="G594" t="s">
        <v>478</v>
      </c>
      <c r="H594" t="s">
        <v>600</v>
      </c>
      <c r="I594" t="s">
        <v>601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18803</v>
      </c>
      <c r="B595" t="s">
        <v>1227</v>
      </c>
      <c r="C595" t="s">
        <v>1079</v>
      </c>
      <c r="D595" t="s">
        <v>648</v>
      </c>
      <c r="E595" t="s">
        <v>1101</v>
      </c>
      <c r="F595" t="s">
        <v>598</v>
      </c>
      <c r="G595" t="s">
        <v>478</v>
      </c>
      <c r="H595" t="s">
        <v>600</v>
      </c>
      <c r="I595" t="s">
        <v>601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18803</v>
      </c>
      <c r="B596" t="s">
        <v>1228</v>
      </c>
      <c r="C596" t="s">
        <v>1079</v>
      </c>
      <c r="D596" t="s">
        <v>648</v>
      </c>
      <c r="E596" t="s">
        <v>1103</v>
      </c>
      <c r="F596" t="s">
        <v>598</v>
      </c>
      <c r="G596" t="s">
        <v>478</v>
      </c>
      <c r="H596" t="s">
        <v>600</v>
      </c>
      <c r="I596" t="s">
        <v>601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18803</v>
      </c>
      <c r="B597" t="s">
        <v>1247</v>
      </c>
      <c r="C597" t="s">
        <v>1230</v>
      </c>
      <c r="D597" t="s">
        <v>1246</v>
      </c>
      <c r="E597" t="s">
        <v>1239</v>
      </c>
      <c r="F597" t="s">
        <v>598</v>
      </c>
      <c r="G597" t="s">
        <v>478</v>
      </c>
      <c r="H597" t="s">
        <v>600</v>
      </c>
      <c r="I597" t="s">
        <v>601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18803</v>
      </c>
      <c r="B598" t="s">
        <v>1250</v>
      </c>
      <c r="C598" t="s">
        <v>1230</v>
      </c>
      <c r="D598" t="s">
        <v>648</v>
      </c>
      <c r="E598" t="s">
        <v>1004</v>
      </c>
      <c r="F598" t="s">
        <v>598</v>
      </c>
      <c r="G598" t="s">
        <v>478</v>
      </c>
      <c r="H598" t="s">
        <v>600</v>
      </c>
      <c r="I598" t="s">
        <v>601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18803</v>
      </c>
      <c r="B599" t="s">
        <v>1256</v>
      </c>
      <c r="C599" t="s">
        <v>1253</v>
      </c>
      <c r="D599" t="s">
        <v>1254</v>
      </c>
      <c r="E599" t="s">
        <v>1257</v>
      </c>
      <c r="F599" t="s">
        <v>598</v>
      </c>
      <c r="G599" t="s">
        <v>478</v>
      </c>
      <c r="H599" t="s">
        <v>600</v>
      </c>
      <c r="I599" t="s">
        <v>601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18803</v>
      </c>
      <c r="B600" t="s">
        <v>1258</v>
      </c>
      <c r="C600" t="s">
        <v>1253</v>
      </c>
      <c r="D600" t="s">
        <v>1254</v>
      </c>
      <c r="E600" t="s">
        <v>1259</v>
      </c>
      <c r="F600" t="s">
        <v>598</v>
      </c>
      <c r="G600" t="s">
        <v>478</v>
      </c>
      <c r="H600" t="s">
        <v>600</v>
      </c>
      <c r="I600" t="s">
        <v>601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18803</v>
      </c>
      <c r="B601" t="s">
        <v>1260</v>
      </c>
      <c r="C601" t="s">
        <v>1261</v>
      </c>
      <c r="D601" t="s">
        <v>648</v>
      </c>
      <c r="E601" t="s">
        <v>920</v>
      </c>
      <c r="F601" t="s">
        <v>598</v>
      </c>
      <c r="G601" t="s">
        <v>478</v>
      </c>
      <c r="H601" t="s">
        <v>600</v>
      </c>
      <c r="I601" t="s">
        <v>601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18803</v>
      </c>
      <c r="B602" t="s">
        <v>1263</v>
      </c>
      <c r="C602" t="s">
        <v>1261</v>
      </c>
      <c r="D602" t="s">
        <v>648</v>
      </c>
      <c r="E602" t="s">
        <v>1264</v>
      </c>
      <c r="F602" t="s">
        <v>598</v>
      </c>
      <c r="G602" t="s">
        <v>478</v>
      </c>
      <c r="H602" t="s">
        <v>600</v>
      </c>
      <c r="I602" t="s">
        <v>601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18803</v>
      </c>
      <c r="B603" t="s">
        <v>1276</v>
      </c>
      <c r="C603" t="s">
        <v>1267</v>
      </c>
      <c r="D603" t="s">
        <v>1274</v>
      </c>
      <c r="E603" t="s">
        <v>678</v>
      </c>
      <c r="F603" t="s">
        <v>598</v>
      </c>
      <c r="G603" t="s">
        <v>478</v>
      </c>
      <c r="H603" t="s">
        <v>600</v>
      </c>
      <c r="I603" t="s">
        <v>601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18803</v>
      </c>
      <c r="B604" t="s">
        <v>1279</v>
      </c>
      <c r="C604" t="s">
        <v>1267</v>
      </c>
      <c r="D604" t="s">
        <v>1278</v>
      </c>
      <c r="E604" t="s">
        <v>678</v>
      </c>
      <c r="F604" t="s">
        <v>598</v>
      </c>
      <c r="G604" t="s">
        <v>478</v>
      </c>
      <c r="H604" t="s">
        <v>600</v>
      </c>
      <c r="I604" t="s">
        <v>601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18803</v>
      </c>
      <c r="B605" t="s">
        <v>1283</v>
      </c>
      <c r="C605" t="s">
        <v>1267</v>
      </c>
      <c r="D605" t="s">
        <v>1281</v>
      </c>
      <c r="E605" t="s">
        <v>678</v>
      </c>
      <c r="F605" t="s">
        <v>598</v>
      </c>
      <c r="G605" t="s">
        <v>478</v>
      </c>
      <c r="H605" t="s">
        <v>600</v>
      </c>
      <c r="I605" t="s">
        <v>601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18803</v>
      </c>
      <c r="B606" t="s">
        <v>1294</v>
      </c>
      <c r="C606" t="s">
        <v>1267</v>
      </c>
      <c r="D606" t="s">
        <v>1293</v>
      </c>
      <c r="E606" t="s">
        <v>678</v>
      </c>
      <c r="F606" t="s">
        <v>598</v>
      </c>
      <c r="G606" t="s">
        <v>478</v>
      </c>
      <c r="H606" t="s">
        <v>600</v>
      </c>
      <c r="I606" t="s">
        <v>601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18803</v>
      </c>
      <c r="B607" t="s">
        <v>1303</v>
      </c>
      <c r="C607" t="s">
        <v>1267</v>
      </c>
      <c r="D607" t="s">
        <v>1302</v>
      </c>
      <c r="E607" t="s">
        <v>678</v>
      </c>
      <c r="F607" t="s">
        <v>598</v>
      </c>
      <c r="G607" t="s">
        <v>478</v>
      </c>
      <c r="H607" t="s">
        <v>600</v>
      </c>
      <c r="I607" t="s">
        <v>601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hidden="1">
      <c r="A608" t="s">
        <v>18803</v>
      </c>
      <c r="B608" t="s">
        <v>1314</v>
      </c>
      <c r="C608" t="s">
        <v>1267</v>
      </c>
      <c r="D608" t="s">
        <v>1311</v>
      </c>
      <c r="E608" t="s">
        <v>678</v>
      </c>
      <c r="F608" t="s">
        <v>598</v>
      </c>
      <c r="G608" t="s">
        <v>478</v>
      </c>
      <c r="H608" t="s">
        <v>600</v>
      </c>
      <c r="I608" t="s">
        <v>601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18803</v>
      </c>
      <c r="B609" t="s">
        <v>1351</v>
      </c>
      <c r="C609" t="s">
        <v>1267</v>
      </c>
      <c r="D609" t="s">
        <v>1352</v>
      </c>
      <c r="E609" t="s">
        <v>672</v>
      </c>
      <c r="F609" t="s">
        <v>598</v>
      </c>
      <c r="G609" t="s">
        <v>478</v>
      </c>
      <c r="H609" t="s">
        <v>600</v>
      </c>
      <c r="I609" t="s">
        <v>601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18803</v>
      </c>
      <c r="B610" t="s">
        <v>1353</v>
      </c>
      <c r="C610" t="s">
        <v>1267</v>
      </c>
      <c r="D610" t="s">
        <v>1354</v>
      </c>
      <c r="E610" t="s">
        <v>672</v>
      </c>
      <c r="F610" t="s">
        <v>598</v>
      </c>
      <c r="G610" t="s">
        <v>478</v>
      </c>
      <c r="H610" t="s">
        <v>600</v>
      </c>
      <c r="I610" t="s">
        <v>601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hidden="1">
      <c r="A611" t="s">
        <v>18803</v>
      </c>
      <c r="B611" t="s">
        <v>1371</v>
      </c>
      <c r="C611" t="s">
        <v>1267</v>
      </c>
      <c r="D611" t="s">
        <v>1370</v>
      </c>
      <c r="E611" t="s">
        <v>678</v>
      </c>
      <c r="F611" t="s">
        <v>598</v>
      </c>
      <c r="G611" t="s">
        <v>478</v>
      </c>
      <c r="H611" t="s">
        <v>600</v>
      </c>
      <c r="I611" t="s">
        <v>601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hidden="1">
      <c r="A612" t="s">
        <v>18803</v>
      </c>
      <c r="B612" t="s">
        <v>1376</v>
      </c>
      <c r="C612" t="s">
        <v>1267</v>
      </c>
      <c r="D612" t="s">
        <v>648</v>
      </c>
      <c r="E612" t="s">
        <v>678</v>
      </c>
      <c r="F612" t="s">
        <v>598</v>
      </c>
      <c r="G612" t="s">
        <v>478</v>
      </c>
      <c r="H612" t="s">
        <v>600</v>
      </c>
      <c r="I612" t="s">
        <v>601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hidden="1">
      <c r="A613" t="s">
        <v>18803</v>
      </c>
      <c r="B613" t="s">
        <v>1482</v>
      </c>
      <c r="C613" t="s">
        <v>1472</v>
      </c>
      <c r="D613" t="s">
        <v>1483</v>
      </c>
      <c r="E613" t="s">
        <v>597</v>
      </c>
      <c r="F613" t="s">
        <v>598</v>
      </c>
      <c r="G613" t="s">
        <v>478</v>
      </c>
      <c r="H613" t="s">
        <v>600</v>
      </c>
      <c r="I613" t="s">
        <v>601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hidden="1">
      <c r="A614" t="s">
        <v>18803</v>
      </c>
      <c r="B614" t="s">
        <v>1566</v>
      </c>
      <c r="C614" t="s">
        <v>1472</v>
      </c>
      <c r="D614" t="s">
        <v>1567</v>
      </c>
      <c r="E614" t="s">
        <v>626</v>
      </c>
      <c r="F614" t="s">
        <v>598</v>
      </c>
      <c r="G614" t="s">
        <v>478</v>
      </c>
      <c r="H614" t="s">
        <v>600</v>
      </c>
      <c r="I614" t="s">
        <v>601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18803</v>
      </c>
      <c r="B615" t="s">
        <v>1568</v>
      </c>
      <c r="C615" t="s">
        <v>1472</v>
      </c>
      <c r="D615" t="s">
        <v>1569</v>
      </c>
      <c r="E615" t="s">
        <v>626</v>
      </c>
      <c r="F615" t="s">
        <v>598</v>
      </c>
      <c r="G615" t="s">
        <v>478</v>
      </c>
      <c r="H615" t="s">
        <v>600</v>
      </c>
      <c r="I615" t="s">
        <v>601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hidden="1">
      <c r="A616" t="s">
        <v>18803</v>
      </c>
      <c r="B616" t="s">
        <v>1570</v>
      </c>
      <c r="C616" t="s">
        <v>1472</v>
      </c>
      <c r="D616" t="s">
        <v>1571</v>
      </c>
      <c r="E616" t="s">
        <v>626</v>
      </c>
      <c r="F616" t="s">
        <v>598</v>
      </c>
      <c r="G616" t="s">
        <v>478</v>
      </c>
      <c r="H616" t="s">
        <v>600</v>
      </c>
      <c r="I616" t="s">
        <v>601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18803</v>
      </c>
      <c r="B617" t="s">
        <v>1573</v>
      </c>
      <c r="C617" t="s">
        <v>1472</v>
      </c>
      <c r="D617" t="s">
        <v>1574</v>
      </c>
      <c r="E617" t="s">
        <v>626</v>
      </c>
      <c r="F617" t="s">
        <v>598</v>
      </c>
      <c r="G617" t="s">
        <v>478</v>
      </c>
      <c r="H617" t="s">
        <v>600</v>
      </c>
      <c r="I617" t="s">
        <v>601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18803</v>
      </c>
      <c r="B618" t="s">
        <v>1575</v>
      </c>
      <c r="C618" t="s">
        <v>1472</v>
      </c>
      <c r="D618" t="s">
        <v>1576</v>
      </c>
      <c r="E618" t="s">
        <v>626</v>
      </c>
      <c r="F618" t="s">
        <v>598</v>
      </c>
      <c r="G618" t="s">
        <v>478</v>
      </c>
      <c r="H618" t="s">
        <v>600</v>
      </c>
      <c r="I618" t="s">
        <v>601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18803</v>
      </c>
      <c r="B619" t="s">
        <v>1577</v>
      </c>
      <c r="C619" t="s">
        <v>1472</v>
      </c>
      <c r="D619" t="s">
        <v>1578</v>
      </c>
      <c r="E619" t="s">
        <v>626</v>
      </c>
      <c r="F619" t="s">
        <v>598</v>
      </c>
      <c r="G619" t="s">
        <v>478</v>
      </c>
      <c r="H619" t="s">
        <v>600</v>
      </c>
      <c r="I619" t="s">
        <v>601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18803</v>
      </c>
      <c r="B620" t="s">
        <v>1582</v>
      </c>
      <c r="C620" t="s">
        <v>1472</v>
      </c>
      <c r="D620" t="s">
        <v>1583</v>
      </c>
      <c r="E620" t="s">
        <v>626</v>
      </c>
      <c r="F620" t="s">
        <v>598</v>
      </c>
      <c r="G620" t="s">
        <v>478</v>
      </c>
      <c r="H620" t="s">
        <v>600</v>
      </c>
      <c r="I620" t="s">
        <v>601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18803</v>
      </c>
      <c r="B621" t="s">
        <v>1590</v>
      </c>
      <c r="C621" t="s">
        <v>1472</v>
      </c>
      <c r="D621" t="s">
        <v>1365</v>
      </c>
      <c r="E621" t="s">
        <v>626</v>
      </c>
      <c r="F621" t="s">
        <v>598</v>
      </c>
      <c r="G621" t="s">
        <v>478</v>
      </c>
      <c r="H621" t="s">
        <v>600</v>
      </c>
      <c r="I621" t="s">
        <v>601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18803</v>
      </c>
      <c r="B622" t="s">
        <v>1600</v>
      </c>
      <c r="C622" t="s">
        <v>1472</v>
      </c>
      <c r="D622" t="s">
        <v>1601</v>
      </c>
      <c r="E622" t="s">
        <v>626</v>
      </c>
      <c r="F622" t="s">
        <v>598</v>
      </c>
      <c r="G622" t="s">
        <v>478</v>
      </c>
      <c r="H622" t="s">
        <v>600</v>
      </c>
      <c r="I622" t="s">
        <v>601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18803</v>
      </c>
      <c r="B623" t="s">
        <v>1602</v>
      </c>
      <c r="C623" t="s">
        <v>1472</v>
      </c>
      <c r="D623" t="s">
        <v>1603</v>
      </c>
      <c r="E623" t="s">
        <v>626</v>
      </c>
      <c r="F623" t="s">
        <v>598</v>
      </c>
      <c r="G623" t="s">
        <v>478</v>
      </c>
      <c r="H623" t="s">
        <v>600</v>
      </c>
      <c r="I623" t="s">
        <v>601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hidden="1">
      <c r="A624" t="s">
        <v>18803</v>
      </c>
      <c r="B624" t="s">
        <v>1604</v>
      </c>
      <c r="C624" t="s">
        <v>1472</v>
      </c>
      <c r="D624" t="s">
        <v>1605</v>
      </c>
      <c r="E624" t="s">
        <v>626</v>
      </c>
      <c r="F624" t="s">
        <v>598</v>
      </c>
      <c r="G624" t="s">
        <v>478</v>
      </c>
      <c r="H624" t="s">
        <v>600</v>
      </c>
      <c r="I624" t="s">
        <v>601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hidden="1">
      <c r="A625" t="s">
        <v>18803</v>
      </c>
      <c r="B625" t="s">
        <v>1775</v>
      </c>
      <c r="C625" t="s">
        <v>1614</v>
      </c>
      <c r="D625" t="s">
        <v>1776</v>
      </c>
      <c r="E625" t="s">
        <v>1777</v>
      </c>
      <c r="F625" t="s">
        <v>598</v>
      </c>
      <c r="G625" t="s">
        <v>478</v>
      </c>
      <c r="H625" t="s">
        <v>600</v>
      </c>
      <c r="I625" t="s">
        <v>601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18803</v>
      </c>
      <c r="B626" t="s">
        <v>1780</v>
      </c>
      <c r="C626" t="s">
        <v>1614</v>
      </c>
      <c r="D626" t="s">
        <v>1781</v>
      </c>
      <c r="E626" t="s">
        <v>1716</v>
      </c>
      <c r="F626" t="s">
        <v>598</v>
      </c>
      <c r="G626" t="s">
        <v>478</v>
      </c>
      <c r="H626" t="s">
        <v>600</v>
      </c>
      <c r="I626" t="s">
        <v>601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hidden="1">
      <c r="A627" t="s">
        <v>18803</v>
      </c>
      <c r="B627" t="s">
        <v>1858</v>
      </c>
      <c r="C627" t="s">
        <v>1845</v>
      </c>
      <c r="D627" t="s">
        <v>1859</v>
      </c>
      <c r="E627" t="s">
        <v>1860</v>
      </c>
      <c r="F627" t="s">
        <v>598</v>
      </c>
      <c r="G627" t="s">
        <v>478</v>
      </c>
      <c r="H627" t="s">
        <v>600</v>
      </c>
      <c r="I627" t="s">
        <v>601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18803</v>
      </c>
      <c r="B628" t="s">
        <v>1861</v>
      </c>
      <c r="C628" t="s">
        <v>1845</v>
      </c>
      <c r="D628" t="s">
        <v>1862</v>
      </c>
      <c r="E628" t="s">
        <v>1860</v>
      </c>
      <c r="F628" t="s">
        <v>598</v>
      </c>
      <c r="G628" t="s">
        <v>478</v>
      </c>
      <c r="H628" t="s">
        <v>600</v>
      </c>
      <c r="I628" t="s">
        <v>601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18803</v>
      </c>
      <c r="B629" t="s">
        <v>1863</v>
      </c>
      <c r="C629" t="s">
        <v>1845</v>
      </c>
      <c r="D629" t="s">
        <v>1864</v>
      </c>
      <c r="E629" t="s">
        <v>1865</v>
      </c>
      <c r="F629" t="s">
        <v>598</v>
      </c>
      <c r="G629" t="s">
        <v>478</v>
      </c>
      <c r="H629" t="s">
        <v>600</v>
      </c>
      <c r="I629" t="s">
        <v>601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18803</v>
      </c>
      <c r="B630" t="s">
        <v>1870</v>
      </c>
      <c r="C630" t="s">
        <v>1845</v>
      </c>
      <c r="D630" t="s">
        <v>1871</v>
      </c>
      <c r="E630" t="s">
        <v>1872</v>
      </c>
      <c r="F630" t="s">
        <v>598</v>
      </c>
      <c r="G630" t="s">
        <v>478</v>
      </c>
      <c r="H630" t="s">
        <v>600</v>
      </c>
      <c r="I630" t="s">
        <v>601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hidden="1">
      <c r="A631" t="s">
        <v>18803</v>
      </c>
      <c r="B631" t="s">
        <v>1964</v>
      </c>
      <c r="C631" t="s">
        <v>1959</v>
      </c>
      <c r="D631" t="s">
        <v>1965</v>
      </c>
      <c r="E631" t="s">
        <v>1966</v>
      </c>
      <c r="F631" t="s">
        <v>598</v>
      </c>
      <c r="G631" t="s">
        <v>478</v>
      </c>
      <c r="H631" t="s">
        <v>600</v>
      </c>
      <c r="I631" t="s">
        <v>601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hidden="1">
      <c r="A632" t="s">
        <v>18803</v>
      </c>
      <c r="B632" t="s">
        <v>1967</v>
      </c>
      <c r="C632" t="s">
        <v>1959</v>
      </c>
      <c r="D632" t="s">
        <v>1968</v>
      </c>
      <c r="E632" t="s">
        <v>1962</v>
      </c>
      <c r="F632" t="s">
        <v>598</v>
      </c>
      <c r="G632" t="s">
        <v>478</v>
      </c>
      <c r="H632" t="s">
        <v>600</v>
      </c>
      <c r="I632" t="s">
        <v>601</v>
      </c>
      <c r="J632">
        <v>3.6999999999999998E-2</v>
      </c>
      <c r="K632">
        <v>3.8899999999999997E-2</v>
      </c>
      <c r="L632">
        <v>4.0300000000000002E-2</v>
      </c>
      <c r="M632">
        <v>4.2200000000000001E-2</v>
      </c>
      <c r="N632">
        <v>4.2799999999999998E-2</v>
      </c>
      <c r="O632">
        <v>4.3099999999999999E-2</v>
      </c>
      <c r="P632">
        <v>4.3400000000000001E-2</v>
      </c>
      <c r="Q632">
        <v>4.3799999999999999E-2</v>
      </c>
      <c r="R632">
        <v>4.4400000000000002E-2</v>
      </c>
      <c r="S632">
        <v>4.4999999999999998E-2</v>
      </c>
      <c r="T632">
        <v>4.58E-2</v>
      </c>
      <c r="U632">
        <v>4.6600000000000003E-2</v>
      </c>
      <c r="V632">
        <v>4.7300000000000002E-2</v>
      </c>
      <c r="W632">
        <v>4.8300000000000003E-2</v>
      </c>
      <c r="X632">
        <v>4.9000000000000002E-2</v>
      </c>
      <c r="Y632">
        <v>0.05</v>
      </c>
    </row>
    <row r="633" spans="1:25" hidden="1">
      <c r="A633" t="s">
        <v>18803</v>
      </c>
      <c r="B633" t="s">
        <v>1977</v>
      </c>
      <c r="C633" t="s">
        <v>1959</v>
      </c>
      <c r="D633" t="s">
        <v>1972</v>
      </c>
      <c r="E633" t="s">
        <v>1966</v>
      </c>
      <c r="F633" t="s">
        <v>598</v>
      </c>
      <c r="G633" t="s">
        <v>478</v>
      </c>
      <c r="H633" t="s">
        <v>600</v>
      </c>
      <c r="I633" t="s">
        <v>601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hidden="1">
      <c r="A634" t="s">
        <v>18803</v>
      </c>
      <c r="B634" t="s">
        <v>1978</v>
      </c>
      <c r="C634" t="s">
        <v>1959</v>
      </c>
      <c r="D634" t="s">
        <v>1972</v>
      </c>
      <c r="E634" t="s">
        <v>1979</v>
      </c>
      <c r="F634" t="s">
        <v>598</v>
      </c>
      <c r="G634" t="s">
        <v>478</v>
      </c>
      <c r="H634" t="s">
        <v>600</v>
      </c>
      <c r="I634" t="s">
        <v>601</v>
      </c>
      <c r="J634">
        <v>1.47E-2</v>
      </c>
      <c r="K634">
        <v>1.54E-2</v>
      </c>
      <c r="L634">
        <v>1.6E-2</v>
      </c>
      <c r="M634">
        <v>1.6799999999999999E-2</v>
      </c>
      <c r="N634">
        <v>1.6899999999999998E-2</v>
      </c>
      <c r="O634">
        <v>1.7100000000000001E-2</v>
      </c>
      <c r="P634">
        <v>1.72E-2</v>
      </c>
      <c r="Q634">
        <v>1.7399999999999999E-2</v>
      </c>
      <c r="R634">
        <v>1.7600000000000001E-2</v>
      </c>
      <c r="S634">
        <v>1.7899999999999999E-2</v>
      </c>
      <c r="T634">
        <v>1.8200000000000001E-2</v>
      </c>
      <c r="U634">
        <v>1.8499999999999999E-2</v>
      </c>
      <c r="V634">
        <v>1.8800000000000001E-2</v>
      </c>
      <c r="W634">
        <v>1.9199999999999998E-2</v>
      </c>
      <c r="X634">
        <v>1.95E-2</v>
      </c>
      <c r="Y634">
        <v>1.9900000000000001E-2</v>
      </c>
    </row>
    <row r="635" spans="1:25" hidden="1">
      <c r="A635" t="s">
        <v>18803</v>
      </c>
      <c r="B635" t="s">
        <v>1980</v>
      </c>
      <c r="C635" t="s">
        <v>1959</v>
      </c>
      <c r="D635" t="s">
        <v>1972</v>
      </c>
      <c r="E635" t="s">
        <v>1981</v>
      </c>
      <c r="F635" t="s">
        <v>598</v>
      </c>
      <c r="G635" t="s">
        <v>478</v>
      </c>
      <c r="H635" t="s">
        <v>600</v>
      </c>
      <c r="I635" t="s">
        <v>601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hidden="1">
      <c r="A636" t="s">
        <v>18803</v>
      </c>
      <c r="B636" t="s">
        <v>2005</v>
      </c>
      <c r="C636" t="s">
        <v>1959</v>
      </c>
      <c r="D636" t="s">
        <v>2001</v>
      </c>
      <c r="E636" t="s">
        <v>1976</v>
      </c>
      <c r="F636" t="s">
        <v>598</v>
      </c>
      <c r="G636" t="s">
        <v>478</v>
      </c>
      <c r="H636" t="s">
        <v>600</v>
      </c>
      <c r="I636" t="s">
        <v>601</v>
      </c>
      <c r="J636">
        <v>3.8E-3</v>
      </c>
      <c r="K636">
        <v>4.0000000000000001E-3</v>
      </c>
      <c r="L636">
        <v>4.1999999999999997E-3</v>
      </c>
      <c r="M636">
        <v>4.4000000000000003E-3</v>
      </c>
      <c r="N636">
        <v>4.4999999999999997E-3</v>
      </c>
      <c r="O636">
        <v>4.5999999999999999E-3</v>
      </c>
      <c r="P636">
        <v>4.7000000000000002E-3</v>
      </c>
      <c r="Q636">
        <v>4.7999999999999996E-3</v>
      </c>
      <c r="R636">
        <v>4.8999999999999998E-3</v>
      </c>
      <c r="S636">
        <v>5.0000000000000001E-3</v>
      </c>
      <c r="T636">
        <v>5.1000000000000004E-3</v>
      </c>
      <c r="U636">
        <v>5.3E-3</v>
      </c>
      <c r="V636">
        <v>5.4000000000000003E-3</v>
      </c>
      <c r="W636">
        <v>5.4999999999999997E-3</v>
      </c>
      <c r="X636">
        <v>5.5999999999999999E-3</v>
      </c>
      <c r="Y636">
        <v>5.7999999999999996E-3</v>
      </c>
    </row>
    <row r="637" spans="1:25" hidden="1">
      <c r="A637" t="s">
        <v>18803</v>
      </c>
      <c r="B637" t="s">
        <v>2014</v>
      </c>
      <c r="C637" t="s">
        <v>1959</v>
      </c>
      <c r="D637" t="s">
        <v>2012</v>
      </c>
      <c r="E637" t="s">
        <v>1970</v>
      </c>
      <c r="F637" t="s">
        <v>598</v>
      </c>
      <c r="G637" t="s">
        <v>478</v>
      </c>
      <c r="H637" t="s">
        <v>600</v>
      </c>
      <c r="I637" t="s">
        <v>601</v>
      </c>
      <c r="J637">
        <v>1.1000000000000001E-3</v>
      </c>
      <c r="K637">
        <v>1.1999999999999999E-3</v>
      </c>
      <c r="L637">
        <v>1.1999999999999999E-3</v>
      </c>
      <c r="M637">
        <v>1.2999999999999999E-3</v>
      </c>
      <c r="N637">
        <v>1.2999999999999999E-3</v>
      </c>
      <c r="O637">
        <v>1.2999999999999999E-3</v>
      </c>
      <c r="P637">
        <v>1.2999999999999999E-3</v>
      </c>
      <c r="Q637">
        <v>1.4E-3</v>
      </c>
      <c r="R637">
        <v>1.4E-3</v>
      </c>
      <c r="S637">
        <v>1.4E-3</v>
      </c>
      <c r="T637">
        <v>1.4E-3</v>
      </c>
      <c r="U637">
        <v>1.4E-3</v>
      </c>
      <c r="V637">
        <v>1.5E-3</v>
      </c>
      <c r="W637">
        <v>1.5E-3</v>
      </c>
      <c r="X637">
        <v>1.5E-3</v>
      </c>
      <c r="Y637">
        <v>1.6000000000000001E-3</v>
      </c>
    </row>
    <row r="638" spans="1:25" hidden="1">
      <c r="A638" t="s">
        <v>18803</v>
      </c>
      <c r="B638" t="s">
        <v>2017</v>
      </c>
      <c r="C638" t="s">
        <v>1959</v>
      </c>
      <c r="D638" t="s">
        <v>1817</v>
      </c>
      <c r="E638" t="s">
        <v>1962</v>
      </c>
      <c r="F638" t="s">
        <v>598</v>
      </c>
      <c r="G638" t="s">
        <v>478</v>
      </c>
      <c r="H638" t="s">
        <v>600</v>
      </c>
      <c r="I638" t="s">
        <v>601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hidden="1">
      <c r="A639" t="s">
        <v>18803</v>
      </c>
      <c r="B639" t="s">
        <v>2019</v>
      </c>
      <c r="C639" t="s">
        <v>1959</v>
      </c>
      <c r="D639" t="s">
        <v>1817</v>
      </c>
      <c r="E639" t="s">
        <v>1976</v>
      </c>
      <c r="F639" t="s">
        <v>598</v>
      </c>
      <c r="G639" t="s">
        <v>478</v>
      </c>
      <c r="H639" t="s">
        <v>600</v>
      </c>
      <c r="I639" t="s">
        <v>601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</row>
    <row r="640" spans="1:25" hidden="1">
      <c r="A640" t="s">
        <v>18803</v>
      </c>
      <c r="B640" t="s">
        <v>2028</v>
      </c>
      <c r="C640" t="s">
        <v>1959</v>
      </c>
      <c r="D640" t="s">
        <v>1817</v>
      </c>
      <c r="E640" t="s">
        <v>1966</v>
      </c>
      <c r="F640" t="s">
        <v>598</v>
      </c>
      <c r="G640" t="s">
        <v>478</v>
      </c>
      <c r="H640" t="s">
        <v>600</v>
      </c>
      <c r="I640" t="s">
        <v>601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hidden="1">
      <c r="A641" t="s">
        <v>18803</v>
      </c>
      <c r="B641" t="s">
        <v>2039</v>
      </c>
      <c r="C641" t="s">
        <v>1959</v>
      </c>
      <c r="D641" t="s">
        <v>648</v>
      </c>
      <c r="E641" t="s">
        <v>1378</v>
      </c>
      <c r="F641" t="s">
        <v>598</v>
      </c>
      <c r="G641" t="s">
        <v>478</v>
      </c>
      <c r="H641" t="s">
        <v>600</v>
      </c>
      <c r="I641" t="s">
        <v>601</v>
      </c>
      <c r="J641">
        <v>0.02</v>
      </c>
      <c r="K641">
        <v>2.1000000000000001E-2</v>
      </c>
      <c r="L641">
        <v>2.1899999999999999E-2</v>
      </c>
      <c r="M641">
        <v>2.29E-2</v>
      </c>
      <c r="N641">
        <v>2.3099999999999999E-2</v>
      </c>
      <c r="O641">
        <v>2.3300000000000001E-2</v>
      </c>
      <c r="P641">
        <v>2.3599999999999999E-2</v>
      </c>
      <c r="Q641">
        <v>2.3699999999999999E-2</v>
      </c>
      <c r="R641">
        <v>2.4E-2</v>
      </c>
      <c r="S641">
        <v>2.4400000000000002E-2</v>
      </c>
      <c r="T641">
        <v>2.4799999999999999E-2</v>
      </c>
      <c r="U641">
        <v>2.52E-2</v>
      </c>
      <c r="V641">
        <v>2.5600000000000001E-2</v>
      </c>
      <c r="W641">
        <v>2.6100000000000002E-2</v>
      </c>
      <c r="X641">
        <v>2.6599999999999999E-2</v>
      </c>
      <c r="Y641">
        <v>2.7099999999999999E-2</v>
      </c>
    </row>
    <row r="642" spans="1:25" hidden="1">
      <c r="A642" t="s">
        <v>18803</v>
      </c>
      <c r="B642" t="s">
        <v>2041</v>
      </c>
      <c r="C642" t="s">
        <v>1959</v>
      </c>
      <c r="D642" t="s">
        <v>648</v>
      </c>
      <c r="E642" t="s">
        <v>2003</v>
      </c>
      <c r="F642" t="s">
        <v>598</v>
      </c>
      <c r="G642" t="s">
        <v>478</v>
      </c>
      <c r="H642" t="s">
        <v>600</v>
      </c>
      <c r="I642" t="s">
        <v>601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hidden="1">
      <c r="A643" t="s">
        <v>18803</v>
      </c>
      <c r="B643" t="s">
        <v>2046</v>
      </c>
      <c r="C643" t="s">
        <v>1959</v>
      </c>
      <c r="D643" t="s">
        <v>648</v>
      </c>
      <c r="E643" t="s">
        <v>2047</v>
      </c>
      <c r="F643" t="s">
        <v>598</v>
      </c>
      <c r="G643" t="s">
        <v>478</v>
      </c>
      <c r="H643" t="s">
        <v>600</v>
      </c>
      <c r="I643" t="s">
        <v>601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hidden="1">
      <c r="A644" t="s">
        <v>18803</v>
      </c>
      <c r="B644" t="s">
        <v>2058</v>
      </c>
      <c r="C644" t="s">
        <v>1959</v>
      </c>
      <c r="D644" t="s">
        <v>648</v>
      </c>
      <c r="E644" t="s">
        <v>2025</v>
      </c>
      <c r="F644" t="s">
        <v>598</v>
      </c>
      <c r="G644" t="s">
        <v>478</v>
      </c>
      <c r="H644" t="s">
        <v>600</v>
      </c>
      <c r="I644" t="s">
        <v>601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5" hidden="1">
      <c r="A645" t="s">
        <v>18803</v>
      </c>
      <c r="B645" t="s">
        <v>2068</v>
      </c>
      <c r="C645" t="s">
        <v>1959</v>
      </c>
      <c r="D645" t="s">
        <v>648</v>
      </c>
      <c r="E645" t="s">
        <v>2069</v>
      </c>
      <c r="F645" t="s">
        <v>598</v>
      </c>
      <c r="G645" t="s">
        <v>478</v>
      </c>
      <c r="H645" t="s">
        <v>600</v>
      </c>
      <c r="I645" t="s">
        <v>601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hidden="1">
      <c r="A646" t="s">
        <v>18803</v>
      </c>
      <c r="B646" t="s">
        <v>2072</v>
      </c>
      <c r="C646" t="s">
        <v>1959</v>
      </c>
      <c r="D646" t="s">
        <v>648</v>
      </c>
      <c r="E646" t="s">
        <v>1966</v>
      </c>
      <c r="F646" t="s">
        <v>598</v>
      </c>
      <c r="G646" t="s">
        <v>478</v>
      </c>
      <c r="H646" t="s">
        <v>600</v>
      </c>
      <c r="I646" t="s">
        <v>601</v>
      </c>
      <c r="J646">
        <v>6.6E-3</v>
      </c>
      <c r="K646">
        <v>6.8999999999999999E-3</v>
      </c>
      <c r="L646">
        <v>7.1999999999999998E-3</v>
      </c>
      <c r="M646">
        <v>7.4999999999999997E-3</v>
      </c>
      <c r="N646">
        <v>7.6E-3</v>
      </c>
      <c r="O646">
        <v>7.7000000000000002E-3</v>
      </c>
      <c r="P646">
        <v>7.7999999999999996E-3</v>
      </c>
      <c r="Q646">
        <v>7.7999999999999996E-3</v>
      </c>
      <c r="R646">
        <v>7.9000000000000008E-3</v>
      </c>
      <c r="S646">
        <v>8.0000000000000002E-3</v>
      </c>
      <c r="T646">
        <v>8.2000000000000007E-3</v>
      </c>
      <c r="U646">
        <v>8.3000000000000001E-3</v>
      </c>
      <c r="V646">
        <v>8.3999999999999995E-3</v>
      </c>
      <c r="W646">
        <v>8.6E-3</v>
      </c>
      <c r="X646">
        <v>8.8000000000000005E-3</v>
      </c>
      <c r="Y646">
        <v>8.8999999999999999E-3</v>
      </c>
    </row>
    <row r="647" spans="1:25" hidden="1">
      <c r="A647" t="s">
        <v>18803</v>
      </c>
      <c r="B647" t="s">
        <v>2073</v>
      </c>
      <c r="C647" t="s">
        <v>1959</v>
      </c>
      <c r="D647" t="s">
        <v>648</v>
      </c>
      <c r="E647" t="s">
        <v>1979</v>
      </c>
      <c r="F647" t="s">
        <v>598</v>
      </c>
      <c r="G647" t="s">
        <v>478</v>
      </c>
      <c r="H647" t="s">
        <v>600</v>
      </c>
      <c r="I647" t="s">
        <v>601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hidden="1">
      <c r="A648" t="s">
        <v>18803</v>
      </c>
      <c r="B648" t="s">
        <v>2110</v>
      </c>
      <c r="C648" t="s">
        <v>2075</v>
      </c>
      <c r="D648" t="s">
        <v>648</v>
      </c>
      <c r="E648" t="s">
        <v>1966</v>
      </c>
      <c r="F648" t="s">
        <v>598</v>
      </c>
      <c r="G648" t="s">
        <v>478</v>
      </c>
      <c r="H648" t="s">
        <v>600</v>
      </c>
      <c r="I648" t="s">
        <v>601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18803</v>
      </c>
      <c r="B649" t="s">
        <v>2111</v>
      </c>
      <c r="C649" t="s">
        <v>2075</v>
      </c>
      <c r="D649" t="s">
        <v>648</v>
      </c>
      <c r="E649" t="s">
        <v>2099</v>
      </c>
      <c r="F649" t="s">
        <v>598</v>
      </c>
      <c r="G649" t="s">
        <v>478</v>
      </c>
      <c r="H649" t="s">
        <v>600</v>
      </c>
      <c r="I649" t="s">
        <v>601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18803</v>
      </c>
      <c r="B650" t="s">
        <v>2123</v>
      </c>
      <c r="C650" t="s">
        <v>2116</v>
      </c>
      <c r="D650" t="s">
        <v>2124</v>
      </c>
      <c r="E650" t="s">
        <v>2125</v>
      </c>
      <c r="F650" t="s">
        <v>598</v>
      </c>
      <c r="G650" t="s">
        <v>478</v>
      </c>
      <c r="H650" t="s">
        <v>600</v>
      </c>
      <c r="I650" t="s">
        <v>601</v>
      </c>
      <c r="J650">
        <v>0.20780000000000001</v>
      </c>
      <c r="K650">
        <v>0.21110000000000001</v>
      </c>
      <c r="L650">
        <v>0.21390000000000001</v>
      </c>
      <c r="M650">
        <v>0.2172</v>
      </c>
      <c r="N650">
        <v>0.2172</v>
      </c>
      <c r="O650">
        <v>0.2162</v>
      </c>
      <c r="P650">
        <v>0.21479999999999999</v>
      </c>
      <c r="Q650">
        <v>0.21429999999999999</v>
      </c>
      <c r="R650">
        <v>0.21390000000000001</v>
      </c>
      <c r="S650">
        <v>0.21390000000000001</v>
      </c>
      <c r="T650">
        <v>0.21429999999999999</v>
      </c>
      <c r="U650">
        <v>0.21529999999999999</v>
      </c>
      <c r="V650">
        <v>0.2172</v>
      </c>
      <c r="W650">
        <v>0.21909999999999999</v>
      </c>
      <c r="X650">
        <v>0.2205</v>
      </c>
      <c r="Y650">
        <v>0.2228</v>
      </c>
    </row>
    <row r="651" spans="1:25" hidden="1">
      <c r="A651" t="s">
        <v>18803</v>
      </c>
      <c r="B651" t="s">
        <v>2126</v>
      </c>
      <c r="C651" t="s">
        <v>2116</v>
      </c>
      <c r="D651" t="s">
        <v>2127</v>
      </c>
      <c r="E651" t="s">
        <v>656</v>
      </c>
      <c r="F651" t="s">
        <v>598</v>
      </c>
      <c r="G651" t="s">
        <v>478</v>
      </c>
      <c r="H651" t="s">
        <v>600</v>
      </c>
      <c r="I651" t="s">
        <v>601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hidden="1">
      <c r="A652" t="s">
        <v>18803</v>
      </c>
      <c r="B652" t="s">
        <v>2128</v>
      </c>
      <c r="C652" t="s">
        <v>2116</v>
      </c>
      <c r="D652" t="s">
        <v>648</v>
      </c>
      <c r="E652" t="s">
        <v>656</v>
      </c>
      <c r="F652" t="s">
        <v>598</v>
      </c>
      <c r="G652" t="s">
        <v>478</v>
      </c>
      <c r="H652" t="s">
        <v>600</v>
      </c>
      <c r="I652" t="s">
        <v>601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hidden="1">
      <c r="A653" t="s">
        <v>18803</v>
      </c>
      <c r="B653" t="s">
        <v>2187</v>
      </c>
      <c r="C653" t="s">
        <v>2154</v>
      </c>
      <c r="D653" t="s">
        <v>648</v>
      </c>
      <c r="E653" t="s">
        <v>920</v>
      </c>
      <c r="F653" t="s">
        <v>598</v>
      </c>
      <c r="G653" t="s">
        <v>478</v>
      </c>
      <c r="H653" t="s">
        <v>600</v>
      </c>
      <c r="I653" t="s">
        <v>601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>
      <c r="J654">
        <f>SUBTOTAL(109,Table123[2015])</f>
        <v>0.67099999999999993</v>
      </c>
      <c r="K654">
        <f>SUBTOTAL(109,Table123[2016])</f>
        <v>0.69140000000000001</v>
      </c>
      <c r="L654">
        <f>SUBTOTAL(109,Table123[2017])</f>
        <v>0.6946</v>
      </c>
      <c r="M654">
        <f>SUBTOTAL(109,Table123[2018])</f>
        <v>0.70669999999999999</v>
      </c>
      <c r="N654">
        <f>SUBTOTAL(109,Table123[2019])</f>
        <v>0.71429999999999993</v>
      </c>
      <c r="O654">
        <f>SUBTOTAL(109,Table123[2020])</f>
        <v>0.73969999999999991</v>
      </c>
      <c r="P654">
        <f>SUBTOTAL(109,Table123[2021])</f>
        <v>0.74409999999999998</v>
      </c>
      <c r="Q654">
        <f>SUBTOTAL(109,Table123[2022])</f>
        <v>0.755</v>
      </c>
      <c r="R654">
        <f>SUBTOTAL(109,Table123[2023])</f>
        <v>0.76249999999999996</v>
      </c>
      <c r="S654">
        <f>SUBTOTAL(109,Table123[2024])</f>
        <v>0.78059999999999996</v>
      </c>
      <c r="T654">
        <f>SUBTOTAL(109,Table123[2025])</f>
        <v>0.80089999999999995</v>
      </c>
      <c r="U654">
        <f>SUBTOTAL(109,Table123[2026])</f>
        <v>0.81569999999999998</v>
      </c>
      <c r="V654">
        <f>SUBTOTAL(109,Table123[2027])</f>
        <v>0.82209999999999994</v>
      </c>
      <c r="W654">
        <f>SUBTOTAL(109,Table123[2028])</f>
        <v>0.83829999999999993</v>
      </c>
      <c r="X654">
        <f>SUBTOTAL(109,Table123[2029])</f>
        <v>0.85459999999999992</v>
      </c>
      <c r="Y654">
        <f>SUBTOTAL(109,Table123[2016])</f>
        <v>0.69140000000000001</v>
      </c>
    </row>
    <row r="656" spans="1:25">
      <c r="A656" t="s">
        <v>569</v>
      </c>
      <c r="B656" t="s">
        <v>570</v>
      </c>
      <c r="C656" t="s">
        <v>571</v>
      </c>
      <c r="D656" t="s">
        <v>572</v>
      </c>
      <c r="E656" t="s">
        <v>573</v>
      </c>
      <c r="F656" t="s">
        <v>574</v>
      </c>
      <c r="G656" t="s">
        <v>575</v>
      </c>
      <c r="H656" t="s">
        <v>576</v>
      </c>
      <c r="I656" t="s">
        <v>577</v>
      </c>
      <c r="J656" t="s">
        <v>578</v>
      </c>
      <c r="K656" t="s">
        <v>579</v>
      </c>
      <c r="L656" t="s">
        <v>580</v>
      </c>
      <c r="M656" t="s">
        <v>581</v>
      </c>
      <c r="N656" t="s">
        <v>582</v>
      </c>
      <c r="O656" t="s">
        <v>583</v>
      </c>
      <c r="P656" t="s">
        <v>584</v>
      </c>
      <c r="Q656" t="s">
        <v>585</v>
      </c>
      <c r="R656" t="s">
        <v>586</v>
      </c>
      <c r="S656" t="s">
        <v>587</v>
      </c>
      <c r="T656" t="s">
        <v>588</v>
      </c>
      <c r="U656" t="s">
        <v>589</v>
      </c>
      <c r="V656" t="s">
        <v>590</v>
      </c>
      <c r="W656" t="s">
        <v>591</v>
      </c>
      <c r="X656" t="s">
        <v>592</v>
      </c>
      <c r="Y656" t="s">
        <v>593</v>
      </c>
    </row>
    <row r="657" spans="1:25">
      <c r="A657" t="s">
        <v>18804</v>
      </c>
      <c r="B657" t="s">
        <v>594</v>
      </c>
      <c r="C657" t="s">
        <v>595</v>
      </c>
      <c r="D657" t="s">
        <v>596</v>
      </c>
      <c r="E657" t="s">
        <v>597</v>
      </c>
      <c r="F657" t="s">
        <v>598</v>
      </c>
      <c r="G657" t="s">
        <v>478</v>
      </c>
      <c r="H657" t="s">
        <v>600</v>
      </c>
      <c r="I657" t="s">
        <v>601</v>
      </c>
      <c r="J657">
        <v>4.6300000000000001E-2</v>
      </c>
      <c r="K657">
        <v>4.7699999999999999E-2</v>
      </c>
      <c r="L657">
        <v>4.9200000000000001E-2</v>
      </c>
      <c r="M657">
        <v>4.9099999999999998E-2</v>
      </c>
      <c r="N657">
        <v>4.9099999999999998E-2</v>
      </c>
      <c r="O657">
        <v>4.5600000000000002E-2</v>
      </c>
      <c r="P657">
        <v>4.5699999999999998E-2</v>
      </c>
      <c r="Q657">
        <v>4.58E-2</v>
      </c>
      <c r="R657">
        <v>4.58E-2</v>
      </c>
      <c r="S657">
        <v>4.5900000000000003E-2</v>
      </c>
      <c r="T657">
        <v>4.5999999999999999E-2</v>
      </c>
      <c r="U657">
        <v>4.6100000000000002E-2</v>
      </c>
      <c r="V657">
        <v>4.6199999999999998E-2</v>
      </c>
      <c r="W657">
        <v>4.6300000000000001E-2</v>
      </c>
      <c r="X657">
        <v>4.6399999999999997E-2</v>
      </c>
      <c r="Y657">
        <v>4.6399999999999997E-2</v>
      </c>
    </row>
    <row r="658" spans="1:25">
      <c r="A658" t="s">
        <v>18804</v>
      </c>
      <c r="B658" t="s">
        <v>616</v>
      </c>
      <c r="C658" t="s">
        <v>595</v>
      </c>
      <c r="D658" t="s">
        <v>596</v>
      </c>
      <c r="E658" t="s">
        <v>617</v>
      </c>
      <c r="F658" t="s">
        <v>598</v>
      </c>
      <c r="G658" t="s">
        <v>478</v>
      </c>
      <c r="H658" t="s">
        <v>600</v>
      </c>
      <c r="I658" t="s">
        <v>601</v>
      </c>
      <c r="J658">
        <v>0.19120000000000001</v>
      </c>
      <c r="K658">
        <v>0.19769999999999999</v>
      </c>
      <c r="L658">
        <v>0.19869999999999999</v>
      </c>
      <c r="M658">
        <v>0.20250000000000001</v>
      </c>
      <c r="N658">
        <v>0.2049</v>
      </c>
      <c r="O658">
        <v>0.21279999999999999</v>
      </c>
      <c r="P658">
        <v>0.2142</v>
      </c>
      <c r="Q658">
        <v>0.2177</v>
      </c>
      <c r="R658">
        <v>0.22</v>
      </c>
      <c r="S658">
        <v>0.22570000000000001</v>
      </c>
      <c r="T658">
        <v>0.2321</v>
      </c>
      <c r="U658">
        <v>0.23669999999999999</v>
      </c>
      <c r="V658">
        <v>0.23880000000000001</v>
      </c>
      <c r="W658">
        <v>0.24379999999999999</v>
      </c>
      <c r="X658">
        <v>0.249</v>
      </c>
      <c r="Y658">
        <v>0.25209999999999999</v>
      </c>
    </row>
    <row r="659" spans="1:25">
      <c r="A659" t="s">
        <v>18804</v>
      </c>
      <c r="B659" t="s">
        <v>620</v>
      </c>
      <c r="C659" t="s">
        <v>595</v>
      </c>
      <c r="D659" t="s">
        <v>621</v>
      </c>
      <c r="E659" t="s">
        <v>597</v>
      </c>
      <c r="F659" t="s">
        <v>598</v>
      </c>
      <c r="G659" t="s">
        <v>478</v>
      </c>
      <c r="H659" t="s">
        <v>600</v>
      </c>
      <c r="I659" t="s">
        <v>601</v>
      </c>
      <c r="J659">
        <v>1.7299999999999999E-2</v>
      </c>
      <c r="K659">
        <v>1.78E-2</v>
      </c>
      <c r="L659">
        <v>1.84E-2</v>
      </c>
      <c r="M659">
        <v>1.84E-2</v>
      </c>
      <c r="N659">
        <v>1.83E-2</v>
      </c>
      <c r="O659">
        <v>1.7100000000000001E-2</v>
      </c>
      <c r="P659">
        <v>1.7100000000000001E-2</v>
      </c>
      <c r="Q659">
        <v>1.7100000000000001E-2</v>
      </c>
      <c r="R659">
        <v>1.72E-2</v>
      </c>
      <c r="S659">
        <v>1.72E-2</v>
      </c>
      <c r="T659">
        <v>1.72E-2</v>
      </c>
      <c r="U659">
        <v>1.7299999999999999E-2</v>
      </c>
      <c r="V659">
        <v>1.7299999999999999E-2</v>
      </c>
      <c r="W659">
        <v>1.7299999999999999E-2</v>
      </c>
      <c r="X659">
        <v>1.7299999999999999E-2</v>
      </c>
      <c r="Y659">
        <v>1.7399999999999999E-2</v>
      </c>
    </row>
    <row r="660" spans="1:25">
      <c r="A660" t="s">
        <v>18804</v>
      </c>
      <c r="B660" t="s">
        <v>623</v>
      </c>
      <c r="C660" t="s">
        <v>595</v>
      </c>
      <c r="D660" t="s">
        <v>621</v>
      </c>
      <c r="E660" t="s">
        <v>624</v>
      </c>
      <c r="F660" t="s">
        <v>598</v>
      </c>
      <c r="G660" t="s">
        <v>478</v>
      </c>
      <c r="H660" t="s">
        <v>600</v>
      </c>
      <c r="I660" t="s">
        <v>601</v>
      </c>
      <c r="J660">
        <v>0.16589999999999999</v>
      </c>
      <c r="K660">
        <v>0.1716</v>
      </c>
      <c r="L660">
        <v>0.17230000000000001</v>
      </c>
      <c r="M660">
        <v>0.1757</v>
      </c>
      <c r="N660">
        <v>0.1777</v>
      </c>
      <c r="O660">
        <v>0.1847</v>
      </c>
      <c r="P660">
        <v>0.18590000000000001</v>
      </c>
      <c r="Q660">
        <v>0.18890000000000001</v>
      </c>
      <c r="R660">
        <v>0.19089999999999999</v>
      </c>
      <c r="S660">
        <v>0.1958</v>
      </c>
      <c r="T660">
        <v>0.2014</v>
      </c>
      <c r="U660">
        <v>0.2054</v>
      </c>
      <c r="V660">
        <v>0.2072</v>
      </c>
      <c r="W660">
        <v>0.21149999999999999</v>
      </c>
      <c r="X660">
        <v>0.216</v>
      </c>
      <c r="Y660">
        <v>0.21870000000000001</v>
      </c>
    </row>
    <row r="661" spans="1:25">
      <c r="A661" t="s">
        <v>18804</v>
      </c>
      <c r="B661" t="s">
        <v>631</v>
      </c>
      <c r="C661" t="s">
        <v>595</v>
      </c>
      <c r="D661" t="s">
        <v>632</v>
      </c>
      <c r="E661" t="s">
        <v>597</v>
      </c>
      <c r="F661" t="s">
        <v>598</v>
      </c>
      <c r="G661" t="s">
        <v>478</v>
      </c>
      <c r="H661" t="s">
        <v>600</v>
      </c>
      <c r="I661" t="s">
        <v>601</v>
      </c>
      <c r="J661">
        <v>0.47920000000000001</v>
      </c>
      <c r="K661">
        <v>0.49320000000000003</v>
      </c>
      <c r="L661">
        <v>0.50829999999999997</v>
      </c>
      <c r="M661">
        <v>0.50800000000000001</v>
      </c>
      <c r="N661">
        <v>0.50749999999999995</v>
      </c>
      <c r="O661">
        <v>0.47160000000000002</v>
      </c>
      <c r="P661">
        <v>0.47260000000000002</v>
      </c>
      <c r="Q661">
        <v>0.47349999999999998</v>
      </c>
      <c r="R661">
        <v>0.47399999999999998</v>
      </c>
      <c r="S661">
        <v>0.47489999999999999</v>
      </c>
      <c r="T661">
        <v>0.47589999999999999</v>
      </c>
      <c r="U661">
        <v>0.4768</v>
      </c>
      <c r="V661">
        <v>0.4778</v>
      </c>
      <c r="W661">
        <v>0.4783</v>
      </c>
      <c r="X661">
        <v>0.47920000000000001</v>
      </c>
      <c r="Y661">
        <v>0.48020000000000002</v>
      </c>
    </row>
    <row r="662" spans="1:25">
      <c r="A662" t="s">
        <v>18804</v>
      </c>
      <c r="B662" t="s">
        <v>635</v>
      </c>
      <c r="C662" t="s">
        <v>595</v>
      </c>
      <c r="D662" t="s">
        <v>632</v>
      </c>
      <c r="E662" t="s">
        <v>624</v>
      </c>
      <c r="F662" t="s">
        <v>598</v>
      </c>
      <c r="G662" t="s">
        <v>478</v>
      </c>
      <c r="H662" t="s">
        <v>600</v>
      </c>
      <c r="I662" t="s">
        <v>601</v>
      </c>
      <c r="J662">
        <v>2.18E-2</v>
      </c>
      <c r="K662">
        <v>2.18E-2</v>
      </c>
      <c r="L662">
        <v>2.18E-2</v>
      </c>
      <c r="M662">
        <v>2.18E-2</v>
      </c>
      <c r="N662">
        <v>2.18E-2</v>
      </c>
      <c r="O662">
        <v>2.18E-2</v>
      </c>
      <c r="P662">
        <v>2.18E-2</v>
      </c>
      <c r="Q662">
        <v>2.18E-2</v>
      </c>
      <c r="R662">
        <v>2.18E-2</v>
      </c>
      <c r="S662">
        <v>2.18E-2</v>
      </c>
      <c r="T662">
        <v>2.18E-2</v>
      </c>
      <c r="U662">
        <v>2.18E-2</v>
      </c>
      <c r="V662">
        <v>2.18E-2</v>
      </c>
      <c r="W662">
        <v>2.18E-2</v>
      </c>
      <c r="X662">
        <v>2.18E-2</v>
      </c>
      <c r="Y662">
        <v>2.18E-2</v>
      </c>
    </row>
    <row r="663" spans="1:25" hidden="1">
      <c r="A663" t="s">
        <v>18804</v>
      </c>
      <c r="B663" t="s">
        <v>657</v>
      </c>
      <c r="C663" t="s">
        <v>651</v>
      </c>
      <c r="D663" t="s">
        <v>621</v>
      </c>
      <c r="E663" t="s">
        <v>597</v>
      </c>
      <c r="F663" t="s">
        <v>598</v>
      </c>
      <c r="G663" t="s">
        <v>478</v>
      </c>
      <c r="H663" t="s">
        <v>600</v>
      </c>
      <c r="I663" t="s">
        <v>601</v>
      </c>
      <c r="J663">
        <v>1.4999999999999999E-2</v>
      </c>
      <c r="K663">
        <v>1.4999999999999999E-2</v>
      </c>
      <c r="L663">
        <v>1.4999999999999999E-2</v>
      </c>
      <c r="M663">
        <v>1.4999999999999999E-2</v>
      </c>
      <c r="N663">
        <v>1.4999999999999999E-2</v>
      </c>
      <c r="O663">
        <v>1.4999999999999999E-2</v>
      </c>
      <c r="P663">
        <v>1.4999999999999999E-2</v>
      </c>
      <c r="Q663">
        <v>1.4999999999999999E-2</v>
      </c>
      <c r="R663">
        <v>1.4999999999999999E-2</v>
      </c>
      <c r="S663">
        <v>1.4999999999999999E-2</v>
      </c>
      <c r="T663">
        <v>1.4999999999999999E-2</v>
      </c>
      <c r="U663">
        <v>1.4999999999999999E-2</v>
      </c>
      <c r="V663">
        <v>1.4999999999999999E-2</v>
      </c>
      <c r="W663">
        <v>1.4999999999999999E-2</v>
      </c>
      <c r="X663">
        <v>1.4999999999999999E-2</v>
      </c>
      <c r="Y663">
        <v>1.4999999999999999E-2</v>
      </c>
    </row>
    <row r="664" spans="1:25" hidden="1">
      <c r="A664" t="s">
        <v>18804</v>
      </c>
      <c r="B664" t="s">
        <v>660</v>
      </c>
      <c r="C664" t="s">
        <v>651</v>
      </c>
      <c r="D664" t="s">
        <v>632</v>
      </c>
      <c r="E664" t="s">
        <v>597</v>
      </c>
      <c r="F664" t="s">
        <v>598</v>
      </c>
      <c r="G664" t="s">
        <v>478</v>
      </c>
      <c r="H664" t="s">
        <v>600</v>
      </c>
      <c r="I664" t="s">
        <v>601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18804</v>
      </c>
      <c r="B665" t="s">
        <v>662</v>
      </c>
      <c r="C665" t="s">
        <v>651</v>
      </c>
      <c r="D665" t="s">
        <v>648</v>
      </c>
      <c r="E665" t="s">
        <v>649</v>
      </c>
      <c r="F665" t="s">
        <v>598</v>
      </c>
      <c r="G665" t="s">
        <v>478</v>
      </c>
      <c r="H665" t="s">
        <v>600</v>
      </c>
      <c r="I665" t="s">
        <v>601</v>
      </c>
      <c r="J665">
        <v>0.62780000000000002</v>
      </c>
      <c r="K665">
        <v>0.65410000000000001</v>
      </c>
      <c r="L665">
        <v>0.66779999999999995</v>
      </c>
      <c r="M665">
        <v>0.68889999999999996</v>
      </c>
      <c r="N665">
        <v>0.70709999999999995</v>
      </c>
      <c r="O665">
        <v>0.72060000000000002</v>
      </c>
      <c r="P665">
        <v>0.73870000000000002</v>
      </c>
      <c r="Q665">
        <v>0.75270000000000004</v>
      </c>
      <c r="R665">
        <v>0.76839999999999997</v>
      </c>
      <c r="S665">
        <v>0.78520000000000001</v>
      </c>
      <c r="T665">
        <v>0.80079999999999996</v>
      </c>
      <c r="U665">
        <v>0.81859999999999999</v>
      </c>
      <c r="V665">
        <v>0.83599999999999997</v>
      </c>
      <c r="W665">
        <v>0.84899999999999998</v>
      </c>
      <c r="X665">
        <v>0.86539999999999995</v>
      </c>
      <c r="Y665">
        <v>0.88080000000000003</v>
      </c>
    </row>
    <row r="666" spans="1:25" hidden="1">
      <c r="A666" t="s">
        <v>18804</v>
      </c>
      <c r="B666" t="s">
        <v>670</v>
      </c>
      <c r="C666" t="s">
        <v>664</v>
      </c>
      <c r="D666" t="s">
        <v>671</v>
      </c>
      <c r="E666" t="s">
        <v>672</v>
      </c>
      <c r="F666" t="s">
        <v>598</v>
      </c>
      <c r="G666" t="s">
        <v>478</v>
      </c>
      <c r="H666" t="s">
        <v>600</v>
      </c>
      <c r="I666" t="s">
        <v>601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18804</v>
      </c>
      <c r="B667" t="s">
        <v>673</v>
      </c>
      <c r="C667" t="s">
        <v>664</v>
      </c>
      <c r="D667" t="s">
        <v>671</v>
      </c>
      <c r="E667" t="s">
        <v>597</v>
      </c>
      <c r="F667" t="s">
        <v>598</v>
      </c>
      <c r="G667" t="s">
        <v>478</v>
      </c>
      <c r="H667" t="s">
        <v>600</v>
      </c>
      <c r="I667" t="s">
        <v>601</v>
      </c>
      <c r="J667">
        <v>2.41E-2</v>
      </c>
      <c r="K667">
        <v>2.35E-2</v>
      </c>
      <c r="L667">
        <v>2.3E-2</v>
      </c>
      <c r="M667">
        <v>2.2499999999999999E-2</v>
      </c>
      <c r="N667">
        <v>2.1999999999999999E-2</v>
      </c>
      <c r="O667">
        <v>2.1499999999999998E-2</v>
      </c>
      <c r="P667">
        <v>2.1100000000000001E-2</v>
      </c>
      <c r="Q667">
        <v>2.06E-2</v>
      </c>
      <c r="R667">
        <v>2.0199999999999999E-2</v>
      </c>
      <c r="S667">
        <v>1.9699999999999999E-2</v>
      </c>
      <c r="T667">
        <v>1.9300000000000001E-2</v>
      </c>
      <c r="U667">
        <v>1.89E-2</v>
      </c>
      <c r="V667">
        <v>1.84E-2</v>
      </c>
      <c r="W667">
        <v>1.7999999999999999E-2</v>
      </c>
      <c r="X667">
        <v>1.7600000000000001E-2</v>
      </c>
      <c r="Y667">
        <v>1.72E-2</v>
      </c>
    </row>
    <row r="668" spans="1:25" hidden="1">
      <c r="A668" t="s">
        <v>18804</v>
      </c>
      <c r="B668" t="s">
        <v>674</v>
      </c>
      <c r="C668" t="s">
        <v>664</v>
      </c>
      <c r="D668" t="s">
        <v>671</v>
      </c>
      <c r="E668" t="s">
        <v>605</v>
      </c>
      <c r="F668" t="s">
        <v>598</v>
      </c>
      <c r="G668" t="s">
        <v>478</v>
      </c>
      <c r="H668" t="s">
        <v>600</v>
      </c>
      <c r="I668" t="s">
        <v>601</v>
      </c>
      <c r="J668">
        <v>6.9999999999999999E-4</v>
      </c>
      <c r="K668">
        <v>6.9999999999999999E-4</v>
      </c>
      <c r="L668">
        <v>6.9999999999999999E-4</v>
      </c>
      <c r="M668">
        <v>5.9999999999999995E-4</v>
      </c>
      <c r="N668">
        <v>5.9999999999999995E-4</v>
      </c>
      <c r="O668">
        <v>5.9999999999999995E-4</v>
      </c>
      <c r="P668">
        <v>5.9999999999999995E-4</v>
      </c>
      <c r="Q668">
        <v>5.9999999999999995E-4</v>
      </c>
      <c r="R668">
        <v>5.9999999999999995E-4</v>
      </c>
      <c r="S668">
        <v>5.9999999999999995E-4</v>
      </c>
      <c r="T668">
        <v>5.9999999999999995E-4</v>
      </c>
      <c r="U668">
        <v>5.0000000000000001E-4</v>
      </c>
      <c r="V668">
        <v>5.0000000000000001E-4</v>
      </c>
      <c r="W668">
        <v>5.0000000000000001E-4</v>
      </c>
      <c r="X668">
        <v>5.0000000000000001E-4</v>
      </c>
      <c r="Y668">
        <v>5.0000000000000001E-4</v>
      </c>
    </row>
    <row r="669" spans="1:25" hidden="1">
      <c r="A669" t="s">
        <v>18804</v>
      </c>
      <c r="B669" t="s">
        <v>677</v>
      </c>
      <c r="C669" t="s">
        <v>664</v>
      </c>
      <c r="D669" t="s">
        <v>671</v>
      </c>
      <c r="E669" t="s">
        <v>678</v>
      </c>
      <c r="F669" t="s">
        <v>598</v>
      </c>
      <c r="G669" t="s">
        <v>478</v>
      </c>
      <c r="H669" t="s">
        <v>600</v>
      </c>
      <c r="I669" t="s">
        <v>601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18804</v>
      </c>
      <c r="B670" t="s">
        <v>679</v>
      </c>
      <c r="C670" t="s">
        <v>664</v>
      </c>
      <c r="D670" t="s">
        <v>680</v>
      </c>
      <c r="E670" t="s">
        <v>597</v>
      </c>
      <c r="F670" t="s">
        <v>598</v>
      </c>
      <c r="G670" t="s">
        <v>478</v>
      </c>
      <c r="H670" t="s">
        <v>600</v>
      </c>
      <c r="I670" t="s">
        <v>601</v>
      </c>
      <c r="J670">
        <v>0.22770000000000001</v>
      </c>
      <c r="K670">
        <v>0.22270000000000001</v>
      </c>
      <c r="L670">
        <v>0.21779999999999999</v>
      </c>
      <c r="M670">
        <v>0.21299999999999999</v>
      </c>
      <c r="N670">
        <v>0.20830000000000001</v>
      </c>
      <c r="O670">
        <v>0.20369999999999999</v>
      </c>
      <c r="P670">
        <v>0.1993</v>
      </c>
      <c r="Q670">
        <v>0.19489999999999999</v>
      </c>
      <c r="R670">
        <v>0.19059999999999999</v>
      </c>
      <c r="S670">
        <v>0.18640000000000001</v>
      </c>
      <c r="T670">
        <v>0.18229999999999999</v>
      </c>
      <c r="U670">
        <v>0.17829999999999999</v>
      </c>
      <c r="V670">
        <v>0.1744</v>
      </c>
      <c r="W670">
        <v>0.17050000000000001</v>
      </c>
      <c r="X670">
        <v>0.1668</v>
      </c>
      <c r="Y670">
        <v>0.16309999999999999</v>
      </c>
    </row>
    <row r="671" spans="1:25" hidden="1">
      <c r="A671" t="s">
        <v>18804</v>
      </c>
      <c r="B671" t="s">
        <v>681</v>
      </c>
      <c r="C671" t="s">
        <v>664</v>
      </c>
      <c r="D671" t="s">
        <v>680</v>
      </c>
      <c r="E671" t="s">
        <v>605</v>
      </c>
      <c r="F671" t="s">
        <v>598</v>
      </c>
      <c r="G671" t="s">
        <v>478</v>
      </c>
      <c r="H671" t="s">
        <v>600</v>
      </c>
      <c r="I671" t="s">
        <v>601</v>
      </c>
      <c r="J671">
        <v>8.9099999999999999E-2</v>
      </c>
      <c r="K671">
        <v>8.7099999999999997E-2</v>
      </c>
      <c r="L671">
        <v>8.5199999999999998E-2</v>
      </c>
      <c r="M671">
        <v>8.3299999999999999E-2</v>
      </c>
      <c r="N671">
        <v>8.1500000000000003E-2</v>
      </c>
      <c r="O671">
        <v>7.9699999999999993E-2</v>
      </c>
      <c r="P671">
        <v>7.7899999999999997E-2</v>
      </c>
      <c r="Q671">
        <v>7.6200000000000004E-2</v>
      </c>
      <c r="R671">
        <v>7.4499999999999997E-2</v>
      </c>
      <c r="S671">
        <v>7.2900000000000006E-2</v>
      </c>
      <c r="T671">
        <v>7.1300000000000002E-2</v>
      </c>
      <c r="U671">
        <v>6.9699999999999998E-2</v>
      </c>
      <c r="V671">
        <v>6.8199999999999997E-2</v>
      </c>
      <c r="W671">
        <v>6.6699999999999995E-2</v>
      </c>
      <c r="X671">
        <v>6.5199999999999994E-2</v>
      </c>
      <c r="Y671">
        <v>6.3799999999999996E-2</v>
      </c>
    </row>
    <row r="672" spans="1:25" hidden="1">
      <c r="A672" t="s">
        <v>18804</v>
      </c>
      <c r="B672" t="s">
        <v>683</v>
      </c>
      <c r="C672" t="s">
        <v>664</v>
      </c>
      <c r="D672" t="s">
        <v>621</v>
      </c>
      <c r="E672" t="s">
        <v>672</v>
      </c>
      <c r="F672" t="s">
        <v>598</v>
      </c>
      <c r="G672" t="s">
        <v>478</v>
      </c>
      <c r="H672" t="s">
        <v>600</v>
      </c>
      <c r="I672" t="s">
        <v>601</v>
      </c>
      <c r="J672">
        <v>3.61E-2</v>
      </c>
      <c r="K672">
        <v>3.5299999999999998E-2</v>
      </c>
      <c r="L672">
        <v>3.4599999999999999E-2</v>
      </c>
      <c r="M672">
        <v>3.3799999999999997E-2</v>
      </c>
      <c r="N672">
        <v>3.3000000000000002E-2</v>
      </c>
      <c r="O672">
        <v>3.2300000000000002E-2</v>
      </c>
      <c r="P672">
        <v>3.1600000000000003E-2</v>
      </c>
      <c r="Q672">
        <v>3.09E-2</v>
      </c>
      <c r="R672">
        <v>3.0200000000000001E-2</v>
      </c>
      <c r="S672">
        <v>2.9600000000000001E-2</v>
      </c>
      <c r="T672">
        <v>2.8899999999999999E-2</v>
      </c>
      <c r="U672">
        <v>2.8299999999999999E-2</v>
      </c>
      <c r="V672">
        <v>2.7699999999999999E-2</v>
      </c>
      <c r="W672">
        <v>2.7099999999999999E-2</v>
      </c>
      <c r="X672">
        <v>2.6499999999999999E-2</v>
      </c>
      <c r="Y672">
        <v>2.5899999999999999E-2</v>
      </c>
    </row>
    <row r="673" spans="1:25" hidden="1">
      <c r="A673" t="s">
        <v>18804</v>
      </c>
      <c r="B673" t="s">
        <v>693</v>
      </c>
      <c r="C673" t="s">
        <v>664</v>
      </c>
      <c r="D673" t="s">
        <v>621</v>
      </c>
      <c r="E673" t="s">
        <v>678</v>
      </c>
      <c r="F673" t="s">
        <v>598</v>
      </c>
      <c r="G673" t="s">
        <v>478</v>
      </c>
      <c r="H673" t="s">
        <v>600</v>
      </c>
      <c r="I673" t="s">
        <v>601</v>
      </c>
      <c r="J673">
        <v>5.4999999999999997E-3</v>
      </c>
      <c r="K673">
        <v>5.4000000000000003E-3</v>
      </c>
      <c r="L673">
        <v>5.3E-3</v>
      </c>
      <c r="M673">
        <v>5.1999999999999998E-3</v>
      </c>
      <c r="N673">
        <v>5.0000000000000001E-3</v>
      </c>
      <c r="O673">
        <v>4.8999999999999998E-3</v>
      </c>
      <c r="P673">
        <v>4.7999999999999996E-3</v>
      </c>
      <c r="Q673">
        <v>4.7000000000000002E-3</v>
      </c>
      <c r="R673">
        <v>4.5999999999999999E-3</v>
      </c>
      <c r="S673">
        <v>4.4999999999999997E-3</v>
      </c>
      <c r="T673">
        <v>4.4000000000000003E-3</v>
      </c>
      <c r="U673">
        <v>4.3E-3</v>
      </c>
      <c r="V673">
        <v>4.1999999999999997E-3</v>
      </c>
      <c r="W673">
        <v>4.1000000000000003E-3</v>
      </c>
      <c r="X673">
        <v>4.1000000000000003E-3</v>
      </c>
      <c r="Y673">
        <v>4.0000000000000001E-3</v>
      </c>
    </row>
    <row r="674" spans="1:25" hidden="1">
      <c r="A674" t="s">
        <v>18804</v>
      </c>
      <c r="B674" t="s">
        <v>700</v>
      </c>
      <c r="C674" t="s">
        <v>664</v>
      </c>
      <c r="D674" t="s">
        <v>701</v>
      </c>
      <c r="E674" t="s">
        <v>672</v>
      </c>
      <c r="F674" t="s">
        <v>598</v>
      </c>
      <c r="G674" t="s">
        <v>478</v>
      </c>
      <c r="H674" t="s">
        <v>600</v>
      </c>
      <c r="I674" t="s">
        <v>601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18804</v>
      </c>
      <c r="B675" t="s">
        <v>702</v>
      </c>
      <c r="C675" t="s">
        <v>664</v>
      </c>
      <c r="D675" t="s">
        <v>701</v>
      </c>
      <c r="E675" t="s">
        <v>597</v>
      </c>
      <c r="F675" t="s">
        <v>598</v>
      </c>
      <c r="G675" t="s">
        <v>478</v>
      </c>
      <c r="H675" t="s">
        <v>600</v>
      </c>
      <c r="I675" t="s">
        <v>601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18804</v>
      </c>
      <c r="B676" t="s">
        <v>703</v>
      </c>
      <c r="C676" t="s">
        <v>664</v>
      </c>
      <c r="D676" t="s">
        <v>704</v>
      </c>
      <c r="E676" t="s">
        <v>672</v>
      </c>
      <c r="F676" t="s">
        <v>598</v>
      </c>
      <c r="G676" t="s">
        <v>478</v>
      </c>
      <c r="H676" t="s">
        <v>600</v>
      </c>
      <c r="I676" t="s">
        <v>601</v>
      </c>
      <c r="J676">
        <v>2.0000000000000001E-4</v>
      </c>
      <c r="K676">
        <v>2.0000000000000001E-4</v>
      </c>
      <c r="L676">
        <v>2.0000000000000001E-4</v>
      </c>
      <c r="M676">
        <v>2.0000000000000001E-4</v>
      </c>
      <c r="N676">
        <v>2.0000000000000001E-4</v>
      </c>
      <c r="O676">
        <v>2.0000000000000001E-4</v>
      </c>
      <c r="P676">
        <v>2.0000000000000001E-4</v>
      </c>
      <c r="Q676">
        <v>2.0000000000000001E-4</v>
      </c>
      <c r="R676">
        <v>2.0000000000000001E-4</v>
      </c>
      <c r="S676">
        <v>2.0000000000000001E-4</v>
      </c>
      <c r="T676">
        <v>2.0000000000000001E-4</v>
      </c>
      <c r="U676">
        <v>2.0000000000000001E-4</v>
      </c>
      <c r="V676">
        <v>2.0000000000000001E-4</v>
      </c>
      <c r="W676">
        <v>2.0000000000000001E-4</v>
      </c>
      <c r="X676">
        <v>2.0000000000000001E-4</v>
      </c>
      <c r="Y676">
        <v>2.0000000000000001E-4</v>
      </c>
    </row>
    <row r="677" spans="1:25" hidden="1">
      <c r="A677" t="s">
        <v>18804</v>
      </c>
      <c r="B677" t="s">
        <v>705</v>
      </c>
      <c r="C677" t="s">
        <v>664</v>
      </c>
      <c r="D677" t="s">
        <v>704</v>
      </c>
      <c r="E677" t="s">
        <v>597</v>
      </c>
      <c r="F677" t="s">
        <v>598</v>
      </c>
      <c r="G677" t="s">
        <v>478</v>
      </c>
      <c r="H677" t="s">
        <v>600</v>
      </c>
      <c r="I677" t="s">
        <v>601</v>
      </c>
      <c r="J677">
        <v>1E-4</v>
      </c>
      <c r="K677">
        <v>1E-4</v>
      </c>
      <c r="L677">
        <v>1E-4</v>
      </c>
      <c r="M677">
        <v>1E-4</v>
      </c>
      <c r="N677">
        <v>1E-4</v>
      </c>
      <c r="O677">
        <v>1E-4</v>
      </c>
      <c r="P677">
        <v>1E-4</v>
      </c>
      <c r="Q677">
        <v>1E-4</v>
      </c>
      <c r="R677">
        <v>1E-4</v>
      </c>
      <c r="S677">
        <v>1E-4</v>
      </c>
      <c r="T677">
        <v>1E-4</v>
      </c>
      <c r="U677">
        <v>1E-4</v>
      </c>
      <c r="V677">
        <v>1E-4</v>
      </c>
      <c r="W677">
        <v>1E-4</v>
      </c>
      <c r="X677">
        <v>0</v>
      </c>
      <c r="Y677">
        <v>0</v>
      </c>
    </row>
    <row r="678" spans="1:25" hidden="1">
      <c r="A678" t="s">
        <v>18804</v>
      </c>
      <c r="B678" t="s">
        <v>728</v>
      </c>
      <c r="C678" t="s">
        <v>729</v>
      </c>
      <c r="D678" t="s">
        <v>596</v>
      </c>
      <c r="E678" t="s">
        <v>597</v>
      </c>
      <c r="F678" t="s">
        <v>598</v>
      </c>
      <c r="G678" t="s">
        <v>478</v>
      </c>
      <c r="H678" t="s">
        <v>600</v>
      </c>
      <c r="I678" t="s">
        <v>601</v>
      </c>
      <c r="J678">
        <v>4.6100000000000002E-2</v>
      </c>
      <c r="K678">
        <v>4.3799999999999999E-2</v>
      </c>
      <c r="L678">
        <v>4.2999999999999997E-2</v>
      </c>
      <c r="M678">
        <v>4.3299999999999998E-2</v>
      </c>
      <c r="N678">
        <v>4.3099999999999999E-2</v>
      </c>
      <c r="O678">
        <v>4.2999999999999997E-2</v>
      </c>
      <c r="P678">
        <v>4.3099999999999999E-2</v>
      </c>
      <c r="Q678">
        <v>4.3099999999999999E-2</v>
      </c>
      <c r="R678">
        <v>4.3099999999999999E-2</v>
      </c>
      <c r="S678">
        <v>4.2799999999999998E-2</v>
      </c>
      <c r="T678">
        <v>4.2900000000000001E-2</v>
      </c>
      <c r="U678">
        <v>4.2900000000000001E-2</v>
      </c>
      <c r="V678">
        <v>4.3299999999999998E-2</v>
      </c>
      <c r="W678">
        <v>4.36E-2</v>
      </c>
      <c r="X678">
        <v>4.3499999999999997E-2</v>
      </c>
      <c r="Y678">
        <v>4.3799999999999999E-2</v>
      </c>
    </row>
    <row r="679" spans="1:25" hidden="1">
      <c r="A679" t="s">
        <v>18804</v>
      </c>
      <c r="B679" t="s">
        <v>745</v>
      </c>
      <c r="C679" t="s">
        <v>729</v>
      </c>
      <c r="D679" t="s">
        <v>671</v>
      </c>
      <c r="E679" t="s">
        <v>597</v>
      </c>
      <c r="F679" t="s">
        <v>598</v>
      </c>
      <c r="G679" t="s">
        <v>478</v>
      </c>
      <c r="H679" t="s">
        <v>600</v>
      </c>
      <c r="I679" t="s">
        <v>601</v>
      </c>
      <c r="J679">
        <v>6.6E-3</v>
      </c>
      <c r="K679">
        <v>6.4000000000000003E-3</v>
      </c>
      <c r="L679">
        <v>6.3E-3</v>
      </c>
      <c r="M679">
        <v>6.4000000000000003E-3</v>
      </c>
      <c r="N679">
        <v>6.3E-3</v>
      </c>
      <c r="O679">
        <v>6.3E-3</v>
      </c>
      <c r="P679">
        <v>6.3E-3</v>
      </c>
      <c r="Q679">
        <v>6.3E-3</v>
      </c>
      <c r="R679">
        <v>6.3E-3</v>
      </c>
      <c r="S679">
        <v>6.3E-3</v>
      </c>
      <c r="T679">
        <v>6.3E-3</v>
      </c>
      <c r="U679">
        <v>6.3E-3</v>
      </c>
      <c r="V679">
        <v>6.4000000000000003E-3</v>
      </c>
      <c r="W679">
        <v>6.4000000000000003E-3</v>
      </c>
      <c r="X679">
        <v>6.4000000000000003E-3</v>
      </c>
      <c r="Y679">
        <v>6.6E-3</v>
      </c>
    </row>
    <row r="680" spans="1:25" hidden="1">
      <c r="A680" t="s">
        <v>18804</v>
      </c>
      <c r="B680" t="s">
        <v>746</v>
      </c>
      <c r="C680" t="s">
        <v>729</v>
      </c>
      <c r="D680" t="s">
        <v>671</v>
      </c>
      <c r="E680" t="s">
        <v>642</v>
      </c>
      <c r="F680" t="s">
        <v>598</v>
      </c>
      <c r="G680" t="s">
        <v>478</v>
      </c>
      <c r="H680" t="s">
        <v>600</v>
      </c>
      <c r="I680" t="s">
        <v>601</v>
      </c>
      <c r="J680">
        <v>5.0000000000000001E-4</v>
      </c>
      <c r="K680">
        <v>5.0000000000000001E-4</v>
      </c>
      <c r="L680">
        <v>5.0000000000000001E-4</v>
      </c>
      <c r="M680">
        <v>5.0000000000000001E-4</v>
      </c>
      <c r="N680">
        <v>5.0000000000000001E-4</v>
      </c>
      <c r="O680">
        <v>5.0000000000000001E-4</v>
      </c>
      <c r="P680">
        <v>5.0000000000000001E-4</v>
      </c>
      <c r="Q680">
        <v>5.0000000000000001E-4</v>
      </c>
      <c r="R680">
        <v>5.0000000000000001E-4</v>
      </c>
      <c r="S680">
        <v>5.0000000000000001E-4</v>
      </c>
      <c r="T680">
        <v>5.0000000000000001E-4</v>
      </c>
      <c r="U680">
        <v>5.0000000000000001E-4</v>
      </c>
      <c r="V680">
        <v>5.0000000000000001E-4</v>
      </c>
      <c r="W680">
        <v>5.0000000000000001E-4</v>
      </c>
      <c r="X680">
        <v>5.0000000000000001E-4</v>
      </c>
      <c r="Y680">
        <v>5.0000000000000001E-4</v>
      </c>
    </row>
    <row r="681" spans="1:25" hidden="1">
      <c r="A681" t="s">
        <v>18804</v>
      </c>
      <c r="B681" t="s">
        <v>748</v>
      </c>
      <c r="C681" t="s">
        <v>729</v>
      </c>
      <c r="D681" t="s">
        <v>671</v>
      </c>
      <c r="E681" t="s">
        <v>619</v>
      </c>
      <c r="F681" t="s">
        <v>598</v>
      </c>
      <c r="G681" t="s">
        <v>478</v>
      </c>
      <c r="H681" t="s">
        <v>600</v>
      </c>
      <c r="I681" t="s">
        <v>601</v>
      </c>
      <c r="J681">
        <v>2.9999999999999997E-4</v>
      </c>
      <c r="K681">
        <v>2.9999999999999997E-4</v>
      </c>
      <c r="L681">
        <v>2.9999999999999997E-4</v>
      </c>
      <c r="M681">
        <v>2.9999999999999997E-4</v>
      </c>
      <c r="N681">
        <v>2.9999999999999997E-4</v>
      </c>
      <c r="O681">
        <v>2.9999999999999997E-4</v>
      </c>
      <c r="P681">
        <v>2.9999999999999997E-4</v>
      </c>
      <c r="Q681">
        <v>2.9999999999999997E-4</v>
      </c>
      <c r="R681">
        <v>2.9999999999999997E-4</v>
      </c>
      <c r="S681">
        <v>2.9999999999999997E-4</v>
      </c>
      <c r="T681">
        <v>2.9999999999999997E-4</v>
      </c>
      <c r="U681">
        <v>2.9999999999999997E-4</v>
      </c>
      <c r="V681">
        <v>2.9999999999999997E-4</v>
      </c>
      <c r="W681">
        <v>2.9999999999999997E-4</v>
      </c>
      <c r="X681">
        <v>2.9999999999999997E-4</v>
      </c>
      <c r="Y681">
        <v>2.9999999999999997E-4</v>
      </c>
    </row>
    <row r="682" spans="1:25" hidden="1">
      <c r="A682" t="s">
        <v>18804</v>
      </c>
      <c r="B682" t="s">
        <v>766</v>
      </c>
      <c r="C682" t="s">
        <v>729</v>
      </c>
      <c r="D682" t="s">
        <v>621</v>
      </c>
      <c r="E682" t="s">
        <v>624</v>
      </c>
      <c r="F682" t="s">
        <v>598</v>
      </c>
      <c r="G682" t="s">
        <v>478</v>
      </c>
      <c r="H682" t="s">
        <v>600</v>
      </c>
      <c r="I682" t="s">
        <v>601</v>
      </c>
      <c r="J682">
        <v>2.5499999999999998E-2</v>
      </c>
      <c r="K682">
        <v>2.5499999999999998E-2</v>
      </c>
      <c r="L682">
        <v>2.5499999999999998E-2</v>
      </c>
      <c r="M682">
        <v>2.5499999999999998E-2</v>
      </c>
      <c r="N682">
        <v>2.5499999999999998E-2</v>
      </c>
      <c r="O682">
        <v>2.5499999999999998E-2</v>
      </c>
      <c r="P682">
        <v>2.5499999999999998E-2</v>
      </c>
      <c r="Q682">
        <v>2.5499999999999998E-2</v>
      </c>
      <c r="R682">
        <v>2.5499999999999998E-2</v>
      </c>
      <c r="S682">
        <v>2.5499999999999998E-2</v>
      </c>
      <c r="T682">
        <v>2.5499999999999998E-2</v>
      </c>
      <c r="U682">
        <v>2.5499999999999998E-2</v>
      </c>
      <c r="V682">
        <v>2.5499999999999998E-2</v>
      </c>
      <c r="W682">
        <v>2.5499999999999998E-2</v>
      </c>
      <c r="X682">
        <v>2.5499999999999998E-2</v>
      </c>
      <c r="Y682">
        <v>2.5499999999999998E-2</v>
      </c>
    </row>
    <row r="683" spans="1:25" hidden="1">
      <c r="A683" t="s">
        <v>18804</v>
      </c>
      <c r="B683" t="s">
        <v>770</v>
      </c>
      <c r="C683" t="s">
        <v>729</v>
      </c>
      <c r="D683" t="s">
        <v>621</v>
      </c>
      <c r="E683" t="s">
        <v>628</v>
      </c>
      <c r="F683" t="s">
        <v>598</v>
      </c>
      <c r="G683" t="s">
        <v>478</v>
      </c>
      <c r="H683" t="s">
        <v>600</v>
      </c>
      <c r="I683" t="s">
        <v>601</v>
      </c>
      <c r="J683">
        <v>2.5700000000000001E-2</v>
      </c>
      <c r="K683">
        <v>2.5700000000000001E-2</v>
      </c>
      <c r="L683">
        <v>2.5700000000000001E-2</v>
      </c>
      <c r="M683">
        <v>2.5700000000000001E-2</v>
      </c>
      <c r="N683">
        <v>2.5700000000000001E-2</v>
      </c>
      <c r="O683">
        <v>2.5700000000000001E-2</v>
      </c>
      <c r="P683">
        <v>2.5700000000000001E-2</v>
      </c>
      <c r="Q683">
        <v>2.5700000000000001E-2</v>
      </c>
      <c r="R683">
        <v>2.5700000000000001E-2</v>
      </c>
      <c r="S683">
        <v>2.5700000000000001E-2</v>
      </c>
      <c r="T683">
        <v>2.5700000000000001E-2</v>
      </c>
      <c r="U683">
        <v>2.5700000000000001E-2</v>
      </c>
      <c r="V683">
        <v>2.5700000000000001E-2</v>
      </c>
      <c r="W683">
        <v>2.5700000000000001E-2</v>
      </c>
      <c r="X683">
        <v>2.5700000000000001E-2</v>
      </c>
      <c r="Y683">
        <v>2.5700000000000001E-2</v>
      </c>
    </row>
    <row r="684" spans="1:25" hidden="1">
      <c r="A684" t="s">
        <v>18804</v>
      </c>
      <c r="B684" t="s">
        <v>785</v>
      </c>
      <c r="C684" t="s">
        <v>729</v>
      </c>
      <c r="D684" t="s">
        <v>640</v>
      </c>
      <c r="E684" t="s">
        <v>597</v>
      </c>
      <c r="F684" t="s">
        <v>598</v>
      </c>
      <c r="G684" t="s">
        <v>478</v>
      </c>
      <c r="H684" t="s">
        <v>600</v>
      </c>
      <c r="I684" t="s">
        <v>601</v>
      </c>
      <c r="J684">
        <v>3.4799999999999998E-2</v>
      </c>
      <c r="K684">
        <v>3.4299999999999997E-2</v>
      </c>
      <c r="L684">
        <v>3.5499999999999997E-2</v>
      </c>
      <c r="M684">
        <v>3.5799999999999998E-2</v>
      </c>
      <c r="N684">
        <v>3.56E-2</v>
      </c>
      <c r="O684">
        <v>3.5499999999999997E-2</v>
      </c>
      <c r="P684">
        <v>3.56E-2</v>
      </c>
      <c r="Q684">
        <v>3.56E-2</v>
      </c>
      <c r="R684">
        <v>3.56E-2</v>
      </c>
      <c r="S684">
        <v>3.5299999999999998E-2</v>
      </c>
      <c r="T684">
        <v>3.5499999999999997E-2</v>
      </c>
      <c r="U684">
        <v>3.56E-2</v>
      </c>
      <c r="V684">
        <v>3.5999999999999997E-2</v>
      </c>
      <c r="W684">
        <v>3.6400000000000002E-2</v>
      </c>
      <c r="X684">
        <v>3.6499999999999998E-2</v>
      </c>
      <c r="Y684">
        <v>3.6799999999999999E-2</v>
      </c>
    </row>
    <row r="685" spans="1:25" hidden="1">
      <c r="A685" t="s">
        <v>18804</v>
      </c>
      <c r="B685" t="s">
        <v>791</v>
      </c>
      <c r="C685" t="s">
        <v>729</v>
      </c>
      <c r="D685" t="s">
        <v>640</v>
      </c>
      <c r="E685" t="s">
        <v>619</v>
      </c>
      <c r="F685" t="s">
        <v>598</v>
      </c>
      <c r="G685" t="s">
        <v>478</v>
      </c>
      <c r="H685" t="s">
        <v>600</v>
      </c>
      <c r="I685" t="s">
        <v>601</v>
      </c>
      <c r="J685">
        <v>1.1999999999999999E-3</v>
      </c>
      <c r="K685">
        <v>1.1999999999999999E-3</v>
      </c>
      <c r="L685">
        <v>1.1999999999999999E-3</v>
      </c>
      <c r="M685">
        <v>1.1999999999999999E-3</v>
      </c>
      <c r="N685">
        <v>1.1999999999999999E-3</v>
      </c>
      <c r="O685">
        <v>1.1999999999999999E-3</v>
      </c>
      <c r="P685">
        <v>1.1999999999999999E-3</v>
      </c>
      <c r="Q685">
        <v>1.1999999999999999E-3</v>
      </c>
      <c r="R685">
        <v>1.1999999999999999E-3</v>
      </c>
      <c r="S685">
        <v>1.1999999999999999E-3</v>
      </c>
      <c r="T685">
        <v>1.1999999999999999E-3</v>
      </c>
      <c r="U685">
        <v>1.1999999999999999E-3</v>
      </c>
      <c r="V685">
        <v>1.1999999999999999E-3</v>
      </c>
      <c r="W685">
        <v>1.1999999999999999E-3</v>
      </c>
      <c r="X685">
        <v>1.1999999999999999E-3</v>
      </c>
      <c r="Y685">
        <v>1.1999999999999999E-3</v>
      </c>
    </row>
    <row r="686" spans="1:25" hidden="1">
      <c r="A686" t="s">
        <v>18804</v>
      </c>
      <c r="B686" t="s">
        <v>793</v>
      </c>
      <c r="C686" t="s">
        <v>729</v>
      </c>
      <c r="D686" t="s">
        <v>640</v>
      </c>
      <c r="E686" t="s">
        <v>676</v>
      </c>
      <c r="F686" t="s">
        <v>598</v>
      </c>
      <c r="G686" t="s">
        <v>478</v>
      </c>
      <c r="H686" t="s">
        <v>600</v>
      </c>
      <c r="I686" t="s">
        <v>601</v>
      </c>
      <c r="J686">
        <v>3.2000000000000002E-3</v>
      </c>
      <c r="K686">
        <v>3.2000000000000002E-3</v>
      </c>
      <c r="L686">
        <v>3.2000000000000002E-3</v>
      </c>
      <c r="M686">
        <v>3.2000000000000002E-3</v>
      </c>
      <c r="N686">
        <v>3.2000000000000002E-3</v>
      </c>
      <c r="O686">
        <v>3.2000000000000002E-3</v>
      </c>
      <c r="P686">
        <v>3.2000000000000002E-3</v>
      </c>
      <c r="Q686">
        <v>3.2000000000000002E-3</v>
      </c>
      <c r="R686">
        <v>3.2000000000000002E-3</v>
      </c>
      <c r="S686">
        <v>3.2000000000000002E-3</v>
      </c>
      <c r="T686">
        <v>3.2000000000000002E-3</v>
      </c>
      <c r="U686">
        <v>3.2000000000000002E-3</v>
      </c>
      <c r="V686">
        <v>3.2000000000000002E-3</v>
      </c>
      <c r="W686">
        <v>3.2000000000000002E-3</v>
      </c>
      <c r="X686">
        <v>3.2000000000000002E-3</v>
      </c>
      <c r="Y686">
        <v>3.2000000000000002E-3</v>
      </c>
    </row>
    <row r="687" spans="1:25" hidden="1">
      <c r="A687" t="s">
        <v>18804</v>
      </c>
      <c r="B687" t="s">
        <v>795</v>
      </c>
      <c r="C687" t="s">
        <v>729</v>
      </c>
      <c r="D687" t="s">
        <v>648</v>
      </c>
      <c r="E687" t="s">
        <v>597</v>
      </c>
      <c r="F687" t="s">
        <v>598</v>
      </c>
      <c r="G687" t="s">
        <v>478</v>
      </c>
      <c r="H687" t="s">
        <v>600</v>
      </c>
      <c r="I687" t="s">
        <v>601</v>
      </c>
      <c r="J687">
        <v>6.7142999999999997</v>
      </c>
      <c r="K687">
        <v>6.5875000000000004</v>
      </c>
      <c r="L687">
        <v>6.7224000000000004</v>
      </c>
      <c r="M687">
        <v>6.7816000000000001</v>
      </c>
      <c r="N687">
        <v>6.7473000000000001</v>
      </c>
      <c r="O687">
        <v>6.7224000000000004</v>
      </c>
      <c r="P687">
        <v>6.7526000000000002</v>
      </c>
      <c r="Q687">
        <v>6.7530000000000001</v>
      </c>
      <c r="R687">
        <v>6.74</v>
      </c>
      <c r="S687">
        <v>6.6966000000000001</v>
      </c>
      <c r="T687">
        <v>6.7240000000000002</v>
      </c>
      <c r="U687">
        <v>6.7484000000000002</v>
      </c>
      <c r="V687">
        <v>6.8109999999999999</v>
      </c>
      <c r="W687">
        <v>6.8848000000000003</v>
      </c>
      <c r="X687">
        <v>6.8955000000000002</v>
      </c>
      <c r="Y687">
        <v>6.9623999999999997</v>
      </c>
    </row>
    <row r="688" spans="1:25" hidden="1">
      <c r="A688" t="s">
        <v>18804</v>
      </c>
      <c r="B688" t="s">
        <v>801</v>
      </c>
      <c r="C688" t="s">
        <v>729</v>
      </c>
      <c r="D688" t="s">
        <v>648</v>
      </c>
      <c r="E688" t="s">
        <v>619</v>
      </c>
      <c r="F688" t="s">
        <v>598</v>
      </c>
      <c r="G688" t="s">
        <v>478</v>
      </c>
      <c r="H688" t="s">
        <v>600</v>
      </c>
      <c r="I688" t="s">
        <v>601</v>
      </c>
      <c r="J688">
        <v>1.04E-2</v>
      </c>
      <c r="K688">
        <v>1.1299999999999999E-2</v>
      </c>
      <c r="L688">
        <v>1.1299999999999999E-2</v>
      </c>
      <c r="M688">
        <v>1.1299999999999999E-2</v>
      </c>
      <c r="N688">
        <v>1.1299999999999999E-2</v>
      </c>
      <c r="O688">
        <v>1.1299999999999999E-2</v>
      </c>
      <c r="P688">
        <v>1.1299999999999999E-2</v>
      </c>
      <c r="Q688">
        <v>1.1299999999999999E-2</v>
      </c>
      <c r="R688">
        <v>1.1299999999999999E-2</v>
      </c>
      <c r="S688">
        <v>1.1299999999999999E-2</v>
      </c>
      <c r="T688">
        <v>1.1299999999999999E-2</v>
      </c>
      <c r="U688">
        <v>1.1299999999999999E-2</v>
      </c>
      <c r="V688">
        <v>1.1299999999999999E-2</v>
      </c>
      <c r="W688">
        <v>1.04E-2</v>
      </c>
      <c r="X688">
        <v>1.04E-2</v>
      </c>
      <c r="Y688">
        <v>1.04E-2</v>
      </c>
    </row>
    <row r="689" spans="1:25" hidden="1">
      <c r="A689" t="s">
        <v>18804</v>
      </c>
      <c r="B689" t="s">
        <v>802</v>
      </c>
      <c r="C689" t="s">
        <v>729</v>
      </c>
      <c r="D689" t="s">
        <v>648</v>
      </c>
      <c r="E689" t="s">
        <v>676</v>
      </c>
      <c r="F689" t="s">
        <v>598</v>
      </c>
      <c r="G689" t="s">
        <v>478</v>
      </c>
      <c r="H689" t="s">
        <v>600</v>
      </c>
      <c r="I689" t="s">
        <v>601</v>
      </c>
      <c r="J689">
        <v>3.1859999999999999</v>
      </c>
      <c r="K689">
        <v>3.1859999999999999</v>
      </c>
      <c r="L689">
        <v>3.1859999999999999</v>
      </c>
      <c r="M689">
        <v>3.1859999999999999</v>
      </c>
      <c r="N689">
        <v>3.1859999999999999</v>
      </c>
      <c r="O689">
        <v>3.1859999999999999</v>
      </c>
      <c r="P689">
        <v>3.1859999999999999</v>
      </c>
      <c r="Q689">
        <v>3.1859999999999999</v>
      </c>
      <c r="R689">
        <v>3.1859999999999999</v>
      </c>
      <c r="S689">
        <v>3.1859999999999999</v>
      </c>
      <c r="T689">
        <v>3.1859999999999999</v>
      </c>
      <c r="U689">
        <v>3.1859999999999999</v>
      </c>
      <c r="V689">
        <v>3.1859999999999999</v>
      </c>
      <c r="W689">
        <v>3.1859999999999999</v>
      </c>
      <c r="X689">
        <v>3.1859999999999999</v>
      </c>
      <c r="Y689">
        <v>3.1859999999999999</v>
      </c>
    </row>
    <row r="690" spans="1:25" hidden="1">
      <c r="A690" t="s">
        <v>18804</v>
      </c>
      <c r="B690" t="s">
        <v>803</v>
      </c>
      <c r="C690" t="s">
        <v>804</v>
      </c>
      <c r="D690" t="s">
        <v>596</v>
      </c>
      <c r="E690" t="s">
        <v>597</v>
      </c>
      <c r="F690" t="s">
        <v>598</v>
      </c>
      <c r="G690" t="s">
        <v>478</v>
      </c>
      <c r="H690" t="s">
        <v>600</v>
      </c>
      <c r="I690" t="s">
        <v>601</v>
      </c>
      <c r="J690">
        <v>8.8999999999999999E-3</v>
      </c>
      <c r="K690">
        <v>8.8000000000000005E-3</v>
      </c>
      <c r="L690">
        <v>8.6999999999999994E-3</v>
      </c>
      <c r="M690">
        <v>8.8000000000000005E-3</v>
      </c>
      <c r="N690">
        <v>8.6999999999999994E-3</v>
      </c>
      <c r="O690">
        <v>8.6999999999999994E-3</v>
      </c>
      <c r="P690">
        <v>8.6E-3</v>
      </c>
      <c r="Q690">
        <v>8.9999999999999993E-3</v>
      </c>
      <c r="R690">
        <v>8.8999999999999999E-3</v>
      </c>
      <c r="S690">
        <v>8.8000000000000005E-3</v>
      </c>
      <c r="T690">
        <v>8.8000000000000005E-3</v>
      </c>
      <c r="U690">
        <v>8.6999999999999994E-3</v>
      </c>
      <c r="V690">
        <v>8.6999999999999994E-3</v>
      </c>
      <c r="W690">
        <v>8.8000000000000005E-3</v>
      </c>
      <c r="X690">
        <v>8.6999999999999994E-3</v>
      </c>
      <c r="Y690">
        <v>8.6999999999999994E-3</v>
      </c>
    </row>
    <row r="691" spans="1:25" hidden="1">
      <c r="A691" t="s">
        <v>18804</v>
      </c>
      <c r="B691" t="s">
        <v>815</v>
      </c>
      <c r="C691" t="s">
        <v>804</v>
      </c>
      <c r="D691" t="s">
        <v>671</v>
      </c>
      <c r="E691" t="s">
        <v>597</v>
      </c>
      <c r="F691" t="s">
        <v>598</v>
      </c>
      <c r="G691" t="s">
        <v>478</v>
      </c>
      <c r="H691" t="s">
        <v>600</v>
      </c>
      <c r="I691" t="s">
        <v>601</v>
      </c>
      <c r="J691">
        <v>1.3599999999999999E-2</v>
      </c>
      <c r="K691">
        <v>1.34E-2</v>
      </c>
      <c r="L691">
        <v>1.32E-2</v>
      </c>
      <c r="M691">
        <v>1.34E-2</v>
      </c>
      <c r="N691">
        <v>1.41E-2</v>
      </c>
      <c r="O691">
        <v>1.3899999999999999E-2</v>
      </c>
      <c r="P691">
        <v>1.3899999999999999E-2</v>
      </c>
      <c r="Q691">
        <v>1.37E-2</v>
      </c>
      <c r="R691">
        <v>1.3599999999999999E-2</v>
      </c>
      <c r="S691">
        <v>1.34E-2</v>
      </c>
      <c r="T691">
        <v>1.34E-2</v>
      </c>
      <c r="U691">
        <v>1.3299999999999999E-2</v>
      </c>
      <c r="V691">
        <v>1.3299999999999999E-2</v>
      </c>
      <c r="W691">
        <v>1.34E-2</v>
      </c>
      <c r="X691">
        <v>1.32E-2</v>
      </c>
      <c r="Y691">
        <v>1.32E-2</v>
      </c>
    </row>
    <row r="692" spans="1:25" hidden="1">
      <c r="A692" t="s">
        <v>18804</v>
      </c>
      <c r="B692" t="s">
        <v>825</v>
      </c>
      <c r="C692" t="s">
        <v>804</v>
      </c>
      <c r="D692" t="s">
        <v>621</v>
      </c>
      <c r="E692" t="s">
        <v>628</v>
      </c>
      <c r="F692" t="s">
        <v>598</v>
      </c>
      <c r="G692" t="s">
        <v>478</v>
      </c>
      <c r="H692" t="s">
        <v>600</v>
      </c>
      <c r="I692" t="s">
        <v>601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18804</v>
      </c>
      <c r="B693" t="s">
        <v>830</v>
      </c>
      <c r="C693" t="s">
        <v>804</v>
      </c>
      <c r="D693" t="s">
        <v>828</v>
      </c>
      <c r="E693" t="s">
        <v>628</v>
      </c>
      <c r="F693" t="s">
        <v>831</v>
      </c>
      <c r="G693" t="s">
        <v>478</v>
      </c>
      <c r="H693" t="s">
        <v>600</v>
      </c>
      <c r="I693" t="s">
        <v>601</v>
      </c>
      <c r="J693">
        <v>0.4728</v>
      </c>
      <c r="K693">
        <v>0.1832</v>
      </c>
      <c r="L693">
        <v>0.16450000000000001</v>
      </c>
      <c r="M693">
        <v>0.1507</v>
      </c>
      <c r="N693">
        <v>0.1484</v>
      </c>
      <c r="O693">
        <v>0.1469</v>
      </c>
      <c r="P693">
        <v>0.14549999999999999</v>
      </c>
      <c r="Q693">
        <v>0.1429</v>
      </c>
      <c r="R693">
        <v>0.14030000000000001</v>
      </c>
      <c r="S693">
        <v>0.1376</v>
      </c>
      <c r="T693">
        <v>0.13500000000000001</v>
      </c>
      <c r="U693">
        <v>0.13109999999999999</v>
      </c>
      <c r="V693">
        <v>0.12720000000000001</v>
      </c>
      <c r="W693">
        <v>0.12189999999999999</v>
      </c>
      <c r="X693">
        <v>0.11650000000000001</v>
      </c>
      <c r="Y693">
        <v>0.1111</v>
      </c>
    </row>
    <row r="694" spans="1:25" hidden="1">
      <c r="A694" t="s">
        <v>18804</v>
      </c>
      <c r="B694" t="s">
        <v>832</v>
      </c>
      <c r="C694" t="s">
        <v>804</v>
      </c>
      <c r="D694" t="s">
        <v>828</v>
      </c>
      <c r="E694" t="s">
        <v>628</v>
      </c>
      <c r="F694" t="s">
        <v>833</v>
      </c>
      <c r="G694" t="s">
        <v>478</v>
      </c>
      <c r="H694" t="s">
        <v>600</v>
      </c>
      <c r="I694" t="s">
        <v>601</v>
      </c>
      <c r="J694">
        <v>0.24390000000000001</v>
      </c>
      <c r="K694">
        <v>0.23080000000000001</v>
      </c>
      <c r="L694">
        <v>0.218</v>
      </c>
      <c r="M694">
        <v>0.2054</v>
      </c>
      <c r="N694">
        <v>0.19220000000000001</v>
      </c>
      <c r="O694">
        <v>0.1784</v>
      </c>
      <c r="P694">
        <v>0.1638</v>
      </c>
      <c r="Q694">
        <v>0.15</v>
      </c>
      <c r="R694">
        <v>0.13730000000000001</v>
      </c>
      <c r="S694">
        <v>0.12559999999999999</v>
      </c>
      <c r="T694">
        <v>0.1154</v>
      </c>
      <c r="U694">
        <v>0.1056</v>
      </c>
      <c r="V694">
        <v>9.64E-2</v>
      </c>
      <c r="W694">
        <v>8.8200000000000001E-2</v>
      </c>
      <c r="X694">
        <v>8.0199999999999994E-2</v>
      </c>
      <c r="Y694">
        <v>7.2900000000000006E-2</v>
      </c>
    </row>
    <row r="695" spans="1:25" hidden="1">
      <c r="A695" t="s">
        <v>18804</v>
      </c>
      <c r="B695" t="s">
        <v>842</v>
      </c>
      <c r="C695" t="s">
        <v>841</v>
      </c>
      <c r="D695" t="s">
        <v>596</v>
      </c>
      <c r="E695" t="s">
        <v>597</v>
      </c>
      <c r="F695" t="s">
        <v>598</v>
      </c>
      <c r="G695" t="s">
        <v>478</v>
      </c>
      <c r="H695" t="s">
        <v>600</v>
      </c>
      <c r="I695" t="s">
        <v>601</v>
      </c>
      <c r="J695">
        <v>8.0000000000000002E-3</v>
      </c>
      <c r="K695">
        <v>8.0999999999999996E-3</v>
      </c>
      <c r="L695">
        <v>8.2000000000000007E-3</v>
      </c>
      <c r="M695">
        <v>8.3999999999999995E-3</v>
      </c>
      <c r="N695">
        <v>8.5000000000000006E-3</v>
      </c>
      <c r="O695">
        <v>8.5000000000000006E-3</v>
      </c>
      <c r="P695">
        <v>8.6E-3</v>
      </c>
      <c r="Q695">
        <v>8.6999999999999994E-3</v>
      </c>
      <c r="R695">
        <v>8.6999999999999994E-3</v>
      </c>
      <c r="S695">
        <v>8.6999999999999994E-3</v>
      </c>
      <c r="T695">
        <v>8.6999999999999994E-3</v>
      </c>
      <c r="U695">
        <v>8.6999999999999994E-3</v>
      </c>
      <c r="V695">
        <v>8.6999999999999994E-3</v>
      </c>
      <c r="W695">
        <v>8.6999999999999994E-3</v>
      </c>
      <c r="X695">
        <v>8.6999999999999994E-3</v>
      </c>
      <c r="Y695">
        <v>8.8000000000000005E-3</v>
      </c>
    </row>
    <row r="696" spans="1:25" hidden="1">
      <c r="A696" t="s">
        <v>18804</v>
      </c>
      <c r="B696" t="s">
        <v>847</v>
      </c>
      <c r="C696" t="s">
        <v>841</v>
      </c>
      <c r="D696" t="s">
        <v>596</v>
      </c>
      <c r="E696" t="s">
        <v>808</v>
      </c>
      <c r="F696" t="s">
        <v>598</v>
      </c>
      <c r="G696" t="s">
        <v>478</v>
      </c>
      <c r="H696" t="s">
        <v>600</v>
      </c>
      <c r="I696" t="s">
        <v>601</v>
      </c>
      <c r="J696">
        <v>1E-3</v>
      </c>
      <c r="K696">
        <v>1E-3</v>
      </c>
      <c r="L696">
        <v>1E-3</v>
      </c>
      <c r="M696">
        <v>1E-3</v>
      </c>
      <c r="N696">
        <v>1E-3</v>
      </c>
      <c r="O696">
        <v>1E-3</v>
      </c>
      <c r="P696">
        <v>1E-3</v>
      </c>
      <c r="Q696">
        <v>1E-3</v>
      </c>
      <c r="R696">
        <v>1E-3</v>
      </c>
      <c r="S696">
        <v>1E-3</v>
      </c>
      <c r="T696">
        <v>1E-3</v>
      </c>
      <c r="U696">
        <v>1E-3</v>
      </c>
      <c r="V696">
        <v>1E-3</v>
      </c>
      <c r="W696">
        <v>1E-3</v>
      </c>
      <c r="X696">
        <v>1E-3</v>
      </c>
      <c r="Y696">
        <v>1E-3</v>
      </c>
    </row>
    <row r="697" spans="1:25" hidden="1">
      <c r="A697" t="s">
        <v>18804</v>
      </c>
      <c r="B697" t="s">
        <v>855</v>
      </c>
      <c r="C697" t="s">
        <v>841</v>
      </c>
      <c r="D697" t="s">
        <v>671</v>
      </c>
      <c r="E697" t="s">
        <v>597</v>
      </c>
      <c r="F697" t="s">
        <v>598</v>
      </c>
      <c r="G697" t="s">
        <v>478</v>
      </c>
      <c r="H697" t="s">
        <v>600</v>
      </c>
      <c r="I697" t="s">
        <v>601</v>
      </c>
      <c r="J697">
        <v>3.0000000000000001E-3</v>
      </c>
      <c r="K697">
        <v>3.0000000000000001E-3</v>
      </c>
      <c r="L697">
        <v>3.0999999999999999E-3</v>
      </c>
      <c r="M697">
        <v>3.2000000000000002E-3</v>
      </c>
      <c r="N697">
        <v>3.2000000000000002E-3</v>
      </c>
      <c r="O697">
        <v>3.2000000000000002E-3</v>
      </c>
      <c r="P697">
        <v>3.2000000000000002E-3</v>
      </c>
      <c r="Q697">
        <v>3.3E-3</v>
      </c>
      <c r="R697">
        <v>3.3E-3</v>
      </c>
      <c r="S697">
        <v>3.3E-3</v>
      </c>
      <c r="T697">
        <v>3.3E-3</v>
      </c>
      <c r="U697">
        <v>3.2000000000000002E-3</v>
      </c>
      <c r="V697">
        <v>3.2000000000000002E-3</v>
      </c>
      <c r="W697">
        <v>3.3E-3</v>
      </c>
      <c r="X697">
        <v>3.3E-3</v>
      </c>
      <c r="Y697">
        <v>3.3E-3</v>
      </c>
    </row>
    <row r="698" spans="1:25" hidden="1">
      <c r="A698" t="s">
        <v>18804</v>
      </c>
      <c r="B698" t="s">
        <v>867</v>
      </c>
      <c r="C698" t="s">
        <v>841</v>
      </c>
      <c r="D698" t="s">
        <v>621</v>
      </c>
      <c r="E698" t="s">
        <v>649</v>
      </c>
      <c r="F698" t="s">
        <v>598</v>
      </c>
      <c r="G698" t="s">
        <v>478</v>
      </c>
      <c r="H698" t="s">
        <v>600</v>
      </c>
      <c r="I698" t="s">
        <v>601</v>
      </c>
      <c r="J698">
        <v>3.32E-2</v>
      </c>
      <c r="K698">
        <v>3.32E-2</v>
      </c>
      <c r="L698">
        <v>3.32E-2</v>
      </c>
      <c r="M698">
        <v>3.32E-2</v>
      </c>
      <c r="N698">
        <v>3.32E-2</v>
      </c>
      <c r="O698">
        <v>3.32E-2</v>
      </c>
      <c r="P698">
        <v>3.32E-2</v>
      </c>
      <c r="Q698">
        <v>3.32E-2</v>
      </c>
      <c r="R698">
        <v>3.32E-2</v>
      </c>
      <c r="S698">
        <v>3.32E-2</v>
      </c>
      <c r="T698">
        <v>3.32E-2</v>
      </c>
      <c r="U698">
        <v>3.32E-2</v>
      </c>
      <c r="V698">
        <v>3.32E-2</v>
      </c>
      <c r="W698">
        <v>3.32E-2</v>
      </c>
      <c r="X698">
        <v>3.32E-2</v>
      </c>
      <c r="Y698">
        <v>3.32E-2</v>
      </c>
    </row>
    <row r="699" spans="1:25" hidden="1">
      <c r="A699" t="s">
        <v>18804</v>
      </c>
      <c r="B699" t="s">
        <v>871</v>
      </c>
      <c r="C699" t="s">
        <v>841</v>
      </c>
      <c r="D699" t="s">
        <v>621</v>
      </c>
      <c r="E699" t="s">
        <v>605</v>
      </c>
      <c r="F699" t="s">
        <v>598</v>
      </c>
      <c r="G699" t="s">
        <v>478</v>
      </c>
      <c r="H699" t="s">
        <v>600</v>
      </c>
      <c r="I699" t="s">
        <v>601</v>
      </c>
      <c r="J699">
        <v>2.1299999999999999E-2</v>
      </c>
      <c r="K699">
        <v>2.1299999999999999E-2</v>
      </c>
      <c r="L699">
        <v>2.1299999999999999E-2</v>
      </c>
      <c r="M699">
        <v>2.1299999999999999E-2</v>
      </c>
      <c r="N699">
        <v>2.1299999999999999E-2</v>
      </c>
      <c r="O699">
        <v>2.1299999999999999E-2</v>
      </c>
      <c r="P699">
        <v>2.1299999999999999E-2</v>
      </c>
      <c r="Q699">
        <v>2.1299999999999999E-2</v>
      </c>
      <c r="R699">
        <v>2.1299999999999999E-2</v>
      </c>
      <c r="S699">
        <v>2.1299999999999999E-2</v>
      </c>
      <c r="T699">
        <v>2.1299999999999999E-2</v>
      </c>
      <c r="U699">
        <v>2.1299999999999999E-2</v>
      </c>
      <c r="V699">
        <v>2.1299999999999999E-2</v>
      </c>
      <c r="W699">
        <v>2.1299999999999999E-2</v>
      </c>
      <c r="X699">
        <v>2.1299999999999999E-2</v>
      </c>
      <c r="Y699">
        <v>2.1299999999999999E-2</v>
      </c>
    </row>
    <row r="700" spans="1:25" hidden="1">
      <c r="A700" t="s">
        <v>18804</v>
      </c>
      <c r="B700" t="s">
        <v>876</v>
      </c>
      <c r="C700" t="s">
        <v>841</v>
      </c>
      <c r="D700" t="s">
        <v>621</v>
      </c>
      <c r="E700" t="s">
        <v>628</v>
      </c>
      <c r="F700" t="s">
        <v>598</v>
      </c>
      <c r="G700" t="s">
        <v>478</v>
      </c>
      <c r="H700" t="s">
        <v>600</v>
      </c>
      <c r="I700" t="s">
        <v>601</v>
      </c>
      <c r="J700">
        <v>4.1000000000000003E-3</v>
      </c>
      <c r="K700">
        <v>4.1000000000000003E-3</v>
      </c>
      <c r="L700">
        <v>4.1000000000000003E-3</v>
      </c>
      <c r="M700">
        <v>4.1000000000000003E-3</v>
      </c>
      <c r="N700">
        <v>4.1000000000000003E-3</v>
      </c>
      <c r="O700">
        <v>4.1000000000000003E-3</v>
      </c>
      <c r="P700">
        <v>4.1000000000000003E-3</v>
      </c>
      <c r="Q700">
        <v>2.8E-3</v>
      </c>
      <c r="R700">
        <v>2.8E-3</v>
      </c>
      <c r="S700">
        <v>2.8E-3</v>
      </c>
      <c r="T700">
        <v>2.8E-3</v>
      </c>
      <c r="U700">
        <v>2.8E-3</v>
      </c>
      <c r="V700">
        <v>2.8E-3</v>
      </c>
      <c r="W700">
        <v>2.8E-3</v>
      </c>
      <c r="X700">
        <v>2.8E-3</v>
      </c>
      <c r="Y700">
        <v>2.8E-3</v>
      </c>
    </row>
    <row r="701" spans="1:25" hidden="1">
      <c r="A701" t="s">
        <v>18804</v>
      </c>
      <c r="B701" t="s">
        <v>885</v>
      </c>
      <c r="C701" t="s">
        <v>841</v>
      </c>
      <c r="D701" t="s">
        <v>632</v>
      </c>
      <c r="E701" t="s">
        <v>628</v>
      </c>
      <c r="F701" t="s">
        <v>598</v>
      </c>
      <c r="G701" t="s">
        <v>478</v>
      </c>
      <c r="H701" t="s">
        <v>600</v>
      </c>
      <c r="I701" t="s">
        <v>601</v>
      </c>
      <c r="J701">
        <v>2.0999999999999999E-3</v>
      </c>
      <c r="K701">
        <v>2.0999999999999999E-3</v>
      </c>
      <c r="L701">
        <v>2.0999999999999999E-3</v>
      </c>
      <c r="M701">
        <v>2.0999999999999999E-3</v>
      </c>
      <c r="N701">
        <v>2.0999999999999999E-3</v>
      </c>
      <c r="O701">
        <v>2.0999999999999999E-3</v>
      </c>
      <c r="P701">
        <v>2.0999999999999999E-3</v>
      </c>
      <c r="Q701">
        <v>2.0999999999999999E-3</v>
      </c>
      <c r="R701">
        <v>2.0999999999999999E-3</v>
      </c>
      <c r="S701">
        <v>2.0999999999999999E-3</v>
      </c>
      <c r="T701">
        <v>2.0999999999999999E-3</v>
      </c>
      <c r="U701">
        <v>2.0999999999999999E-3</v>
      </c>
      <c r="V701">
        <v>2.0999999999999999E-3</v>
      </c>
      <c r="W701">
        <v>2.0999999999999999E-3</v>
      </c>
      <c r="X701">
        <v>2.0999999999999999E-3</v>
      </c>
      <c r="Y701">
        <v>2.0999999999999999E-3</v>
      </c>
    </row>
    <row r="702" spans="1:25" hidden="1">
      <c r="A702" t="s">
        <v>18804</v>
      </c>
      <c r="B702" t="s">
        <v>902</v>
      </c>
      <c r="C702" t="s">
        <v>841</v>
      </c>
      <c r="D702" t="s">
        <v>648</v>
      </c>
      <c r="E702" t="s">
        <v>597</v>
      </c>
      <c r="F702" t="s">
        <v>598</v>
      </c>
      <c r="G702" t="s">
        <v>478</v>
      </c>
      <c r="H702" t="s">
        <v>600</v>
      </c>
      <c r="I702" t="s">
        <v>601</v>
      </c>
      <c r="J702">
        <v>1.2815000000000001</v>
      </c>
      <c r="K702">
        <v>1.2998000000000001</v>
      </c>
      <c r="L702">
        <v>1.3194999999999999</v>
      </c>
      <c r="M702">
        <v>1.3447</v>
      </c>
      <c r="N702">
        <v>1.3601000000000001</v>
      </c>
      <c r="O702">
        <v>1.3714</v>
      </c>
      <c r="P702">
        <v>1.3812</v>
      </c>
      <c r="Q702">
        <v>1.3884000000000001</v>
      </c>
      <c r="R702">
        <v>1.3926000000000001</v>
      </c>
      <c r="S702">
        <v>1.3942000000000001</v>
      </c>
      <c r="T702">
        <v>1.3905000000000001</v>
      </c>
      <c r="U702">
        <v>1.3863000000000001</v>
      </c>
      <c r="V702">
        <v>1.3888</v>
      </c>
      <c r="W702">
        <v>1.3977999999999999</v>
      </c>
      <c r="X702">
        <v>1.405</v>
      </c>
      <c r="Y702">
        <v>1.4148000000000001</v>
      </c>
    </row>
    <row r="703" spans="1:25" hidden="1">
      <c r="A703" t="s">
        <v>18804</v>
      </c>
      <c r="B703" t="s">
        <v>912</v>
      </c>
      <c r="C703" t="s">
        <v>841</v>
      </c>
      <c r="D703" t="s">
        <v>648</v>
      </c>
      <c r="E703" t="s">
        <v>676</v>
      </c>
      <c r="F703" t="s">
        <v>598</v>
      </c>
      <c r="G703" t="s">
        <v>478</v>
      </c>
      <c r="H703" t="s">
        <v>600</v>
      </c>
      <c r="I703" t="s">
        <v>601</v>
      </c>
      <c r="J703">
        <v>5.0000000000000001E-4</v>
      </c>
      <c r="K703">
        <v>5.0000000000000001E-4</v>
      </c>
      <c r="L703">
        <v>5.0000000000000001E-4</v>
      </c>
      <c r="M703">
        <v>5.0000000000000001E-4</v>
      </c>
      <c r="N703">
        <v>5.0000000000000001E-4</v>
      </c>
      <c r="O703">
        <v>5.0000000000000001E-4</v>
      </c>
      <c r="P703">
        <v>5.0000000000000001E-4</v>
      </c>
      <c r="Q703">
        <v>5.0000000000000001E-4</v>
      </c>
      <c r="R703">
        <v>5.0000000000000001E-4</v>
      </c>
      <c r="S703">
        <v>5.0000000000000001E-4</v>
      </c>
      <c r="T703">
        <v>5.0000000000000001E-4</v>
      </c>
      <c r="U703">
        <v>5.0000000000000001E-4</v>
      </c>
      <c r="V703">
        <v>5.0000000000000001E-4</v>
      </c>
      <c r="W703">
        <v>5.0000000000000001E-4</v>
      </c>
      <c r="X703">
        <v>5.0000000000000001E-4</v>
      </c>
      <c r="Y703">
        <v>5.0000000000000001E-4</v>
      </c>
    </row>
    <row r="704" spans="1:25" hidden="1">
      <c r="A704" t="s">
        <v>18804</v>
      </c>
      <c r="B704" t="s">
        <v>916</v>
      </c>
      <c r="C704" t="s">
        <v>914</v>
      </c>
      <c r="D704" t="s">
        <v>621</v>
      </c>
      <c r="E704" t="s">
        <v>628</v>
      </c>
      <c r="F704" t="s">
        <v>598</v>
      </c>
      <c r="G704" t="s">
        <v>478</v>
      </c>
      <c r="H704" t="s">
        <v>600</v>
      </c>
      <c r="I704" t="s">
        <v>601</v>
      </c>
      <c r="J704">
        <v>0.15783839999999999</v>
      </c>
      <c r="K704">
        <v>0.1580712</v>
      </c>
      <c r="L704">
        <v>0.15822639999999999</v>
      </c>
      <c r="M704">
        <v>0.15853680000000001</v>
      </c>
      <c r="N704">
        <v>0.158692</v>
      </c>
      <c r="O704">
        <v>0.13455839999999999</v>
      </c>
      <c r="P704">
        <v>0.13471359999999999</v>
      </c>
      <c r="Q704">
        <v>0.13494639999999999</v>
      </c>
      <c r="R704">
        <v>0.13510159999999999</v>
      </c>
      <c r="S704">
        <v>0.13525680000000001</v>
      </c>
      <c r="T704">
        <v>0.135412</v>
      </c>
      <c r="U704">
        <v>0.13564480000000001</v>
      </c>
      <c r="V704">
        <v>0.1358</v>
      </c>
      <c r="W704">
        <v>0.1359552</v>
      </c>
      <c r="X704">
        <v>0.136188</v>
      </c>
      <c r="Y704">
        <v>0.13642080000000001</v>
      </c>
    </row>
    <row r="705" spans="1:25" hidden="1">
      <c r="A705" t="s">
        <v>18804</v>
      </c>
      <c r="B705" t="s">
        <v>919</v>
      </c>
      <c r="C705" t="s">
        <v>914</v>
      </c>
      <c r="D705" t="s">
        <v>648</v>
      </c>
      <c r="E705" t="s">
        <v>920</v>
      </c>
      <c r="F705" t="s">
        <v>598</v>
      </c>
      <c r="G705" t="s">
        <v>478</v>
      </c>
      <c r="H705" t="s">
        <v>600</v>
      </c>
      <c r="I705" t="s">
        <v>601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18804</v>
      </c>
      <c r="B706" t="s">
        <v>924</v>
      </c>
      <c r="C706" t="s">
        <v>925</v>
      </c>
      <c r="D706" t="s">
        <v>926</v>
      </c>
      <c r="E706" t="s">
        <v>927</v>
      </c>
      <c r="F706" t="s">
        <v>598</v>
      </c>
      <c r="G706" t="s">
        <v>478</v>
      </c>
      <c r="H706" t="s">
        <v>600</v>
      </c>
      <c r="I706" t="s">
        <v>601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18804</v>
      </c>
      <c r="B707" t="s">
        <v>947</v>
      </c>
      <c r="C707" t="s">
        <v>943</v>
      </c>
      <c r="D707" t="s">
        <v>946</v>
      </c>
      <c r="E707" t="s">
        <v>948</v>
      </c>
      <c r="F707" t="s">
        <v>598</v>
      </c>
      <c r="G707" t="s">
        <v>478</v>
      </c>
      <c r="H707" t="s">
        <v>600</v>
      </c>
      <c r="I707" t="s">
        <v>601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18804</v>
      </c>
      <c r="B708" t="s">
        <v>951</v>
      </c>
      <c r="C708" t="s">
        <v>943</v>
      </c>
      <c r="D708" t="s">
        <v>934</v>
      </c>
      <c r="E708" t="s">
        <v>937</v>
      </c>
      <c r="F708" t="s">
        <v>598</v>
      </c>
      <c r="G708" t="s">
        <v>478</v>
      </c>
      <c r="H708" t="s">
        <v>600</v>
      </c>
      <c r="I708" t="s">
        <v>601</v>
      </c>
      <c r="J708">
        <v>2.06E-2</v>
      </c>
      <c r="K708">
        <v>2.0799999999999999E-2</v>
      </c>
      <c r="L708">
        <v>2.0799999999999999E-2</v>
      </c>
      <c r="M708">
        <v>2.1000000000000001E-2</v>
      </c>
      <c r="N708">
        <v>2.12E-2</v>
      </c>
      <c r="O708">
        <v>2.1299999999999999E-2</v>
      </c>
      <c r="P708">
        <v>2.1399999999999999E-2</v>
      </c>
      <c r="Q708">
        <v>2.1600000000000001E-2</v>
      </c>
      <c r="R708">
        <v>2.1700000000000001E-2</v>
      </c>
      <c r="S708">
        <v>2.1899999999999999E-2</v>
      </c>
      <c r="T708">
        <v>2.1999999999999999E-2</v>
      </c>
      <c r="U708">
        <v>2.2100000000000002E-2</v>
      </c>
      <c r="V708">
        <v>2.23E-2</v>
      </c>
      <c r="W708">
        <v>2.2499999999999999E-2</v>
      </c>
      <c r="X708">
        <v>2.2499999999999999E-2</v>
      </c>
      <c r="Y708">
        <v>2.2499999999999999E-2</v>
      </c>
    </row>
    <row r="709" spans="1:25" hidden="1">
      <c r="A709" t="s">
        <v>18804</v>
      </c>
      <c r="B709" t="s">
        <v>965</v>
      </c>
      <c r="C709" t="s">
        <v>956</v>
      </c>
      <c r="D709" t="s">
        <v>934</v>
      </c>
      <c r="E709" t="s">
        <v>937</v>
      </c>
      <c r="F709" t="s">
        <v>598</v>
      </c>
      <c r="G709" t="s">
        <v>478</v>
      </c>
      <c r="H709" t="s">
        <v>600</v>
      </c>
      <c r="I709" t="s">
        <v>601</v>
      </c>
      <c r="J709">
        <v>5.9999999999999995E-4</v>
      </c>
      <c r="K709">
        <v>5.9999999999999995E-4</v>
      </c>
      <c r="L709">
        <v>5.9999999999999995E-4</v>
      </c>
      <c r="M709">
        <v>5.9999999999999995E-4</v>
      </c>
      <c r="N709">
        <v>5.9999999999999995E-4</v>
      </c>
      <c r="O709">
        <v>5.9999999999999995E-4</v>
      </c>
      <c r="P709">
        <v>5.9999999999999995E-4</v>
      </c>
      <c r="Q709">
        <v>6.9999999999999999E-4</v>
      </c>
      <c r="R709">
        <v>6.9999999999999999E-4</v>
      </c>
      <c r="S709">
        <v>6.9999999999999999E-4</v>
      </c>
      <c r="T709">
        <v>6.9999999999999999E-4</v>
      </c>
      <c r="U709">
        <v>6.9999999999999999E-4</v>
      </c>
      <c r="V709">
        <v>6.9999999999999999E-4</v>
      </c>
      <c r="W709">
        <v>6.9999999999999999E-4</v>
      </c>
      <c r="X709">
        <v>6.9999999999999999E-4</v>
      </c>
      <c r="Y709">
        <v>6.9999999999999999E-4</v>
      </c>
    </row>
    <row r="710" spans="1:25" hidden="1">
      <c r="A710" t="s">
        <v>18804</v>
      </c>
      <c r="B710" t="s">
        <v>981</v>
      </c>
      <c r="C710" t="s">
        <v>980</v>
      </c>
      <c r="D710" t="s">
        <v>982</v>
      </c>
      <c r="E710" t="s">
        <v>613</v>
      </c>
      <c r="F710" t="s">
        <v>598</v>
      </c>
      <c r="G710" t="s">
        <v>478</v>
      </c>
      <c r="H710" t="s">
        <v>600</v>
      </c>
      <c r="I710" t="s">
        <v>601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18804</v>
      </c>
      <c r="B711" t="s">
        <v>997</v>
      </c>
      <c r="C711" t="s">
        <v>998</v>
      </c>
      <c r="D711" t="s">
        <v>999</v>
      </c>
      <c r="E711" t="s">
        <v>1000</v>
      </c>
      <c r="F711" t="s">
        <v>598</v>
      </c>
      <c r="G711" t="s">
        <v>478</v>
      </c>
      <c r="H711" t="s">
        <v>600</v>
      </c>
      <c r="I711" t="s">
        <v>601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18804</v>
      </c>
      <c r="B712" t="s">
        <v>1009</v>
      </c>
      <c r="C712" t="s">
        <v>998</v>
      </c>
      <c r="D712" t="s">
        <v>999</v>
      </c>
      <c r="E712" t="s">
        <v>1010</v>
      </c>
      <c r="F712" t="s">
        <v>598</v>
      </c>
      <c r="G712" t="s">
        <v>478</v>
      </c>
      <c r="H712" t="s">
        <v>600</v>
      </c>
      <c r="I712" t="s">
        <v>601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18804</v>
      </c>
      <c r="B713" t="s">
        <v>1015</v>
      </c>
      <c r="C713" t="s">
        <v>1016</v>
      </c>
      <c r="D713" t="s">
        <v>1017</v>
      </c>
      <c r="E713" t="s">
        <v>1018</v>
      </c>
      <c r="F713" t="s">
        <v>598</v>
      </c>
      <c r="G713" t="s">
        <v>478</v>
      </c>
      <c r="H713" t="s">
        <v>600</v>
      </c>
      <c r="I713" t="s">
        <v>601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18804</v>
      </c>
      <c r="B714" t="s">
        <v>1021</v>
      </c>
      <c r="C714" t="s">
        <v>1016</v>
      </c>
      <c r="D714" t="s">
        <v>1017</v>
      </c>
      <c r="E714" t="s">
        <v>1022</v>
      </c>
      <c r="F714" t="s">
        <v>598</v>
      </c>
      <c r="G714" t="s">
        <v>478</v>
      </c>
      <c r="H714" t="s">
        <v>600</v>
      </c>
      <c r="I714" t="s">
        <v>601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18804</v>
      </c>
      <c r="B715" t="s">
        <v>1023</v>
      </c>
      <c r="C715" t="s">
        <v>1016</v>
      </c>
      <c r="D715" t="s">
        <v>1017</v>
      </c>
      <c r="E715" t="s">
        <v>1024</v>
      </c>
      <c r="F715" t="s">
        <v>598</v>
      </c>
      <c r="G715" t="s">
        <v>478</v>
      </c>
      <c r="H715" t="s">
        <v>600</v>
      </c>
      <c r="I715" t="s">
        <v>601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18804</v>
      </c>
      <c r="B716" t="s">
        <v>1025</v>
      </c>
      <c r="C716" t="s">
        <v>1016</v>
      </c>
      <c r="D716" t="s">
        <v>1017</v>
      </c>
      <c r="E716" t="s">
        <v>1026</v>
      </c>
      <c r="F716" t="s">
        <v>598</v>
      </c>
      <c r="G716" t="s">
        <v>478</v>
      </c>
      <c r="H716" t="s">
        <v>600</v>
      </c>
      <c r="I716" t="s">
        <v>601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18804</v>
      </c>
      <c r="B717" t="s">
        <v>1029</v>
      </c>
      <c r="C717" t="s">
        <v>1016</v>
      </c>
      <c r="D717" t="s">
        <v>1017</v>
      </c>
      <c r="E717" t="s">
        <v>1030</v>
      </c>
      <c r="F717" t="s">
        <v>598</v>
      </c>
      <c r="G717" t="s">
        <v>478</v>
      </c>
      <c r="H717" t="s">
        <v>600</v>
      </c>
      <c r="I717" t="s">
        <v>601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18804</v>
      </c>
      <c r="B718" t="s">
        <v>1034</v>
      </c>
      <c r="C718" t="s">
        <v>1016</v>
      </c>
      <c r="D718" t="s">
        <v>1017</v>
      </c>
      <c r="E718" t="s">
        <v>1035</v>
      </c>
      <c r="F718" t="s">
        <v>598</v>
      </c>
      <c r="G718" t="s">
        <v>478</v>
      </c>
      <c r="H718" t="s">
        <v>600</v>
      </c>
      <c r="I718" t="s">
        <v>601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18804</v>
      </c>
      <c r="B719" t="s">
        <v>1037</v>
      </c>
      <c r="C719" t="s">
        <v>1016</v>
      </c>
      <c r="D719" t="s">
        <v>1017</v>
      </c>
      <c r="E719" t="s">
        <v>1038</v>
      </c>
      <c r="F719" t="s">
        <v>598</v>
      </c>
      <c r="G719" t="s">
        <v>478</v>
      </c>
      <c r="H719" t="s">
        <v>600</v>
      </c>
      <c r="I719" t="s">
        <v>601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18804</v>
      </c>
      <c r="B720" t="s">
        <v>1039</v>
      </c>
      <c r="C720" t="s">
        <v>1016</v>
      </c>
      <c r="D720" t="s">
        <v>1017</v>
      </c>
      <c r="E720" t="s">
        <v>1040</v>
      </c>
      <c r="F720" t="s">
        <v>598</v>
      </c>
      <c r="G720" t="s">
        <v>478</v>
      </c>
      <c r="H720" t="s">
        <v>600</v>
      </c>
      <c r="I720" t="s">
        <v>601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hidden="1">
      <c r="A721" t="s">
        <v>18804</v>
      </c>
      <c r="B721" t="s">
        <v>1041</v>
      </c>
      <c r="C721" t="s">
        <v>1016</v>
      </c>
      <c r="D721" t="s">
        <v>1017</v>
      </c>
      <c r="E721" t="s">
        <v>1042</v>
      </c>
      <c r="F721" t="s">
        <v>598</v>
      </c>
      <c r="G721" t="s">
        <v>478</v>
      </c>
      <c r="H721" t="s">
        <v>600</v>
      </c>
      <c r="I721" t="s">
        <v>601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18804</v>
      </c>
      <c r="B722" t="s">
        <v>1047</v>
      </c>
      <c r="C722" t="s">
        <v>1016</v>
      </c>
      <c r="D722" t="s">
        <v>1017</v>
      </c>
      <c r="E722" t="s">
        <v>1048</v>
      </c>
      <c r="F722" t="s">
        <v>598</v>
      </c>
      <c r="G722" t="s">
        <v>478</v>
      </c>
      <c r="H722" t="s">
        <v>600</v>
      </c>
      <c r="I722" t="s">
        <v>601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18804</v>
      </c>
      <c r="B723" t="s">
        <v>1049</v>
      </c>
      <c r="C723" t="s">
        <v>1016</v>
      </c>
      <c r="D723" t="s">
        <v>1050</v>
      </c>
      <c r="E723" t="s">
        <v>1024</v>
      </c>
      <c r="F723" t="s">
        <v>598</v>
      </c>
      <c r="G723" t="s">
        <v>478</v>
      </c>
      <c r="H723" t="s">
        <v>600</v>
      </c>
      <c r="I723" t="s">
        <v>601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18804</v>
      </c>
      <c r="B724" t="s">
        <v>1051</v>
      </c>
      <c r="C724" t="s">
        <v>1016</v>
      </c>
      <c r="D724" t="s">
        <v>1050</v>
      </c>
      <c r="E724" t="s">
        <v>1052</v>
      </c>
      <c r="F724" t="s">
        <v>598</v>
      </c>
      <c r="G724" t="s">
        <v>478</v>
      </c>
      <c r="H724" t="s">
        <v>600</v>
      </c>
      <c r="I724" t="s">
        <v>601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18804</v>
      </c>
      <c r="B725" t="s">
        <v>1054</v>
      </c>
      <c r="C725" t="s">
        <v>1016</v>
      </c>
      <c r="D725" t="s">
        <v>1050</v>
      </c>
      <c r="E725" t="s">
        <v>1055</v>
      </c>
      <c r="F725" t="s">
        <v>598</v>
      </c>
      <c r="G725" t="s">
        <v>478</v>
      </c>
      <c r="H725" t="s">
        <v>600</v>
      </c>
      <c r="I725" t="s">
        <v>601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18804</v>
      </c>
      <c r="B726" t="s">
        <v>1059</v>
      </c>
      <c r="C726" t="s">
        <v>1016</v>
      </c>
      <c r="D726" t="s">
        <v>1050</v>
      </c>
      <c r="E726" t="s">
        <v>1042</v>
      </c>
      <c r="F726" t="s">
        <v>598</v>
      </c>
      <c r="G726" t="s">
        <v>478</v>
      </c>
      <c r="H726" t="s">
        <v>600</v>
      </c>
      <c r="I726" t="s">
        <v>601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18804</v>
      </c>
      <c r="B727" t="s">
        <v>1060</v>
      </c>
      <c r="C727" t="s">
        <v>1016</v>
      </c>
      <c r="D727" t="s">
        <v>1050</v>
      </c>
      <c r="E727" t="s">
        <v>1044</v>
      </c>
      <c r="F727" t="s">
        <v>598</v>
      </c>
      <c r="G727" t="s">
        <v>478</v>
      </c>
      <c r="H727" t="s">
        <v>600</v>
      </c>
      <c r="I727" t="s">
        <v>601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18804</v>
      </c>
      <c r="B728" t="s">
        <v>1062</v>
      </c>
      <c r="C728" t="s">
        <v>1016</v>
      </c>
      <c r="D728" t="s">
        <v>1063</v>
      </c>
      <c r="E728" t="s">
        <v>1018</v>
      </c>
      <c r="F728" t="s">
        <v>598</v>
      </c>
      <c r="G728" t="s">
        <v>478</v>
      </c>
      <c r="H728" t="s">
        <v>600</v>
      </c>
      <c r="I728" t="s">
        <v>601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18804</v>
      </c>
      <c r="B729" t="s">
        <v>1064</v>
      </c>
      <c r="C729" t="s">
        <v>1016</v>
      </c>
      <c r="D729" t="s">
        <v>1063</v>
      </c>
      <c r="E729" t="s">
        <v>1022</v>
      </c>
      <c r="F729" t="s">
        <v>598</v>
      </c>
      <c r="G729" t="s">
        <v>478</v>
      </c>
      <c r="H729" t="s">
        <v>600</v>
      </c>
      <c r="I729" t="s">
        <v>601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18804</v>
      </c>
      <c r="B730" t="s">
        <v>1065</v>
      </c>
      <c r="C730" t="s">
        <v>1016</v>
      </c>
      <c r="D730" t="s">
        <v>1063</v>
      </c>
      <c r="E730" t="s">
        <v>1024</v>
      </c>
      <c r="F730" t="s">
        <v>598</v>
      </c>
      <c r="G730" t="s">
        <v>478</v>
      </c>
      <c r="H730" t="s">
        <v>600</v>
      </c>
      <c r="I730" t="s">
        <v>601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18804</v>
      </c>
      <c r="B731" t="s">
        <v>1067</v>
      </c>
      <c r="C731" t="s">
        <v>1016</v>
      </c>
      <c r="D731" t="s">
        <v>1063</v>
      </c>
      <c r="E731" t="s">
        <v>1026</v>
      </c>
      <c r="F731" t="s">
        <v>598</v>
      </c>
      <c r="G731" t="s">
        <v>478</v>
      </c>
      <c r="H731" t="s">
        <v>600</v>
      </c>
      <c r="I731" t="s">
        <v>601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18804</v>
      </c>
      <c r="B732" t="s">
        <v>1068</v>
      </c>
      <c r="C732" t="s">
        <v>1016</v>
      </c>
      <c r="D732" t="s">
        <v>1063</v>
      </c>
      <c r="E732" t="s">
        <v>1030</v>
      </c>
      <c r="F732" t="s">
        <v>598</v>
      </c>
      <c r="G732" t="s">
        <v>478</v>
      </c>
      <c r="H732" t="s">
        <v>600</v>
      </c>
      <c r="I732" t="s">
        <v>601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18804</v>
      </c>
      <c r="B733" t="s">
        <v>1069</v>
      </c>
      <c r="C733" t="s">
        <v>1016</v>
      </c>
      <c r="D733" t="s">
        <v>1063</v>
      </c>
      <c r="E733" t="s">
        <v>1035</v>
      </c>
      <c r="F733" t="s">
        <v>598</v>
      </c>
      <c r="G733" t="s">
        <v>478</v>
      </c>
      <c r="H733" t="s">
        <v>600</v>
      </c>
      <c r="I733" t="s">
        <v>601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18804</v>
      </c>
      <c r="B734" t="s">
        <v>1072</v>
      </c>
      <c r="C734" t="s">
        <v>1016</v>
      </c>
      <c r="D734" t="s">
        <v>1063</v>
      </c>
      <c r="E734" t="s">
        <v>1040</v>
      </c>
      <c r="F734" t="s">
        <v>598</v>
      </c>
      <c r="G734" t="s">
        <v>478</v>
      </c>
      <c r="H734" t="s">
        <v>600</v>
      </c>
      <c r="I734" t="s">
        <v>601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18804</v>
      </c>
      <c r="B735" t="s">
        <v>1073</v>
      </c>
      <c r="C735" t="s">
        <v>1016</v>
      </c>
      <c r="D735" t="s">
        <v>1063</v>
      </c>
      <c r="E735" t="s">
        <v>1042</v>
      </c>
      <c r="F735" t="s">
        <v>598</v>
      </c>
      <c r="G735" t="s">
        <v>478</v>
      </c>
      <c r="H735" t="s">
        <v>600</v>
      </c>
      <c r="I735" t="s">
        <v>601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18804</v>
      </c>
      <c r="B736" t="s">
        <v>1075</v>
      </c>
      <c r="C736" t="s">
        <v>1016</v>
      </c>
      <c r="D736" t="s">
        <v>1063</v>
      </c>
      <c r="E736" t="s">
        <v>1046</v>
      </c>
      <c r="F736" t="s">
        <v>598</v>
      </c>
      <c r="G736" t="s">
        <v>478</v>
      </c>
      <c r="H736" t="s">
        <v>600</v>
      </c>
      <c r="I736" t="s">
        <v>601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18804</v>
      </c>
      <c r="B737" t="s">
        <v>1076</v>
      </c>
      <c r="C737" t="s">
        <v>1016</v>
      </c>
      <c r="D737" t="s">
        <v>1063</v>
      </c>
      <c r="E737" t="s">
        <v>1048</v>
      </c>
      <c r="F737" t="s">
        <v>598</v>
      </c>
      <c r="G737" t="s">
        <v>478</v>
      </c>
      <c r="H737" t="s">
        <v>600</v>
      </c>
      <c r="I737" t="s">
        <v>601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18804</v>
      </c>
      <c r="B738" t="s">
        <v>1087</v>
      </c>
      <c r="C738" t="s">
        <v>1079</v>
      </c>
      <c r="D738" t="s">
        <v>1086</v>
      </c>
      <c r="E738" t="s">
        <v>1081</v>
      </c>
      <c r="F738" t="s">
        <v>598</v>
      </c>
      <c r="G738" t="s">
        <v>478</v>
      </c>
      <c r="H738" t="s">
        <v>600</v>
      </c>
      <c r="I738" t="s">
        <v>601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18804</v>
      </c>
      <c r="B739" t="s">
        <v>1144</v>
      </c>
      <c r="C739" t="s">
        <v>1079</v>
      </c>
      <c r="D739" t="s">
        <v>1145</v>
      </c>
      <c r="E739" t="s">
        <v>1081</v>
      </c>
      <c r="F739" t="s">
        <v>598</v>
      </c>
      <c r="G739" t="s">
        <v>478</v>
      </c>
      <c r="H739" t="s">
        <v>600</v>
      </c>
      <c r="I739" t="s">
        <v>601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18804</v>
      </c>
      <c r="B740" t="s">
        <v>1151</v>
      </c>
      <c r="C740" t="s">
        <v>1079</v>
      </c>
      <c r="D740" t="s">
        <v>1145</v>
      </c>
      <c r="E740" t="s">
        <v>1101</v>
      </c>
      <c r="F740" t="s">
        <v>598</v>
      </c>
      <c r="G740" t="s">
        <v>478</v>
      </c>
      <c r="H740" t="s">
        <v>600</v>
      </c>
      <c r="I740" t="s">
        <v>601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hidden="1">
      <c r="A741" t="s">
        <v>18804</v>
      </c>
      <c r="B741" t="s">
        <v>1155</v>
      </c>
      <c r="C741" t="s">
        <v>1079</v>
      </c>
      <c r="D741" t="s">
        <v>1156</v>
      </c>
      <c r="E741" t="s">
        <v>1081</v>
      </c>
      <c r="F741" t="s">
        <v>598</v>
      </c>
      <c r="G741" t="s">
        <v>478</v>
      </c>
      <c r="H741" t="s">
        <v>600</v>
      </c>
      <c r="I741" t="s">
        <v>601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18804</v>
      </c>
      <c r="B742" t="s">
        <v>1160</v>
      </c>
      <c r="C742" t="s">
        <v>1079</v>
      </c>
      <c r="D742" t="s">
        <v>1156</v>
      </c>
      <c r="E742" t="s">
        <v>1099</v>
      </c>
      <c r="F742" t="s">
        <v>598</v>
      </c>
      <c r="G742" t="s">
        <v>478</v>
      </c>
      <c r="H742" t="s">
        <v>600</v>
      </c>
      <c r="I742" t="s">
        <v>601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18804</v>
      </c>
      <c r="B743" t="s">
        <v>1161</v>
      </c>
      <c r="C743" t="s">
        <v>1079</v>
      </c>
      <c r="D743" t="s">
        <v>1156</v>
      </c>
      <c r="E743" t="s">
        <v>1101</v>
      </c>
      <c r="F743" t="s">
        <v>598</v>
      </c>
      <c r="G743" t="s">
        <v>478</v>
      </c>
      <c r="H743" t="s">
        <v>600</v>
      </c>
      <c r="I743" t="s">
        <v>601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18804</v>
      </c>
      <c r="B744" t="s">
        <v>1217</v>
      </c>
      <c r="C744" t="s">
        <v>1079</v>
      </c>
      <c r="D744" t="s">
        <v>1188</v>
      </c>
      <c r="E744" t="s">
        <v>1106</v>
      </c>
      <c r="F744" t="s">
        <v>598</v>
      </c>
      <c r="G744" t="s">
        <v>478</v>
      </c>
      <c r="H744" t="s">
        <v>600</v>
      </c>
      <c r="I744" t="s">
        <v>601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18804</v>
      </c>
      <c r="B745" t="s">
        <v>1221</v>
      </c>
      <c r="C745" t="s">
        <v>1079</v>
      </c>
      <c r="D745" t="s">
        <v>648</v>
      </c>
      <c r="E745" t="s">
        <v>1081</v>
      </c>
      <c r="F745" t="s">
        <v>598</v>
      </c>
      <c r="G745" t="s">
        <v>478</v>
      </c>
      <c r="H745" t="s">
        <v>600</v>
      </c>
      <c r="I745" t="s">
        <v>601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18804</v>
      </c>
      <c r="B746" t="s">
        <v>1227</v>
      </c>
      <c r="C746" t="s">
        <v>1079</v>
      </c>
      <c r="D746" t="s">
        <v>648</v>
      </c>
      <c r="E746" t="s">
        <v>1101</v>
      </c>
      <c r="F746" t="s">
        <v>598</v>
      </c>
      <c r="G746" t="s">
        <v>478</v>
      </c>
      <c r="H746" t="s">
        <v>600</v>
      </c>
      <c r="I746" t="s">
        <v>601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hidden="1">
      <c r="A747" t="s">
        <v>18804</v>
      </c>
      <c r="B747" t="s">
        <v>1228</v>
      </c>
      <c r="C747" t="s">
        <v>1079</v>
      </c>
      <c r="D747" t="s">
        <v>648</v>
      </c>
      <c r="E747" t="s">
        <v>1103</v>
      </c>
      <c r="F747" t="s">
        <v>598</v>
      </c>
      <c r="G747" t="s">
        <v>478</v>
      </c>
      <c r="H747" t="s">
        <v>600</v>
      </c>
      <c r="I747" t="s">
        <v>601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hidden="1">
      <c r="A748" t="s">
        <v>18804</v>
      </c>
      <c r="B748" t="s">
        <v>1244</v>
      </c>
      <c r="C748" t="s">
        <v>1230</v>
      </c>
      <c r="D748" t="s">
        <v>1243</v>
      </c>
      <c r="E748" t="s">
        <v>1239</v>
      </c>
      <c r="F748" t="s">
        <v>598</v>
      </c>
      <c r="G748" t="s">
        <v>478</v>
      </c>
      <c r="H748" t="s">
        <v>600</v>
      </c>
      <c r="I748" t="s">
        <v>601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18804</v>
      </c>
      <c r="B749" t="s">
        <v>1250</v>
      </c>
      <c r="C749" t="s">
        <v>1230</v>
      </c>
      <c r="D749" t="s">
        <v>648</v>
      </c>
      <c r="E749" t="s">
        <v>1004</v>
      </c>
      <c r="F749" t="s">
        <v>598</v>
      </c>
      <c r="G749" t="s">
        <v>478</v>
      </c>
      <c r="H749" t="s">
        <v>600</v>
      </c>
      <c r="I749" t="s">
        <v>601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18804</v>
      </c>
      <c r="B750" t="s">
        <v>1252</v>
      </c>
      <c r="C750" t="s">
        <v>1253</v>
      </c>
      <c r="D750" t="s">
        <v>1254</v>
      </c>
      <c r="E750" t="s">
        <v>1255</v>
      </c>
      <c r="F750" t="s">
        <v>598</v>
      </c>
      <c r="G750" t="s">
        <v>478</v>
      </c>
      <c r="H750" t="s">
        <v>600</v>
      </c>
      <c r="I750" t="s">
        <v>601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hidden="1">
      <c r="A751" t="s">
        <v>18804</v>
      </c>
      <c r="B751" t="s">
        <v>1256</v>
      </c>
      <c r="C751" t="s">
        <v>1253</v>
      </c>
      <c r="D751" t="s">
        <v>1254</v>
      </c>
      <c r="E751" t="s">
        <v>1257</v>
      </c>
      <c r="F751" t="s">
        <v>598</v>
      </c>
      <c r="G751" t="s">
        <v>478</v>
      </c>
      <c r="H751" t="s">
        <v>600</v>
      </c>
      <c r="I751" t="s">
        <v>601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18804</v>
      </c>
      <c r="B752" t="s">
        <v>1258</v>
      </c>
      <c r="C752" t="s">
        <v>1253</v>
      </c>
      <c r="D752" t="s">
        <v>1254</v>
      </c>
      <c r="E752" t="s">
        <v>1259</v>
      </c>
      <c r="F752" t="s">
        <v>598</v>
      </c>
      <c r="G752" t="s">
        <v>478</v>
      </c>
      <c r="H752" t="s">
        <v>600</v>
      </c>
      <c r="I752" t="s">
        <v>601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18804</v>
      </c>
      <c r="B753" t="s">
        <v>1260</v>
      </c>
      <c r="C753" t="s">
        <v>1261</v>
      </c>
      <c r="D753" t="s">
        <v>648</v>
      </c>
      <c r="E753" t="s">
        <v>920</v>
      </c>
      <c r="F753" t="s">
        <v>598</v>
      </c>
      <c r="G753" t="s">
        <v>478</v>
      </c>
      <c r="H753" t="s">
        <v>600</v>
      </c>
      <c r="I753" t="s">
        <v>601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18804</v>
      </c>
      <c r="B754" t="s">
        <v>1269</v>
      </c>
      <c r="C754" t="s">
        <v>1267</v>
      </c>
      <c r="D754" t="s">
        <v>1268</v>
      </c>
      <c r="E754" t="s">
        <v>678</v>
      </c>
      <c r="F754" t="s">
        <v>598</v>
      </c>
      <c r="G754" t="s">
        <v>478</v>
      </c>
      <c r="H754" t="s">
        <v>600</v>
      </c>
      <c r="I754" t="s">
        <v>601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18804</v>
      </c>
      <c r="B755" t="s">
        <v>1272</v>
      </c>
      <c r="C755" t="s">
        <v>1267</v>
      </c>
      <c r="D755" t="s">
        <v>1271</v>
      </c>
      <c r="E755" t="s">
        <v>678</v>
      </c>
      <c r="F755" t="s">
        <v>598</v>
      </c>
      <c r="G755" t="s">
        <v>478</v>
      </c>
      <c r="H755" t="s">
        <v>600</v>
      </c>
      <c r="I755" t="s">
        <v>601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18804</v>
      </c>
      <c r="B756" t="s">
        <v>1273</v>
      </c>
      <c r="C756" t="s">
        <v>1267</v>
      </c>
      <c r="D756" t="s">
        <v>1274</v>
      </c>
      <c r="E756" t="s">
        <v>672</v>
      </c>
      <c r="F756" t="s">
        <v>598</v>
      </c>
      <c r="G756" t="s">
        <v>478</v>
      </c>
      <c r="H756" t="s">
        <v>600</v>
      </c>
      <c r="I756" t="s">
        <v>601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18804</v>
      </c>
      <c r="B757" t="s">
        <v>1276</v>
      </c>
      <c r="C757" t="s">
        <v>1267</v>
      </c>
      <c r="D757" t="s">
        <v>1274</v>
      </c>
      <c r="E757" t="s">
        <v>678</v>
      </c>
      <c r="F757" t="s">
        <v>598</v>
      </c>
      <c r="G757" t="s">
        <v>478</v>
      </c>
      <c r="H757" t="s">
        <v>600</v>
      </c>
      <c r="I757" t="s">
        <v>601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18804</v>
      </c>
      <c r="B758" t="s">
        <v>1277</v>
      </c>
      <c r="C758" t="s">
        <v>1267</v>
      </c>
      <c r="D758" t="s">
        <v>1278</v>
      </c>
      <c r="E758" t="s">
        <v>672</v>
      </c>
      <c r="F758" t="s">
        <v>598</v>
      </c>
      <c r="G758" t="s">
        <v>478</v>
      </c>
      <c r="H758" t="s">
        <v>600</v>
      </c>
      <c r="I758" t="s">
        <v>601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18804</v>
      </c>
      <c r="B759" t="s">
        <v>1279</v>
      </c>
      <c r="C759" t="s">
        <v>1267</v>
      </c>
      <c r="D759" t="s">
        <v>1278</v>
      </c>
      <c r="E759" t="s">
        <v>678</v>
      </c>
      <c r="F759" t="s">
        <v>598</v>
      </c>
      <c r="G759" t="s">
        <v>478</v>
      </c>
      <c r="H759" t="s">
        <v>600</v>
      </c>
      <c r="I759" t="s">
        <v>601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18804</v>
      </c>
      <c r="B760" t="s">
        <v>1280</v>
      </c>
      <c r="C760" t="s">
        <v>1267</v>
      </c>
      <c r="D760" t="s">
        <v>1281</v>
      </c>
      <c r="E760" t="s">
        <v>672</v>
      </c>
      <c r="F760" t="s">
        <v>598</v>
      </c>
      <c r="G760" t="s">
        <v>478</v>
      </c>
      <c r="H760" t="s">
        <v>600</v>
      </c>
      <c r="I760" t="s">
        <v>601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18804</v>
      </c>
      <c r="B761" t="s">
        <v>1283</v>
      </c>
      <c r="C761" t="s">
        <v>1267</v>
      </c>
      <c r="D761" t="s">
        <v>1281</v>
      </c>
      <c r="E761" t="s">
        <v>678</v>
      </c>
      <c r="F761" t="s">
        <v>598</v>
      </c>
      <c r="G761" t="s">
        <v>478</v>
      </c>
      <c r="H761" t="s">
        <v>600</v>
      </c>
      <c r="I761" t="s">
        <v>601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18804</v>
      </c>
      <c r="B762" t="s">
        <v>1284</v>
      </c>
      <c r="C762" t="s">
        <v>1267</v>
      </c>
      <c r="D762" t="s">
        <v>1285</v>
      </c>
      <c r="E762" t="s">
        <v>678</v>
      </c>
      <c r="F762" t="s">
        <v>598</v>
      </c>
      <c r="G762" t="s">
        <v>478</v>
      </c>
      <c r="H762" t="s">
        <v>600</v>
      </c>
      <c r="I762" t="s">
        <v>601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18804</v>
      </c>
      <c r="B763" t="s">
        <v>1292</v>
      </c>
      <c r="C763" t="s">
        <v>1267</v>
      </c>
      <c r="D763" t="s">
        <v>1293</v>
      </c>
      <c r="E763" t="s">
        <v>672</v>
      </c>
      <c r="F763" t="s">
        <v>598</v>
      </c>
      <c r="G763" t="s">
        <v>478</v>
      </c>
      <c r="H763" t="s">
        <v>600</v>
      </c>
      <c r="I763" t="s">
        <v>601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18804</v>
      </c>
      <c r="B764" t="s">
        <v>1294</v>
      </c>
      <c r="C764" t="s">
        <v>1267</v>
      </c>
      <c r="D764" t="s">
        <v>1293</v>
      </c>
      <c r="E764" t="s">
        <v>678</v>
      </c>
      <c r="F764" t="s">
        <v>598</v>
      </c>
      <c r="G764" t="s">
        <v>478</v>
      </c>
      <c r="H764" t="s">
        <v>600</v>
      </c>
      <c r="I764" t="s">
        <v>601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18804</v>
      </c>
      <c r="B765" t="s">
        <v>1295</v>
      </c>
      <c r="C765" t="s">
        <v>1267</v>
      </c>
      <c r="D765" t="s">
        <v>1296</v>
      </c>
      <c r="E765" t="s">
        <v>678</v>
      </c>
      <c r="F765" t="s">
        <v>598</v>
      </c>
      <c r="G765" t="s">
        <v>478</v>
      </c>
      <c r="H765" t="s">
        <v>600</v>
      </c>
      <c r="I765" t="s">
        <v>601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18804</v>
      </c>
      <c r="B766" t="s">
        <v>1297</v>
      </c>
      <c r="C766" t="s">
        <v>1267</v>
      </c>
      <c r="D766" t="s">
        <v>1298</v>
      </c>
      <c r="E766" t="s">
        <v>672</v>
      </c>
      <c r="F766" t="s">
        <v>598</v>
      </c>
      <c r="G766" t="s">
        <v>478</v>
      </c>
      <c r="H766" t="s">
        <v>600</v>
      </c>
      <c r="I766" t="s">
        <v>601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18804</v>
      </c>
      <c r="B767" t="s">
        <v>1301</v>
      </c>
      <c r="C767" t="s">
        <v>1267</v>
      </c>
      <c r="D767" t="s">
        <v>1302</v>
      </c>
      <c r="E767" t="s">
        <v>672</v>
      </c>
      <c r="F767" t="s">
        <v>598</v>
      </c>
      <c r="G767" t="s">
        <v>478</v>
      </c>
      <c r="H767" t="s">
        <v>600</v>
      </c>
      <c r="I767" t="s">
        <v>601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18804</v>
      </c>
      <c r="B768" t="s">
        <v>1303</v>
      </c>
      <c r="C768" t="s">
        <v>1267</v>
      </c>
      <c r="D768" t="s">
        <v>1302</v>
      </c>
      <c r="E768" t="s">
        <v>678</v>
      </c>
      <c r="F768" t="s">
        <v>598</v>
      </c>
      <c r="G768" t="s">
        <v>478</v>
      </c>
      <c r="H768" t="s">
        <v>600</v>
      </c>
      <c r="I768" t="s">
        <v>601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18804</v>
      </c>
      <c r="B769" t="s">
        <v>1304</v>
      </c>
      <c r="C769" t="s">
        <v>1267</v>
      </c>
      <c r="D769" t="s">
        <v>1305</v>
      </c>
      <c r="E769" t="s">
        <v>672</v>
      </c>
      <c r="F769" t="s">
        <v>598</v>
      </c>
      <c r="G769" t="s">
        <v>478</v>
      </c>
      <c r="H769" t="s">
        <v>600</v>
      </c>
      <c r="I769" t="s">
        <v>601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18804</v>
      </c>
      <c r="B770" t="s">
        <v>1307</v>
      </c>
      <c r="C770" t="s">
        <v>1267</v>
      </c>
      <c r="D770" t="s">
        <v>1305</v>
      </c>
      <c r="E770" t="s">
        <v>678</v>
      </c>
      <c r="F770" t="s">
        <v>598</v>
      </c>
      <c r="G770" t="s">
        <v>478</v>
      </c>
      <c r="H770" t="s">
        <v>600</v>
      </c>
      <c r="I770" t="s">
        <v>601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18804</v>
      </c>
      <c r="B771" t="s">
        <v>1308</v>
      </c>
      <c r="C771" t="s">
        <v>1267</v>
      </c>
      <c r="D771" t="s">
        <v>1309</v>
      </c>
      <c r="E771" t="s">
        <v>672</v>
      </c>
      <c r="F771" t="s">
        <v>598</v>
      </c>
      <c r="G771" t="s">
        <v>478</v>
      </c>
      <c r="H771" t="s">
        <v>600</v>
      </c>
      <c r="I771" t="s">
        <v>601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18804</v>
      </c>
      <c r="B772" t="s">
        <v>1314</v>
      </c>
      <c r="C772" t="s">
        <v>1267</v>
      </c>
      <c r="D772" t="s">
        <v>1311</v>
      </c>
      <c r="E772" t="s">
        <v>678</v>
      </c>
      <c r="F772" t="s">
        <v>598</v>
      </c>
      <c r="G772" t="s">
        <v>478</v>
      </c>
      <c r="H772" t="s">
        <v>600</v>
      </c>
      <c r="I772" t="s">
        <v>601</v>
      </c>
      <c r="J772">
        <v>1E-4</v>
      </c>
      <c r="K772">
        <v>1E-4</v>
      </c>
      <c r="L772">
        <v>1E-4</v>
      </c>
      <c r="M772">
        <v>1E-4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18804</v>
      </c>
      <c r="B773" t="s">
        <v>1337</v>
      </c>
      <c r="C773" t="s">
        <v>1267</v>
      </c>
      <c r="D773" t="s">
        <v>1332</v>
      </c>
      <c r="E773" t="s">
        <v>678</v>
      </c>
      <c r="F773" t="s">
        <v>598</v>
      </c>
      <c r="G773" t="s">
        <v>478</v>
      </c>
      <c r="H773" t="s">
        <v>600</v>
      </c>
      <c r="I773" t="s">
        <v>601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18804</v>
      </c>
      <c r="B774" t="s">
        <v>1351</v>
      </c>
      <c r="C774" t="s">
        <v>1267</v>
      </c>
      <c r="D774" t="s">
        <v>1352</v>
      </c>
      <c r="E774" t="s">
        <v>672</v>
      </c>
      <c r="F774" t="s">
        <v>598</v>
      </c>
      <c r="G774" t="s">
        <v>478</v>
      </c>
      <c r="H774" t="s">
        <v>600</v>
      </c>
      <c r="I774" t="s">
        <v>601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18804</v>
      </c>
      <c r="B775" t="s">
        <v>1353</v>
      </c>
      <c r="C775" t="s">
        <v>1267</v>
      </c>
      <c r="D775" t="s">
        <v>1354</v>
      </c>
      <c r="E775" t="s">
        <v>672</v>
      </c>
      <c r="F775" t="s">
        <v>598</v>
      </c>
      <c r="G775" t="s">
        <v>478</v>
      </c>
      <c r="H775" t="s">
        <v>600</v>
      </c>
      <c r="I775" t="s">
        <v>601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18804</v>
      </c>
      <c r="B776" t="s">
        <v>1355</v>
      </c>
      <c r="C776" t="s">
        <v>1267</v>
      </c>
      <c r="D776" t="s">
        <v>1354</v>
      </c>
      <c r="E776" t="s">
        <v>678</v>
      </c>
      <c r="F776" t="s">
        <v>598</v>
      </c>
      <c r="G776" t="s">
        <v>478</v>
      </c>
      <c r="H776" t="s">
        <v>600</v>
      </c>
      <c r="I776" t="s">
        <v>601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18804</v>
      </c>
      <c r="B777" t="s">
        <v>1362</v>
      </c>
      <c r="C777" t="s">
        <v>1267</v>
      </c>
      <c r="D777" t="s">
        <v>1363</v>
      </c>
      <c r="E777" t="s">
        <v>597</v>
      </c>
      <c r="F777" t="s">
        <v>598</v>
      </c>
      <c r="G777" t="s">
        <v>478</v>
      </c>
      <c r="H777" t="s">
        <v>600</v>
      </c>
      <c r="I777" t="s">
        <v>601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18804</v>
      </c>
      <c r="B778" t="s">
        <v>1371</v>
      </c>
      <c r="C778" t="s">
        <v>1267</v>
      </c>
      <c r="D778" t="s">
        <v>1370</v>
      </c>
      <c r="E778" t="s">
        <v>678</v>
      </c>
      <c r="F778" t="s">
        <v>598</v>
      </c>
      <c r="G778" t="s">
        <v>478</v>
      </c>
      <c r="H778" t="s">
        <v>600</v>
      </c>
      <c r="I778" t="s">
        <v>601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18804</v>
      </c>
      <c r="B779" t="s">
        <v>1373</v>
      </c>
      <c r="C779" t="s">
        <v>1267</v>
      </c>
      <c r="D779" t="s">
        <v>648</v>
      </c>
      <c r="E779" t="s">
        <v>672</v>
      </c>
      <c r="F779" t="s">
        <v>598</v>
      </c>
      <c r="G779" t="s">
        <v>478</v>
      </c>
      <c r="H779" t="s">
        <v>600</v>
      </c>
      <c r="I779" t="s">
        <v>601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18804</v>
      </c>
      <c r="B780" t="s">
        <v>1376</v>
      </c>
      <c r="C780" t="s">
        <v>1267</v>
      </c>
      <c r="D780" t="s">
        <v>648</v>
      </c>
      <c r="E780" t="s">
        <v>678</v>
      </c>
      <c r="F780" t="s">
        <v>598</v>
      </c>
      <c r="G780" t="s">
        <v>478</v>
      </c>
      <c r="H780" t="s">
        <v>600</v>
      </c>
      <c r="I780" t="s">
        <v>601</v>
      </c>
      <c r="J780">
        <v>5.9999999999999995E-4</v>
      </c>
      <c r="K780">
        <v>5.9999999999999995E-4</v>
      </c>
      <c r="L780">
        <v>5.9999999999999995E-4</v>
      </c>
      <c r="M780">
        <v>5.9999999999999995E-4</v>
      </c>
      <c r="N780">
        <v>5.9999999999999995E-4</v>
      </c>
      <c r="O780">
        <v>5.9999999999999995E-4</v>
      </c>
      <c r="P780">
        <v>5.9999999999999995E-4</v>
      </c>
      <c r="Q780">
        <v>5.9999999999999995E-4</v>
      </c>
      <c r="R780">
        <v>5.0000000000000001E-4</v>
      </c>
      <c r="S780">
        <v>5.0000000000000001E-4</v>
      </c>
      <c r="T780">
        <v>5.0000000000000001E-4</v>
      </c>
      <c r="U780">
        <v>5.0000000000000001E-4</v>
      </c>
      <c r="V780">
        <v>5.0000000000000001E-4</v>
      </c>
      <c r="W780">
        <v>5.0000000000000001E-4</v>
      </c>
      <c r="X780">
        <v>5.0000000000000001E-4</v>
      </c>
      <c r="Y780">
        <v>5.0000000000000001E-4</v>
      </c>
    </row>
    <row r="781" spans="1:25" hidden="1">
      <c r="A781" t="s">
        <v>18804</v>
      </c>
      <c r="B781" t="s">
        <v>1388</v>
      </c>
      <c r="C781" t="s">
        <v>1382</v>
      </c>
      <c r="D781" t="s">
        <v>1311</v>
      </c>
      <c r="E781" t="s">
        <v>597</v>
      </c>
      <c r="F781" t="s">
        <v>598</v>
      </c>
      <c r="G781" t="s">
        <v>478</v>
      </c>
      <c r="H781" t="s">
        <v>600</v>
      </c>
      <c r="I781" t="s">
        <v>601</v>
      </c>
      <c r="J781">
        <v>1E-4</v>
      </c>
      <c r="K781">
        <v>1E-4</v>
      </c>
      <c r="L781">
        <v>1E-4</v>
      </c>
      <c r="M781">
        <v>1E-4</v>
      </c>
      <c r="N781">
        <v>1E-4</v>
      </c>
      <c r="O781">
        <v>1E-4</v>
      </c>
      <c r="P781">
        <v>1E-4</v>
      </c>
      <c r="Q781">
        <v>1E-4</v>
      </c>
      <c r="R781">
        <v>1E-4</v>
      </c>
      <c r="S781">
        <v>1E-4</v>
      </c>
      <c r="T781">
        <v>1E-4</v>
      </c>
      <c r="U781">
        <v>1E-4</v>
      </c>
      <c r="V781">
        <v>1E-4</v>
      </c>
      <c r="W781">
        <v>1E-4</v>
      </c>
      <c r="X781">
        <v>1E-4</v>
      </c>
      <c r="Y781">
        <v>1E-4</v>
      </c>
    </row>
    <row r="782" spans="1:25" hidden="1">
      <c r="A782" t="s">
        <v>18804</v>
      </c>
      <c r="B782" t="s">
        <v>1459</v>
      </c>
      <c r="C782" t="s">
        <v>1382</v>
      </c>
      <c r="D782" t="s">
        <v>648</v>
      </c>
      <c r="E782" t="s">
        <v>920</v>
      </c>
      <c r="F782" t="s">
        <v>598</v>
      </c>
      <c r="G782" t="s">
        <v>478</v>
      </c>
      <c r="H782" t="s">
        <v>600</v>
      </c>
      <c r="I782" t="s">
        <v>601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18804</v>
      </c>
      <c r="B783" t="s">
        <v>1471</v>
      </c>
      <c r="C783" t="s">
        <v>1472</v>
      </c>
      <c r="D783" t="s">
        <v>1274</v>
      </c>
      <c r="E783" t="s">
        <v>973</v>
      </c>
      <c r="F783" t="s">
        <v>598</v>
      </c>
      <c r="G783" t="s">
        <v>478</v>
      </c>
      <c r="H783" t="s">
        <v>600</v>
      </c>
      <c r="I783" t="s">
        <v>601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18804</v>
      </c>
      <c r="B784" t="s">
        <v>1538</v>
      </c>
      <c r="C784" t="s">
        <v>1472</v>
      </c>
      <c r="D784" t="s">
        <v>1332</v>
      </c>
      <c r="E784" t="s">
        <v>1318</v>
      </c>
      <c r="F784" t="s">
        <v>598</v>
      </c>
      <c r="G784" t="s">
        <v>478</v>
      </c>
      <c r="H784" t="s">
        <v>600</v>
      </c>
      <c r="I784" t="s">
        <v>601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18804</v>
      </c>
      <c r="B785" t="s">
        <v>1541</v>
      </c>
      <c r="C785" t="s">
        <v>1472</v>
      </c>
      <c r="D785" t="s">
        <v>1348</v>
      </c>
      <c r="E785" t="s">
        <v>1399</v>
      </c>
      <c r="F785" t="s">
        <v>598</v>
      </c>
      <c r="G785" t="s">
        <v>478</v>
      </c>
      <c r="H785" t="s">
        <v>600</v>
      </c>
      <c r="I785" t="s">
        <v>601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18804</v>
      </c>
      <c r="B786" t="s">
        <v>1542</v>
      </c>
      <c r="C786" t="s">
        <v>1472</v>
      </c>
      <c r="D786" t="s">
        <v>1348</v>
      </c>
      <c r="E786" t="s">
        <v>1417</v>
      </c>
      <c r="F786" t="s">
        <v>598</v>
      </c>
      <c r="G786" t="s">
        <v>478</v>
      </c>
      <c r="H786" t="s">
        <v>600</v>
      </c>
      <c r="I786" t="s">
        <v>601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18804</v>
      </c>
      <c r="B787" t="s">
        <v>1566</v>
      </c>
      <c r="C787" t="s">
        <v>1472</v>
      </c>
      <c r="D787" t="s">
        <v>1567</v>
      </c>
      <c r="E787" t="s">
        <v>626</v>
      </c>
      <c r="F787" t="s">
        <v>598</v>
      </c>
      <c r="G787" t="s">
        <v>478</v>
      </c>
      <c r="H787" t="s">
        <v>600</v>
      </c>
      <c r="I787" t="s">
        <v>601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18804</v>
      </c>
      <c r="B788" t="s">
        <v>1568</v>
      </c>
      <c r="C788" t="s">
        <v>1472</v>
      </c>
      <c r="D788" t="s">
        <v>1569</v>
      </c>
      <c r="E788" t="s">
        <v>626</v>
      </c>
      <c r="F788" t="s">
        <v>598</v>
      </c>
      <c r="G788" t="s">
        <v>478</v>
      </c>
      <c r="H788" t="s">
        <v>600</v>
      </c>
      <c r="I788" t="s">
        <v>601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18804</v>
      </c>
      <c r="B789" t="s">
        <v>1570</v>
      </c>
      <c r="C789" t="s">
        <v>1472</v>
      </c>
      <c r="D789" t="s">
        <v>1571</v>
      </c>
      <c r="E789" t="s">
        <v>626</v>
      </c>
      <c r="F789" t="s">
        <v>598</v>
      </c>
      <c r="G789" t="s">
        <v>478</v>
      </c>
      <c r="H789" t="s">
        <v>600</v>
      </c>
      <c r="I789" t="s">
        <v>601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18804</v>
      </c>
      <c r="B790" t="s">
        <v>1573</v>
      </c>
      <c r="C790" t="s">
        <v>1472</v>
      </c>
      <c r="D790" t="s">
        <v>1574</v>
      </c>
      <c r="E790" t="s">
        <v>626</v>
      </c>
      <c r="F790" t="s">
        <v>598</v>
      </c>
      <c r="G790" t="s">
        <v>478</v>
      </c>
      <c r="H790" t="s">
        <v>600</v>
      </c>
      <c r="I790" t="s">
        <v>601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18804</v>
      </c>
      <c r="B791" t="s">
        <v>1575</v>
      </c>
      <c r="C791" t="s">
        <v>1472</v>
      </c>
      <c r="D791" t="s">
        <v>1576</v>
      </c>
      <c r="E791" t="s">
        <v>626</v>
      </c>
      <c r="F791" t="s">
        <v>598</v>
      </c>
      <c r="G791" t="s">
        <v>478</v>
      </c>
      <c r="H791" t="s">
        <v>600</v>
      </c>
      <c r="I791" t="s">
        <v>601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18804</v>
      </c>
      <c r="B792" t="s">
        <v>1577</v>
      </c>
      <c r="C792" t="s">
        <v>1472</v>
      </c>
      <c r="D792" t="s">
        <v>1578</v>
      </c>
      <c r="E792" t="s">
        <v>626</v>
      </c>
      <c r="F792" t="s">
        <v>598</v>
      </c>
      <c r="G792" t="s">
        <v>478</v>
      </c>
      <c r="H792" t="s">
        <v>600</v>
      </c>
      <c r="I792" t="s">
        <v>601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18804</v>
      </c>
      <c r="B793" t="s">
        <v>1582</v>
      </c>
      <c r="C793" t="s">
        <v>1472</v>
      </c>
      <c r="D793" t="s">
        <v>1583</v>
      </c>
      <c r="E793" t="s">
        <v>626</v>
      </c>
      <c r="F793" t="s">
        <v>598</v>
      </c>
      <c r="G793" t="s">
        <v>478</v>
      </c>
      <c r="H793" t="s">
        <v>600</v>
      </c>
      <c r="I793" t="s">
        <v>601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18804</v>
      </c>
      <c r="B794" t="s">
        <v>1590</v>
      </c>
      <c r="C794" t="s">
        <v>1472</v>
      </c>
      <c r="D794" t="s">
        <v>1365</v>
      </c>
      <c r="E794" t="s">
        <v>626</v>
      </c>
      <c r="F794" t="s">
        <v>598</v>
      </c>
      <c r="G794" t="s">
        <v>478</v>
      </c>
      <c r="H794" t="s">
        <v>600</v>
      </c>
      <c r="I794" t="s">
        <v>601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18804</v>
      </c>
      <c r="B795" t="s">
        <v>1600</v>
      </c>
      <c r="C795" t="s">
        <v>1472</v>
      </c>
      <c r="D795" t="s">
        <v>1601</v>
      </c>
      <c r="E795" t="s">
        <v>626</v>
      </c>
      <c r="F795" t="s">
        <v>598</v>
      </c>
      <c r="G795" t="s">
        <v>478</v>
      </c>
      <c r="H795" t="s">
        <v>600</v>
      </c>
      <c r="I795" t="s">
        <v>601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18804</v>
      </c>
      <c r="B796" t="s">
        <v>1602</v>
      </c>
      <c r="C796" t="s">
        <v>1472</v>
      </c>
      <c r="D796" t="s">
        <v>1603</v>
      </c>
      <c r="E796" t="s">
        <v>626</v>
      </c>
      <c r="F796" t="s">
        <v>598</v>
      </c>
      <c r="G796" t="s">
        <v>478</v>
      </c>
      <c r="H796" t="s">
        <v>600</v>
      </c>
      <c r="I796" t="s">
        <v>601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18804</v>
      </c>
      <c r="B797" t="s">
        <v>1604</v>
      </c>
      <c r="C797" t="s">
        <v>1472</v>
      </c>
      <c r="D797" t="s">
        <v>1605</v>
      </c>
      <c r="E797" t="s">
        <v>626</v>
      </c>
      <c r="F797" t="s">
        <v>598</v>
      </c>
      <c r="G797" t="s">
        <v>478</v>
      </c>
      <c r="H797" t="s">
        <v>600</v>
      </c>
      <c r="I797" t="s">
        <v>601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18804</v>
      </c>
      <c r="B798" t="s">
        <v>1609</v>
      </c>
      <c r="C798" t="s">
        <v>1472</v>
      </c>
      <c r="D798" t="s">
        <v>648</v>
      </c>
      <c r="E798" t="s">
        <v>626</v>
      </c>
      <c r="F798" t="s">
        <v>598</v>
      </c>
      <c r="G798" t="s">
        <v>478</v>
      </c>
      <c r="H798" t="s">
        <v>600</v>
      </c>
      <c r="I798" t="s">
        <v>601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18804</v>
      </c>
      <c r="B799" t="s">
        <v>1610</v>
      </c>
      <c r="C799" t="s">
        <v>1611</v>
      </c>
      <c r="D799" t="s">
        <v>648</v>
      </c>
      <c r="E799" t="s">
        <v>920</v>
      </c>
      <c r="F799" t="s">
        <v>598</v>
      </c>
      <c r="G799" t="s">
        <v>478</v>
      </c>
      <c r="H799" t="s">
        <v>600</v>
      </c>
      <c r="I799" t="s">
        <v>601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18804</v>
      </c>
      <c r="B800" t="s">
        <v>1746</v>
      </c>
      <c r="C800" t="s">
        <v>1614</v>
      </c>
      <c r="D800" t="s">
        <v>1722</v>
      </c>
      <c r="E800" t="s">
        <v>954</v>
      </c>
      <c r="F800" t="s">
        <v>598</v>
      </c>
      <c r="G800" t="s">
        <v>478</v>
      </c>
      <c r="H800" t="s">
        <v>600</v>
      </c>
      <c r="I800" t="s">
        <v>601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18804</v>
      </c>
      <c r="B801" t="s">
        <v>1760</v>
      </c>
      <c r="C801" t="s">
        <v>1614</v>
      </c>
      <c r="D801" t="s">
        <v>1722</v>
      </c>
      <c r="E801" t="s">
        <v>1761</v>
      </c>
      <c r="F801" t="s">
        <v>598</v>
      </c>
      <c r="G801" t="s">
        <v>478</v>
      </c>
      <c r="H801" t="s">
        <v>600</v>
      </c>
      <c r="I801" t="s">
        <v>601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18804</v>
      </c>
      <c r="B802" t="s">
        <v>1775</v>
      </c>
      <c r="C802" t="s">
        <v>1614</v>
      </c>
      <c r="D802" t="s">
        <v>1776</v>
      </c>
      <c r="E802" t="s">
        <v>1777</v>
      </c>
      <c r="F802" t="s">
        <v>598</v>
      </c>
      <c r="G802" t="s">
        <v>478</v>
      </c>
      <c r="H802" t="s">
        <v>600</v>
      </c>
      <c r="I802" t="s">
        <v>601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18804</v>
      </c>
      <c r="B803" t="s">
        <v>1780</v>
      </c>
      <c r="C803" t="s">
        <v>1614</v>
      </c>
      <c r="D803" t="s">
        <v>1781</v>
      </c>
      <c r="E803" t="s">
        <v>1716</v>
      </c>
      <c r="F803" t="s">
        <v>598</v>
      </c>
      <c r="G803" t="s">
        <v>478</v>
      </c>
      <c r="H803" t="s">
        <v>600</v>
      </c>
      <c r="I803" t="s">
        <v>601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18804</v>
      </c>
      <c r="B804" t="s">
        <v>1818</v>
      </c>
      <c r="C804" t="s">
        <v>1614</v>
      </c>
      <c r="D804" t="s">
        <v>648</v>
      </c>
      <c r="E804" t="s">
        <v>973</v>
      </c>
      <c r="F804" t="s">
        <v>598</v>
      </c>
      <c r="G804" t="s">
        <v>478</v>
      </c>
      <c r="H804" t="s">
        <v>600</v>
      </c>
      <c r="I804" t="s">
        <v>601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18804</v>
      </c>
      <c r="B805" t="s">
        <v>1832</v>
      </c>
      <c r="C805" t="s">
        <v>1614</v>
      </c>
      <c r="D805" t="s">
        <v>648</v>
      </c>
      <c r="E805" t="s">
        <v>1393</v>
      </c>
      <c r="F805" t="s">
        <v>598</v>
      </c>
      <c r="G805" t="s">
        <v>478</v>
      </c>
      <c r="H805" t="s">
        <v>600</v>
      </c>
      <c r="I805" t="s">
        <v>601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18804</v>
      </c>
      <c r="B806" t="s">
        <v>1837</v>
      </c>
      <c r="C806" t="s">
        <v>1614</v>
      </c>
      <c r="D806" t="s">
        <v>648</v>
      </c>
      <c r="E806" t="s">
        <v>1759</v>
      </c>
      <c r="F806" t="s">
        <v>598</v>
      </c>
      <c r="G806" t="s">
        <v>478</v>
      </c>
      <c r="H806" t="s">
        <v>600</v>
      </c>
      <c r="I806" t="s">
        <v>601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18804</v>
      </c>
      <c r="B807" t="s">
        <v>1856</v>
      </c>
      <c r="C807" t="s">
        <v>1845</v>
      </c>
      <c r="D807" t="s">
        <v>1435</v>
      </c>
      <c r="E807" t="s">
        <v>973</v>
      </c>
      <c r="F807" t="s">
        <v>598</v>
      </c>
      <c r="G807" t="s">
        <v>478</v>
      </c>
      <c r="H807" t="s">
        <v>600</v>
      </c>
      <c r="I807" t="s">
        <v>601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hidden="1">
      <c r="A808" t="s">
        <v>18804</v>
      </c>
      <c r="B808" t="s">
        <v>1857</v>
      </c>
      <c r="C808" t="s">
        <v>1845</v>
      </c>
      <c r="D808" t="s">
        <v>1354</v>
      </c>
      <c r="E808" t="s">
        <v>973</v>
      </c>
      <c r="F808" t="s">
        <v>598</v>
      </c>
      <c r="G808" t="s">
        <v>478</v>
      </c>
      <c r="H808" t="s">
        <v>600</v>
      </c>
      <c r="I808" t="s">
        <v>601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18804</v>
      </c>
      <c r="B809" t="s">
        <v>1858</v>
      </c>
      <c r="C809" t="s">
        <v>1845</v>
      </c>
      <c r="D809" t="s">
        <v>1859</v>
      </c>
      <c r="E809" t="s">
        <v>1860</v>
      </c>
      <c r="F809" t="s">
        <v>598</v>
      </c>
      <c r="G809" t="s">
        <v>478</v>
      </c>
      <c r="H809" t="s">
        <v>600</v>
      </c>
      <c r="I809" t="s">
        <v>601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18804</v>
      </c>
      <c r="B810" t="s">
        <v>1861</v>
      </c>
      <c r="C810" t="s">
        <v>1845</v>
      </c>
      <c r="D810" t="s">
        <v>1862</v>
      </c>
      <c r="E810" t="s">
        <v>1860</v>
      </c>
      <c r="F810" t="s">
        <v>598</v>
      </c>
      <c r="G810" t="s">
        <v>478</v>
      </c>
      <c r="H810" t="s">
        <v>600</v>
      </c>
      <c r="I810" t="s">
        <v>601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18804</v>
      </c>
      <c r="B811" t="s">
        <v>1877</v>
      </c>
      <c r="C811" t="s">
        <v>1845</v>
      </c>
      <c r="D811" t="s">
        <v>1878</v>
      </c>
      <c r="E811" t="s">
        <v>1872</v>
      </c>
      <c r="F811" t="s">
        <v>598</v>
      </c>
      <c r="G811" t="s">
        <v>478</v>
      </c>
      <c r="H811" t="s">
        <v>600</v>
      </c>
      <c r="I811" t="s">
        <v>601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hidden="1">
      <c r="A812" t="s">
        <v>18804</v>
      </c>
      <c r="B812" t="s">
        <v>1917</v>
      </c>
      <c r="C812" t="s">
        <v>1845</v>
      </c>
      <c r="D812" t="s">
        <v>1918</v>
      </c>
      <c r="E812" t="s">
        <v>1872</v>
      </c>
      <c r="F812" t="s">
        <v>598</v>
      </c>
      <c r="G812" t="s">
        <v>478</v>
      </c>
      <c r="H812" t="s">
        <v>600</v>
      </c>
      <c r="I812" t="s">
        <v>601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hidden="1">
      <c r="A813" t="s">
        <v>18804</v>
      </c>
      <c r="B813" t="s">
        <v>1964</v>
      </c>
      <c r="C813" t="s">
        <v>1959</v>
      </c>
      <c r="D813" t="s">
        <v>1965</v>
      </c>
      <c r="E813" t="s">
        <v>1966</v>
      </c>
      <c r="F813" t="s">
        <v>598</v>
      </c>
      <c r="G813" t="s">
        <v>478</v>
      </c>
      <c r="H813" t="s">
        <v>600</v>
      </c>
      <c r="I813" t="s">
        <v>601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hidden="1">
      <c r="A814" t="s">
        <v>18804</v>
      </c>
      <c r="B814" t="s">
        <v>1967</v>
      </c>
      <c r="C814" t="s">
        <v>1959</v>
      </c>
      <c r="D814" t="s">
        <v>1968</v>
      </c>
      <c r="E814" t="s">
        <v>1962</v>
      </c>
      <c r="F814" t="s">
        <v>598</v>
      </c>
      <c r="G814" t="s">
        <v>478</v>
      </c>
      <c r="H814" t="s">
        <v>600</v>
      </c>
      <c r="I814" t="s">
        <v>601</v>
      </c>
      <c r="J814">
        <v>2.0299999999999999E-2</v>
      </c>
      <c r="K814">
        <v>2.12E-2</v>
      </c>
      <c r="L814">
        <v>2.2100000000000002E-2</v>
      </c>
      <c r="M814">
        <v>2.3E-2</v>
      </c>
      <c r="N814">
        <v>2.3300000000000001E-2</v>
      </c>
      <c r="O814">
        <v>2.3699999999999999E-2</v>
      </c>
      <c r="P814">
        <v>2.4199999999999999E-2</v>
      </c>
      <c r="Q814">
        <v>2.4799999999999999E-2</v>
      </c>
      <c r="R814">
        <v>2.53E-2</v>
      </c>
      <c r="S814">
        <v>2.58E-2</v>
      </c>
      <c r="T814">
        <v>2.6499999999999999E-2</v>
      </c>
      <c r="U814">
        <v>2.69E-2</v>
      </c>
      <c r="V814">
        <v>2.76E-2</v>
      </c>
      <c r="W814">
        <v>2.8400000000000002E-2</v>
      </c>
      <c r="X814">
        <v>2.9000000000000001E-2</v>
      </c>
      <c r="Y814">
        <v>2.9399999999999999E-2</v>
      </c>
    </row>
    <row r="815" spans="1:25" hidden="1">
      <c r="A815" t="s">
        <v>18804</v>
      </c>
      <c r="B815" t="s">
        <v>1977</v>
      </c>
      <c r="C815" t="s">
        <v>1959</v>
      </c>
      <c r="D815" t="s">
        <v>1972</v>
      </c>
      <c r="E815" t="s">
        <v>1966</v>
      </c>
      <c r="F815" t="s">
        <v>598</v>
      </c>
      <c r="G815" t="s">
        <v>478</v>
      </c>
      <c r="H815" t="s">
        <v>600</v>
      </c>
      <c r="I815" t="s">
        <v>601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hidden="1">
      <c r="A816" t="s">
        <v>18804</v>
      </c>
      <c r="B816" t="s">
        <v>1980</v>
      </c>
      <c r="C816" t="s">
        <v>1959</v>
      </c>
      <c r="D816" t="s">
        <v>1972</v>
      </c>
      <c r="E816" t="s">
        <v>1981</v>
      </c>
      <c r="F816" t="s">
        <v>598</v>
      </c>
      <c r="G816" t="s">
        <v>478</v>
      </c>
      <c r="H816" t="s">
        <v>600</v>
      </c>
      <c r="I816" t="s">
        <v>601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hidden="1">
      <c r="A817" t="s">
        <v>18804</v>
      </c>
      <c r="B817" t="s">
        <v>1985</v>
      </c>
      <c r="C817" t="s">
        <v>1959</v>
      </c>
      <c r="D817" t="s">
        <v>1983</v>
      </c>
      <c r="E817" t="s">
        <v>1378</v>
      </c>
      <c r="F817" t="s">
        <v>598</v>
      </c>
      <c r="G817" t="s">
        <v>478</v>
      </c>
      <c r="H817" t="s">
        <v>600</v>
      </c>
      <c r="I817" t="s">
        <v>601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hidden="1">
      <c r="A818" t="s">
        <v>18804</v>
      </c>
      <c r="B818" t="s">
        <v>2005</v>
      </c>
      <c r="C818" t="s">
        <v>1959</v>
      </c>
      <c r="D818" t="s">
        <v>2001</v>
      </c>
      <c r="E818" t="s">
        <v>1976</v>
      </c>
      <c r="F818" t="s">
        <v>598</v>
      </c>
      <c r="G818" t="s">
        <v>478</v>
      </c>
      <c r="H818" t="s">
        <v>600</v>
      </c>
      <c r="I818" t="s">
        <v>601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 hidden="1">
      <c r="A819" t="s">
        <v>18804</v>
      </c>
      <c r="B819" t="s">
        <v>2007</v>
      </c>
      <c r="C819" t="s">
        <v>1959</v>
      </c>
      <c r="D819" t="s">
        <v>2001</v>
      </c>
      <c r="E819" t="s">
        <v>1966</v>
      </c>
      <c r="F819" t="s">
        <v>598</v>
      </c>
      <c r="G819" t="s">
        <v>478</v>
      </c>
      <c r="H819" t="s">
        <v>600</v>
      </c>
      <c r="I819" t="s">
        <v>601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18804</v>
      </c>
      <c r="B820" t="s">
        <v>2011</v>
      </c>
      <c r="C820" t="s">
        <v>1959</v>
      </c>
      <c r="D820" t="s">
        <v>2012</v>
      </c>
      <c r="E820" t="s">
        <v>2013</v>
      </c>
      <c r="F820" t="s">
        <v>598</v>
      </c>
      <c r="G820" t="s">
        <v>478</v>
      </c>
      <c r="H820" t="s">
        <v>600</v>
      </c>
      <c r="I820" t="s">
        <v>601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hidden="1">
      <c r="A821" t="s">
        <v>18804</v>
      </c>
      <c r="B821" t="s">
        <v>2014</v>
      </c>
      <c r="C821" t="s">
        <v>1959</v>
      </c>
      <c r="D821" t="s">
        <v>2012</v>
      </c>
      <c r="E821" t="s">
        <v>1970</v>
      </c>
      <c r="F821" t="s">
        <v>598</v>
      </c>
      <c r="G821" t="s">
        <v>478</v>
      </c>
      <c r="H821" t="s">
        <v>600</v>
      </c>
      <c r="I821" t="s">
        <v>601</v>
      </c>
      <c r="J821">
        <v>1E-4</v>
      </c>
      <c r="K821">
        <v>1E-4</v>
      </c>
      <c r="L821">
        <v>1E-4</v>
      </c>
      <c r="M821">
        <v>1E-4</v>
      </c>
      <c r="N821">
        <v>1E-4</v>
      </c>
      <c r="O821">
        <v>1E-4</v>
      </c>
      <c r="P821">
        <v>1E-4</v>
      </c>
      <c r="Q821">
        <v>1E-4</v>
      </c>
      <c r="R821">
        <v>1E-4</v>
      </c>
      <c r="S821">
        <v>1E-4</v>
      </c>
      <c r="T821">
        <v>1E-4</v>
      </c>
      <c r="U821">
        <v>1E-4</v>
      </c>
      <c r="V821">
        <v>1E-4</v>
      </c>
      <c r="W821">
        <v>1E-4</v>
      </c>
      <c r="X821">
        <v>1E-4</v>
      </c>
      <c r="Y821">
        <v>1E-4</v>
      </c>
    </row>
    <row r="822" spans="1:25" hidden="1">
      <c r="A822" t="s">
        <v>18804</v>
      </c>
      <c r="B822" t="s">
        <v>2024</v>
      </c>
      <c r="C822" t="s">
        <v>1959</v>
      </c>
      <c r="D822" t="s">
        <v>1817</v>
      </c>
      <c r="E822" t="s">
        <v>2025</v>
      </c>
      <c r="F822" t="s">
        <v>598</v>
      </c>
      <c r="G822" t="s">
        <v>478</v>
      </c>
      <c r="H822" t="s">
        <v>600</v>
      </c>
      <c r="I822" t="s">
        <v>601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18804</v>
      </c>
      <c r="B823" t="s">
        <v>2028</v>
      </c>
      <c r="C823" t="s">
        <v>1959</v>
      </c>
      <c r="D823" t="s">
        <v>1817</v>
      </c>
      <c r="E823" t="s">
        <v>1966</v>
      </c>
      <c r="F823" t="s">
        <v>598</v>
      </c>
      <c r="G823" t="s">
        <v>478</v>
      </c>
      <c r="H823" t="s">
        <v>600</v>
      </c>
      <c r="I823" t="s">
        <v>601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hidden="1">
      <c r="A824" t="s">
        <v>18804</v>
      </c>
      <c r="B824" t="s">
        <v>2034</v>
      </c>
      <c r="C824" t="s">
        <v>1959</v>
      </c>
      <c r="D824" t="s">
        <v>648</v>
      </c>
      <c r="E824" t="s">
        <v>1973</v>
      </c>
      <c r="F824" t="s">
        <v>598</v>
      </c>
      <c r="G824" t="s">
        <v>478</v>
      </c>
      <c r="H824" t="s">
        <v>600</v>
      </c>
      <c r="I824" t="s">
        <v>601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hidden="1">
      <c r="A825" t="s">
        <v>18804</v>
      </c>
      <c r="B825" t="s">
        <v>2039</v>
      </c>
      <c r="C825" t="s">
        <v>1959</v>
      </c>
      <c r="D825" t="s">
        <v>648</v>
      </c>
      <c r="E825" t="s">
        <v>1378</v>
      </c>
      <c r="F825" t="s">
        <v>598</v>
      </c>
      <c r="G825" t="s">
        <v>478</v>
      </c>
      <c r="H825" t="s">
        <v>600</v>
      </c>
      <c r="I825" t="s">
        <v>601</v>
      </c>
      <c r="J825">
        <v>3.1555</v>
      </c>
      <c r="K825">
        <v>3.2829000000000002</v>
      </c>
      <c r="L825">
        <v>3.4104000000000001</v>
      </c>
      <c r="M825">
        <v>3.5539000000000001</v>
      </c>
      <c r="N825">
        <v>3.6175999999999999</v>
      </c>
      <c r="O825">
        <v>3.6814</v>
      </c>
      <c r="P825">
        <v>3.7610000000000001</v>
      </c>
      <c r="Q825">
        <v>3.8407</v>
      </c>
      <c r="R825">
        <v>3.9203999999999999</v>
      </c>
      <c r="S825">
        <v>4.0000999999999998</v>
      </c>
      <c r="T825">
        <v>4.0956999999999999</v>
      </c>
      <c r="U825">
        <v>4.1753999999999998</v>
      </c>
      <c r="V825">
        <v>4.2869999999999999</v>
      </c>
      <c r="W825">
        <v>4.3826000000000001</v>
      </c>
      <c r="X825">
        <v>4.4782000000000002</v>
      </c>
      <c r="Y825">
        <v>4.5579000000000001</v>
      </c>
    </row>
    <row r="826" spans="1:25" hidden="1">
      <c r="A826" t="s">
        <v>18804</v>
      </c>
      <c r="B826" t="s">
        <v>2040</v>
      </c>
      <c r="C826" t="s">
        <v>1959</v>
      </c>
      <c r="D826" t="s">
        <v>648</v>
      </c>
      <c r="E826" t="s">
        <v>1962</v>
      </c>
      <c r="F826" t="s">
        <v>598</v>
      </c>
      <c r="G826" t="s">
        <v>478</v>
      </c>
      <c r="H826" t="s">
        <v>600</v>
      </c>
      <c r="I826" t="s">
        <v>601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hidden="1">
      <c r="A827" t="s">
        <v>18804</v>
      </c>
      <c r="B827" t="s">
        <v>2055</v>
      </c>
      <c r="C827" t="s">
        <v>1959</v>
      </c>
      <c r="D827" t="s">
        <v>648</v>
      </c>
      <c r="E827" t="s">
        <v>1970</v>
      </c>
      <c r="F827" t="s">
        <v>598</v>
      </c>
      <c r="G827" t="s">
        <v>478</v>
      </c>
      <c r="H827" t="s">
        <v>600</v>
      </c>
      <c r="I827" t="s">
        <v>601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18804</v>
      </c>
      <c r="B828" t="s">
        <v>2117</v>
      </c>
      <c r="C828" t="s">
        <v>2116</v>
      </c>
      <c r="D828" t="s">
        <v>2118</v>
      </c>
      <c r="E828" t="s">
        <v>2119</v>
      </c>
      <c r="F828" t="s">
        <v>598</v>
      </c>
      <c r="G828" t="s">
        <v>478</v>
      </c>
      <c r="H828" t="s">
        <v>600</v>
      </c>
      <c r="I828" t="s">
        <v>601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hidden="1">
      <c r="A829" t="s">
        <v>18804</v>
      </c>
      <c r="B829" t="s">
        <v>2126</v>
      </c>
      <c r="C829" t="s">
        <v>2116</v>
      </c>
      <c r="D829" t="s">
        <v>2127</v>
      </c>
      <c r="E829" t="s">
        <v>656</v>
      </c>
      <c r="F829" t="s">
        <v>598</v>
      </c>
      <c r="G829" t="s">
        <v>478</v>
      </c>
      <c r="H829" t="s">
        <v>600</v>
      </c>
      <c r="I829" t="s">
        <v>601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 hidden="1">
      <c r="A830" t="s">
        <v>18804</v>
      </c>
      <c r="B830" t="s">
        <v>2128</v>
      </c>
      <c r="C830" t="s">
        <v>2116</v>
      </c>
      <c r="D830" t="s">
        <v>648</v>
      </c>
      <c r="E830" t="s">
        <v>656</v>
      </c>
      <c r="F830" t="s">
        <v>598</v>
      </c>
      <c r="G830" t="s">
        <v>478</v>
      </c>
      <c r="H830" t="s">
        <v>600</v>
      </c>
      <c r="I830" t="s">
        <v>601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hidden="1">
      <c r="A831" t="s">
        <v>18804</v>
      </c>
      <c r="B831" t="s">
        <v>2145</v>
      </c>
      <c r="C831" t="s">
        <v>2144</v>
      </c>
      <c r="D831" t="s">
        <v>1435</v>
      </c>
      <c r="E831" t="s">
        <v>973</v>
      </c>
      <c r="F831" t="s">
        <v>598</v>
      </c>
      <c r="G831" t="s">
        <v>478</v>
      </c>
      <c r="H831" t="s">
        <v>600</v>
      </c>
      <c r="I831" t="s">
        <v>601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 hidden="1">
      <c r="A832" t="s">
        <v>18804</v>
      </c>
      <c r="B832" t="s">
        <v>2167</v>
      </c>
      <c r="C832" t="s">
        <v>2154</v>
      </c>
      <c r="D832" t="s">
        <v>1332</v>
      </c>
      <c r="E832" t="s">
        <v>1684</v>
      </c>
      <c r="F832" t="s">
        <v>598</v>
      </c>
      <c r="G832" t="s">
        <v>478</v>
      </c>
      <c r="H832" t="s">
        <v>600</v>
      </c>
      <c r="I832" t="s">
        <v>601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18804</v>
      </c>
      <c r="B833" t="s">
        <v>2172</v>
      </c>
      <c r="C833" t="s">
        <v>2154</v>
      </c>
      <c r="D833" t="s">
        <v>1435</v>
      </c>
      <c r="E833" t="s">
        <v>973</v>
      </c>
      <c r="F833" t="s">
        <v>598</v>
      </c>
      <c r="G833" t="s">
        <v>478</v>
      </c>
      <c r="H833" t="s">
        <v>600</v>
      </c>
      <c r="I833" t="s">
        <v>601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hidden="1">
      <c r="A834" t="s">
        <v>18804</v>
      </c>
      <c r="B834" t="s">
        <v>2173</v>
      </c>
      <c r="C834" t="s">
        <v>2154</v>
      </c>
      <c r="D834" t="s">
        <v>1354</v>
      </c>
      <c r="E834" t="s">
        <v>973</v>
      </c>
      <c r="F834" t="s">
        <v>598</v>
      </c>
      <c r="G834" t="s">
        <v>478</v>
      </c>
      <c r="H834" t="s">
        <v>600</v>
      </c>
      <c r="I834" t="s">
        <v>601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hidden="1">
      <c r="A835" t="s">
        <v>18804</v>
      </c>
      <c r="B835" t="s">
        <v>2187</v>
      </c>
      <c r="C835" t="s">
        <v>2154</v>
      </c>
      <c r="D835" t="s">
        <v>648</v>
      </c>
      <c r="E835" t="s">
        <v>920</v>
      </c>
      <c r="F835" t="s">
        <v>598</v>
      </c>
      <c r="G835" t="s">
        <v>478</v>
      </c>
      <c r="H835" t="s">
        <v>600</v>
      </c>
      <c r="I835" t="s">
        <v>601</v>
      </c>
      <c r="J835">
        <v>5.1000000000000004E-3</v>
      </c>
      <c r="K835">
        <v>5.3E-3</v>
      </c>
      <c r="L835">
        <v>5.4000000000000003E-3</v>
      </c>
      <c r="M835">
        <v>5.7000000000000002E-3</v>
      </c>
      <c r="N835">
        <v>5.7999999999999996E-3</v>
      </c>
      <c r="O835">
        <v>6.0000000000000001E-3</v>
      </c>
      <c r="P835">
        <v>6.0000000000000001E-3</v>
      </c>
      <c r="Q835">
        <v>6.1000000000000004E-3</v>
      </c>
      <c r="R835">
        <v>6.3E-3</v>
      </c>
      <c r="S835">
        <v>6.4000000000000003E-3</v>
      </c>
      <c r="T835">
        <v>6.4999999999999997E-3</v>
      </c>
      <c r="U835">
        <v>6.7000000000000002E-3</v>
      </c>
      <c r="V835">
        <v>6.7999999999999996E-3</v>
      </c>
      <c r="W835">
        <v>7.0000000000000001E-3</v>
      </c>
      <c r="X835">
        <v>7.1000000000000004E-3</v>
      </c>
      <c r="Y835">
        <v>7.1999999999999998E-3</v>
      </c>
    </row>
    <row r="836" spans="1:25" hidden="1">
      <c r="A836" t="s">
        <v>18804</v>
      </c>
      <c r="B836" t="s">
        <v>2197</v>
      </c>
      <c r="C836" t="s">
        <v>2154</v>
      </c>
      <c r="D836" t="s">
        <v>648</v>
      </c>
      <c r="E836" t="s">
        <v>646</v>
      </c>
      <c r="F836" t="s">
        <v>598</v>
      </c>
      <c r="G836" t="s">
        <v>478</v>
      </c>
      <c r="H836" t="s">
        <v>600</v>
      </c>
      <c r="I836" t="s">
        <v>601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25">
      <c r="J837">
        <f t="shared" ref="J837:Y837" si="4">SUBTOTAL(109,J657:J836)</f>
        <v>0.92170000000000007</v>
      </c>
      <c r="K837">
        <f t="shared" si="4"/>
        <v>0.94979999999999998</v>
      </c>
      <c r="L837">
        <f t="shared" si="4"/>
        <v>0.96870000000000001</v>
      </c>
      <c r="M837">
        <f t="shared" si="4"/>
        <v>0.97550000000000003</v>
      </c>
      <c r="N837">
        <f t="shared" si="4"/>
        <v>0.97929999999999995</v>
      </c>
      <c r="O837">
        <f t="shared" si="4"/>
        <v>0.9536</v>
      </c>
      <c r="P837">
        <f t="shared" si="4"/>
        <v>0.95730000000000004</v>
      </c>
      <c r="Q837">
        <f t="shared" si="4"/>
        <v>0.9648000000000001</v>
      </c>
      <c r="R837">
        <f t="shared" si="4"/>
        <v>0.96970000000000001</v>
      </c>
      <c r="S837">
        <f t="shared" si="4"/>
        <v>0.98130000000000006</v>
      </c>
      <c r="T837">
        <f t="shared" si="4"/>
        <v>0.99440000000000006</v>
      </c>
      <c r="U837">
        <f t="shared" si="4"/>
        <v>1.0041</v>
      </c>
      <c r="V837">
        <f t="shared" si="4"/>
        <v>1.0091000000000001</v>
      </c>
      <c r="W837">
        <f t="shared" si="4"/>
        <v>1.0189999999999999</v>
      </c>
      <c r="X837">
        <f t="shared" si="4"/>
        <v>1.0297000000000001</v>
      </c>
      <c r="Y837">
        <f t="shared" si="4"/>
        <v>1.0366</v>
      </c>
    </row>
    <row r="839" spans="1:25">
      <c r="A839" t="s">
        <v>569</v>
      </c>
      <c r="B839" t="s">
        <v>570</v>
      </c>
      <c r="C839" t="s">
        <v>571</v>
      </c>
      <c r="D839" t="s">
        <v>572</v>
      </c>
      <c r="E839" t="s">
        <v>573</v>
      </c>
      <c r="F839" t="s">
        <v>574</v>
      </c>
      <c r="G839" t="s">
        <v>575</v>
      </c>
      <c r="H839" t="s">
        <v>576</v>
      </c>
      <c r="I839" t="s">
        <v>577</v>
      </c>
      <c r="J839" t="s">
        <v>578</v>
      </c>
      <c r="K839" t="s">
        <v>579</v>
      </c>
      <c r="L839" t="s">
        <v>580</v>
      </c>
      <c r="M839" t="s">
        <v>581</v>
      </c>
      <c r="N839" t="s">
        <v>582</v>
      </c>
      <c r="O839" t="s">
        <v>583</v>
      </c>
      <c r="P839" t="s">
        <v>584</v>
      </c>
      <c r="Q839" t="s">
        <v>585</v>
      </c>
      <c r="R839" t="s">
        <v>586</v>
      </c>
      <c r="S839" t="s">
        <v>587</v>
      </c>
      <c r="T839" t="s">
        <v>588</v>
      </c>
      <c r="U839" t="s">
        <v>589</v>
      </c>
      <c r="V839" t="s">
        <v>590</v>
      </c>
      <c r="W839" t="s">
        <v>591</v>
      </c>
      <c r="X839" t="s">
        <v>592</v>
      </c>
      <c r="Y839" t="s">
        <v>593</v>
      </c>
    </row>
    <row r="840" spans="1:25">
      <c r="A840" t="s">
        <v>18805</v>
      </c>
      <c r="B840" t="s">
        <v>594</v>
      </c>
      <c r="C840" t="s">
        <v>595</v>
      </c>
      <c r="D840" t="s">
        <v>596</v>
      </c>
      <c r="E840" t="s">
        <v>597</v>
      </c>
      <c r="F840" t="s">
        <v>598</v>
      </c>
      <c r="G840" t="s">
        <v>478</v>
      </c>
      <c r="H840" t="s">
        <v>600</v>
      </c>
      <c r="I840" t="s">
        <v>601</v>
      </c>
      <c r="J840">
        <v>4.4999999999999997E-3</v>
      </c>
      <c r="K840">
        <v>4.7000000000000002E-3</v>
      </c>
      <c r="L840">
        <v>4.7999999999999996E-3</v>
      </c>
      <c r="M840">
        <v>4.7999999999999996E-3</v>
      </c>
      <c r="N840">
        <v>4.7999999999999996E-3</v>
      </c>
      <c r="O840">
        <v>4.4999999999999997E-3</v>
      </c>
      <c r="P840">
        <v>4.4999999999999997E-3</v>
      </c>
      <c r="Q840">
        <v>4.4999999999999997E-3</v>
      </c>
      <c r="R840">
        <v>4.4999999999999997E-3</v>
      </c>
      <c r="S840">
        <v>4.4999999999999997E-3</v>
      </c>
      <c r="T840">
        <v>4.4999999999999997E-3</v>
      </c>
      <c r="U840">
        <v>4.4999999999999997E-3</v>
      </c>
      <c r="V840">
        <v>4.4999999999999997E-3</v>
      </c>
      <c r="W840">
        <v>4.4999999999999997E-3</v>
      </c>
      <c r="X840">
        <v>4.4999999999999997E-3</v>
      </c>
      <c r="Y840">
        <v>4.5999999999999999E-3</v>
      </c>
    </row>
    <row r="841" spans="1:25">
      <c r="A841" t="s">
        <v>18805</v>
      </c>
      <c r="B841" t="s">
        <v>602</v>
      </c>
      <c r="C841" t="s">
        <v>595</v>
      </c>
      <c r="D841" t="s">
        <v>596</v>
      </c>
      <c r="E841" t="s">
        <v>603</v>
      </c>
      <c r="F841" t="s">
        <v>598</v>
      </c>
      <c r="G841" t="s">
        <v>478</v>
      </c>
      <c r="H841" t="s">
        <v>600</v>
      </c>
      <c r="I841" t="s">
        <v>601</v>
      </c>
      <c r="J841">
        <v>5.0000000000000001E-4</v>
      </c>
      <c r="K841">
        <v>5.0000000000000001E-4</v>
      </c>
      <c r="L841">
        <v>5.0000000000000001E-4</v>
      </c>
      <c r="M841">
        <v>5.0000000000000001E-4</v>
      </c>
      <c r="N841">
        <v>5.0000000000000001E-4</v>
      </c>
      <c r="O841">
        <v>5.0000000000000001E-4</v>
      </c>
      <c r="P841">
        <v>5.0000000000000001E-4</v>
      </c>
      <c r="Q841">
        <v>5.0000000000000001E-4</v>
      </c>
      <c r="R841">
        <v>5.0000000000000001E-4</v>
      </c>
      <c r="S841">
        <v>5.0000000000000001E-4</v>
      </c>
      <c r="T841">
        <v>5.0000000000000001E-4</v>
      </c>
      <c r="U841">
        <v>5.0000000000000001E-4</v>
      </c>
      <c r="V841">
        <v>5.0000000000000001E-4</v>
      </c>
      <c r="W841">
        <v>5.0000000000000001E-4</v>
      </c>
      <c r="X841">
        <v>5.0000000000000001E-4</v>
      </c>
      <c r="Y841">
        <v>5.0000000000000001E-4</v>
      </c>
    </row>
    <row r="842" spans="1:25">
      <c r="A842" t="s">
        <v>18805</v>
      </c>
      <c r="B842" t="s">
        <v>616</v>
      </c>
      <c r="C842" t="s">
        <v>595</v>
      </c>
      <c r="D842" t="s">
        <v>596</v>
      </c>
      <c r="E842" t="s">
        <v>617</v>
      </c>
      <c r="F842" t="s">
        <v>598</v>
      </c>
      <c r="G842" t="s">
        <v>478</v>
      </c>
      <c r="H842" t="s">
        <v>600</v>
      </c>
      <c r="I842" t="s">
        <v>601</v>
      </c>
      <c r="J842">
        <v>0.70960000000000001</v>
      </c>
      <c r="K842">
        <v>0.73340000000000005</v>
      </c>
      <c r="L842">
        <v>0.73709999999999998</v>
      </c>
      <c r="M842">
        <v>0.75119999999999998</v>
      </c>
      <c r="N842">
        <v>0.7601</v>
      </c>
      <c r="O842">
        <v>0.78969999999999996</v>
      </c>
      <c r="P842">
        <v>0.79479999999999995</v>
      </c>
      <c r="Q842">
        <v>0.80759999999999998</v>
      </c>
      <c r="R842">
        <v>0.81630000000000003</v>
      </c>
      <c r="S842">
        <v>0.83750000000000002</v>
      </c>
      <c r="T842">
        <v>0.86119999999999997</v>
      </c>
      <c r="U842">
        <v>0.87839999999999996</v>
      </c>
      <c r="V842">
        <v>0.88590000000000002</v>
      </c>
      <c r="W842">
        <v>0.90480000000000005</v>
      </c>
      <c r="X842">
        <v>0.92379999999999995</v>
      </c>
      <c r="Y842">
        <v>0.93559999999999999</v>
      </c>
    </row>
    <row r="843" spans="1:25">
      <c r="A843" t="s">
        <v>18805</v>
      </c>
      <c r="B843" t="s">
        <v>620</v>
      </c>
      <c r="C843" t="s">
        <v>595</v>
      </c>
      <c r="D843" t="s">
        <v>621</v>
      </c>
      <c r="E843" t="s">
        <v>597</v>
      </c>
      <c r="F843" t="s">
        <v>598</v>
      </c>
      <c r="G843" t="s">
        <v>478</v>
      </c>
      <c r="H843" t="s">
        <v>600</v>
      </c>
      <c r="I843" t="s">
        <v>601</v>
      </c>
      <c r="J843">
        <v>3.3500000000000002E-2</v>
      </c>
      <c r="K843">
        <v>3.44E-2</v>
      </c>
      <c r="L843">
        <v>3.5499999999999997E-2</v>
      </c>
      <c r="M843">
        <v>3.5499999999999997E-2</v>
      </c>
      <c r="N843">
        <v>3.5400000000000001E-2</v>
      </c>
      <c r="O843">
        <v>3.2899999999999999E-2</v>
      </c>
      <c r="P843">
        <v>3.3000000000000002E-2</v>
      </c>
      <c r="Q843">
        <v>3.3099999999999997E-2</v>
      </c>
      <c r="R843">
        <v>3.3099999999999997E-2</v>
      </c>
      <c r="S843">
        <v>3.32E-2</v>
      </c>
      <c r="T843">
        <v>3.32E-2</v>
      </c>
      <c r="U843">
        <v>3.3300000000000003E-2</v>
      </c>
      <c r="V843">
        <v>3.3399999999999999E-2</v>
      </c>
      <c r="W843">
        <v>3.3399999999999999E-2</v>
      </c>
      <c r="X843">
        <v>3.3500000000000002E-2</v>
      </c>
      <c r="Y843">
        <v>3.3500000000000002E-2</v>
      </c>
    </row>
    <row r="844" spans="1:25">
      <c r="A844" t="s">
        <v>18805</v>
      </c>
      <c r="B844" t="s">
        <v>627</v>
      </c>
      <c r="C844" t="s">
        <v>595</v>
      </c>
      <c r="D844" t="s">
        <v>621</v>
      </c>
      <c r="E844" t="s">
        <v>628</v>
      </c>
      <c r="F844" t="s">
        <v>598</v>
      </c>
      <c r="G844" t="s">
        <v>478</v>
      </c>
      <c r="H844" t="s">
        <v>600</v>
      </c>
      <c r="I844" t="s">
        <v>601</v>
      </c>
      <c r="J844">
        <v>1.2999999999999999E-3</v>
      </c>
      <c r="K844">
        <v>1.2999999999999999E-3</v>
      </c>
      <c r="L844">
        <v>1.2999999999999999E-3</v>
      </c>
      <c r="M844">
        <v>1.2999999999999999E-3</v>
      </c>
      <c r="N844">
        <v>1.2999999999999999E-3</v>
      </c>
      <c r="O844">
        <v>1.2999999999999999E-3</v>
      </c>
      <c r="P844">
        <v>1.2999999999999999E-3</v>
      </c>
      <c r="Q844">
        <v>1.2999999999999999E-3</v>
      </c>
      <c r="R844">
        <v>1.2999999999999999E-3</v>
      </c>
      <c r="S844">
        <v>1.2999999999999999E-3</v>
      </c>
      <c r="T844">
        <v>1.2999999999999999E-3</v>
      </c>
      <c r="U844">
        <v>1.2999999999999999E-3</v>
      </c>
      <c r="V844">
        <v>1.2999999999999999E-3</v>
      </c>
      <c r="W844">
        <v>1.2999999999999999E-3</v>
      </c>
      <c r="X844">
        <v>1.2999999999999999E-3</v>
      </c>
      <c r="Y844">
        <v>1.2999999999999999E-3</v>
      </c>
    </row>
    <row r="845" spans="1:25">
      <c r="A845" t="s">
        <v>18805</v>
      </c>
      <c r="B845" t="s">
        <v>629</v>
      </c>
      <c r="C845" t="s">
        <v>595</v>
      </c>
      <c r="D845" t="s">
        <v>621</v>
      </c>
      <c r="E845" t="s">
        <v>630</v>
      </c>
      <c r="F845" t="s">
        <v>598</v>
      </c>
      <c r="G845" t="s">
        <v>478</v>
      </c>
      <c r="H845" t="s">
        <v>600</v>
      </c>
      <c r="I845" t="s">
        <v>601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>
      <c r="A846" t="s">
        <v>18805</v>
      </c>
      <c r="B846" t="s">
        <v>647</v>
      </c>
      <c r="C846" t="s">
        <v>595</v>
      </c>
      <c r="D846" t="s">
        <v>648</v>
      </c>
      <c r="E846" t="s">
        <v>649</v>
      </c>
      <c r="F846" t="s">
        <v>598</v>
      </c>
      <c r="G846" t="s">
        <v>478</v>
      </c>
      <c r="H846" t="s">
        <v>600</v>
      </c>
      <c r="I846" t="s">
        <v>601</v>
      </c>
      <c r="J846">
        <v>1.8700000000000001E-2</v>
      </c>
      <c r="K846">
        <v>1.8700000000000001E-2</v>
      </c>
      <c r="L846">
        <v>1.8700000000000001E-2</v>
      </c>
      <c r="M846">
        <v>1.8700000000000001E-2</v>
      </c>
      <c r="N846">
        <v>1.8700000000000001E-2</v>
      </c>
      <c r="O846">
        <v>1.8700000000000001E-2</v>
      </c>
      <c r="P846">
        <v>1.8700000000000001E-2</v>
      </c>
      <c r="Q846">
        <v>1.8700000000000001E-2</v>
      </c>
      <c r="R846">
        <v>1.8700000000000001E-2</v>
      </c>
      <c r="S846">
        <v>1.8700000000000001E-2</v>
      </c>
      <c r="T846">
        <v>1.8700000000000001E-2</v>
      </c>
      <c r="U846">
        <v>1.8700000000000001E-2</v>
      </c>
      <c r="V846">
        <v>1.8700000000000001E-2</v>
      </c>
      <c r="W846">
        <v>1.8700000000000001E-2</v>
      </c>
      <c r="X846">
        <v>1.8700000000000001E-2</v>
      </c>
      <c r="Y846">
        <v>1.8700000000000001E-2</v>
      </c>
    </row>
    <row r="847" spans="1:25" hidden="1">
      <c r="A847" t="s">
        <v>18805</v>
      </c>
      <c r="B847" t="s">
        <v>655</v>
      </c>
      <c r="C847" t="s">
        <v>651</v>
      </c>
      <c r="D847" t="s">
        <v>596</v>
      </c>
      <c r="E847" t="s">
        <v>656</v>
      </c>
      <c r="F847" t="s">
        <v>598</v>
      </c>
      <c r="G847" t="s">
        <v>478</v>
      </c>
      <c r="H847" t="s">
        <v>600</v>
      </c>
      <c r="I847" t="s">
        <v>601</v>
      </c>
      <c r="J847">
        <v>0.31019999999999998</v>
      </c>
      <c r="K847">
        <v>0.35489999999999999</v>
      </c>
      <c r="L847">
        <v>0.38100000000000001</v>
      </c>
      <c r="M847">
        <v>0.41449999999999998</v>
      </c>
      <c r="N847">
        <v>0.43840000000000001</v>
      </c>
      <c r="O847">
        <v>0.45550000000000002</v>
      </c>
      <c r="P847">
        <v>0.46079999999999999</v>
      </c>
      <c r="Q847">
        <v>0.46600000000000003</v>
      </c>
      <c r="R847">
        <v>0.47789999999999999</v>
      </c>
      <c r="S847">
        <v>0.48609999999999998</v>
      </c>
      <c r="T847">
        <v>0.49430000000000002</v>
      </c>
      <c r="U847">
        <v>0.50249999999999995</v>
      </c>
      <c r="V847">
        <v>0.51149999999999995</v>
      </c>
      <c r="W847">
        <v>0.51</v>
      </c>
      <c r="X847">
        <v>0.51370000000000005</v>
      </c>
      <c r="Y847">
        <v>0.51219999999999999</v>
      </c>
    </row>
    <row r="848" spans="1:25" hidden="1">
      <c r="A848" t="s">
        <v>18805</v>
      </c>
      <c r="B848" t="s">
        <v>670</v>
      </c>
      <c r="C848" t="s">
        <v>664</v>
      </c>
      <c r="D848" t="s">
        <v>671</v>
      </c>
      <c r="E848" t="s">
        <v>672</v>
      </c>
      <c r="F848" t="s">
        <v>598</v>
      </c>
      <c r="G848" t="s">
        <v>478</v>
      </c>
      <c r="H848" t="s">
        <v>600</v>
      </c>
      <c r="I848" t="s">
        <v>601</v>
      </c>
      <c r="J848">
        <v>1E-4</v>
      </c>
      <c r="K848">
        <v>1E-4</v>
      </c>
      <c r="L848">
        <v>1E-4</v>
      </c>
      <c r="M848">
        <v>1E-4</v>
      </c>
      <c r="N848">
        <v>1E-4</v>
      </c>
      <c r="O848">
        <v>1E-4</v>
      </c>
      <c r="P848">
        <v>1E-4</v>
      </c>
      <c r="Q848">
        <v>1E-4</v>
      </c>
      <c r="R848">
        <v>1E-4</v>
      </c>
      <c r="S848">
        <v>1E-4</v>
      </c>
      <c r="T848">
        <v>1E-4</v>
      </c>
      <c r="U848">
        <v>1E-4</v>
      </c>
      <c r="V848">
        <v>1E-4</v>
      </c>
      <c r="W848">
        <v>1E-4</v>
      </c>
      <c r="X848">
        <v>1E-4</v>
      </c>
      <c r="Y848">
        <v>1E-4</v>
      </c>
    </row>
    <row r="849" spans="1:25" hidden="1">
      <c r="A849" t="s">
        <v>18805</v>
      </c>
      <c r="B849" t="s">
        <v>700</v>
      </c>
      <c r="C849" t="s">
        <v>664</v>
      </c>
      <c r="D849" t="s">
        <v>701</v>
      </c>
      <c r="E849" t="s">
        <v>672</v>
      </c>
      <c r="F849" t="s">
        <v>598</v>
      </c>
      <c r="G849" t="s">
        <v>478</v>
      </c>
      <c r="H849" t="s">
        <v>600</v>
      </c>
      <c r="I849" t="s">
        <v>601</v>
      </c>
      <c r="J849">
        <v>4.0000000000000002E-4</v>
      </c>
      <c r="K849">
        <v>4.0000000000000002E-4</v>
      </c>
      <c r="L849">
        <v>4.0000000000000002E-4</v>
      </c>
      <c r="M849">
        <v>4.0000000000000002E-4</v>
      </c>
      <c r="N849">
        <v>4.0000000000000002E-4</v>
      </c>
      <c r="O849">
        <v>4.0000000000000002E-4</v>
      </c>
      <c r="P849">
        <v>4.0000000000000002E-4</v>
      </c>
      <c r="Q849">
        <v>2.9999999999999997E-4</v>
      </c>
      <c r="R849">
        <v>2.9999999999999997E-4</v>
      </c>
      <c r="S849">
        <v>2.9999999999999997E-4</v>
      </c>
      <c r="T849">
        <v>2.9999999999999997E-4</v>
      </c>
      <c r="U849">
        <v>2.9999999999999997E-4</v>
      </c>
      <c r="V849">
        <v>2.9999999999999997E-4</v>
      </c>
      <c r="W849">
        <v>2.9999999999999997E-4</v>
      </c>
      <c r="X849">
        <v>2.9999999999999997E-4</v>
      </c>
      <c r="Y849">
        <v>2.9999999999999997E-4</v>
      </c>
    </row>
    <row r="850" spans="1:25" hidden="1">
      <c r="A850" t="s">
        <v>18805</v>
      </c>
      <c r="B850" t="s">
        <v>702</v>
      </c>
      <c r="C850" t="s">
        <v>664</v>
      </c>
      <c r="D850" t="s">
        <v>701</v>
      </c>
      <c r="E850" t="s">
        <v>597</v>
      </c>
      <c r="F850" t="s">
        <v>598</v>
      </c>
      <c r="G850" t="s">
        <v>478</v>
      </c>
      <c r="H850" t="s">
        <v>600</v>
      </c>
      <c r="I850" t="s">
        <v>601</v>
      </c>
      <c r="J850">
        <v>2.0000000000000001E-4</v>
      </c>
      <c r="K850">
        <v>2.0000000000000001E-4</v>
      </c>
      <c r="L850">
        <v>2.0000000000000001E-4</v>
      </c>
      <c r="M850">
        <v>2.0000000000000001E-4</v>
      </c>
      <c r="N850">
        <v>2.0000000000000001E-4</v>
      </c>
      <c r="O850">
        <v>2.0000000000000001E-4</v>
      </c>
      <c r="P850">
        <v>2.0000000000000001E-4</v>
      </c>
      <c r="Q850">
        <v>2.0000000000000001E-4</v>
      </c>
      <c r="R850">
        <v>2.0000000000000001E-4</v>
      </c>
      <c r="S850">
        <v>2.0000000000000001E-4</v>
      </c>
      <c r="T850">
        <v>2.0000000000000001E-4</v>
      </c>
      <c r="U850">
        <v>2.0000000000000001E-4</v>
      </c>
      <c r="V850">
        <v>2.0000000000000001E-4</v>
      </c>
      <c r="W850">
        <v>2.0000000000000001E-4</v>
      </c>
      <c r="X850">
        <v>1E-4</v>
      </c>
      <c r="Y850">
        <v>1E-4</v>
      </c>
    </row>
    <row r="851" spans="1:25" hidden="1">
      <c r="A851" t="s">
        <v>18805</v>
      </c>
      <c r="B851" t="s">
        <v>703</v>
      </c>
      <c r="C851" t="s">
        <v>664</v>
      </c>
      <c r="D851" t="s">
        <v>704</v>
      </c>
      <c r="E851" t="s">
        <v>672</v>
      </c>
      <c r="F851" t="s">
        <v>598</v>
      </c>
      <c r="G851" t="s">
        <v>478</v>
      </c>
      <c r="H851" t="s">
        <v>600</v>
      </c>
      <c r="I851" t="s">
        <v>601</v>
      </c>
      <c r="J851">
        <v>3.0999999999999999E-3</v>
      </c>
      <c r="K851">
        <v>3.0000000000000001E-3</v>
      </c>
      <c r="L851">
        <v>3.0000000000000001E-3</v>
      </c>
      <c r="M851">
        <v>2.8999999999999998E-3</v>
      </c>
      <c r="N851">
        <v>2.8E-3</v>
      </c>
      <c r="O851">
        <v>2.8E-3</v>
      </c>
      <c r="P851">
        <v>2.7000000000000001E-3</v>
      </c>
      <c r="Q851">
        <v>2.7000000000000001E-3</v>
      </c>
      <c r="R851">
        <v>2.5999999999999999E-3</v>
      </c>
      <c r="S851">
        <v>2.5000000000000001E-3</v>
      </c>
      <c r="T851">
        <v>2.5000000000000001E-3</v>
      </c>
      <c r="U851">
        <v>2.3999999999999998E-3</v>
      </c>
      <c r="V851">
        <v>2.3999999999999998E-3</v>
      </c>
      <c r="W851">
        <v>2.3E-3</v>
      </c>
      <c r="X851">
        <v>2.3E-3</v>
      </c>
      <c r="Y851">
        <v>2.2000000000000001E-3</v>
      </c>
    </row>
    <row r="852" spans="1:25" hidden="1">
      <c r="A852" t="s">
        <v>18805</v>
      </c>
      <c r="B852" t="s">
        <v>705</v>
      </c>
      <c r="C852" t="s">
        <v>664</v>
      </c>
      <c r="D852" t="s">
        <v>704</v>
      </c>
      <c r="E852" t="s">
        <v>597</v>
      </c>
      <c r="F852" t="s">
        <v>598</v>
      </c>
      <c r="G852" t="s">
        <v>478</v>
      </c>
      <c r="H852" t="s">
        <v>600</v>
      </c>
      <c r="I852" t="s">
        <v>601</v>
      </c>
      <c r="J852">
        <v>8.9999999999999998E-4</v>
      </c>
      <c r="K852">
        <v>8.9999999999999998E-4</v>
      </c>
      <c r="L852">
        <v>8.0000000000000004E-4</v>
      </c>
      <c r="M852">
        <v>8.0000000000000004E-4</v>
      </c>
      <c r="N852">
        <v>8.0000000000000004E-4</v>
      </c>
      <c r="O852">
        <v>8.0000000000000004E-4</v>
      </c>
      <c r="P852">
        <v>8.0000000000000004E-4</v>
      </c>
      <c r="Q852">
        <v>8.0000000000000004E-4</v>
      </c>
      <c r="R852">
        <v>6.9999999999999999E-4</v>
      </c>
      <c r="S852">
        <v>6.9999999999999999E-4</v>
      </c>
      <c r="T852">
        <v>6.9999999999999999E-4</v>
      </c>
      <c r="U852">
        <v>6.9999999999999999E-4</v>
      </c>
      <c r="V852">
        <v>6.9999999999999999E-4</v>
      </c>
      <c r="W852">
        <v>6.9999999999999999E-4</v>
      </c>
      <c r="X852">
        <v>5.9999999999999995E-4</v>
      </c>
      <c r="Y852">
        <v>5.9999999999999995E-4</v>
      </c>
    </row>
    <row r="853" spans="1:25" hidden="1">
      <c r="A853" t="s">
        <v>18805</v>
      </c>
      <c r="B853" t="s">
        <v>728</v>
      </c>
      <c r="C853" t="s">
        <v>729</v>
      </c>
      <c r="D853" t="s">
        <v>596</v>
      </c>
      <c r="E853" t="s">
        <v>597</v>
      </c>
      <c r="F853" t="s">
        <v>598</v>
      </c>
      <c r="G853" t="s">
        <v>478</v>
      </c>
      <c r="H853" t="s">
        <v>600</v>
      </c>
      <c r="I853" t="s">
        <v>601</v>
      </c>
      <c r="J853">
        <v>7.17E-2</v>
      </c>
      <c r="K853">
        <v>7.0499999999999993E-2</v>
      </c>
      <c r="L853">
        <v>6.9099999999999995E-2</v>
      </c>
      <c r="M853">
        <v>6.9800000000000001E-2</v>
      </c>
      <c r="N853">
        <v>6.9400000000000003E-2</v>
      </c>
      <c r="O853">
        <v>6.9099999999999995E-2</v>
      </c>
      <c r="P853">
        <v>6.9500000000000006E-2</v>
      </c>
      <c r="Q853">
        <v>6.9500000000000006E-2</v>
      </c>
      <c r="R853">
        <v>6.93E-2</v>
      </c>
      <c r="S853">
        <v>6.8900000000000003E-2</v>
      </c>
      <c r="T853">
        <v>6.9199999999999998E-2</v>
      </c>
      <c r="U853">
        <v>6.9500000000000006E-2</v>
      </c>
      <c r="V853">
        <v>7.0199999999999999E-2</v>
      </c>
      <c r="W853">
        <v>7.1099999999999997E-2</v>
      </c>
      <c r="X853">
        <v>7.1099999999999997E-2</v>
      </c>
      <c r="Y853">
        <v>7.17E-2</v>
      </c>
    </row>
    <row r="854" spans="1:25" hidden="1">
      <c r="A854" t="s">
        <v>18805</v>
      </c>
      <c r="B854" t="s">
        <v>738</v>
      </c>
      <c r="C854" t="s">
        <v>729</v>
      </c>
      <c r="D854" t="s">
        <v>596</v>
      </c>
      <c r="E854" t="s">
        <v>617</v>
      </c>
      <c r="F854" t="s">
        <v>598</v>
      </c>
      <c r="G854" t="s">
        <v>478</v>
      </c>
      <c r="H854" t="s">
        <v>600</v>
      </c>
      <c r="I854" t="s">
        <v>601</v>
      </c>
      <c r="J854">
        <v>0.48459999999999998</v>
      </c>
      <c r="K854">
        <v>0.48459999999999998</v>
      </c>
      <c r="L854">
        <v>0.48459999999999998</v>
      </c>
      <c r="M854">
        <v>0.48459999999999998</v>
      </c>
      <c r="N854">
        <v>0.48459999999999998</v>
      </c>
      <c r="O854">
        <v>0.48459999999999998</v>
      </c>
      <c r="P854">
        <v>0.48459999999999998</v>
      </c>
      <c r="Q854">
        <v>0.48459999999999998</v>
      </c>
      <c r="R854">
        <v>0.48459999999999998</v>
      </c>
      <c r="S854">
        <v>0.48459999999999998</v>
      </c>
      <c r="T854">
        <v>0.48459999999999998</v>
      </c>
      <c r="U854">
        <v>0.48459999999999998</v>
      </c>
      <c r="V854">
        <v>0.48459999999999998</v>
      </c>
      <c r="W854">
        <v>0.48459999999999998</v>
      </c>
      <c r="X854">
        <v>0.48459999999999998</v>
      </c>
      <c r="Y854">
        <v>0.48459999999999998</v>
      </c>
    </row>
    <row r="855" spans="1:25" hidden="1">
      <c r="A855" t="s">
        <v>18805</v>
      </c>
      <c r="B855" t="s">
        <v>740</v>
      </c>
      <c r="C855" t="s">
        <v>729</v>
      </c>
      <c r="D855" t="s">
        <v>596</v>
      </c>
      <c r="E855" t="s">
        <v>619</v>
      </c>
      <c r="F855" t="s">
        <v>598</v>
      </c>
      <c r="G855" t="s">
        <v>478</v>
      </c>
      <c r="H855" t="s">
        <v>600</v>
      </c>
      <c r="I855" t="s">
        <v>601</v>
      </c>
      <c r="J855">
        <v>2.0000000000000001E-4</v>
      </c>
      <c r="K855">
        <v>2.0000000000000001E-4</v>
      </c>
      <c r="L855">
        <v>2.0000000000000001E-4</v>
      </c>
      <c r="M855">
        <v>2.0000000000000001E-4</v>
      </c>
      <c r="N855">
        <v>2.0000000000000001E-4</v>
      </c>
      <c r="O855">
        <v>2.0000000000000001E-4</v>
      </c>
      <c r="P855">
        <v>2.0000000000000001E-4</v>
      </c>
      <c r="Q855">
        <v>2.0000000000000001E-4</v>
      </c>
      <c r="R855">
        <v>2.0000000000000001E-4</v>
      </c>
      <c r="S855">
        <v>2.0000000000000001E-4</v>
      </c>
      <c r="T855">
        <v>2.0000000000000001E-4</v>
      </c>
      <c r="U855">
        <v>2.0000000000000001E-4</v>
      </c>
      <c r="V855">
        <v>2.0000000000000001E-4</v>
      </c>
      <c r="W855">
        <v>2.0000000000000001E-4</v>
      </c>
      <c r="X855">
        <v>2.0000000000000001E-4</v>
      </c>
      <c r="Y855">
        <v>2.0000000000000001E-4</v>
      </c>
    </row>
    <row r="856" spans="1:25" hidden="1">
      <c r="A856" t="s">
        <v>18805</v>
      </c>
      <c r="B856" t="s">
        <v>770</v>
      </c>
      <c r="C856" t="s">
        <v>729</v>
      </c>
      <c r="D856" t="s">
        <v>621</v>
      </c>
      <c r="E856" t="s">
        <v>628</v>
      </c>
      <c r="F856" t="s">
        <v>598</v>
      </c>
      <c r="G856" t="s">
        <v>478</v>
      </c>
      <c r="H856" t="s">
        <v>600</v>
      </c>
      <c r="I856" t="s">
        <v>601</v>
      </c>
      <c r="J856">
        <v>1E-4</v>
      </c>
      <c r="K856">
        <v>1E-4</v>
      </c>
      <c r="L856">
        <v>1E-4</v>
      </c>
      <c r="M856">
        <v>1E-4</v>
      </c>
      <c r="N856">
        <v>1E-4</v>
      </c>
      <c r="O856">
        <v>1E-4</v>
      </c>
      <c r="P856">
        <v>1E-4</v>
      </c>
      <c r="Q856">
        <v>1E-4</v>
      </c>
      <c r="R856">
        <v>1E-4</v>
      </c>
      <c r="S856">
        <v>1E-4</v>
      </c>
      <c r="T856">
        <v>1E-4</v>
      </c>
      <c r="U856">
        <v>1E-4</v>
      </c>
      <c r="V856">
        <v>1E-4</v>
      </c>
      <c r="W856">
        <v>1E-4</v>
      </c>
      <c r="X856">
        <v>1E-4</v>
      </c>
      <c r="Y856">
        <v>1E-4</v>
      </c>
    </row>
    <row r="857" spans="1:25" hidden="1">
      <c r="A857" t="s">
        <v>18805</v>
      </c>
      <c r="B857" t="s">
        <v>785</v>
      </c>
      <c r="C857" t="s">
        <v>729</v>
      </c>
      <c r="D857" t="s">
        <v>640</v>
      </c>
      <c r="E857" t="s">
        <v>597</v>
      </c>
      <c r="F857" t="s">
        <v>598</v>
      </c>
      <c r="G857" t="s">
        <v>478</v>
      </c>
      <c r="H857" t="s">
        <v>600</v>
      </c>
      <c r="I857" t="s">
        <v>601</v>
      </c>
      <c r="J857">
        <v>9.4999999999999998E-3</v>
      </c>
      <c r="K857">
        <v>9.4000000000000004E-3</v>
      </c>
      <c r="L857">
        <v>9.1999999999999998E-3</v>
      </c>
      <c r="M857">
        <v>9.2999999999999992E-3</v>
      </c>
      <c r="N857">
        <v>9.1999999999999998E-3</v>
      </c>
      <c r="O857">
        <v>9.1999999999999998E-3</v>
      </c>
      <c r="P857">
        <v>9.1999999999999998E-3</v>
      </c>
      <c r="Q857">
        <v>9.1999999999999998E-3</v>
      </c>
      <c r="R857">
        <v>9.1999999999999998E-3</v>
      </c>
      <c r="S857">
        <v>9.1000000000000004E-3</v>
      </c>
      <c r="T857">
        <v>9.1000000000000004E-3</v>
      </c>
      <c r="U857">
        <v>9.1000000000000004E-3</v>
      </c>
      <c r="V857">
        <v>9.1999999999999998E-3</v>
      </c>
      <c r="W857">
        <v>9.2999999999999992E-3</v>
      </c>
      <c r="X857">
        <v>9.1999999999999998E-3</v>
      </c>
      <c r="Y857">
        <v>9.2999999999999992E-3</v>
      </c>
    </row>
    <row r="858" spans="1:25" hidden="1">
      <c r="A858" t="s">
        <v>18805</v>
      </c>
      <c r="B858" t="s">
        <v>795</v>
      </c>
      <c r="C858" t="s">
        <v>729</v>
      </c>
      <c r="D858" t="s">
        <v>648</v>
      </c>
      <c r="E858" t="s">
        <v>597</v>
      </c>
      <c r="F858" t="s">
        <v>598</v>
      </c>
      <c r="G858" t="s">
        <v>478</v>
      </c>
      <c r="H858" t="s">
        <v>600</v>
      </c>
      <c r="I858" t="s">
        <v>601</v>
      </c>
      <c r="J858">
        <v>1.1903999999999999</v>
      </c>
      <c r="K858">
        <v>1.1707000000000001</v>
      </c>
      <c r="L858">
        <v>1.1482000000000001</v>
      </c>
      <c r="M858">
        <v>1.1581999999999999</v>
      </c>
      <c r="N858">
        <v>1.1527000000000001</v>
      </c>
      <c r="O858">
        <v>1.1482000000000001</v>
      </c>
      <c r="P858">
        <v>1.1534</v>
      </c>
      <c r="Q858">
        <v>1.1534</v>
      </c>
      <c r="R858">
        <v>1.1512</v>
      </c>
      <c r="S858">
        <v>1.1438999999999999</v>
      </c>
      <c r="T858">
        <v>1.1486000000000001</v>
      </c>
      <c r="U858">
        <v>1.1537999999999999</v>
      </c>
      <c r="V858">
        <v>1.1646000000000001</v>
      </c>
      <c r="W858">
        <v>1.1781999999999999</v>
      </c>
      <c r="X858">
        <v>1.1779999999999999</v>
      </c>
      <c r="Y858">
        <v>1.1890000000000001</v>
      </c>
    </row>
    <row r="859" spans="1:25" hidden="1">
      <c r="A859" t="s">
        <v>18805</v>
      </c>
      <c r="B859" t="s">
        <v>801</v>
      </c>
      <c r="C859" t="s">
        <v>729</v>
      </c>
      <c r="D859" t="s">
        <v>648</v>
      </c>
      <c r="E859" t="s">
        <v>619</v>
      </c>
      <c r="F859" t="s">
        <v>598</v>
      </c>
      <c r="G859" t="s">
        <v>478</v>
      </c>
      <c r="H859" t="s">
        <v>600</v>
      </c>
      <c r="I859" t="s">
        <v>601</v>
      </c>
      <c r="J859">
        <v>4.7999999999999996E-3</v>
      </c>
      <c r="K859">
        <v>5.1999999999999998E-3</v>
      </c>
      <c r="L859">
        <v>5.1999999999999998E-3</v>
      </c>
      <c r="M859">
        <v>5.3E-3</v>
      </c>
      <c r="N859">
        <v>5.3E-3</v>
      </c>
      <c r="O859">
        <v>5.3E-3</v>
      </c>
      <c r="P859">
        <v>5.3E-3</v>
      </c>
      <c r="Q859">
        <v>5.3E-3</v>
      </c>
      <c r="R859">
        <v>5.3E-3</v>
      </c>
      <c r="S859">
        <v>5.3E-3</v>
      </c>
      <c r="T859">
        <v>5.3E-3</v>
      </c>
      <c r="U859">
        <v>5.3E-3</v>
      </c>
      <c r="V859">
        <v>5.3E-3</v>
      </c>
      <c r="W859">
        <v>4.8999999999999998E-3</v>
      </c>
      <c r="X859">
        <v>4.8999999999999998E-3</v>
      </c>
      <c r="Y859">
        <v>4.8999999999999998E-3</v>
      </c>
    </row>
    <row r="860" spans="1:25" hidden="1">
      <c r="A860" t="s">
        <v>18805</v>
      </c>
      <c r="B860" t="s">
        <v>802</v>
      </c>
      <c r="C860" t="s">
        <v>729</v>
      </c>
      <c r="D860" t="s">
        <v>648</v>
      </c>
      <c r="E860" t="s">
        <v>676</v>
      </c>
      <c r="F860" t="s">
        <v>598</v>
      </c>
      <c r="G860" t="s">
        <v>478</v>
      </c>
      <c r="H860" t="s">
        <v>600</v>
      </c>
      <c r="I860" t="s">
        <v>601</v>
      </c>
      <c r="J860">
        <v>0.1946</v>
      </c>
      <c r="K860">
        <v>0.1946</v>
      </c>
      <c r="L860">
        <v>0.1946</v>
      </c>
      <c r="M860">
        <v>0.1946</v>
      </c>
      <c r="N860">
        <v>0.1946</v>
      </c>
      <c r="O860">
        <v>0.1946</v>
      </c>
      <c r="P860">
        <v>0.1946</v>
      </c>
      <c r="Q860">
        <v>0.1946</v>
      </c>
      <c r="R860">
        <v>0.1946</v>
      </c>
      <c r="S860">
        <v>0.1946</v>
      </c>
      <c r="T860">
        <v>0.1946</v>
      </c>
      <c r="U860">
        <v>0.1946</v>
      </c>
      <c r="V860">
        <v>0.1946</v>
      </c>
      <c r="W860">
        <v>0.1946</v>
      </c>
      <c r="X860">
        <v>0.1946</v>
      </c>
      <c r="Y860">
        <v>0.1946</v>
      </c>
    </row>
    <row r="861" spans="1:25" hidden="1">
      <c r="A861" t="s">
        <v>18805</v>
      </c>
      <c r="B861" t="s">
        <v>830</v>
      </c>
      <c r="C861" t="s">
        <v>804</v>
      </c>
      <c r="D861" t="s">
        <v>828</v>
      </c>
      <c r="E861" t="s">
        <v>628</v>
      </c>
      <c r="F861" t="s">
        <v>831</v>
      </c>
      <c r="G861" t="s">
        <v>478</v>
      </c>
      <c r="H861" t="s">
        <v>600</v>
      </c>
      <c r="I861" t="s">
        <v>601</v>
      </c>
      <c r="J861">
        <v>5.7799999999999997E-2</v>
      </c>
      <c r="K861">
        <v>0.03</v>
      </c>
      <c r="L861">
        <v>2.6700000000000002E-2</v>
      </c>
      <c r="M861">
        <v>2.5399999999999999E-2</v>
      </c>
      <c r="N861">
        <v>2.4899999999999999E-2</v>
      </c>
      <c r="O861">
        <v>2.46E-2</v>
      </c>
      <c r="P861">
        <v>2.4500000000000001E-2</v>
      </c>
      <c r="Q861">
        <v>2.3900000000000001E-2</v>
      </c>
      <c r="R861">
        <v>2.3599999999999999E-2</v>
      </c>
      <c r="S861">
        <v>2.3199999999999998E-2</v>
      </c>
      <c r="T861">
        <v>2.2599999999999999E-2</v>
      </c>
      <c r="U861">
        <v>2.2100000000000002E-2</v>
      </c>
      <c r="V861">
        <v>2.1399999999999999E-2</v>
      </c>
      <c r="W861">
        <v>2.06E-2</v>
      </c>
      <c r="X861">
        <v>1.9599999999999999E-2</v>
      </c>
      <c r="Y861">
        <v>1.8800000000000001E-2</v>
      </c>
    </row>
    <row r="862" spans="1:25" hidden="1">
      <c r="A862" t="s">
        <v>18805</v>
      </c>
      <c r="B862" t="s">
        <v>832</v>
      </c>
      <c r="C862" t="s">
        <v>804</v>
      </c>
      <c r="D862" t="s">
        <v>828</v>
      </c>
      <c r="E862" t="s">
        <v>628</v>
      </c>
      <c r="F862" t="s">
        <v>833</v>
      </c>
      <c r="G862" t="s">
        <v>478</v>
      </c>
      <c r="H862" t="s">
        <v>600</v>
      </c>
      <c r="I862" t="s">
        <v>601</v>
      </c>
      <c r="J862">
        <v>4.6199999999999998E-2</v>
      </c>
      <c r="K862">
        <v>4.3799999999999999E-2</v>
      </c>
      <c r="L862">
        <v>4.1399999999999999E-2</v>
      </c>
      <c r="M862">
        <v>3.9100000000000003E-2</v>
      </c>
      <c r="N862">
        <v>3.6600000000000001E-2</v>
      </c>
      <c r="O862">
        <v>3.4099999999999998E-2</v>
      </c>
      <c r="P862">
        <v>3.15E-2</v>
      </c>
      <c r="Q862">
        <v>2.9100000000000001E-2</v>
      </c>
      <c r="R862">
        <v>2.6700000000000002E-2</v>
      </c>
      <c r="S862">
        <v>2.46E-2</v>
      </c>
      <c r="T862">
        <v>2.2700000000000001E-2</v>
      </c>
      <c r="U862">
        <v>2.0799999999999999E-2</v>
      </c>
      <c r="V862">
        <v>1.9300000000000001E-2</v>
      </c>
      <c r="W862">
        <v>1.78E-2</v>
      </c>
      <c r="X862">
        <v>1.6500000000000001E-2</v>
      </c>
      <c r="Y862">
        <v>1.52E-2</v>
      </c>
    </row>
    <row r="863" spans="1:25" hidden="1">
      <c r="A863" t="s">
        <v>18805</v>
      </c>
      <c r="B863" t="s">
        <v>839</v>
      </c>
      <c r="C863" t="s">
        <v>804</v>
      </c>
      <c r="D863" t="s">
        <v>648</v>
      </c>
      <c r="E863" t="s">
        <v>688</v>
      </c>
      <c r="F863" t="s">
        <v>598</v>
      </c>
      <c r="G863" t="s">
        <v>478</v>
      </c>
      <c r="H863" t="s">
        <v>600</v>
      </c>
      <c r="I863" t="s">
        <v>601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hidden="1">
      <c r="A864" t="s">
        <v>18805</v>
      </c>
      <c r="B864" t="s">
        <v>902</v>
      </c>
      <c r="C864" t="s">
        <v>841</v>
      </c>
      <c r="D864" t="s">
        <v>648</v>
      </c>
      <c r="E864" t="s">
        <v>597</v>
      </c>
      <c r="F864" t="s">
        <v>598</v>
      </c>
      <c r="G864" t="s">
        <v>478</v>
      </c>
      <c r="H864" t="s">
        <v>600</v>
      </c>
      <c r="I864" t="s">
        <v>601</v>
      </c>
      <c r="J864">
        <v>0.39329999999999998</v>
      </c>
      <c r="K864">
        <v>0.39889999999999998</v>
      </c>
      <c r="L864">
        <v>0.40500000000000003</v>
      </c>
      <c r="M864">
        <v>0.41289999999999999</v>
      </c>
      <c r="N864">
        <v>0.41770000000000002</v>
      </c>
      <c r="O864">
        <v>0.42120000000000002</v>
      </c>
      <c r="P864">
        <v>0.42420000000000002</v>
      </c>
      <c r="Q864">
        <v>0.42649999999999999</v>
      </c>
      <c r="R864">
        <v>0.42580000000000001</v>
      </c>
      <c r="S864">
        <v>0.39760000000000001</v>
      </c>
      <c r="T864">
        <v>0.39550000000000002</v>
      </c>
      <c r="U864">
        <v>0.39340000000000003</v>
      </c>
      <c r="V864">
        <v>0.39300000000000002</v>
      </c>
      <c r="W864">
        <v>0.39400000000000002</v>
      </c>
      <c r="X864">
        <v>0.3947</v>
      </c>
      <c r="Y864">
        <v>0.39589999999999997</v>
      </c>
    </row>
    <row r="865" spans="1:25" hidden="1">
      <c r="A865" t="s">
        <v>18805</v>
      </c>
      <c r="B865" t="s">
        <v>916</v>
      </c>
      <c r="C865" t="s">
        <v>914</v>
      </c>
      <c r="D865" t="s">
        <v>621</v>
      </c>
      <c r="E865" t="s">
        <v>628</v>
      </c>
      <c r="F865" t="s">
        <v>598</v>
      </c>
      <c r="G865" t="s">
        <v>478</v>
      </c>
      <c r="H865" t="s">
        <v>600</v>
      </c>
      <c r="I865" t="s">
        <v>601</v>
      </c>
      <c r="J865">
        <v>6.2235199999999997E-2</v>
      </c>
      <c r="K865">
        <v>6.2235199999999997E-2</v>
      </c>
      <c r="L865">
        <v>6.2235199999999997E-2</v>
      </c>
      <c r="M865">
        <v>6.2235199999999997E-2</v>
      </c>
      <c r="N865">
        <v>6.2235199999999997E-2</v>
      </c>
      <c r="O865">
        <v>5.2612800000000001E-2</v>
      </c>
      <c r="P865">
        <v>5.2612800000000001E-2</v>
      </c>
      <c r="Q865">
        <v>5.2612800000000001E-2</v>
      </c>
      <c r="R865">
        <v>5.2612800000000001E-2</v>
      </c>
      <c r="S865">
        <v>5.2612800000000001E-2</v>
      </c>
      <c r="T865">
        <v>5.2612800000000001E-2</v>
      </c>
      <c r="U865">
        <v>5.2612800000000001E-2</v>
      </c>
      <c r="V865">
        <v>5.2612800000000001E-2</v>
      </c>
      <c r="W865">
        <v>5.2612800000000001E-2</v>
      </c>
      <c r="X865">
        <v>5.2612800000000001E-2</v>
      </c>
      <c r="Y865">
        <v>5.2612800000000001E-2</v>
      </c>
    </row>
    <row r="866" spans="1:25" hidden="1">
      <c r="A866" t="s">
        <v>18805</v>
      </c>
      <c r="B866" t="s">
        <v>924</v>
      </c>
      <c r="C866" t="s">
        <v>925</v>
      </c>
      <c r="D866" t="s">
        <v>926</v>
      </c>
      <c r="E866" t="s">
        <v>927</v>
      </c>
      <c r="F866" t="s">
        <v>598</v>
      </c>
      <c r="G866" t="s">
        <v>478</v>
      </c>
      <c r="H866" t="s">
        <v>600</v>
      </c>
      <c r="I866" t="s">
        <v>601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18805</v>
      </c>
      <c r="B867" t="s">
        <v>947</v>
      </c>
      <c r="C867" t="s">
        <v>943</v>
      </c>
      <c r="D867" t="s">
        <v>946</v>
      </c>
      <c r="E867" t="s">
        <v>948</v>
      </c>
      <c r="F867" t="s">
        <v>598</v>
      </c>
      <c r="G867" t="s">
        <v>478</v>
      </c>
      <c r="H867" t="s">
        <v>600</v>
      </c>
      <c r="I867" t="s">
        <v>601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hidden="1">
      <c r="A868" t="s">
        <v>18805</v>
      </c>
      <c r="B868" t="s">
        <v>951</v>
      </c>
      <c r="C868" t="s">
        <v>943</v>
      </c>
      <c r="D868" t="s">
        <v>934</v>
      </c>
      <c r="E868" t="s">
        <v>937</v>
      </c>
      <c r="F868" t="s">
        <v>598</v>
      </c>
      <c r="G868" t="s">
        <v>478</v>
      </c>
      <c r="H868" t="s">
        <v>600</v>
      </c>
      <c r="I868" t="s">
        <v>601</v>
      </c>
      <c r="J868">
        <v>0.02</v>
      </c>
      <c r="K868">
        <v>2.01E-2</v>
      </c>
      <c r="L868">
        <v>2.01E-2</v>
      </c>
      <c r="M868">
        <v>2.0199999999999999E-2</v>
      </c>
      <c r="N868">
        <v>2.0299999999999999E-2</v>
      </c>
      <c r="O868">
        <v>2.0299999999999999E-2</v>
      </c>
      <c r="P868">
        <v>2.0400000000000001E-2</v>
      </c>
      <c r="Q868">
        <v>2.0400000000000001E-2</v>
      </c>
      <c r="R868">
        <v>2.0500000000000001E-2</v>
      </c>
      <c r="S868">
        <v>2.0500000000000001E-2</v>
      </c>
      <c r="T868">
        <v>2.06E-2</v>
      </c>
      <c r="U868">
        <v>2.06E-2</v>
      </c>
      <c r="V868">
        <v>2.06E-2</v>
      </c>
      <c r="W868">
        <v>2.07E-2</v>
      </c>
      <c r="X868">
        <v>2.06E-2</v>
      </c>
      <c r="Y868">
        <v>2.0500000000000001E-2</v>
      </c>
    </row>
    <row r="869" spans="1:25" hidden="1">
      <c r="A869" t="s">
        <v>18805</v>
      </c>
      <c r="B869" t="s">
        <v>981</v>
      </c>
      <c r="C869" t="s">
        <v>980</v>
      </c>
      <c r="D869" t="s">
        <v>982</v>
      </c>
      <c r="E869" t="s">
        <v>613</v>
      </c>
      <c r="F869" t="s">
        <v>598</v>
      </c>
      <c r="G869" t="s">
        <v>478</v>
      </c>
      <c r="H869" t="s">
        <v>600</v>
      </c>
      <c r="I869" t="s">
        <v>601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hidden="1">
      <c r="A870" t="s">
        <v>18805</v>
      </c>
      <c r="B870" t="s">
        <v>997</v>
      </c>
      <c r="C870" t="s">
        <v>998</v>
      </c>
      <c r="D870" t="s">
        <v>999</v>
      </c>
      <c r="E870" t="s">
        <v>1000</v>
      </c>
      <c r="F870" t="s">
        <v>598</v>
      </c>
      <c r="G870" t="s">
        <v>478</v>
      </c>
      <c r="H870" t="s">
        <v>600</v>
      </c>
      <c r="I870" t="s">
        <v>601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18805</v>
      </c>
      <c r="B871" t="s">
        <v>1009</v>
      </c>
      <c r="C871" t="s">
        <v>998</v>
      </c>
      <c r="D871" t="s">
        <v>999</v>
      </c>
      <c r="E871" t="s">
        <v>1010</v>
      </c>
      <c r="F871" t="s">
        <v>598</v>
      </c>
      <c r="G871" t="s">
        <v>478</v>
      </c>
      <c r="H871" t="s">
        <v>600</v>
      </c>
      <c r="I871" t="s">
        <v>601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18805</v>
      </c>
      <c r="B872" t="s">
        <v>1015</v>
      </c>
      <c r="C872" t="s">
        <v>1016</v>
      </c>
      <c r="D872" t="s">
        <v>1017</v>
      </c>
      <c r="E872" t="s">
        <v>1018</v>
      </c>
      <c r="F872" t="s">
        <v>598</v>
      </c>
      <c r="G872" t="s">
        <v>478</v>
      </c>
      <c r="H872" t="s">
        <v>600</v>
      </c>
      <c r="I872" t="s">
        <v>601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hidden="1">
      <c r="A873" t="s">
        <v>18805</v>
      </c>
      <c r="B873" t="s">
        <v>1021</v>
      </c>
      <c r="C873" t="s">
        <v>1016</v>
      </c>
      <c r="D873" t="s">
        <v>1017</v>
      </c>
      <c r="E873" t="s">
        <v>1022</v>
      </c>
      <c r="F873" t="s">
        <v>598</v>
      </c>
      <c r="G873" t="s">
        <v>478</v>
      </c>
      <c r="H873" t="s">
        <v>600</v>
      </c>
      <c r="I873" t="s">
        <v>601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18805</v>
      </c>
      <c r="B874" t="s">
        <v>1023</v>
      </c>
      <c r="C874" t="s">
        <v>1016</v>
      </c>
      <c r="D874" t="s">
        <v>1017</v>
      </c>
      <c r="E874" t="s">
        <v>1024</v>
      </c>
      <c r="F874" t="s">
        <v>598</v>
      </c>
      <c r="G874" t="s">
        <v>478</v>
      </c>
      <c r="H874" t="s">
        <v>600</v>
      </c>
      <c r="I874" t="s">
        <v>601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hidden="1">
      <c r="A875" t="s">
        <v>18805</v>
      </c>
      <c r="B875" t="s">
        <v>1025</v>
      </c>
      <c r="C875" t="s">
        <v>1016</v>
      </c>
      <c r="D875" t="s">
        <v>1017</v>
      </c>
      <c r="E875" t="s">
        <v>1026</v>
      </c>
      <c r="F875" t="s">
        <v>598</v>
      </c>
      <c r="G875" t="s">
        <v>478</v>
      </c>
      <c r="H875" t="s">
        <v>600</v>
      </c>
      <c r="I875" t="s">
        <v>601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hidden="1">
      <c r="A876" t="s">
        <v>18805</v>
      </c>
      <c r="B876" t="s">
        <v>1029</v>
      </c>
      <c r="C876" t="s">
        <v>1016</v>
      </c>
      <c r="D876" t="s">
        <v>1017</v>
      </c>
      <c r="E876" t="s">
        <v>1030</v>
      </c>
      <c r="F876" t="s">
        <v>598</v>
      </c>
      <c r="G876" t="s">
        <v>478</v>
      </c>
      <c r="H876" t="s">
        <v>600</v>
      </c>
      <c r="I876" t="s">
        <v>601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hidden="1">
      <c r="A877" t="s">
        <v>18805</v>
      </c>
      <c r="B877" t="s">
        <v>1037</v>
      </c>
      <c r="C877" t="s">
        <v>1016</v>
      </c>
      <c r="D877" t="s">
        <v>1017</v>
      </c>
      <c r="E877" t="s">
        <v>1038</v>
      </c>
      <c r="F877" t="s">
        <v>598</v>
      </c>
      <c r="G877" t="s">
        <v>478</v>
      </c>
      <c r="H877" t="s">
        <v>600</v>
      </c>
      <c r="I877" t="s">
        <v>601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hidden="1">
      <c r="A878" t="s">
        <v>18805</v>
      </c>
      <c r="B878" t="s">
        <v>1041</v>
      </c>
      <c r="C878" t="s">
        <v>1016</v>
      </c>
      <c r="D878" t="s">
        <v>1017</v>
      </c>
      <c r="E878" t="s">
        <v>1042</v>
      </c>
      <c r="F878" t="s">
        <v>598</v>
      </c>
      <c r="G878" t="s">
        <v>478</v>
      </c>
      <c r="H878" t="s">
        <v>600</v>
      </c>
      <c r="I878" t="s">
        <v>601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18805</v>
      </c>
      <c r="B879" t="s">
        <v>1047</v>
      </c>
      <c r="C879" t="s">
        <v>1016</v>
      </c>
      <c r="D879" t="s">
        <v>1017</v>
      </c>
      <c r="E879" t="s">
        <v>1048</v>
      </c>
      <c r="F879" t="s">
        <v>598</v>
      </c>
      <c r="G879" t="s">
        <v>478</v>
      </c>
      <c r="H879" t="s">
        <v>600</v>
      </c>
      <c r="I879" t="s">
        <v>601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hidden="1">
      <c r="A880" t="s">
        <v>18805</v>
      </c>
      <c r="B880" t="s">
        <v>1049</v>
      </c>
      <c r="C880" t="s">
        <v>1016</v>
      </c>
      <c r="D880" t="s">
        <v>1050</v>
      </c>
      <c r="E880" t="s">
        <v>1024</v>
      </c>
      <c r="F880" t="s">
        <v>598</v>
      </c>
      <c r="G880" t="s">
        <v>478</v>
      </c>
      <c r="H880" t="s">
        <v>600</v>
      </c>
      <c r="I880" t="s">
        <v>601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hidden="1">
      <c r="A881" t="s">
        <v>18805</v>
      </c>
      <c r="B881" t="s">
        <v>1051</v>
      </c>
      <c r="C881" t="s">
        <v>1016</v>
      </c>
      <c r="D881" t="s">
        <v>1050</v>
      </c>
      <c r="E881" t="s">
        <v>1052</v>
      </c>
      <c r="F881" t="s">
        <v>598</v>
      </c>
      <c r="G881" t="s">
        <v>478</v>
      </c>
      <c r="H881" t="s">
        <v>600</v>
      </c>
      <c r="I881" t="s">
        <v>601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hidden="1">
      <c r="A882" t="s">
        <v>18805</v>
      </c>
      <c r="B882" t="s">
        <v>1059</v>
      </c>
      <c r="C882" t="s">
        <v>1016</v>
      </c>
      <c r="D882" t="s">
        <v>1050</v>
      </c>
      <c r="E882" t="s">
        <v>1042</v>
      </c>
      <c r="F882" t="s">
        <v>598</v>
      </c>
      <c r="G882" t="s">
        <v>478</v>
      </c>
      <c r="H882" t="s">
        <v>600</v>
      </c>
      <c r="I882" t="s">
        <v>601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hidden="1">
      <c r="A883" t="s">
        <v>18805</v>
      </c>
      <c r="B883" t="s">
        <v>1060</v>
      </c>
      <c r="C883" t="s">
        <v>1016</v>
      </c>
      <c r="D883" t="s">
        <v>1050</v>
      </c>
      <c r="E883" t="s">
        <v>1044</v>
      </c>
      <c r="F883" t="s">
        <v>598</v>
      </c>
      <c r="G883" t="s">
        <v>478</v>
      </c>
      <c r="H883" t="s">
        <v>600</v>
      </c>
      <c r="I883" t="s">
        <v>601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hidden="1">
      <c r="A884" t="s">
        <v>18805</v>
      </c>
      <c r="B884" t="s">
        <v>1062</v>
      </c>
      <c r="C884" t="s">
        <v>1016</v>
      </c>
      <c r="D884" t="s">
        <v>1063</v>
      </c>
      <c r="E884" t="s">
        <v>1018</v>
      </c>
      <c r="F884" t="s">
        <v>598</v>
      </c>
      <c r="G884" t="s">
        <v>478</v>
      </c>
      <c r="H884" t="s">
        <v>600</v>
      </c>
      <c r="I884" t="s">
        <v>601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18805</v>
      </c>
      <c r="B885" t="s">
        <v>1064</v>
      </c>
      <c r="C885" t="s">
        <v>1016</v>
      </c>
      <c r="D885" t="s">
        <v>1063</v>
      </c>
      <c r="E885" t="s">
        <v>1022</v>
      </c>
      <c r="F885" t="s">
        <v>598</v>
      </c>
      <c r="G885" t="s">
        <v>478</v>
      </c>
      <c r="H885" t="s">
        <v>600</v>
      </c>
      <c r="I885" t="s">
        <v>601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hidden="1">
      <c r="A886" t="s">
        <v>18805</v>
      </c>
      <c r="B886" t="s">
        <v>1065</v>
      </c>
      <c r="C886" t="s">
        <v>1016</v>
      </c>
      <c r="D886" t="s">
        <v>1063</v>
      </c>
      <c r="E886" t="s">
        <v>1024</v>
      </c>
      <c r="F886" t="s">
        <v>598</v>
      </c>
      <c r="G886" t="s">
        <v>478</v>
      </c>
      <c r="H886" t="s">
        <v>600</v>
      </c>
      <c r="I886" t="s">
        <v>601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hidden="1">
      <c r="A887" t="s">
        <v>18805</v>
      </c>
      <c r="B887" t="s">
        <v>1067</v>
      </c>
      <c r="C887" t="s">
        <v>1016</v>
      </c>
      <c r="D887" t="s">
        <v>1063</v>
      </c>
      <c r="E887" t="s">
        <v>1026</v>
      </c>
      <c r="F887" t="s">
        <v>598</v>
      </c>
      <c r="G887" t="s">
        <v>478</v>
      </c>
      <c r="H887" t="s">
        <v>600</v>
      </c>
      <c r="I887" t="s">
        <v>601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hidden="1">
      <c r="A888" t="s">
        <v>18805</v>
      </c>
      <c r="B888" t="s">
        <v>1068</v>
      </c>
      <c r="C888" t="s">
        <v>1016</v>
      </c>
      <c r="D888" t="s">
        <v>1063</v>
      </c>
      <c r="E888" t="s">
        <v>1030</v>
      </c>
      <c r="F888" t="s">
        <v>598</v>
      </c>
      <c r="G888" t="s">
        <v>478</v>
      </c>
      <c r="H888" t="s">
        <v>600</v>
      </c>
      <c r="I888" t="s">
        <v>601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18805</v>
      </c>
      <c r="B889" t="s">
        <v>1069</v>
      </c>
      <c r="C889" t="s">
        <v>1016</v>
      </c>
      <c r="D889" t="s">
        <v>1063</v>
      </c>
      <c r="E889" t="s">
        <v>1035</v>
      </c>
      <c r="F889" t="s">
        <v>598</v>
      </c>
      <c r="G889" t="s">
        <v>478</v>
      </c>
      <c r="H889" t="s">
        <v>600</v>
      </c>
      <c r="I889" t="s">
        <v>601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hidden="1">
      <c r="A890" t="s">
        <v>18805</v>
      </c>
      <c r="B890" t="s">
        <v>1072</v>
      </c>
      <c r="C890" t="s">
        <v>1016</v>
      </c>
      <c r="D890" t="s">
        <v>1063</v>
      </c>
      <c r="E890" t="s">
        <v>1040</v>
      </c>
      <c r="F890" t="s">
        <v>598</v>
      </c>
      <c r="G890" t="s">
        <v>478</v>
      </c>
      <c r="H890" t="s">
        <v>600</v>
      </c>
      <c r="I890" t="s">
        <v>601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 hidden="1">
      <c r="A891" t="s">
        <v>18805</v>
      </c>
      <c r="B891" t="s">
        <v>1073</v>
      </c>
      <c r="C891" t="s">
        <v>1016</v>
      </c>
      <c r="D891" t="s">
        <v>1063</v>
      </c>
      <c r="E891" t="s">
        <v>1042</v>
      </c>
      <c r="F891" t="s">
        <v>598</v>
      </c>
      <c r="G891" t="s">
        <v>478</v>
      </c>
      <c r="H891" t="s">
        <v>600</v>
      </c>
      <c r="I891" t="s">
        <v>601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hidden="1">
      <c r="A892" t="s">
        <v>18805</v>
      </c>
      <c r="B892" t="s">
        <v>1075</v>
      </c>
      <c r="C892" t="s">
        <v>1016</v>
      </c>
      <c r="D892" t="s">
        <v>1063</v>
      </c>
      <c r="E892" t="s">
        <v>1046</v>
      </c>
      <c r="F892" t="s">
        <v>598</v>
      </c>
      <c r="G892" t="s">
        <v>478</v>
      </c>
      <c r="H892" t="s">
        <v>600</v>
      </c>
      <c r="I892" t="s">
        <v>601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hidden="1">
      <c r="A893" t="s">
        <v>18805</v>
      </c>
      <c r="B893" t="s">
        <v>1076</v>
      </c>
      <c r="C893" t="s">
        <v>1016</v>
      </c>
      <c r="D893" t="s">
        <v>1063</v>
      </c>
      <c r="E893" t="s">
        <v>1048</v>
      </c>
      <c r="F893" t="s">
        <v>598</v>
      </c>
      <c r="G893" t="s">
        <v>478</v>
      </c>
      <c r="H893" t="s">
        <v>600</v>
      </c>
      <c r="I893" t="s">
        <v>601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hidden="1">
      <c r="A894" t="s">
        <v>18805</v>
      </c>
      <c r="B894" t="s">
        <v>1087</v>
      </c>
      <c r="C894" t="s">
        <v>1079</v>
      </c>
      <c r="D894" t="s">
        <v>1086</v>
      </c>
      <c r="E894" t="s">
        <v>1081</v>
      </c>
      <c r="F894" t="s">
        <v>598</v>
      </c>
      <c r="G894" t="s">
        <v>478</v>
      </c>
      <c r="H894" t="s">
        <v>600</v>
      </c>
      <c r="I894" t="s">
        <v>601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18805</v>
      </c>
      <c r="B895" t="s">
        <v>1114</v>
      </c>
      <c r="C895" t="s">
        <v>1079</v>
      </c>
      <c r="D895" t="s">
        <v>1115</v>
      </c>
      <c r="E895" t="s">
        <v>1081</v>
      </c>
      <c r="F895" t="s">
        <v>598</v>
      </c>
      <c r="G895" t="s">
        <v>478</v>
      </c>
      <c r="H895" t="s">
        <v>600</v>
      </c>
      <c r="I895" t="s">
        <v>601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18805</v>
      </c>
      <c r="B896" t="s">
        <v>1120</v>
      </c>
      <c r="C896" t="s">
        <v>1079</v>
      </c>
      <c r="D896" t="s">
        <v>1121</v>
      </c>
      <c r="E896" t="s">
        <v>1081</v>
      </c>
      <c r="F896" t="s">
        <v>598</v>
      </c>
      <c r="G896" t="s">
        <v>478</v>
      </c>
      <c r="H896" t="s">
        <v>600</v>
      </c>
      <c r="I896" t="s">
        <v>601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hidden="1">
      <c r="A897" t="s">
        <v>18805</v>
      </c>
      <c r="B897" t="s">
        <v>1125</v>
      </c>
      <c r="C897" t="s">
        <v>1079</v>
      </c>
      <c r="D897" t="s">
        <v>1126</v>
      </c>
      <c r="E897" t="s">
        <v>1081</v>
      </c>
      <c r="F897" t="s">
        <v>598</v>
      </c>
      <c r="G897" t="s">
        <v>478</v>
      </c>
      <c r="H897" t="s">
        <v>600</v>
      </c>
      <c r="I897" t="s">
        <v>601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18805</v>
      </c>
      <c r="B898" t="s">
        <v>1133</v>
      </c>
      <c r="C898" t="s">
        <v>1079</v>
      </c>
      <c r="D898" t="s">
        <v>1134</v>
      </c>
      <c r="E898" t="s">
        <v>1081</v>
      </c>
      <c r="F898" t="s">
        <v>598</v>
      </c>
      <c r="G898" t="s">
        <v>478</v>
      </c>
      <c r="H898" t="s">
        <v>600</v>
      </c>
      <c r="I898" t="s">
        <v>601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hidden="1">
      <c r="A899" t="s">
        <v>18805</v>
      </c>
      <c r="B899" t="s">
        <v>1144</v>
      </c>
      <c r="C899" t="s">
        <v>1079</v>
      </c>
      <c r="D899" t="s">
        <v>1145</v>
      </c>
      <c r="E899" t="s">
        <v>1081</v>
      </c>
      <c r="F899" t="s">
        <v>598</v>
      </c>
      <c r="G899" t="s">
        <v>478</v>
      </c>
      <c r="H899" t="s">
        <v>600</v>
      </c>
      <c r="I899" t="s">
        <v>601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18805</v>
      </c>
      <c r="B900" t="s">
        <v>1155</v>
      </c>
      <c r="C900" t="s">
        <v>1079</v>
      </c>
      <c r="D900" t="s">
        <v>1156</v>
      </c>
      <c r="E900" t="s">
        <v>1081</v>
      </c>
      <c r="F900" t="s">
        <v>598</v>
      </c>
      <c r="G900" t="s">
        <v>478</v>
      </c>
      <c r="H900" t="s">
        <v>600</v>
      </c>
      <c r="I900" t="s">
        <v>601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18805</v>
      </c>
      <c r="B901" t="s">
        <v>1217</v>
      </c>
      <c r="C901" t="s">
        <v>1079</v>
      </c>
      <c r="D901" t="s">
        <v>1188</v>
      </c>
      <c r="E901" t="s">
        <v>1106</v>
      </c>
      <c r="F901" t="s">
        <v>598</v>
      </c>
      <c r="G901" t="s">
        <v>478</v>
      </c>
      <c r="H901" t="s">
        <v>600</v>
      </c>
      <c r="I901" t="s">
        <v>601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hidden="1">
      <c r="A902" t="s">
        <v>18805</v>
      </c>
      <c r="B902" t="s">
        <v>1221</v>
      </c>
      <c r="C902" t="s">
        <v>1079</v>
      </c>
      <c r="D902" t="s">
        <v>648</v>
      </c>
      <c r="E902" t="s">
        <v>1081</v>
      </c>
      <c r="F902" t="s">
        <v>598</v>
      </c>
      <c r="G902" t="s">
        <v>478</v>
      </c>
      <c r="H902" t="s">
        <v>600</v>
      </c>
      <c r="I902" t="s">
        <v>601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hidden="1">
      <c r="A903" t="s">
        <v>18805</v>
      </c>
      <c r="B903" t="s">
        <v>1256</v>
      </c>
      <c r="C903" t="s">
        <v>1253</v>
      </c>
      <c r="D903" t="s">
        <v>1254</v>
      </c>
      <c r="E903" t="s">
        <v>1257</v>
      </c>
      <c r="F903" t="s">
        <v>598</v>
      </c>
      <c r="G903" t="s">
        <v>478</v>
      </c>
      <c r="H903" t="s">
        <v>600</v>
      </c>
      <c r="I903" t="s">
        <v>601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hidden="1">
      <c r="A904" t="s">
        <v>18805</v>
      </c>
      <c r="B904" t="s">
        <v>1258</v>
      </c>
      <c r="C904" t="s">
        <v>1253</v>
      </c>
      <c r="D904" t="s">
        <v>1254</v>
      </c>
      <c r="E904" t="s">
        <v>1259</v>
      </c>
      <c r="F904" t="s">
        <v>598</v>
      </c>
      <c r="G904" t="s">
        <v>478</v>
      </c>
      <c r="H904" t="s">
        <v>600</v>
      </c>
      <c r="I904" t="s">
        <v>601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18805</v>
      </c>
      <c r="B905" t="s">
        <v>1273</v>
      </c>
      <c r="C905" t="s">
        <v>1267</v>
      </c>
      <c r="D905" t="s">
        <v>1274</v>
      </c>
      <c r="E905" t="s">
        <v>672</v>
      </c>
      <c r="F905" t="s">
        <v>598</v>
      </c>
      <c r="G905" t="s">
        <v>478</v>
      </c>
      <c r="H905" t="s">
        <v>600</v>
      </c>
      <c r="I905" t="s">
        <v>601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hidden="1">
      <c r="A906" t="s">
        <v>18805</v>
      </c>
      <c r="B906" t="s">
        <v>1276</v>
      </c>
      <c r="C906" t="s">
        <v>1267</v>
      </c>
      <c r="D906" t="s">
        <v>1274</v>
      </c>
      <c r="E906" t="s">
        <v>678</v>
      </c>
      <c r="F906" t="s">
        <v>598</v>
      </c>
      <c r="G906" t="s">
        <v>478</v>
      </c>
      <c r="H906" t="s">
        <v>600</v>
      </c>
      <c r="I906" t="s">
        <v>601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hidden="1">
      <c r="A907" t="s">
        <v>18805</v>
      </c>
      <c r="B907" t="s">
        <v>1277</v>
      </c>
      <c r="C907" t="s">
        <v>1267</v>
      </c>
      <c r="D907" t="s">
        <v>1278</v>
      </c>
      <c r="E907" t="s">
        <v>672</v>
      </c>
      <c r="F907" t="s">
        <v>598</v>
      </c>
      <c r="G907" t="s">
        <v>478</v>
      </c>
      <c r="H907" t="s">
        <v>600</v>
      </c>
      <c r="I907" t="s">
        <v>601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hidden="1">
      <c r="A908" t="s">
        <v>18805</v>
      </c>
      <c r="B908" t="s">
        <v>1280</v>
      </c>
      <c r="C908" t="s">
        <v>1267</v>
      </c>
      <c r="D908" t="s">
        <v>1281</v>
      </c>
      <c r="E908" t="s">
        <v>672</v>
      </c>
      <c r="F908" t="s">
        <v>598</v>
      </c>
      <c r="G908" t="s">
        <v>478</v>
      </c>
      <c r="H908" t="s">
        <v>600</v>
      </c>
      <c r="I908" t="s">
        <v>601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18805</v>
      </c>
      <c r="B909" t="s">
        <v>1283</v>
      </c>
      <c r="C909" t="s">
        <v>1267</v>
      </c>
      <c r="D909" t="s">
        <v>1281</v>
      </c>
      <c r="E909" t="s">
        <v>678</v>
      </c>
      <c r="F909" t="s">
        <v>598</v>
      </c>
      <c r="G909" t="s">
        <v>478</v>
      </c>
      <c r="H909" t="s">
        <v>600</v>
      </c>
      <c r="I909" t="s">
        <v>601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hidden="1">
      <c r="A910" t="s">
        <v>18805</v>
      </c>
      <c r="B910" t="s">
        <v>1292</v>
      </c>
      <c r="C910" t="s">
        <v>1267</v>
      </c>
      <c r="D910" t="s">
        <v>1293</v>
      </c>
      <c r="E910" t="s">
        <v>672</v>
      </c>
      <c r="F910" t="s">
        <v>598</v>
      </c>
      <c r="G910" t="s">
        <v>478</v>
      </c>
      <c r="H910" t="s">
        <v>600</v>
      </c>
      <c r="I910" t="s">
        <v>601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hidden="1">
      <c r="A911" t="s">
        <v>18805</v>
      </c>
      <c r="B911" t="s">
        <v>1295</v>
      </c>
      <c r="C911" t="s">
        <v>1267</v>
      </c>
      <c r="D911" t="s">
        <v>1296</v>
      </c>
      <c r="E911" t="s">
        <v>678</v>
      </c>
      <c r="F911" t="s">
        <v>598</v>
      </c>
      <c r="G911" t="s">
        <v>478</v>
      </c>
      <c r="H911" t="s">
        <v>600</v>
      </c>
      <c r="I911" t="s">
        <v>601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18805</v>
      </c>
      <c r="B912" t="s">
        <v>1297</v>
      </c>
      <c r="C912" t="s">
        <v>1267</v>
      </c>
      <c r="D912" t="s">
        <v>1298</v>
      </c>
      <c r="E912" t="s">
        <v>672</v>
      </c>
      <c r="F912" t="s">
        <v>598</v>
      </c>
      <c r="G912" t="s">
        <v>478</v>
      </c>
      <c r="H912" t="s">
        <v>600</v>
      </c>
      <c r="I912" t="s">
        <v>601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18805</v>
      </c>
      <c r="B913" t="s">
        <v>1301</v>
      </c>
      <c r="C913" t="s">
        <v>1267</v>
      </c>
      <c r="D913" t="s">
        <v>1302</v>
      </c>
      <c r="E913" t="s">
        <v>672</v>
      </c>
      <c r="F913" t="s">
        <v>598</v>
      </c>
      <c r="G913" t="s">
        <v>478</v>
      </c>
      <c r="H913" t="s">
        <v>600</v>
      </c>
      <c r="I913" t="s">
        <v>601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18805</v>
      </c>
      <c r="B914" t="s">
        <v>1304</v>
      </c>
      <c r="C914" t="s">
        <v>1267</v>
      </c>
      <c r="D914" t="s">
        <v>1305</v>
      </c>
      <c r="E914" t="s">
        <v>672</v>
      </c>
      <c r="F914" t="s">
        <v>598</v>
      </c>
      <c r="G914" t="s">
        <v>478</v>
      </c>
      <c r="H914" t="s">
        <v>600</v>
      </c>
      <c r="I914" t="s">
        <v>601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18805</v>
      </c>
      <c r="B915" t="s">
        <v>1308</v>
      </c>
      <c r="C915" t="s">
        <v>1267</v>
      </c>
      <c r="D915" t="s">
        <v>1309</v>
      </c>
      <c r="E915" t="s">
        <v>672</v>
      </c>
      <c r="F915" t="s">
        <v>598</v>
      </c>
      <c r="G915" t="s">
        <v>478</v>
      </c>
      <c r="H915" t="s">
        <v>600</v>
      </c>
      <c r="I915" t="s">
        <v>601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18805</v>
      </c>
      <c r="B916" t="s">
        <v>1351</v>
      </c>
      <c r="C916" t="s">
        <v>1267</v>
      </c>
      <c r="D916" t="s">
        <v>1352</v>
      </c>
      <c r="E916" t="s">
        <v>672</v>
      </c>
      <c r="F916" t="s">
        <v>598</v>
      </c>
      <c r="G916" t="s">
        <v>478</v>
      </c>
      <c r="H916" t="s">
        <v>600</v>
      </c>
      <c r="I916" t="s">
        <v>601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18805</v>
      </c>
      <c r="B917" t="s">
        <v>1353</v>
      </c>
      <c r="C917" t="s">
        <v>1267</v>
      </c>
      <c r="D917" t="s">
        <v>1354</v>
      </c>
      <c r="E917" t="s">
        <v>672</v>
      </c>
      <c r="F917" t="s">
        <v>598</v>
      </c>
      <c r="G917" t="s">
        <v>478</v>
      </c>
      <c r="H917" t="s">
        <v>600</v>
      </c>
      <c r="I917" t="s">
        <v>601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18805</v>
      </c>
      <c r="B918" t="s">
        <v>1373</v>
      </c>
      <c r="C918" t="s">
        <v>1267</v>
      </c>
      <c r="D918" t="s">
        <v>648</v>
      </c>
      <c r="E918" t="s">
        <v>672</v>
      </c>
      <c r="F918" t="s">
        <v>598</v>
      </c>
      <c r="G918" t="s">
        <v>478</v>
      </c>
      <c r="H918" t="s">
        <v>600</v>
      </c>
      <c r="I918" t="s">
        <v>601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18805</v>
      </c>
      <c r="B919" t="s">
        <v>1471</v>
      </c>
      <c r="C919" t="s">
        <v>1472</v>
      </c>
      <c r="D919" t="s">
        <v>1274</v>
      </c>
      <c r="E919" t="s">
        <v>973</v>
      </c>
      <c r="F919" t="s">
        <v>598</v>
      </c>
      <c r="G919" t="s">
        <v>478</v>
      </c>
      <c r="H919" t="s">
        <v>600</v>
      </c>
      <c r="I919" t="s">
        <v>601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18805</v>
      </c>
      <c r="B920" t="s">
        <v>1478</v>
      </c>
      <c r="C920" t="s">
        <v>1472</v>
      </c>
      <c r="D920" t="s">
        <v>1305</v>
      </c>
      <c r="E920" t="s">
        <v>973</v>
      </c>
      <c r="F920" t="s">
        <v>598</v>
      </c>
      <c r="G920" t="s">
        <v>478</v>
      </c>
      <c r="H920" t="s">
        <v>600</v>
      </c>
      <c r="I920" t="s">
        <v>601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18805</v>
      </c>
      <c r="B921" t="s">
        <v>1482</v>
      </c>
      <c r="C921" t="s">
        <v>1472</v>
      </c>
      <c r="D921" t="s">
        <v>1483</v>
      </c>
      <c r="E921" t="s">
        <v>597</v>
      </c>
      <c r="F921" t="s">
        <v>598</v>
      </c>
      <c r="G921" t="s">
        <v>478</v>
      </c>
      <c r="H921" t="s">
        <v>600</v>
      </c>
      <c r="I921" t="s">
        <v>601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hidden="1">
      <c r="A922" t="s">
        <v>18805</v>
      </c>
      <c r="B922" t="s">
        <v>1530</v>
      </c>
      <c r="C922" t="s">
        <v>1472</v>
      </c>
      <c r="D922" t="s">
        <v>1332</v>
      </c>
      <c r="E922" t="s">
        <v>692</v>
      </c>
      <c r="F922" t="s">
        <v>598</v>
      </c>
      <c r="G922" t="s">
        <v>478</v>
      </c>
      <c r="H922" t="s">
        <v>600</v>
      </c>
      <c r="I922" t="s">
        <v>601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18805</v>
      </c>
      <c r="B923" t="s">
        <v>1566</v>
      </c>
      <c r="C923" t="s">
        <v>1472</v>
      </c>
      <c r="D923" t="s">
        <v>1567</v>
      </c>
      <c r="E923" t="s">
        <v>626</v>
      </c>
      <c r="F923" t="s">
        <v>598</v>
      </c>
      <c r="G923" t="s">
        <v>478</v>
      </c>
      <c r="H923" t="s">
        <v>600</v>
      </c>
      <c r="I923" t="s">
        <v>601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18805</v>
      </c>
      <c r="B924" t="s">
        <v>1568</v>
      </c>
      <c r="C924" t="s">
        <v>1472</v>
      </c>
      <c r="D924" t="s">
        <v>1569</v>
      </c>
      <c r="E924" t="s">
        <v>626</v>
      </c>
      <c r="F924" t="s">
        <v>598</v>
      </c>
      <c r="G924" t="s">
        <v>478</v>
      </c>
      <c r="H924" t="s">
        <v>600</v>
      </c>
      <c r="I924" t="s">
        <v>601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18805</v>
      </c>
      <c r="B925" t="s">
        <v>1570</v>
      </c>
      <c r="C925" t="s">
        <v>1472</v>
      </c>
      <c r="D925" t="s">
        <v>1571</v>
      </c>
      <c r="E925" t="s">
        <v>626</v>
      </c>
      <c r="F925" t="s">
        <v>598</v>
      </c>
      <c r="G925" t="s">
        <v>478</v>
      </c>
      <c r="H925" t="s">
        <v>600</v>
      </c>
      <c r="I925" t="s">
        <v>601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hidden="1">
      <c r="A926" t="s">
        <v>18805</v>
      </c>
      <c r="B926" t="s">
        <v>1573</v>
      </c>
      <c r="C926" t="s">
        <v>1472</v>
      </c>
      <c r="D926" t="s">
        <v>1574</v>
      </c>
      <c r="E926" t="s">
        <v>626</v>
      </c>
      <c r="F926" t="s">
        <v>598</v>
      </c>
      <c r="G926" t="s">
        <v>478</v>
      </c>
      <c r="H926" t="s">
        <v>600</v>
      </c>
      <c r="I926" t="s">
        <v>601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hidden="1">
      <c r="A927" t="s">
        <v>18805</v>
      </c>
      <c r="B927" t="s">
        <v>1575</v>
      </c>
      <c r="C927" t="s">
        <v>1472</v>
      </c>
      <c r="D927" t="s">
        <v>1576</v>
      </c>
      <c r="E927" t="s">
        <v>626</v>
      </c>
      <c r="F927" t="s">
        <v>598</v>
      </c>
      <c r="G927" t="s">
        <v>478</v>
      </c>
      <c r="H927" t="s">
        <v>600</v>
      </c>
      <c r="I927" t="s">
        <v>601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18805</v>
      </c>
      <c r="B928" t="s">
        <v>1577</v>
      </c>
      <c r="C928" t="s">
        <v>1472</v>
      </c>
      <c r="D928" t="s">
        <v>1578</v>
      </c>
      <c r="E928" t="s">
        <v>626</v>
      </c>
      <c r="F928" t="s">
        <v>598</v>
      </c>
      <c r="G928" t="s">
        <v>478</v>
      </c>
      <c r="H928" t="s">
        <v>600</v>
      </c>
      <c r="I928" t="s">
        <v>601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hidden="1">
      <c r="A929" t="s">
        <v>18805</v>
      </c>
      <c r="B929" t="s">
        <v>1582</v>
      </c>
      <c r="C929" t="s">
        <v>1472</v>
      </c>
      <c r="D929" t="s">
        <v>1583</v>
      </c>
      <c r="E929" t="s">
        <v>626</v>
      </c>
      <c r="F929" t="s">
        <v>598</v>
      </c>
      <c r="G929" t="s">
        <v>478</v>
      </c>
      <c r="H929" t="s">
        <v>600</v>
      </c>
      <c r="I929" t="s">
        <v>601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hidden="1">
      <c r="A930" t="s">
        <v>18805</v>
      </c>
      <c r="B930" t="s">
        <v>1590</v>
      </c>
      <c r="C930" t="s">
        <v>1472</v>
      </c>
      <c r="D930" t="s">
        <v>1365</v>
      </c>
      <c r="E930" t="s">
        <v>626</v>
      </c>
      <c r="F930" t="s">
        <v>598</v>
      </c>
      <c r="G930" t="s">
        <v>478</v>
      </c>
      <c r="H930" t="s">
        <v>600</v>
      </c>
      <c r="I930" t="s">
        <v>601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18805</v>
      </c>
      <c r="B931" t="s">
        <v>1600</v>
      </c>
      <c r="C931" t="s">
        <v>1472</v>
      </c>
      <c r="D931" t="s">
        <v>1601</v>
      </c>
      <c r="E931" t="s">
        <v>626</v>
      </c>
      <c r="F931" t="s">
        <v>598</v>
      </c>
      <c r="G931" t="s">
        <v>478</v>
      </c>
      <c r="H931" t="s">
        <v>600</v>
      </c>
      <c r="I931" t="s">
        <v>601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hidden="1">
      <c r="A932" t="s">
        <v>18805</v>
      </c>
      <c r="B932" t="s">
        <v>1602</v>
      </c>
      <c r="C932" t="s">
        <v>1472</v>
      </c>
      <c r="D932" t="s">
        <v>1603</v>
      </c>
      <c r="E932" t="s">
        <v>626</v>
      </c>
      <c r="F932" t="s">
        <v>598</v>
      </c>
      <c r="G932" t="s">
        <v>478</v>
      </c>
      <c r="H932" t="s">
        <v>600</v>
      </c>
      <c r="I932" t="s">
        <v>601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hidden="1">
      <c r="A933" t="s">
        <v>18805</v>
      </c>
      <c r="B933" t="s">
        <v>1604</v>
      </c>
      <c r="C933" t="s">
        <v>1472</v>
      </c>
      <c r="D933" t="s">
        <v>1605</v>
      </c>
      <c r="E933" t="s">
        <v>626</v>
      </c>
      <c r="F933" t="s">
        <v>598</v>
      </c>
      <c r="G933" t="s">
        <v>478</v>
      </c>
      <c r="H933" t="s">
        <v>600</v>
      </c>
      <c r="I933" t="s">
        <v>601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 hidden="1">
      <c r="A934" t="s">
        <v>18805</v>
      </c>
      <c r="B934" t="s">
        <v>1775</v>
      </c>
      <c r="C934" t="s">
        <v>1614</v>
      </c>
      <c r="D934" t="s">
        <v>1776</v>
      </c>
      <c r="E934" t="s">
        <v>1777</v>
      </c>
      <c r="F934" t="s">
        <v>598</v>
      </c>
      <c r="G934" t="s">
        <v>478</v>
      </c>
      <c r="H934" t="s">
        <v>600</v>
      </c>
      <c r="I934" t="s">
        <v>601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hidden="1">
      <c r="A935" t="s">
        <v>18805</v>
      </c>
      <c r="B935" t="s">
        <v>1780</v>
      </c>
      <c r="C935" t="s">
        <v>1614</v>
      </c>
      <c r="D935" t="s">
        <v>1781</v>
      </c>
      <c r="E935" t="s">
        <v>1716</v>
      </c>
      <c r="F935" t="s">
        <v>598</v>
      </c>
      <c r="G935" t="s">
        <v>478</v>
      </c>
      <c r="H935" t="s">
        <v>600</v>
      </c>
      <c r="I935" t="s">
        <v>601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hidden="1">
      <c r="A936" t="s">
        <v>18805</v>
      </c>
      <c r="B936" t="s">
        <v>1858</v>
      </c>
      <c r="C936" t="s">
        <v>1845</v>
      </c>
      <c r="D936" t="s">
        <v>1859</v>
      </c>
      <c r="E936" t="s">
        <v>1860</v>
      </c>
      <c r="F936" t="s">
        <v>598</v>
      </c>
      <c r="G936" t="s">
        <v>478</v>
      </c>
      <c r="H936" t="s">
        <v>600</v>
      </c>
      <c r="I936" t="s">
        <v>601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hidden="1">
      <c r="A937" t="s">
        <v>18805</v>
      </c>
      <c r="B937" t="s">
        <v>1861</v>
      </c>
      <c r="C937" t="s">
        <v>1845</v>
      </c>
      <c r="D937" t="s">
        <v>1862</v>
      </c>
      <c r="E937" t="s">
        <v>1860</v>
      </c>
      <c r="F937" t="s">
        <v>598</v>
      </c>
      <c r="G937" t="s">
        <v>478</v>
      </c>
      <c r="H937" t="s">
        <v>600</v>
      </c>
      <c r="I937" t="s">
        <v>601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hidden="1">
      <c r="A938" t="s">
        <v>18805</v>
      </c>
      <c r="B938" t="s">
        <v>1863</v>
      </c>
      <c r="C938" t="s">
        <v>1845</v>
      </c>
      <c r="D938" t="s">
        <v>1864</v>
      </c>
      <c r="E938" t="s">
        <v>1865</v>
      </c>
      <c r="F938" t="s">
        <v>598</v>
      </c>
      <c r="G938" t="s">
        <v>478</v>
      </c>
      <c r="H938" t="s">
        <v>600</v>
      </c>
      <c r="I938" t="s">
        <v>601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18805</v>
      </c>
      <c r="B939" t="s">
        <v>1964</v>
      </c>
      <c r="C939" t="s">
        <v>1959</v>
      </c>
      <c r="D939" t="s">
        <v>1965</v>
      </c>
      <c r="E939" t="s">
        <v>1966</v>
      </c>
      <c r="F939" t="s">
        <v>598</v>
      </c>
      <c r="G939" t="s">
        <v>478</v>
      </c>
      <c r="H939" t="s">
        <v>600</v>
      </c>
      <c r="I939" t="s">
        <v>601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</row>
    <row r="940" spans="1:25" hidden="1">
      <c r="A940" t="s">
        <v>18805</v>
      </c>
      <c r="B940" t="s">
        <v>1967</v>
      </c>
      <c r="C940" t="s">
        <v>1959</v>
      </c>
      <c r="D940" t="s">
        <v>1968</v>
      </c>
      <c r="E940" t="s">
        <v>1962</v>
      </c>
      <c r="F940" t="s">
        <v>598</v>
      </c>
      <c r="G940" t="s">
        <v>478</v>
      </c>
      <c r="H940" t="s">
        <v>600</v>
      </c>
      <c r="I940" t="s">
        <v>601</v>
      </c>
      <c r="J940">
        <v>2.4500000000000001E-2</v>
      </c>
      <c r="K940">
        <v>2.5399999999999999E-2</v>
      </c>
      <c r="L940">
        <v>2.6100000000000002E-2</v>
      </c>
      <c r="M940">
        <v>2.7099999999999999E-2</v>
      </c>
      <c r="N940">
        <v>2.7099999999999999E-2</v>
      </c>
      <c r="O940">
        <v>2.75E-2</v>
      </c>
      <c r="P940">
        <v>2.7900000000000001E-2</v>
      </c>
      <c r="Q940">
        <v>2.8299999999999999E-2</v>
      </c>
      <c r="R940">
        <v>2.8500000000000001E-2</v>
      </c>
      <c r="S940">
        <v>2.92E-2</v>
      </c>
      <c r="T940">
        <v>2.9499999999999998E-2</v>
      </c>
      <c r="U940">
        <v>3.0099999999999998E-2</v>
      </c>
      <c r="V940">
        <v>3.0599999999999999E-2</v>
      </c>
      <c r="W940">
        <v>3.1199999999999999E-2</v>
      </c>
      <c r="X940">
        <v>3.1800000000000002E-2</v>
      </c>
      <c r="Y940">
        <v>3.2300000000000002E-2</v>
      </c>
    </row>
    <row r="941" spans="1:25" hidden="1">
      <c r="A941" t="s">
        <v>18805</v>
      </c>
      <c r="B941" t="s">
        <v>2005</v>
      </c>
      <c r="C941" t="s">
        <v>1959</v>
      </c>
      <c r="D941" t="s">
        <v>2001</v>
      </c>
      <c r="E941" t="s">
        <v>1976</v>
      </c>
      <c r="F941" t="s">
        <v>598</v>
      </c>
      <c r="G941" t="s">
        <v>478</v>
      </c>
      <c r="H941" t="s">
        <v>600</v>
      </c>
      <c r="I941" t="s">
        <v>601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25" hidden="1">
      <c r="A942" t="s">
        <v>18805</v>
      </c>
      <c r="B942" t="s">
        <v>2039</v>
      </c>
      <c r="C942" t="s">
        <v>1959</v>
      </c>
      <c r="D942" t="s">
        <v>648</v>
      </c>
      <c r="E942" t="s">
        <v>1378</v>
      </c>
      <c r="F942" t="s">
        <v>598</v>
      </c>
      <c r="G942" t="s">
        <v>478</v>
      </c>
      <c r="H942" t="s">
        <v>600</v>
      </c>
      <c r="I942" t="s">
        <v>601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 hidden="1">
      <c r="A943" t="s">
        <v>18805</v>
      </c>
      <c r="B943" t="s">
        <v>2078</v>
      </c>
      <c r="C943" t="s">
        <v>2075</v>
      </c>
      <c r="D943" t="s">
        <v>2079</v>
      </c>
      <c r="E943" t="s">
        <v>1378</v>
      </c>
      <c r="F943" t="s">
        <v>598</v>
      </c>
      <c r="G943" t="s">
        <v>478</v>
      </c>
      <c r="H943" t="s">
        <v>600</v>
      </c>
      <c r="I943" t="s">
        <v>601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</row>
    <row r="944" spans="1:25" hidden="1">
      <c r="A944" t="s">
        <v>18805</v>
      </c>
      <c r="B944" t="s">
        <v>2123</v>
      </c>
      <c r="C944" t="s">
        <v>2116</v>
      </c>
      <c r="D944" t="s">
        <v>2124</v>
      </c>
      <c r="E944" t="s">
        <v>2125</v>
      </c>
      <c r="F944" t="s">
        <v>598</v>
      </c>
      <c r="G944" t="s">
        <v>478</v>
      </c>
      <c r="H944" t="s">
        <v>600</v>
      </c>
      <c r="I944" t="s">
        <v>601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</row>
    <row r="945" spans="1:25" hidden="1">
      <c r="A945" t="s">
        <v>18805</v>
      </c>
      <c r="B945" t="s">
        <v>2126</v>
      </c>
      <c r="C945" t="s">
        <v>2116</v>
      </c>
      <c r="D945" t="s">
        <v>2127</v>
      </c>
      <c r="E945" t="s">
        <v>656</v>
      </c>
      <c r="F945" t="s">
        <v>598</v>
      </c>
      <c r="G945" t="s">
        <v>478</v>
      </c>
      <c r="H945" t="s">
        <v>600</v>
      </c>
      <c r="I945" t="s">
        <v>601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 hidden="1">
      <c r="A946" t="s">
        <v>18805</v>
      </c>
      <c r="B946" t="s">
        <v>2128</v>
      </c>
      <c r="C946" t="s">
        <v>2116</v>
      </c>
      <c r="D946" t="s">
        <v>648</v>
      </c>
      <c r="E946" t="s">
        <v>656</v>
      </c>
      <c r="F946" t="s">
        <v>598</v>
      </c>
      <c r="G946" t="s">
        <v>478</v>
      </c>
      <c r="H946" t="s">
        <v>600</v>
      </c>
      <c r="I946" t="s">
        <v>601</v>
      </c>
      <c r="J946">
        <v>0.73450000000000004</v>
      </c>
      <c r="K946">
        <v>0.74360000000000004</v>
      </c>
      <c r="L946">
        <v>0.75249999999999995</v>
      </c>
      <c r="M946">
        <v>0.76149999999999995</v>
      </c>
      <c r="N946">
        <v>0.75960000000000005</v>
      </c>
      <c r="O946">
        <v>0.75460000000000005</v>
      </c>
      <c r="P946">
        <v>0.74960000000000004</v>
      </c>
      <c r="Q946">
        <v>0.74550000000000005</v>
      </c>
      <c r="R946">
        <v>0.74360000000000004</v>
      </c>
      <c r="S946">
        <v>0.74250000000000005</v>
      </c>
      <c r="T946">
        <v>0.74360000000000004</v>
      </c>
      <c r="U946">
        <v>0.74650000000000005</v>
      </c>
      <c r="V946">
        <v>0.75349999999999995</v>
      </c>
      <c r="W946">
        <v>0.76060000000000005</v>
      </c>
      <c r="X946">
        <v>0.76349999999999996</v>
      </c>
      <c r="Y946">
        <v>0.77259999999999995</v>
      </c>
    </row>
    <row r="947" spans="1:25">
      <c r="J947">
        <f t="shared" ref="J947:Y947" si="5">SUBTOTAL(109,J840:J946)</f>
        <v>0.7681</v>
      </c>
      <c r="K947">
        <f t="shared" si="5"/>
        <v>0.79300000000000004</v>
      </c>
      <c r="L947">
        <f t="shared" si="5"/>
        <v>0.79789999999999994</v>
      </c>
      <c r="M947">
        <f t="shared" si="5"/>
        <v>0.81199999999999994</v>
      </c>
      <c r="N947">
        <f t="shared" si="5"/>
        <v>0.82079999999999997</v>
      </c>
      <c r="O947">
        <f t="shared" si="5"/>
        <v>0.84760000000000002</v>
      </c>
      <c r="P947">
        <f t="shared" si="5"/>
        <v>0.8528</v>
      </c>
      <c r="Q947">
        <f t="shared" si="5"/>
        <v>0.86570000000000003</v>
      </c>
      <c r="R947">
        <f t="shared" si="5"/>
        <v>0.87440000000000007</v>
      </c>
      <c r="S947">
        <f t="shared" si="5"/>
        <v>0.89570000000000005</v>
      </c>
      <c r="T947">
        <f t="shared" si="5"/>
        <v>0.9194</v>
      </c>
      <c r="U947">
        <f t="shared" si="5"/>
        <v>0.93669999999999998</v>
      </c>
      <c r="V947">
        <f t="shared" si="5"/>
        <v>0.94430000000000003</v>
      </c>
      <c r="W947">
        <f t="shared" si="5"/>
        <v>0.96320000000000006</v>
      </c>
      <c r="X947">
        <f t="shared" si="5"/>
        <v>0.98229999999999995</v>
      </c>
      <c r="Y947">
        <f t="shared" si="5"/>
        <v>0.99419999999999997</v>
      </c>
    </row>
    <row r="949" spans="1:25" hidden="1">
      <c r="A949" t="s">
        <v>569</v>
      </c>
      <c r="B949" t="s">
        <v>570</v>
      </c>
      <c r="C949" t="s">
        <v>571</v>
      </c>
      <c r="D949" t="s">
        <v>572</v>
      </c>
      <c r="E949" t="s">
        <v>573</v>
      </c>
      <c r="F949" t="s">
        <v>574</v>
      </c>
      <c r="G949" t="s">
        <v>575</v>
      </c>
      <c r="H949" t="s">
        <v>576</v>
      </c>
      <c r="I949" t="s">
        <v>577</v>
      </c>
      <c r="J949">
        <v>2015</v>
      </c>
      <c r="K949">
        <v>2016</v>
      </c>
      <c r="L949">
        <v>2017</v>
      </c>
      <c r="M949">
        <v>2018</v>
      </c>
      <c r="N949">
        <v>2019</v>
      </c>
      <c r="O949">
        <v>2020</v>
      </c>
      <c r="P949">
        <v>2021</v>
      </c>
      <c r="Q949">
        <v>2022</v>
      </c>
      <c r="R949">
        <v>2023</v>
      </c>
      <c r="S949">
        <v>2024</v>
      </c>
      <c r="T949">
        <v>2025</v>
      </c>
      <c r="U949">
        <v>2026</v>
      </c>
      <c r="V949">
        <v>2027</v>
      </c>
      <c r="W949">
        <v>2028</v>
      </c>
      <c r="X949">
        <v>2029</v>
      </c>
      <c r="Y949">
        <v>2030</v>
      </c>
    </row>
    <row r="950" spans="1:25" hidden="1">
      <c r="A950" t="s">
        <v>18806</v>
      </c>
      <c r="B950" t="s">
        <v>655</v>
      </c>
      <c r="C950" t="s">
        <v>651</v>
      </c>
      <c r="D950" t="s">
        <v>596</v>
      </c>
      <c r="E950" t="s">
        <v>656</v>
      </c>
      <c r="F950" t="s">
        <v>598</v>
      </c>
      <c r="G950" t="s">
        <v>478</v>
      </c>
      <c r="H950" t="s">
        <v>600</v>
      </c>
      <c r="I950" t="s">
        <v>601</v>
      </c>
      <c r="J950">
        <v>0.82569999999999999</v>
      </c>
      <c r="K950">
        <v>0.94479999999999997</v>
      </c>
      <c r="L950">
        <v>1.0142</v>
      </c>
      <c r="M950">
        <v>1.1035999999999999</v>
      </c>
      <c r="N950">
        <v>1.1671</v>
      </c>
      <c r="O950">
        <v>1.2126999999999999</v>
      </c>
      <c r="P950">
        <v>1.2265999999999999</v>
      </c>
      <c r="Q950">
        <v>1.2404999999999999</v>
      </c>
      <c r="R950">
        <v>1.2723</v>
      </c>
      <c r="S950">
        <v>1.2941</v>
      </c>
      <c r="T950">
        <v>1.3159000000000001</v>
      </c>
      <c r="U950">
        <v>1.3378000000000001</v>
      </c>
      <c r="V950">
        <v>1.3615999999999999</v>
      </c>
      <c r="W950">
        <v>1.3575999999999999</v>
      </c>
      <c r="X950">
        <v>1.3674999999999999</v>
      </c>
      <c r="Y950">
        <v>1.3635999999999999</v>
      </c>
    </row>
    <row r="951" spans="1:25" hidden="1">
      <c r="A951" t="s">
        <v>18806</v>
      </c>
      <c r="B951" t="s">
        <v>662</v>
      </c>
      <c r="C951" t="s">
        <v>651</v>
      </c>
      <c r="D951" t="s">
        <v>648</v>
      </c>
      <c r="E951" t="s">
        <v>649</v>
      </c>
      <c r="F951" t="s">
        <v>598</v>
      </c>
      <c r="G951" t="s">
        <v>478</v>
      </c>
      <c r="H951" t="s">
        <v>600</v>
      </c>
      <c r="I951" t="s">
        <v>601</v>
      </c>
      <c r="J951">
        <v>6.1999999999999998E-3</v>
      </c>
      <c r="K951">
        <v>6.4999999999999997E-3</v>
      </c>
      <c r="L951">
        <v>6.6E-3</v>
      </c>
      <c r="M951">
        <v>6.7999999999999996E-3</v>
      </c>
      <c r="N951">
        <v>7.0000000000000001E-3</v>
      </c>
      <c r="O951">
        <v>7.1000000000000004E-3</v>
      </c>
      <c r="P951">
        <v>7.3000000000000001E-3</v>
      </c>
      <c r="Q951">
        <v>7.4000000000000003E-3</v>
      </c>
      <c r="R951">
        <v>7.6E-3</v>
      </c>
      <c r="S951">
        <v>7.7000000000000002E-3</v>
      </c>
      <c r="T951">
        <v>7.9000000000000008E-3</v>
      </c>
      <c r="U951">
        <v>8.0999999999999996E-3</v>
      </c>
      <c r="V951">
        <v>8.2000000000000007E-3</v>
      </c>
      <c r="W951">
        <v>8.3999999999999995E-3</v>
      </c>
      <c r="X951">
        <v>8.5000000000000006E-3</v>
      </c>
      <c r="Y951">
        <v>8.6999999999999994E-3</v>
      </c>
    </row>
    <row r="952" spans="1:25" hidden="1">
      <c r="A952" t="s">
        <v>18806</v>
      </c>
      <c r="B952" t="s">
        <v>738</v>
      </c>
      <c r="C952" t="s">
        <v>729</v>
      </c>
      <c r="D952" t="s">
        <v>596</v>
      </c>
      <c r="E952" t="s">
        <v>617</v>
      </c>
      <c r="F952" t="s">
        <v>598</v>
      </c>
      <c r="G952" t="s">
        <v>478</v>
      </c>
      <c r="H952" t="s">
        <v>600</v>
      </c>
      <c r="I952" t="s">
        <v>601</v>
      </c>
      <c r="J952">
        <v>8.4099999999999994E-2</v>
      </c>
      <c r="K952">
        <v>8.4099999999999994E-2</v>
      </c>
      <c r="L952">
        <v>8.4099999999999994E-2</v>
      </c>
      <c r="M952">
        <v>8.4099999999999994E-2</v>
      </c>
      <c r="N952">
        <v>8.4099999999999994E-2</v>
      </c>
      <c r="O952">
        <v>8.4099999999999994E-2</v>
      </c>
      <c r="P952">
        <v>8.4099999999999994E-2</v>
      </c>
      <c r="Q952">
        <v>8.4099999999999994E-2</v>
      </c>
      <c r="R952">
        <v>8.4099999999999994E-2</v>
      </c>
      <c r="S952">
        <v>8.4099999999999994E-2</v>
      </c>
      <c r="T952">
        <v>8.4099999999999994E-2</v>
      </c>
      <c r="U952">
        <v>8.4099999999999994E-2</v>
      </c>
      <c r="V952">
        <v>8.4099999999999994E-2</v>
      </c>
      <c r="W952">
        <v>8.4099999999999994E-2</v>
      </c>
      <c r="X952">
        <v>8.4099999999999994E-2</v>
      </c>
      <c r="Y952">
        <v>8.4099999999999994E-2</v>
      </c>
    </row>
    <row r="953" spans="1:25" hidden="1">
      <c r="A953" t="s">
        <v>18806</v>
      </c>
      <c r="B953" t="s">
        <v>830</v>
      </c>
      <c r="C953" t="s">
        <v>804</v>
      </c>
      <c r="D953" t="s">
        <v>828</v>
      </c>
      <c r="E953" t="s">
        <v>628</v>
      </c>
      <c r="F953" t="s">
        <v>831</v>
      </c>
      <c r="G953" t="s">
        <v>478</v>
      </c>
      <c r="H953" t="s">
        <v>600</v>
      </c>
      <c r="I953" t="s">
        <v>601</v>
      </c>
      <c r="J953">
        <v>0.28120000000000001</v>
      </c>
      <c r="K953">
        <v>0.1469</v>
      </c>
      <c r="L953">
        <v>0.13039999999999999</v>
      </c>
      <c r="M953">
        <v>0.1241</v>
      </c>
      <c r="N953">
        <v>0.1227</v>
      </c>
      <c r="O953">
        <v>0.1217</v>
      </c>
      <c r="P953">
        <v>0.11990000000000001</v>
      </c>
      <c r="Q953">
        <v>0.1183</v>
      </c>
      <c r="R953">
        <v>0.1159</v>
      </c>
      <c r="S953">
        <v>0.114</v>
      </c>
      <c r="T953">
        <v>0.1116</v>
      </c>
      <c r="U953">
        <v>0.1087</v>
      </c>
      <c r="V953">
        <v>0.1053</v>
      </c>
      <c r="W953">
        <v>0.1014</v>
      </c>
      <c r="X953">
        <v>9.7000000000000003E-2</v>
      </c>
      <c r="Y953">
        <v>9.2499999999999999E-2</v>
      </c>
    </row>
    <row r="954" spans="1:25" hidden="1">
      <c r="A954" t="s">
        <v>18806</v>
      </c>
      <c r="B954" t="s">
        <v>832</v>
      </c>
      <c r="C954" t="s">
        <v>804</v>
      </c>
      <c r="D954" t="s">
        <v>828</v>
      </c>
      <c r="E954" t="s">
        <v>628</v>
      </c>
      <c r="F954" t="s">
        <v>833</v>
      </c>
      <c r="G954" t="s">
        <v>478</v>
      </c>
      <c r="H954" t="s">
        <v>600</v>
      </c>
      <c r="I954" t="s">
        <v>601</v>
      </c>
      <c r="J954">
        <v>0.22589999999999999</v>
      </c>
      <c r="K954">
        <v>0.21379999999999999</v>
      </c>
      <c r="L954">
        <v>0.2021</v>
      </c>
      <c r="M954">
        <v>0.1903</v>
      </c>
      <c r="N954">
        <v>0.17849999999999999</v>
      </c>
      <c r="O954">
        <v>0.1663</v>
      </c>
      <c r="P954">
        <v>0.154</v>
      </c>
      <c r="Q954">
        <v>0.14219999999999999</v>
      </c>
      <c r="R954">
        <v>0.13070000000000001</v>
      </c>
      <c r="S954">
        <v>0.12039999999999999</v>
      </c>
      <c r="T954">
        <v>0.1115</v>
      </c>
      <c r="U954">
        <v>0.1028</v>
      </c>
      <c r="V954">
        <v>9.4600000000000004E-2</v>
      </c>
      <c r="W954">
        <v>8.7599999999999997E-2</v>
      </c>
      <c r="X954">
        <v>8.09E-2</v>
      </c>
      <c r="Y954">
        <v>7.4499999999999997E-2</v>
      </c>
    </row>
    <row r="955" spans="1:25" hidden="1">
      <c r="A955" t="s">
        <v>18806</v>
      </c>
      <c r="B955" t="s">
        <v>848</v>
      </c>
      <c r="C955" t="s">
        <v>841</v>
      </c>
      <c r="D955" t="s">
        <v>596</v>
      </c>
      <c r="E955" t="s">
        <v>735</v>
      </c>
      <c r="F955" t="s">
        <v>598</v>
      </c>
      <c r="G955" t="s">
        <v>478</v>
      </c>
      <c r="H955" t="s">
        <v>600</v>
      </c>
      <c r="I955" t="s">
        <v>601</v>
      </c>
      <c r="J955">
        <v>1.0999999999999999E-2</v>
      </c>
      <c r="K955">
        <v>1.0999999999999999E-2</v>
      </c>
      <c r="L955">
        <v>1.0999999999999999E-2</v>
      </c>
      <c r="M955">
        <v>1.0999999999999999E-2</v>
      </c>
      <c r="N955">
        <v>1.0999999999999999E-2</v>
      </c>
      <c r="O955">
        <v>1.0999999999999999E-2</v>
      </c>
      <c r="P955">
        <v>1.0999999999999999E-2</v>
      </c>
      <c r="Q955">
        <v>1.0999999999999999E-2</v>
      </c>
      <c r="R955">
        <v>1.0999999999999999E-2</v>
      </c>
      <c r="S955">
        <v>1.0999999999999999E-2</v>
      </c>
      <c r="T955">
        <v>1.0999999999999999E-2</v>
      </c>
      <c r="U955">
        <v>1.0999999999999999E-2</v>
      </c>
      <c r="V955">
        <v>1.0999999999999999E-2</v>
      </c>
      <c r="W955">
        <v>1.0999999999999999E-2</v>
      </c>
      <c r="X955">
        <v>1.0999999999999999E-2</v>
      </c>
      <c r="Y955">
        <v>1.0999999999999999E-2</v>
      </c>
    </row>
    <row r="956" spans="1:25" hidden="1">
      <c r="A956" t="s">
        <v>18806</v>
      </c>
      <c r="B956" t="s">
        <v>852</v>
      </c>
      <c r="C956" t="s">
        <v>841</v>
      </c>
      <c r="D956" t="s">
        <v>596</v>
      </c>
      <c r="E956" t="s">
        <v>619</v>
      </c>
      <c r="F956" t="s">
        <v>598</v>
      </c>
      <c r="G956" t="s">
        <v>478</v>
      </c>
      <c r="H956" t="s">
        <v>600</v>
      </c>
      <c r="I956" t="s">
        <v>601</v>
      </c>
      <c r="J956">
        <v>2.1899999999999999E-2</v>
      </c>
      <c r="K956">
        <v>2.1899999999999999E-2</v>
      </c>
      <c r="L956">
        <v>2.1899999999999999E-2</v>
      </c>
      <c r="M956">
        <v>2.1899999999999999E-2</v>
      </c>
      <c r="N956">
        <v>2.1899999999999999E-2</v>
      </c>
      <c r="O956">
        <v>2.1899999999999999E-2</v>
      </c>
      <c r="P956">
        <v>2.1899999999999999E-2</v>
      </c>
      <c r="Q956">
        <v>2.1899999999999999E-2</v>
      </c>
      <c r="R956">
        <v>2.1899999999999999E-2</v>
      </c>
      <c r="S956">
        <v>2.1899999999999999E-2</v>
      </c>
      <c r="T956">
        <v>2.1899999999999999E-2</v>
      </c>
      <c r="U956">
        <v>2.1899999999999999E-2</v>
      </c>
      <c r="V956">
        <v>2.1899999999999999E-2</v>
      </c>
      <c r="W956">
        <v>2.1899999999999999E-2</v>
      </c>
      <c r="X956">
        <v>2.1899999999999999E-2</v>
      </c>
      <c r="Y956">
        <v>2.1899999999999999E-2</v>
      </c>
    </row>
    <row r="957" spans="1:25" hidden="1">
      <c r="A957" t="s">
        <v>18806</v>
      </c>
      <c r="B957" t="s">
        <v>854</v>
      </c>
      <c r="C957" t="s">
        <v>841</v>
      </c>
      <c r="D957" t="s">
        <v>596</v>
      </c>
      <c r="E957" t="s">
        <v>669</v>
      </c>
      <c r="F957" t="s">
        <v>598</v>
      </c>
      <c r="G957" t="s">
        <v>478</v>
      </c>
      <c r="H957" t="s">
        <v>600</v>
      </c>
      <c r="I957" t="s">
        <v>601</v>
      </c>
      <c r="J957">
        <v>7.3999999999999996E-2</v>
      </c>
      <c r="K957">
        <v>7.3999999999999996E-2</v>
      </c>
      <c r="L957">
        <v>7.3999999999999996E-2</v>
      </c>
      <c r="M957">
        <v>7.3999999999999996E-2</v>
      </c>
      <c r="N957">
        <v>7.3999999999999996E-2</v>
      </c>
      <c r="O957">
        <v>7.3999999999999996E-2</v>
      </c>
      <c r="P957">
        <v>7.3999999999999996E-2</v>
      </c>
      <c r="Q957">
        <v>7.3999999999999996E-2</v>
      </c>
      <c r="R957">
        <v>7.3999999999999996E-2</v>
      </c>
      <c r="S957">
        <v>7.3999999999999996E-2</v>
      </c>
      <c r="T957">
        <v>7.3999999999999996E-2</v>
      </c>
      <c r="U957">
        <v>7.3999999999999996E-2</v>
      </c>
      <c r="V957">
        <v>7.3999999999999996E-2</v>
      </c>
      <c r="W957">
        <v>7.3999999999999996E-2</v>
      </c>
      <c r="X957">
        <v>7.3999999999999996E-2</v>
      </c>
      <c r="Y957">
        <v>7.3999999999999996E-2</v>
      </c>
    </row>
    <row r="958" spans="1:25" hidden="1">
      <c r="A958" t="s">
        <v>18806</v>
      </c>
      <c r="B958" t="s">
        <v>902</v>
      </c>
      <c r="C958" t="s">
        <v>841</v>
      </c>
      <c r="D958" t="s">
        <v>648</v>
      </c>
      <c r="E958" t="s">
        <v>597</v>
      </c>
      <c r="F958" t="s">
        <v>598</v>
      </c>
      <c r="G958" t="s">
        <v>478</v>
      </c>
      <c r="H958" t="s">
        <v>600</v>
      </c>
      <c r="I958" t="s">
        <v>601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</row>
    <row r="959" spans="1:25" hidden="1">
      <c r="A959" t="s">
        <v>18806</v>
      </c>
      <c r="B959" t="s">
        <v>912</v>
      </c>
      <c r="C959" t="s">
        <v>841</v>
      </c>
      <c r="D959" t="s">
        <v>648</v>
      </c>
      <c r="E959" t="s">
        <v>676</v>
      </c>
      <c r="F959" t="s">
        <v>598</v>
      </c>
      <c r="G959" t="s">
        <v>478</v>
      </c>
      <c r="H959" t="s">
        <v>600</v>
      </c>
      <c r="I959" t="s">
        <v>601</v>
      </c>
      <c r="J959">
        <v>7.4000000000000003E-3</v>
      </c>
      <c r="K959">
        <v>7.4000000000000003E-3</v>
      </c>
      <c r="L959">
        <v>7.4000000000000003E-3</v>
      </c>
      <c r="M959">
        <v>7.4000000000000003E-3</v>
      </c>
      <c r="N959">
        <v>7.4000000000000003E-3</v>
      </c>
      <c r="O959">
        <v>7.4000000000000003E-3</v>
      </c>
      <c r="P959">
        <v>7.4000000000000003E-3</v>
      </c>
      <c r="Q959">
        <v>7.4000000000000003E-3</v>
      </c>
      <c r="R959">
        <v>7.4000000000000003E-3</v>
      </c>
      <c r="S959">
        <v>7.4000000000000003E-3</v>
      </c>
      <c r="T959">
        <v>7.4000000000000003E-3</v>
      </c>
      <c r="U959">
        <v>7.4000000000000003E-3</v>
      </c>
      <c r="V959">
        <v>7.4000000000000003E-3</v>
      </c>
      <c r="W959">
        <v>7.4000000000000003E-3</v>
      </c>
      <c r="X959">
        <v>7.4000000000000003E-3</v>
      </c>
      <c r="Y959">
        <v>7.4000000000000003E-3</v>
      </c>
    </row>
    <row r="960" spans="1:25" hidden="1">
      <c r="A960" t="s">
        <v>18806</v>
      </c>
      <c r="B960" t="s">
        <v>916</v>
      </c>
      <c r="C960" t="s">
        <v>914</v>
      </c>
      <c r="D960" t="s">
        <v>621</v>
      </c>
      <c r="E960" t="s">
        <v>628</v>
      </c>
      <c r="F960" t="s">
        <v>598</v>
      </c>
      <c r="G960" t="s">
        <v>478</v>
      </c>
      <c r="H960" t="s">
        <v>600</v>
      </c>
      <c r="I960" t="s">
        <v>601</v>
      </c>
      <c r="J960">
        <v>2.1728000000000001E-2</v>
      </c>
      <c r="K960">
        <v>2.1728000000000001E-2</v>
      </c>
      <c r="L960">
        <v>2.1728000000000001E-2</v>
      </c>
      <c r="M960">
        <v>2.1728000000000001E-2</v>
      </c>
      <c r="N960">
        <v>2.1728000000000001E-2</v>
      </c>
      <c r="O960">
        <v>1.8624000000000002E-2</v>
      </c>
      <c r="P960">
        <v>1.8624000000000002E-2</v>
      </c>
      <c r="Q960">
        <v>1.8624000000000002E-2</v>
      </c>
      <c r="R960">
        <v>1.8624000000000002E-2</v>
      </c>
      <c r="S960">
        <v>1.8624000000000002E-2</v>
      </c>
      <c r="T960">
        <v>1.8624000000000002E-2</v>
      </c>
      <c r="U960">
        <v>1.8624000000000002E-2</v>
      </c>
      <c r="V960">
        <v>1.8624000000000002E-2</v>
      </c>
      <c r="W960">
        <v>1.8624000000000002E-2</v>
      </c>
      <c r="X960">
        <v>1.8624000000000002E-2</v>
      </c>
      <c r="Y960">
        <v>1.8624000000000002E-2</v>
      </c>
    </row>
    <row r="961" spans="1:25" hidden="1">
      <c r="A961" t="s">
        <v>18806</v>
      </c>
      <c r="B961" t="s">
        <v>924</v>
      </c>
      <c r="C961" t="s">
        <v>925</v>
      </c>
      <c r="D961" t="s">
        <v>926</v>
      </c>
      <c r="E961" t="s">
        <v>927</v>
      </c>
      <c r="F961" t="s">
        <v>598</v>
      </c>
      <c r="G961" t="s">
        <v>478</v>
      </c>
      <c r="H961" t="s">
        <v>600</v>
      </c>
      <c r="I961" t="s">
        <v>601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hidden="1">
      <c r="A962" t="s">
        <v>18806</v>
      </c>
      <c r="B962" t="s">
        <v>947</v>
      </c>
      <c r="C962" t="s">
        <v>943</v>
      </c>
      <c r="D962" t="s">
        <v>946</v>
      </c>
      <c r="E962" t="s">
        <v>948</v>
      </c>
      <c r="F962" t="s">
        <v>598</v>
      </c>
      <c r="G962" t="s">
        <v>478</v>
      </c>
      <c r="H962" t="s">
        <v>600</v>
      </c>
      <c r="I962" t="s">
        <v>601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</row>
    <row r="963" spans="1:25" hidden="1">
      <c r="A963" t="s">
        <v>18806</v>
      </c>
      <c r="B963" t="s">
        <v>988</v>
      </c>
      <c r="C963" t="s">
        <v>980</v>
      </c>
      <c r="D963" t="s">
        <v>648</v>
      </c>
      <c r="E963" t="s">
        <v>920</v>
      </c>
      <c r="F963" t="s">
        <v>598</v>
      </c>
      <c r="G963" t="s">
        <v>478</v>
      </c>
      <c r="H963" t="s">
        <v>600</v>
      </c>
      <c r="I963" t="s">
        <v>601</v>
      </c>
      <c r="J963">
        <v>5.9999999999999995E-4</v>
      </c>
      <c r="K963">
        <v>5.9999999999999995E-4</v>
      </c>
      <c r="L963">
        <v>6.9999999999999999E-4</v>
      </c>
      <c r="M963">
        <v>6.9999999999999999E-4</v>
      </c>
      <c r="N963">
        <v>6.9999999999999999E-4</v>
      </c>
      <c r="O963">
        <v>6.9999999999999999E-4</v>
      </c>
      <c r="P963">
        <v>6.9999999999999999E-4</v>
      </c>
      <c r="Q963">
        <v>8.0000000000000004E-4</v>
      </c>
      <c r="R963">
        <v>8.0000000000000004E-4</v>
      </c>
      <c r="S963">
        <v>8.0000000000000004E-4</v>
      </c>
      <c r="T963">
        <v>8.0000000000000004E-4</v>
      </c>
      <c r="U963">
        <v>8.0000000000000004E-4</v>
      </c>
      <c r="V963">
        <v>8.9999999999999998E-4</v>
      </c>
      <c r="W963">
        <v>8.9999999999999998E-4</v>
      </c>
      <c r="X963">
        <v>8.9999999999999998E-4</v>
      </c>
      <c r="Y963">
        <v>8.9999999999999998E-4</v>
      </c>
    </row>
    <row r="964" spans="1:25" hidden="1">
      <c r="A964" t="s">
        <v>18806</v>
      </c>
      <c r="B964" t="s">
        <v>997</v>
      </c>
      <c r="C964" t="s">
        <v>998</v>
      </c>
      <c r="D964" t="s">
        <v>999</v>
      </c>
      <c r="E964" t="s">
        <v>1000</v>
      </c>
      <c r="F964" t="s">
        <v>598</v>
      </c>
      <c r="G964" t="s">
        <v>478</v>
      </c>
      <c r="H964" t="s">
        <v>600</v>
      </c>
      <c r="I964" t="s">
        <v>601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hidden="1">
      <c r="A965" t="s">
        <v>18806</v>
      </c>
      <c r="B965" t="s">
        <v>1009</v>
      </c>
      <c r="C965" t="s">
        <v>998</v>
      </c>
      <c r="D965" t="s">
        <v>999</v>
      </c>
      <c r="E965" t="s">
        <v>1010</v>
      </c>
      <c r="F965" t="s">
        <v>598</v>
      </c>
      <c r="G965" t="s">
        <v>478</v>
      </c>
      <c r="H965" t="s">
        <v>600</v>
      </c>
      <c r="I965" t="s">
        <v>601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hidden="1">
      <c r="A966" t="s">
        <v>18806</v>
      </c>
      <c r="B966" t="s">
        <v>1015</v>
      </c>
      <c r="C966" t="s">
        <v>1016</v>
      </c>
      <c r="D966" t="s">
        <v>1017</v>
      </c>
      <c r="E966" t="s">
        <v>1018</v>
      </c>
      <c r="F966" t="s">
        <v>598</v>
      </c>
      <c r="G966" t="s">
        <v>478</v>
      </c>
      <c r="H966" t="s">
        <v>600</v>
      </c>
      <c r="I966" t="s">
        <v>601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</row>
    <row r="967" spans="1:25" hidden="1">
      <c r="A967" t="s">
        <v>18806</v>
      </c>
      <c r="B967" t="s">
        <v>1021</v>
      </c>
      <c r="C967" t="s">
        <v>1016</v>
      </c>
      <c r="D967" t="s">
        <v>1017</v>
      </c>
      <c r="E967" t="s">
        <v>1022</v>
      </c>
      <c r="F967" t="s">
        <v>598</v>
      </c>
      <c r="G967" t="s">
        <v>478</v>
      </c>
      <c r="H967" t="s">
        <v>600</v>
      </c>
      <c r="I967" t="s">
        <v>601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hidden="1">
      <c r="A968" t="s">
        <v>18806</v>
      </c>
      <c r="B968" t="s">
        <v>1023</v>
      </c>
      <c r="C968" t="s">
        <v>1016</v>
      </c>
      <c r="D968" t="s">
        <v>1017</v>
      </c>
      <c r="E968" t="s">
        <v>1024</v>
      </c>
      <c r="F968" t="s">
        <v>598</v>
      </c>
      <c r="G968" t="s">
        <v>478</v>
      </c>
      <c r="H968" t="s">
        <v>600</v>
      </c>
      <c r="I968" t="s">
        <v>601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hidden="1">
      <c r="A969" t="s">
        <v>18806</v>
      </c>
      <c r="B969" t="s">
        <v>1029</v>
      </c>
      <c r="C969" t="s">
        <v>1016</v>
      </c>
      <c r="D969" t="s">
        <v>1017</v>
      </c>
      <c r="E969" t="s">
        <v>1030</v>
      </c>
      <c r="F969" t="s">
        <v>598</v>
      </c>
      <c r="G969" t="s">
        <v>478</v>
      </c>
      <c r="H969" t="s">
        <v>600</v>
      </c>
      <c r="I969" t="s">
        <v>601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hidden="1">
      <c r="A970" t="s">
        <v>18806</v>
      </c>
      <c r="B970" t="s">
        <v>1037</v>
      </c>
      <c r="C970" t="s">
        <v>1016</v>
      </c>
      <c r="D970" t="s">
        <v>1017</v>
      </c>
      <c r="E970" t="s">
        <v>1038</v>
      </c>
      <c r="F970" t="s">
        <v>598</v>
      </c>
      <c r="G970" t="s">
        <v>478</v>
      </c>
      <c r="H970" t="s">
        <v>600</v>
      </c>
      <c r="I970" t="s">
        <v>601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hidden="1">
      <c r="A971" t="s">
        <v>18806</v>
      </c>
      <c r="B971" t="s">
        <v>1041</v>
      </c>
      <c r="C971" t="s">
        <v>1016</v>
      </c>
      <c r="D971" t="s">
        <v>1017</v>
      </c>
      <c r="E971" t="s">
        <v>1042</v>
      </c>
      <c r="F971" t="s">
        <v>598</v>
      </c>
      <c r="G971" t="s">
        <v>478</v>
      </c>
      <c r="H971" t="s">
        <v>600</v>
      </c>
      <c r="I971" t="s">
        <v>601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hidden="1">
      <c r="A972" t="s">
        <v>18806</v>
      </c>
      <c r="B972" t="s">
        <v>1047</v>
      </c>
      <c r="C972" t="s">
        <v>1016</v>
      </c>
      <c r="D972" t="s">
        <v>1017</v>
      </c>
      <c r="E972" t="s">
        <v>1048</v>
      </c>
      <c r="F972" t="s">
        <v>598</v>
      </c>
      <c r="G972" t="s">
        <v>478</v>
      </c>
      <c r="H972" t="s">
        <v>600</v>
      </c>
      <c r="I972" t="s">
        <v>601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hidden="1">
      <c r="A973" t="s">
        <v>18806</v>
      </c>
      <c r="B973" t="s">
        <v>1049</v>
      </c>
      <c r="C973" t="s">
        <v>1016</v>
      </c>
      <c r="D973" t="s">
        <v>1050</v>
      </c>
      <c r="E973" t="s">
        <v>1024</v>
      </c>
      <c r="F973" t="s">
        <v>598</v>
      </c>
      <c r="G973" t="s">
        <v>478</v>
      </c>
      <c r="H973" t="s">
        <v>600</v>
      </c>
      <c r="I973" t="s">
        <v>601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hidden="1">
      <c r="A974" t="s">
        <v>18806</v>
      </c>
      <c r="B974" t="s">
        <v>1059</v>
      </c>
      <c r="C974" t="s">
        <v>1016</v>
      </c>
      <c r="D974" t="s">
        <v>1050</v>
      </c>
      <c r="E974" t="s">
        <v>1042</v>
      </c>
      <c r="F974" t="s">
        <v>598</v>
      </c>
      <c r="G974" t="s">
        <v>478</v>
      </c>
      <c r="H974" t="s">
        <v>600</v>
      </c>
      <c r="I974" t="s">
        <v>601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18806</v>
      </c>
      <c r="B975" t="s">
        <v>1062</v>
      </c>
      <c r="C975" t="s">
        <v>1016</v>
      </c>
      <c r="D975" t="s">
        <v>1063</v>
      </c>
      <c r="E975" t="s">
        <v>1018</v>
      </c>
      <c r="F975" t="s">
        <v>598</v>
      </c>
      <c r="G975" t="s">
        <v>478</v>
      </c>
      <c r="H975" t="s">
        <v>600</v>
      </c>
      <c r="I975" t="s">
        <v>601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hidden="1">
      <c r="A976" t="s">
        <v>18806</v>
      </c>
      <c r="B976" t="s">
        <v>1064</v>
      </c>
      <c r="C976" t="s">
        <v>1016</v>
      </c>
      <c r="D976" t="s">
        <v>1063</v>
      </c>
      <c r="E976" t="s">
        <v>1022</v>
      </c>
      <c r="F976" t="s">
        <v>598</v>
      </c>
      <c r="G976" t="s">
        <v>478</v>
      </c>
      <c r="H976" t="s">
        <v>600</v>
      </c>
      <c r="I976" t="s">
        <v>601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hidden="1">
      <c r="A977" t="s">
        <v>18806</v>
      </c>
      <c r="B977" t="s">
        <v>1067</v>
      </c>
      <c r="C977" t="s">
        <v>1016</v>
      </c>
      <c r="D977" t="s">
        <v>1063</v>
      </c>
      <c r="E977" t="s">
        <v>1026</v>
      </c>
      <c r="F977" t="s">
        <v>598</v>
      </c>
      <c r="G977" t="s">
        <v>478</v>
      </c>
      <c r="H977" t="s">
        <v>600</v>
      </c>
      <c r="I977" t="s">
        <v>601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</row>
    <row r="978" spans="1:25" hidden="1">
      <c r="A978" t="s">
        <v>18806</v>
      </c>
      <c r="B978" t="s">
        <v>1068</v>
      </c>
      <c r="C978" t="s">
        <v>1016</v>
      </c>
      <c r="D978" t="s">
        <v>1063</v>
      </c>
      <c r="E978" t="s">
        <v>1030</v>
      </c>
      <c r="F978" t="s">
        <v>598</v>
      </c>
      <c r="G978" t="s">
        <v>478</v>
      </c>
      <c r="H978" t="s">
        <v>600</v>
      </c>
      <c r="I978" t="s">
        <v>601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18806</v>
      </c>
      <c r="B979" t="s">
        <v>1069</v>
      </c>
      <c r="C979" t="s">
        <v>1016</v>
      </c>
      <c r="D979" t="s">
        <v>1063</v>
      </c>
      <c r="E979" t="s">
        <v>1035</v>
      </c>
      <c r="F979" t="s">
        <v>598</v>
      </c>
      <c r="G979" t="s">
        <v>478</v>
      </c>
      <c r="H979" t="s">
        <v>600</v>
      </c>
      <c r="I979" t="s">
        <v>601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hidden="1">
      <c r="A980" t="s">
        <v>18806</v>
      </c>
      <c r="B980" t="s">
        <v>1072</v>
      </c>
      <c r="C980" t="s">
        <v>1016</v>
      </c>
      <c r="D980" t="s">
        <v>1063</v>
      </c>
      <c r="E980" t="s">
        <v>1040</v>
      </c>
      <c r="F980" t="s">
        <v>598</v>
      </c>
      <c r="G980" t="s">
        <v>478</v>
      </c>
      <c r="H980" t="s">
        <v>600</v>
      </c>
      <c r="I980" t="s">
        <v>601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18806</v>
      </c>
      <c r="B981" t="s">
        <v>1073</v>
      </c>
      <c r="C981" t="s">
        <v>1016</v>
      </c>
      <c r="D981" t="s">
        <v>1063</v>
      </c>
      <c r="E981" t="s">
        <v>1042</v>
      </c>
      <c r="F981" t="s">
        <v>598</v>
      </c>
      <c r="G981" t="s">
        <v>478</v>
      </c>
      <c r="H981" t="s">
        <v>600</v>
      </c>
      <c r="I981" t="s">
        <v>601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hidden="1">
      <c r="A982" t="s">
        <v>18806</v>
      </c>
      <c r="B982" t="s">
        <v>1075</v>
      </c>
      <c r="C982" t="s">
        <v>1016</v>
      </c>
      <c r="D982" t="s">
        <v>1063</v>
      </c>
      <c r="E982" t="s">
        <v>1046</v>
      </c>
      <c r="F982" t="s">
        <v>598</v>
      </c>
      <c r="G982" t="s">
        <v>478</v>
      </c>
      <c r="H982" t="s">
        <v>600</v>
      </c>
      <c r="I982" t="s">
        <v>601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18806</v>
      </c>
      <c r="B983" t="s">
        <v>1076</v>
      </c>
      <c r="C983" t="s">
        <v>1016</v>
      </c>
      <c r="D983" t="s">
        <v>1063</v>
      </c>
      <c r="E983" t="s">
        <v>1048</v>
      </c>
      <c r="F983" t="s">
        <v>598</v>
      </c>
      <c r="G983" t="s">
        <v>478</v>
      </c>
      <c r="H983" t="s">
        <v>600</v>
      </c>
      <c r="I983" t="s">
        <v>601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18806</v>
      </c>
      <c r="B984" t="s">
        <v>1087</v>
      </c>
      <c r="C984" t="s">
        <v>1079</v>
      </c>
      <c r="D984" t="s">
        <v>1086</v>
      </c>
      <c r="E984" t="s">
        <v>1081</v>
      </c>
      <c r="F984" t="s">
        <v>598</v>
      </c>
      <c r="G984" t="s">
        <v>478</v>
      </c>
      <c r="H984" t="s">
        <v>600</v>
      </c>
      <c r="I984" t="s">
        <v>601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18806</v>
      </c>
      <c r="B985" t="s">
        <v>1144</v>
      </c>
      <c r="C985" t="s">
        <v>1079</v>
      </c>
      <c r="D985" t="s">
        <v>1145</v>
      </c>
      <c r="E985" t="s">
        <v>1081</v>
      </c>
      <c r="F985" t="s">
        <v>598</v>
      </c>
      <c r="G985" t="s">
        <v>478</v>
      </c>
      <c r="H985" t="s">
        <v>600</v>
      </c>
      <c r="I985" t="s">
        <v>601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hidden="1">
      <c r="A986" t="s">
        <v>18806</v>
      </c>
      <c r="B986" t="s">
        <v>1155</v>
      </c>
      <c r="C986" t="s">
        <v>1079</v>
      </c>
      <c r="D986" t="s">
        <v>1156</v>
      </c>
      <c r="E986" t="s">
        <v>1081</v>
      </c>
      <c r="F986" t="s">
        <v>598</v>
      </c>
      <c r="G986" t="s">
        <v>478</v>
      </c>
      <c r="H986" t="s">
        <v>600</v>
      </c>
      <c r="I986" t="s">
        <v>601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hidden="1">
      <c r="A987" t="s">
        <v>18806</v>
      </c>
      <c r="B987" t="s">
        <v>1217</v>
      </c>
      <c r="C987" t="s">
        <v>1079</v>
      </c>
      <c r="D987" t="s">
        <v>1188</v>
      </c>
      <c r="E987" t="s">
        <v>1106</v>
      </c>
      <c r="F987" t="s">
        <v>598</v>
      </c>
      <c r="G987" t="s">
        <v>478</v>
      </c>
      <c r="H987" t="s">
        <v>600</v>
      </c>
      <c r="I987" t="s">
        <v>601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hidden="1">
      <c r="A988" t="s">
        <v>18806</v>
      </c>
      <c r="B988" t="s">
        <v>1221</v>
      </c>
      <c r="C988" t="s">
        <v>1079</v>
      </c>
      <c r="D988" t="s">
        <v>648</v>
      </c>
      <c r="E988" t="s">
        <v>1081</v>
      </c>
      <c r="F988" t="s">
        <v>598</v>
      </c>
      <c r="G988" t="s">
        <v>478</v>
      </c>
      <c r="H988" t="s">
        <v>600</v>
      </c>
      <c r="I988" t="s">
        <v>601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18806</v>
      </c>
      <c r="B989" t="s">
        <v>1256</v>
      </c>
      <c r="C989" t="s">
        <v>1253</v>
      </c>
      <c r="D989" t="s">
        <v>1254</v>
      </c>
      <c r="E989" t="s">
        <v>1257</v>
      </c>
      <c r="F989" t="s">
        <v>598</v>
      </c>
      <c r="G989" t="s">
        <v>478</v>
      </c>
      <c r="H989" t="s">
        <v>600</v>
      </c>
      <c r="I989" t="s">
        <v>601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18806</v>
      </c>
      <c r="B990" t="s">
        <v>1258</v>
      </c>
      <c r="C990" t="s">
        <v>1253</v>
      </c>
      <c r="D990" t="s">
        <v>1254</v>
      </c>
      <c r="E990" t="s">
        <v>1259</v>
      </c>
      <c r="F990" t="s">
        <v>598</v>
      </c>
      <c r="G990" t="s">
        <v>478</v>
      </c>
      <c r="H990" t="s">
        <v>600</v>
      </c>
      <c r="I990" t="s">
        <v>601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hidden="1">
      <c r="A991" t="s">
        <v>18806</v>
      </c>
      <c r="B991" t="s">
        <v>1566</v>
      </c>
      <c r="C991" t="s">
        <v>1472</v>
      </c>
      <c r="D991" t="s">
        <v>1567</v>
      </c>
      <c r="E991" t="s">
        <v>626</v>
      </c>
      <c r="F991" t="s">
        <v>598</v>
      </c>
      <c r="G991" t="s">
        <v>478</v>
      </c>
      <c r="H991" t="s">
        <v>600</v>
      </c>
      <c r="I991" t="s">
        <v>601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hidden="1">
      <c r="A992" t="s">
        <v>18806</v>
      </c>
      <c r="B992" t="s">
        <v>1568</v>
      </c>
      <c r="C992" t="s">
        <v>1472</v>
      </c>
      <c r="D992" t="s">
        <v>1569</v>
      </c>
      <c r="E992" t="s">
        <v>626</v>
      </c>
      <c r="F992" t="s">
        <v>598</v>
      </c>
      <c r="G992" t="s">
        <v>478</v>
      </c>
      <c r="H992" t="s">
        <v>600</v>
      </c>
      <c r="I992" t="s">
        <v>601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hidden="1">
      <c r="A993" t="s">
        <v>18806</v>
      </c>
      <c r="B993" t="s">
        <v>1570</v>
      </c>
      <c r="C993" t="s">
        <v>1472</v>
      </c>
      <c r="D993" t="s">
        <v>1571</v>
      </c>
      <c r="E993" t="s">
        <v>626</v>
      </c>
      <c r="F993" t="s">
        <v>598</v>
      </c>
      <c r="G993" t="s">
        <v>478</v>
      </c>
      <c r="H993" t="s">
        <v>600</v>
      </c>
      <c r="I993" t="s">
        <v>601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hidden="1">
      <c r="A994" t="s">
        <v>18806</v>
      </c>
      <c r="B994" t="s">
        <v>1573</v>
      </c>
      <c r="C994" t="s">
        <v>1472</v>
      </c>
      <c r="D994" t="s">
        <v>1574</v>
      </c>
      <c r="E994" t="s">
        <v>626</v>
      </c>
      <c r="F994" t="s">
        <v>598</v>
      </c>
      <c r="G994" t="s">
        <v>478</v>
      </c>
      <c r="H994" t="s">
        <v>600</v>
      </c>
      <c r="I994" t="s">
        <v>601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hidden="1">
      <c r="A995" t="s">
        <v>18806</v>
      </c>
      <c r="B995" t="s">
        <v>1575</v>
      </c>
      <c r="C995" t="s">
        <v>1472</v>
      </c>
      <c r="D995" t="s">
        <v>1576</v>
      </c>
      <c r="E995" t="s">
        <v>626</v>
      </c>
      <c r="F995" t="s">
        <v>598</v>
      </c>
      <c r="G995" t="s">
        <v>478</v>
      </c>
      <c r="H995" t="s">
        <v>600</v>
      </c>
      <c r="I995" t="s">
        <v>601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18806</v>
      </c>
      <c r="B996" t="s">
        <v>1577</v>
      </c>
      <c r="C996" t="s">
        <v>1472</v>
      </c>
      <c r="D996" t="s">
        <v>1578</v>
      </c>
      <c r="E996" t="s">
        <v>626</v>
      </c>
      <c r="F996" t="s">
        <v>598</v>
      </c>
      <c r="G996" t="s">
        <v>478</v>
      </c>
      <c r="H996" t="s">
        <v>600</v>
      </c>
      <c r="I996" t="s">
        <v>601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hidden="1">
      <c r="A997" t="s">
        <v>18806</v>
      </c>
      <c r="B997" t="s">
        <v>1582</v>
      </c>
      <c r="C997" t="s">
        <v>1472</v>
      </c>
      <c r="D997" t="s">
        <v>1583</v>
      </c>
      <c r="E997" t="s">
        <v>626</v>
      </c>
      <c r="F997" t="s">
        <v>598</v>
      </c>
      <c r="G997" t="s">
        <v>478</v>
      </c>
      <c r="H997" t="s">
        <v>600</v>
      </c>
      <c r="I997" t="s">
        <v>601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hidden="1">
      <c r="A998" t="s">
        <v>18806</v>
      </c>
      <c r="B998" t="s">
        <v>1590</v>
      </c>
      <c r="C998" t="s">
        <v>1472</v>
      </c>
      <c r="D998" t="s">
        <v>1365</v>
      </c>
      <c r="E998" t="s">
        <v>626</v>
      </c>
      <c r="F998" t="s">
        <v>598</v>
      </c>
      <c r="G998" t="s">
        <v>478</v>
      </c>
      <c r="H998" t="s">
        <v>600</v>
      </c>
      <c r="I998" t="s">
        <v>601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hidden="1">
      <c r="A999" t="s">
        <v>18806</v>
      </c>
      <c r="B999" t="s">
        <v>1600</v>
      </c>
      <c r="C999" t="s">
        <v>1472</v>
      </c>
      <c r="D999" t="s">
        <v>1601</v>
      </c>
      <c r="E999" t="s">
        <v>626</v>
      </c>
      <c r="F999" t="s">
        <v>598</v>
      </c>
      <c r="G999" t="s">
        <v>478</v>
      </c>
      <c r="H999" t="s">
        <v>600</v>
      </c>
      <c r="I999" t="s">
        <v>601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hidden="1">
      <c r="A1000" t="s">
        <v>18806</v>
      </c>
      <c r="B1000" t="s">
        <v>1602</v>
      </c>
      <c r="C1000" t="s">
        <v>1472</v>
      </c>
      <c r="D1000" t="s">
        <v>1603</v>
      </c>
      <c r="E1000" t="s">
        <v>626</v>
      </c>
      <c r="F1000" t="s">
        <v>598</v>
      </c>
      <c r="G1000" t="s">
        <v>478</v>
      </c>
      <c r="H1000" t="s">
        <v>600</v>
      </c>
      <c r="I1000" t="s">
        <v>601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hidden="1">
      <c r="A1001" t="s">
        <v>18806</v>
      </c>
      <c r="B1001" t="s">
        <v>1604</v>
      </c>
      <c r="C1001" t="s">
        <v>1472</v>
      </c>
      <c r="D1001" t="s">
        <v>1605</v>
      </c>
      <c r="E1001" t="s">
        <v>626</v>
      </c>
      <c r="F1001" t="s">
        <v>598</v>
      </c>
      <c r="G1001" t="s">
        <v>478</v>
      </c>
      <c r="H1001" t="s">
        <v>600</v>
      </c>
      <c r="I1001" t="s">
        <v>601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hidden="1">
      <c r="A1002" t="s">
        <v>18806</v>
      </c>
      <c r="B1002" t="s">
        <v>1858</v>
      </c>
      <c r="C1002" t="s">
        <v>1845</v>
      </c>
      <c r="D1002" t="s">
        <v>1859</v>
      </c>
      <c r="E1002" t="s">
        <v>1860</v>
      </c>
      <c r="F1002" t="s">
        <v>598</v>
      </c>
      <c r="G1002" t="s">
        <v>478</v>
      </c>
      <c r="H1002" t="s">
        <v>600</v>
      </c>
      <c r="I1002" t="s">
        <v>601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 hidden="1">
      <c r="A1003" t="s">
        <v>18806</v>
      </c>
      <c r="B1003" t="s">
        <v>1964</v>
      </c>
      <c r="C1003" t="s">
        <v>1959</v>
      </c>
      <c r="D1003" t="s">
        <v>1965</v>
      </c>
      <c r="E1003" t="s">
        <v>1966</v>
      </c>
      <c r="F1003" t="s">
        <v>598</v>
      </c>
      <c r="G1003" t="s">
        <v>478</v>
      </c>
      <c r="H1003" t="s">
        <v>600</v>
      </c>
      <c r="I1003" t="s">
        <v>601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 hidden="1">
      <c r="A1004" t="s">
        <v>18806</v>
      </c>
      <c r="B1004" t="s">
        <v>1967</v>
      </c>
      <c r="C1004" t="s">
        <v>1959</v>
      </c>
      <c r="D1004" t="s">
        <v>1968</v>
      </c>
      <c r="E1004" t="s">
        <v>1962</v>
      </c>
      <c r="F1004" t="s">
        <v>598</v>
      </c>
      <c r="G1004" t="s">
        <v>478</v>
      </c>
      <c r="H1004" t="s">
        <v>600</v>
      </c>
      <c r="I1004" t="s">
        <v>601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 hidden="1">
      <c r="A1005" t="s">
        <v>18806</v>
      </c>
      <c r="B1005" t="s">
        <v>2005</v>
      </c>
      <c r="C1005" t="s">
        <v>1959</v>
      </c>
      <c r="D1005" t="s">
        <v>2001</v>
      </c>
      <c r="E1005" t="s">
        <v>1976</v>
      </c>
      <c r="F1005" t="s">
        <v>598</v>
      </c>
      <c r="G1005" t="s">
        <v>478</v>
      </c>
      <c r="H1005" t="s">
        <v>600</v>
      </c>
      <c r="I1005" t="s">
        <v>601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 hidden="1">
      <c r="A1006" t="s">
        <v>18806</v>
      </c>
      <c r="B1006" t="s">
        <v>2039</v>
      </c>
      <c r="C1006" t="s">
        <v>1959</v>
      </c>
      <c r="D1006" t="s">
        <v>648</v>
      </c>
      <c r="E1006" t="s">
        <v>1378</v>
      </c>
      <c r="F1006" t="s">
        <v>598</v>
      </c>
      <c r="G1006" t="s">
        <v>478</v>
      </c>
      <c r="H1006" t="s">
        <v>600</v>
      </c>
      <c r="I1006" t="s">
        <v>601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 hidden="1">
      <c r="A1007" t="s">
        <v>18806</v>
      </c>
      <c r="B1007" t="s">
        <v>2078</v>
      </c>
      <c r="C1007" t="s">
        <v>2075</v>
      </c>
      <c r="D1007" t="s">
        <v>2079</v>
      </c>
      <c r="E1007" t="s">
        <v>1378</v>
      </c>
      <c r="F1007" t="s">
        <v>598</v>
      </c>
      <c r="G1007" t="s">
        <v>478</v>
      </c>
      <c r="H1007" t="s">
        <v>600</v>
      </c>
      <c r="I1007" t="s">
        <v>601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 hidden="1">
      <c r="A1008" t="s">
        <v>18806</v>
      </c>
      <c r="B1008" t="s">
        <v>2123</v>
      </c>
      <c r="C1008" t="s">
        <v>2116</v>
      </c>
      <c r="D1008" t="s">
        <v>2124</v>
      </c>
      <c r="E1008" t="s">
        <v>2125</v>
      </c>
      <c r="F1008" t="s">
        <v>598</v>
      </c>
      <c r="G1008" t="s">
        <v>478</v>
      </c>
      <c r="H1008" t="s">
        <v>600</v>
      </c>
      <c r="I1008" t="s">
        <v>601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 hidden="1">
      <c r="A1009" t="s">
        <v>18806</v>
      </c>
      <c r="B1009" t="s">
        <v>2126</v>
      </c>
      <c r="C1009" t="s">
        <v>2116</v>
      </c>
      <c r="D1009" t="s">
        <v>2127</v>
      </c>
      <c r="E1009" t="s">
        <v>656</v>
      </c>
      <c r="F1009" t="s">
        <v>598</v>
      </c>
      <c r="G1009" t="s">
        <v>478</v>
      </c>
      <c r="H1009" t="s">
        <v>600</v>
      </c>
      <c r="I1009" t="s">
        <v>601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hidden="1">
      <c r="A1010" t="s">
        <v>18806</v>
      </c>
      <c r="B1010" t="s">
        <v>2128</v>
      </c>
      <c r="C1010" t="s">
        <v>2116</v>
      </c>
      <c r="D1010" t="s">
        <v>648</v>
      </c>
      <c r="E1010" t="s">
        <v>656</v>
      </c>
      <c r="F1010" t="s">
        <v>598</v>
      </c>
      <c r="G1010" t="s">
        <v>478</v>
      </c>
      <c r="H1010" t="s">
        <v>600</v>
      </c>
      <c r="I1010" t="s">
        <v>601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</row>
    <row r="1011" spans="1:25" hidden="1"/>
    <row r="1012" spans="1:25">
      <c r="A1012" t="s">
        <v>569</v>
      </c>
      <c r="B1012" t="s">
        <v>570</v>
      </c>
      <c r="C1012" t="s">
        <v>571</v>
      </c>
      <c r="D1012" t="s">
        <v>572</v>
      </c>
      <c r="E1012" t="s">
        <v>573</v>
      </c>
      <c r="F1012" t="s">
        <v>574</v>
      </c>
      <c r="G1012" t="s">
        <v>575</v>
      </c>
      <c r="H1012" t="s">
        <v>576</v>
      </c>
      <c r="I1012" t="s">
        <v>577</v>
      </c>
      <c r="J1012" t="s">
        <v>578</v>
      </c>
      <c r="K1012" t="s">
        <v>579</v>
      </c>
      <c r="L1012" t="s">
        <v>580</v>
      </c>
      <c r="M1012" t="s">
        <v>581</v>
      </c>
      <c r="N1012" t="s">
        <v>582</v>
      </c>
      <c r="O1012" t="s">
        <v>583</v>
      </c>
      <c r="P1012" t="s">
        <v>584</v>
      </c>
      <c r="Q1012" t="s">
        <v>585</v>
      </c>
      <c r="R1012" t="s">
        <v>586</v>
      </c>
      <c r="S1012" t="s">
        <v>587</v>
      </c>
      <c r="T1012" t="s">
        <v>588</v>
      </c>
      <c r="U1012" t="s">
        <v>589</v>
      </c>
      <c r="V1012" t="s">
        <v>590</v>
      </c>
      <c r="W1012" t="s">
        <v>591</v>
      </c>
      <c r="X1012" t="s">
        <v>592</v>
      </c>
      <c r="Y1012" t="s">
        <v>593</v>
      </c>
    </row>
    <row r="1013" spans="1:25">
      <c r="A1013" t="s">
        <v>18807</v>
      </c>
      <c r="B1013" t="s">
        <v>594</v>
      </c>
      <c r="C1013" t="s">
        <v>595</v>
      </c>
      <c r="D1013" t="s">
        <v>596</v>
      </c>
      <c r="E1013" t="s">
        <v>597</v>
      </c>
      <c r="F1013" t="s">
        <v>598</v>
      </c>
      <c r="G1013" t="s">
        <v>478</v>
      </c>
      <c r="H1013" t="s">
        <v>600</v>
      </c>
      <c r="I1013" t="s">
        <v>601</v>
      </c>
      <c r="J1013">
        <v>1.5E-3</v>
      </c>
      <c r="K1013">
        <v>1.5E-3</v>
      </c>
      <c r="L1013">
        <v>1.5E-3</v>
      </c>
      <c r="M1013">
        <v>1.5E-3</v>
      </c>
      <c r="N1013">
        <v>1.5E-3</v>
      </c>
      <c r="O1013">
        <v>1.4E-3</v>
      </c>
      <c r="P1013">
        <v>1.4E-3</v>
      </c>
      <c r="Q1013">
        <v>1.5E-3</v>
      </c>
      <c r="R1013">
        <v>1.5E-3</v>
      </c>
      <c r="S1013">
        <v>1.5E-3</v>
      </c>
      <c r="T1013">
        <v>1.5E-3</v>
      </c>
      <c r="U1013">
        <v>1.5E-3</v>
      </c>
      <c r="V1013">
        <v>1.5E-3</v>
      </c>
      <c r="W1013">
        <v>1.5E-3</v>
      </c>
      <c r="X1013">
        <v>1.5E-3</v>
      </c>
      <c r="Y1013">
        <v>1.5E-3</v>
      </c>
    </row>
    <row r="1014" spans="1:25">
      <c r="A1014" t="s">
        <v>18807</v>
      </c>
      <c r="B1014" t="s">
        <v>608</v>
      </c>
      <c r="C1014" t="s">
        <v>595</v>
      </c>
      <c r="D1014" t="s">
        <v>596</v>
      </c>
      <c r="E1014" t="s">
        <v>609</v>
      </c>
      <c r="F1014" t="s">
        <v>598</v>
      </c>
      <c r="G1014" t="s">
        <v>478</v>
      </c>
      <c r="H1014" t="s">
        <v>600</v>
      </c>
      <c r="I1014" t="s">
        <v>601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>
      <c r="A1015" t="s">
        <v>18807</v>
      </c>
      <c r="B1015" t="s">
        <v>614</v>
      </c>
      <c r="C1015" t="s">
        <v>595</v>
      </c>
      <c r="D1015" t="s">
        <v>596</v>
      </c>
      <c r="E1015" t="s">
        <v>615</v>
      </c>
      <c r="F1015" t="s">
        <v>598</v>
      </c>
      <c r="G1015" t="s">
        <v>478</v>
      </c>
      <c r="H1015" t="s">
        <v>600</v>
      </c>
      <c r="I1015" t="s">
        <v>601</v>
      </c>
      <c r="J1015">
        <v>0.4652</v>
      </c>
      <c r="K1015">
        <v>0.48080000000000001</v>
      </c>
      <c r="L1015">
        <v>0.48330000000000001</v>
      </c>
      <c r="M1015">
        <v>0.49249999999999999</v>
      </c>
      <c r="N1015">
        <v>0.49830000000000002</v>
      </c>
      <c r="O1015">
        <v>0.51770000000000005</v>
      </c>
      <c r="P1015">
        <v>0.52110000000000001</v>
      </c>
      <c r="Q1015">
        <v>0.52949999999999997</v>
      </c>
      <c r="R1015">
        <v>0.53520000000000001</v>
      </c>
      <c r="S1015">
        <v>0.54900000000000004</v>
      </c>
      <c r="T1015">
        <v>0.56459999999999999</v>
      </c>
      <c r="U1015">
        <v>0.57589999999999997</v>
      </c>
      <c r="V1015">
        <v>0.58079999999999998</v>
      </c>
      <c r="W1015">
        <v>0.59309999999999996</v>
      </c>
      <c r="X1015">
        <v>0.60560000000000003</v>
      </c>
      <c r="Y1015">
        <v>0.61329999999999996</v>
      </c>
    </row>
    <row r="1016" spans="1:25">
      <c r="A1016" t="s">
        <v>18807</v>
      </c>
      <c r="B1016" t="s">
        <v>616</v>
      </c>
      <c r="C1016" t="s">
        <v>595</v>
      </c>
      <c r="D1016" t="s">
        <v>596</v>
      </c>
      <c r="E1016" t="s">
        <v>617</v>
      </c>
      <c r="F1016" t="s">
        <v>598</v>
      </c>
      <c r="G1016" t="s">
        <v>478</v>
      </c>
      <c r="H1016" t="s">
        <v>600</v>
      </c>
      <c r="I1016" t="s">
        <v>601</v>
      </c>
      <c r="J1016">
        <v>1.1221000000000001</v>
      </c>
      <c r="K1016">
        <v>1.1597999999999999</v>
      </c>
      <c r="L1016">
        <v>1.1656</v>
      </c>
      <c r="M1016">
        <v>1.1878</v>
      </c>
      <c r="N1016">
        <v>1.2019</v>
      </c>
      <c r="O1016">
        <v>1.2487999999999999</v>
      </c>
      <c r="P1016">
        <v>1.2567999999999999</v>
      </c>
      <c r="Q1016">
        <v>1.2769999999999999</v>
      </c>
      <c r="R1016">
        <v>1.2907999999999999</v>
      </c>
      <c r="S1016">
        <v>1.3242</v>
      </c>
      <c r="T1016">
        <v>1.3616999999999999</v>
      </c>
      <c r="U1016">
        <v>1.3889</v>
      </c>
      <c r="V1016">
        <v>1.4009</v>
      </c>
      <c r="W1016">
        <v>1.4307000000000001</v>
      </c>
      <c r="X1016">
        <v>1.4607000000000001</v>
      </c>
      <c r="Y1016">
        <v>1.4794</v>
      </c>
    </row>
    <row r="1017" spans="1:25">
      <c r="A1017" t="s">
        <v>18807</v>
      </c>
      <c r="B1017" t="s">
        <v>620</v>
      </c>
      <c r="C1017" t="s">
        <v>595</v>
      </c>
      <c r="D1017" t="s">
        <v>621</v>
      </c>
      <c r="E1017" t="s">
        <v>597</v>
      </c>
      <c r="F1017" t="s">
        <v>598</v>
      </c>
      <c r="G1017" t="s">
        <v>478</v>
      </c>
      <c r="H1017" t="s">
        <v>600</v>
      </c>
      <c r="I1017" t="s">
        <v>601</v>
      </c>
      <c r="J1017">
        <v>3.8E-3</v>
      </c>
      <c r="K1017">
        <v>3.8999999999999998E-3</v>
      </c>
      <c r="L1017">
        <v>3.8999999999999998E-3</v>
      </c>
      <c r="M1017">
        <v>3.8999999999999998E-3</v>
      </c>
      <c r="N1017">
        <v>3.8999999999999998E-3</v>
      </c>
      <c r="O1017">
        <v>3.7000000000000002E-3</v>
      </c>
      <c r="P1017">
        <v>3.7000000000000002E-3</v>
      </c>
      <c r="Q1017">
        <v>3.7000000000000002E-3</v>
      </c>
      <c r="R1017">
        <v>3.7000000000000002E-3</v>
      </c>
      <c r="S1017">
        <v>3.8E-3</v>
      </c>
      <c r="T1017">
        <v>3.8E-3</v>
      </c>
      <c r="U1017">
        <v>3.8E-3</v>
      </c>
      <c r="V1017">
        <v>3.8E-3</v>
      </c>
      <c r="W1017">
        <v>3.8E-3</v>
      </c>
      <c r="X1017">
        <v>3.8E-3</v>
      </c>
      <c r="Y1017">
        <v>3.8E-3</v>
      </c>
    </row>
    <row r="1018" spans="1:25">
      <c r="A1018" t="s">
        <v>18807</v>
      </c>
      <c r="B1018" t="s">
        <v>623</v>
      </c>
      <c r="C1018" t="s">
        <v>595</v>
      </c>
      <c r="D1018" t="s">
        <v>621</v>
      </c>
      <c r="E1018" t="s">
        <v>624</v>
      </c>
      <c r="F1018" t="s">
        <v>598</v>
      </c>
      <c r="G1018" t="s">
        <v>478</v>
      </c>
      <c r="H1018" t="s">
        <v>600</v>
      </c>
      <c r="I1018" t="s">
        <v>601</v>
      </c>
      <c r="J1018">
        <v>0.23980000000000001</v>
      </c>
      <c r="K1018">
        <v>0.248</v>
      </c>
      <c r="L1018">
        <v>0.24909999999999999</v>
      </c>
      <c r="M1018">
        <v>0.25390000000000001</v>
      </c>
      <c r="N1018">
        <v>0.25690000000000002</v>
      </c>
      <c r="O1018">
        <v>0.26690000000000003</v>
      </c>
      <c r="P1018">
        <v>0.26860000000000001</v>
      </c>
      <c r="Q1018">
        <v>0.27300000000000002</v>
      </c>
      <c r="R1018">
        <v>0.27589999999999998</v>
      </c>
      <c r="S1018">
        <v>0.28299999999999997</v>
      </c>
      <c r="T1018">
        <v>0.29099999999999998</v>
      </c>
      <c r="U1018">
        <v>0.2969</v>
      </c>
      <c r="V1018">
        <v>0.2994</v>
      </c>
      <c r="W1018">
        <v>0.30590000000000001</v>
      </c>
      <c r="X1018">
        <v>0.31219999999999998</v>
      </c>
      <c r="Y1018">
        <v>0.31619999999999998</v>
      </c>
    </row>
    <row r="1019" spans="1:25">
      <c r="A1019" t="s">
        <v>18807</v>
      </c>
      <c r="B1019" t="s">
        <v>627</v>
      </c>
      <c r="C1019" t="s">
        <v>595</v>
      </c>
      <c r="D1019" t="s">
        <v>621</v>
      </c>
      <c r="E1019" t="s">
        <v>628</v>
      </c>
      <c r="F1019" t="s">
        <v>598</v>
      </c>
      <c r="G1019" t="s">
        <v>478</v>
      </c>
      <c r="H1019" t="s">
        <v>600</v>
      </c>
      <c r="I1019" t="s">
        <v>601</v>
      </c>
      <c r="J1019">
        <v>7.7000000000000002E-3</v>
      </c>
      <c r="K1019">
        <v>7.7000000000000002E-3</v>
      </c>
      <c r="L1019">
        <v>7.7000000000000002E-3</v>
      </c>
      <c r="M1019">
        <v>7.7000000000000002E-3</v>
      </c>
      <c r="N1019">
        <v>7.7000000000000002E-3</v>
      </c>
      <c r="O1019">
        <v>7.7000000000000002E-3</v>
      </c>
      <c r="P1019">
        <v>7.7000000000000002E-3</v>
      </c>
      <c r="Q1019">
        <v>7.7000000000000002E-3</v>
      </c>
      <c r="R1019">
        <v>7.7000000000000002E-3</v>
      </c>
      <c r="S1019">
        <v>7.7000000000000002E-3</v>
      </c>
      <c r="T1019">
        <v>7.7000000000000002E-3</v>
      </c>
      <c r="U1019">
        <v>7.7000000000000002E-3</v>
      </c>
      <c r="V1019">
        <v>7.7000000000000002E-3</v>
      </c>
      <c r="W1019">
        <v>7.7000000000000002E-3</v>
      </c>
      <c r="X1019">
        <v>7.7000000000000002E-3</v>
      </c>
      <c r="Y1019">
        <v>7.7000000000000002E-3</v>
      </c>
    </row>
    <row r="1020" spans="1:25">
      <c r="A1020" t="s">
        <v>18807</v>
      </c>
      <c r="B1020" t="s">
        <v>631</v>
      </c>
      <c r="C1020" t="s">
        <v>595</v>
      </c>
      <c r="D1020" t="s">
        <v>632</v>
      </c>
      <c r="E1020" t="s">
        <v>597</v>
      </c>
      <c r="F1020" t="s">
        <v>598</v>
      </c>
      <c r="G1020" t="s">
        <v>478</v>
      </c>
      <c r="H1020" t="s">
        <v>600</v>
      </c>
      <c r="I1020" t="s">
        <v>601</v>
      </c>
      <c r="J1020">
        <v>0.80300000000000005</v>
      </c>
      <c r="K1020">
        <v>0.82640000000000002</v>
      </c>
      <c r="L1020">
        <v>0.85170000000000001</v>
      </c>
      <c r="M1020">
        <v>0.85119999999999996</v>
      </c>
      <c r="N1020">
        <v>0.85029999999999994</v>
      </c>
      <c r="O1020">
        <v>0.79039999999999999</v>
      </c>
      <c r="P1020">
        <v>0.79179999999999995</v>
      </c>
      <c r="Q1020">
        <v>0.79349999999999998</v>
      </c>
      <c r="R1020">
        <v>0.79430000000000001</v>
      </c>
      <c r="S1020">
        <v>0.79579999999999995</v>
      </c>
      <c r="T1020">
        <v>0.7974</v>
      </c>
      <c r="U1020">
        <v>0.79900000000000004</v>
      </c>
      <c r="V1020">
        <v>0.80059999999999998</v>
      </c>
      <c r="W1020">
        <v>0.80120000000000002</v>
      </c>
      <c r="X1020">
        <v>0.80289999999999995</v>
      </c>
      <c r="Y1020">
        <v>0.80449999999999999</v>
      </c>
    </row>
    <row r="1021" spans="1:25">
      <c r="A1021" t="s">
        <v>18807</v>
      </c>
      <c r="B1021" t="s">
        <v>637</v>
      </c>
      <c r="C1021" t="s">
        <v>595</v>
      </c>
      <c r="D1021" t="s">
        <v>632</v>
      </c>
      <c r="E1021" t="s">
        <v>638</v>
      </c>
      <c r="F1021" t="s">
        <v>598</v>
      </c>
      <c r="G1021" t="s">
        <v>478</v>
      </c>
      <c r="H1021" t="s">
        <v>600</v>
      </c>
      <c r="I1021" t="s">
        <v>601</v>
      </c>
      <c r="J1021">
        <v>2.0000000000000001E-4</v>
      </c>
      <c r="K1021">
        <v>2.0000000000000001E-4</v>
      </c>
      <c r="L1021">
        <v>2.0000000000000001E-4</v>
      </c>
      <c r="M1021">
        <v>2.0000000000000001E-4</v>
      </c>
      <c r="N1021">
        <v>2.0000000000000001E-4</v>
      </c>
      <c r="O1021">
        <v>2.0000000000000001E-4</v>
      </c>
      <c r="P1021">
        <v>2.0000000000000001E-4</v>
      </c>
      <c r="Q1021">
        <v>2.0000000000000001E-4</v>
      </c>
      <c r="R1021">
        <v>2.0000000000000001E-4</v>
      </c>
      <c r="S1021">
        <v>2.0000000000000001E-4</v>
      </c>
      <c r="T1021">
        <v>2.0000000000000001E-4</v>
      </c>
      <c r="U1021">
        <v>2.0000000000000001E-4</v>
      </c>
      <c r="V1021">
        <v>2.0000000000000001E-4</v>
      </c>
      <c r="W1021">
        <v>2.0000000000000001E-4</v>
      </c>
      <c r="X1021">
        <v>2.0000000000000001E-4</v>
      </c>
      <c r="Y1021">
        <v>2.0000000000000001E-4</v>
      </c>
    </row>
    <row r="1022" spans="1:25" hidden="1">
      <c r="A1022" t="s">
        <v>18807</v>
      </c>
      <c r="B1022" t="s">
        <v>650</v>
      </c>
      <c r="C1022" t="s">
        <v>651</v>
      </c>
      <c r="D1022" t="s">
        <v>596</v>
      </c>
      <c r="E1022" t="s">
        <v>597</v>
      </c>
      <c r="F1022" t="s">
        <v>598</v>
      </c>
      <c r="G1022" t="s">
        <v>478</v>
      </c>
      <c r="H1022" t="s">
        <v>600</v>
      </c>
      <c r="I1022" t="s">
        <v>601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</row>
    <row r="1023" spans="1:25" hidden="1">
      <c r="A1023" t="s">
        <v>18807</v>
      </c>
      <c r="B1023" t="s">
        <v>655</v>
      </c>
      <c r="C1023" t="s">
        <v>651</v>
      </c>
      <c r="D1023" t="s">
        <v>596</v>
      </c>
      <c r="E1023" t="s">
        <v>656</v>
      </c>
      <c r="F1023" t="s">
        <v>598</v>
      </c>
      <c r="G1023" t="s">
        <v>478</v>
      </c>
      <c r="H1023" t="s">
        <v>600</v>
      </c>
      <c r="I1023" t="s">
        <v>601</v>
      </c>
      <c r="J1023">
        <v>1.8896999999999999</v>
      </c>
      <c r="K1023">
        <v>2.1623000000000001</v>
      </c>
      <c r="L1023">
        <v>2.3212999999999999</v>
      </c>
      <c r="M1023">
        <v>2.5257000000000001</v>
      </c>
      <c r="N1023">
        <v>2.6709999999999998</v>
      </c>
      <c r="O1023">
        <v>2.7755000000000001</v>
      </c>
      <c r="P1023">
        <v>2.8073000000000001</v>
      </c>
      <c r="Q1023">
        <v>2.8391000000000002</v>
      </c>
      <c r="R1023">
        <v>2.9117999999999999</v>
      </c>
      <c r="S1023">
        <v>2.9618000000000002</v>
      </c>
      <c r="T1023">
        <v>3.0116999999999998</v>
      </c>
      <c r="U1023">
        <v>3.0617000000000001</v>
      </c>
      <c r="V1023">
        <v>3.1162000000000001</v>
      </c>
      <c r="W1023">
        <v>3.1071</v>
      </c>
      <c r="X1023">
        <v>3.1299000000000001</v>
      </c>
      <c r="Y1023">
        <v>3.1208</v>
      </c>
    </row>
    <row r="1024" spans="1:25" hidden="1">
      <c r="A1024" t="s">
        <v>18807</v>
      </c>
      <c r="B1024" t="s">
        <v>657</v>
      </c>
      <c r="C1024" t="s">
        <v>651</v>
      </c>
      <c r="D1024" t="s">
        <v>621</v>
      </c>
      <c r="E1024" t="s">
        <v>597</v>
      </c>
      <c r="F1024" t="s">
        <v>598</v>
      </c>
      <c r="G1024" t="s">
        <v>478</v>
      </c>
      <c r="H1024" t="s">
        <v>600</v>
      </c>
      <c r="I1024" t="s">
        <v>601</v>
      </c>
      <c r="J1024">
        <v>4.8999999999999998E-3</v>
      </c>
      <c r="K1024">
        <v>4.8999999999999998E-3</v>
      </c>
      <c r="L1024">
        <v>4.8999999999999998E-3</v>
      </c>
      <c r="M1024">
        <v>4.8999999999999998E-3</v>
      </c>
      <c r="N1024">
        <v>4.8999999999999998E-3</v>
      </c>
      <c r="O1024">
        <v>4.8999999999999998E-3</v>
      </c>
      <c r="P1024">
        <v>4.8999999999999998E-3</v>
      </c>
      <c r="Q1024">
        <v>4.8999999999999998E-3</v>
      </c>
      <c r="R1024">
        <v>4.8999999999999998E-3</v>
      </c>
      <c r="S1024">
        <v>4.8999999999999998E-3</v>
      </c>
      <c r="T1024">
        <v>4.8999999999999998E-3</v>
      </c>
      <c r="U1024">
        <v>4.8999999999999998E-3</v>
      </c>
      <c r="V1024">
        <v>4.8999999999999998E-3</v>
      </c>
      <c r="W1024">
        <v>4.8999999999999998E-3</v>
      </c>
      <c r="X1024">
        <v>4.8999999999999998E-3</v>
      </c>
      <c r="Y1024">
        <v>4.8999999999999998E-3</v>
      </c>
    </row>
    <row r="1025" spans="1:25" hidden="1">
      <c r="A1025" t="s">
        <v>18807</v>
      </c>
      <c r="B1025" t="s">
        <v>660</v>
      </c>
      <c r="C1025" t="s">
        <v>651</v>
      </c>
      <c r="D1025" t="s">
        <v>632</v>
      </c>
      <c r="E1025" t="s">
        <v>597</v>
      </c>
      <c r="F1025" t="s">
        <v>598</v>
      </c>
      <c r="G1025" t="s">
        <v>478</v>
      </c>
      <c r="H1025" t="s">
        <v>600</v>
      </c>
      <c r="I1025" t="s">
        <v>601</v>
      </c>
      <c r="J1025">
        <v>7.5300000000000006E-2</v>
      </c>
      <c r="K1025">
        <v>7.5999999999999998E-2</v>
      </c>
      <c r="L1025">
        <v>7.6700000000000004E-2</v>
      </c>
      <c r="M1025">
        <v>7.7399999999999997E-2</v>
      </c>
      <c r="N1025">
        <v>7.8200000000000006E-2</v>
      </c>
      <c r="O1025">
        <v>7.8899999999999998E-2</v>
      </c>
      <c r="P1025">
        <v>7.9600000000000004E-2</v>
      </c>
      <c r="Q1025">
        <v>8.0399999999999999E-2</v>
      </c>
      <c r="R1025">
        <v>8.1100000000000005E-2</v>
      </c>
      <c r="S1025">
        <v>8.1900000000000001E-2</v>
      </c>
      <c r="T1025">
        <v>8.2699999999999996E-2</v>
      </c>
      <c r="U1025">
        <v>8.3400000000000002E-2</v>
      </c>
      <c r="V1025">
        <v>8.4199999999999997E-2</v>
      </c>
      <c r="W1025">
        <v>8.5000000000000006E-2</v>
      </c>
      <c r="X1025">
        <v>8.5800000000000001E-2</v>
      </c>
      <c r="Y1025">
        <v>8.6599999999999996E-2</v>
      </c>
    </row>
    <row r="1026" spans="1:25" hidden="1">
      <c r="A1026" t="s">
        <v>18807</v>
      </c>
      <c r="B1026" t="s">
        <v>662</v>
      </c>
      <c r="C1026" t="s">
        <v>651</v>
      </c>
      <c r="D1026" t="s">
        <v>648</v>
      </c>
      <c r="E1026" t="s">
        <v>649</v>
      </c>
      <c r="F1026" t="s">
        <v>598</v>
      </c>
      <c r="G1026" t="s">
        <v>478</v>
      </c>
      <c r="H1026" t="s">
        <v>600</v>
      </c>
      <c r="I1026" t="s">
        <v>601</v>
      </c>
      <c r="J1026">
        <v>1.41E-2</v>
      </c>
      <c r="K1026">
        <v>1.47E-2</v>
      </c>
      <c r="L1026">
        <v>1.4999999999999999E-2</v>
      </c>
      <c r="M1026">
        <v>1.54E-2</v>
      </c>
      <c r="N1026">
        <v>1.5800000000000002E-2</v>
      </c>
      <c r="O1026">
        <v>1.61E-2</v>
      </c>
      <c r="P1026">
        <v>1.66E-2</v>
      </c>
      <c r="Q1026">
        <v>1.6799999999999999E-2</v>
      </c>
      <c r="R1026">
        <v>1.7299999999999999E-2</v>
      </c>
      <c r="S1026">
        <v>1.77E-2</v>
      </c>
      <c r="T1026">
        <v>1.7899999999999999E-2</v>
      </c>
      <c r="U1026">
        <v>1.84E-2</v>
      </c>
      <c r="V1026">
        <v>1.8700000000000001E-2</v>
      </c>
      <c r="W1026">
        <v>1.9E-2</v>
      </c>
      <c r="X1026">
        <v>1.9300000000000001E-2</v>
      </c>
      <c r="Y1026">
        <v>1.9699999999999999E-2</v>
      </c>
    </row>
    <row r="1027" spans="1:25" hidden="1">
      <c r="A1027" t="s">
        <v>18807</v>
      </c>
      <c r="B1027" t="s">
        <v>663</v>
      </c>
      <c r="C1027" t="s">
        <v>664</v>
      </c>
      <c r="D1027" t="s">
        <v>596</v>
      </c>
      <c r="E1027" t="s">
        <v>597</v>
      </c>
      <c r="F1027" t="s">
        <v>598</v>
      </c>
      <c r="G1027" t="s">
        <v>478</v>
      </c>
      <c r="H1027" t="s">
        <v>600</v>
      </c>
      <c r="I1027" t="s">
        <v>601</v>
      </c>
      <c r="J1027">
        <v>8.0000000000000004E-4</v>
      </c>
      <c r="K1027">
        <v>8.0000000000000004E-4</v>
      </c>
      <c r="L1027">
        <v>8.0000000000000004E-4</v>
      </c>
      <c r="M1027">
        <v>6.9999999999999999E-4</v>
      </c>
      <c r="N1027">
        <v>6.9999999999999999E-4</v>
      </c>
      <c r="O1027">
        <v>6.9999999999999999E-4</v>
      </c>
      <c r="P1027">
        <v>6.9999999999999999E-4</v>
      </c>
      <c r="Q1027">
        <v>6.9999999999999999E-4</v>
      </c>
      <c r="R1027">
        <v>6.9999999999999999E-4</v>
      </c>
      <c r="S1027">
        <v>5.9999999999999995E-4</v>
      </c>
      <c r="T1027">
        <v>5.9999999999999995E-4</v>
      </c>
      <c r="U1027">
        <v>5.9999999999999995E-4</v>
      </c>
      <c r="V1027">
        <v>5.9999999999999995E-4</v>
      </c>
      <c r="W1027">
        <v>5.9999999999999995E-4</v>
      </c>
      <c r="X1027">
        <v>5.9999999999999995E-4</v>
      </c>
      <c r="Y1027">
        <v>5.9999999999999995E-4</v>
      </c>
    </row>
    <row r="1028" spans="1:25" hidden="1">
      <c r="A1028" t="s">
        <v>18807</v>
      </c>
      <c r="B1028" t="s">
        <v>670</v>
      </c>
      <c r="C1028" t="s">
        <v>664</v>
      </c>
      <c r="D1028" t="s">
        <v>671</v>
      </c>
      <c r="E1028" t="s">
        <v>672</v>
      </c>
      <c r="F1028" t="s">
        <v>598</v>
      </c>
      <c r="G1028" t="s">
        <v>478</v>
      </c>
      <c r="H1028" t="s">
        <v>600</v>
      </c>
      <c r="I1028" t="s">
        <v>601</v>
      </c>
      <c r="J1028">
        <v>3.3999999999999998E-3</v>
      </c>
      <c r="K1028">
        <v>3.3999999999999998E-3</v>
      </c>
      <c r="L1028">
        <v>3.3999999999999998E-3</v>
      </c>
      <c r="M1028">
        <v>3.2000000000000002E-3</v>
      </c>
      <c r="N1028">
        <v>3.0999999999999999E-3</v>
      </c>
      <c r="O1028">
        <v>3.0999999999999999E-3</v>
      </c>
      <c r="P1028">
        <v>3.0999999999999999E-3</v>
      </c>
      <c r="Q1028">
        <v>3.0999999999999999E-3</v>
      </c>
      <c r="R1028">
        <v>3.0000000000000001E-3</v>
      </c>
      <c r="S1028">
        <v>2.8999999999999998E-3</v>
      </c>
      <c r="T1028">
        <v>2.8E-3</v>
      </c>
      <c r="U1028">
        <v>2.8E-3</v>
      </c>
      <c r="V1028">
        <v>2.8E-3</v>
      </c>
      <c r="W1028">
        <v>2.7000000000000001E-3</v>
      </c>
      <c r="X1028">
        <v>2.7000000000000001E-3</v>
      </c>
      <c r="Y1028">
        <v>2.5999999999999999E-3</v>
      </c>
    </row>
    <row r="1029" spans="1:25" hidden="1">
      <c r="A1029" t="s">
        <v>18807</v>
      </c>
      <c r="B1029" t="s">
        <v>673</v>
      </c>
      <c r="C1029" t="s">
        <v>664</v>
      </c>
      <c r="D1029" t="s">
        <v>671</v>
      </c>
      <c r="E1029" t="s">
        <v>597</v>
      </c>
      <c r="F1029" t="s">
        <v>598</v>
      </c>
      <c r="G1029" t="s">
        <v>478</v>
      </c>
      <c r="H1029" t="s">
        <v>600</v>
      </c>
      <c r="I1029" t="s">
        <v>601</v>
      </c>
      <c r="J1029">
        <v>3.5999999999999999E-3</v>
      </c>
      <c r="K1029">
        <v>3.5000000000000001E-3</v>
      </c>
      <c r="L1029">
        <v>3.3999999999999998E-3</v>
      </c>
      <c r="M1029">
        <v>3.3999999999999998E-3</v>
      </c>
      <c r="N1029">
        <v>3.3E-3</v>
      </c>
      <c r="O1029">
        <v>3.2000000000000002E-3</v>
      </c>
      <c r="P1029">
        <v>3.0999999999999999E-3</v>
      </c>
      <c r="Q1029">
        <v>3.0999999999999999E-3</v>
      </c>
      <c r="R1029">
        <v>3.0000000000000001E-3</v>
      </c>
      <c r="S1029">
        <v>2.8999999999999998E-3</v>
      </c>
      <c r="T1029">
        <v>2.8999999999999998E-3</v>
      </c>
      <c r="U1029">
        <v>2.8E-3</v>
      </c>
      <c r="V1029">
        <v>2.8E-3</v>
      </c>
      <c r="W1029">
        <v>2.7000000000000001E-3</v>
      </c>
      <c r="X1029">
        <v>2.5999999999999999E-3</v>
      </c>
      <c r="Y1029">
        <v>2.5999999999999999E-3</v>
      </c>
    </row>
    <row r="1030" spans="1:25" hidden="1">
      <c r="A1030" t="s">
        <v>18807</v>
      </c>
      <c r="B1030" t="s">
        <v>683</v>
      </c>
      <c r="C1030" t="s">
        <v>664</v>
      </c>
      <c r="D1030" t="s">
        <v>621</v>
      </c>
      <c r="E1030" t="s">
        <v>672</v>
      </c>
      <c r="F1030" t="s">
        <v>598</v>
      </c>
      <c r="G1030" t="s">
        <v>478</v>
      </c>
      <c r="H1030" t="s">
        <v>600</v>
      </c>
      <c r="I1030" t="s">
        <v>601</v>
      </c>
      <c r="J1030">
        <v>2.5726</v>
      </c>
      <c r="K1030">
        <v>2.516</v>
      </c>
      <c r="L1030">
        <v>2.4607000000000001</v>
      </c>
      <c r="M1030">
        <v>2.4066000000000001</v>
      </c>
      <c r="N1030">
        <v>2.3536000000000001</v>
      </c>
      <c r="O1030">
        <v>2.3018000000000001</v>
      </c>
      <c r="P1030">
        <v>2.2511999999999999</v>
      </c>
      <c r="Q1030">
        <v>2.2017000000000002</v>
      </c>
      <c r="R1030">
        <v>2.1530999999999998</v>
      </c>
      <c r="S1030">
        <v>2.1059000000000001</v>
      </c>
      <c r="T1030">
        <v>2.0594999999999999</v>
      </c>
      <c r="U1030">
        <v>2.0143</v>
      </c>
      <c r="V1030">
        <v>1.9699</v>
      </c>
      <c r="W1030">
        <v>1.9266000000000001</v>
      </c>
      <c r="X1030">
        <v>1.8842000000000001</v>
      </c>
      <c r="Y1030">
        <v>1.8429</v>
      </c>
    </row>
    <row r="1031" spans="1:25" hidden="1">
      <c r="A1031" t="s">
        <v>18807</v>
      </c>
      <c r="B1031" t="s">
        <v>684</v>
      </c>
      <c r="C1031" t="s">
        <v>664</v>
      </c>
      <c r="D1031" t="s">
        <v>621</v>
      </c>
      <c r="E1031" t="s">
        <v>597</v>
      </c>
      <c r="F1031" t="s">
        <v>598</v>
      </c>
      <c r="G1031" t="s">
        <v>478</v>
      </c>
      <c r="H1031" t="s">
        <v>600</v>
      </c>
      <c r="I1031" t="s">
        <v>601</v>
      </c>
      <c r="J1031">
        <v>1.0001</v>
      </c>
      <c r="K1031">
        <v>0.97829999999999995</v>
      </c>
      <c r="L1031">
        <v>0.95650000000000002</v>
      </c>
      <c r="M1031">
        <v>0.93559999999999999</v>
      </c>
      <c r="N1031">
        <v>0.91479999999999995</v>
      </c>
      <c r="O1031">
        <v>0.89470000000000005</v>
      </c>
      <c r="P1031">
        <v>0.87519999999999998</v>
      </c>
      <c r="Q1031">
        <v>0.85589999999999999</v>
      </c>
      <c r="R1031">
        <v>0.83699999999999997</v>
      </c>
      <c r="S1031">
        <v>0.81850000000000001</v>
      </c>
      <c r="T1031">
        <v>0.80069999999999997</v>
      </c>
      <c r="U1031">
        <v>0.78310000000000002</v>
      </c>
      <c r="V1031">
        <v>0.76590000000000003</v>
      </c>
      <c r="W1031">
        <v>0.74909999999999999</v>
      </c>
      <c r="X1031">
        <v>0.73260000000000003</v>
      </c>
      <c r="Y1031">
        <v>0.71650000000000003</v>
      </c>
    </row>
    <row r="1032" spans="1:25" hidden="1">
      <c r="A1032" t="s">
        <v>18807</v>
      </c>
      <c r="B1032" t="s">
        <v>690</v>
      </c>
      <c r="C1032" t="s">
        <v>664</v>
      </c>
      <c r="D1032" t="s">
        <v>621</v>
      </c>
      <c r="E1032" t="s">
        <v>628</v>
      </c>
      <c r="F1032" t="s">
        <v>598</v>
      </c>
      <c r="G1032" t="s">
        <v>478</v>
      </c>
      <c r="H1032" t="s">
        <v>600</v>
      </c>
      <c r="I1032" t="s">
        <v>601</v>
      </c>
      <c r="J1032">
        <v>2E-3</v>
      </c>
      <c r="K1032">
        <v>1.9E-3</v>
      </c>
      <c r="L1032">
        <v>1.9E-3</v>
      </c>
      <c r="M1032">
        <v>1.8E-3</v>
      </c>
      <c r="N1032">
        <v>1.8E-3</v>
      </c>
      <c r="O1032">
        <v>1.8E-3</v>
      </c>
      <c r="P1032">
        <v>1.6999999999999999E-3</v>
      </c>
      <c r="Q1032">
        <v>1.6999999999999999E-3</v>
      </c>
      <c r="R1032">
        <v>1.6999999999999999E-3</v>
      </c>
      <c r="S1032">
        <v>1.6000000000000001E-3</v>
      </c>
      <c r="T1032">
        <v>1.6000000000000001E-3</v>
      </c>
      <c r="U1032">
        <v>1.5E-3</v>
      </c>
      <c r="V1032">
        <v>1.5E-3</v>
      </c>
      <c r="W1032">
        <v>1.5E-3</v>
      </c>
      <c r="X1032">
        <v>1.4E-3</v>
      </c>
      <c r="Y1032">
        <v>1.4E-3</v>
      </c>
    </row>
    <row r="1033" spans="1:25" hidden="1">
      <c r="A1033" t="s">
        <v>18807</v>
      </c>
      <c r="B1033" t="s">
        <v>696</v>
      </c>
      <c r="C1033" t="s">
        <v>664</v>
      </c>
      <c r="D1033" t="s">
        <v>632</v>
      </c>
      <c r="E1033" t="s">
        <v>597</v>
      </c>
      <c r="F1033" t="s">
        <v>598</v>
      </c>
      <c r="G1033" t="s">
        <v>478</v>
      </c>
      <c r="H1033" t="s">
        <v>600</v>
      </c>
      <c r="I1033" t="s">
        <v>601</v>
      </c>
      <c r="J1033">
        <v>4.6199999999999998E-2</v>
      </c>
      <c r="K1033">
        <v>4.5199999999999997E-2</v>
      </c>
      <c r="L1033">
        <v>4.41E-2</v>
      </c>
      <c r="M1033">
        <v>4.3200000000000002E-2</v>
      </c>
      <c r="N1033">
        <v>4.2200000000000001E-2</v>
      </c>
      <c r="O1033">
        <v>4.1300000000000003E-2</v>
      </c>
      <c r="P1033">
        <v>4.0399999999999998E-2</v>
      </c>
      <c r="Q1033">
        <v>3.95E-2</v>
      </c>
      <c r="R1033">
        <v>3.8600000000000002E-2</v>
      </c>
      <c r="S1033">
        <v>3.78E-2</v>
      </c>
      <c r="T1033">
        <v>3.6900000000000002E-2</v>
      </c>
      <c r="U1033">
        <v>3.6200000000000003E-2</v>
      </c>
      <c r="V1033">
        <v>3.5400000000000001E-2</v>
      </c>
      <c r="W1033">
        <v>3.4599999999999999E-2</v>
      </c>
      <c r="X1033">
        <v>3.3799999999999997E-2</v>
      </c>
      <c r="Y1033">
        <v>3.3000000000000002E-2</v>
      </c>
    </row>
    <row r="1034" spans="1:25" hidden="1">
      <c r="A1034" t="s">
        <v>18807</v>
      </c>
      <c r="B1034" t="s">
        <v>700</v>
      </c>
      <c r="C1034" t="s">
        <v>664</v>
      </c>
      <c r="D1034" t="s">
        <v>701</v>
      </c>
      <c r="E1034" t="s">
        <v>672</v>
      </c>
      <c r="F1034" t="s">
        <v>598</v>
      </c>
      <c r="G1034" t="s">
        <v>478</v>
      </c>
      <c r="H1034" t="s">
        <v>600</v>
      </c>
      <c r="I1034" t="s">
        <v>601</v>
      </c>
      <c r="J1034">
        <v>1.46E-2</v>
      </c>
      <c r="K1034">
        <v>1.44E-2</v>
      </c>
      <c r="L1034">
        <v>1.4E-2</v>
      </c>
      <c r="M1034">
        <v>1.37E-2</v>
      </c>
      <c r="N1034">
        <v>1.34E-2</v>
      </c>
      <c r="O1034">
        <v>1.2999999999999999E-2</v>
      </c>
      <c r="P1034">
        <v>1.2800000000000001E-2</v>
      </c>
      <c r="Q1034">
        <v>1.2699999999999999E-2</v>
      </c>
      <c r="R1034">
        <v>1.23E-2</v>
      </c>
      <c r="S1034">
        <v>1.2E-2</v>
      </c>
      <c r="T1034">
        <v>1.17E-2</v>
      </c>
      <c r="U1034">
        <v>1.14E-2</v>
      </c>
      <c r="V1034">
        <v>1.12E-2</v>
      </c>
      <c r="W1034">
        <v>1.09E-2</v>
      </c>
      <c r="X1034">
        <v>1.0800000000000001E-2</v>
      </c>
      <c r="Y1034">
        <v>1.0500000000000001E-2</v>
      </c>
    </row>
    <row r="1035" spans="1:25" hidden="1">
      <c r="A1035" t="s">
        <v>18807</v>
      </c>
      <c r="B1035" t="s">
        <v>702</v>
      </c>
      <c r="C1035" t="s">
        <v>664</v>
      </c>
      <c r="D1035" t="s">
        <v>701</v>
      </c>
      <c r="E1035" t="s">
        <v>597</v>
      </c>
      <c r="F1035" t="s">
        <v>598</v>
      </c>
      <c r="G1035" t="s">
        <v>478</v>
      </c>
      <c r="H1035" t="s">
        <v>600</v>
      </c>
      <c r="I1035" t="s">
        <v>601</v>
      </c>
      <c r="J1035">
        <v>8.3000000000000001E-3</v>
      </c>
      <c r="K1035">
        <v>8.0000000000000002E-3</v>
      </c>
      <c r="L1035">
        <v>7.7999999999999996E-3</v>
      </c>
      <c r="M1035">
        <v>7.7999999999999996E-3</v>
      </c>
      <c r="N1035">
        <v>7.4000000000000003E-3</v>
      </c>
      <c r="O1035">
        <v>7.3000000000000001E-3</v>
      </c>
      <c r="P1035">
        <v>7.1000000000000004E-3</v>
      </c>
      <c r="Q1035">
        <v>7.0000000000000001E-3</v>
      </c>
      <c r="R1035">
        <v>7.0000000000000001E-3</v>
      </c>
      <c r="S1035">
        <v>6.7000000000000002E-3</v>
      </c>
      <c r="T1035">
        <v>6.4999999999999997E-3</v>
      </c>
      <c r="U1035">
        <v>6.4000000000000003E-3</v>
      </c>
      <c r="V1035">
        <v>6.1999999999999998E-3</v>
      </c>
      <c r="W1035">
        <v>6.1000000000000004E-3</v>
      </c>
      <c r="X1035">
        <v>6.0000000000000001E-3</v>
      </c>
      <c r="Y1035">
        <v>5.7999999999999996E-3</v>
      </c>
    </row>
    <row r="1036" spans="1:25" hidden="1">
      <c r="A1036" t="s">
        <v>18807</v>
      </c>
      <c r="B1036" t="s">
        <v>703</v>
      </c>
      <c r="C1036" t="s">
        <v>664</v>
      </c>
      <c r="D1036" t="s">
        <v>704</v>
      </c>
      <c r="E1036" t="s">
        <v>672</v>
      </c>
      <c r="F1036" t="s">
        <v>598</v>
      </c>
      <c r="G1036" t="s">
        <v>478</v>
      </c>
      <c r="H1036" t="s">
        <v>600</v>
      </c>
      <c r="I1036" t="s">
        <v>601</v>
      </c>
      <c r="J1036">
        <v>0.1144</v>
      </c>
      <c r="K1036">
        <v>0.1119</v>
      </c>
      <c r="L1036">
        <v>0.10929999999999999</v>
      </c>
      <c r="M1036">
        <v>0.107</v>
      </c>
      <c r="N1036">
        <v>0.1047</v>
      </c>
      <c r="O1036">
        <v>0.1024</v>
      </c>
      <c r="P1036">
        <v>0.1</v>
      </c>
      <c r="Q1036">
        <v>9.8000000000000004E-2</v>
      </c>
      <c r="R1036">
        <v>9.5799999999999996E-2</v>
      </c>
      <c r="S1036">
        <v>9.3700000000000006E-2</v>
      </c>
      <c r="T1036">
        <v>9.1600000000000001E-2</v>
      </c>
      <c r="U1036">
        <v>8.9499999999999996E-2</v>
      </c>
      <c r="V1036">
        <v>8.7599999999999997E-2</v>
      </c>
      <c r="W1036">
        <v>8.5599999999999996E-2</v>
      </c>
      <c r="X1036">
        <v>8.3799999999999999E-2</v>
      </c>
      <c r="Y1036">
        <v>8.2000000000000003E-2</v>
      </c>
    </row>
    <row r="1037" spans="1:25" hidden="1">
      <c r="A1037" t="s">
        <v>18807</v>
      </c>
      <c r="B1037" t="s">
        <v>705</v>
      </c>
      <c r="C1037" t="s">
        <v>664</v>
      </c>
      <c r="D1037" t="s">
        <v>704</v>
      </c>
      <c r="E1037" t="s">
        <v>597</v>
      </c>
      <c r="F1037" t="s">
        <v>598</v>
      </c>
      <c r="G1037" t="s">
        <v>478</v>
      </c>
      <c r="H1037" t="s">
        <v>600</v>
      </c>
      <c r="I1037" t="s">
        <v>601</v>
      </c>
      <c r="J1037">
        <v>3.61E-2</v>
      </c>
      <c r="K1037">
        <v>3.5299999999999998E-2</v>
      </c>
      <c r="L1037">
        <v>3.4500000000000003E-2</v>
      </c>
      <c r="M1037">
        <v>3.3599999999999998E-2</v>
      </c>
      <c r="N1037">
        <v>3.3000000000000002E-2</v>
      </c>
      <c r="O1037">
        <v>3.2300000000000002E-2</v>
      </c>
      <c r="P1037">
        <v>3.15E-2</v>
      </c>
      <c r="Q1037">
        <v>3.1099999999999999E-2</v>
      </c>
      <c r="R1037">
        <v>3.0200000000000001E-2</v>
      </c>
      <c r="S1037">
        <v>2.9600000000000001E-2</v>
      </c>
      <c r="T1037">
        <v>2.8899999999999999E-2</v>
      </c>
      <c r="U1037">
        <v>2.8199999999999999E-2</v>
      </c>
      <c r="V1037">
        <v>2.75E-2</v>
      </c>
      <c r="W1037">
        <v>2.7099999999999999E-2</v>
      </c>
      <c r="X1037">
        <v>2.64E-2</v>
      </c>
      <c r="Y1037">
        <v>2.58E-2</v>
      </c>
    </row>
    <row r="1038" spans="1:25" hidden="1">
      <c r="A1038" t="s">
        <v>18807</v>
      </c>
      <c r="B1038" t="s">
        <v>707</v>
      </c>
      <c r="C1038" t="s">
        <v>664</v>
      </c>
      <c r="D1038" t="s">
        <v>648</v>
      </c>
      <c r="E1038" t="s">
        <v>672</v>
      </c>
      <c r="F1038" t="s">
        <v>598</v>
      </c>
      <c r="G1038" t="s">
        <v>478</v>
      </c>
      <c r="H1038" t="s">
        <v>600</v>
      </c>
      <c r="I1038" t="s">
        <v>601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</row>
    <row r="1039" spans="1:25" hidden="1">
      <c r="A1039" t="s">
        <v>18807</v>
      </c>
      <c r="B1039" t="s">
        <v>728</v>
      </c>
      <c r="C1039" t="s">
        <v>729</v>
      </c>
      <c r="D1039" t="s">
        <v>596</v>
      </c>
      <c r="E1039" t="s">
        <v>597</v>
      </c>
      <c r="F1039" t="s">
        <v>598</v>
      </c>
      <c r="G1039" t="s">
        <v>478</v>
      </c>
      <c r="H1039" t="s">
        <v>600</v>
      </c>
      <c r="I1039" t="s">
        <v>601</v>
      </c>
      <c r="J1039">
        <v>5.9299999999999999E-2</v>
      </c>
      <c r="K1039">
        <v>5.8200000000000002E-2</v>
      </c>
      <c r="L1039">
        <v>5.7200000000000001E-2</v>
      </c>
      <c r="M1039">
        <v>5.7500000000000002E-2</v>
      </c>
      <c r="N1039">
        <v>5.74E-2</v>
      </c>
      <c r="O1039">
        <v>7.2499999999999995E-2</v>
      </c>
      <c r="P1039">
        <v>7.3400000000000007E-2</v>
      </c>
      <c r="Q1039">
        <v>7.3400000000000007E-2</v>
      </c>
      <c r="R1039">
        <v>7.2800000000000004E-2</v>
      </c>
      <c r="S1039">
        <v>7.2099999999999997E-2</v>
      </c>
      <c r="T1039">
        <v>7.2800000000000004E-2</v>
      </c>
      <c r="U1039">
        <v>7.3099999999999998E-2</v>
      </c>
      <c r="V1039">
        <v>7.4399999999999994E-2</v>
      </c>
      <c r="W1039">
        <v>7.5300000000000006E-2</v>
      </c>
      <c r="X1039">
        <v>7.5700000000000003E-2</v>
      </c>
      <c r="Y1039">
        <v>7.6700000000000004E-2</v>
      </c>
    </row>
    <row r="1040" spans="1:25" hidden="1">
      <c r="A1040" t="s">
        <v>18807</v>
      </c>
      <c r="B1040" t="s">
        <v>732</v>
      </c>
      <c r="C1040" t="s">
        <v>729</v>
      </c>
      <c r="D1040" t="s">
        <v>596</v>
      </c>
      <c r="E1040" t="s">
        <v>603</v>
      </c>
      <c r="F1040" t="s">
        <v>598</v>
      </c>
      <c r="G1040" t="s">
        <v>478</v>
      </c>
      <c r="H1040" t="s">
        <v>600</v>
      </c>
      <c r="I1040" t="s">
        <v>601</v>
      </c>
      <c r="J1040">
        <v>3.8999999999999998E-3</v>
      </c>
      <c r="K1040">
        <v>3.8999999999999998E-3</v>
      </c>
      <c r="L1040">
        <v>3.8999999999999998E-3</v>
      </c>
      <c r="M1040">
        <v>3.8999999999999998E-3</v>
      </c>
      <c r="N1040">
        <v>3.8999999999999998E-3</v>
      </c>
      <c r="O1040">
        <v>3.8999999999999998E-3</v>
      </c>
      <c r="P1040">
        <v>3.8999999999999998E-3</v>
      </c>
      <c r="Q1040">
        <v>3.8999999999999998E-3</v>
      </c>
      <c r="R1040">
        <v>3.8999999999999998E-3</v>
      </c>
      <c r="S1040">
        <v>3.8999999999999998E-3</v>
      </c>
      <c r="T1040">
        <v>3.8999999999999998E-3</v>
      </c>
      <c r="U1040">
        <v>3.8999999999999998E-3</v>
      </c>
      <c r="V1040">
        <v>3.8999999999999998E-3</v>
      </c>
      <c r="W1040">
        <v>3.8999999999999998E-3</v>
      </c>
      <c r="X1040">
        <v>3.8999999999999998E-3</v>
      </c>
      <c r="Y1040">
        <v>3.8999999999999998E-3</v>
      </c>
    </row>
    <row r="1041" spans="1:25" hidden="1">
      <c r="A1041" t="s">
        <v>18807</v>
      </c>
      <c r="B1041" t="s">
        <v>737</v>
      </c>
      <c r="C1041" t="s">
        <v>729</v>
      </c>
      <c r="D1041" t="s">
        <v>596</v>
      </c>
      <c r="E1041" t="s">
        <v>615</v>
      </c>
      <c r="F1041" t="s">
        <v>598</v>
      </c>
      <c r="G1041" t="s">
        <v>478</v>
      </c>
      <c r="H1041" t="s">
        <v>600</v>
      </c>
      <c r="I1041" t="s">
        <v>601</v>
      </c>
      <c r="J1041">
        <v>1E-4</v>
      </c>
      <c r="K1041">
        <v>1E-4</v>
      </c>
      <c r="L1041">
        <v>1E-4</v>
      </c>
      <c r="M1041">
        <v>1E-4</v>
      </c>
      <c r="N1041">
        <v>1E-4</v>
      </c>
      <c r="O1041">
        <v>1E-4</v>
      </c>
      <c r="P1041">
        <v>1E-4</v>
      </c>
      <c r="Q1041">
        <v>1E-4</v>
      </c>
      <c r="R1041">
        <v>1E-4</v>
      </c>
      <c r="S1041">
        <v>1E-4</v>
      </c>
      <c r="T1041">
        <v>1E-4</v>
      </c>
      <c r="U1041">
        <v>1E-4</v>
      </c>
      <c r="V1041">
        <v>1E-4</v>
      </c>
      <c r="W1041">
        <v>1E-4</v>
      </c>
      <c r="X1041">
        <v>1E-4</v>
      </c>
      <c r="Y1041">
        <v>1E-4</v>
      </c>
    </row>
    <row r="1042" spans="1:25" hidden="1">
      <c r="A1042" t="s">
        <v>18807</v>
      </c>
      <c r="B1042" t="s">
        <v>738</v>
      </c>
      <c r="C1042" t="s">
        <v>729</v>
      </c>
      <c r="D1042" t="s">
        <v>596</v>
      </c>
      <c r="E1042" t="s">
        <v>617</v>
      </c>
      <c r="F1042" t="s">
        <v>598</v>
      </c>
      <c r="G1042" t="s">
        <v>478</v>
      </c>
      <c r="H1042" t="s">
        <v>600</v>
      </c>
      <c r="I1042" t="s">
        <v>601</v>
      </c>
      <c r="J1042">
        <v>1.9582999999999999</v>
      </c>
      <c r="K1042">
        <v>2.0379999999999998</v>
      </c>
      <c r="L1042">
        <v>2.0968</v>
      </c>
      <c r="M1042">
        <v>2.1518999999999999</v>
      </c>
      <c r="N1042">
        <v>2.2111999999999998</v>
      </c>
      <c r="O1042">
        <v>2.2730999999999999</v>
      </c>
      <c r="P1042">
        <v>2.3334999999999999</v>
      </c>
      <c r="Q1042">
        <v>2.3923999999999999</v>
      </c>
      <c r="R1042">
        <v>2.4500999999999999</v>
      </c>
      <c r="S1042">
        <v>2.5110000000000001</v>
      </c>
      <c r="T1042">
        <v>2.5697000000000001</v>
      </c>
      <c r="U1042">
        <v>2.6267999999999998</v>
      </c>
      <c r="V1042">
        <v>2.6839</v>
      </c>
      <c r="W1042">
        <v>2.7454000000000001</v>
      </c>
      <c r="X1042">
        <v>2.8067000000000002</v>
      </c>
      <c r="Y1042">
        <v>2.8691</v>
      </c>
    </row>
    <row r="1043" spans="1:25" hidden="1">
      <c r="A1043" t="s">
        <v>18807</v>
      </c>
      <c r="B1043" t="s">
        <v>739</v>
      </c>
      <c r="C1043" t="s">
        <v>729</v>
      </c>
      <c r="D1043" t="s">
        <v>596</v>
      </c>
      <c r="E1043" t="s">
        <v>628</v>
      </c>
      <c r="F1043" t="s">
        <v>598</v>
      </c>
      <c r="G1043" t="s">
        <v>478</v>
      </c>
      <c r="H1043" t="s">
        <v>600</v>
      </c>
      <c r="I1043" t="s">
        <v>601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hidden="1">
      <c r="A1044" t="s">
        <v>18807</v>
      </c>
      <c r="B1044" t="s">
        <v>740</v>
      </c>
      <c r="C1044" t="s">
        <v>729</v>
      </c>
      <c r="D1044" t="s">
        <v>596</v>
      </c>
      <c r="E1044" t="s">
        <v>619</v>
      </c>
      <c r="F1044" t="s">
        <v>598</v>
      </c>
      <c r="G1044" t="s">
        <v>478</v>
      </c>
      <c r="H1044" t="s">
        <v>600</v>
      </c>
      <c r="I1044" t="s">
        <v>601</v>
      </c>
      <c r="J1044">
        <v>1.6999999999999999E-3</v>
      </c>
      <c r="K1044">
        <v>1.6999999999999999E-3</v>
      </c>
      <c r="L1044">
        <v>1.6999999999999999E-3</v>
      </c>
      <c r="M1044">
        <v>1.6999999999999999E-3</v>
      </c>
      <c r="N1044">
        <v>1.6999999999999999E-3</v>
      </c>
      <c r="O1044">
        <v>1.6999999999999999E-3</v>
      </c>
      <c r="P1044">
        <v>1.6999999999999999E-3</v>
      </c>
      <c r="Q1044">
        <v>1.6999999999999999E-3</v>
      </c>
      <c r="R1044">
        <v>1.6999999999999999E-3</v>
      </c>
      <c r="S1044">
        <v>1.6999999999999999E-3</v>
      </c>
      <c r="T1044">
        <v>1.6999999999999999E-3</v>
      </c>
      <c r="U1044">
        <v>1.6999999999999999E-3</v>
      </c>
      <c r="V1044">
        <v>1.6999999999999999E-3</v>
      </c>
      <c r="W1044">
        <v>1.6999999999999999E-3</v>
      </c>
      <c r="X1044">
        <v>1.6999999999999999E-3</v>
      </c>
      <c r="Y1044">
        <v>1.6999999999999999E-3</v>
      </c>
    </row>
    <row r="1045" spans="1:25" hidden="1">
      <c r="A1045" t="s">
        <v>18807</v>
      </c>
      <c r="B1045" t="s">
        <v>745</v>
      </c>
      <c r="C1045" t="s">
        <v>729</v>
      </c>
      <c r="D1045" t="s">
        <v>671</v>
      </c>
      <c r="E1045" t="s">
        <v>597</v>
      </c>
      <c r="F1045" t="s">
        <v>598</v>
      </c>
      <c r="G1045" t="s">
        <v>478</v>
      </c>
      <c r="H1045" t="s">
        <v>600</v>
      </c>
      <c r="I1045" t="s">
        <v>601</v>
      </c>
      <c r="J1045">
        <v>2.75E-2</v>
      </c>
      <c r="K1045">
        <v>2.6800000000000001E-2</v>
      </c>
      <c r="L1045">
        <v>2.64E-2</v>
      </c>
      <c r="M1045">
        <v>2.6599999999999999E-2</v>
      </c>
      <c r="N1045">
        <v>2.6499999999999999E-2</v>
      </c>
      <c r="O1045">
        <v>2.6499999999999999E-2</v>
      </c>
      <c r="P1045">
        <v>2.6800000000000001E-2</v>
      </c>
      <c r="Q1045">
        <v>2.6800000000000001E-2</v>
      </c>
      <c r="R1045">
        <v>2.6499999999999999E-2</v>
      </c>
      <c r="S1045">
        <v>2.63E-2</v>
      </c>
      <c r="T1045">
        <v>2.64E-2</v>
      </c>
      <c r="U1045">
        <v>2.6599999999999999E-2</v>
      </c>
      <c r="V1045">
        <v>2.6800000000000001E-2</v>
      </c>
      <c r="W1045">
        <v>2.7099999999999999E-2</v>
      </c>
      <c r="X1045">
        <v>2.7099999999999999E-2</v>
      </c>
      <c r="Y1045">
        <v>2.7300000000000001E-2</v>
      </c>
    </row>
    <row r="1046" spans="1:25" hidden="1">
      <c r="A1046" t="s">
        <v>18807</v>
      </c>
      <c r="B1046" t="s">
        <v>746</v>
      </c>
      <c r="C1046" t="s">
        <v>729</v>
      </c>
      <c r="D1046" t="s">
        <v>671</v>
      </c>
      <c r="E1046" t="s">
        <v>642</v>
      </c>
      <c r="F1046" t="s">
        <v>598</v>
      </c>
      <c r="G1046" t="s">
        <v>478</v>
      </c>
      <c r="H1046" t="s">
        <v>600</v>
      </c>
      <c r="I1046" t="s">
        <v>601</v>
      </c>
      <c r="J1046">
        <v>1.46E-2</v>
      </c>
      <c r="K1046">
        <v>1.46E-2</v>
      </c>
      <c r="L1046">
        <v>1.46E-2</v>
      </c>
      <c r="M1046">
        <v>1.46E-2</v>
      </c>
      <c r="N1046">
        <v>1.46E-2</v>
      </c>
      <c r="O1046">
        <v>1.46E-2</v>
      </c>
      <c r="P1046">
        <v>1.46E-2</v>
      </c>
      <c r="Q1046">
        <v>1.46E-2</v>
      </c>
      <c r="R1046">
        <v>1.46E-2</v>
      </c>
      <c r="S1046">
        <v>1.46E-2</v>
      </c>
      <c r="T1046">
        <v>1.46E-2</v>
      </c>
      <c r="U1046">
        <v>1.46E-2</v>
      </c>
      <c r="V1046">
        <v>1.46E-2</v>
      </c>
      <c r="W1046">
        <v>1.46E-2</v>
      </c>
      <c r="X1046">
        <v>1.46E-2</v>
      </c>
      <c r="Y1046">
        <v>1.46E-2</v>
      </c>
    </row>
    <row r="1047" spans="1:25" hidden="1">
      <c r="A1047" t="s">
        <v>18807</v>
      </c>
      <c r="B1047" t="s">
        <v>747</v>
      </c>
      <c r="C1047" t="s">
        <v>729</v>
      </c>
      <c r="D1047" t="s">
        <v>671</v>
      </c>
      <c r="E1047" t="s">
        <v>605</v>
      </c>
      <c r="F1047" t="s">
        <v>598</v>
      </c>
      <c r="G1047" t="s">
        <v>478</v>
      </c>
      <c r="H1047" t="s">
        <v>600</v>
      </c>
      <c r="I1047" t="s">
        <v>601</v>
      </c>
      <c r="J1047">
        <v>1E-4</v>
      </c>
      <c r="K1047">
        <v>1E-4</v>
      </c>
      <c r="L1047">
        <v>1E-4</v>
      </c>
      <c r="M1047">
        <v>1E-4</v>
      </c>
      <c r="N1047">
        <v>1E-4</v>
      </c>
      <c r="O1047">
        <v>1E-4</v>
      </c>
      <c r="P1047">
        <v>1E-4</v>
      </c>
      <c r="Q1047">
        <v>1E-4</v>
      </c>
      <c r="R1047">
        <v>1E-4</v>
      </c>
      <c r="S1047">
        <v>1E-4</v>
      </c>
      <c r="T1047">
        <v>1E-4</v>
      </c>
      <c r="U1047">
        <v>1E-4</v>
      </c>
      <c r="V1047">
        <v>1E-4</v>
      </c>
      <c r="W1047">
        <v>1E-4</v>
      </c>
      <c r="X1047">
        <v>1E-4</v>
      </c>
      <c r="Y1047">
        <v>1E-4</v>
      </c>
    </row>
    <row r="1048" spans="1:25" hidden="1">
      <c r="A1048" t="s">
        <v>18807</v>
      </c>
      <c r="B1048" t="s">
        <v>748</v>
      </c>
      <c r="C1048" t="s">
        <v>729</v>
      </c>
      <c r="D1048" t="s">
        <v>671</v>
      </c>
      <c r="E1048" t="s">
        <v>619</v>
      </c>
      <c r="F1048" t="s">
        <v>598</v>
      </c>
      <c r="G1048" t="s">
        <v>478</v>
      </c>
      <c r="H1048" t="s">
        <v>600</v>
      </c>
      <c r="I1048" t="s">
        <v>601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hidden="1">
      <c r="A1049" t="s">
        <v>18807</v>
      </c>
      <c r="B1049" t="s">
        <v>749</v>
      </c>
      <c r="C1049" t="s">
        <v>729</v>
      </c>
      <c r="D1049" t="s">
        <v>671</v>
      </c>
      <c r="E1049" t="s">
        <v>750</v>
      </c>
      <c r="F1049" t="s">
        <v>598</v>
      </c>
      <c r="G1049" t="s">
        <v>478</v>
      </c>
      <c r="H1049" t="s">
        <v>600</v>
      </c>
      <c r="I1049" t="s">
        <v>601</v>
      </c>
      <c r="J1049">
        <v>2.9999999999999997E-4</v>
      </c>
      <c r="K1049">
        <v>2.9999999999999997E-4</v>
      </c>
      <c r="L1049">
        <v>2.9999999999999997E-4</v>
      </c>
      <c r="M1049">
        <v>2.9999999999999997E-4</v>
      </c>
      <c r="N1049">
        <v>2.9999999999999997E-4</v>
      </c>
      <c r="O1049">
        <v>2.9999999999999997E-4</v>
      </c>
      <c r="P1049">
        <v>2.9999999999999997E-4</v>
      </c>
      <c r="Q1049">
        <v>2.9999999999999997E-4</v>
      </c>
      <c r="R1049">
        <v>2.9999999999999997E-4</v>
      </c>
      <c r="S1049">
        <v>2.9999999999999997E-4</v>
      </c>
      <c r="T1049">
        <v>2.9999999999999997E-4</v>
      </c>
      <c r="U1049">
        <v>2.9999999999999997E-4</v>
      </c>
      <c r="V1049">
        <v>2.9999999999999997E-4</v>
      </c>
      <c r="W1049">
        <v>2.9999999999999997E-4</v>
      </c>
      <c r="X1049">
        <v>2.9999999999999997E-4</v>
      </c>
      <c r="Y1049">
        <v>2.9999999999999997E-4</v>
      </c>
    </row>
    <row r="1050" spans="1:25" hidden="1">
      <c r="A1050" t="s">
        <v>18807</v>
      </c>
      <c r="B1050" t="s">
        <v>752</v>
      </c>
      <c r="C1050" t="s">
        <v>729</v>
      </c>
      <c r="D1050" t="s">
        <v>753</v>
      </c>
      <c r="E1050" t="s">
        <v>597</v>
      </c>
      <c r="F1050" t="s">
        <v>598</v>
      </c>
      <c r="G1050" t="s">
        <v>478</v>
      </c>
      <c r="H1050" t="s">
        <v>600</v>
      </c>
      <c r="I1050" t="s">
        <v>601</v>
      </c>
      <c r="J1050">
        <v>7.4000000000000003E-3</v>
      </c>
      <c r="K1050">
        <v>7.4000000000000003E-3</v>
      </c>
      <c r="L1050">
        <v>7.4000000000000003E-3</v>
      </c>
      <c r="M1050">
        <v>7.4000000000000003E-3</v>
      </c>
      <c r="N1050">
        <v>7.4000000000000003E-3</v>
      </c>
      <c r="O1050">
        <v>7.4000000000000003E-3</v>
      </c>
      <c r="P1050">
        <v>7.4000000000000003E-3</v>
      </c>
      <c r="Q1050">
        <v>7.4000000000000003E-3</v>
      </c>
      <c r="R1050">
        <v>7.4000000000000003E-3</v>
      </c>
      <c r="S1050">
        <v>7.4000000000000003E-3</v>
      </c>
      <c r="T1050">
        <v>7.4000000000000003E-3</v>
      </c>
      <c r="U1050">
        <v>7.4000000000000003E-3</v>
      </c>
      <c r="V1050">
        <v>7.4000000000000003E-3</v>
      </c>
      <c r="W1050">
        <v>7.4000000000000003E-3</v>
      </c>
      <c r="X1050">
        <v>7.4000000000000003E-3</v>
      </c>
      <c r="Y1050">
        <v>7.4000000000000003E-3</v>
      </c>
    </row>
    <row r="1051" spans="1:25" hidden="1">
      <c r="A1051" t="s">
        <v>18807</v>
      </c>
      <c r="B1051" t="s">
        <v>754</v>
      </c>
      <c r="C1051" t="s">
        <v>729</v>
      </c>
      <c r="D1051" t="s">
        <v>753</v>
      </c>
      <c r="E1051" t="s">
        <v>642</v>
      </c>
      <c r="F1051" t="s">
        <v>598</v>
      </c>
      <c r="G1051" t="s">
        <v>478</v>
      </c>
      <c r="H1051" t="s">
        <v>600</v>
      </c>
      <c r="I1051" t="s">
        <v>601</v>
      </c>
      <c r="J1051">
        <v>4.0000000000000002E-4</v>
      </c>
      <c r="K1051">
        <v>4.0000000000000002E-4</v>
      </c>
      <c r="L1051">
        <v>4.0000000000000002E-4</v>
      </c>
      <c r="M1051">
        <v>4.0000000000000002E-4</v>
      </c>
      <c r="N1051">
        <v>4.0000000000000002E-4</v>
      </c>
      <c r="O1051">
        <v>4.0000000000000002E-4</v>
      </c>
      <c r="P1051">
        <v>4.0000000000000002E-4</v>
      </c>
      <c r="Q1051">
        <v>4.0000000000000002E-4</v>
      </c>
      <c r="R1051">
        <v>4.0000000000000002E-4</v>
      </c>
      <c r="S1051">
        <v>4.0000000000000002E-4</v>
      </c>
      <c r="T1051">
        <v>4.0000000000000002E-4</v>
      </c>
      <c r="U1051">
        <v>4.0000000000000002E-4</v>
      </c>
      <c r="V1051">
        <v>4.0000000000000002E-4</v>
      </c>
      <c r="W1051">
        <v>4.0000000000000002E-4</v>
      </c>
      <c r="X1051">
        <v>4.0000000000000002E-4</v>
      </c>
      <c r="Y1051">
        <v>4.0000000000000002E-4</v>
      </c>
    </row>
    <row r="1052" spans="1:25" hidden="1">
      <c r="A1052" t="s">
        <v>18807</v>
      </c>
      <c r="B1052" t="s">
        <v>755</v>
      </c>
      <c r="C1052" t="s">
        <v>729</v>
      </c>
      <c r="D1052" t="s">
        <v>756</v>
      </c>
      <c r="E1052" t="s">
        <v>597</v>
      </c>
      <c r="F1052" t="s">
        <v>598</v>
      </c>
      <c r="G1052" t="s">
        <v>478</v>
      </c>
      <c r="H1052" t="s">
        <v>600</v>
      </c>
      <c r="I1052" t="s">
        <v>601</v>
      </c>
      <c r="J1052">
        <v>1E-3</v>
      </c>
      <c r="K1052">
        <v>1E-3</v>
      </c>
      <c r="L1052">
        <v>1E-3</v>
      </c>
      <c r="M1052">
        <v>1E-3</v>
      </c>
      <c r="N1052">
        <v>1E-3</v>
      </c>
      <c r="O1052">
        <v>1E-3</v>
      </c>
      <c r="P1052">
        <v>1E-3</v>
      </c>
      <c r="Q1052">
        <v>1E-3</v>
      </c>
      <c r="R1052">
        <v>1E-3</v>
      </c>
      <c r="S1052">
        <v>1E-3</v>
      </c>
      <c r="T1052">
        <v>1E-3</v>
      </c>
      <c r="U1052">
        <v>1E-3</v>
      </c>
      <c r="V1052">
        <v>1E-3</v>
      </c>
      <c r="W1052">
        <v>1E-3</v>
      </c>
      <c r="X1052">
        <v>1E-3</v>
      </c>
      <c r="Y1052">
        <v>1E-3</v>
      </c>
    </row>
    <row r="1053" spans="1:25" hidden="1">
      <c r="A1053" t="s">
        <v>18807</v>
      </c>
      <c r="B1053" t="s">
        <v>758</v>
      </c>
      <c r="C1053" t="s">
        <v>729</v>
      </c>
      <c r="D1053" t="s">
        <v>756</v>
      </c>
      <c r="E1053" t="s">
        <v>656</v>
      </c>
      <c r="F1053" t="s">
        <v>598</v>
      </c>
      <c r="G1053" t="s">
        <v>478</v>
      </c>
      <c r="H1053" t="s">
        <v>600</v>
      </c>
      <c r="I1053" t="s">
        <v>601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</row>
    <row r="1054" spans="1:25" hidden="1">
      <c r="A1054" t="s">
        <v>18807</v>
      </c>
      <c r="B1054" t="s">
        <v>760</v>
      </c>
      <c r="C1054" t="s">
        <v>729</v>
      </c>
      <c r="D1054" t="s">
        <v>621</v>
      </c>
      <c r="E1054" t="s">
        <v>649</v>
      </c>
      <c r="F1054" t="s">
        <v>598</v>
      </c>
      <c r="G1054" t="s">
        <v>478</v>
      </c>
      <c r="H1054" t="s">
        <v>600</v>
      </c>
      <c r="I1054" t="s">
        <v>601</v>
      </c>
      <c r="J1054">
        <v>4.1099999999999998E-2</v>
      </c>
      <c r="K1054">
        <v>4.1099999999999998E-2</v>
      </c>
      <c r="L1054">
        <v>4.1099999999999998E-2</v>
      </c>
      <c r="M1054">
        <v>4.1099999999999998E-2</v>
      </c>
      <c r="N1054">
        <v>4.1099999999999998E-2</v>
      </c>
      <c r="O1054">
        <v>4.1099999999999998E-2</v>
      </c>
      <c r="P1054">
        <v>4.1099999999999998E-2</v>
      </c>
      <c r="Q1054">
        <v>4.1099999999999998E-2</v>
      </c>
      <c r="R1054">
        <v>4.1099999999999998E-2</v>
      </c>
      <c r="S1054">
        <v>4.1099999999999998E-2</v>
      </c>
      <c r="T1054">
        <v>4.1099999999999998E-2</v>
      </c>
      <c r="U1054">
        <v>4.1099999999999998E-2</v>
      </c>
      <c r="V1054">
        <v>4.1099999999999998E-2</v>
      </c>
      <c r="W1054">
        <v>4.1099999999999998E-2</v>
      </c>
      <c r="X1054">
        <v>4.1099999999999998E-2</v>
      </c>
      <c r="Y1054">
        <v>4.1099999999999998E-2</v>
      </c>
    </row>
    <row r="1055" spans="1:25" hidden="1">
      <c r="A1055" t="s">
        <v>18807</v>
      </c>
      <c r="B1055" t="s">
        <v>761</v>
      </c>
      <c r="C1055" t="s">
        <v>729</v>
      </c>
      <c r="D1055" t="s">
        <v>621</v>
      </c>
      <c r="E1055" t="s">
        <v>597</v>
      </c>
      <c r="F1055" t="s">
        <v>598</v>
      </c>
      <c r="G1055" t="s">
        <v>478</v>
      </c>
      <c r="H1055" t="s">
        <v>600</v>
      </c>
      <c r="I1055" t="s">
        <v>601</v>
      </c>
      <c r="J1055">
        <v>0.82609999999999995</v>
      </c>
      <c r="K1055">
        <v>0.81259999999999999</v>
      </c>
      <c r="L1055">
        <v>0.79690000000000005</v>
      </c>
      <c r="M1055">
        <v>0.80389999999999995</v>
      </c>
      <c r="N1055">
        <v>0.87219999999999998</v>
      </c>
      <c r="O1055">
        <v>0.86890000000000001</v>
      </c>
      <c r="P1055">
        <v>0.87270000000000003</v>
      </c>
      <c r="Q1055">
        <v>0.873</v>
      </c>
      <c r="R1055">
        <v>0.86739999999999995</v>
      </c>
      <c r="S1055">
        <v>0.86180000000000001</v>
      </c>
      <c r="T1055">
        <v>0.87109999999999999</v>
      </c>
      <c r="U1055">
        <v>0.88119999999999998</v>
      </c>
      <c r="V1055">
        <v>0.8972</v>
      </c>
      <c r="W1055">
        <v>0.91410000000000002</v>
      </c>
      <c r="X1055">
        <v>0.92279999999999995</v>
      </c>
      <c r="Y1055">
        <v>0.93959999999999999</v>
      </c>
    </row>
    <row r="1056" spans="1:25" hidden="1">
      <c r="A1056" t="s">
        <v>18807</v>
      </c>
      <c r="B1056" t="s">
        <v>762</v>
      </c>
      <c r="C1056" t="s">
        <v>729</v>
      </c>
      <c r="D1056" t="s">
        <v>621</v>
      </c>
      <c r="E1056" t="s">
        <v>642</v>
      </c>
      <c r="F1056" t="s">
        <v>598</v>
      </c>
      <c r="G1056" t="s">
        <v>478</v>
      </c>
      <c r="H1056" t="s">
        <v>600</v>
      </c>
      <c r="I1056" t="s">
        <v>601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hidden="1">
      <c r="A1057" t="s">
        <v>18807</v>
      </c>
      <c r="B1057" t="s">
        <v>764</v>
      </c>
      <c r="C1057" t="s">
        <v>729</v>
      </c>
      <c r="D1057" t="s">
        <v>621</v>
      </c>
      <c r="E1057" t="s">
        <v>603</v>
      </c>
      <c r="F1057" t="s">
        <v>598</v>
      </c>
      <c r="G1057" t="s">
        <v>478</v>
      </c>
      <c r="H1057" t="s">
        <v>600</v>
      </c>
      <c r="I1057" t="s">
        <v>601</v>
      </c>
      <c r="J1057">
        <v>1E-4</v>
      </c>
      <c r="K1057">
        <v>1E-4</v>
      </c>
      <c r="L1057">
        <v>1E-4</v>
      </c>
      <c r="M1057">
        <v>1E-4</v>
      </c>
      <c r="N1057">
        <v>1E-4</v>
      </c>
      <c r="O1057">
        <v>1E-4</v>
      </c>
      <c r="P1057">
        <v>1E-4</v>
      </c>
      <c r="Q1057">
        <v>1E-4</v>
      </c>
      <c r="R1057">
        <v>1E-4</v>
      </c>
      <c r="S1057">
        <v>1E-4</v>
      </c>
      <c r="T1057">
        <v>1E-4</v>
      </c>
      <c r="U1057">
        <v>1E-4</v>
      </c>
      <c r="V1057">
        <v>1E-4</v>
      </c>
      <c r="W1057">
        <v>1E-4</v>
      </c>
      <c r="X1057">
        <v>1E-4</v>
      </c>
      <c r="Y1057">
        <v>1E-4</v>
      </c>
    </row>
    <row r="1058" spans="1:25" hidden="1">
      <c r="A1058" t="s">
        <v>18807</v>
      </c>
      <c r="B1058" t="s">
        <v>765</v>
      </c>
      <c r="C1058" t="s">
        <v>729</v>
      </c>
      <c r="D1058" t="s">
        <v>621</v>
      </c>
      <c r="E1058" t="s">
        <v>605</v>
      </c>
      <c r="F1058" t="s">
        <v>598</v>
      </c>
      <c r="G1058" t="s">
        <v>478</v>
      </c>
      <c r="H1058" t="s">
        <v>600</v>
      </c>
      <c r="I1058" t="s">
        <v>601</v>
      </c>
      <c r="J1058">
        <v>1E-4</v>
      </c>
      <c r="K1058">
        <v>1E-4</v>
      </c>
      <c r="L1058">
        <v>1E-4</v>
      </c>
      <c r="M1058">
        <v>1E-4</v>
      </c>
      <c r="N1058">
        <v>1E-4</v>
      </c>
      <c r="O1058">
        <v>1E-4</v>
      </c>
      <c r="P1058">
        <v>1E-4</v>
      </c>
      <c r="Q1058">
        <v>1E-4</v>
      </c>
      <c r="R1058">
        <v>1E-4</v>
      </c>
      <c r="S1058">
        <v>1E-4</v>
      </c>
      <c r="T1058">
        <v>1E-4</v>
      </c>
      <c r="U1058">
        <v>1E-4</v>
      </c>
      <c r="V1058">
        <v>1E-4</v>
      </c>
      <c r="W1058">
        <v>1E-4</v>
      </c>
      <c r="X1058">
        <v>1E-4</v>
      </c>
      <c r="Y1058">
        <v>1E-4</v>
      </c>
    </row>
    <row r="1059" spans="1:25" hidden="1">
      <c r="A1059" t="s">
        <v>18807</v>
      </c>
      <c r="B1059" t="s">
        <v>769</v>
      </c>
      <c r="C1059" t="s">
        <v>729</v>
      </c>
      <c r="D1059" t="s">
        <v>621</v>
      </c>
      <c r="E1059" t="s">
        <v>626</v>
      </c>
      <c r="F1059" t="s">
        <v>598</v>
      </c>
      <c r="G1059" t="s">
        <v>478</v>
      </c>
      <c r="H1059" t="s">
        <v>600</v>
      </c>
      <c r="I1059" t="s">
        <v>601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hidden="1">
      <c r="A1060" t="s">
        <v>18807</v>
      </c>
      <c r="B1060" t="s">
        <v>770</v>
      </c>
      <c r="C1060" t="s">
        <v>729</v>
      </c>
      <c r="D1060" t="s">
        <v>621</v>
      </c>
      <c r="E1060" t="s">
        <v>628</v>
      </c>
      <c r="F1060" t="s">
        <v>598</v>
      </c>
      <c r="G1060" t="s">
        <v>478</v>
      </c>
      <c r="H1060" t="s">
        <v>600</v>
      </c>
      <c r="I1060" t="s">
        <v>601</v>
      </c>
      <c r="J1060">
        <v>0.17730000000000001</v>
      </c>
      <c r="K1060">
        <v>0.1774</v>
      </c>
      <c r="L1060">
        <v>0.1774</v>
      </c>
      <c r="M1060">
        <v>0.17749999999999999</v>
      </c>
      <c r="N1060">
        <v>0.17749999999999999</v>
      </c>
      <c r="O1060">
        <v>0.17760000000000001</v>
      </c>
      <c r="P1060">
        <v>0.1777</v>
      </c>
      <c r="Q1060">
        <v>0.1777</v>
      </c>
      <c r="R1060">
        <v>0.17780000000000001</v>
      </c>
      <c r="S1060">
        <v>0.1779</v>
      </c>
      <c r="T1060">
        <v>0.1779</v>
      </c>
      <c r="U1060">
        <v>0.17799999999999999</v>
      </c>
      <c r="V1060">
        <v>0.17799999999999999</v>
      </c>
      <c r="W1060">
        <v>0.17810000000000001</v>
      </c>
      <c r="X1060">
        <v>0.1782</v>
      </c>
      <c r="Y1060">
        <v>0.1782</v>
      </c>
    </row>
    <row r="1061" spans="1:25" hidden="1">
      <c r="A1061" t="s">
        <v>18807</v>
      </c>
      <c r="B1061" t="s">
        <v>785</v>
      </c>
      <c r="C1061" t="s">
        <v>729</v>
      </c>
      <c r="D1061" t="s">
        <v>640</v>
      </c>
      <c r="E1061" t="s">
        <v>597</v>
      </c>
      <c r="F1061" t="s">
        <v>598</v>
      </c>
      <c r="G1061" t="s">
        <v>478</v>
      </c>
      <c r="H1061" t="s">
        <v>600</v>
      </c>
      <c r="I1061" t="s">
        <v>601</v>
      </c>
      <c r="J1061">
        <v>7.3400000000000007E-2</v>
      </c>
      <c r="K1061">
        <v>7.22E-2</v>
      </c>
      <c r="L1061">
        <v>7.0800000000000002E-2</v>
      </c>
      <c r="M1061">
        <v>7.1400000000000005E-2</v>
      </c>
      <c r="N1061">
        <v>7.7200000000000005E-2</v>
      </c>
      <c r="O1061">
        <v>7.6799999999999993E-2</v>
      </c>
      <c r="P1061">
        <v>7.7299999999999994E-2</v>
      </c>
      <c r="Q1061">
        <v>7.7299999999999994E-2</v>
      </c>
      <c r="R1061">
        <v>7.6700000000000004E-2</v>
      </c>
      <c r="S1061">
        <v>7.6100000000000001E-2</v>
      </c>
      <c r="T1061">
        <v>7.6899999999999996E-2</v>
      </c>
      <c r="U1061">
        <v>7.7899999999999997E-2</v>
      </c>
      <c r="V1061">
        <v>7.9200000000000007E-2</v>
      </c>
      <c r="W1061">
        <v>8.0600000000000005E-2</v>
      </c>
      <c r="X1061">
        <v>8.1299999999999997E-2</v>
      </c>
      <c r="Y1061">
        <v>8.2799999999999999E-2</v>
      </c>
    </row>
    <row r="1062" spans="1:25" hidden="1">
      <c r="A1062" t="s">
        <v>18807</v>
      </c>
      <c r="B1062" t="s">
        <v>786</v>
      </c>
      <c r="C1062" t="s">
        <v>729</v>
      </c>
      <c r="D1062" t="s">
        <v>640</v>
      </c>
      <c r="E1062" t="s">
        <v>642</v>
      </c>
      <c r="F1062" t="s">
        <v>598</v>
      </c>
      <c r="G1062" t="s">
        <v>478</v>
      </c>
      <c r="H1062" t="s">
        <v>600</v>
      </c>
      <c r="I1062" t="s">
        <v>601</v>
      </c>
      <c r="J1062">
        <v>1E-3</v>
      </c>
      <c r="K1062">
        <v>1E-3</v>
      </c>
      <c r="L1062">
        <v>1E-3</v>
      </c>
      <c r="M1062">
        <v>1E-3</v>
      </c>
      <c r="N1062">
        <v>1E-3</v>
      </c>
      <c r="O1062">
        <v>1E-3</v>
      </c>
      <c r="P1062">
        <v>1E-3</v>
      </c>
      <c r="Q1062">
        <v>1E-3</v>
      </c>
      <c r="R1062">
        <v>1E-3</v>
      </c>
      <c r="S1062">
        <v>1E-3</v>
      </c>
      <c r="T1062">
        <v>1E-3</v>
      </c>
      <c r="U1062">
        <v>1E-3</v>
      </c>
      <c r="V1062">
        <v>1E-3</v>
      </c>
      <c r="W1062">
        <v>1E-3</v>
      </c>
      <c r="X1062">
        <v>1E-3</v>
      </c>
      <c r="Y1062">
        <v>1E-3</v>
      </c>
    </row>
    <row r="1063" spans="1:25" hidden="1">
      <c r="A1063" t="s">
        <v>18807</v>
      </c>
      <c r="B1063" t="s">
        <v>795</v>
      </c>
      <c r="C1063" t="s">
        <v>729</v>
      </c>
      <c r="D1063" t="s">
        <v>648</v>
      </c>
      <c r="E1063" t="s">
        <v>597</v>
      </c>
      <c r="F1063" t="s">
        <v>598</v>
      </c>
      <c r="G1063" t="s">
        <v>478</v>
      </c>
      <c r="H1063" t="s">
        <v>600</v>
      </c>
      <c r="I1063" t="s">
        <v>601</v>
      </c>
      <c r="J1063">
        <v>2.0045999999999999</v>
      </c>
      <c r="K1063">
        <v>1.9732000000000001</v>
      </c>
      <c r="L1063">
        <v>1.9554</v>
      </c>
      <c r="M1063">
        <v>1.9725999999999999</v>
      </c>
      <c r="N1063">
        <v>2.0653999999999999</v>
      </c>
      <c r="O1063">
        <v>2.0579999999999998</v>
      </c>
      <c r="P1063">
        <v>2.0678000000000001</v>
      </c>
      <c r="Q1063">
        <v>2.0869</v>
      </c>
      <c r="R1063">
        <v>2.0829</v>
      </c>
      <c r="S1063">
        <v>2.0699000000000001</v>
      </c>
      <c r="T1063">
        <v>2.0869</v>
      </c>
      <c r="U1063">
        <v>2.1101999999999999</v>
      </c>
      <c r="V1063">
        <v>2.1415999999999999</v>
      </c>
      <c r="W1063">
        <v>2.1783999999999999</v>
      </c>
      <c r="X1063">
        <v>2.1960000000000002</v>
      </c>
      <c r="Y1063">
        <v>2.2309999999999999</v>
      </c>
    </row>
    <row r="1064" spans="1:25" hidden="1">
      <c r="A1064" t="s">
        <v>18807</v>
      </c>
      <c r="B1064" t="s">
        <v>796</v>
      </c>
      <c r="C1064" t="s">
        <v>729</v>
      </c>
      <c r="D1064" t="s">
        <v>648</v>
      </c>
      <c r="E1064" t="s">
        <v>642</v>
      </c>
      <c r="F1064" t="s">
        <v>598</v>
      </c>
      <c r="G1064" t="s">
        <v>478</v>
      </c>
      <c r="H1064" t="s">
        <v>600</v>
      </c>
      <c r="I1064" t="s">
        <v>601</v>
      </c>
      <c r="J1064">
        <v>4.4900000000000002E-2</v>
      </c>
      <c r="K1064">
        <v>4.4900000000000002E-2</v>
      </c>
      <c r="L1064">
        <v>4.4900000000000002E-2</v>
      </c>
      <c r="M1064">
        <v>4.4900000000000002E-2</v>
      </c>
      <c r="N1064">
        <v>4.4900000000000002E-2</v>
      </c>
      <c r="O1064">
        <v>4.4900000000000002E-2</v>
      </c>
      <c r="P1064">
        <v>4.4900000000000002E-2</v>
      </c>
      <c r="Q1064">
        <v>4.4900000000000002E-2</v>
      </c>
      <c r="R1064">
        <v>4.4900000000000002E-2</v>
      </c>
      <c r="S1064">
        <v>4.4900000000000002E-2</v>
      </c>
      <c r="T1064">
        <v>4.4900000000000002E-2</v>
      </c>
      <c r="U1064">
        <v>4.4900000000000002E-2</v>
      </c>
      <c r="V1064">
        <v>4.4900000000000002E-2</v>
      </c>
      <c r="W1064">
        <v>4.4900000000000002E-2</v>
      </c>
      <c r="X1064">
        <v>4.4900000000000002E-2</v>
      </c>
      <c r="Y1064">
        <v>4.4900000000000002E-2</v>
      </c>
    </row>
    <row r="1065" spans="1:25" hidden="1">
      <c r="A1065" t="s">
        <v>18807</v>
      </c>
      <c r="B1065" t="s">
        <v>798</v>
      </c>
      <c r="C1065" t="s">
        <v>729</v>
      </c>
      <c r="D1065" t="s">
        <v>648</v>
      </c>
      <c r="E1065" t="s">
        <v>799</v>
      </c>
      <c r="F1065" t="s">
        <v>598</v>
      </c>
      <c r="G1065" t="s">
        <v>478</v>
      </c>
      <c r="H1065" t="s">
        <v>600</v>
      </c>
      <c r="I1065" t="s">
        <v>601</v>
      </c>
      <c r="J1065">
        <v>8.0000000000000004E-4</v>
      </c>
      <c r="K1065">
        <v>8.0000000000000004E-4</v>
      </c>
      <c r="L1065">
        <v>8.0000000000000004E-4</v>
      </c>
      <c r="M1065">
        <v>8.0000000000000004E-4</v>
      </c>
      <c r="N1065">
        <v>8.0000000000000004E-4</v>
      </c>
      <c r="O1065">
        <v>8.0000000000000004E-4</v>
      </c>
      <c r="P1065">
        <v>8.0000000000000004E-4</v>
      </c>
      <c r="Q1065">
        <v>8.0000000000000004E-4</v>
      </c>
      <c r="R1065">
        <v>8.0000000000000004E-4</v>
      </c>
      <c r="S1065">
        <v>8.0000000000000004E-4</v>
      </c>
      <c r="T1065">
        <v>8.0000000000000004E-4</v>
      </c>
      <c r="U1065">
        <v>8.0000000000000004E-4</v>
      </c>
      <c r="V1065">
        <v>8.0000000000000004E-4</v>
      </c>
      <c r="W1065">
        <v>8.0000000000000004E-4</v>
      </c>
      <c r="X1065">
        <v>8.0000000000000004E-4</v>
      </c>
      <c r="Y1065">
        <v>8.0000000000000004E-4</v>
      </c>
    </row>
    <row r="1066" spans="1:25" hidden="1">
      <c r="A1066" t="s">
        <v>18807</v>
      </c>
      <c r="B1066" t="s">
        <v>800</v>
      </c>
      <c r="C1066" t="s">
        <v>729</v>
      </c>
      <c r="D1066" t="s">
        <v>648</v>
      </c>
      <c r="E1066" t="s">
        <v>688</v>
      </c>
      <c r="F1066" t="s">
        <v>598</v>
      </c>
      <c r="G1066" t="s">
        <v>478</v>
      </c>
      <c r="H1066" t="s">
        <v>600</v>
      </c>
      <c r="I1066" t="s">
        <v>601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hidden="1">
      <c r="A1067" t="s">
        <v>18807</v>
      </c>
      <c r="B1067" t="s">
        <v>801</v>
      </c>
      <c r="C1067" t="s">
        <v>729</v>
      </c>
      <c r="D1067" t="s">
        <v>648</v>
      </c>
      <c r="E1067" t="s">
        <v>619</v>
      </c>
      <c r="F1067" t="s">
        <v>598</v>
      </c>
      <c r="G1067" t="s">
        <v>478</v>
      </c>
      <c r="H1067" t="s">
        <v>600</v>
      </c>
      <c r="I1067" t="s">
        <v>601</v>
      </c>
      <c r="J1067">
        <v>4.9500000000000002E-2</v>
      </c>
      <c r="K1067">
        <v>5.3999999999999999E-2</v>
      </c>
      <c r="L1067">
        <v>5.3999999999999999E-2</v>
      </c>
      <c r="M1067">
        <v>5.3999999999999999E-2</v>
      </c>
      <c r="N1067">
        <v>5.3999999999999999E-2</v>
      </c>
      <c r="O1067">
        <v>5.3999999999999999E-2</v>
      </c>
      <c r="P1067">
        <v>5.3999999999999999E-2</v>
      </c>
      <c r="Q1067">
        <v>5.3999999999999999E-2</v>
      </c>
      <c r="R1067">
        <v>5.3999999999999999E-2</v>
      </c>
      <c r="S1067">
        <v>5.3999999999999999E-2</v>
      </c>
      <c r="T1067">
        <v>5.3999999999999999E-2</v>
      </c>
      <c r="U1067">
        <v>5.3999999999999999E-2</v>
      </c>
      <c r="V1067">
        <v>5.3999999999999999E-2</v>
      </c>
      <c r="W1067">
        <v>4.9500000000000002E-2</v>
      </c>
      <c r="X1067">
        <v>4.9500000000000002E-2</v>
      </c>
      <c r="Y1067">
        <v>4.9500000000000002E-2</v>
      </c>
    </row>
    <row r="1068" spans="1:25" hidden="1">
      <c r="A1068" t="s">
        <v>18807</v>
      </c>
      <c r="B1068" t="s">
        <v>802</v>
      </c>
      <c r="C1068" t="s">
        <v>729</v>
      </c>
      <c r="D1068" t="s">
        <v>648</v>
      </c>
      <c r="E1068" t="s">
        <v>676</v>
      </c>
      <c r="F1068" t="s">
        <v>598</v>
      </c>
      <c r="G1068" t="s">
        <v>478</v>
      </c>
      <c r="H1068" t="s">
        <v>600</v>
      </c>
      <c r="I1068" t="s">
        <v>601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hidden="1">
      <c r="A1069" t="s">
        <v>18807</v>
      </c>
      <c r="B1069" t="s">
        <v>803</v>
      </c>
      <c r="C1069" t="s">
        <v>804</v>
      </c>
      <c r="D1069" t="s">
        <v>596</v>
      </c>
      <c r="E1069" t="s">
        <v>597</v>
      </c>
      <c r="F1069" t="s">
        <v>598</v>
      </c>
      <c r="G1069" t="s">
        <v>478</v>
      </c>
      <c r="H1069" t="s">
        <v>600</v>
      </c>
      <c r="I1069" t="s">
        <v>601</v>
      </c>
      <c r="J1069">
        <v>0.28460000000000002</v>
      </c>
      <c r="K1069">
        <v>0.28029999999999999</v>
      </c>
      <c r="L1069">
        <v>0.26989999999999997</v>
      </c>
      <c r="M1069">
        <v>0.27189999999999998</v>
      </c>
      <c r="N1069">
        <v>0.27050000000000002</v>
      </c>
      <c r="O1069">
        <v>0.26960000000000001</v>
      </c>
      <c r="P1069">
        <v>0.26229999999999998</v>
      </c>
      <c r="Q1069">
        <v>0.25929999999999997</v>
      </c>
      <c r="R1069">
        <v>0.25600000000000001</v>
      </c>
      <c r="S1069">
        <v>0.25240000000000001</v>
      </c>
      <c r="T1069">
        <v>0.25019999999999998</v>
      </c>
      <c r="U1069">
        <v>0.24829999999999999</v>
      </c>
      <c r="V1069">
        <v>0.24790000000000001</v>
      </c>
      <c r="W1069">
        <v>0.24740000000000001</v>
      </c>
      <c r="X1069">
        <v>0.245</v>
      </c>
      <c r="Y1069">
        <v>0.24429999999999999</v>
      </c>
    </row>
    <row r="1070" spans="1:25" hidden="1">
      <c r="A1070" t="s">
        <v>18807</v>
      </c>
      <c r="B1070" t="s">
        <v>805</v>
      </c>
      <c r="C1070" t="s">
        <v>804</v>
      </c>
      <c r="D1070" t="s">
        <v>596</v>
      </c>
      <c r="E1070" t="s">
        <v>603</v>
      </c>
      <c r="F1070" t="s">
        <v>598</v>
      </c>
      <c r="G1070" t="s">
        <v>478</v>
      </c>
      <c r="H1070" t="s">
        <v>600</v>
      </c>
      <c r="I1070" t="s">
        <v>601</v>
      </c>
      <c r="J1070">
        <v>1.4999999999999999E-2</v>
      </c>
      <c r="K1070">
        <v>1.4999999999999999E-2</v>
      </c>
      <c r="L1070">
        <v>1.5100000000000001E-2</v>
      </c>
      <c r="M1070">
        <v>1.5100000000000001E-2</v>
      </c>
      <c r="N1070">
        <v>1.52E-2</v>
      </c>
      <c r="O1070">
        <v>1.52E-2</v>
      </c>
      <c r="P1070">
        <v>1.52E-2</v>
      </c>
      <c r="Q1070">
        <v>1.52E-2</v>
      </c>
      <c r="R1070">
        <v>1.5100000000000001E-2</v>
      </c>
      <c r="S1070">
        <v>1.5599999999999999E-2</v>
      </c>
      <c r="T1070">
        <v>1.55E-2</v>
      </c>
      <c r="U1070">
        <v>1.55E-2</v>
      </c>
      <c r="V1070">
        <v>1.55E-2</v>
      </c>
      <c r="W1070">
        <v>1.54E-2</v>
      </c>
      <c r="X1070">
        <v>1.54E-2</v>
      </c>
      <c r="Y1070">
        <v>1.54E-2</v>
      </c>
    </row>
    <row r="1071" spans="1:25" hidden="1">
      <c r="A1071" t="s">
        <v>18807</v>
      </c>
      <c r="B1071" t="s">
        <v>812</v>
      </c>
      <c r="C1071" t="s">
        <v>804</v>
      </c>
      <c r="D1071" t="s">
        <v>596</v>
      </c>
      <c r="E1071" t="s">
        <v>619</v>
      </c>
      <c r="F1071" t="s">
        <v>598</v>
      </c>
      <c r="G1071" t="s">
        <v>478</v>
      </c>
      <c r="H1071" t="s">
        <v>600</v>
      </c>
      <c r="I1071" t="s">
        <v>601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hidden="1">
      <c r="A1072" t="s">
        <v>18807</v>
      </c>
      <c r="B1072" t="s">
        <v>815</v>
      </c>
      <c r="C1072" t="s">
        <v>804</v>
      </c>
      <c r="D1072" t="s">
        <v>671</v>
      </c>
      <c r="E1072" t="s">
        <v>597</v>
      </c>
      <c r="F1072" t="s">
        <v>598</v>
      </c>
      <c r="G1072" t="s">
        <v>478</v>
      </c>
      <c r="H1072" t="s">
        <v>600</v>
      </c>
      <c r="I1072" t="s">
        <v>601</v>
      </c>
      <c r="J1072">
        <v>2.8199999999999999E-2</v>
      </c>
      <c r="K1072">
        <v>2.8000000000000001E-2</v>
      </c>
      <c r="L1072">
        <v>2.75E-2</v>
      </c>
      <c r="M1072">
        <v>2.7E-2</v>
      </c>
      <c r="N1072">
        <v>2.6700000000000002E-2</v>
      </c>
      <c r="O1072">
        <v>2.6700000000000002E-2</v>
      </c>
      <c r="P1072">
        <v>2.6499999999999999E-2</v>
      </c>
      <c r="Q1072">
        <v>2.6200000000000001E-2</v>
      </c>
      <c r="R1072">
        <v>2.52E-2</v>
      </c>
      <c r="S1072">
        <v>2.4899999999999999E-2</v>
      </c>
      <c r="T1072">
        <v>2.4799999999999999E-2</v>
      </c>
      <c r="U1072">
        <v>2.46E-2</v>
      </c>
      <c r="V1072">
        <v>2.46E-2</v>
      </c>
      <c r="W1072">
        <v>2.4400000000000002E-2</v>
      </c>
      <c r="X1072">
        <v>2.41E-2</v>
      </c>
      <c r="Y1072">
        <v>2.4E-2</v>
      </c>
    </row>
    <row r="1073" spans="1:25" hidden="1">
      <c r="A1073" t="s">
        <v>18807</v>
      </c>
      <c r="B1073" t="s">
        <v>816</v>
      </c>
      <c r="C1073" t="s">
        <v>804</v>
      </c>
      <c r="D1073" t="s">
        <v>671</v>
      </c>
      <c r="E1073" t="s">
        <v>642</v>
      </c>
      <c r="F1073" t="s">
        <v>598</v>
      </c>
      <c r="G1073" t="s">
        <v>478</v>
      </c>
      <c r="H1073" t="s">
        <v>600</v>
      </c>
      <c r="I1073" t="s">
        <v>601</v>
      </c>
      <c r="J1073">
        <v>1.01E-2</v>
      </c>
      <c r="K1073">
        <v>1.01E-2</v>
      </c>
      <c r="L1073">
        <v>1.0200000000000001E-2</v>
      </c>
      <c r="M1073">
        <v>1.0200000000000001E-2</v>
      </c>
      <c r="N1073">
        <v>1.0200000000000001E-2</v>
      </c>
      <c r="O1073">
        <v>1.0200000000000001E-2</v>
      </c>
      <c r="P1073">
        <v>1.0200000000000001E-2</v>
      </c>
      <c r="Q1073">
        <v>1.0200000000000001E-2</v>
      </c>
      <c r="R1073">
        <v>1.0200000000000001E-2</v>
      </c>
      <c r="S1073">
        <v>1.0500000000000001E-2</v>
      </c>
      <c r="T1073">
        <v>1.0500000000000001E-2</v>
      </c>
      <c r="U1073">
        <v>1.0500000000000001E-2</v>
      </c>
      <c r="V1073">
        <v>1.0500000000000001E-2</v>
      </c>
      <c r="W1073">
        <v>1.0500000000000001E-2</v>
      </c>
      <c r="X1073">
        <v>1.0500000000000001E-2</v>
      </c>
      <c r="Y1073">
        <v>1.04E-2</v>
      </c>
    </row>
    <row r="1074" spans="1:25" hidden="1">
      <c r="A1074" t="s">
        <v>18807</v>
      </c>
      <c r="B1074" t="s">
        <v>817</v>
      </c>
      <c r="C1074" t="s">
        <v>804</v>
      </c>
      <c r="D1074" t="s">
        <v>671</v>
      </c>
      <c r="E1074" t="s">
        <v>750</v>
      </c>
      <c r="F1074" t="s">
        <v>598</v>
      </c>
      <c r="G1074" t="s">
        <v>478</v>
      </c>
      <c r="H1074" t="s">
        <v>600</v>
      </c>
      <c r="I1074" t="s">
        <v>601</v>
      </c>
      <c r="J1074">
        <v>2.0000000000000001E-4</v>
      </c>
      <c r="K1074">
        <v>2.0000000000000001E-4</v>
      </c>
      <c r="L1074">
        <v>2.0000000000000001E-4</v>
      </c>
      <c r="M1074">
        <v>2.0000000000000001E-4</v>
      </c>
      <c r="N1074">
        <v>2.0000000000000001E-4</v>
      </c>
      <c r="O1074">
        <v>2.0000000000000001E-4</v>
      </c>
      <c r="P1074">
        <v>2.0000000000000001E-4</v>
      </c>
      <c r="Q1074">
        <v>2.0000000000000001E-4</v>
      </c>
      <c r="R1074">
        <v>2.0000000000000001E-4</v>
      </c>
      <c r="S1074">
        <v>2.0000000000000001E-4</v>
      </c>
      <c r="T1074">
        <v>2.0000000000000001E-4</v>
      </c>
      <c r="U1074">
        <v>2.0000000000000001E-4</v>
      </c>
      <c r="V1074">
        <v>2.0000000000000001E-4</v>
      </c>
      <c r="W1074">
        <v>2.0000000000000001E-4</v>
      </c>
      <c r="X1074">
        <v>2.0000000000000001E-4</v>
      </c>
      <c r="Y1074">
        <v>2.0000000000000001E-4</v>
      </c>
    </row>
    <row r="1075" spans="1:25" hidden="1">
      <c r="A1075" t="s">
        <v>18807</v>
      </c>
      <c r="B1075" t="s">
        <v>819</v>
      </c>
      <c r="C1075" t="s">
        <v>804</v>
      </c>
      <c r="D1075" t="s">
        <v>756</v>
      </c>
      <c r="E1075" t="s">
        <v>597</v>
      </c>
      <c r="F1075" t="s">
        <v>598</v>
      </c>
      <c r="G1075" t="s">
        <v>478</v>
      </c>
      <c r="H1075" t="s">
        <v>600</v>
      </c>
      <c r="I1075" t="s">
        <v>601</v>
      </c>
      <c r="J1075">
        <v>5.0000000000000001E-4</v>
      </c>
      <c r="K1075">
        <v>5.0000000000000001E-4</v>
      </c>
      <c r="L1075">
        <v>5.0000000000000001E-4</v>
      </c>
      <c r="M1075">
        <v>4.0000000000000002E-4</v>
      </c>
      <c r="N1075">
        <v>4.0000000000000002E-4</v>
      </c>
      <c r="O1075">
        <v>4.0000000000000002E-4</v>
      </c>
      <c r="P1075">
        <v>4.0000000000000002E-4</v>
      </c>
      <c r="Q1075">
        <v>4.0000000000000002E-4</v>
      </c>
      <c r="R1075">
        <v>4.0000000000000002E-4</v>
      </c>
      <c r="S1075">
        <v>4.0000000000000002E-4</v>
      </c>
      <c r="T1075">
        <v>4.0000000000000002E-4</v>
      </c>
      <c r="U1075">
        <v>4.0000000000000002E-4</v>
      </c>
      <c r="V1075">
        <v>4.0000000000000002E-4</v>
      </c>
      <c r="W1075">
        <v>4.0000000000000002E-4</v>
      </c>
      <c r="X1075">
        <v>4.0000000000000002E-4</v>
      </c>
      <c r="Y1075">
        <v>4.0000000000000002E-4</v>
      </c>
    </row>
    <row r="1076" spans="1:25" hidden="1">
      <c r="A1076" t="s">
        <v>18807</v>
      </c>
      <c r="B1076" t="s">
        <v>820</v>
      </c>
      <c r="C1076" t="s">
        <v>804</v>
      </c>
      <c r="D1076" t="s">
        <v>621</v>
      </c>
      <c r="E1076" t="s">
        <v>597</v>
      </c>
      <c r="F1076" t="s">
        <v>598</v>
      </c>
      <c r="G1076" t="s">
        <v>478</v>
      </c>
      <c r="H1076" t="s">
        <v>600</v>
      </c>
      <c r="I1076" t="s">
        <v>601</v>
      </c>
      <c r="J1076">
        <v>2.0000000000000001E-4</v>
      </c>
      <c r="K1076">
        <v>2.0000000000000001E-4</v>
      </c>
      <c r="L1076">
        <v>2.0000000000000001E-4</v>
      </c>
      <c r="M1076">
        <v>2.0000000000000001E-4</v>
      </c>
      <c r="N1076">
        <v>2.0000000000000001E-4</v>
      </c>
      <c r="O1076">
        <v>2.0000000000000001E-4</v>
      </c>
      <c r="P1076">
        <v>2.0000000000000001E-4</v>
      </c>
      <c r="Q1076">
        <v>2.0000000000000001E-4</v>
      </c>
      <c r="R1076">
        <v>2.0000000000000001E-4</v>
      </c>
      <c r="S1076">
        <v>2.0000000000000001E-4</v>
      </c>
      <c r="T1076">
        <v>2.0000000000000001E-4</v>
      </c>
      <c r="U1076">
        <v>2.0000000000000001E-4</v>
      </c>
      <c r="V1076">
        <v>2.0000000000000001E-4</v>
      </c>
      <c r="W1076">
        <v>2.0000000000000001E-4</v>
      </c>
      <c r="X1076">
        <v>2.0000000000000001E-4</v>
      </c>
      <c r="Y1076">
        <v>2.0000000000000001E-4</v>
      </c>
    </row>
    <row r="1077" spans="1:25" hidden="1">
      <c r="A1077" t="s">
        <v>18807</v>
      </c>
      <c r="B1077" t="s">
        <v>825</v>
      </c>
      <c r="C1077" t="s">
        <v>804</v>
      </c>
      <c r="D1077" t="s">
        <v>621</v>
      </c>
      <c r="E1077" t="s">
        <v>628</v>
      </c>
      <c r="F1077" t="s">
        <v>598</v>
      </c>
      <c r="G1077" t="s">
        <v>478</v>
      </c>
      <c r="H1077" t="s">
        <v>600</v>
      </c>
      <c r="I1077" t="s">
        <v>601</v>
      </c>
      <c r="J1077">
        <v>1E-4</v>
      </c>
      <c r="K1077">
        <v>1E-4</v>
      </c>
      <c r="L1077">
        <v>1E-4</v>
      </c>
      <c r="M1077">
        <v>1E-4</v>
      </c>
      <c r="N1077">
        <v>1E-4</v>
      </c>
      <c r="O1077">
        <v>1E-4</v>
      </c>
      <c r="P1077">
        <v>1E-4</v>
      </c>
      <c r="Q1077">
        <v>1E-4</v>
      </c>
      <c r="R1077">
        <v>1E-4</v>
      </c>
      <c r="S1077">
        <v>1E-4</v>
      </c>
      <c r="T1077">
        <v>1E-4</v>
      </c>
      <c r="U1077">
        <v>1E-4</v>
      </c>
      <c r="V1077">
        <v>1E-4</v>
      </c>
      <c r="W1077">
        <v>1E-4</v>
      </c>
      <c r="X1077">
        <v>1E-4</v>
      </c>
      <c r="Y1077">
        <v>1E-4</v>
      </c>
    </row>
    <row r="1078" spans="1:25" hidden="1">
      <c r="A1078" t="s">
        <v>18807</v>
      </c>
      <c r="B1078" t="s">
        <v>826</v>
      </c>
      <c r="C1078" t="s">
        <v>804</v>
      </c>
      <c r="D1078" t="s">
        <v>621</v>
      </c>
      <c r="E1078" t="s">
        <v>638</v>
      </c>
      <c r="F1078" t="s">
        <v>598</v>
      </c>
      <c r="G1078" t="s">
        <v>478</v>
      </c>
      <c r="H1078" t="s">
        <v>600</v>
      </c>
      <c r="I1078" t="s">
        <v>601</v>
      </c>
      <c r="J1078">
        <v>1E-4</v>
      </c>
      <c r="K1078">
        <v>1E-4</v>
      </c>
      <c r="L1078">
        <v>1E-4</v>
      </c>
      <c r="M1078">
        <v>1E-4</v>
      </c>
      <c r="N1078">
        <v>1E-4</v>
      </c>
      <c r="O1078">
        <v>1E-4</v>
      </c>
      <c r="P1078">
        <v>1E-4</v>
      </c>
      <c r="Q1078">
        <v>1E-4</v>
      </c>
      <c r="R1078">
        <v>1E-4</v>
      </c>
      <c r="S1078">
        <v>1E-4</v>
      </c>
      <c r="T1078">
        <v>1E-4</v>
      </c>
      <c r="U1078">
        <v>1E-4</v>
      </c>
      <c r="V1078">
        <v>1E-4</v>
      </c>
      <c r="W1078">
        <v>1E-4</v>
      </c>
      <c r="X1078">
        <v>1E-4</v>
      </c>
      <c r="Y1078">
        <v>1E-4</v>
      </c>
    </row>
    <row r="1079" spans="1:25" hidden="1">
      <c r="A1079" t="s">
        <v>18807</v>
      </c>
      <c r="B1079" t="s">
        <v>827</v>
      </c>
      <c r="C1079" t="s">
        <v>804</v>
      </c>
      <c r="D1079" t="s">
        <v>828</v>
      </c>
      <c r="E1079" t="s">
        <v>597</v>
      </c>
      <c r="F1079" t="s">
        <v>598</v>
      </c>
      <c r="G1079" t="s">
        <v>478</v>
      </c>
      <c r="H1079" t="s">
        <v>600</v>
      </c>
      <c r="I1079" t="s">
        <v>601</v>
      </c>
      <c r="J1079">
        <v>3.4700000000000002E-2</v>
      </c>
      <c r="K1079">
        <v>3.5000000000000003E-2</v>
      </c>
      <c r="L1079">
        <v>3.4500000000000003E-2</v>
      </c>
      <c r="M1079">
        <v>3.49E-2</v>
      </c>
      <c r="N1079">
        <v>3.4700000000000002E-2</v>
      </c>
      <c r="O1079">
        <v>3.4500000000000003E-2</v>
      </c>
      <c r="P1079">
        <v>3.4299999999999997E-2</v>
      </c>
      <c r="Q1079">
        <v>3.39E-2</v>
      </c>
      <c r="R1079">
        <v>3.3599999999999998E-2</v>
      </c>
      <c r="S1079">
        <v>3.3099999999999997E-2</v>
      </c>
      <c r="T1079">
        <v>3.3000000000000002E-2</v>
      </c>
      <c r="U1079">
        <v>3.2800000000000003E-2</v>
      </c>
      <c r="V1079">
        <v>3.2899999999999999E-2</v>
      </c>
      <c r="W1079">
        <v>3.3000000000000002E-2</v>
      </c>
      <c r="X1079">
        <v>3.27E-2</v>
      </c>
      <c r="Y1079">
        <v>3.27E-2</v>
      </c>
    </row>
    <row r="1080" spans="1:25" hidden="1">
      <c r="A1080" t="s">
        <v>18807</v>
      </c>
      <c r="B1080" t="s">
        <v>830</v>
      </c>
      <c r="C1080" t="s">
        <v>804</v>
      </c>
      <c r="D1080" t="s">
        <v>828</v>
      </c>
      <c r="E1080" t="s">
        <v>628</v>
      </c>
      <c r="F1080" t="s">
        <v>831</v>
      </c>
      <c r="G1080" t="s">
        <v>478</v>
      </c>
      <c r="H1080" t="s">
        <v>600</v>
      </c>
      <c r="I1080" t="s">
        <v>601</v>
      </c>
      <c r="J1080">
        <v>1.6837</v>
      </c>
      <c r="K1080">
        <v>0.73419999999999996</v>
      </c>
      <c r="L1080">
        <v>0.65769999999999995</v>
      </c>
      <c r="M1080">
        <v>0.61399999999999999</v>
      </c>
      <c r="N1080">
        <v>0.60460000000000003</v>
      </c>
      <c r="O1080">
        <v>0.59799999999999998</v>
      </c>
      <c r="P1080">
        <v>0.59050000000000002</v>
      </c>
      <c r="Q1080">
        <v>0.58230000000000004</v>
      </c>
      <c r="R1080">
        <v>0.57240000000000002</v>
      </c>
      <c r="S1080">
        <v>0.56200000000000006</v>
      </c>
      <c r="T1080">
        <v>0.55049999999999999</v>
      </c>
      <c r="U1080">
        <v>0.53600000000000003</v>
      </c>
      <c r="V1080">
        <v>0.52029999999999998</v>
      </c>
      <c r="W1080">
        <v>0.50139999999999996</v>
      </c>
      <c r="X1080">
        <v>0.47949999999999998</v>
      </c>
      <c r="Y1080">
        <v>0.45800000000000002</v>
      </c>
    </row>
    <row r="1081" spans="1:25" hidden="1">
      <c r="A1081" t="s">
        <v>18807</v>
      </c>
      <c r="B1081" t="s">
        <v>832</v>
      </c>
      <c r="C1081" t="s">
        <v>804</v>
      </c>
      <c r="D1081" t="s">
        <v>828</v>
      </c>
      <c r="E1081" t="s">
        <v>628</v>
      </c>
      <c r="F1081" t="s">
        <v>833</v>
      </c>
      <c r="G1081" t="s">
        <v>478</v>
      </c>
      <c r="H1081" t="s">
        <v>600</v>
      </c>
      <c r="I1081" t="s">
        <v>601</v>
      </c>
      <c r="J1081">
        <v>1.3196000000000001</v>
      </c>
      <c r="K1081">
        <v>1.2515000000000001</v>
      </c>
      <c r="L1081">
        <v>1.1842999999999999</v>
      </c>
      <c r="M1081">
        <v>1.1173999999999999</v>
      </c>
      <c r="N1081">
        <v>1.0492999999999999</v>
      </c>
      <c r="O1081">
        <v>0.97870000000000001</v>
      </c>
      <c r="P1081">
        <v>0.90629999999999999</v>
      </c>
      <c r="Q1081">
        <v>0.83660000000000001</v>
      </c>
      <c r="R1081">
        <v>0.77039999999999997</v>
      </c>
      <c r="S1081">
        <v>0.71130000000000004</v>
      </c>
      <c r="T1081">
        <v>0.65820000000000001</v>
      </c>
      <c r="U1081">
        <v>0.60840000000000005</v>
      </c>
      <c r="V1081">
        <v>0.56210000000000004</v>
      </c>
      <c r="W1081">
        <v>0.51949999999999996</v>
      </c>
      <c r="X1081">
        <v>0.4803</v>
      </c>
      <c r="Y1081">
        <v>0.44359999999999999</v>
      </c>
    </row>
    <row r="1082" spans="1:25" hidden="1">
      <c r="A1082" t="s">
        <v>18807</v>
      </c>
      <c r="B1082" t="s">
        <v>834</v>
      </c>
      <c r="C1082" t="s">
        <v>804</v>
      </c>
      <c r="D1082" t="s">
        <v>632</v>
      </c>
      <c r="E1082" t="s">
        <v>597</v>
      </c>
      <c r="F1082" t="s">
        <v>598</v>
      </c>
      <c r="G1082" t="s">
        <v>478</v>
      </c>
      <c r="H1082" t="s">
        <v>600</v>
      </c>
      <c r="I1082" t="s">
        <v>601</v>
      </c>
      <c r="J1082">
        <v>6.9999999999999999E-4</v>
      </c>
      <c r="K1082">
        <v>6.9999999999999999E-4</v>
      </c>
      <c r="L1082">
        <v>6.9999999999999999E-4</v>
      </c>
      <c r="M1082">
        <v>6.9999999999999999E-4</v>
      </c>
      <c r="N1082">
        <v>6.9999999999999999E-4</v>
      </c>
      <c r="O1082">
        <v>6.9999999999999999E-4</v>
      </c>
      <c r="P1082">
        <v>5.9999999999999995E-4</v>
      </c>
      <c r="Q1082">
        <v>5.9999999999999995E-4</v>
      </c>
      <c r="R1082">
        <v>5.9999999999999995E-4</v>
      </c>
      <c r="S1082">
        <v>5.9999999999999995E-4</v>
      </c>
      <c r="T1082">
        <v>5.9999999999999995E-4</v>
      </c>
      <c r="U1082">
        <v>5.9999999999999995E-4</v>
      </c>
      <c r="V1082">
        <v>5.9999999999999995E-4</v>
      </c>
      <c r="W1082">
        <v>5.9999999999999995E-4</v>
      </c>
      <c r="X1082">
        <v>5.9999999999999995E-4</v>
      </c>
      <c r="Y1082">
        <v>5.9999999999999995E-4</v>
      </c>
    </row>
    <row r="1083" spans="1:25" hidden="1">
      <c r="A1083" t="s">
        <v>18807</v>
      </c>
      <c r="B1083" t="s">
        <v>836</v>
      </c>
      <c r="C1083" t="s">
        <v>804</v>
      </c>
      <c r="D1083" t="s">
        <v>640</v>
      </c>
      <c r="E1083" t="s">
        <v>597</v>
      </c>
      <c r="F1083" t="s">
        <v>598</v>
      </c>
      <c r="G1083" t="s">
        <v>478</v>
      </c>
      <c r="H1083" t="s">
        <v>600</v>
      </c>
      <c r="I1083" t="s">
        <v>601</v>
      </c>
      <c r="J1083">
        <v>1.14E-2</v>
      </c>
      <c r="K1083">
        <v>1.12E-2</v>
      </c>
      <c r="L1083">
        <v>1.0999999999999999E-2</v>
      </c>
      <c r="M1083">
        <v>1.11E-2</v>
      </c>
      <c r="N1083">
        <v>1.11E-2</v>
      </c>
      <c r="O1083">
        <v>1.0999999999999999E-2</v>
      </c>
      <c r="P1083">
        <v>1.0800000000000001E-2</v>
      </c>
      <c r="Q1083">
        <v>1.0699999999999999E-2</v>
      </c>
      <c r="R1083">
        <v>1.0500000000000001E-2</v>
      </c>
      <c r="S1083">
        <v>1.04E-2</v>
      </c>
      <c r="T1083">
        <v>1.04E-2</v>
      </c>
      <c r="U1083">
        <v>1.0200000000000001E-2</v>
      </c>
      <c r="V1083">
        <v>1.03E-2</v>
      </c>
      <c r="W1083">
        <v>1.03E-2</v>
      </c>
      <c r="X1083">
        <v>1.0200000000000001E-2</v>
      </c>
      <c r="Y1083">
        <v>1.0200000000000001E-2</v>
      </c>
    </row>
    <row r="1084" spans="1:25" hidden="1">
      <c r="A1084" t="s">
        <v>18807</v>
      </c>
      <c r="B1084" t="s">
        <v>842</v>
      </c>
      <c r="C1084" t="s">
        <v>841</v>
      </c>
      <c r="D1084" t="s">
        <v>596</v>
      </c>
      <c r="E1084" t="s">
        <v>597</v>
      </c>
      <c r="F1084" t="s">
        <v>598</v>
      </c>
      <c r="G1084" t="s">
        <v>478</v>
      </c>
      <c r="H1084" t="s">
        <v>600</v>
      </c>
      <c r="I1084" t="s">
        <v>601</v>
      </c>
      <c r="J1084">
        <v>0.11609999999999999</v>
      </c>
      <c r="K1084">
        <v>0.1181</v>
      </c>
      <c r="L1084">
        <v>0.1197</v>
      </c>
      <c r="M1084">
        <v>0.12230000000000001</v>
      </c>
      <c r="N1084">
        <v>0.12379999999999999</v>
      </c>
      <c r="O1084">
        <v>0.12479999999999999</v>
      </c>
      <c r="P1084">
        <v>0.12529999999999999</v>
      </c>
      <c r="Q1084">
        <v>0.126</v>
      </c>
      <c r="R1084">
        <v>0.1265</v>
      </c>
      <c r="S1084">
        <v>0.12640000000000001</v>
      </c>
      <c r="T1084">
        <v>0.12609999999999999</v>
      </c>
      <c r="U1084">
        <v>0.12559999999999999</v>
      </c>
      <c r="V1084">
        <v>0.12590000000000001</v>
      </c>
      <c r="W1084">
        <v>0.12720000000000001</v>
      </c>
      <c r="X1084">
        <v>0.12759999999999999</v>
      </c>
      <c r="Y1084">
        <v>0.12820000000000001</v>
      </c>
    </row>
    <row r="1085" spans="1:25" hidden="1">
      <c r="A1085" t="s">
        <v>18807</v>
      </c>
      <c r="B1085" t="s">
        <v>844</v>
      </c>
      <c r="C1085" t="s">
        <v>841</v>
      </c>
      <c r="D1085" t="s">
        <v>596</v>
      </c>
      <c r="E1085" t="s">
        <v>603</v>
      </c>
      <c r="F1085" t="s">
        <v>598</v>
      </c>
      <c r="G1085" t="s">
        <v>478</v>
      </c>
      <c r="H1085" t="s">
        <v>600</v>
      </c>
      <c r="I1085" t="s">
        <v>601</v>
      </c>
      <c r="J1085">
        <v>1.6999999999999999E-3</v>
      </c>
      <c r="K1085">
        <v>1.6999999999999999E-3</v>
      </c>
      <c r="L1085">
        <v>1.6999999999999999E-3</v>
      </c>
      <c r="M1085">
        <v>1.6999999999999999E-3</v>
      </c>
      <c r="N1085">
        <v>1.6999999999999999E-3</v>
      </c>
      <c r="O1085">
        <v>1.6999999999999999E-3</v>
      </c>
      <c r="P1085">
        <v>1.6999999999999999E-3</v>
      </c>
      <c r="Q1085">
        <v>1.6999999999999999E-3</v>
      </c>
      <c r="R1085">
        <v>1.6999999999999999E-3</v>
      </c>
      <c r="S1085">
        <v>1.6999999999999999E-3</v>
      </c>
      <c r="T1085">
        <v>1.6999999999999999E-3</v>
      </c>
      <c r="U1085">
        <v>1.6999999999999999E-3</v>
      </c>
      <c r="V1085">
        <v>1.6999999999999999E-3</v>
      </c>
      <c r="W1085">
        <v>1.6999999999999999E-3</v>
      </c>
      <c r="X1085">
        <v>1.6999999999999999E-3</v>
      </c>
      <c r="Y1085">
        <v>1.6999999999999999E-3</v>
      </c>
    </row>
    <row r="1086" spans="1:25" hidden="1">
      <c r="A1086" t="s">
        <v>18807</v>
      </c>
      <c r="B1086" t="s">
        <v>847</v>
      </c>
      <c r="C1086" t="s">
        <v>841</v>
      </c>
      <c r="D1086" t="s">
        <v>596</v>
      </c>
      <c r="E1086" t="s">
        <v>808</v>
      </c>
      <c r="F1086" t="s">
        <v>598</v>
      </c>
      <c r="G1086" t="s">
        <v>478</v>
      </c>
      <c r="H1086" t="s">
        <v>600</v>
      </c>
      <c r="I1086" t="s">
        <v>601</v>
      </c>
      <c r="J1086">
        <v>2E-3</v>
      </c>
      <c r="K1086">
        <v>2E-3</v>
      </c>
      <c r="L1086">
        <v>2E-3</v>
      </c>
      <c r="M1086">
        <v>2E-3</v>
      </c>
      <c r="N1086">
        <v>2E-3</v>
      </c>
      <c r="O1086">
        <v>2E-3</v>
      </c>
      <c r="P1086">
        <v>2E-3</v>
      </c>
      <c r="Q1086">
        <v>2E-3</v>
      </c>
      <c r="R1086">
        <v>2E-3</v>
      </c>
      <c r="S1086">
        <v>2E-3</v>
      </c>
      <c r="T1086">
        <v>2E-3</v>
      </c>
      <c r="U1086">
        <v>2E-3</v>
      </c>
      <c r="V1086">
        <v>2E-3</v>
      </c>
      <c r="W1086">
        <v>2E-3</v>
      </c>
      <c r="X1086">
        <v>2E-3</v>
      </c>
      <c r="Y1086">
        <v>2E-3</v>
      </c>
    </row>
    <row r="1087" spans="1:25" hidden="1">
      <c r="A1087" t="s">
        <v>18807</v>
      </c>
      <c r="B1087" t="s">
        <v>849</v>
      </c>
      <c r="C1087" t="s">
        <v>841</v>
      </c>
      <c r="D1087" t="s">
        <v>596</v>
      </c>
      <c r="E1087" t="s">
        <v>609</v>
      </c>
      <c r="F1087" t="s">
        <v>598</v>
      </c>
      <c r="G1087" t="s">
        <v>478</v>
      </c>
      <c r="H1087" t="s">
        <v>600</v>
      </c>
      <c r="I1087" t="s">
        <v>601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</row>
    <row r="1088" spans="1:25" hidden="1">
      <c r="A1088" t="s">
        <v>18807</v>
      </c>
      <c r="B1088" t="s">
        <v>852</v>
      </c>
      <c r="C1088" t="s">
        <v>841</v>
      </c>
      <c r="D1088" t="s">
        <v>596</v>
      </c>
      <c r="E1088" t="s">
        <v>619</v>
      </c>
      <c r="F1088" t="s">
        <v>598</v>
      </c>
      <c r="G1088" t="s">
        <v>478</v>
      </c>
      <c r="H1088" t="s">
        <v>600</v>
      </c>
      <c r="I1088" t="s">
        <v>601</v>
      </c>
      <c r="J1088">
        <v>4.0000000000000002E-4</v>
      </c>
      <c r="K1088">
        <v>4.0000000000000002E-4</v>
      </c>
      <c r="L1088">
        <v>4.0000000000000002E-4</v>
      </c>
      <c r="M1088">
        <v>4.0000000000000002E-4</v>
      </c>
      <c r="N1088">
        <v>4.0000000000000002E-4</v>
      </c>
      <c r="O1088">
        <v>4.0000000000000002E-4</v>
      </c>
      <c r="P1088">
        <v>4.0000000000000002E-4</v>
      </c>
      <c r="Q1088">
        <v>4.0000000000000002E-4</v>
      </c>
      <c r="R1088">
        <v>4.0000000000000002E-4</v>
      </c>
      <c r="S1088">
        <v>4.0000000000000002E-4</v>
      </c>
      <c r="T1088">
        <v>4.0000000000000002E-4</v>
      </c>
      <c r="U1088">
        <v>4.0000000000000002E-4</v>
      </c>
      <c r="V1088">
        <v>4.0000000000000002E-4</v>
      </c>
      <c r="W1088">
        <v>4.0000000000000002E-4</v>
      </c>
      <c r="X1088">
        <v>4.0000000000000002E-4</v>
      </c>
      <c r="Y1088">
        <v>4.0000000000000002E-4</v>
      </c>
    </row>
    <row r="1089" spans="1:25" hidden="1">
      <c r="A1089" t="s">
        <v>18807</v>
      </c>
      <c r="B1089" t="s">
        <v>855</v>
      </c>
      <c r="C1089" t="s">
        <v>841</v>
      </c>
      <c r="D1089" t="s">
        <v>671</v>
      </c>
      <c r="E1089" t="s">
        <v>597</v>
      </c>
      <c r="F1089" t="s">
        <v>598</v>
      </c>
      <c r="G1089" t="s">
        <v>478</v>
      </c>
      <c r="H1089" t="s">
        <v>600</v>
      </c>
      <c r="I1089" t="s">
        <v>601</v>
      </c>
      <c r="J1089">
        <v>4.1000000000000003E-3</v>
      </c>
      <c r="K1089">
        <v>4.1999999999999997E-3</v>
      </c>
      <c r="L1089">
        <v>4.3E-3</v>
      </c>
      <c r="M1089">
        <v>4.3E-3</v>
      </c>
      <c r="N1089">
        <v>4.4000000000000003E-3</v>
      </c>
      <c r="O1089">
        <v>4.4000000000000003E-3</v>
      </c>
      <c r="P1089">
        <v>4.4000000000000003E-3</v>
      </c>
      <c r="Q1089">
        <v>4.4999999999999997E-3</v>
      </c>
      <c r="R1089">
        <v>4.4999999999999997E-3</v>
      </c>
      <c r="S1089">
        <v>4.4999999999999997E-3</v>
      </c>
      <c r="T1089">
        <v>4.4999999999999997E-3</v>
      </c>
      <c r="U1089">
        <v>4.4999999999999997E-3</v>
      </c>
      <c r="V1089">
        <v>4.4999999999999997E-3</v>
      </c>
      <c r="W1089">
        <v>4.4999999999999997E-3</v>
      </c>
      <c r="X1089">
        <v>4.4999999999999997E-3</v>
      </c>
      <c r="Y1089">
        <v>4.4999999999999997E-3</v>
      </c>
    </row>
    <row r="1090" spans="1:25" hidden="1">
      <c r="A1090" t="s">
        <v>18807</v>
      </c>
      <c r="B1090" t="s">
        <v>857</v>
      </c>
      <c r="C1090" t="s">
        <v>841</v>
      </c>
      <c r="D1090" t="s">
        <v>671</v>
      </c>
      <c r="E1090" t="s">
        <v>605</v>
      </c>
      <c r="F1090" t="s">
        <v>598</v>
      </c>
      <c r="G1090" t="s">
        <v>478</v>
      </c>
      <c r="H1090" t="s">
        <v>600</v>
      </c>
      <c r="I1090" t="s">
        <v>601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</row>
    <row r="1091" spans="1:25" hidden="1">
      <c r="A1091" t="s">
        <v>18807</v>
      </c>
      <c r="B1091" t="s">
        <v>860</v>
      </c>
      <c r="C1091" t="s">
        <v>841</v>
      </c>
      <c r="D1091" t="s">
        <v>753</v>
      </c>
      <c r="E1091" t="s">
        <v>597</v>
      </c>
      <c r="F1091" t="s">
        <v>598</v>
      </c>
      <c r="G1091" t="s">
        <v>478</v>
      </c>
      <c r="H1091" t="s">
        <v>600</v>
      </c>
      <c r="I1091" t="s">
        <v>601</v>
      </c>
      <c r="J1091">
        <v>2.3E-3</v>
      </c>
      <c r="K1091">
        <v>2.3E-3</v>
      </c>
      <c r="L1091">
        <v>2.3E-3</v>
      </c>
      <c r="M1091">
        <v>2.3E-3</v>
      </c>
      <c r="N1091">
        <v>2.3E-3</v>
      </c>
      <c r="O1091">
        <v>2.3E-3</v>
      </c>
      <c r="P1091">
        <v>2.3E-3</v>
      </c>
      <c r="Q1091">
        <v>2.3E-3</v>
      </c>
      <c r="R1091">
        <v>2.3E-3</v>
      </c>
      <c r="S1091">
        <v>2.3E-3</v>
      </c>
      <c r="T1091">
        <v>2.3E-3</v>
      </c>
      <c r="U1091">
        <v>2.3E-3</v>
      </c>
      <c r="V1091">
        <v>2.3E-3</v>
      </c>
      <c r="W1091">
        <v>2.3E-3</v>
      </c>
      <c r="X1091">
        <v>2.3E-3</v>
      </c>
      <c r="Y1091">
        <v>2.3E-3</v>
      </c>
    </row>
    <row r="1092" spans="1:25" hidden="1">
      <c r="A1092" t="s">
        <v>18807</v>
      </c>
      <c r="B1092" t="s">
        <v>862</v>
      </c>
      <c r="C1092" t="s">
        <v>841</v>
      </c>
      <c r="D1092" t="s">
        <v>756</v>
      </c>
      <c r="E1092" t="s">
        <v>597</v>
      </c>
      <c r="F1092" t="s">
        <v>598</v>
      </c>
      <c r="G1092" t="s">
        <v>478</v>
      </c>
      <c r="H1092" t="s">
        <v>600</v>
      </c>
      <c r="I1092" t="s">
        <v>601</v>
      </c>
      <c r="J1092">
        <v>0.24729999999999999</v>
      </c>
      <c r="K1092">
        <v>0.25080000000000002</v>
      </c>
      <c r="L1092">
        <v>0.25679999999999997</v>
      </c>
      <c r="M1092">
        <v>0.2616</v>
      </c>
      <c r="N1092">
        <v>0.26469999999999999</v>
      </c>
      <c r="O1092">
        <v>0.26469999999999999</v>
      </c>
      <c r="P1092">
        <v>0.2666</v>
      </c>
      <c r="Q1092">
        <v>0.26800000000000002</v>
      </c>
      <c r="R1092">
        <v>0.26889999999999997</v>
      </c>
      <c r="S1092">
        <v>0.26679999999999998</v>
      </c>
      <c r="T1092">
        <v>0.26600000000000001</v>
      </c>
      <c r="U1092">
        <v>0.26540000000000002</v>
      </c>
      <c r="V1092">
        <v>0.26600000000000001</v>
      </c>
      <c r="W1092">
        <v>0.26769999999999999</v>
      </c>
      <c r="X1092">
        <v>0.26939999999999997</v>
      </c>
      <c r="Y1092">
        <v>0.2712</v>
      </c>
    </row>
    <row r="1093" spans="1:25" hidden="1">
      <c r="A1093" t="s">
        <v>18807</v>
      </c>
      <c r="B1093" t="s">
        <v>865</v>
      </c>
      <c r="C1093" t="s">
        <v>841</v>
      </c>
      <c r="D1093" t="s">
        <v>866</v>
      </c>
      <c r="E1093" t="s">
        <v>597</v>
      </c>
      <c r="F1093" t="s">
        <v>598</v>
      </c>
      <c r="G1093" t="s">
        <v>478</v>
      </c>
      <c r="H1093" t="s">
        <v>600</v>
      </c>
      <c r="I1093" t="s">
        <v>601</v>
      </c>
      <c r="J1093">
        <v>0.12230000000000001</v>
      </c>
      <c r="K1093">
        <v>0.1179</v>
      </c>
      <c r="L1093">
        <v>0.1145</v>
      </c>
      <c r="M1093">
        <v>0.11020000000000001</v>
      </c>
      <c r="N1093">
        <v>0.1051</v>
      </c>
      <c r="O1093">
        <v>9.8500000000000004E-2</v>
      </c>
      <c r="P1093">
        <v>9.2600000000000002E-2</v>
      </c>
      <c r="Q1093">
        <v>8.6499999999999994E-2</v>
      </c>
      <c r="R1093">
        <v>8.0100000000000005E-2</v>
      </c>
      <c r="S1093">
        <v>7.2900000000000006E-2</v>
      </c>
      <c r="T1093">
        <v>6.6100000000000006E-2</v>
      </c>
      <c r="U1093">
        <v>6.0400000000000002E-2</v>
      </c>
      <c r="V1093">
        <v>5.4899999999999997E-2</v>
      </c>
      <c r="W1093">
        <v>5.0999999999999997E-2</v>
      </c>
      <c r="X1093">
        <v>4.7100000000000003E-2</v>
      </c>
      <c r="Y1093">
        <v>4.3299999999999998E-2</v>
      </c>
    </row>
    <row r="1094" spans="1:25" hidden="1">
      <c r="A1094" t="s">
        <v>18807</v>
      </c>
      <c r="B1094" t="s">
        <v>867</v>
      </c>
      <c r="C1094" t="s">
        <v>841</v>
      </c>
      <c r="D1094" t="s">
        <v>621</v>
      </c>
      <c r="E1094" t="s">
        <v>649</v>
      </c>
      <c r="F1094" t="s">
        <v>598</v>
      </c>
      <c r="G1094" t="s">
        <v>478</v>
      </c>
      <c r="H1094" t="s">
        <v>600</v>
      </c>
      <c r="I1094" t="s">
        <v>601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hidden="1">
      <c r="A1095" t="s">
        <v>18807</v>
      </c>
      <c r="B1095" t="s">
        <v>868</v>
      </c>
      <c r="C1095" t="s">
        <v>841</v>
      </c>
      <c r="D1095" t="s">
        <v>621</v>
      </c>
      <c r="E1095" t="s">
        <v>597</v>
      </c>
      <c r="F1095" t="s">
        <v>598</v>
      </c>
      <c r="G1095" t="s">
        <v>478</v>
      </c>
      <c r="H1095" t="s">
        <v>600</v>
      </c>
      <c r="I1095" t="s">
        <v>601</v>
      </c>
      <c r="J1095">
        <v>9.9000000000000008E-3</v>
      </c>
      <c r="K1095">
        <v>1.0200000000000001E-2</v>
      </c>
      <c r="L1095">
        <v>1.04E-2</v>
      </c>
      <c r="M1095">
        <v>1.0500000000000001E-2</v>
      </c>
      <c r="N1095">
        <v>1.06E-2</v>
      </c>
      <c r="O1095">
        <v>1.0800000000000001E-2</v>
      </c>
      <c r="P1095">
        <v>1.0800000000000001E-2</v>
      </c>
      <c r="Q1095">
        <v>1.09E-2</v>
      </c>
      <c r="R1095">
        <v>1.09E-2</v>
      </c>
      <c r="S1095">
        <v>1.09E-2</v>
      </c>
      <c r="T1095">
        <v>1.09E-2</v>
      </c>
      <c r="U1095">
        <v>1.0800000000000001E-2</v>
      </c>
      <c r="V1095">
        <v>1.0800000000000001E-2</v>
      </c>
      <c r="W1095">
        <v>1.09E-2</v>
      </c>
      <c r="X1095">
        <v>1.09E-2</v>
      </c>
      <c r="Y1095">
        <v>1.0999999999999999E-2</v>
      </c>
    </row>
    <row r="1096" spans="1:25" hidden="1">
      <c r="A1096" t="s">
        <v>18807</v>
      </c>
      <c r="B1096" t="s">
        <v>870</v>
      </c>
      <c r="C1096" t="s">
        <v>841</v>
      </c>
      <c r="D1096" t="s">
        <v>621</v>
      </c>
      <c r="E1096" t="s">
        <v>603</v>
      </c>
      <c r="F1096" t="s">
        <v>598</v>
      </c>
      <c r="G1096" t="s">
        <v>478</v>
      </c>
      <c r="H1096" t="s">
        <v>600</v>
      </c>
      <c r="I1096" t="s">
        <v>601</v>
      </c>
      <c r="J1096">
        <v>1.2999999999999999E-3</v>
      </c>
      <c r="K1096">
        <v>1.2999999999999999E-3</v>
      </c>
      <c r="L1096">
        <v>1.2999999999999999E-3</v>
      </c>
      <c r="M1096">
        <v>1.2999999999999999E-3</v>
      </c>
      <c r="N1096">
        <v>1.2999999999999999E-3</v>
      </c>
      <c r="O1096">
        <v>1.2999999999999999E-3</v>
      </c>
      <c r="P1096">
        <v>1.2999999999999999E-3</v>
      </c>
      <c r="Q1096">
        <v>1.2999999999999999E-3</v>
      </c>
      <c r="R1096">
        <v>1.2999999999999999E-3</v>
      </c>
      <c r="S1096">
        <v>1.2999999999999999E-3</v>
      </c>
      <c r="T1096">
        <v>1.2999999999999999E-3</v>
      </c>
      <c r="U1096">
        <v>1.2999999999999999E-3</v>
      </c>
      <c r="V1096">
        <v>1.2999999999999999E-3</v>
      </c>
      <c r="W1096">
        <v>1.2999999999999999E-3</v>
      </c>
      <c r="X1096">
        <v>1.2999999999999999E-3</v>
      </c>
      <c r="Y1096">
        <v>1.2999999999999999E-3</v>
      </c>
    </row>
    <row r="1097" spans="1:25" hidden="1">
      <c r="A1097" t="s">
        <v>18807</v>
      </c>
      <c r="B1097" t="s">
        <v>872</v>
      </c>
      <c r="C1097" t="s">
        <v>841</v>
      </c>
      <c r="D1097" t="s">
        <v>621</v>
      </c>
      <c r="E1097" t="s">
        <v>624</v>
      </c>
      <c r="F1097" t="s">
        <v>598</v>
      </c>
      <c r="G1097" t="s">
        <v>478</v>
      </c>
      <c r="H1097" t="s">
        <v>600</v>
      </c>
      <c r="I1097" t="s">
        <v>601</v>
      </c>
      <c r="J1097">
        <v>1.9099999999999999E-2</v>
      </c>
      <c r="K1097">
        <v>1.9099999999999999E-2</v>
      </c>
      <c r="L1097">
        <v>1.9099999999999999E-2</v>
      </c>
      <c r="M1097">
        <v>1.9099999999999999E-2</v>
      </c>
      <c r="N1097">
        <v>1.9099999999999999E-2</v>
      </c>
      <c r="O1097">
        <v>1.9099999999999999E-2</v>
      </c>
      <c r="P1097">
        <v>1.9099999999999999E-2</v>
      </c>
      <c r="Q1097">
        <v>1.9099999999999999E-2</v>
      </c>
      <c r="R1097">
        <v>1.9099999999999999E-2</v>
      </c>
      <c r="S1097">
        <v>1.9099999999999999E-2</v>
      </c>
      <c r="T1097">
        <v>1.9099999999999999E-2</v>
      </c>
      <c r="U1097">
        <v>1.9099999999999999E-2</v>
      </c>
      <c r="V1097">
        <v>1.9099999999999999E-2</v>
      </c>
      <c r="W1097">
        <v>1.9099999999999999E-2</v>
      </c>
      <c r="X1097">
        <v>1.9099999999999999E-2</v>
      </c>
      <c r="Y1097">
        <v>1.9099999999999999E-2</v>
      </c>
    </row>
    <row r="1098" spans="1:25" hidden="1">
      <c r="A1098" t="s">
        <v>18807</v>
      </c>
      <c r="B1098" t="s">
        <v>873</v>
      </c>
      <c r="C1098" t="s">
        <v>841</v>
      </c>
      <c r="D1098" t="s">
        <v>621</v>
      </c>
      <c r="E1098" t="s">
        <v>768</v>
      </c>
      <c r="F1098" t="s">
        <v>598</v>
      </c>
      <c r="G1098" t="s">
        <v>478</v>
      </c>
      <c r="H1098" t="s">
        <v>600</v>
      </c>
      <c r="I1098" t="s">
        <v>601</v>
      </c>
      <c r="J1098">
        <v>5.1000000000000004E-3</v>
      </c>
      <c r="K1098">
        <v>5.1000000000000004E-3</v>
      </c>
      <c r="L1098">
        <v>5.1000000000000004E-3</v>
      </c>
      <c r="M1098">
        <v>5.1000000000000004E-3</v>
      </c>
      <c r="N1098">
        <v>5.1000000000000004E-3</v>
      </c>
      <c r="O1098">
        <v>5.1000000000000004E-3</v>
      </c>
      <c r="P1098">
        <v>5.1000000000000004E-3</v>
      </c>
      <c r="Q1098">
        <v>5.1000000000000004E-3</v>
      </c>
      <c r="R1098">
        <v>5.1000000000000004E-3</v>
      </c>
      <c r="S1098">
        <v>5.1000000000000004E-3</v>
      </c>
      <c r="T1098">
        <v>5.1000000000000004E-3</v>
      </c>
      <c r="U1098">
        <v>5.1000000000000004E-3</v>
      </c>
      <c r="V1098">
        <v>5.1000000000000004E-3</v>
      </c>
      <c r="W1098">
        <v>5.1000000000000004E-3</v>
      </c>
      <c r="X1098">
        <v>5.1000000000000004E-3</v>
      </c>
      <c r="Y1098">
        <v>5.1000000000000004E-3</v>
      </c>
    </row>
    <row r="1099" spans="1:25" hidden="1">
      <c r="A1099" t="s">
        <v>18807</v>
      </c>
      <c r="B1099" t="s">
        <v>876</v>
      </c>
      <c r="C1099" t="s">
        <v>841</v>
      </c>
      <c r="D1099" t="s">
        <v>621</v>
      </c>
      <c r="E1099" t="s">
        <v>628</v>
      </c>
      <c r="F1099" t="s">
        <v>598</v>
      </c>
      <c r="G1099" t="s">
        <v>478</v>
      </c>
      <c r="H1099" t="s">
        <v>600</v>
      </c>
      <c r="I1099" t="s">
        <v>601</v>
      </c>
      <c r="J1099">
        <v>6.88E-2</v>
      </c>
      <c r="K1099">
        <v>6.88E-2</v>
      </c>
      <c r="L1099">
        <v>6.88E-2</v>
      </c>
      <c r="M1099">
        <v>6.88E-2</v>
      </c>
      <c r="N1099">
        <v>6.88E-2</v>
      </c>
      <c r="O1099">
        <v>6.88E-2</v>
      </c>
      <c r="P1099">
        <v>6.88E-2</v>
      </c>
      <c r="Q1099">
        <v>4.5900000000000003E-2</v>
      </c>
      <c r="R1099">
        <v>4.5900000000000003E-2</v>
      </c>
      <c r="S1099">
        <v>4.5900000000000003E-2</v>
      </c>
      <c r="T1099">
        <v>4.5900000000000003E-2</v>
      </c>
      <c r="U1099">
        <v>4.5900000000000003E-2</v>
      </c>
      <c r="V1099">
        <v>4.5900000000000003E-2</v>
      </c>
      <c r="W1099">
        <v>4.5900000000000003E-2</v>
      </c>
      <c r="X1099">
        <v>4.5900000000000003E-2</v>
      </c>
      <c r="Y1099">
        <v>4.5900000000000003E-2</v>
      </c>
    </row>
    <row r="1100" spans="1:25" hidden="1">
      <c r="A1100" t="s">
        <v>18807</v>
      </c>
      <c r="B1100" t="s">
        <v>877</v>
      </c>
      <c r="C1100" t="s">
        <v>841</v>
      </c>
      <c r="D1100" t="s">
        <v>621</v>
      </c>
      <c r="E1100" t="s">
        <v>692</v>
      </c>
      <c r="F1100" t="s">
        <v>598</v>
      </c>
      <c r="G1100" t="s">
        <v>478</v>
      </c>
      <c r="H1100" t="s">
        <v>600</v>
      </c>
      <c r="I1100" t="s">
        <v>601</v>
      </c>
      <c r="J1100">
        <v>8.0000000000000004E-4</v>
      </c>
      <c r="K1100">
        <v>8.0000000000000004E-4</v>
      </c>
      <c r="L1100">
        <v>8.0000000000000004E-4</v>
      </c>
      <c r="M1100">
        <v>8.0000000000000004E-4</v>
      </c>
      <c r="N1100">
        <v>8.0000000000000004E-4</v>
      </c>
      <c r="O1100">
        <v>8.0000000000000004E-4</v>
      </c>
      <c r="P1100">
        <v>8.0000000000000004E-4</v>
      </c>
      <c r="Q1100">
        <v>8.0000000000000004E-4</v>
      </c>
      <c r="R1100">
        <v>8.0000000000000004E-4</v>
      </c>
      <c r="S1100">
        <v>8.0000000000000004E-4</v>
      </c>
      <c r="T1100">
        <v>8.0000000000000004E-4</v>
      </c>
      <c r="U1100">
        <v>8.0000000000000004E-4</v>
      </c>
      <c r="V1100">
        <v>8.0000000000000004E-4</v>
      </c>
      <c r="W1100">
        <v>8.0000000000000004E-4</v>
      </c>
      <c r="X1100">
        <v>8.0000000000000004E-4</v>
      </c>
      <c r="Y1100">
        <v>8.0000000000000004E-4</v>
      </c>
    </row>
    <row r="1101" spans="1:25" hidden="1">
      <c r="A1101" t="s">
        <v>18807</v>
      </c>
      <c r="B1101" t="s">
        <v>880</v>
      </c>
      <c r="C1101" t="s">
        <v>841</v>
      </c>
      <c r="D1101" t="s">
        <v>621</v>
      </c>
      <c r="E1101" t="s">
        <v>638</v>
      </c>
      <c r="F1101" t="s">
        <v>598</v>
      </c>
      <c r="G1101" t="s">
        <v>478</v>
      </c>
      <c r="H1101" t="s">
        <v>600</v>
      </c>
      <c r="I1101" t="s">
        <v>601</v>
      </c>
      <c r="J1101">
        <v>5.9999999999999995E-4</v>
      </c>
      <c r="K1101">
        <v>5.9999999999999995E-4</v>
      </c>
      <c r="L1101">
        <v>5.9999999999999995E-4</v>
      </c>
      <c r="M1101">
        <v>5.9999999999999995E-4</v>
      </c>
      <c r="N1101">
        <v>5.9999999999999995E-4</v>
      </c>
      <c r="O1101">
        <v>5.9999999999999995E-4</v>
      </c>
      <c r="P1101">
        <v>5.9999999999999995E-4</v>
      </c>
      <c r="Q1101">
        <v>5.9999999999999995E-4</v>
      </c>
      <c r="R1101">
        <v>5.9999999999999995E-4</v>
      </c>
      <c r="S1101">
        <v>5.9999999999999995E-4</v>
      </c>
      <c r="T1101">
        <v>5.9999999999999995E-4</v>
      </c>
      <c r="U1101">
        <v>5.9999999999999995E-4</v>
      </c>
      <c r="V1101">
        <v>5.9999999999999995E-4</v>
      </c>
      <c r="W1101">
        <v>5.9999999999999995E-4</v>
      </c>
      <c r="X1101">
        <v>5.9999999999999995E-4</v>
      </c>
      <c r="Y1101">
        <v>5.9999999999999995E-4</v>
      </c>
    </row>
    <row r="1102" spans="1:25" hidden="1">
      <c r="A1102" t="s">
        <v>18807</v>
      </c>
      <c r="B1102" t="s">
        <v>882</v>
      </c>
      <c r="C1102" t="s">
        <v>841</v>
      </c>
      <c r="D1102" t="s">
        <v>632</v>
      </c>
      <c r="E1102" t="s">
        <v>597</v>
      </c>
      <c r="F1102" t="s">
        <v>598</v>
      </c>
      <c r="G1102" t="s">
        <v>478</v>
      </c>
      <c r="H1102" t="s">
        <v>600</v>
      </c>
      <c r="I1102" t="s">
        <v>601</v>
      </c>
      <c r="J1102">
        <v>0.3705</v>
      </c>
      <c r="K1102">
        <v>0.37590000000000001</v>
      </c>
      <c r="L1102">
        <v>0.38159999999999999</v>
      </c>
      <c r="M1102">
        <v>0.3891</v>
      </c>
      <c r="N1102">
        <v>0.39350000000000002</v>
      </c>
      <c r="O1102">
        <v>0.39679999999999999</v>
      </c>
      <c r="P1102">
        <v>0.3997</v>
      </c>
      <c r="Q1102">
        <v>0.4017</v>
      </c>
      <c r="R1102">
        <v>0.40289999999999998</v>
      </c>
      <c r="S1102">
        <v>0.40339999999999998</v>
      </c>
      <c r="T1102">
        <v>0.40289999999999998</v>
      </c>
      <c r="U1102">
        <v>0.40160000000000001</v>
      </c>
      <c r="V1102">
        <v>0.40260000000000001</v>
      </c>
      <c r="W1102">
        <v>0.40479999999999999</v>
      </c>
      <c r="X1102">
        <v>0.40699999999999997</v>
      </c>
      <c r="Y1102">
        <v>0.40949999999999998</v>
      </c>
    </row>
    <row r="1103" spans="1:25" hidden="1">
      <c r="A1103" t="s">
        <v>18807</v>
      </c>
      <c r="B1103" t="s">
        <v>884</v>
      </c>
      <c r="C1103" t="s">
        <v>841</v>
      </c>
      <c r="D1103" t="s">
        <v>632</v>
      </c>
      <c r="E1103" t="s">
        <v>768</v>
      </c>
      <c r="F1103" t="s">
        <v>598</v>
      </c>
      <c r="G1103" t="s">
        <v>478</v>
      </c>
      <c r="H1103" t="s">
        <v>600</v>
      </c>
      <c r="I1103" t="s">
        <v>601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</row>
    <row r="1104" spans="1:25" hidden="1">
      <c r="A1104" t="s">
        <v>18807</v>
      </c>
      <c r="B1104" t="s">
        <v>885</v>
      </c>
      <c r="C1104" t="s">
        <v>841</v>
      </c>
      <c r="D1104" t="s">
        <v>632</v>
      </c>
      <c r="E1104" t="s">
        <v>628</v>
      </c>
      <c r="F1104" t="s">
        <v>598</v>
      </c>
      <c r="G1104" t="s">
        <v>478</v>
      </c>
      <c r="H1104" t="s">
        <v>600</v>
      </c>
      <c r="I1104" t="s">
        <v>601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hidden="1">
      <c r="A1105" t="s">
        <v>18807</v>
      </c>
      <c r="B1105" t="s">
        <v>902</v>
      </c>
      <c r="C1105" t="s">
        <v>841</v>
      </c>
      <c r="D1105" t="s">
        <v>648</v>
      </c>
      <c r="E1105" t="s">
        <v>597</v>
      </c>
      <c r="F1105" t="s">
        <v>598</v>
      </c>
      <c r="G1105" t="s">
        <v>478</v>
      </c>
      <c r="H1105" t="s">
        <v>600</v>
      </c>
      <c r="I1105" t="s">
        <v>601</v>
      </c>
      <c r="J1105">
        <v>4.3628</v>
      </c>
      <c r="K1105">
        <v>4.4245999999999999</v>
      </c>
      <c r="L1105">
        <v>4.4931000000000001</v>
      </c>
      <c r="M1105">
        <v>4.577</v>
      </c>
      <c r="N1105">
        <v>4.6283000000000003</v>
      </c>
      <c r="O1105">
        <v>4.6635999999999997</v>
      </c>
      <c r="P1105">
        <v>4.6974</v>
      </c>
      <c r="Q1105">
        <v>4.7209000000000003</v>
      </c>
      <c r="R1105">
        <v>4.7358000000000002</v>
      </c>
      <c r="S1105">
        <v>4.7385999999999999</v>
      </c>
      <c r="T1105">
        <v>4.7328000000000001</v>
      </c>
      <c r="U1105">
        <v>4.7091000000000003</v>
      </c>
      <c r="V1105">
        <v>4.7182000000000004</v>
      </c>
      <c r="W1105">
        <v>4.7521000000000004</v>
      </c>
      <c r="X1105">
        <v>4.7698</v>
      </c>
      <c r="Y1105">
        <v>4.8048000000000002</v>
      </c>
    </row>
    <row r="1106" spans="1:25" hidden="1">
      <c r="A1106" t="s">
        <v>18807</v>
      </c>
      <c r="B1106" t="s">
        <v>903</v>
      </c>
      <c r="C1106" t="s">
        <v>841</v>
      </c>
      <c r="D1106" t="s">
        <v>648</v>
      </c>
      <c r="E1106" t="s">
        <v>597</v>
      </c>
      <c r="F1106" t="s">
        <v>904</v>
      </c>
      <c r="G1106" t="s">
        <v>478</v>
      </c>
      <c r="H1106" t="s">
        <v>600</v>
      </c>
      <c r="I1106" t="s">
        <v>601</v>
      </c>
      <c r="J1106">
        <v>0.12479999999999999</v>
      </c>
      <c r="K1106">
        <v>0.12479999999999999</v>
      </c>
      <c r="L1106">
        <v>0.12479999999999999</v>
      </c>
      <c r="M1106">
        <v>0.12479999999999999</v>
      </c>
      <c r="N1106">
        <v>0.12479999999999999</v>
      </c>
      <c r="O1106">
        <v>0.12479999999999999</v>
      </c>
      <c r="P1106">
        <v>0.12479999999999999</v>
      </c>
      <c r="Q1106">
        <v>0.12479999999999999</v>
      </c>
      <c r="R1106">
        <v>0.12479999999999999</v>
      </c>
      <c r="S1106">
        <v>0.12479999999999999</v>
      </c>
      <c r="T1106">
        <v>0.12479999999999999</v>
      </c>
      <c r="U1106">
        <v>0.12479999999999999</v>
      </c>
      <c r="V1106">
        <v>0.12479999999999999</v>
      </c>
      <c r="W1106">
        <v>0.12479999999999999</v>
      </c>
      <c r="X1106">
        <v>0.12479999999999999</v>
      </c>
      <c r="Y1106">
        <v>0.12479999999999999</v>
      </c>
    </row>
    <row r="1107" spans="1:25" hidden="1">
      <c r="A1107" t="s">
        <v>18807</v>
      </c>
      <c r="B1107" t="s">
        <v>909</v>
      </c>
      <c r="C1107" t="s">
        <v>841</v>
      </c>
      <c r="D1107" t="s">
        <v>648</v>
      </c>
      <c r="E1107" t="s">
        <v>642</v>
      </c>
      <c r="F1107" t="s">
        <v>598</v>
      </c>
      <c r="G1107" t="s">
        <v>478</v>
      </c>
      <c r="H1107" t="s">
        <v>600</v>
      </c>
      <c r="I1107" t="s">
        <v>601</v>
      </c>
      <c r="J1107">
        <v>5.0299999999999997E-2</v>
      </c>
      <c r="K1107">
        <v>5.0299999999999997E-2</v>
      </c>
      <c r="L1107">
        <v>5.0299999999999997E-2</v>
      </c>
      <c r="M1107">
        <v>5.0299999999999997E-2</v>
      </c>
      <c r="N1107">
        <v>5.0299999999999997E-2</v>
      </c>
      <c r="O1107">
        <v>5.0299999999999997E-2</v>
      </c>
      <c r="P1107">
        <v>5.04E-2</v>
      </c>
      <c r="Q1107">
        <v>5.04E-2</v>
      </c>
      <c r="R1107">
        <v>5.04E-2</v>
      </c>
      <c r="S1107">
        <v>5.04E-2</v>
      </c>
      <c r="T1107">
        <v>5.04E-2</v>
      </c>
      <c r="U1107">
        <v>5.04E-2</v>
      </c>
      <c r="V1107">
        <v>5.04E-2</v>
      </c>
      <c r="W1107">
        <v>9.9500000000000005E-2</v>
      </c>
      <c r="X1107">
        <v>9.9500000000000005E-2</v>
      </c>
      <c r="Y1107">
        <v>9.9500000000000005E-2</v>
      </c>
    </row>
    <row r="1108" spans="1:25" hidden="1">
      <c r="A1108" t="s">
        <v>18807</v>
      </c>
      <c r="B1108" t="s">
        <v>911</v>
      </c>
      <c r="C1108" t="s">
        <v>841</v>
      </c>
      <c r="D1108" t="s">
        <v>648</v>
      </c>
      <c r="E1108" t="s">
        <v>619</v>
      </c>
      <c r="F1108" t="s">
        <v>598</v>
      </c>
      <c r="G1108" t="s">
        <v>478</v>
      </c>
      <c r="H1108" t="s">
        <v>600</v>
      </c>
      <c r="I1108" t="s">
        <v>601</v>
      </c>
      <c r="J1108">
        <v>5.4000000000000003E-3</v>
      </c>
      <c r="K1108">
        <v>5.4000000000000003E-3</v>
      </c>
      <c r="L1108">
        <v>5.4000000000000003E-3</v>
      </c>
      <c r="M1108">
        <v>5.4999999999999997E-3</v>
      </c>
      <c r="N1108">
        <v>5.4999999999999997E-3</v>
      </c>
      <c r="O1108">
        <v>5.4999999999999997E-3</v>
      </c>
      <c r="P1108">
        <v>5.4999999999999997E-3</v>
      </c>
      <c r="Q1108">
        <v>5.4999999999999997E-3</v>
      </c>
      <c r="R1108">
        <v>5.4999999999999997E-3</v>
      </c>
      <c r="S1108">
        <v>5.4999999999999997E-3</v>
      </c>
      <c r="T1108">
        <v>5.4999999999999997E-3</v>
      </c>
      <c r="U1108">
        <v>5.4999999999999997E-3</v>
      </c>
      <c r="V1108">
        <v>5.4999999999999997E-3</v>
      </c>
      <c r="W1108">
        <v>5.4999999999999997E-3</v>
      </c>
      <c r="X1108">
        <v>5.4999999999999997E-3</v>
      </c>
      <c r="Y1108">
        <v>5.4999999999999997E-3</v>
      </c>
    </row>
    <row r="1109" spans="1:25" hidden="1">
      <c r="A1109" t="s">
        <v>18807</v>
      </c>
      <c r="B1109" t="s">
        <v>912</v>
      </c>
      <c r="C1109" t="s">
        <v>841</v>
      </c>
      <c r="D1109" t="s">
        <v>648</v>
      </c>
      <c r="E1109" t="s">
        <v>676</v>
      </c>
      <c r="F1109" t="s">
        <v>598</v>
      </c>
      <c r="G1109" t="s">
        <v>478</v>
      </c>
      <c r="H1109" t="s">
        <v>600</v>
      </c>
      <c r="I1109" t="s">
        <v>601</v>
      </c>
      <c r="J1109">
        <v>2.9999999999999997E-4</v>
      </c>
      <c r="K1109">
        <v>2.9999999999999997E-4</v>
      </c>
      <c r="L1109">
        <v>2.9999999999999997E-4</v>
      </c>
      <c r="M1109">
        <v>2.9999999999999997E-4</v>
      </c>
      <c r="N1109">
        <v>2.9999999999999997E-4</v>
      </c>
      <c r="O1109">
        <v>2.9999999999999997E-4</v>
      </c>
      <c r="P1109">
        <v>2.9999999999999997E-4</v>
      </c>
      <c r="Q1109">
        <v>2.9999999999999997E-4</v>
      </c>
      <c r="R1109">
        <v>2.9999999999999997E-4</v>
      </c>
      <c r="S1109">
        <v>2.9999999999999997E-4</v>
      </c>
      <c r="T1109">
        <v>2.9999999999999997E-4</v>
      </c>
      <c r="U1109">
        <v>2.9999999999999997E-4</v>
      </c>
      <c r="V1109">
        <v>2.9999999999999997E-4</v>
      </c>
      <c r="W1109">
        <v>2.9999999999999997E-4</v>
      </c>
      <c r="X1109">
        <v>2.9999999999999997E-4</v>
      </c>
      <c r="Y1109">
        <v>2.9999999999999997E-4</v>
      </c>
    </row>
    <row r="1110" spans="1:25" hidden="1">
      <c r="A1110" t="s">
        <v>18807</v>
      </c>
      <c r="B1110" t="s">
        <v>916</v>
      </c>
      <c r="C1110" t="s">
        <v>914</v>
      </c>
      <c r="D1110" t="s">
        <v>621</v>
      </c>
      <c r="E1110" t="s">
        <v>628</v>
      </c>
      <c r="F1110" t="s">
        <v>598</v>
      </c>
      <c r="G1110" t="s">
        <v>478</v>
      </c>
      <c r="H1110" t="s">
        <v>600</v>
      </c>
      <c r="I1110" t="s">
        <v>601</v>
      </c>
      <c r="J1110">
        <v>0.55670240000000004</v>
      </c>
      <c r="K1110">
        <v>0.55724560000000001</v>
      </c>
      <c r="L1110">
        <v>0.55809920000000002</v>
      </c>
      <c r="M1110">
        <v>0.55926319999999996</v>
      </c>
      <c r="N1110">
        <v>0.55988400000000005</v>
      </c>
      <c r="O1110">
        <v>0.47444639999999999</v>
      </c>
      <c r="P1110">
        <v>0.47506720000000002</v>
      </c>
      <c r="Q1110">
        <v>0.47592079999999998</v>
      </c>
      <c r="R1110">
        <v>0.47669679999999998</v>
      </c>
      <c r="S1110">
        <v>0.47724</v>
      </c>
      <c r="T1110">
        <v>0.478016</v>
      </c>
      <c r="U1110">
        <v>0.478792</v>
      </c>
      <c r="V1110">
        <v>0.47925760000000001</v>
      </c>
      <c r="W1110">
        <v>0.47980080000000003</v>
      </c>
      <c r="X1110">
        <v>0.4804216</v>
      </c>
      <c r="Y1110">
        <v>0.48135280000000003</v>
      </c>
    </row>
    <row r="1111" spans="1:25" hidden="1">
      <c r="A1111" t="s">
        <v>18807</v>
      </c>
      <c r="B1111" t="s">
        <v>917</v>
      </c>
      <c r="C1111" t="s">
        <v>914</v>
      </c>
      <c r="D1111" t="s">
        <v>918</v>
      </c>
      <c r="E1111" t="s">
        <v>649</v>
      </c>
      <c r="F1111" t="s">
        <v>598</v>
      </c>
      <c r="G1111" t="s">
        <v>478</v>
      </c>
      <c r="H1111" t="s">
        <v>600</v>
      </c>
      <c r="I1111" t="s">
        <v>601</v>
      </c>
      <c r="J1111">
        <v>1E-3</v>
      </c>
      <c r="K1111">
        <v>1E-3</v>
      </c>
      <c r="L1111">
        <v>1E-3</v>
      </c>
      <c r="M1111">
        <v>1E-3</v>
      </c>
      <c r="N1111">
        <v>1E-3</v>
      </c>
      <c r="O1111">
        <v>1E-3</v>
      </c>
      <c r="P1111">
        <v>1E-3</v>
      </c>
      <c r="Q1111">
        <v>1E-3</v>
      </c>
      <c r="R1111">
        <v>1E-3</v>
      </c>
      <c r="S1111">
        <v>1E-3</v>
      </c>
      <c r="T1111">
        <v>1E-3</v>
      </c>
      <c r="U1111">
        <v>1E-3</v>
      </c>
      <c r="V1111">
        <v>1E-3</v>
      </c>
      <c r="W1111">
        <v>1E-3</v>
      </c>
      <c r="X1111">
        <v>1E-3</v>
      </c>
      <c r="Y1111">
        <v>1E-3</v>
      </c>
    </row>
    <row r="1112" spans="1:25" hidden="1">
      <c r="A1112" t="s">
        <v>18807</v>
      </c>
      <c r="B1112" t="s">
        <v>919</v>
      </c>
      <c r="C1112" t="s">
        <v>914</v>
      </c>
      <c r="D1112" t="s">
        <v>648</v>
      </c>
      <c r="E1112" t="s">
        <v>920</v>
      </c>
      <c r="F1112" t="s">
        <v>598</v>
      </c>
      <c r="G1112" t="s">
        <v>478</v>
      </c>
      <c r="H1112" t="s">
        <v>600</v>
      </c>
      <c r="I1112" t="s">
        <v>601</v>
      </c>
      <c r="J1112">
        <v>0.1336</v>
      </c>
      <c r="K1112">
        <v>0.1348</v>
      </c>
      <c r="L1112">
        <v>0.13550000000000001</v>
      </c>
      <c r="M1112">
        <v>0.13600000000000001</v>
      </c>
      <c r="N1112">
        <v>0.13669999999999999</v>
      </c>
      <c r="O1112">
        <v>0.13750000000000001</v>
      </c>
      <c r="P1112">
        <v>0.13830000000000001</v>
      </c>
      <c r="Q1112">
        <v>0.13869999999999999</v>
      </c>
      <c r="R1112">
        <v>0.13930000000000001</v>
      </c>
      <c r="S1112">
        <v>0.1401</v>
      </c>
      <c r="T1112">
        <v>0.14080000000000001</v>
      </c>
      <c r="U1112">
        <v>0.14169999999999999</v>
      </c>
      <c r="V1112">
        <v>0.14249999999999999</v>
      </c>
      <c r="W1112">
        <v>0.1434</v>
      </c>
      <c r="X1112">
        <v>0.14430000000000001</v>
      </c>
      <c r="Y1112">
        <v>0.14510000000000001</v>
      </c>
    </row>
    <row r="1113" spans="1:25" hidden="1">
      <c r="A1113" t="s">
        <v>18807</v>
      </c>
      <c r="B1113" t="s">
        <v>924</v>
      </c>
      <c r="C1113" t="s">
        <v>925</v>
      </c>
      <c r="D1113" t="s">
        <v>926</v>
      </c>
      <c r="E1113" t="s">
        <v>927</v>
      </c>
      <c r="F1113" t="s">
        <v>598</v>
      </c>
      <c r="G1113" t="s">
        <v>478</v>
      </c>
      <c r="H1113" t="s">
        <v>600</v>
      </c>
      <c r="I1113" t="s">
        <v>601</v>
      </c>
      <c r="J1113">
        <v>8.8999999999999999E-3</v>
      </c>
      <c r="K1113">
        <v>8.9999999999999993E-3</v>
      </c>
      <c r="L1113">
        <v>9.1000000000000004E-3</v>
      </c>
      <c r="M1113">
        <v>9.1000000000000004E-3</v>
      </c>
      <c r="N1113">
        <v>9.1999999999999998E-3</v>
      </c>
      <c r="O1113">
        <v>9.2999999999999992E-3</v>
      </c>
      <c r="P1113">
        <v>9.4000000000000004E-3</v>
      </c>
      <c r="Q1113">
        <v>9.4999999999999998E-3</v>
      </c>
      <c r="R1113">
        <v>9.4999999999999998E-3</v>
      </c>
      <c r="S1113">
        <v>9.5999999999999992E-3</v>
      </c>
      <c r="T1113">
        <v>9.7000000000000003E-3</v>
      </c>
      <c r="U1113">
        <v>9.7999999999999997E-3</v>
      </c>
      <c r="V1113">
        <v>9.9000000000000008E-3</v>
      </c>
      <c r="W1113">
        <v>9.9000000000000008E-3</v>
      </c>
      <c r="X1113">
        <v>0.01</v>
      </c>
      <c r="Y1113">
        <v>0.01</v>
      </c>
    </row>
    <row r="1114" spans="1:25" hidden="1">
      <c r="A1114" t="s">
        <v>18807</v>
      </c>
      <c r="B1114" t="s">
        <v>928</v>
      </c>
      <c r="C1114" t="s">
        <v>925</v>
      </c>
      <c r="D1114" t="s">
        <v>926</v>
      </c>
      <c r="E1114" t="s">
        <v>929</v>
      </c>
      <c r="F1114" t="s">
        <v>598</v>
      </c>
      <c r="G1114" t="s">
        <v>478</v>
      </c>
      <c r="H1114" t="s">
        <v>600</v>
      </c>
      <c r="I1114" t="s">
        <v>601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18807</v>
      </c>
      <c r="B1115" t="s">
        <v>935</v>
      </c>
      <c r="C1115" t="s">
        <v>925</v>
      </c>
      <c r="D1115" t="s">
        <v>934</v>
      </c>
      <c r="E1115" t="s">
        <v>605</v>
      </c>
      <c r="F1115" t="s">
        <v>598</v>
      </c>
      <c r="G1115" t="s">
        <v>478</v>
      </c>
      <c r="H1115" t="s">
        <v>600</v>
      </c>
      <c r="I1115" t="s">
        <v>601</v>
      </c>
      <c r="J1115">
        <v>2.0000000000000001E-4</v>
      </c>
      <c r="K1115">
        <v>2.0000000000000001E-4</v>
      </c>
      <c r="L1115">
        <v>2.0000000000000001E-4</v>
      </c>
      <c r="M1115">
        <v>2.0000000000000001E-4</v>
      </c>
      <c r="N1115">
        <v>2.0000000000000001E-4</v>
      </c>
      <c r="O1115">
        <v>2.0000000000000001E-4</v>
      </c>
      <c r="P1115">
        <v>2.0000000000000001E-4</v>
      </c>
      <c r="Q1115">
        <v>2.0000000000000001E-4</v>
      </c>
      <c r="R1115">
        <v>2.0000000000000001E-4</v>
      </c>
      <c r="S1115">
        <v>2.0000000000000001E-4</v>
      </c>
      <c r="T1115">
        <v>2.0000000000000001E-4</v>
      </c>
      <c r="U1115">
        <v>2.0000000000000001E-4</v>
      </c>
      <c r="V1115">
        <v>2.0000000000000001E-4</v>
      </c>
      <c r="W1115">
        <v>2.0000000000000001E-4</v>
      </c>
      <c r="X1115">
        <v>2.0000000000000001E-4</v>
      </c>
      <c r="Y1115">
        <v>1E-4</v>
      </c>
    </row>
    <row r="1116" spans="1:25" hidden="1">
      <c r="A1116" t="s">
        <v>18807</v>
      </c>
      <c r="B1116" t="s">
        <v>938</v>
      </c>
      <c r="C1116" t="s">
        <v>925</v>
      </c>
      <c r="D1116" t="s">
        <v>934</v>
      </c>
      <c r="E1116" t="s">
        <v>768</v>
      </c>
      <c r="F1116" t="s">
        <v>598</v>
      </c>
      <c r="G1116" t="s">
        <v>478</v>
      </c>
      <c r="H1116" t="s">
        <v>600</v>
      </c>
      <c r="I1116" t="s">
        <v>601</v>
      </c>
      <c r="J1116">
        <v>1.5E-3</v>
      </c>
      <c r="K1116">
        <v>1.5E-3</v>
      </c>
      <c r="L1116">
        <v>1.5E-3</v>
      </c>
      <c r="M1116">
        <v>1.5E-3</v>
      </c>
      <c r="N1116">
        <v>1.5E-3</v>
      </c>
      <c r="O1116">
        <v>1.6000000000000001E-3</v>
      </c>
      <c r="P1116">
        <v>1.6999999999999999E-3</v>
      </c>
      <c r="Q1116">
        <v>1.6999999999999999E-3</v>
      </c>
      <c r="R1116">
        <v>1.6999999999999999E-3</v>
      </c>
      <c r="S1116">
        <v>1.6999999999999999E-3</v>
      </c>
      <c r="T1116">
        <v>1.6999999999999999E-3</v>
      </c>
      <c r="U1116">
        <v>1.6999999999999999E-3</v>
      </c>
      <c r="V1116">
        <v>1.6999999999999999E-3</v>
      </c>
      <c r="W1116">
        <v>1.8E-3</v>
      </c>
      <c r="X1116">
        <v>1.8E-3</v>
      </c>
      <c r="Y1116">
        <v>1.8E-3</v>
      </c>
    </row>
    <row r="1117" spans="1:25" hidden="1">
      <c r="A1117" t="s">
        <v>18807</v>
      </c>
      <c r="B1117" t="s">
        <v>940</v>
      </c>
      <c r="C1117" t="s">
        <v>925</v>
      </c>
      <c r="D1117" t="s">
        <v>648</v>
      </c>
      <c r="E1117" t="s">
        <v>927</v>
      </c>
      <c r="F1117" t="s">
        <v>598</v>
      </c>
      <c r="G1117" t="s">
        <v>478</v>
      </c>
      <c r="H1117" t="s">
        <v>600</v>
      </c>
      <c r="I1117" t="s">
        <v>601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</row>
    <row r="1118" spans="1:25" hidden="1">
      <c r="A1118" t="s">
        <v>18807</v>
      </c>
      <c r="B1118" t="s">
        <v>947</v>
      </c>
      <c r="C1118" t="s">
        <v>943</v>
      </c>
      <c r="D1118" t="s">
        <v>946</v>
      </c>
      <c r="E1118" t="s">
        <v>948</v>
      </c>
      <c r="F1118" t="s">
        <v>598</v>
      </c>
      <c r="G1118" t="s">
        <v>478</v>
      </c>
      <c r="H1118" t="s">
        <v>600</v>
      </c>
      <c r="I1118" t="s">
        <v>601</v>
      </c>
      <c r="J1118">
        <v>4.4999999999999997E-3</v>
      </c>
      <c r="K1118">
        <v>4.5999999999999999E-3</v>
      </c>
      <c r="L1118">
        <v>4.5999999999999999E-3</v>
      </c>
      <c r="M1118">
        <v>4.5999999999999999E-3</v>
      </c>
      <c r="N1118">
        <v>4.7000000000000002E-3</v>
      </c>
      <c r="O1118">
        <v>4.7000000000000002E-3</v>
      </c>
      <c r="P1118">
        <v>4.7000000000000002E-3</v>
      </c>
      <c r="Q1118">
        <v>4.7000000000000002E-3</v>
      </c>
      <c r="R1118">
        <v>4.7999999999999996E-3</v>
      </c>
      <c r="S1118">
        <v>4.7999999999999996E-3</v>
      </c>
      <c r="T1118">
        <v>4.7999999999999996E-3</v>
      </c>
      <c r="U1118">
        <v>4.8999999999999998E-3</v>
      </c>
      <c r="V1118">
        <v>4.8999999999999998E-3</v>
      </c>
      <c r="W1118">
        <v>4.8999999999999998E-3</v>
      </c>
      <c r="X1118">
        <v>4.8999999999999998E-3</v>
      </c>
      <c r="Y1118">
        <v>5.0000000000000001E-3</v>
      </c>
    </row>
    <row r="1119" spans="1:25" hidden="1">
      <c r="A1119" t="s">
        <v>18807</v>
      </c>
      <c r="B1119" t="s">
        <v>949</v>
      </c>
      <c r="C1119" t="s">
        <v>943</v>
      </c>
      <c r="D1119" t="s">
        <v>950</v>
      </c>
      <c r="E1119" t="s">
        <v>646</v>
      </c>
      <c r="F1119" t="s">
        <v>598</v>
      </c>
      <c r="G1119" t="s">
        <v>478</v>
      </c>
      <c r="H1119" t="s">
        <v>600</v>
      </c>
      <c r="I1119" t="s">
        <v>601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hidden="1">
      <c r="A1120" t="s">
        <v>18807</v>
      </c>
      <c r="B1120" t="s">
        <v>951</v>
      </c>
      <c r="C1120" t="s">
        <v>943</v>
      </c>
      <c r="D1120" t="s">
        <v>934</v>
      </c>
      <c r="E1120" t="s">
        <v>937</v>
      </c>
      <c r="F1120" t="s">
        <v>598</v>
      </c>
      <c r="G1120" t="s">
        <v>478</v>
      </c>
      <c r="H1120" t="s">
        <v>600</v>
      </c>
      <c r="I1120" t="s">
        <v>601</v>
      </c>
      <c r="J1120">
        <v>4.4699999999999997E-2</v>
      </c>
      <c r="K1120">
        <v>4.4999999999999998E-2</v>
      </c>
      <c r="L1120">
        <v>4.5400000000000003E-2</v>
      </c>
      <c r="M1120">
        <v>4.58E-2</v>
      </c>
      <c r="N1120">
        <v>4.6199999999999998E-2</v>
      </c>
      <c r="O1120">
        <v>4.6600000000000003E-2</v>
      </c>
      <c r="P1120">
        <v>4.7E-2</v>
      </c>
      <c r="Q1120">
        <v>4.7399999999999998E-2</v>
      </c>
      <c r="R1120">
        <v>4.7800000000000002E-2</v>
      </c>
      <c r="S1120">
        <v>4.8099999999999997E-2</v>
      </c>
      <c r="T1120">
        <v>4.8599999999999997E-2</v>
      </c>
      <c r="U1120">
        <v>4.9099999999999998E-2</v>
      </c>
      <c r="V1120">
        <v>4.9500000000000002E-2</v>
      </c>
      <c r="W1120">
        <v>4.99E-2</v>
      </c>
      <c r="X1120">
        <v>5.0299999999999997E-2</v>
      </c>
      <c r="Y1120">
        <v>5.0799999999999998E-2</v>
      </c>
    </row>
    <row r="1121" spans="1:25" hidden="1">
      <c r="A1121" t="s">
        <v>18807</v>
      </c>
      <c r="B1121" t="s">
        <v>955</v>
      </c>
      <c r="C1121" t="s">
        <v>956</v>
      </c>
      <c r="D1121" t="s">
        <v>931</v>
      </c>
      <c r="E1121" t="s">
        <v>597</v>
      </c>
      <c r="F1121" t="s">
        <v>598</v>
      </c>
      <c r="G1121" t="s">
        <v>478</v>
      </c>
      <c r="H1121" t="s">
        <v>600</v>
      </c>
      <c r="I1121" t="s">
        <v>601</v>
      </c>
      <c r="J1121">
        <v>1.67E-2</v>
      </c>
      <c r="K1121">
        <v>1.72E-2</v>
      </c>
      <c r="L1121">
        <v>1.7399999999999999E-2</v>
      </c>
      <c r="M1121">
        <v>1.7600000000000001E-2</v>
      </c>
      <c r="N1121">
        <v>1.77E-2</v>
      </c>
      <c r="O1121">
        <v>1.7999999999999999E-2</v>
      </c>
      <c r="P1121">
        <v>1.84E-2</v>
      </c>
      <c r="Q1121">
        <v>1.8700000000000001E-2</v>
      </c>
      <c r="R1121">
        <v>1.9E-2</v>
      </c>
      <c r="S1121">
        <v>1.9400000000000001E-2</v>
      </c>
      <c r="T1121">
        <v>1.9800000000000002E-2</v>
      </c>
      <c r="U1121">
        <v>2.0199999999999999E-2</v>
      </c>
      <c r="V1121">
        <v>2.06E-2</v>
      </c>
      <c r="W1121">
        <v>2.0899999999999998E-2</v>
      </c>
      <c r="X1121">
        <v>2.1499999999999998E-2</v>
      </c>
      <c r="Y1121">
        <v>2.1899999999999999E-2</v>
      </c>
    </row>
    <row r="1122" spans="1:25" hidden="1">
      <c r="A1122" t="s">
        <v>18807</v>
      </c>
      <c r="B1122" t="s">
        <v>957</v>
      </c>
      <c r="C1122" t="s">
        <v>956</v>
      </c>
      <c r="D1122" t="s">
        <v>931</v>
      </c>
      <c r="E1122" t="s">
        <v>605</v>
      </c>
      <c r="F1122" t="s">
        <v>598</v>
      </c>
      <c r="G1122" t="s">
        <v>478</v>
      </c>
      <c r="H1122" t="s">
        <v>600</v>
      </c>
      <c r="I1122" t="s">
        <v>601</v>
      </c>
      <c r="J1122">
        <v>6.9999999999999999E-4</v>
      </c>
      <c r="K1122">
        <v>8.0000000000000004E-4</v>
      </c>
      <c r="L1122">
        <v>8.0000000000000004E-4</v>
      </c>
      <c r="M1122">
        <v>8.0000000000000004E-4</v>
      </c>
      <c r="N1122">
        <v>8.0000000000000004E-4</v>
      </c>
      <c r="O1122">
        <v>8.0000000000000004E-4</v>
      </c>
      <c r="P1122">
        <v>8.0000000000000004E-4</v>
      </c>
      <c r="Q1122">
        <v>8.0000000000000004E-4</v>
      </c>
      <c r="R1122">
        <v>8.0000000000000004E-4</v>
      </c>
      <c r="S1122">
        <v>8.0000000000000004E-4</v>
      </c>
      <c r="T1122">
        <v>8.0000000000000004E-4</v>
      </c>
      <c r="U1122">
        <v>8.0000000000000004E-4</v>
      </c>
      <c r="V1122">
        <v>8.0000000000000004E-4</v>
      </c>
      <c r="W1122">
        <v>8.0000000000000004E-4</v>
      </c>
      <c r="X1122">
        <v>8.0000000000000004E-4</v>
      </c>
      <c r="Y1122">
        <v>8.0000000000000004E-4</v>
      </c>
    </row>
    <row r="1123" spans="1:25" hidden="1">
      <c r="A1123" t="s">
        <v>18807</v>
      </c>
      <c r="B1123" t="s">
        <v>958</v>
      </c>
      <c r="C1123" t="s">
        <v>956</v>
      </c>
      <c r="D1123" t="s">
        <v>931</v>
      </c>
      <c r="E1123" t="s">
        <v>656</v>
      </c>
      <c r="F1123" t="s">
        <v>598</v>
      </c>
      <c r="G1123" t="s">
        <v>478</v>
      </c>
      <c r="H1123" t="s">
        <v>600</v>
      </c>
      <c r="I1123" t="s">
        <v>601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18807</v>
      </c>
      <c r="B1124" t="s">
        <v>959</v>
      </c>
      <c r="C1124" t="s">
        <v>956</v>
      </c>
      <c r="D1124" t="s">
        <v>931</v>
      </c>
      <c r="E1124" t="s">
        <v>613</v>
      </c>
      <c r="F1124" t="s">
        <v>598</v>
      </c>
      <c r="G1124" t="s">
        <v>478</v>
      </c>
      <c r="H1124" t="s">
        <v>600</v>
      </c>
      <c r="I1124" t="s">
        <v>601</v>
      </c>
      <c r="J1124">
        <v>2.0000000000000001E-4</v>
      </c>
      <c r="K1124">
        <v>2.0000000000000001E-4</v>
      </c>
      <c r="L1124">
        <v>2.0000000000000001E-4</v>
      </c>
      <c r="M1124">
        <v>2.0000000000000001E-4</v>
      </c>
      <c r="N1124">
        <v>2.0000000000000001E-4</v>
      </c>
      <c r="O1124">
        <v>2.0000000000000001E-4</v>
      </c>
      <c r="P1124">
        <v>2.0000000000000001E-4</v>
      </c>
      <c r="Q1124">
        <v>2.0000000000000001E-4</v>
      </c>
      <c r="R1124">
        <v>2.0000000000000001E-4</v>
      </c>
      <c r="S1124">
        <v>2.0000000000000001E-4</v>
      </c>
      <c r="T1124">
        <v>2.0000000000000001E-4</v>
      </c>
      <c r="U1124">
        <v>2.0000000000000001E-4</v>
      </c>
      <c r="V1124">
        <v>2.0000000000000001E-4</v>
      </c>
      <c r="W1124">
        <v>2.0000000000000001E-4</v>
      </c>
      <c r="X1124">
        <v>2.0000000000000001E-4</v>
      </c>
      <c r="Y1124">
        <v>2.0000000000000001E-4</v>
      </c>
    </row>
    <row r="1125" spans="1:25" hidden="1">
      <c r="A1125" t="s">
        <v>18807</v>
      </c>
      <c r="B1125" t="s">
        <v>960</v>
      </c>
      <c r="C1125" t="s">
        <v>956</v>
      </c>
      <c r="D1125" t="s">
        <v>931</v>
      </c>
      <c r="E1125" t="s">
        <v>961</v>
      </c>
      <c r="F1125" t="s">
        <v>598</v>
      </c>
      <c r="G1125" t="s">
        <v>478</v>
      </c>
      <c r="H1125" t="s">
        <v>600</v>
      </c>
      <c r="I1125" t="s">
        <v>601</v>
      </c>
      <c r="J1125">
        <v>2.7000000000000001E-3</v>
      </c>
      <c r="K1125">
        <v>2.7000000000000001E-3</v>
      </c>
      <c r="L1125">
        <v>2.7000000000000001E-3</v>
      </c>
      <c r="M1125">
        <v>2.7000000000000001E-3</v>
      </c>
      <c r="N1125">
        <v>2.8E-3</v>
      </c>
      <c r="O1125">
        <v>2.8E-3</v>
      </c>
      <c r="P1125">
        <v>2.8E-3</v>
      </c>
      <c r="Q1125">
        <v>2.8E-3</v>
      </c>
      <c r="R1125">
        <v>2.8999999999999998E-3</v>
      </c>
      <c r="S1125">
        <v>2.8999999999999998E-3</v>
      </c>
      <c r="T1125">
        <v>2.8999999999999998E-3</v>
      </c>
      <c r="U1125">
        <v>2.8999999999999998E-3</v>
      </c>
      <c r="V1125">
        <v>3.0000000000000001E-3</v>
      </c>
      <c r="W1125">
        <v>3.0000000000000001E-3</v>
      </c>
      <c r="X1125">
        <v>3.0000000000000001E-3</v>
      </c>
      <c r="Y1125">
        <v>3.0000000000000001E-3</v>
      </c>
    </row>
    <row r="1126" spans="1:25" hidden="1">
      <c r="A1126" t="s">
        <v>18807</v>
      </c>
      <c r="B1126" t="s">
        <v>965</v>
      </c>
      <c r="C1126" t="s">
        <v>956</v>
      </c>
      <c r="D1126" t="s">
        <v>934</v>
      </c>
      <c r="E1126" t="s">
        <v>937</v>
      </c>
      <c r="F1126" t="s">
        <v>598</v>
      </c>
      <c r="G1126" t="s">
        <v>478</v>
      </c>
      <c r="H1126" t="s">
        <v>600</v>
      </c>
      <c r="I1126" t="s">
        <v>601</v>
      </c>
      <c r="J1126">
        <v>9.2999999999999992E-3</v>
      </c>
      <c r="K1126">
        <v>9.2999999999999992E-3</v>
      </c>
      <c r="L1126">
        <v>9.4000000000000004E-3</v>
      </c>
      <c r="M1126">
        <v>9.5999999999999992E-3</v>
      </c>
      <c r="N1126">
        <v>9.5999999999999992E-3</v>
      </c>
      <c r="O1126">
        <v>9.7000000000000003E-3</v>
      </c>
      <c r="P1126">
        <v>9.7999999999999997E-3</v>
      </c>
      <c r="Q1126">
        <v>9.9000000000000008E-3</v>
      </c>
      <c r="R1126">
        <v>0.01</v>
      </c>
      <c r="S1126">
        <v>1.01E-2</v>
      </c>
      <c r="T1126">
        <v>1.0200000000000001E-2</v>
      </c>
      <c r="U1126">
        <v>1.0200000000000001E-2</v>
      </c>
      <c r="V1126">
        <v>1.03E-2</v>
      </c>
      <c r="W1126">
        <v>1.0500000000000001E-2</v>
      </c>
      <c r="X1126">
        <v>1.0500000000000001E-2</v>
      </c>
      <c r="Y1126">
        <v>1.0500000000000001E-2</v>
      </c>
    </row>
    <row r="1127" spans="1:25" hidden="1">
      <c r="A1127" t="s">
        <v>18807</v>
      </c>
      <c r="B1127" t="s">
        <v>968</v>
      </c>
      <c r="C1127" t="s">
        <v>956</v>
      </c>
      <c r="D1127" t="s">
        <v>648</v>
      </c>
      <c r="E1127" t="s">
        <v>961</v>
      </c>
      <c r="F1127" t="s">
        <v>598</v>
      </c>
      <c r="G1127" t="s">
        <v>478</v>
      </c>
      <c r="H1127" t="s">
        <v>600</v>
      </c>
      <c r="I1127" t="s">
        <v>601</v>
      </c>
      <c r="J1127">
        <v>1.8E-3</v>
      </c>
      <c r="K1127">
        <v>1.9E-3</v>
      </c>
      <c r="L1127">
        <v>1.9E-3</v>
      </c>
      <c r="M1127">
        <v>1.9E-3</v>
      </c>
      <c r="N1127">
        <v>1.9E-3</v>
      </c>
      <c r="O1127">
        <v>1.9E-3</v>
      </c>
      <c r="P1127">
        <v>1.9E-3</v>
      </c>
      <c r="Q1127">
        <v>2E-3</v>
      </c>
      <c r="R1127">
        <v>2E-3</v>
      </c>
      <c r="S1127">
        <v>2E-3</v>
      </c>
      <c r="T1127">
        <v>2E-3</v>
      </c>
      <c r="U1127">
        <v>2E-3</v>
      </c>
      <c r="V1127">
        <v>2E-3</v>
      </c>
      <c r="W1127">
        <v>2.0999999999999999E-3</v>
      </c>
      <c r="X1127">
        <v>2.0999999999999999E-3</v>
      </c>
      <c r="Y1127">
        <v>2.0999999999999999E-3</v>
      </c>
    </row>
    <row r="1128" spans="1:25" hidden="1">
      <c r="A1128" t="s">
        <v>18807</v>
      </c>
      <c r="B1128" t="s">
        <v>974</v>
      </c>
      <c r="C1128" t="s">
        <v>971</v>
      </c>
      <c r="D1128" t="s">
        <v>648</v>
      </c>
      <c r="E1128" t="s">
        <v>973</v>
      </c>
      <c r="F1128" t="s">
        <v>598</v>
      </c>
      <c r="G1128" t="s">
        <v>478</v>
      </c>
      <c r="H1128" t="s">
        <v>600</v>
      </c>
      <c r="I1128" t="s">
        <v>601</v>
      </c>
      <c r="J1128">
        <v>3.39E-2</v>
      </c>
      <c r="K1128">
        <v>3.4099999999999998E-2</v>
      </c>
      <c r="L1128">
        <v>3.4299999999999997E-2</v>
      </c>
      <c r="M1128">
        <v>3.4500000000000003E-2</v>
      </c>
      <c r="N1128">
        <v>3.4700000000000002E-2</v>
      </c>
      <c r="O1128">
        <v>3.5000000000000003E-2</v>
      </c>
      <c r="P1128">
        <v>3.5200000000000002E-2</v>
      </c>
      <c r="Q1128">
        <v>3.5400000000000001E-2</v>
      </c>
      <c r="R1128">
        <v>3.56E-2</v>
      </c>
      <c r="S1128">
        <v>3.5799999999999998E-2</v>
      </c>
      <c r="T1128">
        <v>3.5999999999999997E-2</v>
      </c>
      <c r="U1128">
        <v>3.6200000000000003E-2</v>
      </c>
      <c r="V1128">
        <v>3.6400000000000002E-2</v>
      </c>
      <c r="W1128">
        <v>3.6600000000000001E-2</v>
      </c>
      <c r="X1128">
        <v>3.6799999999999999E-2</v>
      </c>
      <c r="Y1128">
        <v>3.6900000000000002E-2</v>
      </c>
    </row>
    <row r="1129" spans="1:25" hidden="1">
      <c r="A1129" t="s">
        <v>18807</v>
      </c>
      <c r="B1129" t="s">
        <v>975</v>
      </c>
      <c r="C1129" t="s">
        <v>971</v>
      </c>
      <c r="D1129" t="s">
        <v>648</v>
      </c>
      <c r="E1129" t="s">
        <v>597</v>
      </c>
      <c r="F1129" t="s">
        <v>598</v>
      </c>
      <c r="G1129" t="s">
        <v>478</v>
      </c>
      <c r="H1129" t="s">
        <v>600</v>
      </c>
      <c r="I1129" t="s">
        <v>601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18807</v>
      </c>
      <c r="B1130" t="s">
        <v>976</v>
      </c>
      <c r="C1130" t="s">
        <v>971</v>
      </c>
      <c r="D1130" t="s">
        <v>648</v>
      </c>
      <c r="E1130" t="s">
        <v>642</v>
      </c>
      <c r="F1130" t="s">
        <v>598</v>
      </c>
      <c r="G1130" t="s">
        <v>478</v>
      </c>
      <c r="H1130" t="s">
        <v>600</v>
      </c>
      <c r="I1130" t="s">
        <v>601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18807</v>
      </c>
      <c r="B1131" t="s">
        <v>977</v>
      </c>
      <c r="C1131" t="s">
        <v>971</v>
      </c>
      <c r="D1131" t="s">
        <v>648</v>
      </c>
      <c r="E1131" t="s">
        <v>613</v>
      </c>
      <c r="F1131" t="s">
        <v>598</v>
      </c>
      <c r="G1131" t="s">
        <v>478</v>
      </c>
      <c r="H1131" t="s">
        <v>600</v>
      </c>
      <c r="I1131" t="s">
        <v>601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</row>
    <row r="1132" spans="1:25" hidden="1">
      <c r="A1132" t="s">
        <v>18807</v>
      </c>
      <c r="B1132" t="s">
        <v>979</v>
      </c>
      <c r="C1132" t="s">
        <v>980</v>
      </c>
      <c r="D1132" t="s">
        <v>931</v>
      </c>
      <c r="E1132" t="s">
        <v>937</v>
      </c>
      <c r="F1132" t="s">
        <v>598</v>
      </c>
      <c r="G1132" t="s">
        <v>478</v>
      </c>
      <c r="H1132" t="s">
        <v>600</v>
      </c>
      <c r="I1132" t="s">
        <v>601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18807</v>
      </c>
      <c r="B1133" t="s">
        <v>981</v>
      </c>
      <c r="C1133" t="s">
        <v>980</v>
      </c>
      <c r="D1133" t="s">
        <v>982</v>
      </c>
      <c r="E1133" t="s">
        <v>613</v>
      </c>
      <c r="F1133" t="s">
        <v>598</v>
      </c>
      <c r="G1133" t="s">
        <v>478</v>
      </c>
      <c r="H1133" t="s">
        <v>600</v>
      </c>
      <c r="I1133" t="s">
        <v>601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hidden="1">
      <c r="A1134" t="s">
        <v>18807</v>
      </c>
      <c r="B1134" t="s">
        <v>983</v>
      </c>
      <c r="C1134" t="s">
        <v>980</v>
      </c>
      <c r="D1134" t="s">
        <v>982</v>
      </c>
      <c r="E1134" t="s">
        <v>984</v>
      </c>
      <c r="F1134" t="s">
        <v>598</v>
      </c>
      <c r="G1134" t="s">
        <v>478</v>
      </c>
      <c r="H1134" t="s">
        <v>600</v>
      </c>
      <c r="I1134" t="s">
        <v>601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</row>
    <row r="1135" spans="1:25" hidden="1">
      <c r="A1135" t="s">
        <v>18807</v>
      </c>
      <c r="B1135" t="s">
        <v>985</v>
      </c>
      <c r="C1135" t="s">
        <v>980</v>
      </c>
      <c r="D1135" t="s">
        <v>986</v>
      </c>
      <c r="E1135" t="s">
        <v>973</v>
      </c>
      <c r="F1135" t="s">
        <v>598</v>
      </c>
      <c r="G1135" t="s">
        <v>478</v>
      </c>
      <c r="H1135" t="s">
        <v>600</v>
      </c>
      <c r="I1135" t="s">
        <v>601</v>
      </c>
      <c r="J1135">
        <v>2.0000000000000001E-4</v>
      </c>
      <c r="K1135">
        <v>2.0000000000000001E-4</v>
      </c>
      <c r="L1135">
        <v>2.0000000000000001E-4</v>
      </c>
      <c r="M1135">
        <v>2.0000000000000001E-4</v>
      </c>
      <c r="N1135">
        <v>2.0000000000000001E-4</v>
      </c>
      <c r="O1135">
        <v>2.0000000000000001E-4</v>
      </c>
      <c r="P1135">
        <v>2.0000000000000001E-4</v>
      </c>
      <c r="Q1135">
        <v>2.0000000000000001E-4</v>
      </c>
      <c r="R1135">
        <v>2.0000000000000001E-4</v>
      </c>
      <c r="S1135">
        <v>2.0000000000000001E-4</v>
      </c>
      <c r="T1135">
        <v>2.0000000000000001E-4</v>
      </c>
      <c r="U1135">
        <v>2.0000000000000001E-4</v>
      </c>
      <c r="V1135">
        <v>2.0000000000000001E-4</v>
      </c>
      <c r="W1135">
        <v>2.0000000000000001E-4</v>
      </c>
      <c r="X1135">
        <v>2.0000000000000001E-4</v>
      </c>
      <c r="Y1135">
        <v>2.0000000000000001E-4</v>
      </c>
    </row>
    <row r="1136" spans="1:25" hidden="1">
      <c r="A1136" t="s">
        <v>18807</v>
      </c>
      <c r="B1136" t="s">
        <v>989</v>
      </c>
      <c r="C1136" t="s">
        <v>980</v>
      </c>
      <c r="D1136" t="s">
        <v>648</v>
      </c>
      <c r="E1136" t="s">
        <v>613</v>
      </c>
      <c r="F1136" t="s">
        <v>598</v>
      </c>
      <c r="G1136" t="s">
        <v>478</v>
      </c>
      <c r="H1136" t="s">
        <v>600</v>
      </c>
      <c r="I1136" t="s">
        <v>601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</row>
    <row r="1137" spans="1:25" hidden="1">
      <c r="A1137" t="s">
        <v>18807</v>
      </c>
      <c r="B1137" t="s">
        <v>990</v>
      </c>
      <c r="C1137" t="s">
        <v>980</v>
      </c>
      <c r="D1137" t="s">
        <v>648</v>
      </c>
      <c r="E1137" t="s">
        <v>984</v>
      </c>
      <c r="F1137" t="s">
        <v>598</v>
      </c>
      <c r="G1137" t="s">
        <v>478</v>
      </c>
      <c r="H1137" t="s">
        <v>600</v>
      </c>
      <c r="I1137" t="s">
        <v>601</v>
      </c>
      <c r="J1137">
        <v>2.9999999999999997E-4</v>
      </c>
      <c r="K1137">
        <v>2.9999999999999997E-4</v>
      </c>
      <c r="L1137">
        <v>2.9999999999999997E-4</v>
      </c>
      <c r="M1137">
        <v>2.9999999999999997E-4</v>
      </c>
      <c r="N1137">
        <v>2.9999999999999997E-4</v>
      </c>
      <c r="O1137">
        <v>2.9999999999999997E-4</v>
      </c>
      <c r="P1137">
        <v>2.9999999999999997E-4</v>
      </c>
      <c r="Q1137">
        <v>2.9999999999999997E-4</v>
      </c>
      <c r="R1137">
        <v>2.9999999999999997E-4</v>
      </c>
      <c r="S1137">
        <v>2.9999999999999997E-4</v>
      </c>
      <c r="T1137">
        <v>2.9999999999999997E-4</v>
      </c>
      <c r="U1137">
        <v>2.9999999999999997E-4</v>
      </c>
      <c r="V1137">
        <v>2.9999999999999997E-4</v>
      </c>
      <c r="W1137">
        <v>2.9999999999999997E-4</v>
      </c>
      <c r="X1137">
        <v>2.9999999999999997E-4</v>
      </c>
      <c r="Y1137">
        <v>2.9999999999999997E-4</v>
      </c>
    </row>
    <row r="1138" spans="1:25" hidden="1">
      <c r="A1138" t="s">
        <v>18807</v>
      </c>
      <c r="B1138" t="s">
        <v>997</v>
      </c>
      <c r="C1138" t="s">
        <v>998</v>
      </c>
      <c r="D1138" t="s">
        <v>999</v>
      </c>
      <c r="E1138" t="s">
        <v>1000</v>
      </c>
      <c r="F1138" t="s">
        <v>598</v>
      </c>
      <c r="G1138" t="s">
        <v>478</v>
      </c>
      <c r="H1138" t="s">
        <v>600</v>
      </c>
      <c r="I1138" t="s">
        <v>601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18807</v>
      </c>
      <c r="B1139" t="s">
        <v>1005</v>
      </c>
      <c r="C1139" t="s">
        <v>998</v>
      </c>
      <c r="D1139" t="s">
        <v>999</v>
      </c>
      <c r="E1139" t="s">
        <v>1006</v>
      </c>
      <c r="F1139" t="s">
        <v>598</v>
      </c>
      <c r="G1139" t="s">
        <v>478</v>
      </c>
      <c r="H1139" t="s">
        <v>600</v>
      </c>
      <c r="I1139" t="s">
        <v>601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hidden="1">
      <c r="A1140" t="s">
        <v>18807</v>
      </c>
      <c r="B1140" t="s">
        <v>1009</v>
      </c>
      <c r="C1140" t="s">
        <v>998</v>
      </c>
      <c r="D1140" t="s">
        <v>999</v>
      </c>
      <c r="E1140" t="s">
        <v>1010</v>
      </c>
      <c r="F1140" t="s">
        <v>598</v>
      </c>
      <c r="G1140" t="s">
        <v>478</v>
      </c>
      <c r="H1140" t="s">
        <v>600</v>
      </c>
      <c r="I1140" t="s">
        <v>601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18807</v>
      </c>
      <c r="B1141" t="s">
        <v>1015</v>
      </c>
      <c r="C1141" t="s">
        <v>1016</v>
      </c>
      <c r="D1141" t="s">
        <v>1017</v>
      </c>
      <c r="E1141" t="s">
        <v>1018</v>
      </c>
      <c r="F1141" t="s">
        <v>598</v>
      </c>
      <c r="G1141" t="s">
        <v>478</v>
      </c>
      <c r="H1141" t="s">
        <v>600</v>
      </c>
      <c r="I1141" t="s">
        <v>601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18807</v>
      </c>
      <c r="B1142" t="s">
        <v>1019</v>
      </c>
      <c r="C1142" t="s">
        <v>1016</v>
      </c>
      <c r="D1142" t="s">
        <v>1017</v>
      </c>
      <c r="E1142" t="s">
        <v>1020</v>
      </c>
      <c r="F1142" t="s">
        <v>598</v>
      </c>
      <c r="G1142" t="s">
        <v>478</v>
      </c>
      <c r="H1142" t="s">
        <v>600</v>
      </c>
      <c r="I1142" t="s">
        <v>601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18807</v>
      </c>
      <c r="B1143" t="s">
        <v>1021</v>
      </c>
      <c r="C1143" t="s">
        <v>1016</v>
      </c>
      <c r="D1143" t="s">
        <v>1017</v>
      </c>
      <c r="E1143" t="s">
        <v>1022</v>
      </c>
      <c r="F1143" t="s">
        <v>598</v>
      </c>
      <c r="G1143" t="s">
        <v>478</v>
      </c>
      <c r="H1143" t="s">
        <v>600</v>
      </c>
      <c r="I1143" t="s">
        <v>601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hidden="1">
      <c r="A1144" t="s">
        <v>18807</v>
      </c>
      <c r="B1144" t="s">
        <v>1023</v>
      </c>
      <c r="C1144" t="s">
        <v>1016</v>
      </c>
      <c r="D1144" t="s">
        <v>1017</v>
      </c>
      <c r="E1144" t="s">
        <v>1024</v>
      </c>
      <c r="F1144" t="s">
        <v>598</v>
      </c>
      <c r="G1144" t="s">
        <v>478</v>
      </c>
      <c r="H1144" t="s">
        <v>600</v>
      </c>
      <c r="I1144" t="s">
        <v>601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hidden="1">
      <c r="A1145" t="s">
        <v>18807</v>
      </c>
      <c r="B1145" t="s">
        <v>1025</v>
      </c>
      <c r="C1145" t="s">
        <v>1016</v>
      </c>
      <c r="D1145" t="s">
        <v>1017</v>
      </c>
      <c r="E1145" t="s">
        <v>1026</v>
      </c>
      <c r="F1145" t="s">
        <v>598</v>
      </c>
      <c r="G1145" t="s">
        <v>478</v>
      </c>
      <c r="H1145" t="s">
        <v>600</v>
      </c>
      <c r="I1145" t="s">
        <v>601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18807</v>
      </c>
      <c r="B1146" t="s">
        <v>1027</v>
      </c>
      <c r="C1146" t="s">
        <v>1016</v>
      </c>
      <c r="D1146" t="s">
        <v>1017</v>
      </c>
      <c r="E1146" t="s">
        <v>1028</v>
      </c>
      <c r="F1146" t="s">
        <v>598</v>
      </c>
      <c r="G1146" t="s">
        <v>478</v>
      </c>
      <c r="H1146" t="s">
        <v>600</v>
      </c>
      <c r="I1146" t="s">
        <v>601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hidden="1">
      <c r="A1147" t="s">
        <v>18807</v>
      </c>
      <c r="B1147" t="s">
        <v>1029</v>
      </c>
      <c r="C1147" t="s">
        <v>1016</v>
      </c>
      <c r="D1147" t="s">
        <v>1017</v>
      </c>
      <c r="E1147" t="s">
        <v>1030</v>
      </c>
      <c r="F1147" t="s">
        <v>598</v>
      </c>
      <c r="G1147" t="s">
        <v>478</v>
      </c>
      <c r="H1147" t="s">
        <v>600</v>
      </c>
      <c r="I1147" t="s">
        <v>601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hidden="1">
      <c r="A1148" t="s">
        <v>18807</v>
      </c>
      <c r="B1148" t="s">
        <v>1034</v>
      </c>
      <c r="C1148" t="s">
        <v>1016</v>
      </c>
      <c r="D1148" t="s">
        <v>1017</v>
      </c>
      <c r="E1148" t="s">
        <v>1035</v>
      </c>
      <c r="F1148" t="s">
        <v>598</v>
      </c>
      <c r="G1148" t="s">
        <v>478</v>
      </c>
      <c r="H1148" t="s">
        <v>600</v>
      </c>
      <c r="I1148" t="s">
        <v>601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hidden="1">
      <c r="A1149" t="s">
        <v>18807</v>
      </c>
      <c r="B1149" t="s">
        <v>1037</v>
      </c>
      <c r="C1149" t="s">
        <v>1016</v>
      </c>
      <c r="D1149" t="s">
        <v>1017</v>
      </c>
      <c r="E1149" t="s">
        <v>1038</v>
      </c>
      <c r="F1149" t="s">
        <v>598</v>
      </c>
      <c r="G1149" t="s">
        <v>478</v>
      </c>
      <c r="H1149" t="s">
        <v>600</v>
      </c>
      <c r="I1149" t="s">
        <v>601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hidden="1">
      <c r="A1150" t="s">
        <v>18807</v>
      </c>
      <c r="B1150" t="s">
        <v>1039</v>
      </c>
      <c r="C1150" t="s">
        <v>1016</v>
      </c>
      <c r="D1150" t="s">
        <v>1017</v>
      </c>
      <c r="E1150" t="s">
        <v>1040</v>
      </c>
      <c r="F1150" t="s">
        <v>598</v>
      </c>
      <c r="G1150" t="s">
        <v>478</v>
      </c>
      <c r="H1150" t="s">
        <v>600</v>
      </c>
      <c r="I1150" t="s">
        <v>601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18807</v>
      </c>
      <c r="B1151" t="s">
        <v>1041</v>
      </c>
      <c r="C1151" t="s">
        <v>1016</v>
      </c>
      <c r="D1151" t="s">
        <v>1017</v>
      </c>
      <c r="E1151" t="s">
        <v>1042</v>
      </c>
      <c r="F1151" t="s">
        <v>598</v>
      </c>
      <c r="G1151" t="s">
        <v>478</v>
      </c>
      <c r="H1151" t="s">
        <v>600</v>
      </c>
      <c r="I1151" t="s">
        <v>601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hidden="1">
      <c r="A1152" t="s">
        <v>18807</v>
      </c>
      <c r="B1152" t="s">
        <v>1045</v>
      </c>
      <c r="C1152" t="s">
        <v>1016</v>
      </c>
      <c r="D1152" t="s">
        <v>1017</v>
      </c>
      <c r="E1152" t="s">
        <v>1046</v>
      </c>
      <c r="F1152" t="s">
        <v>598</v>
      </c>
      <c r="G1152" t="s">
        <v>478</v>
      </c>
      <c r="H1152" t="s">
        <v>600</v>
      </c>
      <c r="I1152" t="s">
        <v>601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18807</v>
      </c>
      <c r="B1153" t="s">
        <v>1047</v>
      </c>
      <c r="C1153" t="s">
        <v>1016</v>
      </c>
      <c r="D1153" t="s">
        <v>1017</v>
      </c>
      <c r="E1153" t="s">
        <v>1048</v>
      </c>
      <c r="F1153" t="s">
        <v>598</v>
      </c>
      <c r="G1153" t="s">
        <v>478</v>
      </c>
      <c r="H1153" t="s">
        <v>600</v>
      </c>
      <c r="I1153" t="s">
        <v>601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hidden="1">
      <c r="A1154" t="s">
        <v>18807</v>
      </c>
      <c r="B1154" t="s">
        <v>1049</v>
      </c>
      <c r="C1154" t="s">
        <v>1016</v>
      </c>
      <c r="D1154" t="s">
        <v>1050</v>
      </c>
      <c r="E1154" t="s">
        <v>1024</v>
      </c>
      <c r="F1154" t="s">
        <v>598</v>
      </c>
      <c r="G1154" t="s">
        <v>478</v>
      </c>
      <c r="H1154" t="s">
        <v>600</v>
      </c>
      <c r="I1154" t="s">
        <v>601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hidden="1">
      <c r="A1155" t="s">
        <v>18807</v>
      </c>
      <c r="B1155" t="s">
        <v>1051</v>
      </c>
      <c r="C1155" t="s">
        <v>1016</v>
      </c>
      <c r="D1155" t="s">
        <v>1050</v>
      </c>
      <c r="E1155" t="s">
        <v>1052</v>
      </c>
      <c r="F1155" t="s">
        <v>598</v>
      </c>
      <c r="G1155" t="s">
        <v>478</v>
      </c>
      <c r="H1155" t="s">
        <v>600</v>
      </c>
      <c r="I1155" t="s">
        <v>601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hidden="1">
      <c r="A1156" t="s">
        <v>18807</v>
      </c>
      <c r="B1156" t="s">
        <v>1053</v>
      </c>
      <c r="C1156" t="s">
        <v>1016</v>
      </c>
      <c r="D1156" t="s">
        <v>1050</v>
      </c>
      <c r="E1156" t="s">
        <v>1000</v>
      </c>
      <c r="F1156" t="s">
        <v>598</v>
      </c>
      <c r="G1156" t="s">
        <v>478</v>
      </c>
      <c r="H1156" t="s">
        <v>600</v>
      </c>
      <c r="I1156" t="s">
        <v>601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hidden="1">
      <c r="A1157" t="s">
        <v>18807</v>
      </c>
      <c r="B1157" t="s">
        <v>1054</v>
      </c>
      <c r="C1157" t="s">
        <v>1016</v>
      </c>
      <c r="D1157" t="s">
        <v>1050</v>
      </c>
      <c r="E1157" t="s">
        <v>1055</v>
      </c>
      <c r="F1157" t="s">
        <v>598</v>
      </c>
      <c r="G1157" t="s">
        <v>478</v>
      </c>
      <c r="H1157" t="s">
        <v>600</v>
      </c>
      <c r="I1157" t="s">
        <v>601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hidden="1">
      <c r="A1158" t="s">
        <v>18807</v>
      </c>
      <c r="B1158" t="s">
        <v>1059</v>
      </c>
      <c r="C1158" t="s">
        <v>1016</v>
      </c>
      <c r="D1158" t="s">
        <v>1050</v>
      </c>
      <c r="E1158" t="s">
        <v>1042</v>
      </c>
      <c r="F1158" t="s">
        <v>598</v>
      </c>
      <c r="G1158" t="s">
        <v>478</v>
      </c>
      <c r="H1158" t="s">
        <v>600</v>
      </c>
      <c r="I1158" t="s">
        <v>601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hidden="1">
      <c r="A1159" t="s">
        <v>18807</v>
      </c>
      <c r="B1159" t="s">
        <v>1060</v>
      </c>
      <c r="C1159" t="s">
        <v>1016</v>
      </c>
      <c r="D1159" t="s">
        <v>1050</v>
      </c>
      <c r="E1159" t="s">
        <v>1044</v>
      </c>
      <c r="F1159" t="s">
        <v>598</v>
      </c>
      <c r="G1159" t="s">
        <v>478</v>
      </c>
      <c r="H1159" t="s">
        <v>600</v>
      </c>
      <c r="I1159" t="s">
        <v>601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hidden="1">
      <c r="A1160" t="s">
        <v>18807</v>
      </c>
      <c r="B1160" t="s">
        <v>1061</v>
      </c>
      <c r="C1160" t="s">
        <v>1016</v>
      </c>
      <c r="D1160" t="s">
        <v>1050</v>
      </c>
      <c r="E1160" t="s">
        <v>1048</v>
      </c>
      <c r="F1160" t="s">
        <v>598</v>
      </c>
      <c r="G1160" t="s">
        <v>478</v>
      </c>
      <c r="H1160" t="s">
        <v>600</v>
      </c>
      <c r="I1160" t="s">
        <v>601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hidden="1">
      <c r="A1161" t="s">
        <v>18807</v>
      </c>
      <c r="B1161" t="s">
        <v>1062</v>
      </c>
      <c r="C1161" t="s">
        <v>1016</v>
      </c>
      <c r="D1161" t="s">
        <v>1063</v>
      </c>
      <c r="E1161" t="s">
        <v>1018</v>
      </c>
      <c r="F1161" t="s">
        <v>598</v>
      </c>
      <c r="G1161" t="s">
        <v>478</v>
      </c>
      <c r="H1161" t="s">
        <v>600</v>
      </c>
      <c r="I1161" t="s">
        <v>601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 hidden="1">
      <c r="A1162" t="s">
        <v>18807</v>
      </c>
      <c r="B1162" t="s">
        <v>1064</v>
      </c>
      <c r="C1162" t="s">
        <v>1016</v>
      </c>
      <c r="D1162" t="s">
        <v>1063</v>
      </c>
      <c r="E1162" t="s">
        <v>1022</v>
      </c>
      <c r="F1162" t="s">
        <v>598</v>
      </c>
      <c r="G1162" t="s">
        <v>478</v>
      </c>
      <c r="H1162" t="s">
        <v>600</v>
      </c>
      <c r="I1162" t="s">
        <v>601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hidden="1">
      <c r="A1163" t="s">
        <v>18807</v>
      </c>
      <c r="B1163" t="s">
        <v>1065</v>
      </c>
      <c r="C1163" t="s">
        <v>1016</v>
      </c>
      <c r="D1163" t="s">
        <v>1063</v>
      </c>
      <c r="E1163" t="s">
        <v>1024</v>
      </c>
      <c r="F1163" t="s">
        <v>598</v>
      </c>
      <c r="G1163" t="s">
        <v>478</v>
      </c>
      <c r="H1163" t="s">
        <v>600</v>
      </c>
      <c r="I1163" t="s">
        <v>601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 hidden="1">
      <c r="A1164" t="s">
        <v>18807</v>
      </c>
      <c r="B1164" t="s">
        <v>1067</v>
      </c>
      <c r="C1164" t="s">
        <v>1016</v>
      </c>
      <c r="D1164" t="s">
        <v>1063</v>
      </c>
      <c r="E1164" t="s">
        <v>1026</v>
      </c>
      <c r="F1164" t="s">
        <v>598</v>
      </c>
      <c r="G1164" t="s">
        <v>478</v>
      </c>
      <c r="H1164" t="s">
        <v>600</v>
      </c>
      <c r="I1164" t="s">
        <v>601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hidden="1">
      <c r="A1165" t="s">
        <v>18807</v>
      </c>
      <c r="B1165" t="s">
        <v>1068</v>
      </c>
      <c r="C1165" t="s">
        <v>1016</v>
      </c>
      <c r="D1165" t="s">
        <v>1063</v>
      </c>
      <c r="E1165" t="s">
        <v>1030</v>
      </c>
      <c r="F1165" t="s">
        <v>598</v>
      </c>
      <c r="G1165" t="s">
        <v>478</v>
      </c>
      <c r="H1165" t="s">
        <v>600</v>
      </c>
      <c r="I1165" t="s">
        <v>601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 hidden="1">
      <c r="A1166" t="s">
        <v>18807</v>
      </c>
      <c r="B1166" t="s">
        <v>1069</v>
      </c>
      <c r="C1166" t="s">
        <v>1016</v>
      </c>
      <c r="D1166" t="s">
        <v>1063</v>
      </c>
      <c r="E1166" t="s">
        <v>1035</v>
      </c>
      <c r="F1166" t="s">
        <v>598</v>
      </c>
      <c r="G1166" t="s">
        <v>478</v>
      </c>
      <c r="H1166" t="s">
        <v>600</v>
      </c>
      <c r="I1166" t="s">
        <v>601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hidden="1">
      <c r="A1167" t="s">
        <v>18807</v>
      </c>
      <c r="B1167" t="s">
        <v>1071</v>
      </c>
      <c r="C1167" t="s">
        <v>1016</v>
      </c>
      <c r="D1167" t="s">
        <v>1063</v>
      </c>
      <c r="E1167" t="s">
        <v>1038</v>
      </c>
      <c r="F1167" t="s">
        <v>598</v>
      </c>
      <c r="G1167" t="s">
        <v>478</v>
      </c>
      <c r="H1167" t="s">
        <v>600</v>
      </c>
      <c r="I1167" t="s">
        <v>601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hidden="1">
      <c r="A1168" t="s">
        <v>18807</v>
      </c>
      <c r="B1168" t="s">
        <v>1072</v>
      </c>
      <c r="C1168" t="s">
        <v>1016</v>
      </c>
      <c r="D1168" t="s">
        <v>1063</v>
      </c>
      <c r="E1168" t="s">
        <v>1040</v>
      </c>
      <c r="F1168" t="s">
        <v>598</v>
      </c>
      <c r="G1168" t="s">
        <v>478</v>
      </c>
      <c r="H1168" t="s">
        <v>600</v>
      </c>
      <c r="I1168" t="s">
        <v>601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hidden="1">
      <c r="A1169" t="s">
        <v>18807</v>
      </c>
      <c r="B1169" t="s">
        <v>1073</v>
      </c>
      <c r="C1169" t="s">
        <v>1016</v>
      </c>
      <c r="D1169" t="s">
        <v>1063</v>
      </c>
      <c r="E1169" t="s">
        <v>1042</v>
      </c>
      <c r="F1169" t="s">
        <v>598</v>
      </c>
      <c r="G1169" t="s">
        <v>478</v>
      </c>
      <c r="H1169" t="s">
        <v>600</v>
      </c>
      <c r="I1169" t="s">
        <v>601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 hidden="1">
      <c r="A1170" t="s">
        <v>18807</v>
      </c>
      <c r="B1170" t="s">
        <v>1074</v>
      </c>
      <c r="C1170" t="s">
        <v>1016</v>
      </c>
      <c r="D1170" t="s">
        <v>1063</v>
      </c>
      <c r="E1170" t="s">
        <v>1044</v>
      </c>
      <c r="F1170" t="s">
        <v>598</v>
      </c>
      <c r="G1170" t="s">
        <v>478</v>
      </c>
      <c r="H1170" t="s">
        <v>600</v>
      </c>
      <c r="I1170" t="s">
        <v>601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hidden="1">
      <c r="A1171" t="s">
        <v>18807</v>
      </c>
      <c r="B1171" t="s">
        <v>1075</v>
      </c>
      <c r="C1171" t="s">
        <v>1016</v>
      </c>
      <c r="D1171" t="s">
        <v>1063</v>
      </c>
      <c r="E1171" t="s">
        <v>1046</v>
      </c>
      <c r="F1171" t="s">
        <v>598</v>
      </c>
      <c r="G1171" t="s">
        <v>478</v>
      </c>
      <c r="H1171" t="s">
        <v>600</v>
      </c>
      <c r="I1171" t="s">
        <v>601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hidden="1">
      <c r="A1172" t="s">
        <v>18807</v>
      </c>
      <c r="B1172" t="s">
        <v>1076</v>
      </c>
      <c r="C1172" t="s">
        <v>1016</v>
      </c>
      <c r="D1172" t="s">
        <v>1063</v>
      </c>
      <c r="E1172" t="s">
        <v>1048</v>
      </c>
      <c r="F1172" t="s">
        <v>598</v>
      </c>
      <c r="G1172" t="s">
        <v>478</v>
      </c>
      <c r="H1172" t="s">
        <v>600</v>
      </c>
      <c r="I1172" t="s">
        <v>601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hidden="1">
      <c r="A1173" t="s">
        <v>18807</v>
      </c>
      <c r="B1173" t="s">
        <v>1077</v>
      </c>
      <c r="C1173" t="s">
        <v>1016</v>
      </c>
      <c r="D1173" t="s">
        <v>648</v>
      </c>
      <c r="E1173" t="s">
        <v>954</v>
      </c>
      <c r="F1173" t="s">
        <v>598</v>
      </c>
      <c r="G1173" t="s">
        <v>478</v>
      </c>
      <c r="H1173" t="s">
        <v>600</v>
      </c>
      <c r="I1173" t="s">
        <v>601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hidden="1">
      <c r="A1174" t="s">
        <v>18807</v>
      </c>
      <c r="B1174" t="s">
        <v>1082</v>
      </c>
      <c r="C1174" t="s">
        <v>1079</v>
      </c>
      <c r="D1174" t="s">
        <v>1083</v>
      </c>
      <c r="E1174" t="s">
        <v>1084</v>
      </c>
      <c r="F1174" t="s">
        <v>598</v>
      </c>
      <c r="G1174" t="s">
        <v>478</v>
      </c>
      <c r="H1174" t="s">
        <v>600</v>
      </c>
      <c r="I1174" t="s">
        <v>601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25" hidden="1">
      <c r="A1175" t="s">
        <v>18807</v>
      </c>
      <c r="B1175" t="s">
        <v>1087</v>
      </c>
      <c r="C1175" t="s">
        <v>1079</v>
      </c>
      <c r="D1175" t="s">
        <v>1086</v>
      </c>
      <c r="E1175" t="s">
        <v>1081</v>
      </c>
      <c r="F1175" t="s">
        <v>598</v>
      </c>
      <c r="G1175" t="s">
        <v>478</v>
      </c>
      <c r="H1175" t="s">
        <v>600</v>
      </c>
      <c r="I1175" t="s">
        <v>601</v>
      </c>
      <c r="J1175">
        <v>5.0000000000000001E-4</v>
      </c>
      <c r="K1175">
        <v>5.0000000000000001E-4</v>
      </c>
      <c r="L1175">
        <v>5.0000000000000001E-4</v>
      </c>
      <c r="M1175">
        <v>5.0000000000000001E-4</v>
      </c>
      <c r="N1175">
        <v>5.0000000000000001E-4</v>
      </c>
      <c r="O1175">
        <v>5.0000000000000001E-4</v>
      </c>
      <c r="P1175">
        <v>5.0000000000000001E-4</v>
      </c>
      <c r="Q1175">
        <v>5.0000000000000001E-4</v>
      </c>
      <c r="R1175">
        <v>5.0000000000000001E-4</v>
      </c>
      <c r="S1175">
        <v>5.9999999999999995E-4</v>
      </c>
      <c r="T1175">
        <v>5.9999999999999995E-4</v>
      </c>
      <c r="U1175">
        <v>5.9999999999999995E-4</v>
      </c>
      <c r="V1175">
        <v>5.9999999999999995E-4</v>
      </c>
      <c r="W1175">
        <v>5.9999999999999995E-4</v>
      </c>
      <c r="X1175">
        <v>5.9999999999999995E-4</v>
      </c>
      <c r="Y1175">
        <v>6.9999999999999999E-4</v>
      </c>
    </row>
    <row r="1176" spans="1:25" hidden="1">
      <c r="A1176" t="s">
        <v>18807</v>
      </c>
      <c r="B1176" t="s">
        <v>1090</v>
      </c>
      <c r="C1176" t="s">
        <v>1079</v>
      </c>
      <c r="D1176" t="s">
        <v>1086</v>
      </c>
      <c r="E1176" t="s">
        <v>1091</v>
      </c>
      <c r="F1176" t="s">
        <v>598</v>
      </c>
      <c r="G1176" t="s">
        <v>478</v>
      </c>
      <c r="H1176" t="s">
        <v>600</v>
      </c>
      <c r="I1176" t="s">
        <v>601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 hidden="1">
      <c r="A1177" t="s">
        <v>18807</v>
      </c>
      <c r="B1177" t="s">
        <v>1094</v>
      </c>
      <c r="C1177" t="s">
        <v>1079</v>
      </c>
      <c r="D1177" t="s">
        <v>1086</v>
      </c>
      <c r="E1177" t="s">
        <v>1095</v>
      </c>
      <c r="F1177" t="s">
        <v>598</v>
      </c>
      <c r="G1177" t="s">
        <v>478</v>
      </c>
      <c r="H1177" t="s">
        <v>600</v>
      </c>
      <c r="I1177" t="s">
        <v>601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 hidden="1">
      <c r="A1178" t="s">
        <v>18807</v>
      </c>
      <c r="B1178" t="s">
        <v>1100</v>
      </c>
      <c r="C1178" t="s">
        <v>1079</v>
      </c>
      <c r="D1178" t="s">
        <v>1086</v>
      </c>
      <c r="E1178" t="s">
        <v>1101</v>
      </c>
      <c r="F1178" t="s">
        <v>598</v>
      </c>
      <c r="G1178" t="s">
        <v>478</v>
      </c>
      <c r="H1178" t="s">
        <v>600</v>
      </c>
      <c r="I1178" t="s">
        <v>601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hidden="1">
      <c r="A1179" t="s">
        <v>18807</v>
      </c>
      <c r="B1179" t="s">
        <v>1102</v>
      </c>
      <c r="C1179" t="s">
        <v>1079</v>
      </c>
      <c r="D1179" t="s">
        <v>1086</v>
      </c>
      <c r="E1179" t="s">
        <v>1103</v>
      </c>
      <c r="F1179" t="s">
        <v>598</v>
      </c>
      <c r="G1179" t="s">
        <v>478</v>
      </c>
      <c r="H1179" t="s">
        <v>600</v>
      </c>
      <c r="I1179" t="s">
        <v>601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hidden="1">
      <c r="A1180" t="s">
        <v>18807</v>
      </c>
      <c r="B1180" t="s">
        <v>1104</v>
      </c>
      <c r="C1180" t="s">
        <v>1079</v>
      </c>
      <c r="D1180" t="s">
        <v>1105</v>
      </c>
      <c r="E1180" t="s">
        <v>1106</v>
      </c>
      <c r="F1180" t="s">
        <v>598</v>
      </c>
      <c r="G1180" t="s">
        <v>478</v>
      </c>
      <c r="H1180" t="s">
        <v>600</v>
      </c>
      <c r="I1180" t="s">
        <v>601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hidden="1">
      <c r="A1181" t="s">
        <v>18807</v>
      </c>
      <c r="B1181" t="s">
        <v>1113</v>
      </c>
      <c r="C1181" t="s">
        <v>1079</v>
      </c>
      <c r="D1181" t="s">
        <v>1108</v>
      </c>
      <c r="E1181" t="s">
        <v>1101</v>
      </c>
      <c r="F1181" t="s">
        <v>598</v>
      </c>
      <c r="G1181" t="s">
        <v>478</v>
      </c>
      <c r="H1181" t="s">
        <v>600</v>
      </c>
      <c r="I1181" t="s">
        <v>601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hidden="1">
      <c r="A1182" t="s">
        <v>18807</v>
      </c>
      <c r="B1182" t="s">
        <v>1114</v>
      </c>
      <c r="C1182" t="s">
        <v>1079</v>
      </c>
      <c r="D1182" t="s">
        <v>1115</v>
      </c>
      <c r="E1182" t="s">
        <v>1081</v>
      </c>
      <c r="F1182" t="s">
        <v>598</v>
      </c>
      <c r="G1182" t="s">
        <v>478</v>
      </c>
      <c r="H1182" t="s">
        <v>600</v>
      </c>
      <c r="I1182" t="s">
        <v>601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hidden="1">
      <c r="A1183" t="s">
        <v>18807</v>
      </c>
      <c r="B1183" t="s">
        <v>1120</v>
      </c>
      <c r="C1183" t="s">
        <v>1079</v>
      </c>
      <c r="D1183" t="s">
        <v>1121</v>
      </c>
      <c r="E1183" t="s">
        <v>1081</v>
      </c>
      <c r="F1183" t="s">
        <v>598</v>
      </c>
      <c r="G1183" t="s">
        <v>478</v>
      </c>
      <c r="H1183" t="s">
        <v>600</v>
      </c>
      <c r="I1183" t="s">
        <v>601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hidden="1">
      <c r="A1184" t="s">
        <v>18807</v>
      </c>
      <c r="B1184" t="s">
        <v>1125</v>
      </c>
      <c r="C1184" t="s">
        <v>1079</v>
      </c>
      <c r="D1184" t="s">
        <v>1126</v>
      </c>
      <c r="E1184" t="s">
        <v>1081</v>
      </c>
      <c r="F1184" t="s">
        <v>598</v>
      </c>
      <c r="G1184" t="s">
        <v>478</v>
      </c>
      <c r="H1184" t="s">
        <v>600</v>
      </c>
      <c r="I1184" t="s">
        <v>601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</row>
    <row r="1185" spans="1:25" hidden="1">
      <c r="A1185" t="s">
        <v>18807</v>
      </c>
      <c r="B1185" t="s">
        <v>1133</v>
      </c>
      <c r="C1185" t="s">
        <v>1079</v>
      </c>
      <c r="D1185" t="s">
        <v>1134</v>
      </c>
      <c r="E1185" t="s">
        <v>1081</v>
      </c>
      <c r="F1185" t="s">
        <v>598</v>
      </c>
      <c r="G1185" t="s">
        <v>478</v>
      </c>
      <c r="H1185" t="s">
        <v>600</v>
      </c>
      <c r="I1185" t="s">
        <v>601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</row>
    <row r="1186" spans="1:25" hidden="1">
      <c r="A1186" t="s">
        <v>18807</v>
      </c>
      <c r="B1186" t="s">
        <v>1140</v>
      </c>
      <c r="C1186" t="s">
        <v>1079</v>
      </c>
      <c r="D1186" t="s">
        <v>1134</v>
      </c>
      <c r="E1186" t="s">
        <v>1141</v>
      </c>
      <c r="F1186" t="s">
        <v>598</v>
      </c>
      <c r="G1186" t="s">
        <v>478</v>
      </c>
      <c r="H1186" t="s">
        <v>600</v>
      </c>
      <c r="I1186" t="s">
        <v>601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</row>
    <row r="1187" spans="1:25" hidden="1">
      <c r="A1187" t="s">
        <v>18807</v>
      </c>
      <c r="B1187" t="s">
        <v>1144</v>
      </c>
      <c r="C1187" t="s">
        <v>1079</v>
      </c>
      <c r="D1187" t="s">
        <v>1145</v>
      </c>
      <c r="E1187" t="s">
        <v>1081</v>
      </c>
      <c r="F1187" t="s">
        <v>598</v>
      </c>
      <c r="G1187" t="s">
        <v>478</v>
      </c>
      <c r="H1187" t="s">
        <v>600</v>
      </c>
      <c r="I1187" t="s">
        <v>601</v>
      </c>
      <c r="J1187">
        <v>1E-4</v>
      </c>
      <c r="K1187">
        <v>1E-4</v>
      </c>
      <c r="L1187">
        <v>1E-4</v>
      </c>
      <c r="M1187">
        <v>1E-4</v>
      </c>
      <c r="N1187">
        <v>1E-4</v>
      </c>
      <c r="O1187">
        <v>1E-4</v>
      </c>
      <c r="P1187">
        <v>1E-4</v>
      </c>
      <c r="Q1187">
        <v>1E-4</v>
      </c>
      <c r="R1187">
        <v>2.0000000000000001E-4</v>
      </c>
      <c r="S1187">
        <v>2.0000000000000001E-4</v>
      </c>
      <c r="T1187">
        <v>2.0000000000000001E-4</v>
      </c>
      <c r="U1187">
        <v>2.0000000000000001E-4</v>
      </c>
      <c r="V1187">
        <v>2.0000000000000001E-4</v>
      </c>
      <c r="W1187">
        <v>2.0000000000000001E-4</v>
      </c>
      <c r="X1187">
        <v>2.0000000000000001E-4</v>
      </c>
      <c r="Y1187">
        <v>2.0000000000000001E-4</v>
      </c>
    </row>
    <row r="1188" spans="1:25" hidden="1">
      <c r="A1188" t="s">
        <v>18807</v>
      </c>
      <c r="B1188" t="s">
        <v>1146</v>
      </c>
      <c r="C1188" t="s">
        <v>1079</v>
      </c>
      <c r="D1188" t="s">
        <v>1145</v>
      </c>
      <c r="E1188" t="s">
        <v>1091</v>
      </c>
      <c r="F1188" t="s">
        <v>598</v>
      </c>
      <c r="G1188" t="s">
        <v>478</v>
      </c>
      <c r="H1188" t="s">
        <v>600</v>
      </c>
      <c r="I1188" t="s">
        <v>601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hidden="1">
      <c r="A1189" t="s">
        <v>18807</v>
      </c>
      <c r="B1189" t="s">
        <v>1148</v>
      </c>
      <c r="C1189" t="s">
        <v>1079</v>
      </c>
      <c r="D1189" t="s">
        <v>1145</v>
      </c>
      <c r="E1189" t="s">
        <v>1095</v>
      </c>
      <c r="F1189" t="s">
        <v>598</v>
      </c>
      <c r="G1189" t="s">
        <v>478</v>
      </c>
      <c r="H1189" t="s">
        <v>600</v>
      </c>
      <c r="I1189" t="s">
        <v>601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</row>
    <row r="1190" spans="1:25" hidden="1">
      <c r="A1190" t="s">
        <v>18807</v>
      </c>
      <c r="B1190" t="s">
        <v>1151</v>
      </c>
      <c r="C1190" t="s">
        <v>1079</v>
      </c>
      <c r="D1190" t="s">
        <v>1145</v>
      </c>
      <c r="E1190" t="s">
        <v>1101</v>
      </c>
      <c r="F1190" t="s">
        <v>598</v>
      </c>
      <c r="G1190" t="s">
        <v>478</v>
      </c>
      <c r="H1190" t="s">
        <v>600</v>
      </c>
      <c r="I1190" t="s">
        <v>601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25" hidden="1">
      <c r="A1191" t="s">
        <v>18807</v>
      </c>
      <c r="B1191" t="s">
        <v>1154</v>
      </c>
      <c r="C1191" t="s">
        <v>1079</v>
      </c>
      <c r="D1191" t="s">
        <v>1145</v>
      </c>
      <c r="E1191" t="s">
        <v>1103</v>
      </c>
      <c r="F1191" t="s">
        <v>598</v>
      </c>
      <c r="G1191" t="s">
        <v>478</v>
      </c>
      <c r="H1191" t="s">
        <v>600</v>
      </c>
      <c r="I1191" t="s">
        <v>601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</row>
    <row r="1192" spans="1:25" hidden="1">
      <c r="A1192" t="s">
        <v>18807</v>
      </c>
      <c r="B1192" t="s">
        <v>1155</v>
      </c>
      <c r="C1192" t="s">
        <v>1079</v>
      </c>
      <c r="D1192" t="s">
        <v>1156</v>
      </c>
      <c r="E1192" t="s">
        <v>1081</v>
      </c>
      <c r="F1192" t="s">
        <v>598</v>
      </c>
      <c r="G1192" t="s">
        <v>478</v>
      </c>
      <c r="H1192" t="s">
        <v>600</v>
      </c>
      <c r="I1192" t="s">
        <v>601</v>
      </c>
      <c r="J1192">
        <v>3.7000000000000002E-3</v>
      </c>
      <c r="K1192">
        <v>3.8E-3</v>
      </c>
      <c r="L1192">
        <v>3.8999999999999998E-3</v>
      </c>
      <c r="M1192">
        <v>4.0000000000000001E-3</v>
      </c>
      <c r="N1192">
        <v>4.1000000000000003E-3</v>
      </c>
      <c r="O1192">
        <v>4.1999999999999997E-3</v>
      </c>
      <c r="P1192">
        <v>4.4000000000000003E-3</v>
      </c>
      <c r="Q1192">
        <v>4.4999999999999997E-3</v>
      </c>
      <c r="R1192">
        <v>4.7000000000000002E-3</v>
      </c>
      <c r="S1192">
        <v>4.7999999999999996E-3</v>
      </c>
      <c r="T1192">
        <v>5.0000000000000001E-3</v>
      </c>
      <c r="U1192">
        <v>5.1000000000000004E-3</v>
      </c>
      <c r="V1192">
        <v>5.1999999999999998E-3</v>
      </c>
      <c r="W1192">
        <v>5.4000000000000003E-3</v>
      </c>
      <c r="X1192">
        <v>5.5999999999999999E-3</v>
      </c>
      <c r="Y1192">
        <v>5.7000000000000002E-3</v>
      </c>
    </row>
    <row r="1193" spans="1:25" hidden="1">
      <c r="A1193" t="s">
        <v>18807</v>
      </c>
      <c r="B1193" t="s">
        <v>1157</v>
      </c>
      <c r="C1193" t="s">
        <v>1079</v>
      </c>
      <c r="D1193" t="s">
        <v>1156</v>
      </c>
      <c r="E1193" t="s">
        <v>1091</v>
      </c>
      <c r="F1193" t="s">
        <v>598</v>
      </c>
      <c r="G1193" t="s">
        <v>478</v>
      </c>
      <c r="H1193" t="s">
        <v>600</v>
      </c>
      <c r="I1193" t="s">
        <v>601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25" hidden="1">
      <c r="A1194" t="s">
        <v>18807</v>
      </c>
      <c r="B1194" t="s">
        <v>1160</v>
      </c>
      <c r="C1194" t="s">
        <v>1079</v>
      </c>
      <c r="D1194" t="s">
        <v>1156</v>
      </c>
      <c r="E1194" t="s">
        <v>1099</v>
      </c>
      <c r="F1194" t="s">
        <v>598</v>
      </c>
      <c r="G1194" t="s">
        <v>478</v>
      </c>
      <c r="H1194" t="s">
        <v>600</v>
      </c>
      <c r="I1194" t="s">
        <v>601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</row>
    <row r="1195" spans="1:25" hidden="1">
      <c r="A1195" t="s">
        <v>18807</v>
      </c>
      <c r="B1195" t="s">
        <v>1161</v>
      </c>
      <c r="C1195" t="s">
        <v>1079</v>
      </c>
      <c r="D1195" t="s">
        <v>1156</v>
      </c>
      <c r="E1195" t="s">
        <v>1101</v>
      </c>
      <c r="F1195" t="s">
        <v>598</v>
      </c>
      <c r="G1195" t="s">
        <v>478</v>
      </c>
      <c r="H1195" t="s">
        <v>600</v>
      </c>
      <c r="I1195" t="s">
        <v>601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hidden="1">
      <c r="A1196" t="s">
        <v>18807</v>
      </c>
      <c r="B1196" t="s">
        <v>1165</v>
      </c>
      <c r="C1196" t="s">
        <v>1079</v>
      </c>
      <c r="D1196" t="s">
        <v>1164</v>
      </c>
      <c r="E1196" t="s">
        <v>1089</v>
      </c>
      <c r="F1196" t="s">
        <v>598</v>
      </c>
      <c r="G1196" t="s">
        <v>478</v>
      </c>
      <c r="H1196" t="s">
        <v>600</v>
      </c>
      <c r="I1196" t="s">
        <v>601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hidden="1">
      <c r="A1197" t="s">
        <v>18807</v>
      </c>
      <c r="B1197" t="s">
        <v>1166</v>
      </c>
      <c r="C1197" t="s">
        <v>1079</v>
      </c>
      <c r="D1197" t="s">
        <v>1164</v>
      </c>
      <c r="E1197" t="s">
        <v>1093</v>
      </c>
      <c r="F1197" t="s">
        <v>598</v>
      </c>
      <c r="G1197" t="s">
        <v>478</v>
      </c>
      <c r="H1197" t="s">
        <v>600</v>
      </c>
      <c r="I1197" t="s">
        <v>601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</row>
    <row r="1198" spans="1:25" hidden="1">
      <c r="A1198" t="s">
        <v>18807</v>
      </c>
      <c r="B1198" t="s">
        <v>1167</v>
      </c>
      <c r="C1198" t="s">
        <v>1079</v>
      </c>
      <c r="D1198" t="s">
        <v>1164</v>
      </c>
      <c r="E1198" t="s">
        <v>1095</v>
      </c>
      <c r="F1198" t="s">
        <v>598</v>
      </c>
      <c r="G1198" t="s">
        <v>478</v>
      </c>
      <c r="H1198" t="s">
        <v>600</v>
      </c>
      <c r="I1198" t="s">
        <v>601</v>
      </c>
      <c r="J1198">
        <v>2.9999999999999997E-4</v>
      </c>
      <c r="K1198">
        <v>4.0000000000000002E-4</v>
      </c>
      <c r="L1198">
        <v>4.0000000000000002E-4</v>
      </c>
      <c r="M1198">
        <v>4.0000000000000002E-4</v>
      </c>
      <c r="N1198">
        <v>4.0000000000000002E-4</v>
      </c>
      <c r="O1198">
        <v>4.0000000000000002E-4</v>
      </c>
      <c r="P1198">
        <v>4.0000000000000002E-4</v>
      </c>
      <c r="Q1198">
        <v>5.0000000000000001E-4</v>
      </c>
      <c r="R1198">
        <v>5.0000000000000001E-4</v>
      </c>
      <c r="S1198">
        <v>5.0000000000000001E-4</v>
      </c>
      <c r="T1198">
        <v>5.0000000000000001E-4</v>
      </c>
      <c r="U1198">
        <v>5.0000000000000001E-4</v>
      </c>
      <c r="V1198">
        <v>5.0000000000000001E-4</v>
      </c>
      <c r="W1198">
        <v>5.0000000000000001E-4</v>
      </c>
      <c r="X1198">
        <v>5.9999999999999995E-4</v>
      </c>
      <c r="Y1198">
        <v>5.9999999999999995E-4</v>
      </c>
    </row>
    <row r="1199" spans="1:25" hidden="1">
      <c r="A1199" t="s">
        <v>18807</v>
      </c>
      <c r="B1199" t="s">
        <v>1168</v>
      </c>
      <c r="C1199" t="s">
        <v>1079</v>
      </c>
      <c r="D1199" t="s">
        <v>1164</v>
      </c>
      <c r="E1199" t="s">
        <v>1141</v>
      </c>
      <c r="F1199" t="s">
        <v>598</v>
      </c>
      <c r="G1199" t="s">
        <v>478</v>
      </c>
      <c r="H1199" t="s">
        <v>600</v>
      </c>
      <c r="I1199" t="s">
        <v>601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hidden="1">
      <c r="A1200" t="s">
        <v>18807</v>
      </c>
      <c r="B1200" t="s">
        <v>1170</v>
      </c>
      <c r="C1200" t="s">
        <v>1079</v>
      </c>
      <c r="D1200" t="s">
        <v>1164</v>
      </c>
      <c r="E1200" t="s">
        <v>1103</v>
      </c>
      <c r="F1200" t="s">
        <v>598</v>
      </c>
      <c r="G1200" t="s">
        <v>478</v>
      </c>
      <c r="H1200" t="s">
        <v>600</v>
      </c>
      <c r="I1200" t="s">
        <v>601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hidden="1">
      <c r="A1201" t="s">
        <v>18807</v>
      </c>
      <c r="B1201" t="s">
        <v>1175</v>
      </c>
      <c r="C1201" t="s">
        <v>1079</v>
      </c>
      <c r="D1201" t="s">
        <v>1172</v>
      </c>
      <c r="E1201" t="s">
        <v>1101</v>
      </c>
      <c r="F1201" t="s">
        <v>598</v>
      </c>
      <c r="G1201" t="s">
        <v>478</v>
      </c>
      <c r="H1201" t="s">
        <v>600</v>
      </c>
      <c r="I1201" t="s">
        <v>601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hidden="1">
      <c r="A1202" t="s">
        <v>18807</v>
      </c>
      <c r="B1202" t="s">
        <v>1179</v>
      </c>
      <c r="C1202" t="s">
        <v>1079</v>
      </c>
      <c r="D1202" t="s">
        <v>1180</v>
      </c>
      <c r="E1202" t="s">
        <v>1081</v>
      </c>
      <c r="F1202" t="s">
        <v>598</v>
      </c>
      <c r="G1202" t="s">
        <v>478</v>
      </c>
      <c r="H1202" t="s">
        <v>600</v>
      </c>
      <c r="I1202" t="s">
        <v>601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hidden="1">
      <c r="A1203" t="s">
        <v>18807</v>
      </c>
      <c r="B1203" t="s">
        <v>1181</v>
      </c>
      <c r="C1203" t="s">
        <v>1079</v>
      </c>
      <c r="D1203" t="s">
        <v>1180</v>
      </c>
      <c r="E1203" t="s">
        <v>1091</v>
      </c>
      <c r="F1203" t="s">
        <v>598</v>
      </c>
      <c r="G1203" t="s">
        <v>478</v>
      </c>
      <c r="H1203" t="s">
        <v>600</v>
      </c>
      <c r="I1203" t="s">
        <v>601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hidden="1">
      <c r="A1204" t="s">
        <v>18807</v>
      </c>
      <c r="B1204" t="s">
        <v>1182</v>
      </c>
      <c r="C1204" t="s">
        <v>1079</v>
      </c>
      <c r="D1204" t="s">
        <v>1180</v>
      </c>
      <c r="E1204" t="s">
        <v>1095</v>
      </c>
      <c r="F1204" t="s">
        <v>598</v>
      </c>
      <c r="G1204" t="s">
        <v>478</v>
      </c>
      <c r="H1204" t="s">
        <v>600</v>
      </c>
      <c r="I1204" t="s">
        <v>601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 hidden="1">
      <c r="A1205" t="s">
        <v>18807</v>
      </c>
      <c r="B1205" t="s">
        <v>1185</v>
      </c>
      <c r="C1205" t="s">
        <v>1079</v>
      </c>
      <c r="D1205" t="s">
        <v>1180</v>
      </c>
      <c r="E1205" t="s">
        <v>1101</v>
      </c>
      <c r="F1205" t="s">
        <v>598</v>
      </c>
      <c r="G1205" t="s">
        <v>478</v>
      </c>
      <c r="H1205" t="s">
        <v>600</v>
      </c>
      <c r="I1205" t="s">
        <v>601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hidden="1">
      <c r="A1206" t="s">
        <v>18807</v>
      </c>
      <c r="B1206" t="s">
        <v>1217</v>
      </c>
      <c r="C1206" t="s">
        <v>1079</v>
      </c>
      <c r="D1206" t="s">
        <v>1188</v>
      </c>
      <c r="E1206" t="s">
        <v>1106</v>
      </c>
      <c r="F1206" t="s">
        <v>598</v>
      </c>
      <c r="G1206" t="s">
        <v>478</v>
      </c>
      <c r="H1206" t="s">
        <v>600</v>
      </c>
      <c r="I1206" t="s">
        <v>601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hidden="1">
      <c r="A1207" t="s">
        <v>18807</v>
      </c>
      <c r="B1207" t="s">
        <v>1218</v>
      </c>
      <c r="C1207" t="s">
        <v>1079</v>
      </c>
      <c r="D1207" t="s">
        <v>1188</v>
      </c>
      <c r="E1207" t="s">
        <v>1219</v>
      </c>
      <c r="F1207" t="s">
        <v>598</v>
      </c>
      <c r="G1207" t="s">
        <v>478</v>
      </c>
      <c r="H1207" t="s">
        <v>600</v>
      </c>
      <c r="I1207" t="s">
        <v>601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hidden="1">
      <c r="A1208" t="s">
        <v>18807</v>
      </c>
      <c r="B1208" t="s">
        <v>1220</v>
      </c>
      <c r="C1208" t="s">
        <v>1079</v>
      </c>
      <c r="D1208" t="s">
        <v>1188</v>
      </c>
      <c r="E1208" t="s">
        <v>1084</v>
      </c>
      <c r="F1208" t="s">
        <v>598</v>
      </c>
      <c r="G1208" t="s">
        <v>478</v>
      </c>
      <c r="H1208" t="s">
        <v>600</v>
      </c>
      <c r="I1208" t="s">
        <v>601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</row>
    <row r="1209" spans="1:25" hidden="1">
      <c r="A1209" t="s">
        <v>18807</v>
      </c>
      <c r="B1209" t="s">
        <v>1221</v>
      </c>
      <c r="C1209" t="s">
        <v>1079</v>
      </c>
      <c r="D1209" t="s">
        <v>648</v>
      </c>
      <c r="E1209" t="s">
        <v>1081</v>
      </c>
      <c r="F1209" t="s">
        <v>598</v>
      </c>
      <c r="G1209" t="s">
        <v>478</v>
      </c>
      <c r="H1209" t="s">
        <v>600</v>
      </c>
      <c r="I1209" t="s">
        <v>601</v>
      </c>
      <c r="J1209">
        <v>5.8999999999999999E-3</v>
      </c>
      <c r="K1209">
        <v>6.0000000000000001E-3</v>
      </c>
      <c r="L1209">
        <v>6.1000000000000004E-3</v>
      </c>
      <c r="M1209">
        <v>6.1999999999999998E-3</v>
      </c>
      <c r="N1209">
        <v>6.3E-3</v>
      </c>
      <c r="O1209">
        <v>6.4000000000000003E-3</v>
      </c>
      <c r="P1209">
        <v>6.4999999999999997E-3</v>
      </c>
      <c r="Q1209">
        <v>6.6E-3</v>
      </c>
      <c r="R1209">
        <v>6.7000000000000002E-3</v>
      </c>
      <c r="S1209">
        <v>6.8999999999999999E-3</v>
      </c>
      <c r="T1209">
        <v>7.0000000000000001E-3</v>
      </c>
      <c r="U1209">
        <v>7.1000000000000004E-3</v>
      </c>
      <c r="V1209">
        <v>7.3000000000000001E-3</v>
      </c>
      <c r="W1209">
        <v>7.4000000000000003E-3</v>
      </c>
      <c r="X1209">
        <v>7.6E-3</v>
      </c>
      <c r="Y1209">
        <v>7.7999999999999996E-3</v>
      </c>
    </row>
    <row r="1210" spans="1:25" hidden="1">
      <c r="A1210" t="s">
        <v>18807</v>
      </c>
      <c r="B1210" t="s">
        <v>1224</v>
      </c>
      <c r="C1210" t="s">
        <v>1079</v>
      </c>
      <c r="D1210" t="s">
        <v>648</v>
      </c>
      <c r="E1210" t="s">
        <v>1095</v>
      </c>
      <c r="F1210" t="s">
        <v>598</v>
      </c>
      <c r="G1210" t="s">
        <v>478</v>
      </c>
      <c r="H1210" t="s">
        <v>600</v>
      </c>
      <c r="I1210" t="s">
        <v>601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hidden="1">
      <c r="A1211" t="s">
        <v>18807</v>
      </c>
      <c r="B1211" t="s">
        <v>1227</v>
      </c>
      <c r="C1211" t="s">
        <v>1079</v>
      </c>
      <c r="D1211" t="s">
        <v>648</v>
      </c>
      <c r="E1211" t="s">
        <v>1101</v>
      </c>
      <c r="F1211" t="s">
        <v>598</v>
      </c>
      <c r="G1211" t="s">
        <v>478</v>
      </c>
      <c r="H1211" t="s">
        <v>600</v>
      </c>
      <c r="I1211" t="s">
        <v>601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hidden="1">
      <c r="A1212" t="s">
        <v>18807</v>
      </c>
      <c r="B1212" t="s">
        <v>1228</v>
      </c>
      <c r="C1212" t="s">
        <v>1079</v>
      </c>
      <c r="D1212" t="s">
        <v>648</v>
      </c>
      <c r="E1212" t="s">
        <v>1103</v>
      </c>
      <c r="F1212" t="s">
        <v>598</v>
      </c>
      <c r="G1212" t="s">
        <v>478</v>
      </c>
      <c r="H1212" t="s">
        <v>600</v>
      </c>
      <c r="I1212" t="s">
        <v>601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hidden="1">
      <c r="A1213" t="s">
        <v>18807</v>
      </c>
      <c r="B1213" t="s">
        <v>1231</v>
      </c>
      <c r="C1213" t="s">
        <v>1230</v>
      </c>
      <c r="D1213" t="s">
        <v>1188</v>
      </c>
      <c r="E1213" t="s">
        <v>1028</v>
      </c>
      <c r="F1213" t="s">
        <v>598</v>
      </c>
      <c r="G1213" t="s">
        <v>478</v>
      </c>
      <c r="H1213" t="s">
        <v>600</v>
      </c>
      <c r="I1213" t="s">
        <v>601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hidden="1">
      <c r="A1214" t="s">
        <v>18807</v>
      </c>
      <c r="B1214" t="s">
        <v>1232</v>
      </c>
      <c r="C1214" t="s">
        <v>1230</v>
      </c>
      <c r="D1214" t="s">
        <v>1188</v>
      </c>
      <c r="E1214" t="s">
        <v>1233</v>
      </c>
      <c r="F1214" t="s">
        <v>598</v>
      </c>
      <c r="G1214" t="s">
        <v>478</v>
      </c>
      <c r="H1214" t="s">
        <v>600</v>
      </c>
      <c r="I1214" t="s">
        <v>601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hidden="1">
      <c r="A1215" t="s">
        <v>18807</v>
      </c>
      <c r="B1215" t="s">
        <v>1234</v>
      </c>
      <c r="C1215" t="s">
        <v>1230</v>
      </c>
      <c r="D1215" t="s">
        <v>1188</v>
      </c>
      <c r="E1215" t="s">
        <v>1004</v>
      </c>
      <c r="F1215" t="s">
        <v>598</v>
      </c>
      <c r="G1215" t="s">
        <v>478</v>
      </c>
      <c r="H1215" t="s">
        <v>600</v>
      </c>
      <c r="I1215" t="s">
        <v>601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hidden="1">
      <c r="A1216" t="s">
        <v>18807</v>
      </c>
      <c r="B1216" t="s">
        <v>1235</v>
      </c>
      <c r="C1216" t="s">
        <v>1230</v>
      </c>
      <c r="D1216" t="s">
        <v>1188</v>
      </c>
      <c r="E1216" t="s">
        <v>1219</v>
      </c>
      <c r="F1216" t="s">
        <v>598</v>
      </c>
      <c r="G1216" t="s">
        <v>478</v>
      </c>
      <c r="H1216" t="s">
        <v>600</v>
      </c>
      <c r="I1216" t="s">
        <v>601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hidden="1">
      <c r="A1217" t="s">
        <v>18807</v>
      </c>
      <c r="B1217" t="s">
        <v>1240</v>
      </c>
      <c r="C1217" t="s">
        <v>1230</v>
      </c>
      <c r="D1217" t="s">
        <v>1241</v>
      </c>
      <c r="E1217" t="s">
        <v>1239</v>
      </c>
      <c r="F1217" t="s">
        <v>598</v>
      </c>
      <c r="G1217" t="s">
        <v>478</v>
      </c>
      <c r="H1217" t="s">
        <v>600</v>
      </c>
      <c r="I1217" t="s">
        <v>601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hidden="1">
      <c r="A1218" t="s">
        <v>18807</v>
      </c>
      <c r="B1218" t="s">
        <v>1244</v>
      </c>
      <c r="C1218" t="s">
        <v>1230</v>
      </c>
      <c r="D1218" t="s">
        <v>1243</v>
      </c>
      <c r="E1218" t="s">
        <v>1239</v>
      </c>
      <c r="F1218" t="s">
        <v>598</v>
      </c>
      <c r="G1218" t="s">
        <v>478</v>
      </c>
      <c r="H1218" t="s">
        <v>600</v>
      </c>
      <c r="I1218" t="s">
        <v>601</v>
      </c>
      <c r="J1218">
        <v>5.9999999999999995E-4</v>
      </c>
      <c r="K1218">
        <v>5.9999999999999995E-4</v>
      </c>
      <c r="L1218">
        <v>5.9999999999999995E-4</v>
      </c>
      <c r="M1218">
        <v>5.9999999999999995E-4</v>
      </c>
      <c r="N1218">
        <v>5.9999999999999995E-4</v>
      </c>
      <c r="O1218">
        <v>5.9999999999999995E-4</v>
      </c>
      <c r="P1218">
        <v>5.9999999999999995E-4</v>
      </c>
      <c r="Q1218">
        <v>6.9999999999999999E-4</v>
      </c>
      <c r="R1218">
        <v>6.9999999999999999E-4</v>
      </c>
      <c r="S1218">
        <v>6.9999999999999999E-4</v>
      </c>
      <c r="T1218">
        <v>6.9999999999999999E-4</v>
      </c>
      <c r="U1218">
        <v>6.9999999999999999E-4</v>
      </c>
      <c r="V1218">
        <v>6.9999999999999999E-4</v>
      </c>
      <c r="W1218">
        <v>6.9999999999999999E-4</v>
      </c>
      <c r="X1218">
        <v>6.9999999999999999E-4</v>
      </c>
      <c r="Y1218">
        <v>6.9999999999999999E-4</v>
      </c>
    </row>
    <row r="1219" spans="1:25" hidden="1">
      <c r="A1219" t="s">
        <v>18807</v>
      </c>
      <c r="B1219" t="s">
        <v>1247</v>
      </c>
      <c r="C1219" t="s">
        <v>1230</v>
      </c>
      <c r="D1219" t="s">
        <v>1246</v>
      </c>
      <c r="E1219" t="s">
        <v>1239</v>
      </c>
      <c r="F1219" t="s">
        <v>598</v>
      </c>
      <c r="G1219" t="s">
        <v>478</v>
      </c>
      <c r="H1219" t="s">
        <v>600</v>
      </c>
      <c r="I1219" t="s">
        <v>601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</row>
    <row r="1220" spans="1:25" hidden="1">
      <c r="A1220" t="s">
        <v>18807</v>
      </c>
      <c r="B1220" t="s">
        <v>1250</v>
      </c>
      <c r="C1220" t="s">
        <v>1230</v>
      </c>
      <c r="D1220" t="s">
        <v>648</v>
      </c>
      <c r="E1220" t="s">
        <v>1004</v>
      </c>
      <c r="F1220" t="s">
        <v>598</v>
      </c>
      <c r="G1220" t="s">
        <v>478</v>
      </c>
      <c r="H1220" t="s">
        <v>600</v>
      </c>
      <c r="I1220" t="s">
        <v>601</v>
      </c>
      <c r="J1220">
        <v>4.5999999999999999E-3</v>
      </c>
      <c r="K1220">
        <v>4.5999999999999999E-3</v>
      </c>
      <c r="L1220">
        <v>4.7000000000000002E-3</v>
      </c>
      <c r="M1220">
        <v>4.7000000000000002E-3</v>
      </c>
      <c r="N1220">
        <v>4.7999999999999996E-3</v>
      </c>
      <c r="O1220">
        <v>4.7999999999999996E-3</v>
      </c>
      <c r="P1220">
        <v>4.8999999999999998E-3</v>
      </c>
      <c r="Q1220">
        <v>4.8999999999999998E-3</v>
      </c>
      <c r="R1220">
        <v>4.8999999999999998E-3</v>
      </c>
      <c r="S1220">
        <v>5.0000000000000001E-3</v>
      </c>
      <c r="T1220">
        <v>5.0000000000000001E-3</v>
      </c>
      <c r="U1220">
        <v>5.0000000000000001E-3</v>
      </c>
      <c r="V1220">
        <v>5.1000000000000004E-3</v>
      </c>
      <c r="W1220">
        <v>5.1000000000000004E-3</v>
      </c>
      <c r="X1220">
        <v>5.1999999999999998E-3</v>
      </c>
      <c r="Y1220">
        <v>5.1999999999999998E-3</v>
      </c>
    </row>
    <row r="1221" spans="1:25" hidden="1">
      <c r="A1221" t="s">
        <v>18807</v>
      </c>
      <c r="B1221" t="s">
        <v>1252</v>
      </c>
      <c r="C1221" t="s">
        <v>1253</v>
      </c>
      <c r="D1221" t="s">
        <v>1254</v>
      </c>
      <c r="E1221" t="s">
        <v>1255</v>
      </c>
      <c r="F1221" t="s">
        <v>598</v>
      </c>
      <c r="G1221" t="s">
        <v>478</v>
      </c>
      <c r="H1221" t="s">
        <v>600</v>
      </c>
      <c r="I1221" t="s">
        <v>601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hidden="1">
      <c r="A1222" t="s">
        <v>18807</v>
      </c>
      <c r="B1222" t="s">
        <v>1256</v>
      </c>
      <c r="C1222" t="s">
        <v>1253</v>
      </c>
      <c r="D1222" t="s">
        <v>1254</v>
      </c>
      <c r="E1222" t="s">
        <v>1257</v>
      </c>
      <c r="F1222" t="s">
        <v>598</v>
      </c>
      <c r="G1222" t="s">
        <v>478</v>
      </c>
      <c r="H1222" t="s">
        <v>600</v>
      </c>
      <c r="I1222" t="s">
        <v>601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hidden="1">
      <c r="A1223" t="s">
        <v>18807</v>
      </c>
      <c r="B1223" t="s">
        <v>1258</v>
      </c>
      <c r="C1223" t="s">
        <v>1253</v>
      </c>
      <c r="D1223" t="s">
        <v>1254</v>
      </c>
      <c r="E1223" t="s">
        <v>1259</v>
      </c>
      <c r="F1223" t="s">
        <v>598</v>
      </c>
      <c r="G1223" t="s">
        <v>478</v>
      </c>
      <c r="H1223" t="s">
        <v>600</v>
      </c>
      <c r="I1223" t="s">
        <v>601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</row>
    <row r="1224" spans="1:25" hidden="1">
      <c r="A1224" t="s">
        <v>18807</v>
      </c>
      <c r="B1224" t="s">
        <v>1260</v>
      </c>
      <c r="C1224" t="s">
        <v>1261</v>
      </c>
      <c r="D1224" t="s">
        <v>648</v>
      </c>
      <c r="E1224" t="s">
        <v>920</v>
      </c>
      <c r="F1224" t="s">
        <v>598</v>
      </c>
      <c r="G1224" t="s">
        <v>478</v>
      </c>
      <c r="H1224" t="s">
        <v>600</v>
      </c>
      <c r="I1224" t="s">
        <v>601</v>
      </c>
      <c r="J1224">
        <v>5.0000000000000001E-4</v>
      </c>
      <c r="K1224">
        <v>5.0000000000000001E-4</v>
      </c>
      <c r="L1224">
        <v>5.0000000000000001E-4</v>
      </c>
      <c r="M1224">
        <v>5.0000000000000001E-4</v>
      </c>
      <c r="N1224">
        <v>5.0000000000000001E-4</v>
      </c>
      <c r="O1224">
        <v>5.0000000000000001E-4</v>
      </c>
      <c r="P1224">
        <v>5.0000000000000001E-4</v>
      </c>
      <c r="Q1224">
        <v>5.0000000000000001E-4</v>
      </c>
      <c r="R1224">
        <v>5.9999999999999995E-4</v>
      </c>
      <c r="S1224">
        <v>5.9999999999999995E-4</v>
      </c>
      <c r="T1224">
        <v>5.9999999999999995E-4</v>
      </c>
      <c r="U1224">
        <v>5.9999999999999995E-4</v>
      </c>
      <c r="V1224">
        <v>5.9999999999999995E-4</v>
      </c>
      <c r="W1224">
        <v>5.9999999999999995E-4</v>
      </c>
      <c r="X1224">
        <v>5.9999999999999995E-4</v>
      </c>
      <c r="Y1224">
        <v>5.9999999999999995E-4</v>
      </c>
    </row>
    <row r="1225" spans="1:25" hidden="1">
      <c r="A1225" t="s">
        <v>18807</v>
      </c>
      <c r="B1225" t="s">
        <v>1265</v>
      </c>
      <c r="C1225" t="s">
        <v>1261</v>
      </c>
      <c r="D1225" t="s">
        <v>648</v>
      </c>
      <c r="E1225" t="s">
        <v>1004</v>
      </c>
      <c r="F1225" t="s">
        <v>598</v>
      </c>
      <c r="G1225" t="s">
        <v>478</v>
      </c>
      <c r="H1225" t="s">
        <v>600</v>
      </c>
      <c r="I1225" t="s">
        <v>601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hidden="1">
      <c r="A1226" t="s">
        <v>18807</v>
      </c>
      <c r="B1226" t="s">
        <v>1270</v>
      </c>
      <c r="C1226" t="s">
        <v>1267</v>
      </c>
      <c r="D1226" t="s">
        <v>1271</v>
      </c>
      <c r="E1226" t="s">
        <v>672</v>
      </c>
      <c r="F1226" t="s">
        <v>598</v>
      </c>
      <c r="G1226" t="s">
        <v>478</v>
      </c>
      <c r="H1226" t="s">
        <v>600</v>
      </c>
      <c r="I1226" t="s">
        <v>601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hidden="1">
      <c r="A1227" t="s">
        <v>18807</v>
      </c>
      <c r="B1227" t="s">
        <v>1273</v>
      </c>
      <c r="C1227" t="s">
        <v>1267</v>
      </c>
      <c r="D1227" t="s">
        <v>1274</v>
      </c>
      <c r="E1227" t="s">
        <v>672</v>
      </c>
      <c r="F1227" t="s">
        <v>598</v>
      </c>
      <c r="G1227" t="s">
        <v>478</v>
      </c>
      <c r="H1227" t="s">
        <v>600</v>
      </c>
      <c r="I1227" t="s">
        <v>601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hidden="1">
      <c r="A1228" t="s">
        <v>18807</v>
      </c>
      <c r="B1228" t="s">
        <v>1277</v>
      </c>
      <c r="C1228" t="s">
        <v>1267</v>
      </c>
      <c r="D1228" t="s">
        <v>1278</v>
      </c>
      <c r="E1228" t="s">
        <v>672</v>
      </c>
      <c r="F1228" t="s">
        <v>598</v>
      </c>
      <c r="G1228" t="s">
        <v>478</v>
      </c>
      <c r="H1228" t="s">
        <v>600</v>
      </c>
      <c r="I1228" t="s">
        <v>601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</row>
    <row r="1229" spans="1:25" hidden="1">
      <c r="A1229" t="s">
        <v>18807</v>
      </c>
      <c r="B1229" t="s">
        <v>1280</v>
      </c>
      <c r="C1229" t="s">
        <v>1267</v>
      </c>
      <c r="D1229" t="s">
        <v>1281</v>
      </c>
      <c r="E1229" t="s">
        <v>672</v>
      </c>
      <c r="F1229" t="s">
        <v>598</v>
      </c>
      <c r="G1229" t="s">
        <v>478</v>
      </c>
      <c r="H1229" t="s">
        <v>600</v>
      </c>
      <c r="I1229" t="s">
        <v>601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hidden="1">
      <c r="A1230" t="s">
        <v>18807</v>
      </c>
      <c r="B1230" t="s">
        <v>1284</v>
      </c>
      <c r="C1230" t="s">
        <v>1267</v>
      </c>
      <c r="D1230" t="s">
        <v>1285</v>
      </c>
      <c r="E1230" t="s">
        <v>678</v>
      </c>
      <c r="F1230" t="s">
        <v>598</v>
      </c>
      <c r="G1230" t="s">
        <v>478</v>
      </c>
      <c r="H1230" t="s">
        <v>600</v>
      </c>
      <c r="I1230" t="s">
        <v>601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</row>
    <row r="1231" spans="1:25" hidden="1">
      <c r="A1231" t="s">
        <v>18807</v>
      </c>
      <c r="B1231" t="s">
        <v>1286</v>
      </c>
      <c r="C1231" t="s">
        <v>1267</v>
      </c>
      <c r="D1231" t="s">
        <v>1287</v>
      </c>
      <c r="E1231" t="s">
        <v>597</v>
      </c>
      <c r="F1231" t="s">
        <v>598</v>
      </c>
      <c r="G1231" t="s">
        <v>478</v>
      </c>
      <c r="H1231" t="s">
        <v>600</v>
      </c>
      <c r="I1231" t="s">
        <v>601</v>
      </c>
      <c r="J1231">
        <v>4.2900000000000001E-2</v>
      </c>
      <c r="K1231">
        <v>4.19E-2</v>
      </c>
      <c r="L1231">
        <v>4.1099999999999998E-2</v>
      </c>
      <c r="M1231">
        <v>4.0099999999999997E-2</v>
      </c>
      <c r="N1231">
        <v>3.9300000000000002E-2</v>
      </c>
      <c r="O1231">
        <v>3.8399999999999997E-2</v>
      </c>
      <c r="P1231">
        <v>3.7600000000000001E-2</v>
      </c>
      <c r="Q1231">
        <v>3.6700000000000003E-2</v>
      </c>
      <c r="R1231">
        <v>3.5999999999999997E-2</v>
      </c>
      <c r="S1231">
        <v>3.5099999999999999E-2</v>
      </c>
      <c r="T1231">
        <v>3.44E-2</v>
      </c>
      <c r="U1231">
        <v>3.3599999999999998E-2</v>
      </c>
      <c r="V1231">
        <v>3.2899999999999999E-2</v>
      </c>
      <c r="W1231">
        <v>3.2199999999999999E-2</v>
      </c>
      <c r="X1231">
        <v>3.15E-2</v>
      </c>
      <c r="Y1231">
        <v>3.0700000000000002E-2</v>
      </c>
    </row>
    <row r="1232" spans="1:25" hidden="1">
      <c r="A1232" t="s">
        <v>18807</v>
      </c>
      <c r="B1232" t="s">
        <v>1288</v>
      </c>
      <c r="C1232" t="s">
        <v>1267</v>
      </c>
      <c r="D1232" t="s">
        <v>1287</v>
      </c>
      <c r="E1232" t="s">
        <v>678</v>
      </c>
      <c r="F1232" t="s">
        <v>598</v>
      </c>
      <c r="G1232" t="s">
        <v>478</v>
      </c>
      <c r="H1232" t="s">
        <v>600</v>
      </c>
      <c r="I1232" t="s">
        <v>601</v>
      </c>
      <c r="J1232">
        <v>1.903</v>
      </c>
      <c r="K1232">
        <v>1.8611</v>
      </c>
      <c r="L1232">
        <v>1.8202</v>
      </c>
      <c r="M1232">
        <v>1.7802</v>
      </c>
      <c r="N1232">
        <v>1.7410000000000001</v>
      </c>
      <c r="O1232">
        <v>1.7027000000000001</v>
      </c>
      <c r="P1232">
        <v>1.6652</v>
      </c>
      <c r="Q1232">
        <v>1.6286</v>
      </c>
      <c r="R1232">
        <v>1.5927</v>
      </c>
      <c r="S1232">
        <v>1.5578000000000001</v>
      </c>
      <c r="T1232">
        <v>1.5234000000000001</v>
      </c>
      <c r="U1232">
        <v>1.49</v>
      </c>
      <c r="V1232">
        <v>1.4572000000000001</v>
      </c>
      <c r="W1232">
        <v>1.4252</v>
      </c>
      <c r="X1232">
        <v>1.3937999999999999</v>
      </c>
      <c r="Y1232">
        <v>1.3632</v>
      </c>
    </row>
    <row r="1233" spans="1:25" hidden="1">
      <c r="A1233" t="s">
        <v>18807</v>
      </c>
      <c r="B1233" t="s">
        <v>1292</v>
      </c>
      <c r="C1233" t="s">
        <v>1267</v>
      </c>
      <c r="D1233" t="s">
        <v>1293</v>
      </c>
      <c r="E1233" t="s">
        <v>672</v>
      </c>
      <c r="F1233" t="s">
        <v>598</v>
      </c>
      <c r="G1233" t="s">
        <v>478</v>
      </c>
      <c r="H1233" t="s">
        <v>600</v>
      </c>
      <c r="I1233" t="s">
        <v>601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hidden="1">
      <c r="A1234" t="s">
        <v>18807</v>
      </c>
      <c r="B1234" t="s">
        <v>1295</v>
      </c>
      <c r="C1234" t="s">
        <v>1267</v>
      </c>
      <c r="D1234" t="s">
        <v>1296</v>
      </c>
      <c r="E1234" t="s">
        <v>678</v>
      </c>
      <c r="F1234" t="s">
        <v>598</v>
      </c>
      <c r="G1234" t="s">
        <v>478</v>
      </c>
      <c r="H1234" t="s">
        <v>600</v>
      </c>
      <c r="I1234" t="s">
        <v>601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hidden="1">
      <c r="A1235" t="s">
        <v>18807</v>
      </c>
      <c r="B1235" t="s">
        <v>1297</v>
      </c>
      <c r="C1235" t="s">
        <v>1267</v>
      </c>
      <c r="D1235" t="s">
        <v>1298</v>
      </c>
      <c r="E1235" t="s">
        <v>672</v>
      </c>
      <c r="F1235" t="s">
        <v>598</v>
      </c>
      <c r="G1235" t="s">
        <v>478</v>
      </c>
      <c r="H1235" t="s">
        <v>600</v>
      </c>
      <c r="I1235" t="s">
        <v>601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hidden="1">
      <c r="A1236" t="s">
        <v>18807</v>
      </c>
      <c r="B1236" t="s">
        <v>1301</v>
      </c>
      <c r="C1236" t="s">
        <v>1267</v>
      </c>
      <c r="D1236" t="s">
        <v>1302</v>
      </c>
      <c r="E1236" t="s">
        <v>672</v>
      </c>
      <c r="F1236" t="s">
        <v>598</v>
      </c>
      <c r="G1236" t="s">
        <v>478</v>
      </c>
      <c r="H1236" t="s">
        <v>600</v>
      </c>
      <c r="I1236" t="s">
        <v>601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hidden="1">
      <c r="A1237" t="s">
        <v>18807</v>
      </c>
      <c r="B1237" t="s">
        <v>1304</v>
      </c>
      <c r="C1237" t="s">
        <v>1267</v>
      </c>
      <c r="D1237" t="s">
        <v>1305</v>
      </c>
      <c r="E1237" t="s">
        <v>672</v>
      </c>
      <c r="F1237" t="s">
        <v>598</v>
      </c>
      <c r="G1237" t="s">
        <v>478</v>
      </c>
      <c r="H1237" t="s">
        <v>600</v>
      </c>
      <c r="I1237" t="s">
        <v>601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</row>
    <row r="1238" spans="1:25" hidden="1">
      <c r="A1238" t="s">
        <v>18807</v>
      </c>
      <c r="B1238" t="s">
        <v>1307</v>
      </c>
      <c r="C1238" t="s">
        <v>1267</v>
      </c>
      <c r="D1238" t="s">
        <v>1305</v>
      </c>
      <c r="E1238" t="s">
        <v>678</v>
      </c>
      <c r="F1238" t="s">
        <v>598</v>
      </c>
      <c r="G1238" t="s">
        <v>478</v>
      </c>
      <c r="H1238" t="s">
        <v>600</v>
      </c>
      <c r="I1238" t="s">
        <v>601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hidden="1">
      <c r="A1239" t="s">
        <v>18807</v>
      </c>
      <c r="B1239" t="s">
        <v>1308</v>
      </c>
      <c r="C1239" t="s">
        <v>1267</v>
      </c>
      <c r="D1239" t="s">
        <v>1309</v>
      </c>
      <c r="E1239" t="s">
        <v>672</v>
      </c>
      <c r="F1239" t="s">
        <v>598</v>
      </c>
      <c r="G1239" t="s">
        <v>478</v>
      </c>
      <c r="H1239" t="s">
        <v>600</v>
      </c>
      <c r="I1239" t="s">
        <v>601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hidden="1">
      <c r="A1240" t="s">
        <v>18807</v>
      </c>
      <c r="B1240" t="s">
        <v>1321</v>
      </c>
      <c r="C1240" t="s">
        <v>1267</v>
      </c>
      <c r="D1240" t="s">
        <v>1322</v>
      </c>
      <c r="E1240" t="s">
        <v>672</v>
      </c>
      <c r="F1240" t="s">
        <v>598</v>
      </c>
      <c r="G1240" t="s">
        <v>478</v>
      </c>
      <c r="H1240" t="s">
        <v>600</v>
      </c>
      <c r="I1240" t="s">
        <v>601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hidden="1">
      <c r="A1241" t="s">
        <v>18807</v>
      </c>
      <c r="B1241" t="s">
        <v>1331</v>
      </c>
      <c r="C1241" t="s">
        <v>1267</v>
      </c>
      <c r="D1241" t="s">
        <v>1332</v>
      </c>
      <c r="E1241" t="s">
        <v>688</v>
      </c>
      <c r="F1241" t="s">
        <v>598</v>
      </c>
      <c r="G1241" t="s">
        <v>478</v>
      </c>
      <c r="H1241" t="s">
        <v>600</v>
      </c>
      <c r="I1241" t="s">
        <v>601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hidden="1">
      <c r="A1242" t="s">
        <v>18807</v>
      </c>
      <c r="B1242" t="s">
        <v>1351</v>
      </c>
      <c r="C1242" t="s">
        <v>1267</v>
      </c>
      <c r="D1242" t="s">
        <v>1352</v>
      </c>
      <c r="E1242" t="s">
        <v>672</v>
      </c>
      <c r="F1242" t="s">
        <v>598</v>
      </c>
      <c r="G1242" t="s">
        <v>478</v>
      </c>
      <c r="H1242" t="s">
        <v>600</v>
      </c>
      <c r="I1242" t="s">
        <v>601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hidden="1">
      <c r="A1243" t="s">
        <v>18807</v>
      </c>
      <c r="B1243" t="s">
        <v>1353</v>
      </c>
      <c r="C1243" t="s">
        <v>1267</v>
      </c>
      <c r="D1243" t="s">
        <v>1354</v>
      </c>
      <c r="E1243" t="s">
        <v>672</v>
      </c>
      <c r="F1243" t="s">
        <v>598</v>
      </c>
      <c r="G1243" t="s">
        <v>478</v>
      </c>
      <c r="H1243" t="s">
        <v>600</v>
      </c>
      <c r="I1243" t="s">
        <v>601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hidden="1">
      <c r="A1244" t="s">
        <v>18807</v>
      </c>
      <c r="B1244" t="s">
        <v>1355</v>
      </c>
      <c r="C1244" t="s">
        <v>1267</v>
      </c>
      <c r="D1244" t="s">
        <v>1354</v>
      </c>
      <c r="E1244" t="s">
        <v>678</v>
      </c>
      <c r="F1244" t="s">
        <v>598</v>
      </c>
      <c r="G1244" t="s">
        <v>478</v>
      </c>
      <c r="H1244" t="s">
        <v>600</v>
      </c>
      <c r="I1244" t="s">
        <v>601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hidden="1">
      <c r="A1245" t="s">
        <v>18807</v>
      </c>
      <c r="B1245" t="s">
        <v>1362</v>
      </c>
      <c r="C1245" t="s">
        <v>1267</v>
      </c>
      <c r="D1245" t="s">
        <v>1363</v>
      </c>
      <c r="E1245" t="s">
        <v>597</v>
      </c>
      <c r="F1245" t="s">
        <v>598</v>
      </c>
      <c r="G1245" t="s">
        <v>478</v>
      </c>
      <c r="H1245" t="s">
        <v>600</v>
      </c>
      <c r="I1245" t="s">
        <v>601</v>
      </c>
      <c r="J1245">
        <v>3.3999999999999998E-3</v>
      </c>
      <c r="K1245">
        <v>3.3999999999999998E-3</v>
      </c>
      <c r="L1245">
        <v>3.2000000000000002E-3</v>
      </c>
      <c r="M1245">
        <v>3.2000000000000002E-3</v>
      </c>
      <c r="N1245">
        <v>3.2000000000000002E-3</v>
      </c>
      <c r="O1245">
        <v>3.0000000000000001E-3</v>
      </c>
      <c r="P1245">
        <v>3.0000000000000001E-3</v>
      </c>
      <c r="Q1245">
        <v>3.0000000000000001E-3</v>
      </c>
      <c r="R1245">
        <v>3.0000000000000001E-3</v>
      </c>
      <c r="S1245">
        <v>2.7000000000000001E-3</v>
      </c>
      <c r="T1245">
        <v>2.5999999999999999E-3</v>
      </c>
      <c r="U1245">
        <v>2.5000000000000001E-3</v>
      </c>
      <c r="V1245">
        <v>2.5000000000000001E-3</v>
      </c>
      <c r="W1245">
        <v>2.5000000000000001E-3</v>
      </c>
      <c r="X1245">
        <v>2.3999999999999998E-3</v>
      </c>
      <c r="Y1245">
        <v>2.3999999999999998E-3</v>
      </c>
    </row>
    <row r="1246" spans="1:25" hidden="1">
      <c r="A1246" t="s">
        <v>18807</v>
      </c>
      <c r="B1246" t="s">
        <v>1369</v>
      </c>
      <c r="C1246" t="s">
        <v>1267</v>
      </c>
      <c r="D1246" t="s">
        <v>1370</v>
      </c>
      <c r="E1246" t="s">
        <v>672</v>
      </c>
      <c r="F1246" t="s">
        <v>598</v>
      </c>
      <c r="G1246" t="s">
        <v>478</v>
      </c>
      <c r="H1246" t="s">
        <v>600</v>
      </c>
      <c r="I1246" t="s">
        <v>601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hidden="1">
      <c r="A1247" t="s">
        <v>18807</v>
      </c>
      <c r="B1247" t="s">
        <v>1373</v>
      </c>
      <c r="C1247" t="s">
        <v>1267</v>
      </c>
      <c r="D1247" t="s">
        <v>648</v>
      </c>
      <c r="E1247" t="s">
        <v>672</v>
      </c>
      <c r="F1247" t="s">
        <v>598</v>
      </c>
      <c r="G1247" t="s">
        <v>478</v>
      </c>
      <c r="H1247" t="s">
        <v>600</v>
      </c>
      <c r="I1247" t="s">
        <v>601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hidden="1">
      <c r="A1248" t="s">
        <v>18807</v>
      </c>
      <c r="B1248" t="s">
        <v>1459</v>
      </c>
      <c r="C1248" t="s">
        <v>1382</v>
      </c>
      <c r="D1248" t="s">
        <v>648</v>
      </c>
      <c r="E1248" t="s">
        <v>920</v>
      </c>
      <c r="F1248" t="s">
        <v>598</v>
      </c>
      <c r="G1248" t="s">
        <v>478</v>
      </c>
      <c r="H1248" t="s">
        <v>600</v>
      </c>
      <c r="I1248" t="s">
        <v>601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hidden="1">
      <c r="A1249" t="s">
        <v>18807</v>
      </c>
      <c r="B1249" t="s">
        <v>1471</v>
      </c>
      <c r="C1249" t="s">
        <v>1472</v>
      </c>
      <c r="D1249" t="s">
        <v>1274</v>
      </c>
      <c r="E1249" t="s">
        <v>973</v>
      </c>
      <c r="F1249" t="s">
        <v>598</v>
      </c>
      <c r="G1249" t="s">
        <v>478</v>
      </c>
      <c r="H1249" t="s">
        <v>600</v>
      </c>
      <c r="I1249" t="s">
        <v>601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hidden="1">
      <c r="A1250" t="s">
        <v>18807</v>
      </c>
      <c r="B1250" t="s">
        <v>1478</v>
      </c>
      <c r="C1250" t="s">
        <v>1472</v>
      </c>
      <c r="D1250" t="s">
        <v>1305</v>
      </c>
      <c r="E1250" t="s">
        <v>973</v>
      </c>
      <c r="F1250" t="s">
        <v>598</v>
      </c>
      <c r="G1250" t="s">
        <v>478</v>
      </c>
      <c r="H1250" t="s">
        <v>600</v>
      </c>
      <c r="I1250" t="s">
        <v>601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hidden="1">
      <c r="A1251" t="s">
        <v>18807</v>
      </c>
      <c r="B1251" t="s">
        <v>1482</v>
      </c>
      <c r="C1251" t="s">
        <v>1472</v>
      </c>
      <c r="D1251" t="s">
        <v>1483</v>
      </c>
      <c r="E1251" t="s">
        <v>597</v>
      </c>
      <c r="F1251" t="s">
        <v>598</v>
      </c>
      <c r="G1251" t="s">
        <v>478</v>
      </c>
      <c r="H1251" t="s">
        <v>600</v>
      </c>
      <c r="I1251" t="s">
        <v>601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hidden="1">
      <c r="A1252" t="s">
        <v>18807</v>
      </c>
      <c r="B1252" t="s">
        <v>1484</v>
      </c>
      <c r="C1252" t="s">
        <v>1472</v>
      </c>
      <c r="D1252" t="s">
        <v>1485</v>
      </c>
      <c r="E1252" t="s">
        <v>642</v>
      </c>
      <c r="F1252" t="s">
        <v>598</v>
      </c>
      <c r="G1252" t="s">
        <v>478</v>
      </c>
      <c r="H1252" t="s">
        <v>600</v>
      </c>
      <c r="I1252" t="s">
        <v>601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hidden="1">
      <c r="A1253" t="s">
        <v>18807</v>
      </c>
      <c r="B1253" t="s">
        <v>1487</v>
      </c>
      <c r="C1253" t="s">
        <v>1472</v>
      </c>
      <c r="D1253" t="s">
        <v>1311</v>
      </c>
      <c r="E1253" t="s">
        <v>605</v>
      </c>
      <c r="F1253" t="s">
        <v>598</v>
      </c>
      <c r="G1253" t="s">
        <v>478</v>
      </c>
      <c r="H1253" t="s">
        <v>600</v>
      </c>
      <c r="I1253" t="s">
        <v>601</v>
      </c>
      <c r="J1253">
        <v>4.4000000000000003E-3</v>
      </c>
      <c r="K1253">
        <v>4.4000000000000003E-3</v>
      </c>
      <c r="L1253">
        <v>4.4000000000000003E-3</v>
      </c>
      <c r="M1253">
        <v>4.3E-3</v>
      </c>
      <c r="N1253">
        <v>4.1999999999999997E-3</v>
      </c>
      <c r="O1253">
        <v>4.1000000000000003E-3</v>
      </c>
      <c r="P1253">
        <v>4.1000000000000003E-3</v>
      </c>
      <c r="Q1253">
        <v>4.0000000000000001E-3</v>
      </c>
      <c r="R1253">
        <v>3.8999999999999998E-3</v>
      </c>
      <c r="S1253">
        <v>3.8E-3</v>
      </c>
      <c r="T1253">
        <v>3.7000000000000002E-3</v>
      </c>
      <c r="U1253">
        <v>3.5999999999999999E-3</v>
      </c>
      <c r="V1253">
        <v>3.5000000000000001E-3</v>
      </c>
      <c r="W1253">
        <v>3.5000000000000001E-3</v>
      </c>
      <c r="X1253">
        <v>3.3999999999999998E-3</v>
      </c>
      <c r="Y1253">
        <v>3.3999999999999998E-3</v>
      </c>
    </row>
    <row r="1254" spans="1:25" hidden="1">
      <c r="A1254" t="s">
        <v>18807</v>
      </c>
      <c r="B1254" t="s">
        <v>1490</v>
      </c>
      <c r="C1254" t="s">
        <v>1472</v>
      </c>
      <c r="D1254" t="s">
        <v>1392</v>
      </c>
      <c r="E1254" t="s">
        <v>892</v>
      </c>
      <c r="F1254" t="s">
        <v>598</v>
      </c>
      <c r="G1254" t="s">
        <v>478</v>
      </c>
      <c r="H1254" t="s">
        <v>600</v>
      </c>
      <c r="I1254" t="s">
        <v>601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hidden="1">
      <c r="A1255" t="s">
        <v>18807</v>
      </c>
      <c r="B1255" t="s">
        <v>1493</v>
      </c>
      <c r="C1255" t="s">
        <v>1472</v>
      </c>
      <c r="D1255" t="s">
        <v>1316</v>
      </c>
      <c r="E1255" t="s">
        <v>626</v>
      </c>
      <c r="F1255" t="s">
        <v>598</v>
      </c>
      <c r="G1255" t="s">
        <v>478</v>
      </c>
      <c r="H1255" t="s">
        <v>600</v>
      </c>
      <c r="I1255" t="s">
        <v>601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hidden="1">
      <c r="A1256" t="s">
        <v>18807</v>
      </c>
      <c r="B1256" t="s">
        <v>1497</v>
      </c>
      <c r="C1256" t="s">
        <v>1472</v>
      </c>
      <c r="D1256" t="s">
        <v>1316</v>
      </c>
      <c r="E1256" t="s">
        <v>750</v>
      </c>
      <c r="F1256" t="s">
        <v>598</v>
      </c>
      <c r="G1256" t="s">
        <v>478</v>
      </c>
      <c r="H1256" t="s">
        <v>600</v>
      </c>
      <c r="I1256" t="s">
        <v>601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hidden="1">
      <c r="A1257" t="s">
        <v>18807</v>
      </c>
      <c r="B1257" t="s">
        <v>1507</v>
      </c>
      <c r="C1257" t="s">
        <v>1472</v>
      </c>
      <c r="D1257" t="s">
        <v>1320</v>
      </c>
      <c r="E1257" t="s">
        <v>892</v>
      </c>
      <c r="F1257" t="s">
        <v>598</v>
      </c>
      <c r="G1257" t="s">
        <v>478</v>
      </c>
      <c r="H1257" t="s">
        <v>600</v>
      </c>
      <c r="I1257" t="s">
        <v>601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hidden="1">
      <c r="A1258" t="s">
        <v>18807</v>
      </c>
      <c r="B1258" t="s">
        <v>1511</v>
      </c>
      <c r="C1258" t="s">
        <v>1472</v>
      </c>
      <c r="D1258" t="s">
        <v>1324</v>
      </c>
      <c r="E1258" t="s">
        <v>1512</v>
      </c>
      <c r="F1258" t="s">
        <v>598</v>
      </c>
      <c r="G1258" t="s">
        <v>478</v>
      </c>
      <c r="H1258" t="s">
        <v>600</v>
      </c>
      <c r="I1258" t="s">
        <v>601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hidden="1">
      <c r="A1259" t="s">
        <v>18807</v>
      </c>
      <c r="B1259" t="s">
        <v>1514</v>
      </c>
      <c r="C1259" t="s">
        <v>1472</v>
      </c>
      <c r="D1259" t="s">
        <v>1324</v>
      </c>
      <c r="E1259" t="s">
        <v>1334</v>
      </c>
      <c r="F1259" t="s">
        <v>598</v>
      </c>
      <c r="G1259" t="s">
        <v>478</v>
      </c>
      <c r="H1259" t="s">
        <v>600</v>
      </c>
      <c r="I1259" t="s">
        <v>601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hidden="1">
      <c r="A1260" t="s">
        <v>18807</v>
      </c>
      <c r="B1260" t="s">
        <v>1517</v>
      </c>
      <c r="C1260" t="s">
        <v>1472</v>
      </c>
      <c r="D1260" t="s">
        <v>1324</v>
      </c>
      <c r="E1260" t="s">
        <v>692</v>
      </c>
      <c r="F1260" t="s">
        <v>598</v>
      </c>
      <c r="G1260" t="s">
        <v>478</v>
      </c>
      <c r="H1260" t="s">
        <v>600</v>
      </c>
      <c r="I1260" t="s">
        <v>601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hidden="1">
      <c r="A1261" t="s">
        <v>18807</v>
      </c>
      <c r="B1261" t="s">
        <v>1519</v>
      </c>
      <c r="C1261" t="s">
        <v>1472</v>
      </c>
      <c r="D1261" t="s">
        <v>1324</v>
      </c>
      <c r="E1261" t="s">
        <v>750</v>
      </c>
      <c r="F1261" t="s">
        <v>598</v>
      </c>
      <c r="G1261" t="s">
        <v>478</v>
      </c>
      <c r="H1261" t="s">
        <v>600</v>
      </c>
      <c r="I1261" t="s">
        <v>601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hidden="1">
      <c r="A1262" t="s">
        <v>18807</v>
      </c>
      <c r="B1262" t="s">
        <v>1520</v>
      </c>
      <c r="C1262" t="s">
        <v>1472</v>
      </c>
      <c r="D1262" t="s">
        <v>1324</v>
      </c>
      <c r="E1262" t="s">
        <v>1402</v>
      </c>
      <c r="F1262" t="s">
        <v>598</v>
      </c>
      <c r="G1262" t="s">
        <v>478</v>
      </c>
      <c r="H1262" t="s">
        <v>600</v>
      </c>
      <c r="I1262" t="s">
        <v>601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hidden="1">
      <c r="A1263" t="s">
        <v>18807</v>
      </c>
      <c r="B1263" t="s">
        <v>1527</v>
      </c>
      <c r="C1263" t="s">
        <v>1472</v>
      </c>
      <c r="D1263" t="s">
        <v>1332</v>
      </c>
      <c r="E1263" t="s">
        <v>1334</v>
      </c>
      <c r="F1263" t="s">
        <v>598</v>
      </c>
      <c r="G1263" t="s">
        <v>478</v>
      </c>
      <c r="H1263" t="s">
        <v>600</v>
      </c>
      <c r="I1263" t="s">
        <v>601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</row>
    <row r="1264" spans="1:25" hidden="1">
      <c r="A1264" t="s">
        <v>18807</v>
      </c>
      <c r="B1264" t="s">
        <v>1528</v>
      </c>
      <c r="C1264" t="s">
        <v>1472</v>
      </c>
      <c r="D1264" t="s">
        <v>1332</v>
      </c>
      <c r="E1264" t="s">
        <v>1399</v>
      </c>
      <c r="F1264" t="s">
        <v>598</v>
      </c>
      <c r="G1264" t="s">
        <v>478</v>
      </c>
      <c r="H1264" t="s">
        <v>600</v>
      </c>
      <c r="I1264" t="s">
        <v>601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hidden="1">
      <c r="A1265" t="s">
        <v>18807</v>
      </c>
      <c r="B1265" t="s">
        <v>1529</v>
      </c>
      <c r="C1265" t="s">
        <v>1472</v>
      </c>
      <c r="D1265" t="s">
        <v>1332</v>
      </c>
      <c r="E1265" t="s">
        <v>1417</v>
      </c>
      <c r="F1265" t="s">
        <v>598</v>
      </c>
      <c r="G1265" t="s">
        <v>478</v>
      </c>
      <c r="H1265" t="s">
        <v>600</v>
      </c>
      <c r="I1265" t="s">
        <v>601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hidden="1">
      <c r="A1266" t="s">
        <v>18807</v>
      </c>
      <c r="B1266" t="s">
        <v>1531</v>
      </c>
      <c r="C1266" t="s">
        <v>1472</v>
      </c>
      <c r="D1266" t="s">
        <v>1332</v>
      </c>
      <c r="E1266" t="s">
        <v>1326</v>
      </c>
      <c r="F1266" t="s">
        <v>598</v>
      </c>
      <c r="G1266" t="s">
        <v>478</v>
      </c>
      <c r="H1266" t="s">
        <v>600</v>
      </c>
      <c r="I1266" t="s">
        <v>601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hidden="1">
      <c r="A1267" t="s">
        <v>18807</v>
      </c>
      <c r="B1267" t="s">
        <v>1540</v>
      </c>
      <c r="C1267" t="s">
        <v>1472</v>
      </c>
      <c r="D1267" t="s">
        <v>1348</v>
      </c>
      <c r="E1267" t="s">
        <v>1334</v>
      </c>
      <c r="F1267" t="s">
        <v>598</v>
      </c>
      <c r="G1267" t="s">
        <v>478</v>
      </c>
      <c r="H1267" t="s">
        <v>600</v>
      </c>
      <c r="I1267" t="s">
        <v>601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hidden="1">
      <c r="A1268" t="s">
        <v>18807</v>
      </c>
      <c r="B1268" t="s">
        <v>1542</v>
      </c>
      <c r="C1268" t="s">
        <v>1472</v>
      </c>
      <c r="D1268" t="s">
        <v>1348</v>
      </c>
      <c r="E1268" t="s">
        <v>1417</v>
      </c>
      <c r="F1268" t="s">
        <v>598</v>
      </c>
      <c r="G1268" t="s">
        <v>478</v>
      </c>
      <c r="H1268" t="s">
        <v>600</v>
      </c>
      <c r="I1268" t="s">
        <v>601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hidden="1">
      <c r="A1269" t="s">
        <v>18807</v>
      </c>
      <c r="B1269" t="s">
        <v>1546</v>
      </c>
      <c r="C1269" t="s">
        <v>1472</v>
      </c>
      <c r="D1269" t="s">
        <v>1348</v>
      </c>
      <c r="E1269" t="s">
        <v>1402</v>
      </c>
      <c r="F1269" t="s">
        <v>598</v>
      </c>
      <c r="G1269" t="s">
        <v>478</v>
      </c>
      <c r="H1269" t="s">
        <v>600</v>
      </c>
      <c r="I1269" t="s">
        <v>601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hidden="1">
      <c r="A1270" t="s">
        <v>18807</v>
      </c>
      <c r="B1270" t="s">
        <v>1547</v>
      </c>
      <c r="C1270" t="s">
        <v>1472</v>
      </c>
      <c r="D1270" t="s">
        <v>1348</v>
      </c>
      <c r="E1270" t="s">
        <v>892</v>
      </c>
      <c r="F1270" t="s">
        <v>598</v>
      </c>
      <c r="G1270" t="s">
        <v>478</v>
      </c>
      <c r="H1270" t="s">
        <v>600</v>
      </c>
      <c r="I1270" t="s">
        <v>601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hidden="1">
      <c r="A1271" t="s">
        <v>18807</v>
      </c>
      <c r="B1271" t="s">
        <v>1549</v>
      </c>
      <c r="C1271" t="s">
        <v>1472</v>
      </c>
      <c r="D1271" t="s">
        <v>1350</v>
      </c>
      <c r="E1271" t="s">
        <v>688</v>
      </c>
      <c r="F1271" t="s">
        <v>598</v>
      </c>
      <c r="G1271" t="s">
        <v>478</v>
      </c>
      <c r="H1271" t="s">
        <v>600</v>
      </c>
      <c r="I1271" t="s">
        <v>601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hidden="1">
      <c r="A1272" t="s">
        <v>18807</v>
      </c>
      <c r="B1272" t="s">
        <v>1550</v>
      </c>
      <c r="C1272" t="s">
        <v>1472</v>
      </c>
      <c r="D1272" t="s">
        <v>1354</v>
      </c>
      <c r="E1272" t="s">
        <v>973</v>
      </c>
      <c r="F1272" t="s">
        <v>598</v>
      </c>
      <c r="G1272" t="s">
        <v>478</v>
      </c>
      <c r="H1272" t="s">
        <v>600</v>
      </c>
      <c r="I1272" t="s">
        <v>601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hidden="1">
      <c r="A1273" t="s">
        <v>18807</v>
      </c>
      <c r="B1273" t="s">
        <v>1551</v>
      </c>
      <c r="C1273" t="s">
        <v>1472</v>
      </c>
      <c r="D1273" t="s">
        <v>1552</v>
      </c>
      <c r="E1273" t="s">
        <v>626</v>
      </c>
      <c r="F1273" t="s">
        <v>598</v>
      </c>
      <c r="G1273" t="s">
        <v>478</v>
      </c>
      <c r="H1273" t="s">
        <v>600</v>
      </c>
      <c r="I1273" t="s">
        <v>601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hidden="1">
      <c r="A1274" t="s">
        <v>18807</v>
      </c>
      <c r="B1274" t="s">
        <v>1566</v>
      </c>
      <c r="C1274" t="s">
        <v>1472</v>
      </c>
      <c r="D1274" t="s">
        <v>1567</v>
      </c>
      <c r="E1274" t="s">
        <v>626</v>
      </c>
      <c r="F1274" t="s">
        <v>598</v>
      </c>
      <c r="G1274" t="s">
        <v>478</v>
      </c>
      <c r="H1274" t="s">
        <v>600</v>
      </c>
      <c r="I1274" t="s">
        <v>601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hidden="1">
      <c r="A1275" t="s">
        <v>18807</v>
      </c>
      <c r="B1275" t="s">
        <v>1568</v>
      </c>
      <c r="C1275" t="s">
        <v>1472</v>
      </c>
      <c r="D1275" t="s">
        <v>1569</v>
      </c>
      <c r="E1275" t="s">
        <v>626</v>
      </c>
      <c r="F1275" t="s">
        <v>598</v>
      </c>
      <c r="G1275" t="s">
        <v>478</v>
      </c>
      <c r="H1275" t="s">
        <v>600</v>
      </c>
      <c r="I1275" t="s">
        <v>601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hidden="1">
      <c r="A1276" t="s">
        <v>18807</v>
      </c>
      <c r="B1276" t="s">
        <v>1570</v>
      </c>
      <c r="C1276" t="s">
        <v>1472</v>
      </c>
      <c r="D1276" t="s">
        <v>1571</v>
      </c>
      <c r="E1276" t="s">
        <v>626</v>
      </c>
      <c r="F1276" t="s">
        <v>598</v>
      </c>
      <c r="G1276" t="s">
        <v>478</v>
      </c>
      <c r="H1276" t="s">
        <v>600</v>
      </c>
      <c r="I1276" t="s">
        <v>601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hidden="1">
      <c r="A1277" t="s">
        <v>18807</v>
      </c>
      <c r="B1277" t="s">
        <v>1573</v>
      </c>
      <c r="C1277" t="s">
        <v>1472</v>
      </c>
      <c r="D1277" t="s">
        <v>1574</v>
      </c>
      <c r="E1277" t="s">
        <v>626</v>
      </c>
      <c r="F1277" t="s">
        <v>598</v>
      </c>
      <c r="G1277" t="s">
        <v>478</v>
      </c>
      <c r="H1277" t="s">
        <v>600</v>
      </c>
      <c r="I1277" t="s">
        <v>601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hidden="1">
      <c r="A1278" t="s">
        <v>18807</v>
      </c>
      <c r="B1278" t="s">
        <v>1575</v>
      </c>
      <c r="C1278" t="s">
        <v>1472</v>
      </c>
      <c r="D1278" t="s">
        <v>1576</v>
      </c>
      <c r="E1278" t="s">
        <v>626</v>
      </c>
      <c r="F1278" t="s">
        <v>598</v>
      </c>
      <c r="G1278" t="s">
        <v>478</v>
      </c>
      <c r="H1278" t="s">
        <v>600</v>
      </c>
      <c r="I1278" t="s">
        <v>601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hidden="1">
      <c r="A1279" t="s">
        <v>18807</v>
      </c>
      <c r="B1279" t="s">
        <v>1577</v>
      </c>
      <c r="C1279" t="s">
        <v>1472</v>
      </c>
      <c r="D1279" t="s">
        <v>1578</v>
      </c>
      <c r="E1279" t="s">
        <v>626</v>
      </c>
      <c r="F1279" t="s">
        <v>598</v>
      </c>
      <c r="G1279" t="s">
        <v>478</v>
      </c>
      <c r="H1279" t="s">
        <v>600</v>
      </c>
      <c r="I1279" t="s">
        <v>601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hidden="1">
      <c r="A1280" t="s">
        <v>18807</v>
      </c>
      <c r="B1280" t="s">
        <v>1579</v>
      </c>
      <c r="C1280" t="s">
        <v>1472</v>
      </c>
      <c r="D1280" t="s">
        <v>1578</v>
      </c>
      <c r="E1280" t="s">
        <v>1334</v>
      </c>
      <c r="F1280" t="s">
        <v>598</v>
      </c>
      <c r="G1280" t="s">
        <v>478</v>
      </c>
      <c r="H1280" t="s">
        <v>600</v>
      </c>
      <c r="I1280" t="s">
        <v>601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hidden="1">
      <c r="A1281" t="s">
        <v>18807</v>
      </c>
      <c r="B1281" t="s">
        <v>1581</v>
      </c>
      <c r="C1281" t="s">
        <v>1472</v>
      </c>
      <c r="D1281" t="s">
        <v>1578</v>
      </c>
      <c r="E1281" t="s">
        <v>1417</v>
      </c>
      <c r="F1281" t="s">
        <v>598</v>
      </c>
      <c r="G1281" t="s">
        <v>478</v>
      </c>
      <c r="H1281" t="s">
        <v>600</v>
      </c>
      <c r="I1281" t="s">
        <v>601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hidden="1">
      <c r="A1282" t="s">
        <v>18807</v>
      </c>
      <c r="B1282" t="s">
        <v>1582</v>
      </c>
      <c r="C1282" t="s">
        <v>1472</v>
      </c>
      <c r="D1282" t="s">
        <v>1583</v>
      </c>
      <c r="E1282" t="s">
        <v>626</v>
      </c>
      <c r="F1282" t="s">
        <v>598</v>
      </c>
      <c r="G1282" t="s">
        <v>478</v>
      </c>
      <c r="H1282" t="s">
        <v>600</v>
      </c>
      <c r="I1282" t="s">
        <v>601</v>
      </c>
      <c r="J1282">
        <v>5.8999999999999999E-3</v>
      </c>
      <c r="K1282">
        <v>6.0000000000000001E-3</v>
      </c>
      <c r="L1282">
        <v>6.0000000000000001E-3</v>
      </c>
      <c r="M1282">
        <v>6.0000000000000001E-3</v>
      </c>
      <c r="N1282">
        <v>6.0000000000000001E-3</v>
      </c>
      <c r="O1282">
        <v>5.8999999999999999E-3</v>
      </c>
      <c r="P1282">
        <v>5.8999999999999999E-3</v>
      </c>
      <c r="Q1282">
        <v>5.7999999999999996E-3</v>
      </c>
      <c r="R1282">
        <v>5.7000000000000002E-3</v>
      </c>
      <c r="S1282">
        <v>5.7000000000000002E-3</v>
      </c>
      <c r="T1282">
        <v>5.5999999999999999E-3</v>
      </c>
      <c r="U1282">
        <v>5.4999999999999997E-3</v>
      </c>
      <c r="V1282">
        <v>5.4999999999999997E-3</v>
      </c>
      <c r="W1282">
        <v>5.4000000000000003E-3</v>
      </c>
      <c r="X1282">
        <v>5.4000000000000003E-3</v>
      </c>
      <c r="Y1282">
        <v>5.4000000000000003E-3</v>
      </c>
    </row>
    <row r="1283" spans="1:25" hidden="1">
      <c r="A1283" t="s">
        <v>18807</v>
      </c>
      <c r="B1283" t="s">
        <v>1584</v>
      </c>
      <c r="C1283" t="s">
        <v>1472</v>
      </c>
      <c r="D1283" t="s">
        <v>1583</v>
      </c>
      <c r="E1283" t="s">
        <v>1334</v>
      </c>
      <c r="F1283" t="s">
        <v>598</v>
      </c>
      <c r="G1283" t="s">
        <v>478</v>
      </c>
      <c r="H1283" t="s">
        <v>600</v>
      </c>
      <c r="I1283" t="s">
        <v>601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</row>
    <row r="1284" spans="1:25" hidden="1">
      <c r="A1284" t="s">
        <v>18807</v>
      </c>
      <c r="B1284" t="s">
        <v>1586</v>
      </c>
      <c r="C1284" t="s">
        <v>1472</v>
      </c>
      <c r="D1284" t="s">
        <v>1583</v>
      </c>
      <c r="E1284" t="s">
        <v>1417</v>
      </c>
      <c r="F1284" t="s">
        <v>598</v>
      </c>
      <c r="G1284" t="s">
        <v>478</v>
      </c>
      <c r="H1284" t="s">
        <v>600</v>
      </c>
      <c r="I1284" t="s">
        <v>601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</row>
    <row r="1285" spans="1:25" hidden="1">
      <c r="A1285" t="s">
        <v>18807</v>
      </c>
      <c r="B1285" t="s">
        <v>1589</v>
      </c>
      <c r="C1285" t="s">
        <v>1472</v>
      </c>
      <c r="D1285" t="s">
        <v>1365</v>
      </c>
      <c r="E1285" t="s">
        <v>973</v>
      </c>
      <c r="F1285" t="s">
        <v>598</v>
      </c>
      <c r="G1285" t="s">
        <v>478</v>
      </c>
      <c r="H1285" t="s">
        <v>600</v>
      </c>
      <c r="I1285" t="s">
        <v>601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hidden="1">
      <c r="A1286" t="s">
        <v>18807</v>
      </c>
      <c r="B1286" t="s">
        <v>1590</v>
      </c>
      <c r="C1286" t="s">
        <v>1472</v>
      </c>
      <c r="D1286" t="s">
        <v>1365</v>
      </c>
      <c r="E1286" t="s">
        <v>626</v>
      </c>
      <c r="F1286" t="s">
        <v>598</v>
      </c>
      <c r="G1286" t="s">
        <v>478</v>
      </c>
      <c r="H1286" t="s">
        <v>600</v>
      </c>
      <c r="I1286" t="s">
        <v>601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</row>
    <row r="1287" spans="1:25" hidden="1">
      <c r="A1287" t="s">
        <v>18807</v>
      </c>
      <c r="B1287" t="s">
        <v>1593</v>
      </c>
      <c r="C1287" t="s">
        <v>1472</v>
      </c>
      <c r="D1287" t="s">
        <v>1365</v>
      </c>
      <c r="E1287" t="s">
        <v>781</v>
      </c>
      <c r="F1287" t="s">
        <v>598</v>
      </c>
      <c r="G1287" t="s">
        <v>478</v>
      </c>
      <c r="H1287" t="s">
        <v>600</v>
      </c>
      <c r="I1287" t="s">
        <v>601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</row>
    <row r="1288" spans="1:25" hidden="1">
      <c r="A1288" t="s">
        <v>18807</v>
      </c>
      <c r="B1288" t="s">
        <v>1596</v>
      </c>
      <c r="C1288" t="s">
        <v>1472</v>
      </c>
      <c r="D1288" t="s">
        <v>1458</v>
      </c>
      <c r="E1288" t="s">
        <v>781</v>
      </c>
      <c r="F1288" t="s">
        <v>598</v>
      </c>
      <c r="G1288" t="s">
        <v>478</v>
      </c>
      <c r="H1288" t="s">
        <v>600</v>
      </c>
      <c r="I1288" t="s">
        <v>601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hidden="1">
      <c r="A1289" t="s">
        <v>18807</v>
      </c>
      <c r="B1289" t="s">
        <v>1600</v>
      </c>
      <c r="C1289" t="s">
        <v>1472</v>
      </c>
      <c r="D1289" t="s">
        <v>1601</v>
      </c>
      <c r="E1289" t="s">
        <v>626</v>
      </c>
      <c r="F1289" t="s">
        <v>598</v>
      </c>
      <c r="G1289" t="s">
        <v>478</v>
      </c>
      <c r="H1289" t="s">
        <v>600</v>
      </c>
      <c r="I1289" t="s">
        <v>601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hidden="1">
      <c r="A1290" t="s">
        <v>18807</v>
      </c>
      <c r="B1290" t="s">
        <v>1602</v>
      </c>
      <c r="C1290" t="s">
        <v>1472</v>
      </c>
      <c r="D1290" t="s">
        <v>1603</v>
      </c>
      <c r="E1290" t="s">
        <v>626</v>
      </c>
      <c r="F1290" t="s">
        <v>598</v>
      </c>
      <c r="G1290" t="s">
        <v>478</v>
      </c>
      <c r="H1290" t="s">
        <v>600</v>
      </c>
      <c r="I1290" t="s">
        <v>601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hidden="1">
      <c r="A1291" t="s">
        <v>18807</v>
      </c>
      <c r="B1291" t="s">
        <v>1604</v>
      </c>
      <c r="C1291" t="s">
        <v>1472</v>
      </c>
      <c r="D1291" t="s">
        <v>1605</v>
      </c>
      <c r="E1291" t="s">
        <v>626</v>
      </c>
      <c r="F1291" t="s">
        <v>598</v>
      </c>
      <c r="G1291" t="s">
        <v>478</v>
      </c>
      <c r="H1291" t="s">
        <v>600</v>
      </c>
      <c r="I1291" t="s">
        <v>601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</row>
    <row r="1292" spans="1:25" hidden="1">
      <c r="A1292" t="s">
        <v>18807</v>
      </c>
      <c r="B1292" t="s">
        <v>1607</v>
      </c>
      <c r="C1292" t="s">
        <v>1472</v>
      </c>
      <c r="D1292" t="s">
        <v>648</v>
      </c>
      <c r="E1292" t="s">
        <v>597</v>
      </c>
      <c r="F1292" t="s">
        <v>598</v>
      </c>
      <c r="G1292" t="s">
        <v>478</v>
      </c>
      <c r="H1292" t="s">
        <v>600</v>
      </c>
      <c r="I1292" t="s">
        <v>601</v>
      </c>
      <c r="J1292">
        <v>7.6600000000000001E-2</v>
      </c>
      <c r="K1292">
        <v>7.6799999999999993E-2</v>
      </c>
      <c r="L1292">
        <v>7.6999999999999999E-2</v>
      </c>
      <c r="M1292">
        <v>7.6999999999999999E-2</v>
      </c>
      <c r="N1292">
        <v>7.7299999999999994E-2</v>
      </c>
      <c r="O1292">
        <v>7.7499999999999999E-2</v>
      </c>
      <c r="P1292">
        <v>7.7799999999999994E-2</v>
      </c>
      <c r="Q1292">
        <v>7.8399999999999997E-2</v>
      </c>
      <c r="R1292">
        <v>7.8600000000000003E-2</v>
      </c>
      <c r="S1292">
        <v>7.8799999999999995E-2</v>
      </c>
      <c r="T1292">
        <v>7.9100000000000004E-2</v>
      </c>
      <c r="U1292">
        <v>7.9600000000000004E-2</v>
      </c>
      <c r="V1292">
        <v>8.0100000000000005E-2</v>
      </c>
      <c r="W1292">
        <v>8.0699999999999994E-2</v>
      </c>
      <c r="X1292">
        <v>8.1500000000000003E-2</v>
      </c>
      <c r="Y1292">
        <v>8.2299999999999998E-2</v>
      </c>
    </row>
    <row r="1293" spans="1:25" hidden="1">
      <c r="A1293" t="s">
        <v>18807</v>
      </c>
      <c r="B1293" t="s">
        <v>1609</v>
      </c>
      <c r="C1293" t="s">
        <v>1472</v>
      </c>
      <c r="D1293" t="s">
        <v>648</v>
      </c>
      <c r="E1293" t="s">
        <v>626</v>
      </c>
      <c r="F1293" t="s">
        <v>598</v>
      </c>
      <c r="G1293" t="s">
        <v>478</v>
      </c>
      <c r="H1293" t="s">
        <v>600</v>
      </c>
      <c r="I1293" t="s">
        <v>601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hidden="1">
      <c r="A1294" t="s">
        <v>18807</v>
      </c>
      <c r="B1294" t="s">
        <v>1610</v>
      </c>
      <c r="C1294" t="s">
        <v>1611</v>
      </c>
      <c r="D1294" t="s">
        <v>648</v>
      </c>
      <c r="E1294" t="s">
        <v>920</v>
      </c>
      <c r="F1294" t="s">
        <v>598</v>
      </c>
      <c r="G1294" t="s">
        <v>478</v>
      </c>
      <c r="H1294" t="s">
        <v>600</v>
      </c>
      <c r="I1294" t="s">
        <v>601</v>
      </c>
      <c r="J1294">
        <v>2.3999999999999998E-3</v>
      </c>
      <c r="K1294">
        <v>2.5000000000000001E-3</v>
      </c>
      <c r="L1294">
        <v>2.5000000000000001E-3</v>
      </c>
      <c r="M1294">
        <v>2.5999999999999999E-3</v>
      </c>
      <c r="N1294">
        <v>2.7000000000000001E-3</v>
      </c>
      <c r="O1294">
        <v>2.8E-3</v>
      </c>
      <c r="P1294">
        <v>2.8E-3</v>
      </c>
      <c r="Q1294">
        <v>2.8999999999999998E-3</v>
      </c>
      <c r="R1294">
        <v>3.0000000000000001E-3</v>
      </c>
      <c r="S1294">
        <v>3.0000000000000001E-3</v>
      </c>
      <c r="T1294">
        <v>3.0999999999999999E-3</v>
      </c>
      <c r="U1294">
        <v>3.2000000000000002E-3</v>
      </c>
      <c r="V1294">
        <v>3.2000000000000002E-3</v>
      </c>
      <c r="W1294">
        <v>3.3E-3</v>
      </c>
      <c r="X1294">
        <v>3.3999999999999998E-3</v>
      </c>
      <c r="Y1294">
        <v>3.3999999999999998E-3</v>
      </c>
    </row>
    <row r="1295" spans="1:25" hidden="1">
      <c r="A1295" t="s">
        <v>18807</v>
      </c>
      <c r="B1295" t="s">
        <v>1691</v>
      </c>
      <c r="C1295" t="s">
        <v>1614</v>
      </c>
      <c r="D1295" t="s">
        <v>1332</v>
      </c>
      <c r="E1295" t="s">
        <v>1198</v>
      </c>
      <c r="F1295" t="s">
        <v>598</v>
      </c>
      <c r="G1295" t="s">
        <v>478</v>
      </c>
      <c r="H1295" t="s">
        <v>600</v>
      </c>
      <c r="I1295" t="s">
        <v>601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hidden="1">
      <c r="A1296" t="s">
        <v>18807</v>
      </c>
      <c r="B1296" t="s">
        <v>1697</v>
      </c>
      <c r="C1296" t="s">
        <v>1614</v>
      </c>
      <c r="D1296" t="s">
        <v>1332</v>
      </c>
      <c r="E1296" t="s">
        <v>630</v>
      </c>
      <c r="F1296" t="s">
        <v>598</v>
      </c>
      <c r="G1296" t="s">
        <v>478</v>
      </c>
      <c r="H1296" t="s">
        <v>600</v>
      </c>
      <c r="I1296" t="s">
        <v>601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hidden="1">
      <c r="A1297" t="s">
        <v>18807</v>
      </c>
      <c r="B1297" t="s">
        <v>1717</v>
      </c>
      <c r="C1297" t="s">
        <v>1614</v>
      </c>
      <c r="D1297" t="s">
        <v>1354</v>
      </c>
      <c r="E1297" t="s">
        <v>1718</v>
      </c>
      <c r="F1297" t="s">
        <v>598</v>
      </c>
      <c r="G1297" t="s">
        <v>478</v>
      </c>
      <c r="H1297" t="s">
        <v>600</v>
      </c>
      <c r="I1297" t="s">
        <v>601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hidden="1">
      <c r="A1298" t="s">
        <v>18807</v>
      </c>
      <c r="B1298" t="s">
        <v>1725</v>
      </c>
      <c r="C1298" t="s">
        <v>1614</v>
      </c>
      <c r="D1298" t="s">
        <v>1722</v>
      </c>
      <c r="E1298" t="s">
        <v>1684</v>
      </c>
      <c r="F1298" t="s">
        <v>598</v>
      </c>
      <c r="G1298" t="s">
        <v>478</v>
      </c>
      <c r="H1298" t="s">
        <v>600</v>
      </c>
      <c r="I1298" t="s">
        <v>601</v>
      </c>
      <c r="J1298">
        <v>6.9999999999999999E-4</v>
      </c>
      <c r="K1298">
        <v>6.9999999999999999E-4</v>
      </c>
      <c r="L1298">
        <v>6.9999999999999999E-4</v>
      </c>
      <c r="M1298">
        <v>8.0000000000000004E-4</v>
      </c>
      <c r="N1298">
        <v>8.0000000000000004E-4</v>
      </c>
      <c r="O1298">
        <v>8.0000000000000004E-4</v>
      </c>
      <c r="P1298">
        <v>8.0000000000000004E-4</v>
      </c>
      <c r="Q1298">
        <v>8.9999999999999998E-4</v>
      </c>
      <c r="R1298">
        <v>8.9999999999999998E-4</v>
      </c>
      <c r="S1298">
        <v>8.9999999999999998E-4</v>
      </c>
      <c r="T1298">
        <v>8.9999999999999998E-4</v>
      </c>
      <c r="U1298">
        <v>1E-3</v>
      </c>
      <c r="V1298">
        <v>1E-3</v>
      </c>
      <c r="W1298">
        <v>1E-3</v>
      </c>
      <c r="X1298">
        <v>1.1000000000000001E-3</v>
      </c>
      <c r="Y1298">
        <v>1.1000000000000001E-3</v>
      </c>
    </row>
    <row r="1299" spans="1:25" hidden="1">
      <c r="A1299" t="s">
        <v>18807</v>
      </c>
      <c r="B1299" t="s">
        <v>1736</v>
      </c>
      <c r="C1299" t="s">
        <v>1614</v>
      </c>
      <c r="D1299" t="s">
        <v>1722</v>
      </c>
      <c r="E1299" t="s">
        <v>1737</v>
      </c>
      <c r="F1299" t="s">
        <v>598</v>
      </c>
      <c r="G1299" t="s">
        <v>478</v>
      </c>
      <c r="H1299" t="s">
        <v>600</v>
      </c>
      <c r="I1299" t="s">
        <v>601</v>
      </c>
      <c r="J1299">
        <v>7.4200000000000002E-2</v>
      </c>
      <c r="K1299">
        <v>7.6999999999999999E-2</v>
      </c>
      <c r="L1299">
        <v>7.9799999999999996E-2</v>
      </c>
      <c r="M1299">
        <v>8.2799999999999999E-2</v>
      </c>
      <c r="N1299">
        <v>8.5000000000000006E-2</v>
      </c>
      <c r="O1299">
        <v>8.8200000000000001E-2</v>
      </c>
      <c r="P1299">
        <v>9.1300000000000006E-2</v>
      </c>
      <c r="Q1299">
        <v>9.4299999999999995E-2</v>
      </c>
      <c r="R1299">
        <v>9.7500000000000003E-2</v>
      </c>
      <c r="S1299">
        <v>0.1007</v>
      </c>
      <c r="T1299">
        <v>0.104</v>
      </c>
      <c r="U1299">
        <v>0.10730000000000001</v>
      </c>
      <c r="V1299">
        <v>0.1109</v>
      </c>
      <c r="W1299">
        <v>0.11459999999999999</v>
      </c>
      <c r="X1299">
        <v>0.1182</v>
      </c>
      <c r="Y1299">
        <v>0.12180000000000001</v>
      </c>
    </row>
    <row r="1300" spans="1:25" hidden="1">
      <c r="A1300" t="s">
        <v>18807</v>
      </c>
      <c r="B1300" t="s">
        <v>1746</v>
      </c>
      <c r="C1300" t="s">
        <v>1614</v>
      </c>
      <c r="D1300" t="s">
        <v>1722</v>
      </c>
      <c r="E1300" t="s">
        <v>954</v>
      </c>
      <c r="F1300" t="s">
        <v>598</v>
      </c>
      <c r="G1300" t="s">
        <v>478</v>
      </c>
      <c r="H1300" t="s">
        <v>600</v>
      </c>
      <c r="I1300" t="s">
        <v>601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 hidden="1">
      <c r="A1301" t="s">
        <v>18807</v>
      </c>
      <c r="B1301" t="s">
        <v>1755</v>
      </c>
      <c r="C1301" t="s">
        <v>1614</v>
      </c>
      <c r="D1301" t="s">
        <v>1722</v>
      </c>
      <c r="E1301" t="s">
        <v>1756</v>
      </c>
      <c r="F1301" t="s">
        <v>598</v>
      </c>
      <c r="G1301" t="s">
        <v>478</v>
      </c>
      <c r="H1301" t="s">
        <v>600</v>
      </c>
      <c r="I1301" t="s">
        <v>601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 hidden="1">
      <c r="A1302" t="s">
        <v>18807</v>
      </c>
      <c r="B1302" t="s">
        <v>1758</v>
      </c>
      <c r="C1302" t="s">
        <v>1614</v>
      </c>
      <c r="D1302" t="s">
        <v>1722</v>
      </c>
      <c r="E1302" t="s">
        <v>1759</v>
      </c>
      <c r="F1302" t="s">
        <v>598</v>
      </c>
      <c r="G1302" t="s">
        <v>478</v>
      </c>
      <c r="H1302" t="s">
        <v>600</v>
      </c>
      <c r="I1302" t="s">
        <v>601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</row>
    <row r="1303" spans="1:25" hidden="1">
      <c r="A1303" t="s">
        <v>18807</v>
      </c>
      <c r="B1303" t="s">
        <v>1764</v>
      </c>
      <c r="C1303" t="s">
        <v>1614</v>
      </c>
      <c r="D1303" t="s">
        <v>1722</v>
      </c>
      <c r="E1303" t="s">
        <v>1765</v>
      </c>
      <c r="F1303" t="s">
        <v>598</v>
      </c>
      <c r="G1303" t="s">
        <v>478</v>
      </c>
      <c r="H1303" t="s">
        <v>600</v>
      </c>
      <c r="I1303" t="s">
        <v>601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</row>
    <row r="1304" spans="1:25" hidden="1">
      <c r="A1304" t="s">
        <v>18807</v>
      </c>
      <c r="B1304" t="s">
        <v>1769</v>
      </c>
      <c r="C1304" t="s">
        <v>1614</v>
      </c>
      <c r="D1304" t="s">
        <v>1768</v>
      </c>
      <c r="E1304" t="s">
        <v>1770</v>
      </c>
      <c r="F1304" t="s">
        <v>598</v>
      </c>
      <c r="G1304" t="s">
        <v>478</v>
      </c>
      <c r="H1304" t="s">
        <v>600</v>
      </c>
      <c r="I1304" t="s">
        <v>601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</row>
    <row r="1305" spans="1:25" hidden="1">
      <c r="A1305" t="s">
        <v>18807</v>
      </c>
      <c r="B1305" t="s">
        <v>1775</v>
      </c>
      <c r="C1305" t="s">
        <v>1614</v>
      </c>
      <c r="D1305" t="s">
        <v>1776</v>
      </c>
      <c r="E1305" t="s">
        <v>1777</v>
      </c>
      <c r="F1305" t="s">
        <v>598</v>
      </c>
      <c r="G1305" t="s">
        <v>478</v>
      </c>
      <c r="H1305" t="s">
        <v>600</v>
      </c>
      <c r="I1305" t="s">
        <v>601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</row>
    <row r="1306" spans="1:25" hidden="1">
      <c r="A1306" t="s">
        <v>18807</v>
      </c>
      <c r="B1306" t="s">
        <v>1780</v>
      </c>
      <c r="C1306" t="s">
        <v>1614</v>
      </c>
      <c r="D1306" t="s">
        <v>1781</v>
      </c>
      <c r="E1306" t="s">
        <v>1716</v>
      </c>
      <c r="F1306" t="s">
        <v>598</v>
      </c>
      <c r="G1306" t="s">
        <v>478</v>
      </c>
      <c r="H1306" t="s">
        <v>600</v>
      </c>
      <c r="I1306" t="s">
        <v>601</v>
      </c>
      <c r="J1306">
        <v>2.5999999999999999E-3</v>
      </c>
      <c r="K1306">
        <v>2.7000000000000001E-3</v>
      </c>
      <c r="L1306">
        <v>2.8E-3</v>
      </c>
      <c r="M1306">
        <v>2.8999999999999998E-3</v>
      </c>
      <c r="N1306">
        <v>3.0000000000000001E-3</v>
      </c>
      <c r="O1306">
        <v>3.0999999999999999E-3</v>
      </c>
      <c r="P1306">
        <v>3.2000000000000002E-3</v>
      </c>
      <c r="Q1306">
        <v>3.3E-3</v>
      </c>
      <c r="R1306">
        <v>3.5000000000000001E-3</v>
      </c>
      <c r="S1306">
        <v>3.5999999999999999E-3</v>
      </c>
      <c r="T1306">
        <v>3.7000000000000002E-3</v>
      </c>
      <c r="U1306">
        <v>3.8E-3</v>
      </c>
      <c r="V1306">
        <v>3.8999999999999998E-3</v>
      </c>
      <c r="W1306">
        <v>4.1000000000000003E-3</v>
      </c>
      <c r="X1306">
        <v>4.1999999999999997E-3</v>
      </c>
      <c r="Y1306">
        <v>4.3E-3</v>
      </c>
    </row>
    <row r="1307" spans="1:25" hidden="1">
      <c r="A1307" t="s">
        <v>18807</v>
      </c>
      <c r="B1307" t="s">
        <v>1788</v>
      </c>
      <c r="C1307" t="s">
        <v>1614</v>
      </c>
      <c r="D1307" t="s">
        <v>1781</v>
      </c>
      <c r="E1307" t="s">
        <v>1789</v>
      </c>
      <c r="F1307" t="s">
        <v>598</v>
      </c>
      <c r="G1307" t="s">
        <v>478</v>
      </c>
      <c r="H1307" t="s">
        <v>600</v>
      </c>
      <c r="I1307" t="s">
        <v>601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</row>
    <row r="1308" spans="1:25" hidden="1">
      <c r="A1308" t="s">
        <v>18807</v>
      </c>
      <c r="B1308" t="s">
        <v>1790</v>
      </c>
      <c r="C1308" t="s">
        <v>1614</v>
      </c>
      <c r="D1308" t="s">
        <v>1781</v>
      </c>
      <c r="E1308" t="s">
        <v>1791</v>
      </c>
      <c r="F1308" t="s">
        <v>598</v>
      </c>
      <c r="G1308" t="s">
        <v>478</v>
      </c>
      <c r="H1308" t="s">
        <v>600</v>
      </c>
      <c r="I1308" t="s">
        <v>601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</row>
    <row r="1309" spans="1:25" hidden="1">
      <c r="A1309" t="s">
        <v>18807</v>
      </c>
      <c r="B1309" t="s">
        <v>1804</v>
      </c>
      <c r="C1309" t="s">
        <v>1614</v>
      </c>
      <c r="D1309" t="s">
        <v>1781</v>
      </c>
      <c r="E1309" t="s">
        <v>1805</v>
      </c>
      <c r="F1309" t="s">
        <v>598</v>
      </c>
      <c r="G1309" t="s">
        <v>478</v>
      </c>
      <c r="H1309" t="s">
        <v>600</v>
      </c>
      <c r="I1309" t="s">
        <v>601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</row>
    <row r="1310" spans="1:25" hidden="1">
      <c r="A1310" t="s">
        <v>18807</v>
      </c>
      <c r="B1310" t="s">
        <v>1806</v>
      </c>
      <c r="C1310" t="s">
        <v>1614</v>
      </c>
      <c r="D1310" t="s">
        <v>1781</v>
      </c>
      <c r="E1310" t="s">
        <v>1807</v>
      </c>
      <c r="F1310" t="s">
        <v>598</v>
      </c>
      <c r="G1310" t="s">
        <v>478</v>
      </c>
      <c r="H1310" t="s">
        <v>600</v>
      </c>
      <c r="I1310" t="s">
        <v>601</v>
      </c>
      <c r="J1310">
        <v>4.1599999999999998E-2</v>
      </c>
      <c r="K1310">
        <v>4.3099999999999999E-2</v>
      </c>
      <c r="L1310">
        <v>4.4699999999999997E-2</v>
      </c>
      <c r="M1310">
        <v>4.6399999999999997E-2</v>
      </c>
      <c r="N1310">
        <v>4.7699999999999999E-2</v>
      </c>
      <c r="O1310">
        <v>4.9399999999999999E-2</v>
      </c>
      <c r="P1310">
        <v>5.1200000000000002E-2</v>
      </c>
      <c r="Q1310">
        <v>5.2900000000000003E-2</v>
      </c>
      <c r="R1310">
        <v>5.4600000000000003E-2</v>
      </c>
      <c r="S1310">
        <v>5.6399999999999999E-2</v>
      </c>
      <c r="T1310">
        <v>5.8299999999999998E-2</v>
      </c>
      <c r="U1310">
        <v>6.0199999999999997E-2</v>
      </c>
      <c r="V1310">
        <v>6.2199999999999998E-2</v>
      </c>
      <c r="W1310">
        <v>6.4199999999999993E-2</v>
      </c>
      <c r="X1310">
        <v>6.6199999999999995E-2</v>
      </c>
      <c r="Y1310">
        <v>6.83E-2</v>
      </c>
    </row>
    <row r="1311" spans="1:25" hidden="1">
      <c r="A1311" t="s">
        <v>18807</v>
      </c>
      <c r="B1311" t="s">
        <v>1814</v>
      </c>
      <c r="C1311" t="s">
        <v>1614</v>
      </c>
      <c r="D1311" t="s">
        <v>1812</v>
      </c>
      <c r="E1311" t="s">
        <v>1081</v>
      </c>
      <c r="F1311" t="s">
        <v>598</v>
      </c>
      <c r="G1311" t="s">
        <v>478</v>
      </c>
      <c r="H1311" t="s">
        <v>600</v>
      </c>
      <c r="I1311" t="s">
        <v>601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</row>
    <row r="1312" spans="1:25" hidden="1">
      <c r="A1312" t="s">
        <v>18807</v>
      </c>
      <c r="B1312" t="s">
        <v>1818</v>
      </c>
      <c r="C1312" t="s">
        <v>1614</v>
      </c>
      <c r="D1312" t="s">
        <v>648</v>
      </c>
      <c r="E1312" t="s">
        <v>973</v>
      </c>
      <c r="F1312" t="s">
        <v>598</v>
      </c>
      <c r="G1312" t="s">
        <v>478</v>
      </c>
      <c r="H1312" t="s">
        <v>600</v>
      </c>
      <c r="I1312" t="s">
        <v>601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hidden="1">
      <c r="A1313" t="s">
        <v>18807</v>
      </c>
      <c r="B1313" t="s">
        <v>1825</v>
      </c>
      <c r="C1313" t="s">
        <v>1614</v>
      </c>
      <c r="D1313" t="s">
        <v>648</v>
      </c>
      <c r="E1313" t="s">
        <v>954</v>
      </c>
      <c r="F1313" t="s">
        <v>598</v>
      </c>
      <c r="G1313" t="s">
        <v>478</v>
      </c>
      <c r="H1313" t="s">
        <v>600</v>
      </c>
      <c r="I1313" t="s">
        <v>601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</row>
    <row r="1314" spans="1:25" hidden="1">
      <c r="A1314" t="s">
        <v>18807</v>
      </c>
      <c r="B1314" t="s">
        <v>1827</v>
      </c>
      <c r="C1314" t="s">
        <v>1614</v>
      </c>
      <c r="D1314" t="s">
        <v>648</v>
      </c>
      <c r="E1314" t="s">
        <v>1828</v>
      </c>
      <c r="F1314" t="s">
        <v>598</v>
      </c>
      <c r="G1314" t="s">
        <v>478</v>
      </c>
      <c r="H1314" t="s">
        <v>600</v>
      </c>
      <c r="I1314" t="s">
        <v>601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hidden="1">
      <c r="A1315" t="s">
        <v>18807</v>
      </c>
      <c r="B1315" t="s">
        <v>1829</v>
      </c>
      <c r="C1315" t="s">
        <v>1614</v>
      </c>
      <c r="D1315" t="s">
        <v>648</v>
      </c>
      <c r="E1315" t="s">
        <v>1044</v>
      </c>
      <c r="F1315" t="s">
        <v>598</v>
      </c>
      <c r="G1315" t="s">
        <v>478</v>
      </c>
      <c r="H1315" t="s">
        <v>600</v>
      </c>
      <c r="I1315" t="s">
        <v>601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hidden="1">
      <c r="A1316" t="s">
        <v>18807</v>
      </c>
      <c r="B1316" t="s">
        <v>1832</v>
      </c>
      <c r="C1316" t="s">
        <v>1614</v>
      </c>
      <c r="D1316" t="s">
        <v>648</v>
      </c>
      <c r="E1316" t="s">
        <v>1393</v>
      </c>
      <c r="F1316" t="s">
        <v>598</v>
      </c>
      <c r="G1316" t="s">
        <v>478</v>
      </c>
      <c r="H1316" t="s">
        <v>600</v>
      </c>
      <c r="I1316" t="s">
        <v>601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hidden="1">
      <c r="A1317" t="s">
        <v>18807</v>
      </c>
      <c r="B1317" t="s">
        <v>1834</v>
      </c>
      <c r="C1317" t="s">
        <v>1614</v>
      </c>
      <c r="D1317" t="s">
        <v>648</v>
      </c>
      <c r="E1317" t="s">
        <v>1835</v>
      </c>
      <c r="F1317" t="s">
        <v>598</v>
      </c>
      <c r="G1317" t="s">
        <v>478</v>
      </c>
      <c r="H1317" t="s">
        <v>600</v>
      </c>
      <c r="I1317" t="s">
        <v>601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</row>
    <row r="1318" spans="1:25" hidden="1">
      <c r="A1318" t="s">
        <v>18807</v>
      </c>
      <c r="B1318" t="s">
        <v>1837</v>
      </c>
      <c r="C1318" t="s">
        <v>1614</v>
      </c>
      <c r="D1318" t="s">
        <v>648</v>
      </c>
      <c r="E1318" t="s">
        <v>1759</v>
      </c>
      <c r="F1318" t="s">
        <v>598</v>
      </c>
      <c r="G1318" t="s">
        <v>478</v>
      </c>
      <c r="H1318" t="s">
        <v>600</v>
      </c>
      <c r="I1318" t="s">
        <v>601</v>
      </c>
      <c r="J1318">
        <v>1.1999999999999999E-3</v>
      </c>
      <c r="K1318">
        <v>1.2999999999999999E-3</v>
      </c>
      <c r="L1318">
        <v>1.2999999999999999E-3</v>
      </c>
      <c r="M1318">
        <v>1.4E-3</v>
      </c>
      <c r="N1318">
        <v>1.4E-3</v>
      </c>
      <c r="O1318">
        <v>1.5E-3</v>
      </c>
      <c r="P1318">
        <v>1.5E-3</v>
      </c>
      <c r="Q1318">
        <v>1.6000000000000001E-3</v>
      </c>
      <c r="R1318">
        <v>1.6000000000000001E-3</v>
      </c>
      <c r="S1318">
        <v>1.6999999999999999E-3</v>
      </c>
      <c r="T1318">
        <v>1.6999999999999999E-3</v>
      </c>
      <c r="U1318">
        <v>1.8E-3</v>
      </c>
      <c r="V1318">
        <v>1.8E-3</v>
      </c>
      <c r="W1318">
        <v>1.9E-3</v>
      </c>
      <c r="X1318">
        <v>2E-3</v>
      </c>
      <c r="Y1318">
        <v>2E-3</v>
      </c>
    </row>
    <row r="1319" spans="1:25" hidden="1">
      <c r="A1319" t="s">
        <v>18807</v>
      </c>
      <c r="B1319" t="s">
        <v>1839</v>
      </c>
      <c r="C1319" t="s">
        <v>1614</v>
      </c>
      <c r="D1319" t="s">
        <v>648</v>
      </c>
      <c r="E1319" t="s">
        <v>1765</v>
      </c>
      <c r="F1319" t="s">
        <v>598</v>
      </c>
      <c r="G1319" t="s">
        <v>478</v>
      </c>
      <c r="H1319" t="s">
        <v>600</v>
      </c>
      <c r="I1319" t="s">
        <v>601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</row>
    <row r="1320" spans="1:25" hidden="1">
      <c r="A1320" t="s">
        <v>18807</v>
      </c>
      <c r="B1320" t="s">
        <v>1842</v>
      </c>
      <c r="C1320" t="s">
        <v>1614</v>
      </c>
      <c r="D1320" t="s">
        <v>648</v>
      </c>
      <c r="E1320" t="s">
        <v>1239</v>
      </c>
      <c r="F1320" t="s">
        <v>598</v>
      </c>
      <c r="G1320" t="s">
        <v>478</v>
      </c>
      <c r="H1320" t="s">
        <v>600</v>
      </c>
      <c r="I1320" t="s">
        <v>601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</row>
    <row r="1321" spans="1:25" hidden="1">
      <c r="A1321" t="s">
        <v>18807</v>
      </c>
      <c r="B1321" t="s">
        <v>1856</v>
      </c>
      <c r="C1321" t="s">
        <v>1845</v>
      </c>
      <c r="D1321" t="s">
        <v>1435</v>
      </c>
      <c r="E1321" t="s">
        <v>973</v>
      </c>
      <c r="F1321" t="s">
        <v>598</v>
      </c>
      <c r="G1321" t="s">
        <v>478</v>
      </c>
      <c r="H1321" t="s">
        <v>600</v>
      </c>
      <c r="I1321" t="s">
        <v>601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</row>
    <row r="1322" spans="1:25" hidden="1">
      <c r="A1322" t="s">
        <v>18807</v>
      </c>
      <c r="B1322" t="s">
        <v>1858</v>
      </c>
      <c r="C1322" t="s">
        <v>1845</v>
      </c>
      <c r="D1322" t="s">
        <v>1859</v>
      </c>
      <c r="E1322" t="s">
        <v>1860</v>
      </c>
      <c r="F1322" t="s">
        <v>598</v>
      </c>
      <c r="G1322" t="s">
        <v>478</v>
      </c>
      <c r="H1322" t="s">
        <v>600</v>
      </c>
      <c r="I1322" t="s">
        <v>601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hidden="1">
      <c r="A1323" t="s">
        <v>18807</v>
      </c>
      <c r="B1323" t="s">
        <v>1861</v>
      </c>
      <c r="C1323" t="s">
        <v>1845</v>
      </c>
      <c r="D1323" t="s">
        <v>1862</v>
      </c>
      <c r="E1323" t="s">
        <v>1860</v>
      </c>
      <c r="F1323" t="s">
        <v>598</v>
      </c>
      <c r="G1323" t="s">
        <v>478</v>
      </c>
      <c r="H1323" t="s">
        <v>600</v>
      </c>
      <c r="I1323" t="s">
        <v>601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5" hidden="1">
      <c r="A1324" t="s">
        <v>18807</v>
      </c>
      <c r="B1324" t="s">
        <v>1863</v>
      </c>
      <c r="C1324" t="s">
        <v>1845</v>
      </c>
      <c r="D1324" t="s">
        <v>1864</v>
      </c>
      <c r="E1324" t="s">
        <v>1865</v>
      </c>
      <c r="F1324" t="s">
        <v>598</v>
      </c>
      <c r="G1324" t="s">
        <v>478</v>
      </c>
      <c r="H1324" t="s">
        <v>600</v>
      </c>
      <c r="I1324" t="s">
        <v>601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</row>
    <row r="1325" spans="1:25" hidden="1">
      <c r="A1325" t="s">
        <v>18807</v>
      </c>
      <c r="B1325" t="s">
        <v>1870</v>
      </c>
      <c r="C1325" t="s">
        <v>1845</v>
      </c>
      <c r="D1325" t="s">
        <v>1871</v>
      </c>
      <c r="E1325" t="s">
        <v>1872</v>
      </c>
      <c r="F1325" t="s">
        <v>598</v>
      </c>
      <c r="G1325" t="s">
        <v>478</v>
      </c>
      <c r="H1325" t="s">
        <v>600</v>
      </c>
      <c r="I1325" t="s">
        <v>601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</row>
    <row r="1326" spans="1:25" hidden="1">
      <c r="A1326" t="s">
        <v>18807</v>
      </c>
      <c r="B1326" t="s">
        <v>1877</v>
      </c>
      <c r="C1326" t="s">
        <v>1845</v>
      </c>
      <c r="D1326" t="s">
        <v>1878</v>
      </c>
      <c r="E1326" t="s">
        <v>1872</v>
      </c>
      <c r="F1326" t="s">
        <v>598</v>
      </c>
      <c r="G1326" t="s">
        <v>478</v>
      </c>
      <c r="H1326" t="s">
        <v>600</v>
      </c>
      <c r="I1326" t="s">
        <v>601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</row>
    <row r="1327" spans="1:25" hidden="1">
      <c r="A1327" t="s">
        <v>18807</v>
      </c>
      <c r="B1327" t="s">
        <v>1879</v>
      </c>
      <c r="C1327" t="s">
        <v>1845</v>
      </c>
      <c r="D1327" t="s">
        <v>1878</v>
      </c>
      <c r="E1327" t="s">
        <v>1880</v>
      </c>
      <c r="F1327" t="s">
        <v>598</v>
      </c>
      <c r="G1327" t="s">
        <v>478</v>
      </c>
      <c r="H1327" t="s">
        <v>600</v>
      </c>
      <c r="I1327" t="s">
        <v>601</v>
      </c>
      <c r="J1327">
        <v>5.9999999999999995E-4</v>
      </c>
      <c r="K1327">
        <v>6.9999999999999999E-4</v>
      </c>
      <c r="L1327">
        <v>6.9999999999999999E-4</v>
      </c>
      <c r="M1327">
        <v>6.9999999999999999E-4</v>
      </c>
      <c r="N1327">
        <v>6.9999999999999999E-4</v>
      </c>
      <c r="O1327">
        <v>6.9999999999999999E-4</v>
      </c>
      <c r="P1327">
        <v>6.9999999999999999E-4</v>
      </c>
      <c r="Q1327">
        <v>6.9999999999999999E-4</v>
      </c>
      <c r="R1327">
        <v>6.9999999999999999E-4</v>
      </c>
      <c r="S1327">
        <v>6.9999999999999999E-4</v>
      </c>
      <c r="T1327">
        <v>6.9999999999999999E-4</v>
      </c>
      <c r="U1327">
        <v>6.9999999999999999E-4</v>
      </c>
      <c r="V1327">
        <v>8.0000000000000004E-4</v>
      </c>
      <c r="W1327">
        <v>8.0000000000000004E-4</v>
      </c>
      <c r="X1327">
        <v>8.0000000000000004E-4</v>
      </c>
      <c r="Y1327">
        <v>8.0000000000000004E-4</v>
      </c>
    </row>
    <row r="1328" spans="1:25" hidden="1">
      <c r="A1328" t="s">
        <v>18807</v>
      </c>
      <c r="B1328" t="s">
        <v>1883</v>
      </c>
      <c r="C1328" t="s">
        <v>1845</v>
      </c>
      <c r="D1328" t="s">
        <v>1878</v>
      </c>
      <c r="E1328" t="s">
        <v>1884</v>
      </c>
      <c r="F1328" t="s">
        <v>598</v>
      </c>
      <c r="G1328" t="s">
        <v>478</v>
      </c>
      <c r="H1328" t="s">
        <v>600</v>
      </c>
      <c r="I1328" t="s">
        <v>601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</row>
    <row r="1329" spans="1:25" hidden="1">
      <c r="A1329" t="s">
        <v>18807</v>
      </c>
      <c r="B1329" t="s">
        <v>1885</v>
      </c>
      <c r="C1329" t="s">
        <v>1845</v>
      </c>
      <c r="D1329" t="s">
        <v>1878</v>
      </c>
      <c r="E1329" t="s">
        <v>1886</v>
      </c>
      <c r="F1329" t="s">
        <v>598</v>
      </c>
      <c r="G1329" t="s">
        <v>478</v>
      </c>
      <c r="H1329" t="s">
        <v>600</v>
      </c>
      <c r="I1329" t="s">
        <v>601</v>
      </c>
      <c r="J1329">
        <v>6.6E-3</v>
      </c>
      <c r="K1329">
        <v>6.7000000000000002E-3</v>
      </c>
      <c r="L1329">
        <v>6.8999999999999999E-3</v>
      </c>
      <c r="M1329">
        <v>7.0000000000000001E-3</v>
      </c>
      <c r="N1329">
        <v>7.3000000000000001E-3</v>
      </c>
      <c r="O1329">
        <v>7.4000000000000003E-3</v>
      </c>
      <c r="P1329">
        <v>7.4999999999999997E-3</v>
      </c>
      <c r="Q1329">
        <v>7.6E-3</v>
      </c>
      <c r="R1329">
        <v>7.7000000000000002E-3</v>
      </c>
      <c r="S1329">
        <v>7.7999999999999996E-3</v>
      </c>
      <c r="T1329">
        <v>7.9000000000000008E-3</v>
      </c>
      <c r="U1329">
        <v>8.0000000000000002E-3</v>
      </c>
      <c r="V1329">
        <v>8.0999999999999996E-3</v>
      </c>
      <c r="W1329">
        <v>8.2000000000000007E-3</v>
      </c>
      <c r="X1329">
        <v>8.3000000000000001E-3</v>
      </c>
      <c r="Y1329">
        <v>8.3999999999999995E-3</v>
      </c>
    </row>
    <row r="1330" spans="1:25" hidden="1">
      <c r="A1330" t="s">
        <v>18807</v>
      </c>
      <c r="B1330" t="s">
        <v>1895</v>
      </c>
      <c r="C1330" t="s">
        <v>1845</v>
      </c>
      <c r="D1330" t="s">
        <v>1878</v>
      </c>
      <c r="E1330" t="s">
        <v>1896</v>
      </c>
      <c r="F1330" t="s">
        <v>598</v>
      </c>
      <c r="G1330" t="s">
        <v>478</v>
      </c>
      <c r="H1330" t="s">
        <v>600</v>
      </c>
      <c r="I1330" t="s">
        <v>601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</row>
    <row r="1331" spans="1:25" hidden="1">
      <c r="A1331" t="s">
        <v>18807</v>
      </c>
      <c r="B1331" t="s">
        <v>1899</v>
      </c>
      <c r="C1331" t="s">
        <v>1845</v>
      </c>
      <c r="D1331" t="s">
        <v>1878</v>
      </c>
      <c r="E1331" t="s">
        <v>1900</v>
      </c>
      <c r="F1331" t="s">
        <v>598</v>
      </c>
      <c r="G1331" t="s">
        <v>478</v>
      </c>
      <c r="H1331" t="s">
        <v>600</v>
      </c>
      <c r="I1331" t="s">
        <v>601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</row>
    <row r="1332" spans="1:25" hidden="1">
      <c r="A1332" t="s">
        <v>18807</v>
      </c>
      <c r="B1332" t="s">
        <v>1905</v>
      </c>
      <c r="C1332" t="s">
        <v>1845</v>
      </c>
      <c r="D1332" t="s">
        <v>1878</v>
      </c>
      <c r="E1332" t="s">
        <v>1906</v>
      </c>
      <c r="F1332" t="s">
        <v>598</v>
      </c>
      <c r="G1332" t="s">
        <v>478</v>
      </c>
      <c r="H1332" t="s">
        <v>600</v>
      </c>
      <c r="I1332" t="s">
        <v>601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</row>
    <row r="1333" spans="1:25" hidden="1">
      <c r="A1333" t="s">
        <v>18807</v>
      </c>
      <c r="B1333" t="s">
        <v>1915</v>
      </c>
      <c r="C1333" t="s">
        <v>1845</v>
      </c>
      <c r="D1333" t="s">
        <v>1878</v>
      </c>
      <c r="E1333" t="s">
        <v>1846</v>
      </c>
      <c r="F1333" t="s">
        <v>598</v>
      </c>
      <c r="G1333" t="s">
        <v>478</v>
      </c>
      <c r="H1333" t="s">
        <v>600</v>
      </c>
      <c r="I1333" t="s">
        <v>601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</row>
    <row r="1334" spans="1:25" hidden="1">
      <c r="A1334" t="s">
        <v>18807</v>
      </c>
      <c r="B1334" t="s">
        <v>1917</v>
      </c>
      <c r="C1334" t="s">
        <v>1845</v>
      </c>
      <c r="D1334" t="s">
        <v>1918</v>
      </c>
      <c r="E1334" t="s">
        <v>1872</v>
      </c>
      <c r="F1334" t="s">
        <v>598</v>
      </c>
      <c r="G1334" t="s">
        <v>478</v>
      </c>
      <c r="H1334" t="s">
        <v>600</v>
      </c>
      <c r="I1334" t="s">
        <v>601</v>
      </c>
      <c r="J1334">
        <v>2.5000000000000001E-3</v>
      </c>
      <c r="K1334">
        <v>2.5999999999999999E-3</v>
      </c>
      <c r="L1334">
        <v>2.7000000000000001E-3</v>
      </c>
      <c r="M1334">
        <v>2.7000000000000001E-3</v>
      </c>
      <c r="N1334">
        <v>2.8E-3</v>
      </c>
      <c r="O1334">
        <v>2.8E-3</v>
      </c>
      <c r="P1334">
        <v>2.8999999999999998E-3</v>
      </c>
      <c r="Q1334">
        <v>2.8999999999999998E-3</v>
      </c>
      <c r="R1334">
        <v>2.8999999999999998E-3</v>
      </c>
      <c r="S1334">
        <v>3.0000000000000001E-3</v>
      </c>
      <c r="T1334">
        <v>3.0000000000000001E-3</v>
      </c>
      <c r="U1334">
        <v>3.0999999999999999E-3</v>
      </c>
      <c r="V1334">
        <v>3.0999999999999999E-3</v>
      </c>
      <c r="W1334">
        <v>3.0999999999999999E-3</v>
      </c>
      <c r="X1334">
        <v>3.2000000000000002E-3</v>
      </c>
      <c r="Y1334">
        <v>3.2000000000000002E-3</v>
      </c>
    </row>
    <row r="1335" spans="1:25" hidden="1">
      <c r="A1335" t="s">
        <v>18807</v>
      </c>
      <c r="B1335" t="s">
        <v>1919</v>
      </c>
      <c r="C1335" t="s">
        <v>1845</v>
      </c>
      <c r="D1335" t="s">
        <v>1918</v>
      </c>
      <c r="E1335" t="s">
        <v>1920</v>
      </c>
      <c r="F1335" t="s">
        <v>598</v>
      </c>
      <c r="G1335" t="s">
        <v>478</v>
      </c>
      <c r="H1335" t="s">
        <v>600</v>
      </c>
      <c r="I1335" t="s">
        <v>601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</row>
    <row r="1336" spans="1:25" hidden="1">
      <c r="A1336" t="s">
        <v>18807</v>
      </c>
      <c r="B1336" t="s">
        <v>1927</v>
      </c>
      <c r="C1336" t="s">
        <v>1845</v>
      </c>
      <c r="D1336" t="s">
        <v>1918</v>
      </c>
      <c r="E1336" t="s">
        <v>1892</v>
      </c>
      <c r="F1336" t="s">
        <v>598</v>
      </c>
      <c r="G1336" t="s">
        <v>478</v>
      </c>
      <c r="H1336" t="s">
        <v>600</v>
      </c>
      <c r="I1336" t="s">
        <v>601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</row>
    <row r="1337" spans="1:25" hidden="1">
      <c r="A1337" t="s">
        <v>18807</v>
      </c>
      <c r="B1337" t="s">
        <v>1930</v>
      </c>
      <c r="C1337" t="s">
        <v>1845</v>
      </c>
      <c r="D1337" t="s">
        <v>1918</v>
      </c>
      <c r="E1337" t="s">
        <v>1894</v>
      </c>
      <c r="F1337" t="s">
        <v>598</v>
      </c>
      <c r="G1337" t="s">
        <v>478</v>
      </c>
      <c r="H1337" t="s">
        <v>600</v>
      </c>
      <c r="I1337" t="s">
        <v>601</v>
      </c>
      <c r="J1337">
        <v>2.8999999999999998E-3</v>
      </c>
      <c r="K1337">
        <v>2.8999999999999998E-3</v>
      </c>
      <c r="L1337">
        <v>3.0000000000000001E-3</v>
      </c>
      <c r="M1337">
        <v>3.0999999999999999E-3</v>
      </c>
      <c r="N1337">
        <v>3.0999999999999999E-3</v>
      </c>
      <c r="O1337">
        <v>3.2000000000000002E-3</v>
      </c>
      <c r="P1337">
        <v>3.2000000000000002E-3</v>
      </c>
      <c r="Q1337">
        <v>3.3E-3</v>
      </c>
      <c r="R1337">
        <v>3.3E-3</v>
      </c>
      <c r="S1337">
        <v>3.3999999999999998E-3</v>
      </c>
      <c r="T1337">
        <v>3.3999999999999998E-3</v>
      </c>
      <c r="U1337">
        <v>3.3999999999999998E-3</v>
      </c>
      <c r="V1337">
        <v>3.3999999999999998E-3</v>
      </c>
      <c r="W1337">
        <v>3.5999999999999999E-3</v>
      </c>
      <c r="X1337">
        <v>3.5999999999999999E-3</v>
      </c>
      <c r="Y1337">
        <v>3.7000000000000002E-3</v>
      </c>
    </row>
    <row r="1338" spans="1:25" hidden="1">
      <c r="A1338" t="s">
        <v>18807</v>
      </c>
      <c r="B1338" t="s">
        <v>1931</v>
      </c>
      <c r="C1338" t="s">
        <v>1845</v>
      </c>
      <c r="D1338" t="s">
        <v>1918</v>
      </c>
      <c r="E1338" t="s">
        <v>1896</v>
      </c>
      <c r="F1338" t="s">
        <v>598</v>
      </c>
      <c r="G1338" t="s">
        <v>478</v>
      </c>
      <c r="H1338" t="s">
        <v>600</v>
      </c>
      <c r="I1338" t="s">
        <v>601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</row>
    <row r="1339" spans="1:25" hidden="1">
      <c r="A1339" t="s">
        <v>18807</v>
      </c>
      <c r="B1339" t="s">
        <v>1932</v>
      </c>
      <c r="C1339" t="s">
        <v>1845</v>
      </c>
      <c r="D1339" t="s">
        <v>1918</v>
      </c>
      <c r="E1339" t="s">
        <v>1933</v>
      </c>
      <c r="F1339" t="s">
        <v>598</v>
      </c>
      <c r="G1339" t="s">
        <v>478</v>
      </c>
      <c r="H1339" t="s">
        <v>600</v>
      </c>
      <c r="I1339" t="s">
        <v>601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hidden="1">
      <c r="A1340" t="s">
        <v>18807</v>
      </c>
      <c r="B1340" t="s">
        <v>1934</v>
      </c>
      <c r="C1340" t="s">
        <v>1845</v>
      </c>
      <c r="D1340" t="s">
        <v>1918</v>
      </c>
      <c r="E1340" t="s">
        <v>1900</v>
      </c>
      <c r="F1340" t="s">
        <v>598</v>
      </c>
      <c r="G1340" t="s">
        <v>478</v>
      </c>
      <c r="H1340" t="s">
        <v>600</v>
      </c>
      <c r="I1340" t="s">
        <v>601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</row>
    <row r="1341" spans="1:25" hidden="1">
      <c r="A1341" t="s">
        <v>18807</v>
      </c>
      <c r="B1341" t="s">
        <v>1935</v>
      </c>
      <c r="C1341" t="s">
        <v>1845</v>
      </c>
      <c r="D1341" t="s">
        <v>1918</v>
      </c>
      <c r="E1341" t="s">
        <v>1936</v>
      </c>
      <c r="F1341" t="s">
        <v>598</v>
      </c>
      <c r="G1341" t="s">
        <v>478</v>
      </c>
      <c r="H1341" t="s">
        <v>600</v>
      </c>
      <c r="I1341" t="s">
        <v>601</v>
      </c>
      <c r="J1341">
        <v>2.7900000000000001E-2</v>
      </c>
      <c r="K1341">
        <v>2.8500000000000001E-2</v>
      </c>
      <c r="L1341">
        <v>2.8899999999999999E-2</v>
      </c>
      <c r="M1341">
        <v>2.9499999999999998E-2</v>
      </c>
      <c r="N1341">
        <v>3.0099999999999998E-2</v>
      </c>
      <c r="O1341">
        <v>3.0700000000000002E-2</v>
      </c>
      <c r="P1341">
        <v>3.1300000000000001E-2</v>
      </c>
      <c r="Q1341">
        <v>3.1800000000000002E-2</v>
      </c>
      <c r="R1341">
        <v>3.2099999999999997E-2</v>
      </c>
      <c r="S1341">
        <v>3.2599999999999997E-2</v>
      </c>
      <c r="T1341">
        <v>3.2899999999999999E-2</v>
      </c>
      <c r="U1341">
        <v>3.3500000000000002E-2</v>
      </c>
      <c r="V1341">
        <v>3.4000000000000002E-2</v>
      </c>
      <c r="W1341">
        <v>3.44E-2</v>
      </c>
      <c r="X1341">
        <v>3.49E-2</v>
      </c>
      <c r="Y1341">
        <v>3.5400000000000001E-2</v>
      </c>
    </row>
    <row r="1342" spans="1:25" hidden="1">
      <c r="A1342" t="s">
        <v>18807</v>
      </c>
      <c r="B1342" t="s">
        <v>1937</v>
      </c>
      <c r="C1342" t="s">
        <v>1845</v>
      </c>
      <c r="D1342" t="s">
        <v>1918</v>
      </c>
      <c r="E1342" t="s">
        <v>1904</v>
      </c>
      <c r="F1342" t="s">
        <v>598</v>
      </c>
      <c r="G1342" t="s">
        <v>478</v>
      </c>
      <c r="H1342" t="s">
        <v>600</v>
      </c>
      <c r="I1342" t="s">
        <v>601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5" hidden="1">
      <c r="A1343" t="s">
        <v>18807</v>
      </c>
      <c r="B1343" t="s">
        <v>1938</v>
      </c>
      <c r="C1343" t="s">
        <v>1845</v>
      </c>
      <c r="D1343" t="s">
        <v>1918</v>
      </c>
      <c r="E1343" t="s">
        <v>1939</v>
      </c>
      <c r="F1343" t="s">
        <v>598</v>
      </c>
      <c r="G1343" t="s">
        <v>478</v>
      </c>
      <c r="H1343" t="s">
        <v>600</v>
      </c>
      <c r="I1343" t="s">
        <v>601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</row>
    <row r="1344" spans="1:25" hidden="1">
      <c r="A1344" t="s">
        <v>18807</v>
      </c>
      <c r="B1344" t="s">
        <v>1941</v>
      </c>
      <c r="C1344" t="s">
        <v>1845</v>
      </c>
      <c r="D1344" t="s">
        <v>1918</v>
      </c>
      <c r="E1344" t="s">
        <v>1912</v>
      </c>
      <c r="F1344" t="s">
        <v>598</v>
      </c>
      <c r="G1344" t="s">
        <v>478</v>
      </c>
      <c r="H1344" t="s">
        <v>600</v>
      </c>
      <c r="I1344" t="s">
        <v>601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</row>
    <row r="1345" spans="1:25" hidden="1">
      <c r="A1345" t="s">
        <v>18807</v>
      </c>
      <c r="B1345" t="s">
        <v>1943</v>
      </c>
      <c r="C1345" t="s">
        <v>1845</v>
      </c>
      <c r="D1345" t="s">
        <v>1918</v>
      </c>
      <c r="E1345" t="s">
        <v>1846</v>
      </c>
      <c r="F1345" t="s">
        <v>598</v>
      </c>
      <c r="G1345" t="s">
        <v>478</v>
      </c>
      <c r="H1345" t="s">
        <v>600</v>
      </c>
      <c r="I1345" t="s">
        <v>601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5" hidden="1">
      <c r="A1346" t="s">
        <v>18807</v>
      </c>
      <c r="B1346" t="s">
        <v>1949</v>
      </c>
      <c r="C1346" t="s">
        <v>1845</v>
      </c>
      <c r="D1346" t="s">
        <v>648</v>
      </c>
      <c r="E1346" t="s">
        <v>1872</v>
      </c>
      <c r="F1346" t="s">
        <v>598</v>
      </c>
      <c r="G1346" t="s">
        <v>478</v>
      </c>
      <c r="H1346" t="s">
        <v>600</v>
      </c>
      <c r="I1346" t="s">
        <v>601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</row>
    <row r="1347" spans="1:25" hidden="1">
      <c r="A1347" t="s">
        <v>18807</v>
      </c>
      <c r="B1347" t="s">
        <v>1964</v>
      </c>
      <c r="C1347" t="s">
        <v>1959</v>
      </c>
      <c r="D1347" t="s">
        <v>1965</v>
      </c>
      <c r="E1347" t="s">
        <v>1966</v>
      </c>
      <c r="F1347" t="s">
        <v>598</v>
      </c>
      <c r="G1347" t="s">
        <v>478</v>
      </c>
      <c r="H1347" t="s">
        <v>600</v>
      </c>
      <c r="I1347" t="s">
        <v>601</v>
      </c>
      <c r="J1347">
        <v>1.95E-2</v>
      </c>
      <c r="K1347">
        <v>2.0199999999999999E-2</v>
      </c>
      <c r="L1347">
        <v>2.0799999999999999E-2</v>
      </c>
      <c r="M1347">
        <v>2.1700000000000001E-2</v>
      </c>
      <c r="N1347">
        <v>2.1999999999999999E-2</v>
      </c>
      <c r="O1347">
        <v>2.24E-2</v>
      </c>
      <c r="P1347">
        <v>2.2700000000000001E-2</v>
      </c>
      <c r="Q1347">
        <v>2.3099999999999999E-2</v>
      </c>
      <c r="R1347">
        <v>2.3599999999999999E-2</v>
      </c>
      <c r="S1347">
        <v>2.4E-2</v>
      </c>
      <c r="T1347">
        <v>2.4500000000000001E-2</v>
      </c>
      <c r="U1347">
        <v>2.4899999999999999E-2</v>
      </c>
      <c r="V1347">
        <v>2.5399999999999999E-2</v>
      </c>
      <c r="W1347">
        <v>2.6100000000000002E-2</v>
      </c>
      <c r="X1347">
        <v>2.6499999999999999E-2</v>
      </c>
      <c r="Y1347">
        <v>2.7E-2</v>
      </c>
    </row>
    <row r="1348" spans="1:25" hidden="1">
      <c r="A1348" t="s">
        <v>18807</v>
      </c>
      <c r="B1348" t="s">
        <v>1967</v>
      </c>
      <c r="C1348" t="s">
        <v>1959</v>
      </c>
      <c r="D1348" t="s">
        <v>1968</v>
      </c>
      <c r="E1348" t="s">
        <v>1962</v>
      </c>
      <c r="F1348" t="s">
        <v>598</v>
      </c>
      <c r="G1348" t="s">
        <v>478</v>
      </c>
      <c r="H1348" t="s">
        <v>600</v>
      </c>
      <c r="I1348" t="s">
        <v>601</v>
      </c>
      <c r="J1348">
        <v>0.26140000000000002</v>
      </c>
      <c r="K1348">
        <v>0.27079999999999999</v>
      </c>
      <c r="L1348">
        <v>0.28070000000000001</v>
      </c>
      <c r="M1348">
        <v>0.29139999999999999</v>
      </c>
      <c r="N1348">
        <v>0.29599999999999999</v>
      </c>
      <c r="O1348">
        <v>0.30070000000000002</v>
      </c>
      <c r="P1348">
        <v>0.30599999999999999</v>
      </c>
      <c r="Q1348">
        <v>0.311</v>
      </c>
      <c r="R1348">
        <v>0.31690000000000002</v>
      </c>
      <c r="S1348">
        <v>0.32290000000000002</v>
      </c>
      <c r="T1348">
        <v>0.32869999999999999</v>
      </c>
      <c r="U1348">
        <v>0.3357</v>
      </c>
      <c r="V1348">
        <v>0.34250000000000003</v>
      </c>
      <c r="W1348">
        <v>0.35039999999999999</v>
      </c>
      <c r="X1348">
        <v>0.35639999999999999</v>
      </c>
      <c r="Y1348">
        <v>0.36330000000000001</v>
      </c>
    </row>
    <row r="1349" spans="1:25" hidden="1">
      <c r="A1349" t="s">
        <v>18807</v>
      </c>
      <c r="B1349" t="s">
        <v>1977</v>
      </c>
      <c r="C1349" t="s">
        <v>1959</v>
      </c>
      <c r="D1349" t="s">
        <v>1972</v>
      </c>
      <c r="E1349" t="s">
        <v>1966</v>
      </c>
      <c r="F1349" t="s">
        <v>598</v>
      </c>
      <c r="G1349" t="s">
        <v>478</v>
      </c>
      <c r="H1349" t="s">
        <v>600</v>
      </c>
      <c r="I1349" t="s">
        <v>601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 hidden="1">
      <c r="A1350" t="s">
        <v>18807</v>
      </c>
      <c r="B1350" t="s">
        <v>1978</v>
      </c>
      <c r="C1350" t="s">
        <v>1959</v>
      </c>
      <c r="D1350" t="s">
        <v>1972</v>
      </c>
      <c r="E1350" t="s">
        <v>1979</v>
      </c>
      <c r="F1350" t="s">
        <v>598</v>
      </c>
      <c r="G1350" t="s">
        <v>478</v>
      </c>
      <c r="H1350" t="s">
        <v>600</v>
      </c>
      <c r="I1350" t="s">
        <v>601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</row>
    <row r="1351" spans="1:25" hidden="1">
      <c r="A1351" t="s">
        <v>18807</v>
      </c>
      <c r="B1351" t="s">
        <v>1985</v>
      </c>
      <c r="C1351" t="s">
        <v>1959</v>
      </c>
      <c r="D1351" t="s">
        <v>1983</v>
      </c>
      <c r="E1351" t="s">
        <v>1378</v>
      </c>
      <c r="F1351" t="s">
        <v>598</v>
      </c>
      <c r="G1351" t="s">
        <v>478</v>
      </c>
      <c r="H1351" t="s">
        <v>600</v>
      </c>
      <c r="I1351" t="s">
        <v>601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</row>
    <row r="1352" spans="1:25" hidden="1">
      <c r="A1352" t="s">
        <v>18807</v>
      </c>
      <c r="B1352" t="s">
        <v>1988</v>
      </c>
      <c r="C1352" t="s">
        <v>1959</v>
      </c>
      <c r="D1352" t="s">
        <v>1983</v>
      </c>
      <c r="E1352" t="s">
        <v>1966</v>
      </c>
      <c r="F1352" t="s">
        <v>598</v>
      </c>
      <c r="G1352" t="s">
        <v>478</v>
      </c>
      <c r="H1352" t="s">
        <v>600</v>
      </c>
      <c r="I1352" t="s">
        <v>601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 hidden="1">
      <c r="A1353" t="s">
        <v>18807</v>
      </c>
      <c r="B1353" t="s">
        <v>1991</v>
      </c>
      <c r="C1353" t="s">
        <v>1959</v>
      </c>
      <c r="D1353" t="s">
        <v>1983</v>
      </c>
      <c r="E1353" t="s">
        <v>1992</v>
      </c>
      <c r="F1353" t="s">
        <v>598</v>
      </c>
      <c r="G1353" t="s">
        <v>478</v>
      </c>
      <c r="H1353" t="s">
        <v>600</v>
      </c>
      <c r="I1353" t="s">
        <v>601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</row>
    <row r="1354" spans="1:25" hidden="1">
      <c r="A1354" t="s">
        <v>18807</v>
      </c>
      <c r="B1354" t="s">
        <v>1993</v>
      </c>
      <c r="C1354" t="s">
        <v>1959</v>
      </c>
      <c r="D1354" t="s">
        <v>1983</v>
      </c>
      <c r="E1354" t="s">
        <v>1994</v>
      </c>
      <c r="F1354" t="s">
        <v>598</v>
      </c>
      <c r="G1354" t="s">
        <v>478</v>
      </c>
      <c r="H1354" t="s">
        <v>600</v>
      </c>
      <c r="I1354" t="s">
        <v>601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 hidden="1">
      <c r="A1355" t="s">
        <v>18807</v>
      </c>
      <c r="B1355" t="s">
        <v>1997</v>
      </c>
      <c r="C1355" t="s">
        <v>1959</v>
      </c>
      <c r="D1355" t="s">
        <v>1996</v>
      </c>
      <c r="E1355" t="s">
        <v>1380</v>
      </c>
      <c r="F1355" t="s">
        <v>598</v>
      </c>
      <c r="G1355" t="s">
        <v>478</v>
      </c>
      <c r="H1355" t="s">
        <v>600</v>
      </c>
      <c r="I1355" t="s">
        <v>601</v>
      </c>
      <c r="J1355">
        <v>1.3864000000000001</v>
      </c>
      <c r="K1355">
        <v>1.4331</v>
      </c>
      <c r="L1355">
        <v>1.4781</v>
      </c>
      <c r="M1355">
        <v>1.5248999999999999</v>
      </c>
      <c r="N1355">
        <v>1.5428999999999999</v>
      </c>
      <c r="O1355">
        <v>1.5613999999999999</v>
      </c>
      <c r="P1355">
        <v>1.5788</v>
      </c>
      <c r="Q1355">
        <v>1.6014999999999999</v>
      </c>
      <c r="R1355">
        <v>1.6221000000000001</v>
      </c>
      <c r="S1355">
        <v>1.6434</v>
      </c>
      <c r="T1355">
        <v>1.6677999999999999</v>
      </c>
      <c r="U1355">
        <v>1.6932</v>
      </c>
      <c r="V1355">
        <v>1.7223999999999999</v>
      </c>
      <c r="W1355">
        <v>1.7505999999999999</v>
      </c>
      <c r="X1355">
        <v>1.7736000000000001</v>
      </c>
      <c r="Y1355">
        <v>1.7967</v>
      </c>
    </row>
    <row r="1356" spans="1:25" hidden="1">
      <c r="A1356" t="s">
        <v>18807</v>
      </c>
      <c r="B1356" t="s">
        <v>2002</v>
      </c>
      <c r="C1356" t="s">
        <v>1959</v>
      </c>
      <c r="D1356" t="s">
        <v>2001</v>
      </c>
      <c r="E1356" t="s">
        <v>2003</v>
      </c>
      <c r="F1356" t="s">
        <v>598</v>
      </c>
      <c r="G1356" t="s">
        <v>478</v>
      </c>
      <c r="H1356" t="s">
        <v>600</v>
      </c>
      <c r="I1356" t="s">
        <v>601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</row>
    <row r="1357" spans="1:25" hidden="1">
      <c r="A1357" t="s">
        <v>18807</v>
      </c>
      <c r="B1357" t="s">
        <v>2005</v>
      </c>
      <c r="C1357" t="s">
        <v>1959</v>
      </c>
      <c r="D1357" t="s">
        <v>2001</v>
      </c>
      <c r="E1357" t="s">
        <v>1976</v>
      </c>
      <c r="F1357" t="s">
        <v>598</v>
      </c>
      <c r="G1357" t="s">
        <v>478</v>
      </c>
      <c r="H1357" t="s">
        <v>600</v>
      </c>
      <c r="I1357" t="s">
        <v>601</v>
      </c>
      <c r="J1357">
        <v>2.9999999999999997E-4</v>
      </c>
      <c r="K1357">
        <v>2.9999999999999997E-4</v>
      </c>
      <c r="L1357">
        <v>4.0000000000000002E-4</v>
      </c>
      <c r="M1357">
        <v>4.0000000000000002E-4</v>
      </c>
      <c r="N1357">
        <v>4.0000000000000002E-4</v>
      </c>
      <c r="O1357">
        <v>4.0000000000000002E-4</v>
      </c>
      <c r="P1357">
        <v>4.0000000000000002E-4</v>
      </c>
      <c r="Q1357">
        <v>4.0000000000000002E-4</v>
      </c>
      <c r="R1357">
        <v>4.0000000000000002E-4</v>
      </c>
      <c r="S1357">
        <v>4.0000000000000002E-4</v>
      </c>
      <c r="T1357">
        <v>4.0000000000000002E-4</v>
      </c>
      <c r="U1357">
        <v>5.0000000000000001E-4</v>
      </c>
      <c r="V1357">
        <v>5.0000000000000001E-4</v>
      </c>
      <c r="W1357">
        <v>5.0000000000000001E-4</v>
      </c>
      <c r="X1357">
        <v>5.0000000000000001E-4</v>
      </c>
      <c r="Y1357">
        <v>5.0000000000000001E-4</v>
      </c>
    </row>
    <row r="1358" spans="1:25" hidden="1">
      <c r="A1358" t="s">
        <v>18807</v>
      </c>
      <c r="B1358" t="s">
        <v>2007</v>
      </c>
      <c r="C1358" t="s">
        <v>1959</v>
      </c>
      <c r="D1358" t="s">
        <v>2001</v>
      </c>
      <c r="E1358" t="s">
        <v>1966</v>
      </c>
      <c r="F1358" t="s">
        <v>598</v>
      </c>
      <c r="G1358" t="s">
        <v>478</v>
      </c>
      <c r="H1358" t="s">
        <v>600</v>
      </c>
      <c r="I1358" t="s">
        <v>601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</row>
    <row r="1359" spans="1:25" hidden="1">
      <c r="A1359" t="s">
        <v>18807</v>
      </c>
      <c r="B1359" t="s">
        <v>2011</v>
      </c>
      <c r="C1359" t="s">
        <v>1959</v>
      </c>
      <c r="D1359" t="s">
        <v>2012</v>
      </c>
      <c r="E1359" t="s">
        <v>2013</v>
      </c>
      <c r="F1359" t="s">
        <v>598</v>
      </c>
      <c r="G1359" t="s">
        <v>478</v>
      </c>
      <c r="H1359" t="s">
        <v>600</v>
      </c>
      <c r="I1359" t="s">
        <v>601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</row>
    <row r="1360" spans="1:25" hidden="1">
      <c r="A1360" t="s">
        <v>18807</v>
      </c>
      <c r="B1360" t="s">
        <v>2017</v>
      </c>
      <c r="C1360" t="s">
        <v>1959</v>
      </c>
      <c r="D1360" t="s">
        <v>1817</v>
      </c>
      <c r="E1360" t="s">
        <v>1962</v>
      </c>
      <c r="F1360" t="s">
        <v>598</v>
      </c>
      <c r="G1360" t="s">
        <v>478</v>
      </c>
      <c r="H1360" t="s">
        <v>600</v>
      </c>
      <c r="I1360" t="s">
        <v>601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25" hidden="1">
      <c r="A1361" t="s">
        <v>18807</v>
      </c>
      <c r="B1361" t="s">
        <v>2028</v>
      </c>
      <c r="C1361" t="s">
        <v>1959</v>
      </c>
      <c r="D1361" t="s">
        <v>1817</v>
      </c>
      <c r="E1361" t="s">
        <v>1966</v>
      </c>
      <c r="F1361" t="s">
        <v>598</v>
      </c>
      <c r="G1361" t="s">
        <v>478</v>
      </c>
      <c r="H1361" t="s">
        <v>600</v>
      </c>
      <c r="I1361" t="s">
        <v>601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</row>
    <row r="1362" spans="1:25" hidden="1">
      <c r="A1362" t="s">
        <v>18807</v>
      </c>
      <c r="B1362" t="s">
        <v>2030</v>
      </c>
      <c r="C1362" t="s">
        <v>1959</v>
      </c>
      <c r="D1362" t="s">
        <v>2031</v>
      </c>
      <c r="E1362" t="s">
        <v>2032</v>
      </c>
      <c r="F1362" t="s">
        <v>598</v>
      </c>
      <c r="G1362" t="s">
        <v>478</v>
      </c>
      <c r="H1362" t="s">
        <v>600</v>
      </c>
      <c r="I1362" t="s">
        <v>601</v>
      </c>
      <c r="J1362">
        <v>5.7599999999999998E-2</v>
      </c>
      <c r="K1362">
        <v>5.9700000000000003E-2</v>
      </c>
      <c r="L1362">
        <v>6.1899999999999997E-2</v>
      </c>
      <c r="M1362">
        <v>6.4199999999999993E-2</v>
      </c>
      <c r="N1362">
        <v>6.5199999999999994E-2</v>
      </c>
      <c r="O1362">
        <v>6.6299999999999998E-2</v>
      </c>
      <c r="P1362">
        <v>6.7400000000000002E-2</v>
      </c>
      <c r="Q1362">
        <v>6.8500000000000005E-2</v>
      </c>
      <c r="R1362">
        <v>6.9800000000000001E-2</v>
      </c>
      <c r="S1362">
        <v>7.1099999999999997E-2</v>
      </c>
      <c r="T1362">
        <v>7.2400000000000006E-2</v>
      </c>
      <c r="U1362">
        <v>7.3899999999999993E-2</v>
      </c>
      <c r="V1362">
        <v>7.5499999999999998E-2</v>
      </c>
      <c r="W1362">
        <v>7.7200000000000005E-2</v>
      </c>
      <c r="X1362">
        <v>7.85E-2</v>
      </c>
      <c r="Y1362">
        <v>0.08</v>
      </c>
    </row>
    <row r="1363" spans="1:25" hidden="1">
      <c r="A1363" t="s">
        <v>18807</v>
      </c>
      <c r="B1363" t="s">
        <v>2039</v>
      </c>
      <c r="C1363" t="s">
        <v>1959</v>
      </c>
      <c r="D1363" t="s">
        <v>648</v>
      </c>
      <c r="E1363" t="s">
        <v>1378</v>
      </c>
      <c r="F1363" t="s">
        <v>598</v>
      </c>
      <c r="G1363" t="s">
        <v>478</v>
      </c>
      <c r="H1363" t="s">
        <v>600</v>
      </c>
      <c r="I1363" t="s">
        <v>601</v>
      </c>
      <c r="J1363">
        <v>0.84719999999999995</v>
      </c>
      <c r="K1363">
        <v>0.87780000000000002</v>
      </c>
      <c r="L1363">
        <v>0.90949999999999998</v>
      </c>
      <c r="M1363">
        <v>0.94379999999999997</v>
      </c>
      <c r="N1363">
        <v>0.95909999999999995</v>
      </c>
      <c r="O1363">
        <v>0.97450000000000003</v>
      </c>
      <c r="P1363">
        <v>0.9909</v>
      </c>
      <c r="Q1363">
        <v>1.0074000000000001</v>
      </c>
      <c r="R1363">
        <v>1.0262</v>
      </c>
      <c r="S1363">
        <v>1.0450999999999999</v>
      </c>
      <c r="T1363">
        <v>1.0650999999999999</v>
      </c>
      <c r="U1363">
        <v>1.0864</v>
      </c>
      <c r="V1363">
        <v>1.1099000000000001</v>
      </c>
      <c r="W1363">
        <v>1.1347</v>
      </c>
      <c r="X1363">
        <v>1.1547000000000001</v>
      </c>
      <c r="Y1363">
        <v>1.1771</v>
      </c>
    </row>
    <row r="1364" spans="1:25" hidden="1">
      <c r="A1364" t="s">
        <v>18807</v>
      </c>
      <c r="B1364" t="s">
        <v>2041</v>
      </c>
      <c r="C1364" t="s">
        <v>1959</v>
      </c>
      <c r="D1364" t="s">
        <v>648</v>
      </c>
      <c r="E1364" t="s">
        <v>2003</v>
      </c>
      <c r="F1364" t="s">
        <v>598</v>
      </c>
      <c r="G1364" t="s">
        <v>478</v>
      </c>
      <c r="H1364" t="s">
        <v>600</v>
      </c>
      <c r="I1364" t="s">
        <v>601</v>
      </c>
      <c r="J1364">
        <v>2.3400000000000001E-2</v>
      </c>
      <c r="K1364">
        <v>2.4299999999999999E-2</v>
      </c>
      <c r="L1364">
        <v>2.5100000000000001E-2</v>
      </c>
      <c r="M1364">
        <v>2.6100000000000002E-2</v>
      </c>
      <c r="N1364">
        <v>2.6499999999999999E-2</v>
      </c>
      <c r="O1364">
        <v>2.69E-2</v>
      </c>
      <c r="P1364">
        <v>2.7400000000000001E-2</v>
      </c>
      <c r="Q1364">
        <v>2.7900000000000001E-2</v>
      </c>
      <c r="R1364">
        <v>2.8400000000000002E-2</v>
      </c>
      <c r="S1364">
        <v>2.8899999999999999E-2</v>
      </c>
      <c r="T1364">
        <v>2.9499999999999998E-2</v>
      </c>
      <c r="U1364">
        <v>3.0099999999999998E-2</v>
      </c>
      <c r="V1364">
        <v>3.0700000000000002E-2</v>
      </c>
      <c r="W1364">
        <v>3.1399999999999997E-2</v>
      </c>
      <c r="X1364">
        <v>3.1899999999999998E-2</v>
      </c>
      <c r="Y1364">
        <v>3.2500000000000001E-2</v>
      </c>
    </row>
    <row r="1365" spans="1:25" hidden="1">
      <c r="A1365" t="s">
        <v>18807</v>
      </c>
      <c r="B1365" t="s">
        <v>2042</v>
      </c>
      <c r="C1365" t="s">
        <v>1959</v>
      </c>
      <c r="D1365" t="s">
        <v>648</v>
      </c>
      <c r="E1365" t="s">
        <v>1380</v>
      </c>
      <c r="F1365" t="s">
        <v>598</v>
      </c>
      <c r="G1365" t="s">
        <v>478</v>
      </c>
      <c r="H1365" t="s">
        <v>600</v>
      </c>
      <c r="I1365" t="s">
        <v>601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</row>
    <row r="1366" spans="1:25" hidden="1">
      <c r="A1366" t="s">
        <v>18807</v>
      </c>
      <c r="B1366" t="s">
        <v>2043</v>
      </c>
      <c r="C1366" t="s">
        <v>1959</v>
      </c>
      <c r="D1366" t="s">
        <v>648</v>
      </c>
      <c r="E1366" t="s">
        <v>1976</v>
      </c>
      <c r="F1366" t="s">
        <v>598</v>
      </c>
      <c r="G1366" t="s">
        <v>478</v>
      </c>
      <c r="H1366" t="s">
        <v>600</v>
      </c>
      <c r="I1366" t="s">
        <v>601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</row>
    <row r="1367" spans="1:25" hidden="1">
      <c r="A1367" t="s">
        <v>18807</v>
      </c>
      <c r="B1367" t="s">
        <v>2044</v>
      </c>
      <c r="C1367" t="s">
        <v>1959</v>
      </c>
      <c r="D1367" t="s">
        <v>648</v>
      </c>
      <c r="E1367" t="s">
        <v>2045</v>
      </c>
      <c r="F1367" t="s">
        <v>598</v>
      </c>
      <c r="G1367" t="s">
        <v>478</v>
      </c>
      <c r="H1367" t="s">
        <v>600</v>
      </c>
      <c r="I1367" t="s">
        <v>601</v>
      </c>
      <c r="J1367">
        <v>1.8E-3</v>
      </c>
      <c r="K1367">
        <v>1.8E-3</v>
      </c>
      <c r="L1367">
        <v>1.9E-3</v>
      </c>
      <c r="M1367">
        <v>2E-3</v>
      </c>
      <c r="N1367">
        <v>2E-3</v>
      </c>
      <c r="O1367">
        <v>2.0999999999999999E-3</v>
      </c>
      <c r="P1367">
        <v>2.0999999999999999E-3</v>
      </c>
      <c r="Q1367">
        <v>2.0999999999999999E-3</v>
      </c>
      <c r="R1367">
        <v>2.2000000000000001E-3</v>
      </c>
      <c r="S1367">
        <v>2.2000000000000001E-3</v>
      </c>
      <c r="T1367">
        <v>2.2000000000000001E-3</v>
      </c>
      <c r="U1367">
        <v>2.3E-3</v>
      </c>
      <c r="V1367">
        <v>2.3E-3</v>
      </c>
      <c r="W1367">
        <v>2.3999999999999998E-3</v>
      </c>
      <c r="X1367">
        <v>2.3999999999999998E-3</v>
      </c>
      <c r="Y1367">
        <v>2.5000000000000001E-3</v>
      </c>
    </row>
    <row r="1368" spans="1:25" hidden="1">
      <c r="A1368" t="s">
        <v>18807</v>
      </c>
      <c r="B1368" t="s">
        <v>2046</v>
      </c>
      <c r="C1368" t="s">
        <v>1959</v>
      </c>
      <c r="D1368" t="s">
        <v>648</v>
      </c>
      <c r="E1368" t="s">
        <v>2047</v>
      </c>
      <c r="F1368" t="s">
        <v>598</v>
      </c>
      <c r="G1368" t="s">
        <v>478</v>
      </c>
      <c r="H1368" t="s">
        <v>600</v>
      </c>
      <c r="I1368" t="s">
        <v>601</v>
      </c>
      <c r="J1368">
        <v>4.8999999999999998E-3</v>
      </c>
      <c r="K1368">
        <v>5.0000000000000001E-3</v>
      </c>
      <c r="L1368">
        <v>5.3E-3</v>
      </c>
      <c r="M1368">
        <v>5.4999999999999997E-3</v>
      </c>
      <c r="N1368">
        <v>5.5999999999999999E-3</v>
      </c>
      <c r="O1368">
        <v>5.5999999999999999E-3</v>
      </c>
      <c r="P1368">
        <v>5.7000000000000002E-3</v>
      </c>
      <c r="Q1368">
        <v>5.8999999999999999E-3</v>
      </c>
      <c r="R1368">
        <v>5.8999999999999999E-3</v>
      </c>
      <c r="S1368">
        <v>6.0000000000000001E-3</v>
      </c>
      <c r="T1368">
        <v>6.1999999999999998E-3</v>
      </c>
      <c r="U1368">
        <v>6.3E-3</v>
      </c>
      <c r="V1368">
        <v>6.4999999999999997E-3</v>
      </c>
      <c r="W1368">
        <v>6.6E-3</v>
      </c>
      <c r="X1368">
        <v>6.7000000000000002E-3</v>
      </c>
      <c r="Y1368">
        <v>6.7999999999999996E-3</v>
      </c>
    </row>
    <row r="1369" spans="1:25" hidden="1">
      <c r="A1369" t="s">
        <v>18807</v>
      </c>
      <c r="B1369" t="s">
        <v>2048</v>
      </c>
      <c r="C1369" t="s">
        <v>1959</v>
      </c>
      <c r="D1369" t="s">
        <v>648</v>
      </c>
      <c r="E1369" t="s">
        <v>2049</v>
      </c>
      <c r="F1369" t="s">
        <v>598</v>
      </c>
      <c r="G1369" t="s">
        <v>478</v>
      </c>
      <c r="H1369" t="s">
        <v>600</v>
      </c>
      <c r="I1369" t="s">
        <v>601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 hidden="1">
      <c r="A1370" t="s">
        <v>18807</v>
      </c>
      <c r="B1370" t="s">
        <v>2052</v>
      </c>
      <c r="C1370" t="s">
        <v>1959</v>
      </c>
      <c r="D1370" t="s">
        <v>648</v>
      </c>
      <c r="E1370" t="s">
        <v>2010</v>
      </c>
      <c r="F1370" t="s">
        <v>598</v>
      </c>
      <c r="G1370" t="s">
        <v>478</v>
      </c>
      <c r="H1370" t="s">
        <v>600</v>
      </c>
      <c r="I1370" t="s">
        <v>601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25" hidden="1">
      <c r="A1371" t="s">
        <v>18807</v>
      </c>
      <c r="B1371" t="s">
        <v>2054</v>
      </c>
      <c r="C1371" t="s">
        <v>1959</v>
      </c>
      <c r="D1371" t="s">
        <v>648</v>
      </c>
      <c r="E1371" t="s">
        <v>2013</v>
      </c>
      <c r="F1371" t="s">
        <v>598</v>
      </c>
      <c r="G1371" t="s">
        <v>478</v>
      </c>
      <c r="H1371" t="s">
        <v>600</v>
      </c>
      <c r="I1371" t="s">
        <v>601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</row>
    <row r="1372" spans="1:25" hidden="1">
      <c r="A1372" t="s">
        <v>18807</v>
      </c>
      <c r="B1372" t="s">
        <v>2056</v>
      </c>
      <c r="C1372" t="s">
        <v>1959</v>
      </c>
      <c r="D1372" t="s">
        <v>648</v>
      </c>
      <c r="E1372" t="s">
        <v>2057</v>
      </c>
      <c r="F1372" t="s">
        <v>598</v>
      </c>
      <c r="G1372" t="s">
        <v>478</v>
      </c>
      <c r="H1372" t="s">
        <v>600</v>
      </c>
      <c r="I1372" t="s">
        <v>601</v>
      </c>
      <c r="J1372">
        <v>7.5700000000000003E-2</v>
      </c>
      <c r="K1372">
        <v>7.85E-2</v>
      </c>
      <c r="L1372">
        <v>8.1299999999999997E-2</v>
      </c>
      <c r="M1372">
        <v>8.4500000000000006E-2</v>
      </c>
      <c r="N1372">
        <v>8.5699999999999998E-2</v>
      </c>
      <c r="O1372">
        <v>8.7099999999999997E-2</v>
      </c>
      <c r="P1372">
        <v>8.8499999999999995E-2</v>
      </c>
      <c r="Q1372">
        <v>8.9899999999999994E-2</v>
      </c>
      <c r="R1372">
        <v>9.1700000000000004E-2</v>
      </c>
      <c r="S1372">
        <v>9.35E-2</v>
      </c>
      <c r="T1372">
        <v>9.5200000000000007E-2</v>
      </c>
      <c r="U1372">
        <v>9.7000000000000003E-2</v>
      </c>
      <c r="V1372">
        <v>9.9000000000000005E-2</v>
      </c>
      <c r="W1372">
        <v>0.1014</v>
      </c>
      <c r="X1372">
        <v>0.1031</v>
      </c>
      <c r="Y1372">
        <v>0.1052</v>
      </c>
    </row>
    <row r="1373" spans="1:25" hidden="1">
      <c r="A1373" t="s">
        <v>18807</v>
      </c>
      <c r="B1373" t="s">
        <v>2072</v>
      </c>
      <c r="C1373" t="s">
        <v>1959</v>
      </c>
      <c r="D1373" t="s">
        <v>648</v>
      </c>
      <c r="E1373" t="s">
        <v>1966</v>
      </c>
      <c r="F1373" t="s">
        <v>598</v>
      </c>
      <c r="G1373" t="s">
        <v>478</v>
      </c>
      <c r="H1373" t="s">
        <v>600</v>
      </c>
      <c r="I1373" t="s">
        <v>601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</row>
    <row r="1374" spans="1:25" hidden="1">
      <c r="A1374" t="s">
        <v>18807</v>
      </c>
      <c r="B1374" t="s">
        <v>2073</v>
      </c>
      <c r="C1374" t="s">
        <v>1959</v>
      </c>
      <c r="D1374" t="s">
        <v>648</v>
      </c>
      <c r="E1374" t="s">
        <v>1979</v>
      </c>
      <c r="F1374" t="s">
        <v>598</v>
      </c>
      <c r="G1374" t="s">
        <v>478</v>
      </c>
      <c r="H1374" t="s">
        <v>600</v>
      </c>
      <c r="I1374" t="s">
        <v>601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</row>
    <row r="1375" spans="1:25" hidden="1">
      <c r="A1375" t="s">
        <v>18807</v>
      </c>
      <c r="B1375" t="s">
        <v>2078</v>
      </c>
      <c r="C1375" t="s">
        <v>2075</v>
      </c>
      <c r="D1375" t="s">
        <v>2079</v>
      </c>
      <c r="E1375" t="s">
        <v>1378</v>
      </c>
      <c r="F1375" t="s">
        <v>598</v>
      </c>
      <c r="G1375" t="s">
        <v>478</v>
      </c>
      <c r="H1375" t="s">
        <v>600</v>
      </c>
      <c r="I1375" t="s">
        <v>601</v>
      </c>
      <c r="J1375">
        <v>5.7000000000000002E-3</v>
      </c>
      <c r="K1375">
        <v>5.7999999999999996E-3</v>
      </c>
      <c r="L1375">
        <v>5.7999999999999996E-3</v>
      </c>
      <c r="M1375">
        <v>5.7999999999999996E-3</v>
      </c>
      <c r="N1375">
        <v>5.7999999999999996E-3</v>
      </c>
      <c r="O1375">
        <v>5.8999999999999999E-3</v>
      </c>
      <c r="P1375">
        <v>6.0000000000000001E-3</v>
      </c>
      <c r="Q1375">
        <v>6.1000000000000004E-3</v>
      </c>
      <c r="R1375">
        <v>6.1999999999999998E-3</v>
      </c>
      <c r="S1375">
        <v>6.4000000000000003E-3</v>
      </c>
      <c r="T1375">
        <v>6.4999999999999997E-3</v>
      </c>
      <c r="U1375">
        <v>6.6E-3</v>
      </c>
      <c r="V1375">
        <v>6.7000000000000002E-3</v>
      </c>
      <c r="W1375">
        <v>6.7999999999999996E-3</v>
      </c>
      <c r="X1375">
        <v>6.8999999999999999E-3</v>
      </c>
      <c r="Y1375">
        <v>7.1000000000000004E-3</v>
      </c>
    </row>
    <row r="1376" spans="1:25" hidden="1">
      <c r="A1376" t="s">
        <v>18807</v>
      </c>
      <c r="B1376" t="s">
        <v>2080</v>
      </c>
      <c r="C1376" t="s">
        <v>2075</v>
      </c>
      <c r="D1376" t="s">
        <v>2079</v>
      </c>
      <c r="E1376" t="s">
        <v>2081</v>
      </c>
      <c r="F1376" t="s">
        <v>598</v>
      </c>
      <c r="G1376" t="s">
        <v>478</v>
      </c>
      <c r="H1376" t="s">
        <v>600</v>
      </c>
      <c r="I1376" t="s">
        <v>601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hidden="1">
      <c r="A1377" t="s">
        <v>18807</v>
      </c>
      <c r="B1377" t="s">
        <v>2082</v>
      </c>
      <c r="C1377" t="s">
        <v>2075</v>
      </c>
      <c r="D1377" t="s">
        <v>2079</v>
      </c>
      <c r="E1377" t="s">
        <v>2083</v>
      </c>
      <c r="F1377" t="s">
        <v>598</v>
      </c>
      <c r="G1377" t="s">
        <v>478</v>
      </c>
      <c r="H1377" t="s">
        <v>600</v>
      </c>
      <c r="I1377" t="s">
        <v>601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hidden="1">
      <c r="A1378" t="s">
        <v>18807</v>
      </c>
      <c r="B1378" t="s">
        <v>2087</v>
      </c>
      <c r="C1378" t="s">
        <v>2075</v>
      </c>
      <c r="D1378" t="s">
        <v>2079</v>
      </c>
      <c r="E1378" t="s">
        <v>2088</v>
      </c>
      <c r="F1378" t="s">
        <v>598</v>
      </c>
      <c r="G1378" t="s">
        <v>478</v>
      </c>
      <c r="H1378" t="s">
        <v>600</v>
      </c>
      <c r="I1378" t="s">
        <v>601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hidden="1">
      <c r="A1379" t="s">
        <v>18807</v>
      </c>
      <c r="B1379" t="s">
        <v>2092</v>
      </c>
      <c r="C1379" t="s">
        <v>2075</v>
      </c>
      <c r="D1379" t="s">
        <v>2090</v>
      </c>
      <c r="E1379" t="s">
        <v>1378</v>
      </c>
      <c r="F1379" t="s">
        <v>598</v>
      </c>
      <c r="G1379" t="s">
        <v>478</v>
      </c>
      <c r="H1379" t="s">
        <v>600</v>
      </c>
      <c r="I1379" t="s">
        <v>601</v>
      </c>
      <c r="J1379">
        <v>1E-4</v>
      </c>
      <c r="K1379">
        <v>1E-4</v>
      </c>
      <c r="L1379">
        <v>1E-4</v>
      </c>
      <c r="M1379">
        <v>1E-4</v>
      </c>
      <c r="N1379">
        <v>1E-4</v>
      </c>
      <c r="O1379">
        <v>1E-4</v>
      </c>
      <c r="P1379">
        <v>1E-4</v>
      </c>
      <c r="Q1379">
        <v>1E-4</v>
      </c>
      <c r="R1379">
        <v>1E-4</v>
      </c>
      <c r="S1379">
        <v>1E-4</v>
      </c>
      <c r="T1379">
        <v>1E-4</v>
      </c>
      <c r="U1379">
        <v>1E-4</v>
      </c>
      <c r="V1379">
        <v>1E-4</v>
      </c>
      <c r="W1379">
        <v>1E-4</v>
      </c>
      <c r="X1379">
        <v>1E-4</v>
      </c>
      <c r="Y1379">
        <v>1E-4</v>
      </c>
    </row>
    <row r="1380" spans="1:25" hidden="1">
      <c r="A1380" t="s">
        <v>18807</v>
      </c>
      <c r="B1380" t="s">
        <v>2093</v>
      </c>
      <c r="C1380" t="s">
        <v>2075</v>
      </c>
      <c r="D1380" t="s">
        <v>2090</v>
      </c>
      <c r="E1380" t="s">
        <v>2086</v>
      </c>
      <c r="F1380" t="s">
        <v>598</v>
      </c>
      <c r="G1380" t="s">
        <v>478</v>
      </c>
      <c r="H1380" t="s">
        <v>600</v>
      </c>
      <c r="I1380" t="s">
        <v>601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hidden="1">
      <c r="A1381" t="s">
        <v>18807</v>
      </c>
      <c r="B1381" t="s">
        <v>2096</v>
      </c>
      <c r="C1381" t="s">
        <v>2075</v>
      </c>
      <c r="D1381" t="s">
        <v>2090</v>
      </c>
      <c r="E1381" t="s">
        <v>2097</v>
      </c>
      <c r="F1381" t="s">
        <v>598</v>
      </c>
      <c r="G1381" t="s">
        <v>478</v>
      </c>
      <c r="H1381" t="s">
        <v>600</v>
      </c>
      <c r="I1381" t="s">
        <v>601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</row>
    <row r="1382" spans="1:25" hidden="1">
      <c r="A1382" t="s">
        <v>18807</v>
      </c>
      <c r="B1382" t="s">
        <v>2100</v>
      </c>
      <c r="C1382" t="s">
        <v>2075</v>
      </c>
      <c r="D1382" t="s">
        <v>2090</v>
      </c>
      <c r="E1382" t="s">
        <v>2088</v>
      </c>
      <c r="F1382" t="s">
        <v>598</v>
      </c>
      <c r="G1382" t="s">
        <v>478</v>
      </c>
      <c r="H1382" t="s">
        <v>600</v>
      </c>
      <c r="I1382" t="s">
        <v>601</v>
      </c>
      <c r="J1382">
        <v>2.8999999999999998E-3</v>
      </c>
      <c r="K1382">
        <v>3.0000000000000001E-3</v>
      </c>
      <c r="L1382">
        <v>3.0000000000000001E-3</v>
      </c>
      <c r="M1382">
        <v>3.0999999999999999E-3</v>
      </c>
      <c r="N1382">
        <v>3.0999999999999999E-3</v>
      </c>
      <c r="O1382">
        <v>3.2000000000000002E-3</v>
      </c>
      <c r="P1382">
        <v>3.2000000000000002E-3</v>
      </c>
      <c r="Q1382">
        <v>3.3E-3</v>
      </c>
      <c r="R1382">
        <v>3.3E-3</v>
      </c>
      <c r="S1382">
        <v>3.3999999999999998E-3</v>
      </c>
      <c r="T1382">
        <v>3.5000000000000001E-3</v>
      </c>
      <c r="U1382">
        <v>3.5000000000000001E-3</v>
      </c>
      <c r="V1382">
        <v>3.5999999999999999E-3</v>
      </c>
      <c r="W1382">
        <v>3.7000000000000002E-3</v>
      </c>
      <c r="X1382">
        <v>3.8E-3</v>
      </c>
      <c r="Y1382">
        <v>3.8E-3</v>
      </c>
    </row>
    <row r="1383" spans="1:25" hidden="1">
      <c r="A1383" t="s">
        <v>18807</v>
      </c>
      <c r="B1383" t="s">
        <v>2106</v>
      </c>
      <c r="C1383" t="s">
        <v>2075</v>
      </c>
      <c r="D1383" t="s">
        <v>648</v>
      </c>
      <c r="E1383" t="s">
        <v>1378</v>
      </c>
      <c r="F1383" t="s">
        <v>598</v>
      </c>
      <c r="G1383" t="s">
        <v>478</v>
      </c>
      <c r="H1383" t="s">
        <v>600</v>
      </c>
      <c r="I1383" t="s">
        <v>601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</row>
    <row r="1384" spans="1:25" hidden="1">
      <c r="A1384" t="s">
        <v>18807</v>
      </c>
      <c r="B1384" t="s">
        <v>2114</v>
      </c>
      <c r="C1384" t="s">
        <v>2075</v>
      </c>
      <c r="D1384" t="s">
        <v>648</v>
      </c>
      <c r="E1384" t="s">
        <v>1004</v>
      </c>
      <c r="F1384" t="s">
        <v>598</v>
      </c>
      <c r="G1384" t="s">
        <v>478</v>
      </c>
      <c r="H1384" t="s">
        <v>600</v>
      </c>
      <c r="I1384" t="s">
        <v>601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</row>
    <row r="1385" spans="1:25" hidden="1">
      <c r="A1385" t="s">
        <v>18807</v>
      </c>
      <c r="B1385" t="s">
        <v>2117</v>
      </c>
      <c r="C1385" t="s">
        <v>2116</v>
      </c>
      <c r="D1385" t="s">
        <v>2118</v>
      </c>
      <c r="E1385" t="s">
        <v>2119</v>
      </c>
      <c r="F1385" t="s">
        <v>598</v>
      </c>
      <c r="G1385" t="s">
        <v>478</v>
      </c>
      <c r="H1385" t="s">
        <v>600</v>
      </c>
      <c r="I1385" t="s">
        <v>601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</row>
    <row r="1386" spans="1:25" hidden="1">
      <c r="A1386" t="s">
        <v>18807</v>
      </c>
      <c r="B1386" t="s">
        <v>2120</v>
      </c>
      <c r="C1386" t="s">
        <v>2116</v>
      </c>
      <c r="D1386" t="s">
        <v>2121</v>
      </c>
      <c r="E1386" t="s">
        <v>2119</v>
      </c>
      <c r="F1386" t="s">
        <v>598</v>
      </c>
      <c r="G1386" t="s">
        <v>478</v>
      </c>
      <c r="H1386" t="s">
        <v>600</v>
      </c>
      <c r="I1386" t="s">
        <v>601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</row>
    <row r="1387" spans="1:25" hidden="1">
      <c r="A1387" t="s">
        <v>18807</v>
      </c>
      <c r="B1387" t="s">
        <v>2123</v>
      </c>
      <c r="C1387" t="s">
        <v>2116</v>
      </c>
      <c r="D1387" t="s">
        <v>2124</v>
      </c>
      <c r="E1387" t="s">
        <v>2125</v>
      </c>
      <c r="F1387" t="s">
        <v>598</v>
      </c>
      <c r="G1387" t="s">
        <v>478</v>
      </c>
      <c r="H1387" t="s">
        <v>600</v>
      </c>
      <c r="I1387" t="s">
        <v>601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</row>
    <row r="1388" spans="1:25" hidden="1">
      <c r="A1388" t="s">
        <v>18807</v>
      </c>
      <c r="B1388" t="s">
        <v>2126</v>
      </c>
      <c r="C1388" t="s">
        <v>2116</v>
      </c>
      <c r="D1388" t="s">
        <v>2127</v>
      </c>
      <c r="E1388" t="s">
        <v>656</v>
      </c>
      <c r="F1388" t="s">
        <v>598</v>
      </c>
      <c r="G1388" t="s">
        <v>478</v>
      </c>
      <c r="H1388" t="s">
        <v>600</v>
      </c>
      <c r="I1388" t="s">
        <v>601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</row>
    <row r="1389" spans="1:25" hidden="1">
      <c r="A1389" t="s">
        <v>18807</v>
      </c>
      <c r="B1389" t="s">
        <v>2128</v>
      </c>
      <c r="C1389" t="s">
        <v>2116</v>
      </c>
      <c r="D1389" t="s">
        <v>648</v>
      </c>
      <c r="E1389" t="s">
        <v>656</v>
      </c>
      <c r="F1389" t="s">
        <v>598</v>
      </c>
      <c r="G1389" t="s">
        <v>478</v>
      </c>
      <c r="H1389" t="s">
        <v>600</v>
      </c>
      <c r="I1389" t="s">
        <v>601</v>
      </c>
      <c r="J1389">
        <v>0.1023</v>
      </c>
      <c r="K1389">
        <v>0.1038</v>
      </c>
      <c r="L1389">
        <v>0.1052</v>
      </c>
      <c r="M1389">
        <v>0.1069</v>
      </c>
      <c r="N1389">
        <v>0.1071</v>
      </c>
      <c r="O1389">
        <v>0.1069</v>
      </c>
      <c r="P1389">
        <v>0.1069</v>
      </c>
      <c r="Q1389">
        <v>0.1069</v>
      </c>
      <c r="R1389">
        <v>0.1071</v>
      </c>
      <c r="S1389">
        <v>0.1074</v>
      </c>
      <c r="T1389">
        <v>0.1079</v>
      </c>
      <c r="U1389">
        <v>0.10879999999999999</v>
      </c>
      <c r="V1389">
        <v>0.1099</v>
      </c>
      <c r="W1389">
        <v>0.1111</v>
      </c>
      <c r="X1389">
        <v>0.1119</v>
      </c>
      <c r="Y1389">
        <v>0.1133</v>
      </c>
    </row>
    <row r="1390" spans="1:25" hidden="1">
      <c r="A1390" t="s">
        <v>18807</v>
      </c>
      <c r="B1390" t="s">
        <v>2129</v>
      </c>
      <c r="C1390" t="s">
        <v>2116</v>
      </c>
      <c r="D1390" t="s">
        <v>648</v>
      </c>
      <c r="E1390" t="s">
        <v>2119</v>
      </c>
      <c r="F1390" t="s">
        <v>598</v>
      </c>
      <c r="G1390" t="s">
        <v>478</v>
      </c>
      <c r="H1390" t="s">
        <v>600</v>
      </c>
      <c r="I1390" t="s">
        <v>601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</row>
    <row r="1391" spans="1:25" hidden="1">
      <c r="A1391" t="s">
        <v>18807</v>
      </c>
      <c r="B1391" t="s">
        <v>2145</v>
      </c>
      <c r="C1391" t="s">
        <v>2144</v>
      </c>
      <c r="D1391" t="s">
        <v>1435</v>
      </c>
      <c r="E1391" t="s">
        <v>973</v>
      </c>
      <c r="F1391" t="s">
        <v>598</v>
      </c>
      <c r="G1391" t="s">
        <v>478</v>
      </c>
      <c r="H1391" t="s">
        <v>600</v>
      </c>
      <c r="I1391" t="s">
        <v>601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hidden="1">
      <c r="A1392" t="s">
        <v>18807</v>
      </c>
      <c r="B1392" t="s">
        <v>2148</v>
      </c>
      <c r="C1392" t="s">
        <v>2144</v>
      </c>
      <c r="D1392" t="s">
        <v>2147</v>
      </c>
      <c r="E1392" t="s">
        <v>1393</v>
      </c>
      <c r="F1392" t="s">
        <v>598</v>
      </c>
      <c r="G1392" t="s">
        <v>478</v>
      </c>
      <c r="H1392" t="s">
        <v>600</v>
      </c>
      <c r="I1392" t="s">
        <v>601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</row>
    <row r="1393" spans="1:25" hidden="1">
      <c r="A1393" t="s">
        <v>18807</v>
      </c>
      <c r="B1393" t="s">
        <v>2150</v>
      </c>
      <c r="C1393" t="s">
        <v>2144</v>
      </c>
      <c r="D1393" t="s">
        <v>648</v>
      </c>
      <c r="E1393" t="s">
        <v>1393</v>
      </c>
      <c r="F1393" t="s">
        <v>598</v>
      </c>
      <c r="G1393" t="s">
        <v>478</v>
      </c>
      <c r="H1393" t="s">
        <v>600</v>
      </c>
      <c r="I1393" t="s">
        <v>601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hidden="1">
      <c r="A1394" t="s">
        <v>18807</v>
      </c>
      <c r="B1394" t="s">
        <v>2161</v>
      </c>
      <c r="C1394" t="s">
        <v>2154</v>
      </c>
      <c r="D1394" t="s">
        <v>1324</v>
      </c>
      <c r="E1394" t="s">
        <v>1684</v>
      </c>
      <c r="F1394" t="s">
        <v>598</v>
      </c>
      <c r="G1394" t="s">
        <v>478</v>
      </c>
      <c r="H1394" t="s">
        <v>600</v>
      </c>
      <c r="I1394" t="s">
        <v>601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</row>
    <row r="1395" spans="1:25" hidden="1">
      <c r="A1395" t="s">
        <v>18807</v>
      </c>
      <c r="B1395" t="s">
        <v>2172</v>
      </c>
      <c r="C1395" t="s">
        <v>2154</v>
      </c>
      <c r="D1395" t="s">
        <v>1435</v>
      </c>
      <c r="E1395" t="s">
        <v>973</v>
      </c>
      <c r="F1395" t="s">
        <v>598</v>
      </c>
      <c r="G1395" t="s">
        <v>478</v>
      </c>
      <c r="H1395" t="s">
        <v>600</v>
      </c>
      <c r="I1395" t="s">
        <v>601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</row>
    <row r="1396" spans="1:25" hidden="1">
      <c r="A1396" t="s">
        <v>18807</v>
      </c>
      <c r="B1396" t="s">
        <v>2173</v>
      </c>
      <c r="C1396" t="s">
        <v>2154</v>
      </c>
      <c r="D1396" t="s">
        <v>1354</v>
      </c>
      <c r="E1396" t="s">
        <v>973</v>
      </c>
      <c r="F1396" t="s">
        <v>598</v>
      </c>
      <c r="G1396" t="s">
        <v>478</v>
      </c>
      <c r="H1396" t="s">
        <v>600</v>
      </c>
      <c r="I1396" t="s">
        <v>601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</row>
    <row r="1397" spans="1:25" hidden="1">
      <c r="A1397" t="s">
        <v>18807</v>
      </c>
      <c r="B1397" t="s">
        <v>2182</v>
      </c>
      <c r="C1397" t="s">
        <v>2154</v>
      </c>
      <c r="D1397" t="s">
        <v>2183</v>
      </c>
      <c r="E1397" t="s">
        <v>649</v>
      </c>
      <c r="F1397" t="s">
        <v>598</v>
      </c>
      <c r="G1397" t="s">
        <v>478</v>
      </c>
      <c r="H1397" t="s">
        <v>600</v>
      </c>
      <c r="I1397" t="s">
        <v>601</v>
      </c>
      <c r="J1397">
        <v>2.8999999999999998E-3</v>
      </c>
      <c r="K1397">
        <v>3.3E-3</v>
      </c>
      <c r="L1397">
        <v>3.7000000000000002E-3</v>
      </c>
      <c r="M1397">
        <v>4.1999999999999997E-3</v>
      </c>
      <c r="N1397">
        <v>4.4000000000000003E-3</v>
      </c>
      <c r="O1397">
        <v>4.5999999999999999E-3</v>
      </c>
      <c r="P1397">
        <v>4.7000000000000002E-3</v>
      </c>
      <c r="Q1397">
        <v>4.8999999999999998E-3</v>
      </c>
      <c r="R1397">
        <v>5.0000000000000001E-3</v>
      </c>
      <c r="S1397">
        <v>5.1999999999999998E-3</v>
      </c>
      <c r="T1397">
        <v>5.3E-3</v>
      </c>
      <c r="U1397">
        <v>5.4999999999999997E-3</v>
      </c>
      <c r="V1397">
        <v>5.7000000000000002E-3</v>
      </c>
      <c r="W1397">
        <v>5.7999999999999996E-3</v>
      </c>
      <c r="X1397">
        <v>6.0000000000000001E-3</v>
      </c>
      <c r="Y1397">
        <v>6.1999999999999998E-3</v>
      </c>
    </row>
    <row r="1398" spans="1:25" hidden="1">
      <c r="A1398" t="s">
        <v>18807</v>
      </c>
      <c r="B1398" t="s">
        <v>2184</v>
      </c>
      <c r="C1398" t="s">
        <v>2154</v>
      </c>
      <c r="D1398" t="s">
        <v>2185</v>
      </c>
      <c r="E1398" t="s">
        <v>2186</v>
      </c>
      <c r="F1398" t="s">
        <v>598</v>
      </c>
      <c r="G1398" t="s">
        <v>478</v>
      </c>
      <c r="H1398" t="s">
        <v>600</v>
      </c>
      <c r="I1398" t="s">
        <v>601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</row>
    <row r="1399" spans="1:25" hidden="1">
      <c r="A1399" t="s">
        <v>18807</v>
      </c>
      <c r="B1399" t="s">
        <v>2187</v>
      </c>
      <c r="C1399" t="s">
        <v>2154</v>
      </c>
      <c r="D1399" t="s">
        <v>648</v>
      </c>
      <c r="E1399" t="s">
        <v>920</v>
      </c>
      <c r="F1399" t="s">
        <v>598</v>
      </c>
      <c r="G1399" t="s">
        <v>478</v>
      </c>
      <c r="H1399" t="s">
        <v>600</v>
      </c>
      <c r="I1399" t="s">
        <v>601</v>
      </c>
      <c r="J1399">
        <v>1.54E-2</v>
      </c>
      <c r="K1399">
        <v>1.7399999999999999E-2</v>
      </c>
      <c r="L1399">
        <v>1.9599999999999999E-2</v>
      </c>
      <c r="M1399">
        <v>2.24E-2</v>
      </c>
      <c r="N1399">
        <v>2.3300000000000001E-2</v>
      </c>
      <c r="O1399">
        <v>2.41E-2</v>
      </c>
      <c r="P1399">
        <v>2.4899999999999999E-2</v>
      </c>
      <c r="Q1399">
        <v>2.5700000000000001E-2</v>
      </c>
      <c r="R1399">
        <v>2.6499999999999999E-2</v>
      </c>
      <c r="S1399">
        <v>2.7300000000000001E-2</v>
      </c>
      <c r="T1399">
        <v>2.81E-2</v>
      </c>
      <c r="U1399">
        <v>2.9000000000000001E-2</v>
      </c>
      <c r="V1399">
        <v>0.03</v>
      </c>
      <c r="W1399">
        <v>3.09E-2</v>
      </c>
      <c r="X1399">
        <v>3.1800000000000002E-2</v>
      </c>
      <c r="Y1399">
        <v>3.27E-2</v>
      </c>
    </row>
    <row r="1400" spans="1:25" hidden="1">
      <c r="A1400" t="s">
        <v>18807</v>
      </c>
      <c r="B1400" t="s">
        <v>2188</v>
      </c>
      <c r="C1400" t="s">
        <v>2154</v>
      </c>
      <c r="D1400" t="s">
        <v>648</v>
      </c>
      <c r="E1400" t="s">
        <v>973</v>
      </c>
      <c r="F1400" t="s">
        <v>598</v>
      </c>
      <c r="G1400" t="s">
        <v>478</v>
      </c>
      <c r="H1400" t="s">
        <v>600</v>
      </c>
      <c r="I1400" t="s">
        <v>601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</row>
    <row r="1401" spans="1:25" hidden="1">
      <c r="A1401" t="s">
        <v>18807</v>
      </c>
      <c r="B1401" t="s">
        <v>2192</v>
      </c>
      <c r="C1401" t="s">
        <v>2154</v>
      </c>
      <c r="D1401" t="s">
        <v>648</v>
      </c>
      <c r="E1401" t="s">
        <v>2193</v>
      </c>
      <c r="F1401" t="s">
        <v>598</v>
      </c>
      <c r="G1401" t="s">
        <v>478</v>
      </c>
      <c r="H1401" t="s">
        <v>600</v>
      </c>
      <c r="I1401" t="s">
        <v>601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hidden="1">
      <c r="A1402" t="s">
        <v>18807</v>
      </c>
      <c r="B1402" t="s">
        <v>2194</v>
      </c>
      <c r="C1402" t="s">
        <v>2154</v>
      </c>
      <c r="D1402" t="s">
        <v>648</v>
      </c>
      <c r="E1402" t="s">
        <v>2195</v>
      </c>
      <c r="F1402" t="s">
        <v>598</v>
      </c>
      <c r="G1402" t="s">
        <v>478</v>
      </c>
      <c r="H1402" t="s">
        <v>600</v>
      </c>
      <c r="I1402" t="s">
        <v>601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hidden="1">
      <c r="A1403" t="s">
        <v>18807</v>
      </c>
      <c r="B1403" t="s">
        <v>2197</v>
      </c>
      <c r="C1403" t="s">
        <v>2154</v>
      </c>
      <c r="D1403" t="s">
        <v>648</v>
      </c>
      <c r="E1403" t="s">
        <v>646</v>
      </c>
      <c r="F1403" t="s">
        <v>598</v>
      </c>
      <c r="G1403" t="s">
        <v>478</v>
      </c>
      <c r="H1403" t="s">
        <v>600</v>
      </c>
      <c r="I1403" t="s">
        <v>601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</row>
    <row r="1404" spans="1:25" hidden="1">
      <c r="A1404" t="s">
        <v>18807</v>
      </c>
      <c r="B1404" t="s">
        <v>2205</v>
      </c>
      <c r="C1404" t="s">
        <v>2154</v>
      </c>
      <c r="D1404" t="s">
        <v>648</v>
      </c>
      <c r="E1404" t="s">
        <v>1936</v>
      </c>
      <c r="F1404" t="s">
        <v>598</v>
      </c>
      <c r="G1404" t="s">
        <v>478</v>
      </c>
      <c r="H1404" t="s">
        <v>600</v>
      </c>
      <c r="I1404" t="s">
        <v>601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 hidden="1">
      <c r="A1405" t="s">
        <v>18807</v>
      </c>
      <c r="B1405" t="s">
        <v>2209</v>
      </c>
      <c r="C1405" t="s">
        <v>2154</v>
      </c>
      <c r="D1405" t="s">
        <v>648</v>
      </c>
      <c r="E1405" t="s">
        <v>1004</v>
      </c>
      <c r="F1405" t="s">
        <v>598</v>
      </c>
      <c r="G1405" t="s">
        <v>478</v>
      </c>
      <c r="H1405" t="s">
        <v>600</v>
      </c>
      <c r="I1405" t="s">
        <v>601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</row>
    <row r="1406" spans="1:25">
      <c r="J1406">
        <f t="shared" ref="J1406:Y1406" si="6">SUBTOTAL(109,J1013:J1405)</f>
        <v>2.6433</v>
      </c>
      <c r="K1406">
        <f t="shared" si="6"/>
        <v>2.7282999999999999</v>
      </c>
      <c r="L1406">
        <f t="shared" si="6"/>
        <v>2.7629999999999999</v>
      </c>
      <c r="M1406">
        <f t="shared" si="6"/>
        <v>2.7986999999999997</v>
      </c>
      <c r="N1406">
        <f t="shared" si="6"/>
        <v>2.8207</v>
      </c>
      <c r="O1406">
        <f t="shared" si="6"/>
        <v>2.8367999999999998</v>
      </c>
      <c r="P1406">
        <f t="shared" si="6"/>
        <v>2.8512999999999997</v>
      </c>
      <c r="Q1406">
        <f t="shared" si="6"/>
        <v>2.8860999999999994</v>
      </c>
      <c r="R1406">
        <f t="shared" si="6"/>
        <v>2.9092999999999996</v>
      </c>
      <c r="S1406">
        <f t="shared" si="6"/>
        <v>2.9651999999999998</v>
      </c>
      <c r="T1406">
        <f t="shared" si="6"/>
        <v>3.0278999999999998</v>
      </c>
      <c r="U1406">
        <f t="shared" si="6"/>
        <v>3.0738999999999996</v>
      </c>
      <c r="V1406">
        <f t="shared" si="6"/>
        <v>3.0948999999999995</v>
      </c>
      <c r="W1406">
        <f t="shared" si="6"/>
        <v>3.1440999999999999</v>
      </c>
      <c r="X1406">
        <f t="shared" si="6"/>
        <v>3.1945999999999999</v>
      </c>
      <c r="Y1406">
        <f t="shared" si="6"/>
        <v>3.2265999999999995</v>
      </c>
    </row>
    <row r="1408" spans="1:25">
      <c r="A1408" t="s">
        <v>569</v>
      </c>
      <c r="B1408" t="s">
        <v>570</v>
      </c>
      <c r="C1408" t="s">
        <v>571</v>
      </c>
      <c r="D1408" t="s">
        <v>572</v>
      </c>
      <c r="E1408" t="s">
        <v>573</v>
      </c>
      <c r="F1408" t="s">
        <v>574</v>
      </c>
      <c r="G1408" t="s">
        <v>575</v>
      </c>
      <c r="H1408" t="s">
        <v>576</v>
      </c>
      <c r="I1408" t="s">
        <v>577</v>
      </c>
      <c r="J1408" t="s">
        <v>578</v>
      </c>
      <c r="K1408" t="s">
        <v>579</v>
      </c>
      <c r="L1408" t="s">
        <v>580</v>
      </c>
      <c r="M1408" t="s">
        <v>581</v>
      </c>
      <c r="N1408" t="s">
        <v>582</v>
      </c>
      <c r="O1408" t="s">
        <v>583</v>
      </c>
      <c r="P1408" t="s">
        <v>584</v>
      </c>
      <c r="Q1408" t="s">
        <v>585</v>
      </c>
      <c r="R1408" t="s">
        <v>586</v>
      </c>
      <c r="S1408" t="s">
        <v>587</v>
      </c>
      <c r="T1408" t="s">
        <v>588</v>
      </c>
      <c r="U1408" t="s">
        <v>589</v>
      </c>
      <c r="V1408" t="s">
        <v>590</v>
      </c>
      <c r="W1408" t="s">
        <v>591</v>
      </c>
      <c r="X1408" t="s">
        <v>592</v>
      </c>
      <c r="Y1408" t="s">
        <v>593</v>
      </c>
    </row>
    <row r="1409" spans="1:25">
      <c r="A1409" t="s">
        <v>18808</v>
      </c>
      <c r="B1409" t="s">
        <v>594</v>
      </c>
      <c r="C1409" t="s">
        <v>595</v>
      </c>
      <c r="D1409" t="s">
        <v>596</v>
      </c>
      <c r="E1409" t="s">
        <v>597</v>
      </c>
      <c r="F1409" t="s">
        <v>598</v>
      </c>
      <c r="G1409" t="s">
        <v>478</v>
      </c>
      <c r="H1409" t="s">
        <v>600</v>
      </c>
      <c r="I1409" t="s">
        <v>601</v>
      </c>
      <c r="J1409">
        <v>0.16789999999999999</v>
      </c>
      <c r="K1409">
        <v>0.16689999999999999</v>
      </c>
      <c r="L1409">
        <v>0.1623</v>
      </c>
      <c r="M1409">
        <v>0.1636</v>
      </c>
      <c r="N1409">
        <v>0.16320000000000001</v>
      </c>
      <c r="O1409">
        <v>0.16300000000000001</v>
      </c>
      <c r="P1409">
        <v>0.16930000000000001</v>
      </c>
      <c r="Q1409">
        <v>0.17369999999999999</v>
      </c>
      <c r="R1409">
        <v>0.1767</v>
      </c>
      <c r="S1409">
        <v>0.17879999999999999</v>
      </c>
      <c r="T1409">
        <v>0.1802</v>
      </c>
      <c r="U1409">
        <v>0.1802</v>
      </c>
      <c r="V1409">
        <v>0.1802</v>
      </c>
      <c r="W1409">
        <v>0.1802</v>
      </c>
      <c r="X1409">
        <v>0.1802</v>
      </c>
      <c r="Y1409">
        <v>0.1802</v>
      </c>
    </row>
    <row r="1410" spans="1:25">
      <c r="A1410" t="s">
        <v>18808</v>
      </c>
      <c r="B1410" t="s">
        <v>612</v>
      </c>
      <c r="C1410" t="s">
        <v>595</v>
      </c>
      <c r="D1410" t="s">
        <v>596</v>
      </c>
      <c r="E1410" t="s">
        <v>613</v>
      </c>
      <c r="F1410" t="s">
        <v>598</v>
      </c>
      <c r="G1410" t="s">
        <v>478</v>
      </c>
      <c r="H1410" t="s">
        <v>600</v>
      </c>
      <c r="I1410" t="s">
        <v>601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25">
      <c r="A1411" t="s">
        <v>18808</v>
      </c>
      <c r="B1411" t="s">
        <v>631</v>
      </c>
      <c r="C1411" t="s">
        <v>595</v>
      </c>
      <c r="D1411" t="s">
        <v>632</v>
      </c>
      <c r="E1411" t="s">
        <v>597</v>
      </c>
      <c r="F1411" t="s">
        <v>598</v>
      </c>
      <c r="G1411" t="s">
        <v>478</v>
      </c>
      <c r="H1411" t="s">
        <v>600</v>
      </c>
      <c r="I1411" t="s">
        <v>601</v>
      </c>
      <c r="J1411">
        <v>0.60670000000000002</v>
      </c>
      <c r="K1411">
        <v>0.57850000000000001</v>
      </c>
      <c r="L1411">
        <v>0.57169999999999999</v>
      </c>
      <c r="M1411">
        <v>0.56020000000000003</v>
      </c>
      <c r="N1411">
        <v>0.54620000000000002</v>
      </c>
      <c r="O1411">
        <v>0.51929999999999998</v>
      </c>
      <c r="P1411">
        <v>0.50219999999999998</v>
      </c>
      <c r="Q1411">
        <v>0.45540000000000003</v>
      </c>
      <c r="R1411">
        <v>0.46</v>
      </c>
      <c r="S1411">
        <v>0.46310000000000001</v>
      </c>
      <c r="T1411">
        <v>0.46529999999999999</v>
      </c>
      <c r="U1411">
        <v>0.46529999999999999</v>
      </c>
      <c r="V1411">
        <v>0.46529999999999999</v>
      </c>
      <c r="W1411">
        <v>0.46529999999999999</v>
      </c>
      <c r="X1411">
        <v>0.46529999999999999</v>
      </c>
      <c r="Y1411">
        <v>0.46529999999999999</v>
      </c>
    </row>
    <row r="1412" spans="1:25">
      <c r="A1412" t="s">
        <v>18808</v>
      </c>
      <c r="B1412" t="s">
        <v>636</v>
      </c>
      <c r="C1412" t="s">
        <v>595</v>
      </c>
      <c r="D1412" t="s">
        <v>632</v>
      </c>
      <c r="E1412" t="s">
        <v>628</v>
      </c>
      <c r="F1412" t="s">
        <v>598</v>
      </c>
      <c r="G1412" t="s">
        <v>478</v>
      </c>
      <c r="H1412" t="s">
        <v>600</v>
      </c>
      <c r="I1412" t="s">
        <v>601</v>
      </c>
      <c r="J1412">
        <v>1.4E-3</v>
      </c>
      <c r="K1412">
        <v>1.4E-3</v>
      </c>
      <c r="L1412">
        <v>1.2999999999999999E-3</v>
      </c>
      <c r="M1412">
        <v>1.2999999999999999E-3</v>
      </c>
      <c r="N1412">
        <v>1.2999999999999999E-3</v>
      </c>
      <c r="O1412">
        <v>1.2999999999999999E-3</v>
      </c>
      <c r="P1412">
        <v>1.4E-3</v>
      </c>
      <c r="Q1412">
        <v>1.4E-3</v>
      </c>
      <c r="R1412">
        <v>1.5E-3</v>
      </c>
      <c r="S1412">
        <v>1.5E-3</v>
      </c>
      <c r="T1412">
        <v>1.5E-3</v>
      </c>
      <c r="U1412">
        <v>1.5E-3</v>
      </c>
      <c r="V1412">
        <v>1.5E-3</v>
      </c>
      <c r="W1412">
        <v>1.5E-3</v>
      </c>
      <c r="X1412">
        <v>1.5E-3</v>
      </c>
      <c r="Y1412">
        <v>1.5E-3</v>
      </c>
    </row>
    <row r="1413" spans="1:25">
      <c r="A1413" t="s">
        <v>18808</v>
      </c>
      <c r="B1413" t="s">
        <v>647</v>
      </c>
      <c r="C1413" t="s">
        <v>595</v>
      </c>
      <c r="D1413" t="s">
        <v>648</v>
      </c>
      <c r="E1413" t="s">
        <v>649</v>
      </c>
      <c r="F1413" t="s">
        <v>598</v>
      </c>
      <c r="G1413" t="s">
        <v>478</v>
      </c>
      <c r="H1413" t="s">
        <v>600</v>
      </c>
      <c r="I1413" t="s">
        <v>601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25" hidden="1">
      <c r="A1414" t="s">
        <v>18808</v>
      </c>
      <c r="B1414" t="s">
        <v>650</v>
      </c>
      <c r="C1414" t="s">
        <v>651</v>
      </c>
      <c r="D1414" t="s">
        <v>596</v>
      </c>
      <c r="E1414" t="s">
        <v>597</v>
      </c>
      <c r="F1414" t="s">
        <v>598</v>
      </c>
      <c r="G1414" t="s">
        <v>478</v>
      </c>
      <c r="H1414" t="s">
        <v>600</v>
      </c>
      <c r="I1414" t="s">
        <v>601</v>
      </c>
      <c r="J1414">
        <v>2.3900000000000001E-2</v>
      </c>
      <c r="K1414">
        <v>2.4299999999999999E-2</v>
      </c>
      <c r="L1414">
        <v>2.4899999999999999E-2</v>
      </c>
      <c r="M1414">
        <v>2.53E-2</v>
      </c>
      <c r="N1414">
        <v>2.58E-2</v>
      </c>
      <c r="O1414">
        <v>2.6200000000000001E-2</v>
      </c>
      <c r="P1414">
        <v>2.6499999999999999E-2</v>
      </c>
      <c r="Q1414">
        <v>2.6800000000000001E-2</v>
      </c>
      <c r="R1414">
        <v>2.7300000000000001E-2</v>
      </c>
      <c r="S1414">
        <v>2.7699999999999999E-2</v>
      </c>
      <c r="T1414">
        <v>2.81E-2</v>
      </c>
      <c r="U1414">
        <v>2.8500000000000001E-2</v>
      </c>
      <c r="V1414">
        <v>2.8899999999999999E-2</v>
      </c>
      <c r="W1414">
        <v>2.92E-2</v>
      </c>
      <c r="X1414">
        <v>2.9600000000000001E-2</v>
      </c>
      <c r="Y1414">
        <v>2.98E-2</v>
      </c>
    </row>
    <row r="1415" spans="1:25" hidden="1">
      <c r="A1415" t="s">
        <v>18808</v>
      </c>
      <c r="B1415" t="s">
        <v>745</v>
      </c>
      <c r="C1415" t="s">
        <v>729</v>
      </c>
      <c r="D1415" t="s">
        <v>671</v>
      </c>
      <c r="E1415" t="s">
        <v>597</v>
      </c>
      <c r="F1415" t="s">
        <v>598</v>
      </c>
      <c r="G1415" t="s">
        <v>478</v>
      </c>
      <c r="H1415" t="s">
        <v>600</v>
      </c>
      <c r="I1415" t="s">
        <v>601</v>
      </c>
      <c r="J1415">
        <v>2.5999999999999999E-3</v>
      </c>
      <c r="K1415">
        <v>2.8E-3</v>
      </c>
      <c r="L1415">
        <v>3.0000000000000001E-3</v>
      </c>
      <c r="M1415">
        <v>3.2000000000000002E-3</v>
      </c>
      <c r="N1415">
        <v>3.3E-3</v>
      </c>
      <c r="O1415">
        <v>3.5000000000000001E-3</v>
      </c>
      <c r="P1415">
        <v>3.5999999999999999E-3</v>
      </c>
      <c r="Q1415">
        <v>3.8E-3</v>
      </c>
      <c r="R1415">
        <v>3.8E-3</v>
      </c>
      <c r="S1415">
        <v>3.8999999999999998E-3</v>
      </c>
      <c r="T1415">
        <v>4.1000000000000003E-3</v>
      </c>
      <c r="U1415">
        <v>4.1000000000000003E-3</v>
      </c>
      <c r="V1415">
        <v>4.1999999999999997E-3</v>
      </c>
      <c r="W1415">
        <v>4.3E-3</v>
      </c>
      <c r="X1415">
        <v>4.4999999999999997E-3</v>
      </c>
      <c r="Y1415">
        <v>4.5999999999999999E-3</v>
      </c>
    </row>
    <row r="1416" spans="1:25" hidden="1">
      <c r="A1416" t="s">
        <v>18808</v>
      </c>
      <c r="B1416" t="s">
        <v>760</v>
      </c>
      <c r="C1416" t="s">
        <v>729</v>
      </c>
      <c r="D1416" t="s">
        <v>621</v>
      </c>
      <c r="E1416" t="s">
        <v>649</v>
      </c>
      <c r="F1416" t="s">
        <v>598</v>
      </c>
      <c r="G1416" t="s">
        <v>478</v>
      </c>
      <c r="H1416" t="s">
        <v>600</v>
      </c>
      <c r="I1416" t="s">
        <v>601</v>
      </c>
      <c r="J1416">
        <v>6.8999999999999999E-3</v>
      </c>
      <c r="K1416">
        <v>7.4999999999999997E-3</v>
      </c>
      <c r="L1416">
        <v>8.0999999999999996E-3</v>
      </c>
      <c r="M1416">
        <v>8.8000000000000005E-3</v>
      </c>
      <c r="N1416">
        <v>9.4000000000000004E-3</v>
      </c>
      <c r="O1416">
        <v>0.01</v>
      </c>
      <c r="P1416">
        <v>1.0500000000000001E-2</v>
      </c>
      <c r="Q1416">
        <v>1.11E-2</v>
      </c>
      <c r="R1416">
        <v>1.1299999999999999E-2</v>
      </c>
      <c r="S1416">
        <v>1.17E-2</v>
      </c>
      <c r="T1416">
        <v>1.21E-2</v>
      </c>
      <c r="U1416">
        <v>1.24E-2</v>
      </c>
      <c r="V1416">
        <v>1.2699999999999999E-2</v>
      </c>
      <c r="W1416">
        <v>1.3100000000000001E-2</v>
      </c>
      <c r="X1416">
        <v>1.34E-2</v>
      </c>
      <c r="Y1416">
        <v>1.38E-2</v>
      </c>
    </row>
    <row r="1417" spans="1:25" hidden="1">
      <c r="A1417" t="s">
        <v>18808</v>
      </c>
      <c r="B1417" t="s">
        <v>761</v>
      </c>
      <c r="C1417" t="s">
        <v>729</v>
      </c>
      <c r="D1417" t="s">
        <v>621</v>
      </c>
      <c r="E1417" t="s">
        <v>597</v>
      </c>
      <c r="F1417" t="s">
        <v>598</v>
      </c>
      <c r="G1417" t="s">
        <v>478</v>
      </c>
      <c r="H1417" t="s">
        <v>600</v>
      </c>
      <c r="I1417" t="s">
        <v>601</v>
      </c>
      <c r="J1417">
        <v>2E-3</v>
      </c>
      <c r="K1417">
        <v>2E-3</v>
      </c>
      <c r="L1417">
        <v>2E-3</v>
      </c>
      <c r="M1417">
        <v>2E-3</v>
      </c>
      <c r="N1417">
        <v>2E-3</v>
      </c>
      <c r="O1417">
        <v>2.2000000000000001E-3</v>
      </c>
      <c r="P1417">
        <v>2.0999999999999999E-3</v>
      </c>
      <c r="Q1417">
        <v>2.0999999999999999E-3</v>
      </c>
      <c r="R1417">
        <v>2.0999999999999999E-3</v>
      </c>
      <c r="S1417">
        <v>2.0999999999999999E-3</v>
      </c>
      <c r="T1417">
        <v>2.0999999999999999E-3</v>
      </c>
      <c r="U1417">
        <v>2E-3</v>
      </c>
      <c r="V1417">
        <v>2E-3</v>
      </c>
      <c r="W1417">
        <v>2E-3</v>
      </c>
      <c r="X1417">
        <v>2E-3</v>
      </c>
      <c r="Y1417">
        <v>2E-3</v>
      </c>
    </row>
    <row r="1418" spans="1:25" hidden="1">
      <c r="A1418" t="s">
        <v>18808</v>
      </c>
      <c r="B1418" t="s">
        <v>770</v>
      </c>
      <c r="C1418" t="s">
        <v>729</v>
      </c>
      <c r="D1418" t="s">
        <v>621</v>
      </c>
      <c r="E1418" t="s">
        <v>628</v>
      </c>
      <c r="F1418" t="s">
        <v>598</v>
      </c>
      <c r="G1418" t="s">
        <v>478</v>
      </c>
      <c r="H1418" t="s">
        <v>600</v>
      </c>
      <c r="I1418" t="s">
        <v>601</v>
      </c>
      <c r="J1418">
        <v>1.44E-2</v>
      </c>
      <c r="K1418">
        <v>1.43E-2</v>
      </c>
      <c r="L1418">
        <v>1.43E-2</v>
      </c>
      <c r="M1418">
        <v>1.4200000000000001E-2</v>
      </c>
      <c r="N1418">
        <v>1.43E-2</v>
      </c>
      <c r="O1418">
        <v>1.43E-2</v>
      </c>
      <c r="P1418">
        <v>1.44E-2</v>
      </c>
      <c r="Q1418">
        <v>1.44E-2</v>
      </c>
      <c r="R1418">
        <v>1.46E-2</v>
      </c>
      <c r="S1418">
        <v>1.46E-2</v>
      </c>
      <c r="T1418">
        <v>1.4500000000000001E-2</v>
      </c>
      <c r="U1418">
        <v>1.47E-2</v>
      </c>
      <c r="V1418">
        <v>1.47E-2</v>
      </c>
      <c r="W1418">
        <v>1.47E-2</v>
      </c>
      <c r="X1418">
        <v>1.4800000000000001E-2</v>
      </c>
      <c r="Y1418">
        <v>1.4800000000000001E-2</v>
      </c>
    </row>
    <row r="1419" spans="1:25" hidden="1">
      <c r="A1419" t="s">
        <v>18808</v>
      </c>
      <c r="B1419" t="s">
        <v>771</v>
      </c>
      <c r="C1419" t="s">
        <v>729</v>
      </c>
      <c r="D1419" t="s">
        <v>621</v>
      </c>
      <c r="E1419" t="s">
        <v>692</v>
      </c>
      <c r="F1419" t="s">
        <v>598</v>
      </c>
      <c r="G1419" t="s">
        <v>478</v>
      </c>
      <c r="H1419" t="s">
        <v>600</v>
      </c>
      <c r="I1419" t="s">
        <v>601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</row>
    <row r="1420" spans="1:25" hidden="1">
      <c r="A1420" t="s">
        <v>18808</v>
      </c>
      <c r="B1420" t="s">
        <v>785</v>
      </c>
      <c r="C1420" t="s">
        <v>729</v>
      </c>
      <c r="D1420" t="s">
        <v>640</v>
      </c>
      <c r="E1420" t="s">
        <v>597</v>
      </c>
      <c r="F1420" t="s">
        <v>598</v>
      </c>
      <c r="G1420" t="s">
        <v>478</v>
      </c>
      <c r="H1420" t="s">
        <v>600</v>
      </c>
      <c r="I1420" t="s">
        <v>601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</row>
    <row r="1421" spans="1:25" hidden="1">
      <c r="A1421" t="s">
        <v>18808</v>
      </c>
      <c r="B1421" t="s">
        <v>788</v>
      </c>
      <c r="C1421" t="s">
        <v>729</v>
      </c>
      <c r="D1421" t="s">
        <v>640</v>
      </c>
      <c r="E1421" t="s">
        <v>611</v>
      </c>
      <c r="F1421" t="s">
        <v>598</v>
      </c>
      <c r="G1421" t="s">
        <v>478</v>
      </c>
      <c r="H1421" t="s">
        <v>600</v>
      </c>
      <c r="I1421" t="s">
        <v>601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</row>
    <row r="1422" spans="1:25" hidden="1">
      <c r="A1422" t="s">
        <v>18808</v>
      </c>
      <c r="B1422" t="s">
        <v>795</v>
      </c>
      <c r="C1422" t="s">
        <v>729</v>
      </c>
      <c r="D1422" t="s">
        <v>648</v>
      </c>
      <c r="E1422" t="s">
        <v>597</v>
      </c>
      <c r="F1422" t="s">
        <v>598</v>
      </c>
      <c r="G1422" t="s">
        <v>478</v>
      </c>
      <c r="H1422" t="s">
        <v>600</v>
      </c>
      <c r="I1422" t="s">
        <v>601</v>
      </c>
      <c r="J1422">
        <v>0.44929999999999998</v>
      </c>
      <c r="K1422">
        <v>0.4506</v>
      </c>
      <c r="L1422">
        <v>0.44790000000000002</v>
      </c>
      <c r="M1422">
        <v>0.4461</v>
      </c>
      <c r="N1422">
        <v>0.44080000000000003</v>
      </c>
      <c r="O1422">
        <v>0.48509999999999998</v>
      </c>
      <c r="P1422">
        <v>0.47789999999999999</v>
      </c>
      <c r="Q1422">
        <v>0.47320000000000001</v>
      </c>
      <c r="R1422">
        <v>0.4667</v>
      </c>
      <c r="S1422">
        <v>0.46289999999999998</v>
      </c>
      <c r="T1422">
        <v>0.45779999999999998</v>
      </c>
      <c r="U1422">
        <v>0.45350000000000001</v>
      </c>
      <c r="V1422">
        <v>0.44919999999999999</v>
      </c>
      <c r="W1422">
        <v>0.44500000000000001</v>
      </c>
      <c r="X1422">
        <v>0.4425</v>
      </c>
      <c r="Y1422">
        <v>0.44069999999999998</v>
      </c>
    </row>
    <row r="1423" spans="1:25" hidden="1">
      <c r="A1423" t="s">
        <v>18808</v>
      </c>
      <c r="B1423" t="s">
        <v>796</v>
      </c>
      <c r="C1423" t="s">
        <v>729</v>
      </c>
      <c r="D1423" t="s">
        <v>648</v>
      </c>
      <c r="E1423" t="s">
        <v>642</v>
      </c>
      <c r="F1423" t="s">
        <v>598</v>
      </c>
      <c r="G1423" t="s">
        <v>478</v>
      </c>
      <c r="H1423" t="s">
        <v>600</v>
      </c>
      <c r="I1423" t="s">
        <v>601</v>
      </c>
      <c r="J1423">
        <v>0.20380000000000001</v>
      </c>
      <c r="K1423">
        <v>0.21879999999999999</v>
      </c>
      <c r="L1423">
        <v>0.23619999999999999</v>
      </c>
      <c r="M1423">
        <v>0.25719999999999998</v>
      </c>
      <c r="N1423">
        <v>0.27339999999999998</v>
      </c>
      <c r="O1423">
        <v>0.29210000000000003</v>
      </c>
      <c r="P1423">
        <v>0.30570000000000003</v>
      </c>
      <c r="Q1423">
        <v>0.3226</v>
      </c>
      <c r="R1423">
        <v>0.32900000000000001</v>
      </c>
      <c r="S1423">
        <v>0.34029999999999999</v>
      </c>
      <c r="T1423">
        <v>0.35139999999999999</v>
      </c>
      <c r="U1423">
        <v>0.36009999999999998</v>
      </c>
      <c r="V1423">
        <v>0.3705</v>
      </c>
      <c r="W1423">
        <v>0.38080000000000003</v>
      </c>
      <c r="X1423">
        <v>0.39129999999999998</v>
      </c>
      <c r="Y1423">
        <v>0.40160000000000001</v>
      </c>
    </row>
    <row r="1424" spans="1:25" hidden="1">
      <c r="A1424" t="s">
        <v>18808</v>
      </c>
      <c r="B1424" t="s">
        <v>801</v>
      </c>
      <c r="C1424" t="s">
        <v>729</v>
      </c>
      <c r="D1424" t="s">
        <v>648</v>
      </c>
      <c r="E1424" t="s">
        <v>619</v>
      </c>
      <c r="F1424" t="s">
        <v>598</v>
      </c>
      <c r="G1424" t="s">
        <v>478</v>
      </c>
      <c r="H1424" t="s">
        <v>600</v>
      </c>
      <c r="I1424" t="s">
        <v>601</v>
      </c>
      <c r="J1424">
        <v>1E-4</v>
      </c>
      <c r="K1424">
        <v>1E-4</v>
      </c>
      <c r="L1424">
        <v>1E-4</v>
      </c>
      <c r="M1424">
        <v>1E-4</v>
      </c>
      <c r="N1424">
        <v>2.0000000000000001E-4</v>
      </c>
      <c r="O1424">
        <v>2.0000000000000001E-4</v>
      </c>
      <c r="P1424">
        <v>2.0000000000000001E-4</v>
      </c>
      <c r="Q1424">
        <v>2.0000000000000001E-4</v>
      </c>
      <c r="R1424">
        <v>2.0000000000000001E-4</v>
      </c>
      <c r="S1424">
        <v>2.0000000000000001E-4</v>
      </c>
      <c r="T1424">
        <v>2.0000000000000001E-4</v>
      </c>
      <c r="U1424">
        <v>2.0000000000000001E-4</v>
      </c>
      <c r="V1424">
        <v>2.0000000000000001E-4</v>
      </c>
      <c r="W1424">
        <v>2.0000000000000001E-4</v>
      </c>
      <c r="X1424">
        <v>2.0000000000000001E-4</v>
      </c>
      <c r="Y1424">
        <v>2.0000000000000001E-4</v>
      </c>
    </row>
    <row r="1425" spans="1:25" hidden="1">
      <c r="A1425" t="s">
        <v>18808</v>
      </c>
      <c r="B1425" t="s">
        <v>803</v>
      </c>
      <c r="C1425" t="s">
        <v>804</v>
      </c>
      <c r="D1425" t="s">
        <v>596</v>
      </c>
      <c r="E1425" t="s">
        <v>597</v>
      </c>
      <c r="F1425" t="s">
        <v>598</v>
      </c>
      <c r="G1425" t="s">
        <v>478</v>
      </c>
      <c r="H1425" t="s">
        <v>600</v>
      </c>
      <c r="I1425" t="s">
        <v>601</v>
      </c>
      <c r="J1425">
        <v>2.2700000000000001E-2</v>
      </c>
      <c r="K1425">
        <v>2.3099999999999999E-2</v>
      </c>
      <c r="L1425">
        <v>2.3599999999999999E-2</v>
      </c>
      <c r="M1425">
        <v>2.41E-2</v>
      </c>
      <c r="N1425">
        <v>2.4500000000000001E-2</v>
      </c>
      <c r="O1425">
        <v>2.4799999999999999E-2</v>
      </c>
      <c r="P1425">
        <v>2.52E-2</v>
      </c>
      <c r="Q1425">
        <v>2.5499999999999998E-2</v>
      </c>
      <c r="R1425">
        <v>2.5899999999999999E-2</v>
      </c>
      <c r="S1425">
        <v>2.63E-2</v>
      </c>
      <c r="T1425">
        <v>2.6700000000000002E-2</v>
      </c>
      <c r="U1425">
        <v>2.7099999999999999E-2</v>
      </c>
      <c r="V1425">
        <v>2.7400000000000001E-2</v>
      </c>
      <c r="W1425">
        <v>2.7799999999999998E-2</v>
      </c>
      <c r="X1425">
        <v>2.81E-2</v>
      </c>
      <c r="Y1425">
        <v>2.8299999999999999E-2</v>
      </c>
    </row>
    <row r="1426" spans="1:25" hidden="1">
      <c r="A1426" t="s">
        <v>18808</v>
      </c>
      <c r="B1426" t="s">
        <v>815</v>
      </c>
      <c r="C1426" t="s">
        <v>804</v>
      </c>
      <c r="D1426" t="s">
        <v>671</v>
      </c>
      <c r="E1426" t="s">
        <v>597</v>
      </c>
      <c r="F1426" t="s">
        <v>598</v>
      </c>
      <c r="G1426" t="s">
        <v>478</v>
      </c>
      <c r="H1426" t="s">
        <v>600</v>
      </c>
      <c r="I1426" t="s">
        <v>601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1E-4</v>
      </c>
      <c r="S1426">
        <v>1E-4</v>
      </c>
      <c r="T1426">
        <v>1E-4</v>
      </c>
      <c r="U1426">
        <v>1E-4</v>
      </c>
      <c r="V1426">
        <v>1E-4</v>
      </c>
      <c r="W1426">
        <v>1E-4</v>
      </c>
      <c r="X1426">
        <v>1E-4</v>
      </c>
      <c r="Y1426">
        <v>1E-4</v>
      </c>
    </row>
    <row r="1427" spans="1:25" hidden="1">
      <c r="A1427" t="s">
        <v>18808</v>
      </c>
      <c r="B1427" t="s">
        <v>830</v>
      </c>
      <c r="C1427" t="s">
        <v>804</v>
      </c>
      <c r="D1427" t="s">
        <v>828</v>
      </c>
      <c r="E1427" t="s">
        <v>628</v>
      </c>
      <c r="F1427" t="s">
        <v>831</v>
      </c>
      <c r="G1427" t="s">
        <v>478</v>
      </c>
      <c r="H1427" t="s">
        <v>600</v>
      </c>
      <c r="I1427" t="s">
        <v>601</v>
      </c>
      <c r="J1427">
        <v>4.99E-2</v>
      </c>
      <c r="K1427">
        <v>2.6599999999999999E-2</v>
      </c>
      <c r="L1427">
        <v>2.3800000000000002E-2</v>
      </c>
      <c r="M1427">
        <v>2.2599999999999999E-2</v>
      </c>
      <c r="N1427">
        <v>2.2200000000000001E-2</v>
      </c>
      <c r="O1427">
        <v>2.1999999999999999E-2</v>
      </c>
      <c r="P1427">
        <v>2.18E-2</v>
      </c>
      <c r="Q1427">
        <v>2.1399999999999999E-2</v>
      </c>
      <c r="R1427">
        <v>2.12E-2</v>
      </c>
      <c r="S1427">
        <v>2.0799999999999999E-2</v>
      </c>
      <c r="T1427">
        <v>2.0400000000000001E-2</v>
      </c>
      <c r="U1427">
        <v>1.9800000000000002E-2</v>
      </c>
      <c r="V1427">
        <v>1.9199999999999998E-2</v>
      </c>
      <c r="W1427">
        <v>1.8599999999999998E-2</v>
      </c>
      <c r="X1427">
        <v>1.78E-2</v>
      </c>
      <c r="Y1427">
        <v>1.7000000000000001E-2</v>
      </c>
    </row>
    <row r="1428" spans="1:25" hidden="1">
      <c r="A1428" t="s">
        <v>18808</v>
      </c>
      <c r="B1428" t="s">
        <v>832</v>
      </c>
      <c r="C1428" t="s">
        <v>804</v>
      </c>
      <c r="D1428" t="s">
        <v>828</v>
      </c>
      <c r="E1428" t="s">
        <v>628</v>
      </c>
      <c r="F1428" t="s">
        <v>833</v>
      </c>
      <c r="G1428" t="s">
        <v>478</v>
      </c>
      <c r="H1428" t="s">
        <v>600</v>
      </c>
      <c r="I1428" t="s">
        <v>601</v>
      </c>
      <c r="J1428">
        <v>5.8999999999999997E-2</v>
      </c>
      <c r="K1428">
        <v>5.6099999999999997E-2</v>
      </c>
      <c r="L1428">
        <v>5.3199999999999997E-2</v>
      </c>
      <c r="M1428">
        <v>5.0200000000000002E-2</v>
      </c>
      <c r="N1428">
        <v>4.7300000000000002E-2</v>
      </c>
      <c r="O1428">
        <v>4.4200000000000003E-2</v>
      </c>
      <c r="P1428">
        <v>4.1000000000000002E-2</v>
      </c>
      <c r="Q1428">
        <v>3.7999999999999999E-2</v>
      </c>
      <c r="R1428">
        <v>3.5000000000000003E-2</v>
      </c>
      <c r="S1428">
        <v>3.2500000000000001E-2</v>
      </c>
      <c r="T1428">
        <v>3.0300000000000001E-2</v>
      </c>
      <c r="U1428">
        <v>2.8000000000000001E-2</v>
      </c>
      <c r="V1428">
        <v>2.5899999999999999E-2</v>
      </c>
      <c r="W1428">
        <v>2.41E-2</v>
      </c>
      <c r="X1428">
        <v>2.24E-2</v>
      </c>
      <c r="Y1428">
        <v>2.0799999999999999E-2</v>
      </c>
    </row>
    <row r="1429" spans="1:25" hidden="1">
      <c r="A1429" t="s">
        <v>18808</v>
      </c>
      <c r="B1429" t="s">
        <v>842</v>
      </c>
      <c r="C1429" t="s">
        <v>841</v>
      </c>
      <c r="D1429" t="s">
        <v>596</v>
      </c>
      <c r="E1429" t="s">
        <v>597</v>
      </c>
      <c r="F1429" t="s">
        <v>598</v>
      </c>
      <c r="G1429" t="s">
        <v>478</v>
      </c>
      <c r="H1429" t="s">
        <v>600</v>
      </c>
      <c r="I1429" t="s">
        <v>601</v>
      </c>
      <c r="J1429">
        <v>1.4E-3</v>
      </c>
      <c r="K1429">
        <v>1.5E-3</v>
      </c>
      <c r="L1429">
        <v>1.5E-3</v>
      </c>
      <c r="M1429">
        <v>1.5E-3</v>
      </c>
      <c r="N1429">
        <v>1.5E-3</v>
      </c>
      <c r="O1429">
        <v>1.5E-3</v>
      </c>
      <c r="P1429">
        <v>1.6999999999999999E-3</v>
      </c>
      <c r="Q1429">
        <v>1.8E-3</v>
      </c>
      <c r="R1429">
        <v>1.8E-3</v>
      </c>
      <c r="S1429">
        <v>1.8E-3</v>
      </c>
      <c r="T1429">
        <v>1.9E-3</v>
      </c>
      <c r="U1429">
        <v>1.9E-3</v>
      </c>
      <c r="V1429">
        <v>1.9E-3</v>
      </c>
      <c r="W1429">
        <v>1.9E-3</v>
      </c>
      <c r="X1429">
        <v>1.9E-3</v>
      </c>
      <c r="Y1429">
        <v>2E-3</v>
      </c>
    </row>
    <row r="1430" spans="1:25" hidden="1">
      <c r="A1430" t="s">
        <v>18808</v>
      </c>
      <c r="B1430" t="s">
        <v>843</v>
      </c>
      <c r="C1430" t="s">
        <v>841</v>
      </c>
      <c r="D1430" t="s">
        <v>596</v>
      </c>
      <c r="E1430" t="s">
        <v>634</v>
      </c>
      <c r="F1430" t="s">
        <v>598</v>
      </c>
      <c r="G1430" t="s">
        <v>478</v>
      </c>
      <c r="H1430" t="s">
        <v>600</v>
      </c>
      <c r="I1430" t="s">
        <v>601</v>
      </c>
      <c r="J1430">
        <v>1.43E-2</v>
      </c>
      <c r="K1430">
        <v>1.4200000000000001E-2</v>
      </c>
      <c r="L1430">
        <v>1.38E-2</v>
      </c>
      <c r="M1430">
        <v>1.3899999999999999E-2</v>
      </c>
      <c r="N1430">
        <v>1.3899999999999999E-2</v>
      </c>
      <c r="O1430">
        <v>1.3899999999999999E-2</v>
      </c>
      <c r="P1430">
        <v>1.44E-2</v>
      </c>
      <c r="Q1430">
        <v>1.4800000000000001E-2</v>
      </c>
      <c r="R1430">
        <v>1.5100000000000001E-2</v>
      </c>
      <c r="S1430">
        <v>1.52E-2</v>
      </c>
      <c r="T1430">
        <v>1.54E-2</v>
      </c>
      <c r="U1430">
        <v>1.54E-2</v>
      </c>
      <c r="V1430">
        <v>1.54E-2</v>
      </c>
      <c r="W1430">
        <v>1.54E-2</v>
      </c>
      <c r="X1430">
        <v>1.54E-2</v>
      </c>
      <c r="Y1430">
        <v>1.54E-2</v>
      </c>
    </row>
    <row r="1431" spans="1:25" hidden="1">
      <c r="A1431" t="s">
        <v>18808</v>
      </c>
      <c r="B1431" t="s">
        <v>860</v>
      </c>
      <c r="C1431" t="s">
        <v>841</v>
      </c>
      <c r="D1431" t="s">
        <v>753</v>
      </c>
      <c r="E1431" t="s">
        <v>597</v>
      </c>
      <c r="F1431" t="s">
        <v>598</v>
      </c>
      <c r="G1431" t="s">
        <v>478</v>
      </c>
      <c r="H1431" t="s">
        <v>600</v>
      </c>
      <c r="I1431" t="s">
        <v>601</v>
      </c>
      <c r="J1431">
        <v>1E-4</v>
      </c>
      <c r="K1431">
        <v>1E-4</v>
      </c>
      <c r="L1431">
        <v>2.0000000000000001E-4</v>
      </c>
      <c r="M1431">
        <v>2.0000000000000001E-4</v>
      </c>
      <c r="N1431">
        <v>2.0000000000000001E-4</v>
      </c>
      <c r="O1431">
        <v>2.0000000000000001E-4</v>
      </c>
      <c r="P1431">
        <v>2.0000000000000001E-4</v>
      </c>
      <c r="Q1431">
        <v>2.0000000000000001E-4</v>
      </c>
      <c r="R1431">
        <v>2.0000000000000001E-4</v>
      </c>
      <c r="S1431">
        <v>2.0000000000000001E-4</v>
      </c>
      <c r="T1431">
        <v>2.0000000000000001E-4</v>
      </c>
      <c r="U1431">
        <v>2.0000000000000001E-4</v>
      </c>
      <c r="V1431">
        <v>2.0000000000000001E-4</v>
      </c>
      <c r="W1431">
        <v>2.0000000000000001E-4</v>
      </c>
      <c r="X1431">
        <v>2.0000000000000001E-4</v>
      </c>
      <c r="Y1431">
        <v>2.0000000000000001E-4</v>
      </c>
    </row>
    <row r="1432" spans="1:25" hidden="1">
      <c r="A1432" t="s">
        <v>18808</v>
      </c>
      <c r="B1432" t="s">
        <v>862</v>
      </c>
      <c r="C1432" t="s">
        <v>841</v>
      </c>
      <c r="D1432" t="s">
        <v>756</v>
      </c>
      <c r="E1432" t="s">
        <v>597</v>
      </c>
      <c r="F1432" t="s">
        <v>598</v>
      </c>
      <c r="G1432" t="s">
        <v>478</v>
      </c>
      <c r="H1432" t="s">
        <v>600</v>
      </c>
      <c r="I1432" t="s">
        <v>601</v>
      </c>
      <c r="J1432">
        <v>1.7000000000000001E-2</v>
      </c>
      <c r="K1432">
        <v>1.6799999999999999E-2</v>
      </c>
      <c r="L1432">
        <v>1.66E-2</v>
      </c>
      <c r="M1432">
        <v>1.6400000000000001E-2</v>
      </c>
      <c r="N1432">
        <v>1.61E-2</v>
      </c>
      <c r="O1432">
        <v>1.77E-2</v>
      </c>
      <c r="P1432">
        <v>1.7600000000000001E-2</v>
      </c>
      <c r="Q1432">
        <v>1.7399999999999999E-2</v>
      </c>
      <c r="R1432">
        <v>1.72E-2</v>
      </c>
      <c r="S1432">
        <v>1.7100000000000001E-2</v>
      </c>
      <c r="T1432">
        <v>1.7000000000000001E-2</v>
      </c>
      <c r="U1432">
        <v>1.7000000000000001E-2</v>
      </c>
      <c r="V1432">
        <v>1.6899999999999998E-2</v>
      </c>
      <c r="W1432">
        <v>1.6899999999999998E-2</v>
      </c>
      <c r="X1432">
        <v>1.6899999999999998E-2</v>
      </c>
      <c r="Y1432">
        <v>1.6899999999999998E-2</v>
      </c>
    </row>
    <row r="1433" spans="1:25" hidden="1">
      <c r="A1433" t="s">
        <v>18808</v>
      </c>
      <c r="B1433" t="s">
        <v>865</v>
      </c>
      <c r="C1433" t="s">
        <v>841</v>
      </c>
      <c r="D1433" t="s">
        <v>866</v>
      </c>
      <c r="E1433" t="s">
        <v>597</v>
      </c>
      <c r="F1433" t="s">
        <v>598</v>
      </c>
      <c r="G1433" t="s">
        <v>478</v>
      </c>
      <c r="H1433" t="s">
        <v>600</v>
      </c>
      <c r="I1433" t="s">
        <v>601</v>
      </c>
      <c r="J1433">
        <v>6.1999999999999998E-3</v>
      </c>
      <c r="K1433">
        <v>6.1999999999999998E-3</v>
      </c>
      <c r="L1433">
        <v>6.1000000000000004E-3</v>
      </c>
      <c r="M1433">
        <v>6.0000000000000001E-3</v>
      </c>
      <c r="N1433">
        <v>5.8999999999999999E-3</v>
      </c>
      <c r="O1433">
        <v>6.4999999999999997E-3</v>
      </c>
      <c r="P1433">
        <v>6.4999999999999997E-3</v>
      </c>
      <c r="Q1433">
        <v>6.4000000000000003E-3</v>
      </c>
      <c r="R1433">
        <v>6.3E-3</v>
      </c>
      <c r="S1433">
        <v>6.3E-3</v>
      </c>
      <c r="T1433">
        <v>6.3E-3</v>
      </c>
      <c r="U1433">
        <v>6.1999999999999998E-3</v>
      </c>
      <c r="V1433">
        <v>6.1999999999999998E-3</v>
      </c>
      <c r="W1433">
        <v>6.1999999999999998E-3</v>
      </c>
      <c r="X1433">
        <v>6.1999999999999998E-3</v>
      </c>
      <c r="Y1433">
        <v>6.1999999999999998E-3</v>
      </c>
    </row>
    <row r="1434" spans="1:25" hidden="1">
      <c r="A1434" t="s">
        <v>18808</v>
      </c>
      <c r="B1434" t="s">
        <v>868</v>
      </c>
      <c r="C1434" t="s">
        <v>841</v>
      </c>
      <c r="D1434" t="s">
        <v>621</v>
      </c>
      <c r="E1434" t="s">
        <v>597</v>
      </c>
      <c r="F1434" t="s">
        <v>598</v>
      </c>
      <c r="G1434" t="s">
        <v>478</v>
      </c>
      <c r="H1434" t="s">
        <v>600</v>
      </c>
      <c r="I1434" t="s">
        <v>601</v>
      </c>
      <c r="J1434">
        <v>2.4799999999999999E-2</v>
      </c>
      <c r="K1434">
        <v>2.5100000000000001E-2</v>
      </c>
      <c r="L1434">
        <v>2.6100000000000002E-2</v>
      </c>
      <c r="M1434">
        <v>2.7099999999999999E-2</v>
      </c>
      <c r="N1434">
        <v>2.7900000000000001E-2</v>
      </c>
      <c r="O1434">
        <v>2.8899999999999999E-2</v>
      </c>
      <c r="P1434">
        <v>2.9700000000000001E-2</v>
      </c>
      <c r="Q1434">
        <v>3.0599999999999999E-2</v>
      </c>
      <c r="R1434">
        <v>3.1300000000000001E-2</v>
      </c>
      <c r="S1434">
        <v>3.2099999999999997E-2</v>
      </c>
      <c r="T1434">
        <v>3.3099999999999997E-2</v>
      </c>
      <c r="U1434">
        <v>3.3700000000000001E-2</v>
      </c>
      <c r="V1434">
        <v>3.4500000000000003E-2</v>
      </c>
      <c r="W1434">
        <v>3.5200000000000002E-2</v>
      </c>
      <c r="X1434">
        <v>3.5999999999999997E-2</v>
      </c>
      <c r="Y1434">
        <v>3.6700000000000003E-2</v>
      </c>
    </row>
    <row r="1435" spans="1:25" hidden="1">
      <c r="A1435" t="s">
        <v>18808</v>
      </c>
      <c r="B1435" t="s">
        <v>870</v>
      </c>
      <c r="C1435" t="s">
        <v>841</v>
      </c>
      <c r="D1435" t="s">
        <v>621</v>
      </c>
      <c r="E1435" t="s">
        <v>603</v>
      </c>
      <c r="F1435" t="s">
        <v>598</v>
      </c>
      <c r="G1435" t="s">
        <v>478</v>
      </c>
      <c r="H1435" t="s">
        <v>600</v>
      </c>
      <c r="I1435" t="s">
        <v>601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25" hidden="1">
      <c r="A1436" t="s">
        <v>18808</v>
      </c>
      <c r="B1436" t="s">
        <v>875</v>
      </c>
      <c r="C1436" t="s">
        <v>841</v>
      </c>
      <c r="D1436" t="s">
        <v>621</v>
      </c>
      <c r="E1436" t="s">
        <v>626</v>
      </c>
      <c r="F1436" t="s">
        <v>598</v>
      </c>
      <c r="G1436" t="s">
        <v>478</v>
      </c>
      <c r="H1436" t="s">
        <v>600</v>
      </c>
      <c r="I1436" t="s">
        <v>601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</row>
    <row r="1437" spans="1:25" hidden="1">
      <c r="A1437" t="s">
        <v>18808</v>
      </c>
      <c r="B1437" t="s">
        <v>876</v>
      </c>
      <c r="C1437" t="s">
        <v>841</v>
      </c>
      <c r="D1437" t="s">
        <v>621</v>
      </c>
      <c r="E1437" t="s">
        <v>628</v>
      </c>
      <c r="F1437" t="s">
        <v>598</v>
      </c>
      <c r="G1437" t="s">
        <v>478</v>
      </c>
      <c r="H1437" t="s">
        <v>600</v>
      </c>
      <c r="I1437" t="s">
        <v>601</v>
      </c>
      <c r="J1437">
        <v>5.8999999999999999E-3</v>
      </c>
      <c r="K1437">
        <v>5.7000000000000002E-3</v>
      </c>
      <c r="L1437">
        <v>5.8999999999999999E-3</v>
      </c>
      <c r="M1437">
        <v>6.0000000000000001E-3</v>
      </c>
      <c r="N1437">
        <v>6.1999999999999998E-3</v>
      </c>
      <c r="O1437">
        <v>6.4999999999999997E-3</v>
      </c>
      <c r="P1437">
        <v>6.7000000000000002E-3</v>
      </c>
      <c r="Q1437">
        <v>6.7999999999999996E-3</v>
      </c>
      <c r="R1437">
        <v>7.1000000000000004E-3</v>
      </c>
      <c r="S1437">
        <v>7.4000000000000003E-3</v>
      </c>
      <c r="T1437">
        <v>7.6E-3</v>
      </c>
      <c r="U1437">
        <v>7.7999999999999996E-3</v>
      </c>
      <c r="V1437">
        <v>8.0000000000000002E-3</v>
      </c>
      <c r="W1437">
        <v>8.2000000000000007E-3</v>
      </c>
      <c r="X1437">
        <v>8.3999999999999995E-3</v>
      </c>
      <c r="Y1437">
        <v>8.6E-3</v>
      </c>
    </row>
    <row r="1438" spans="1:25" hidden="1">
      <c r="A1438" t="s">
        <v>18808</v>
      </c>
      <c r="B1438" t="s">
        <v>885</v>
      </c>
      <c r="C1438" t="s">
        <v>841</v>
      </c>
      <c r="D1438" t="s">
        <v>632</v>
      </c>
      <c r="E1438" t="s">
        <v>628</v>
      </c>
      <c r="F1438" t="s">
        <v>598</v>
      </c>
      <c r="G1438" t="s">
        <v>478</v>
      </c>
      <c r="H1438" t="s">
        <v>600</v>
      </c>
      <c r="I1438" t="s">
        <v>601</v>
      </c>
      <c r="J1438">
        <v>1E-4</v>
      </c>
      <c r="K1438">
        <v>1E-4</v>
      </c>
      <c r="L1438">
        <v>1E-4</v>
      </c>
      <c r="M1438">
        <v>1E-4</v>
      </c>
      <c r="N1438">
        <v>1E-4</v>
      </c>
      <c r="O1438">
        <v>1E-4</v>
      </c>
      <c r="P1438">
        <v>1E-4</v>
      </c>
      <c r="Q1438">
        <v>1E-4</v>
      </c>
      <c r="R1438">
        <v>1E-4</v>
      </c>
      <c r="S1438">
        <v>1E-4</v>
      </c>
      <c r="T1438">
        <v>1E-4</v>
      </c>
      <c r="U1438">
        <v>1E-4</v>
      </c>
      <c r="V1438">
        <v>1E-4</v>
      </c>
      <c r="W1438">
        <v>1E-4</v>
      </c>
      <c r="X1438">
        <v>1E-4</v>
      </c>
      <c r="Y1438">
        <v>1E-4</v>
      </c>
    </row>
    <row r="1439" spans="1:25" hidden="1">
      <c r="A1439" t="s">
        <v>18808</v>
      </c>
      <c r="B1439" t="s">
        <v>902</v>
      </c>
      <c r="C1439" t="s">
        <v>841</v>
      </c>
      <c r="D1439" t="s">
        <v>648</v>
      </c>
      <c r="E1439" t="s">
        <v>597</v>
      </c>
      <c r="F1439" t="s">
        <v>598</v>
      </c>
      <c r="G1439" t="s">
        <v>478</v>
      </c>
      <c r="H1439" t="s">
        <v>600</v>
      </c>
      <c r="I1439" t="s">
        <v>601</v>
      </c>
      <c r="J1439">
        <v>0.72609999999999997</v>
      </c>
      <c r="K1439">
        <v>0.72899999999999998</v>
      </c>
      <c r="L1439">
        <v>0.73119999999999996</v>
      </c>
      <c r="M1439">
        <v>0.73240000000000005</v>
      </c>
      <c r="N1439">
        <v>0.72970000000000002</v>
      </c>
      <c r="O1439">
        <v>0.80449999999999999</v>
      </c>
      <c r="P1439">
        <v>0.7994</v>
      </c>
      <c r="Q1439">
        <v>0.79569999999999996</v>
      </c>
      <c r="R1439">
        <v>0.79</v>
      </c>
      <c r="S1439">
        <v>0.78669999999999995</v>
      </c>
      <c r="T1439">
        <v>0.78490000000000004</v>
      </c>
      <c r="U1439">
        <v>0.78310000000000002</v>
      </c>
      <c r="V1439">
        <v>0.78169999999999995</v>
      </c>
      <c r="W1439">
        <v>0.78180000000000005</v>
      </c>
      <c r="X1439">
        <v>0.78480000000000005</v>
      </c>
      <c r="Y1439">
        <v>0.78859999999999997</v>
      </c>
    </row>
    <row r="1440" spans="1:25" hidden="1">
      <c r="A1440" t="s">
        <v>18808</v>
      </c>
      <c r="B1440" t="s">
        <v>905</v>
      </c>
      <c r="C1440" t="s">
        <v>841</v>
      </c>
      <c r="D1440" t="s">
        <v>648</v>
      </c>
      <c r="E1440" t="s">
        <v>597</v>
      </c>
      <c r="F1440" t="s">
        <v>906</v>
      </c>
      <c r="G1440" t="s">
        <v>478</v>
      </c>
      <c r="H1440" t="s">
        <v>600</v>
      </c>
      <c r="I1440" t="s">
        <v>601</v>
      </c>
      <c r="J1440">
        <v>0.1467</v>
      </c>
      <c r="K1440">
        <v>0.1469</v>
      </c>
      <c r="L1440">
        <v>0.1469</v>
      </c>
      <c r="M1440">
        <v>0.14660000000000001</v>
      </c>
      <c r="N1440">
        <v>0.14560000000000001</v>
      </c>
      <c r="O1440">
        <v>0.1615</v>
      </c>
      <c r="P1440">
        <v>0.16</v>
      </c>
      <c r="Q1440">
        <v>0.15870000000000001</v>
      </c>
      <c r="R1440">
        <v>0.1573</v>
      </c>
      <c r="S1440">
        <v>0.15609999999999999</v>
      </c>
      <c r="T1440">
        <v>0.15529999999999999</v>
      </c>
      <c r="U1440">
        <v>0.1547</v>
      </c>
      <c r="V1440">
        <v>0.154</v>
      </c>
      <c r="W1440">
        <v>0.1537</v>
      </c>
      <c r="X1440">
        <v>0.154</v>
      </c>
      <c r="Y1440">
        <v>0.1545</v>
      </c>
    </row>
    <row r="1441" spans="1:25" hidden="1">
      <c r="A1441" t="s">
        <v>18808</v>
      </c>
      <c r="B1441" t="s">
        <v>907</v>
      </c>
      <c r="C1441" t="s">
        <v>841</v>
      </c>
      <c r="D1441" t="s">
        <v>648</v>
      </c>
      <c r="E1441" t="s">
        <v>597</v>
      </c>
      <c r="F1441" t="s">
        <v>908</v>
      </c>
      <c r="G1441" t="s">
        <v>478</v>
      </c>
      <c r="H1441" t="s">
        <v>600</v>
      </c>
      <c r="I1441" t="s">
        <v>601</v>
      </c>
      <c r="J1441">
        <v>7.3400000000000007E-2</v>
      </c>
      <c r="K1441">
        <v>7.2700000000000001E-2</v>
      </c>
      <c r="L1441">
        <v>7.1900000000000006E-2</v>
      </c>
      <c r="M1441">
        <v>7.1099999999999997E-2</v>
      </c>
      <c r="N1441">
        <v>6.9800000000000001E-2</v>
      </c>
      <c r="O1441">
        <v>7.6700000000000004E-2</v>
      </c>
      <c r="P1441">
        <v>7.5999999999999998E-2</v>
      </c>
      <c r="Q1441">
        <v>7.5399999999999995E-2</v>
      </c>
      <c r="R1441">
        <v>7.4700000000000003E-2</v>
      </c>
      <c r="S1441">
        <v>7.4099999999999999E-2</v>
      </c>
      <c r="T1441">
        <v>7.3700000000000002E-2</v>
      </c>
      <c r="U1441">
        <v>7.3400000000000007E-2</v>
      </c>
      <c r="V1441">
        <v>7.3099999999999998E-2</v>
      </c>
      <c r="W1441">
        <v>7.2999999999999995E-2</v>
      </c>
      <c r="X1441">
        <v>7.3099999999999998E-2</v>
      </c>
      <c r="Y1441">
        <v>7.3400000000000007E-2</v>
      </c>
    </row>
    <row r="1442" spans="1:25" hidden="1">
      <c r="A1442" t="s">
        <v>18808</v>
      </c>
      <c r="B1442" t="s">
        <v>909</v>
      </c>
      <c r="C1442" t="s">
        <v>841</v>
      </c>
      <c r="D1442" t="s">
        <v>648</v>
      </c>
      <c r="E1442" t="s">
        <v>642</v>
      </c>
      <c r="F1442" t="s">
        <v>598</v>
      </c>
      <c r="G1442" t="s">
        <v>478</v>
      </c>
      <c r="H1442" t="s">
        <v>600</v>
      </c>
      <c r="I1442" t="s">
        <v>601</v>
      </c>
      <c r="J1442">
        <v>1.9300000000000001E-2</v>
      </c>
      <c r="K1442">
        <v>2.0299999999999999E-2</v>
      </c>
      <c r="L1442">
        <v>2.12E-2</v>
      </c>
      <c r="M1442">
        <v>2.2200000000000001E-2</v>
      </c>
      <c r="N1442">
        <v>2.3099999999999999E-2</v>
      </c>
      <c r="O1442">
        <v>2.41E-2</v>
      </c>
      <c r="P1442">
        <v>2.5000000000000001E-2</v>
      </c>
      <c r="Q1442">
        <v>2.58E-2</v>
      </c>
      <c r="R1442">
        <v>2.6200000000000001E-2</v>
      </c>
      <c r="S1442">
        <v>2.69E-2</v>
      </c>
      <c r="T1442">
        <v>2.75E-2</v>
      </c>
      <c r="U1442">
        <v>2.8199999999999999E-2</v>
      </c>
      <c r="V1442">
        <v>2.9000000000000001E-2</v>
      </c>
      <c r="W1442">
        <v>2.9700000000000001E-2</v>
      </c>
      <c r="X1442">
        <v>3.04E-2</v>
      </c>
      <c r="Y1442">
        <v>3.1099999999999999E-2</v>
      </c>
    </row>
    <row r="1443" spans="1:25" hidden="1">
      <c r="A1443" t="s">
        <v>18808</v>
      </c>
      <c r="B1443" t="s">
        <v>916</v>
      </c>
      <c r="C1443" t="s">
        <v>914</v>
      </c>
      <c r="D1443" t="s">
        <v>621</v>
      </c>
      <c r="E1443" t="s">
        <v>628</v>
      </c>
      <c r="F1443" t="s">
        <v>598</v>
      </c>
      <c r="G1443" t="s">
        <v>478</v>
      </c>
      <c r="H1443" t="s">
        <v>600</v>
      </c>
      <c r="I1443" t="s">
        <v>601</v>
      </c>
      <c r="J1443">
        <v>8.4351200000000001E-2</v>
      </c>
      <c r="K1443">
        <v>8.4428799999999998E-2</v>
      </c>
      <c r="L1443">
        <v>8.4428799999999998E-2</v>
      </c>
      <c r="M1443">
        <v>8.4351200000000001E-2</v>
      </c>
      <c r="N1443">
        <v>8.4428799999999998E-2</v>
      </c>
      <c r="O1443">
        <v>6.9995199999999994E-2</v>
      </c>
      <c r="P1443">
        <v>7.0150400000000002E-2</v>
      </c>
      <c r="Q1443">
        <v>7.0150400000000002E-2</v>
      </c>
      <c r="R1443">
        <v>7.0227999999999999E-2</v>
      </c>
      <c r="S1443">
        <v>7.0227999999999999E-2</v>
      </c>
      <c r="T1443">
        <v>7.0227999999999999E-2</v>
      </c>
      <c r="U1443">
        <v>7.0305599999999996E-2</v>
      </c>
      <c r="V1443">
        <v>7.0305599999999996E-2</v>
      </c>
      <c r="W1443">
        <v>7.0383200000000007E-2</v>
      </c>
      <c r="X1443">
        <v>7.0460800000000004E-2</v>
      </c>
      <c r="Y1443">
        <v>7.0460800000000004E-2</v>
      </c>
    </row>
    <row r="1444" spans="1:25" hidden="1">
      <c r="A1444" t="s">
        <v>18808</v>
      </c>
      <c r="B1444" t="s">
        <v>924</v>
      </c>
      <c r="C1444" t="s">
        <v>925</v>
      </c>
      <c r="D1444" t="s">
        <v>926</v>
      </c>
      <c r="E1444" t="s">
        <v>927</v>
      </c>
      <c r="F1444" t="s">
        <v>598</v>
      </c>
      <c r="G1444" t="s">
        <v>478</v>
      </c>
      <c r="H1444" t="s">
        <v>600</v>
      </c>
      <c r="I1444" t="s">
        <v>601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hidden="1">
      <c r="A1445" t="s">
        <v>18808</v>
      </c>
      <c r="B1445" t="s">
        <v>947</v>
      </c>
      <c r="C1445" t="s">
        <v>943</v>
      </c>
      <c r="D1445" t="s">
        <v>946</v>
      </c>
      <c r="E1445" t="s">
        <v>948</v>
      </c>
      <c r="F1445" t="s">
        <v>598</v>
      </c>
      <c r="G1445" t="s">
        <v>478</v>
      </c>
      <c r="H1445" t="s">
        <v>600</v>
      </c>
      <c r="I1445" t="s">
        <v>601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</row>
    <row r="1446" spans="1:25" hidden="1">
      <c r="A1446" t="s">
        <v>18808</v>
      </c>
      <c r="B1446" t="s">
        <v>955</v>
      </c>
      <c r="C1446" t="s">
        <v>956</v>
      </c>
      <c r="D1446" t="s">
        <v>931</v>
      </c>
      <c r="E1446" t="s">
        <v>597</v>
      </c>
      <c r="F1446" t="s">
        <v>598</v>
      </c>
      <c r="G1446" t="s">
        <v>478</v>
      </c>
      <c r="H1446" t="s">
        <v>600</v>
      </c>
      <c r="I1446" t="s">
        <v>601</v>
      </c>
      <c r="J1446">
        <v>5.8999999999999999E-3</v>
      </c>
      <c r="K1446">
        <v>6.1000000000000004E-3</v>
      </c>
      <c r="L1446">
        <v>6.1999999999999998E-3</v>
      </c>
      <c r="M1446">
        <v>6.6E-3</v>
      </c>
      <c r="N1446">
        <v>6.7000000000000002E-3</v>
      </c>
      <c r="O1446">
        <v>6.7999999999999996E-3</v>
      </c>
      <c r="P1446">
        <v>6.8999999999999999E-3</v>
      </c>
      <c r="Q1446">
        <v>7.1000000000000004E-3</v>
      </c>
      <c r="R1446">
        <v>7.0000000000000001E-3</v>
      </c>
      <c r="S1446">
        <v>7.3000000000000001E-3</v>
      </c>
      <c r="T1446">
        <v>7.4999999999999997E-3</v>
      </c>
      <c r="U1446">
        <v>7.6E-3</v>
      </c>
      <c r="V1446">
        <v>7.7000000000000002E-3</v>
      </c>
      <c r="W1446">
        <v>7.9000000000000008E-3</v>
      </c>
      <c r="X1446">
        <v>8.0000000000000002E-3</v>
      </c>
      <c r="Y1446">
        <v>8.2000000000000007E-3</v>
      </c>
    </row>
    <row r="1447" spans="1:25" hidden="1">
      <c r="A1447" t="s">
        <v>18808</v>
      </c>
      <c r="B1447" t="s">
        <v>959</v>
      </c>
      <c r="C1447" t="s">
        <v>956</v>
      </c>
      <c r="D1447" t="s">
        <v>931</v>
      </c>
      <c r="E1447" t="s">
        <v>613</v>
      </c>
      <c r="F1447" t="s">
        <v>598</v>
      </c>
      <c r="G1447" t="s">
        <v>478</v>
      </c>
      <c r="H1447" t="s">
        <v>600</v>
      </c>
      <c r="I1447" t="s">
        <v>601</v>
      </c>
      <c r="J1447">
        <v>7.1999999999999998E-3</v>
      </c>
      <c r="K1447">
        <v>7.7000000000000002E-3</v>
      </c>
      <c r="L1447">
        <v>8.2000000000000007E-3</v>
      </c>
      <c r="M1447">
        <v>8.8999999999999999E-3</v>
      </c>
      <c r="N1447">
        <v>9.4000000000000004E-3</v>
      </c>
      <c r="O1447">
        <v>9.9000000000000008E-3</v>
      </c>
      <c r="P1447">
        <v>1.03E-2</v>
      </c>
      <c r="Q1447">
        <v>1.0699999999999999E-2</v>
      </c>
      <c r="R1447">
        <v>1.09E-2</v>
      </c>
      <c r="S1447">
        <v>1.12E-2</v>
      </c>
      <c r="T1447">
        <v>1.15E-2</v>
      </c>
      <c r="U1447">
        <v>1.17E-2</v>
      </c>
      <c r="V1447">
        <v>1.2E-2</v>
      </c>
      <c r="W1447">
        <v>1.2200000000000001E-2</v>
      </c>
      <c r="X1447">
        <v>1.2500000000000001E-2</v>
      </c>
      <c r="Y1447">
        <v>1.2699999999999999E-2</v>
      </c>
    </row>
    <row r="1448" spans="1:25" hidden="1">
      <c r="A1448" t="s">
        <v>18808</v>
      </c>
      <c r="B1448" t="s">
        <v>981</v>
      </c>
      <c r="C1448" t="s">
        <v>980</v>
      </c>
      <c r="D1448" t="s">
        <v>982</v>
      </c>
      <c r="E1448" t="s">
        <v>613</v>
      </c>
      <c r="F1448" t="s">
        <v>598</v>
      </c>
      <c r="G1448" t="s">
        <v>478</v>
      </c>
      <c r="H1448" t="s">
        <v>600</v>
      </c>
      <c r="I1448" t="s">
        <v>601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hidden="1">
      <c r="A1449" t="s">
        <v>18808</v>
      </c>
      <c r="B1449" t="s">
        <v>983</v>
      </c>
      <c r="C1449" t="s">
        <v>980</v>
      </c>
      <c r="D1449" t="s">
        <v>982</v>
      </c>
      <c r="E1449" t="s">
        <v>984</v>
      </c>
      <c r="F1449" t="s">
        <v>598</v>
      </c>
      <c r="G1449" t="s">
        <v>478</v>
      </c>
      <c r="H1449" t="s">
        <v>600</v>
      </c>
      <c r="I1449" t="s">
        <v>601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hidden="1">
      <c r="A1450" t="s">
        <v>18808</v>
      </c>
      <c r="B1450" t="s">
        <v>997</v>
      </c>
      <c r="C1450" t="s">
        <v>998</v>
      </c>
      <c r="D1450" t="s">
        <v>999</v>
      </c>
      <c r="E1450" t="s">
        <v>1000</v>
      </c>
      <c r="F1450" t="s">
        <v>598</v>
      </c>
      <c r="G1450" t="s">
        <v>478</v>
      </c>
      <c r="H1450" t="s">
        <v>600</v>
      </c>
      <c r="I1450" t="s">
        <v>601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hidden="1">
      <c r="A1451" t="s">
        <v>18808</v>
      </c>
      <c r="B1451" t="s">
        <v>1009</v>
      </c>
      <c r="C1451" t="s">
        <v>998</v>
      </c>
      <c r="D1451" t="s">
        <v>999</v>
      </c>
      <c r="E1451" t="s">
        <v>1010</v>
      </c>
      <c r="F1451" t="s">
        <v>598</v>
      </c>
      <c r="G1451" t="s">
        <v>478</v>
      </c>
      <c r="H1451" t="s">
        <v>600</v>
      </c>
      <c r="I1451" t="s">
        <v>601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hidden="1">
      <c r="A1452" t="s">
        <v>18808</v>
      </c>
      <c r="B1452" t="s">
        <v>1015</v>
      </c>
      <c r="C1452" t="s">
        <v>1016</v>
      </c>
      <c r="D1452" t="s">
        <v>1017</v>
      </c>
      <c r="E1452" t="s">
        <v>1018</v>
      </c>
      <c r="F1452" t="s">
        <v>598</v>
      </c>
      <c r="G1452" t="s">
        <v>478</v>
      </c>
      <c r="H1452" t="s">
        <v>600</v>
      </c>
      <c r="I1452" t="s">
        <v>601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hidden="1">
      <c r="A1453" t="s">
        <v>18808</v>
      </c>
      <c r="B1453" t="s">
        <v>1021</v>
      </c>
      <c r="C1453" t="s">
        <v>1016</v>
      </c>
      <c r="D1453" t="s">
        <v>1017</v>
      </c>
      <c r="E1453" t="s">
        <v>1022</v>
      </c>
      <c r="F1453" t="s">
        <v>598</v>
      </c>
      <c r="G1453" t="s">
        <v>478</v>
      </c>
      <c r="H1453" t="s">
        <v>600</v>
      </c>
      <c r="I1453" t="s">
        <v>601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hidden="1">
      <c r="A1454" t="s">
        <v>18808</v>
      </c>
      <c r="B1454" t="s">
        <v>1023</v>
      </c>
      <c r="C1454" t="s">
        <v>1016</v>
      </c>
      <c r="D1454" t="s">
        <v>1017</v>
      </c>
      <c r="E1454" t="s">
        <v>1024</v>
      </c>
      <c r="F1454" t="s">
        <v>598</v>
      </c>
      <c r="G1454" t="s">
        <v>478</v>
      </c>
      <c r="H1454" t="s">
        <v>600</v>
      </c>
      <c r="I1454" t="s">
        <v>601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hidden="1">
      <c r="A1455" t="s">
        <v>18808</v>
      </c>
      <c r="B1455" t="s">
        <v>1025</v>
      </c>
      <c r="C1455" t="s">
        <v>1016</v>
      </c>
      <c r="D1455" t="s">
        <v>1017</v>
      </c>
      <c r="E1455" t="s">
        <v>1026</v>
      </c>
      <c r="F1455" t="s">
        <v>598</v>
      </c>
      <c r="G1455" t="s">
        <v>478</v>
      </c>
      <c r="H1455" t="s">
        <v>600</v>
      </c>
      <c r="I1455" t="s">
        <v>601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hidden="1">
      <c r="A1456" t="s">
        <v>18808</v>
      </c>
      <c r="B1456" t="s">
        <v>1029</v>
      </c>
      <c r="C1456" t="s">
        <v>1016</v>
      </c>
      <c r="D1456" t="s">
        <v>1017</v>
      </c>
      <c r="E1456" t="s">
        <v>1030</v>
      </c>
      <c r="F1456" t="s">
        <v>598</v>
      </c>
      <c r="G1456" t="s">
        <v>478</v>
      </c>
      <c r="H1456" t="s">
        <v>600</v>
      </c>
      <c r="I1456" t="s">
        <v>601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hidden="1">
      <c r="A1457" t="s">
        <v>18808</v>
      </c>
      <c r="B1457" t="s">
        <v>1037</v>
      </c>
      <c r="C1457" t="s">
        <v>1016</v>
      </c>
      <c r="D1457" t="s">
        <v>1017</v>
      </c>
      <c r="E1457" t="s">
        <v>1038</v>
      </c>
      <c r="F1457" t="s">
        <v>598</v>
      </c>
      <c r="G1457" t="s">
        <v>478</v>
      </c>
      <c r="H1457" t="s">
        <v>600</v>
      </c>
      <c r="I1457" t="s">
        <v>601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hidden="1">
      <c r="A1458" t="s">
        <v>18808</v>
      </c>
      <c r="B1458" t="s">
        <v>1039</v>
      </c>
      <c r="C1458" t="s">
        <v>1016</v>
      </c>
      <c r="D1458" t="s">
        <v>1017</v>
      </c>
      <c r="E1458" t="s">
        <v>1040</v>
      </c>
      <c r="F1458" t="s">
        <v>598</v>
      </c>
      <c r="G1458" t="s">
        <v>478</v>
      </c>
      <c r="H1458" t="s">
        <v>600</v>
      </c>
      <c r="I1458" t="s">
        <v>601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hidden="1">
      <c r="A1459" t="s">
        <v>18808</v>
      </c>
      <c r="B1459" t="s">
        <v>1041</v>
      </c>
      <c r="C1459" t="s">
        <v>1016</v>
      </c>
      <c r="D1459" t="s">
        <v>1017</v>
      </c>
      <c r="E1459" t="s">
        <v>1042</v>
      </c>
      <c r="F1459" t="s">
        <v>598</v>
      </c>
      <c r="G1459" t="s">
        <v>478</v>
      </c>
      <c r="H1459" t="s">
        <v>600</v>
      </c>
      <c r="I1459" t="s">
        <v>601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hidden="1">
      <c r="A1460" t="s">
        <v>18808</v>
      </c>
      <c r="B1460" t="s">
        <v>1047</v>
      </c>
      <c r="C1460" t="s">
        <v>1016</v>
      </c>
      <c r="D1460" t="s">
        <v>1017</v>
      </c>
      <c r="E1460" t="s">
        <v>1048</v>
      </c>
      <c r="F1460" t="s">
        <v>598</v>
      </c>
      <c r="G1460" t="s">
        <v>478</v>
      </c>
      <c r="H1460" t="s">
        <v>600</v>
      </c>
      <c r="I1460" t="s">
        <v>601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hidden="1">
      <c r="A1461" t="s">
        <v>18808</v>
      </c>
      <c r="B1461" t="s">
        <v>1049</v>
      </c>
      <c r="C1461" t="s">
        <v>1016</v>
      </c>
      <c r="D1461" t="s">
        <v>1050</v>
      </c>
      <c r="E1461" t="s">
        <v>1024</v>
      </c>
      <c r="F1461" t="s">
        <v>598</v>
      </c>
      <c r="G1461" t="s">
        <v>478</v>
      </c>
      <c r="H1461" t="s">
        <v>600</v>
      </c>
      <c r="I1461" t="s">
        <v>601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hidden="1">
      <c r="A1462" t="s">
        <v>18808</v>
      </c>
      <c r="B1462" t="s">
        <v>1051</v>
      </c>
      <c r="C1462" t="s">
        <v>1016</v>
      </c>
      <c r="D1462" t="s">
        <v>1050</v>
      </c>
      <c r="E1462" t="s">
        <v>1052</v>
      </c>
      <c r="F1462" t="s">
        <v>598</v>
      </c>
      <c r="G1462" t="s">
        <v>478</v>
      </c>
      <c r="H1462" t="s">
        <v>600</v>
      </c>
      <c r="I1462" t="s">
        <v>601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hidden="1">
      <c r="A1463" t="s">
        <v>18808</v>
      </c>
      <c r="B1463" t="s">
        <v>1053</v>
      </c>
      <c r="C1463" t="s">
        <v>1016</v>
      </c>
      <c r="D1463" t="s">
        <v>1050</v>
      </c>
      <c r="E1463" t="s">
        <v>1000</v>
      </c>
      <c r="F1463" t="s">
        <v>598</v>
      </c>
      <c r="G1463" t="s">
        <v>478</v>
      </c>
      <c r="H1463" t="s">
        <v>600</v>
      </c>
      <c r="I1463" t="s">
        <v>601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hidden="1">
      <c r="A1464" t="s">
        <v>18808</v>
      </c>
      <c r="B1464" t="s">
        <v>1059</v>
      </c>
      <c r="C1464" t="s">
        <v>1016</v>
      </c>
      <c r="D1464" t="s">
        <v>1050</v>
      </c>
      <c r="E1464" t="s">
        <v>1042</v>
      </c>
      <c r="F1464" t="s">
        <v>598</v>
      </c>
      <c r="G1464" t="s">
        <v>478</v>
      </c>
      <c r="H1464" t="s">
        <v>600</v>
      </c>
      <c r="I1464" t="s">
        <v>601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hidden="1">
      <c r="A1465" t="s">
        <v>18808</v>
      </c>
      <c r="B1465" t="s">
        <v>1060</v>
      </c>
      <c r="C1465" t="s">
        <v>1016</v>
      </c>
      <c r="D1465" t="s">
        <v>1050</v>
      </c>
      <c r="E1465" t="s">
        <v>1044</v>
      </c>
      <c r="F1465" t="s">
        <v>598</v>
      </c>
      <c r="G1465" t="s">
        <v>478</v>
      </c>
      <c r="H1465" t="s">
        <v>600</v>
      </c>
      <c r="I1465" t="s">
        <v>601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hidden="1">
      <c r="A1466" t="s">
        <v>18808</v>
      </c>
      <c r="B1466" t="s">
        <v>1061</v>
      </c>
      <c r="C1466" t="s">
        <v>1016</v>
      </c>
      <c r="D1466" t="s">
        <v>1050</v>
      </c>
      <c r="E1466" t="s">
        <v>1048</v>
      </c>
      <c r="F1466" t="s">
        <v>598</v>
      </c>
      <c r="G1466" t="s">
        <v>478</v>
      </c>
      <c r="H1466" t="s">
        <v>600</v>
      </c>
      <c r="I1466" t="s">
        <v>601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hidden="1">
      <c r="A1467" t="s">
        <v>18808</v>
      </c>
      <c r="B1467" t="s">
        <v>1062</v>
      </c>
      <c r="C1467" t="s">
        <v>1016</v>
      </c>
      <c r="D1467" t="s">
        <v>1063</v>
      </c>
      <c r="E1467" t="s">
        <v>1018</v>
      </c>
      <c r="F1467" t="s">
        <v>598</v>
      </c>
      <c r="G1467" t="s">
        <v>478</v>
      </c>
      <c r="H1467" t="s">
        <v>600</v>
      </c>
      <c r="I1467" t="s">
        <v>601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hidden="1">
      <c r="A1468" t="s">
        <v>18808</v>
      </c>
      <c r="B1468" t="s">
        <v>1064</v>
      </c>
      <c r="C1468" t="s">
        <v>1016</v>
      </c>
      <c r="D1468" t="s">
        <v>1063</v>
      </c>
      <c r="E1468" t="s">
        <v>1022</v>
      </c>
      <c r="F1468" t="s">
        <v>598</v>
      </c>
      <c r="G1468" t="s">
        <v>478</v>
      </c>
      <c r="H1468" t="s">
        <v>600</v>
      </c>
      <c r="I1468" t="s">
        <v>601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 hidden="1">
      <c r="A1469" t="s">
        <v>18808</v>
      </c>
      <c r="B1469" t="s">
        <v>1065</v>
      </c>
      <c r="C1469" t="s">
        <v>1016</v>
      </c>
      <c r="D1469" t="s">
        <v>1063</v>
      </c>
      <c r="E1469" t="s">
        <v>1024</v>
      </c>
      <c r="F1469" t="s">
        <v>598</v>
      </c>
      <c r="G1469" t="s">
        <v>478</v>
      </c>
      <c r="H1469" t="s">
        <v>600</v>
      </c>
      <c r="I1469" t="s">
        <v>601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hidden="1">
      <c r="A1470" t="s">
        <v>18808</v>
      </c>
      <c r="B1470" t="s">
        <v>1067</v>
      </c>
      <c r="C1470" t="s">
        <v>1016</v>
      </c>
      <c r="D1470" t="s">
        <v>1063</v>
      </c>
      <c r="E1470" t="s">
        <v>1026</v>
      </c>
      <c r="F1470" t="s">
        <v>598</v>
      </c>
      <c r="G1470" t="s">
        <v>478</v>
      </c>
      <c r="H1470" t="s">
        <v>600</v>
      </c>
      <c r="I1470" t="s">
        <v>601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hidden="1">
      <c r="A1471" t="s">
        <v>18808</v>
      </c>
      <c r="B1471" t="s">
        <v>1068</v>
      </c>
      <c r="C1471" t="s">
        <v>1016</v>
      </c>
      <c r="D1471" t="s">
        <v>1063</v>
      </c>
      <c r="E1471" t="s">
        <v>1030</v>
      </c>
      <c r="F1471" t="s">
        <v>598</v>
      </c>
      <c r="G1471" t="s">
        <v>478</v>
      </c>
      <c r="H1471" t="s">
        <v>600</v>
      </c>
      <c r="I1471" t="s">
        <v>601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hidden="1">
      <c r="A1472" t="s">
        <v>18808</v>
      </c>
      <c r="B1472" t="s">
        <v>1069</v>
      </c>
      <c r="C1472" t="s">
        <v>1016</v>
      </c>
      <c r="D1472" t="s">
        <v>1063</v>
      </c>
      <c r="E1472" t="s">
        <v>1035</v>
      </c>
      <c r="F1472" t="s">
        <v>598</v>
      </c>
      <c r="G1472" t="s">
        <v>478</v>
      </c>
      <c r="H1472" t="s">
        <v>600</v>
      </c>
      <c r="I1472" t="s">
        <v>601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hidden="1">
      <c r="A1473" t="s">
        <v>18808</v>
      </c>
      <c r="B1473" t="s">
        <v>1071</v>
      </c>
      <c r="C1473" t="s">
        <v>1016</v>
      </c>
      <c r="D1473" t="s">
        <v>1063</v>
      </c>
      <c r="E1473" t="s">
        <v>1038</v>
      </c>
      <c r="F1473" t="s">
        <v>598</v>
      </c>
      <c r="G1473" t="s">
        <v>478</v>
      </c>
      <c r="H1473" t="s">
        <v>600</v>
      </c>
      <c r="I1473" t="s">
        <v>601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hidden="1">
      <c r="A1474" t="s">
        <v>18808</v>
      </c>
      <c r="B1474" t="s">
        <v>1072</v>
      </c>
      <c r="C1474" t="s">
        <v>1016</v>
      </c>
      <c r="D1474" t="s">
        <v>1063</v>
      </c>
      <c r="E1474" t="s">
        <v>1040</v>
      </c>
      <c r="F1474" t="s">
        <v>598</v>
      </c>
      <c r="G1474" t="s">
        <v>478</v>
      </c>
      <c r="H1474" t="s">
        <v>600</v>
      </c>
      <c r="I1474" t="s">
        <v>601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hidden="1">
      <c r="A1475" t="s">
        <v>18808</v>
      </c>
      <c r="B1475" t="s">
        <v>1073</v>
      </c>
      <c r="C1475" t="s">
        <v>1016</v>
      </c>
      <c r="D1475" t="s">
        <v>1063</v>
      </c>
      <c r="E1475" t="s">
        <v>1042</v>
      </c>
      <c r="F1475" t="s">
        <v>598</v>
      </c>
      <c r="G1475" t="s">
        <v>478</v>
      </c>
      <c r="H1475" t="s">
        <v>600</v>
      </c>
      <c r="I1475" t="s">
        <v>601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hidden="1">
      <c r="A1476" t="s">
        <v>18808</v>
      </c>
      <c r="B1476" t="s">
        <v>1074</v>
      </c>
      <c r="C1476" t="s">
        <v>1016</v>
      </c>
      <c r="D1476" t="s">
        <v>1063</v>
      </c>
      <c r="E1476" t="s">
        <v>1044</v>
      </c>
      <c r="F1476" t="s">
        <v>598</v>
      </c>
      <c r="G1476" t="s">
        <v>478</v>
      </c>
      <c r="H1476" t="s">
        <v>600</v>
      </c>
      <c r="I1476" t="s">
        <v>601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hidden="1">
      <c r="A1477" t="s">
        <v>18808</v>
      </c>
      <c r="B1477" t="s">
        <v>1075</v>
      </c>
      <c r="C1477" t="s">
        <v>1016</v>
      </c>
      <c r="D1477" t="s">
        <v>1063</v>
      </c>
      <c r="E1477" t="s">
        <v>1046</v>
      </c>
      <c r="F1477" t="s">
        <v>598</v>
      </c>
      <c r="G1477" t="s">
        <v>478</v>
      </c>
      <c r="H1477" t="s">
        <v>600</v>
      </c>
      <c r="I1477" t="s">
        <v>601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hidden="1">
      <c r="A1478" t="s">
        <v>18808</v>
      </c>
      <c r="B1478" t="s">
        <v>1076</v>
      </c>
      <c r="C1478" t="s">
        <v>1016</v>
      </c>
      <c r="D1478" t="s">
        <v>1063</v>
      </c>
      <c r="E1478" t="s">
        <v>1048</v>
      </c>
      <c r="F1478" t="s">
        <v>598</v>
      </c>
      <c r="G1478" t="s">
        <v>478</v>
      </c>
      <c r="H1478" t="s">
        <v>600</v>
      </c>
      <c r="I1478" t="s">
        <v>601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</row>
    <row r="1479" spans="1:25" hidden="1">
      <c r="A1479" t="s">
        <v>18808</v>
      </c>
      <c r="B1479" t="s">
        <v>1087</v>
      </c>
      <c r="C1479" t="s">
        <v>1079</v>
      </c>
      <c r="D1479" t="s">
        <v>1086</v>
      </c>
      <c r="E1479" t="s">
        <v>1081</v>
      </c>
      <c r="F1479" t="s">
        <v>598</v>
      </c>
      <c r="G1479" t="s">
        <v>478</v>
      </c>
      <c r="H1479" t="s">
        <v>600</v>
      </c>
      <c r="I1479" t="s">
        <v>601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hidden="1">
      <c r="A1480" t="s">
        <v>18808</v>
      </c>
      <c r="B1480" t="s">
        <v>1090</v>
      </c>
      <c r="C1480" t="s">
        <v>1079</v>
      </c>
      <c r="D1480" t="s">
        <v>1086</v>
      </c>
      <c r="E1480" t="s">
        <v>1091</v>
      </c>
      <c r="F1480" t="s">
        <v>598</v>
      </c>
      <c r="G1480" t="s">
        <v>478</v>
      </c>
      <c r="H1480" t="s">
        <v>600</v>
      </c>
      <c r="I1480" t="s">
        <v>601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hidden="1">
      <c r="A1481" t="s">
        <v>18808</v>
      </c>
      <c r="B1481" t="s">
        <v>1094</v>
      </c>
      <c r="C1481" t="s">
        <v>1079</v>
      </c>
      <c r="D1481" t="s">
        <v>1086</v>
      </c>
      <c r="E1481" t="s">
        <v>1095</v>
      </c>
      <c r="F1481" t="s">
        <v>598</v>
      </c>
      <c r="G1481" t="s">
        <v>478</v>
      </c>
      <c r="H1481" t="s">
        <v>600</v>
      </c>
      <c r="I1481" t="s">
        <v>601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hidden="1">
      <c r="A1482" t="s">
        <v>18808</v>
      </c>
      <c r="B1482" t="s">
        <v>1107</v>
      </c>
      <c r="C1482" t="s">
        <v>1079</v>
      </c>
      <c r="D1482" t="s">
        <v>1108</v>
      </c>
      <c r="E1482" t="s">
        <v>1081</v>
      </c>
      <c r="F1482" t="s">
        <v>598</v>
      </c>
      <c r="G1482" t="s">
        <v>478</v>
      </c>
      <c r="H1482" t="s">
        <v>600</v>
      </c>
      <c r="I1482" t="s">
        <v>601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hidden="1">
      <c r="A1483" t="s">
        <v>18808</v>
      </c>
      <c r="B1483" t="s">
        <v>1114</v>
      </c>
      <c r="C1483" t="s">
        <v>1079</v>
      </c>
      <c r="D1483" t="s">
        <v>1115</v>
      </c>
      <c r="E1483" t="s">
        <v>1081</v>
      </c>
      <c r="F1483" t="s">
        <v>598</v>
      </c>
      <c r="G1483" t="s">
        <v>478</v>
      </c>
      <c r="H1483" t="s">
        <v>600</v>
      </c>
      <c r="I1483" t="s">
        <v>601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25" hidden="1">
      <c r="A1484" t="s">
        <v>18808</v>
      </c>
      <c r="B1484" t="s">
        <v>1144</v>
      </c>
      <c r="C1484" t="s">
        <v>1079</v>
      </c>
      <c r="D1484" t="s">
        <v>1145</v>
      </c>
      <c r="E1484" t="s">
        <v>1081</v>
      </c>
      <c r="F1484" t="s">
        <v>598</v>
      </c>
      <c r="G1484" t="s">
        <v>478</v>
      </c>
      <c r="H1484" t="s">
        <v>600</v>
      </c>
      <c r="I1484" t="s">
        <v>601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hidden="1">
      <c r="A1485" t="s">
        <v>18808</v>
      </c>
      <c r="B1485" t="s">
        <v>1155</v>
      </c>
      <c r="C1485" t="s">
        <v>1079</v>
      </c>
      <c r="D1485" t="s">
        <v>1156</v>
      </c>
      <c r="E1485" t="s">
        <v>1081</v>
      </c>
      <c r="F1485" t="s">
        <v>598</v>
      </c>
      <c r="G1485" t="s">
        <v>478</v>
      </c>
      <c r="H1485" t="s">
        <v>600</v>
      </c>
      <c r="I1485" t="s">
        <v>601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hidden="1">
      <c r="A1486" t="s">
        <v>18808</v>
      </c>
      <c r="B1486" t="s">
        <v>1171</v>
      </c>
      <c r="C1486" t="s">
        <v>1079</v>
      </c>
      <c r="D1486" t="s">
        <v>1172</v>
      </c>
      <c r="E1486" t="s">
        <v>1081</v>
      </c>
      <c r="F1486" t="s">
        <v>598</v>
      </c>
      <c r="G1486" t="s">
        <v>478</v>
      </c>
      <c r="H1486" t="s">
        <v>600</v>
      </c>
      <c r="I1486" t="s">
        <v>601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hidden="1">
      <c r="A1487" t="s">
        <v>18808</v>
      </c>
      <c r="B1487" t="s">
        <v>1177</v>
      </c>
      <c r="C1487" t="s">
        <v>1079</v>
      </c>
      <c r="D1487" t="s">
        <v>1178</v>
      </c>
      <c r="E1487" t="s">
        <v>1081</v>
      </c>
      <c r="F1487" t="s">
        <v>598</v>
      </c>
      <c r="G1487" t="s">
        <v>478</v>
      </c>
      <c r="H1487" t="s">
        <v>600</v>
      </c>
      <c r="I1487" t="s">
        <v>601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hidden="1">
      <c r="A1488" t="s">
        <v>18808</v>
      </c>
      <c r="B1488" t="s">
        <v>1179</v>
      </c>
      <c r="C1488" t="s">
        <v>1079</v>
      </c>
      <c r="D1488" t="s">
        <v>1180</v>
      </c>
      <c r="E1488" t="s">
        <v>1081</v>
      </c>
      <c r="F1488" t="s">
        <v>598</v>
      </c>
      <c r="G1488" t="s">
        <v>478</v>
      </c>
      <c r="H1488" t="s">
        <v>600</v>
      </c>
      <c r="I1488" t="s">
        <v>601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hidden="1">
      <c r="A1489" t="s">
        <v>18808</v>
      </c>
      <c r="B1489" t="s">
        <v>1217</v>
      </c>
      <c r="C1489" t="s">
        <v>1079</v>
      </c>
      <c r="D1489" t="s">
        <v>1188</v>
      </c>
      <c r="E1489" t="s">
        <v>1106</v>
      </c>
      <c r="F1489" t="s">
        <v>598</v>
      </c>
      <c r="G1489" t="s">
        <v>478</v>
      </c>
      <c r="H1489" t="s">
        <v>600</v>
      </c>
      <c r="I1489" t="s">
        <v>601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hidden="1">
      <c r="A1490" t="s">
        <v>18808</v>
      </c>
      <c r="B1490" t="s">
        <v>1218</v>
      </c>
      <c r="C1490" t="s">
        <v>1079</v>
      </c>
      <c r="D1490" t="s">
        <v>1188</v>
      </c>
      <c r="E1490" t="s">
        <v>1219</v>
      </c>
      <c r="F1490" t="s">
        <v>598</v>
      </c>
      <c r="G1490" t="s">
        <v>478</v>
      </c>
      <c r="H1490" t="s">
        <v>600</v>
      </c>
      <c r="I1490" t="s">
        <v>601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</row>
    <row r="1491" spans="1:25" hidden="1">
      <c r="A1491" t="s">
        <v>18808</v>
      </c>
      <c r="B1491" t="s">
        <v>1221</v>
      </c>
      <c r="C1491" t="s">
        <v>1079</v>
      </c>
      <c r="D1491" t="s">
        <v>648</v>
      </c>
      <c r="E1491" t="s">
        <v>1081</v>
      </c>
      <c r="F1491" t="s">
        <v>598</v>
      </c>
      <c r="G1491" t="s">
        <v>478</v>
      </c>
      <c r="H1491" t="s">
        <v>600</v>
      </c>
      <c r="I1491" t="s">
        <v>601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hidden="1">
      <c r="A1492" t="s">
        <v>18808</v>
      </c>
      <c r="B1492" t="s">
        <v>1228</v>
      </c>
      <c r="C1492" t="s">
        <v>1079</v>
      </c>
      <c r="D1492" t="s">
        <v>648</v>
      </c>
      <c r="E1492" t="s">
        <v>1103</v>
      </c>
      <c r="F1492" t="s">
        <v>598</v>
      </c>
      <c r="G1492" t="s">
        <v>478</v>
      </c>
      <c r="H1492" t="s">
        <v>600</v>
      </c>
      <c r="I1492" t="s">
        <v>601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hidden="1">
      <c r="A1493" t="s">
        <v>18808</v>
      </c>
      <c r="B1493" t="s">
        <v>1250</v>
      </c>
      <c r="C1493" t="s">
        <v>1230</v>
      </c>
      <c r="D1493" t="s">
        <v>648</v>
      </c>
      <c r="E1493" t="s">
        <v>1004</v>
      </c>
      <c r="F1493" t="s">
        <v>598</v>
      </c>
      <c r="G1493" t="s">
        <v>478</v>
      </c>
      <c r="H1493" t="s">
        <v>600</v>
      </c>
      <c r="I1493" t="s">
        <v>601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hidden="1">
      <c r="A1494" t="s">
        <v>18808</v>
      </c>
      <c r="B1494" t="s">
        <v>1251</v>
      </c>
      <c r="C1494" t="s">
        <v>1230</v>
      </c>
      <c r="D1494" t="s">
        <v>648</v>
      </c>
      <c r="E1494" t="s">
        <v>1239</v>
      </c>
      <c r="F1494" t="s">
        <v>598</v>
      </c>
      <c r="G1494" t="s">
        <v>478</v>
      </c>
      <c r="H1494" t="s">
        <v>600</v>
      </c>
      <c r="I1494" t="s">
        <v>601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hidden="1">
      <c r="A1495" t="s">
        <v>18808</v>
      </c>
      <c r="B1495" t="s">
        <v>1252</v>
      </c>
      <c r="C1495" t="s">
        <v>1253</v>
      </c>
      <c r="D1495" t="s">
        <v>1254</v>
      </c>
      <c r="E1495" t="s">
        <v>1255</v>
      </c>
      <c r="F1495" t="s">
        <v>598</v>
      </c>
      <c r="G1495" t="s">
        <v>478</v>
      </c>
      <c r="H1495" t="s">
        <v>600</v>
      </c>
      <c r="I1495" t="s">
        <v>601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hidden="1">
      <c r="A1496" t="s">
        <v>18808</v>
      </c>
      <c r="B1496" t="s">
        <v>1256</v>
      </c>
      <c r="C1496" t="s">
        <v>1253</v>
      </c>
      <c r="D1496" t="s">
        <v>1254</v>
      </c>
      <c r="E1496" t="s">
        <v>1257</v>
      </c>
      <c r="F1496" t="s">
        <v>598</v>
      </c>
      <c r="G1496" t="s">
        <v>478</v>
      </c>
      <c r="H1496" t="s">
        <v>600</v>
      </c>
      <c r="I1496" t="s">
        <v>601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hidden="1">
      <c r="A1497" t="s">
        <v>18808</v>
      </c>
      <c r="B1497" t="s">
        <v>1258</v>
      </c>
      <c r="C1497" t="s">
        <v>1253</v>
      </c>
      <c r="D1497" t="s">
        <v>1254</v>
      </c>
      <c r="E1497" t="s">
        <v>1259</v>
      </c>
      <c r="F1497" t="s">
        <v>598</v>
      </c>
      <c r="G1497" t="s">
        <v>478</v>
      </c>
      <c r="H1497" t="s">
        <v>600</v>
      </c>
      <c r="I1497" t="s">
        <v>601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hidden="1">
      <c r="A1498" t="s">
        <v>18808</v>
      </c>
      <c r="B1498" t="s">
        <v>1265</v>
      </c>
      <c r="C1498" t="s">
        <v>1261</v>
      </c>
      <c r="D1498" t="s">
        <v>648</v>
      </c>
      <c r="E1498" t="s">
        <v>1004</v>
      </c>
      <c r="F1498" t="s">
        <v>598</v>
      </c>
      <c r="G1498" t="s">
        <v>478</v>
      </c>
      <c r="H1498" t="s">
        <v>600</v>
      </c>
      <c r="I1498" t="s">
        <v>601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hidden="1">
      <c r="A1499" t="s">
        <v>18808</v>
      </c>
      <c r="B1499" t="s">
        <v>1436</v>
      </c>
      <c r="C1499" t="s">
        <v>1382</v>
      </c>
      <c r="D1499" t="s">
        <v>1354</v>
      </c>
      <c r="E1499" t="s">
        <v>973</v>
      </c>
      <c r="F1499" t="s">
        <v>598</v>
      </c>
      <c r="G1499" t="s">
        <v>478</v>
      </c>
      <c r="H1499" t="s">
        <v>600</v>
      </c>
      <c r="I1499" t="s">
        <v>601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hidden="1">
      <c r="A1500" t="s">
        <v>18808</v>
      </c>
      <c r="B1500" t="s">
        <v>1459</v>
      </c>
      <c r="C1500" t="s">
        <v>1382</v>
      </c>
      <c r="D1500" t="s">
        <v>648</v>
      </c>
      <c r="E1500" t="s">
        <v>920</v>
      </c>
      <c r="F1500" t="s">
        <v>598</v>
      </c>
      <c r="G1500" t="s">
        <v>478</v>
      </c>
      <c r="H1500" t="s">
        <v>600</v>
      </c>
      <c r="I1500" t="s">
        <v>601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hidden="1">
      <c r="A1501" t="s">
        <v>18808</v>
      </c>
      <c r="B1501" t="s">
        <v>1482</v>
      </c>
      <c r="C1501" t="s">
        <v>1472</v>
      </c>
      <c r="D1501" t="s">
        <v>1483</v>
      </c>
      <c r="E1501" t="s">
        <v>597</v>
      </c>
      <c r="F1501" t="s">
        <v>598</v>
      </c>
      <c r="G1501" t="s">
        <v>478</v>
      </c>
      <c r="H1501" t="s">
        <v>600</v>
      </c>
      <c r="I1501" t="s">
        <v>601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hidden="1">
      <c r="A1502" t="s">
        <v>18808</v>
      </c>
      <c r="B1502" t="s">
        <v>1484</v>
      </c>
      <c r="C1502" t="s">
        <v>1472</v>
      </c>
      <c r="D1502" t="s">
        <v>1485</v>
      </c>
      <c r="E1502" t="s">
        <v>642</v>
      </c>
      <c r="F1502" t="s">
        <v>598</v>
      </c>
      <c r="G1502" t="s">
        <v>478</v>
      </c>
      <c r="H1502" t="s">
        <v>600</v>
      </c>
      <c r="I1502" t="s">
        <v>601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</row>
    <row r="1503" spans="1:25" hidden="1">
      <c r="A1503" t="s">
        <v>18808</v>
      </c>
      <c r="B1503" t="s">
        <v>1492</v>
      </c>
      <c r="C1503" t="s">
        <v>1472</v>
      </c>
      <c r="D1503" t="s">
        <v>1316</v>
      </c>
      <c r="E1503" t="s">
        <v>688</v>
      </c>
      <c r="F1503" t="s">
        <v>598</v>
      </c>
      <c r="G1503" t="s">
        <v>478</v>
      </c>
      <c r="H1503" t="s">
        <v>600</v>
      </c>
      <c r="I1503" t="s">
        <v>601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hidden="1">
      <c r="A1504" t="s">
        <v>18808</v>
      </c>
      <c r="B1504" t="s">
        <v>1495</v>
      </c>
      <c r="C1504" t="s">
        <v>1472</v>
      </c>
      <c r="D1504" t="s">
        <v>1316</v>
      </c>
      <c r="E1504" t="s">
        <v>1399</v>
      </c>
      <c r="F1504" t="s">
        <v>598</v>
      </c>
      <c r="G1504" t="s">
        <v>478</v>
      </c>
      <c r="H1504" t="s">
        <v>600</v>
      </c>
      <c r="I1504" t="s">
        <v>601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hidden="1">
      <c r="A1505" t="s">
        <v>18808</v>
      </c>
      <c r="B1505" t="s">
        <v>1503</v>
      </c>
      <c r="C1505" t="s">
        <v>1472</v>
      </c>
      <c r="D1505" t="s">
        <v>1320</v>
      </c>
      <c r="E1505" t="s">
        <v>688</v>
      </c>
      <c r="F1505" t="s">
        <v>598</v>
      </c>
      <c r="G1505" t="s">
        <v>478</v>
      </c>
      <c r="H1505" t="s">
        <v>600</v>
      </c>
      <c r="I1505" t="s">
        <v>601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hidden="1">
      <c r="A1506" t="s">
        <v>18808</v>
      </c>
      <c r="B1506" t="s">
        <v>1513</v>
      </c>
      <c r="C1506" t="s">
        <v>1472</v>
      </c>
      <c r="D1506" t="s">
        <v>1324</v>
      </c>
      <c r="E1506" t="s">
        <v>688</v>
      </c>
      <c r="F1506" t="s">
        <v>598</v>
      </c>
      <c r="G1506" t="s">
        <v>478</v>
      </c>
      <c r="H1506" t="s">
        <v>600</v>
      </c>
      <c r="I1506" t="s">
        <v>601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hidden="1">
      <c r="A1507" t="s">
        <v>18808</v>
      </c>
      <c r="B1507" t="s">
        <v>1518</v>
      </c>
      <c r="C1507" t="s">
        <v>1472</v>
      </c>
      <c r="D1507" t="s">
        <v>1324</v>
      </c>
      <c r="E1507" t="s">
        <v>1326</v>
      </c>
      <c r="F1507" t="s">
        <v>598</v>
      </c>
      <c r="G1507" t="s">
        <v>478</v>
      </c>
      <c r="H1507" t="s">
        <v>600</v>
      </c>
      <c r="I1507" t="s">
        <v>601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hidden="1">
      <c r="A1508" t="s">
        <v>18808</v>
      </c>
      <c r="B1508" t="s">
        <v>1526</v>
      </c>
      <c r="C1508" t="s">
        <v>1472</v>
      </c>
      <c r="D1508" t="s">
        <v>1332</v>
      </c>
      <c r="E1508" t="s">
        <v>688</v>
      </c>
      <c r="F1508" t="s">
        <v>598</v>
      </c>
      <c r="G1508" t="s">
        <v>478</v>
      </c>
      <c r="H1508" t="s">
        <v>600</v>
      </c>
      <c r="I1508" t="s">
        <v>601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hidden="1">
      <c r="A1509" t="s">
        <v>18808</v>
      </c>
      <c r="B1509" t="s">
        <v>1529</v>
      </c>
      <c r="C1509" t="s">
        <v>1472</v>
      </c>
      <c r="D1509" t="s">
        <v>1332</v>
      </c>
      <c r="E1509" t="s">
        <v>1417</v>
      </c>
      <c r="F1509" t="s">
        <v>598</v>
      </c>
      <c r="G1509" t="s">
        <v>478</v>
      </c>
      <c r="H1509" t="s">
        <v>600</v>
      </c>
      <c r="I1509" t="s">
        <v>601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hidden="1">
      <c r="A1510" t="s">
        <v>18808</v>
      </c>
      <c r="B1510" t="s">
        <v>1531</v>
      </c>
      <c r="C1510" t="s">
        <v>1472</v>
      </c>
      <c r="D1510" t="s">
        <v>1332</v>
      </c>
      <c r="E1510" t="s">
        <v>1326</v>
      </c>
      <c r="F1510" t="s">
        <v>598</v>
      </c>
      <c r="G1510" t="s">
        <v>478</v>
      </c>
      <c r="H1510" t="s">
        <v>600</v>
      </c>
      <c r="I1510" t="s">
        <v>601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hidden="1">
      <c r="A1511" t="s">
        <v>18808</v>
      </c>
      <c r="B1511" t="s">
        <v>1566</v>
      </c>
      <c r="C1511" t="s">
        <v>1472</v>
      </c>
      <c r="D1511" t="s">
        <v>1567</v>
      </c>
      <c r="E1511" t="s">
        <v>626</v>
      </c>
      <c r="F1511" t="s">
        <v>598</v>
      </c>
      <c r="G1511" t="s">
        <v>478</v>
      </c>
      <c r="H1511" t="s">
        <v>600</v>
      </c>
      <c r="I1511" t="s">
        <v>601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hidden="1">
      <c r="A1512" t="s">
        <v>18808</v>
      </c>
      <c r="B1512" t="s">
        <v>1568</v>
      </c>
      <c r="C1512" t="s">
        <v>1472</v>
      </c>
      <c r="D1512" t="s">
        <v>1569</v>
      </c>
      <c r="E1512" t="s">
        <v>626</v>
      </c>
      <c r="F1512" t="s">
        <v>598</v>
      </c>
      <c r="G1512" t="s">
        <v>478</v>
      </c>
      <c r="H1512" t="s">
        <v>600</v>
      </c>
      <c r="I1512" t="s">
        <v>601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hidden="1">
      <c r="A1513" t="s">
        <v>18808</v>
      </c>
      <c r="B1513" t="s">
        <v>1570</v>
      </c>
      <c r="C1513" t="s">
        <v>1472</v>
      </c>
      <c r="D1513" t="s">
        <v>1571</v>
      </c>
      <c r="E1513" t="s">
        <v>626</v>
      </c>
      <c r="F1513" t="s">
        <v>598</v>
      </c>
      <c r="G1513" t="s">
        <v>478</v>
      </c>
      <c r="H1513" t="s">
        <v>600</v>
      </c>
      <c r="I1513" t="s">
        <v>601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hidden="1">
      <c r="A1514" t="s">
        <v>18808</v>
      </c>
      <c r="B1514" t="s">
        <v>1573</v>
      </c>
      <c r="C1514" t="s">
        <v>1472</v>
      </c>
      <c r="D1514" t="s">
        <v>1574</v>
      </c>
      <c r="E1514" t="s">
        <v>626</v>
      </c>
      <c r="F1514" t="s">
        <v>598</v>
      </c>
      <c r="G1514" t="s">
        <v>478</v>
      </c>
      <c r="H1514" t="s">
        <v>600</v>
      </c>
      <c r="I1514" t="s">
        <v>601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hidden="1">
      <c r="A1515" t="s">
        <v>18808</v>
      </c>
      <c r="B1515" t="s">
        <v>1575</v>
      </c>
      <c r="C1515" t="s">
        <v>1472</v>
      </c>
      <c r="D1515" t="s">
        <v>1576</v>
      </c>
      <c r="E1515" t="s">
        <v>626</v>
      </c>
      <c r="F1515" t="s">
        <v>598</v>
      </c>
      <c r="G1515" t="s">
        <v>478</v>
      </c>
      <c r="H1515" t="s">
        <v>600</v>
      </c>
      <c r="I1515" t="s">
        <v>601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hidden="1">
      <c r="A1516" t="s">
        <v>18808</v>
      </c>
      <c r="B1516" t="s">
        <v>1577</v>
      </c>
      <c r="C1516" t="s">
        <v>1472</v>
      </c>
      <c r="D1516" t="s">
        <v>1578</v>
      </c>
      <c r="E1516" t="s">
        <v>626</v>
      </c>
      <c r="F1516" t="s">
        <v>598</v>
      </c>
      <c r="G1516" t="s">
        <v>478</v>
      </c>
      <c r="H1516" t="s">
        <v>600</v>
      </c>
      <c r="I1516" t="s">
        <v>601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hidden="1">
      <c r="A1517" t="s">
        <v>18808</v>
      </c>
      <c r="B1517" t="s">
        <v>1582</v>
      </c>
      <c r="C1517" t="s">
        <v>1472</v>
      </c>
      <c r="D1517" t="s">
        <v>1583</v>
      </c>
      <c r="E1517" t="s">
        <v>626</v>
      </c>
      <c r="F1517" t="s">
        <v>598</v>
      </c>
      <c r="G1517" t="s">
        <v>478</v>
      </c>
      <c r="H1517" t="s">
        <v>600</v>
      </c>
      <c r="I1517" t="s">
        <v>601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hidden="1">
      <c r="A1518" t="s">
        <v>18808</v>
      </c>
      <c r="B1518" t="s">
        <v>1587</v>
      </c>
      <c r="C1518" t="s">
        <v>1472</v>
      </c>
      <c r="D1518" t="s">
        <v>1588</v>
      </c>
      <c r="E1518" t="s">
        <v>626</v>
      </c>
      <c r="F1518" t="s">
        <v>598</v>
      </c>
      <c r="G1518" t="s">
        <v>478</v>
      </c>
      <c r="H1518" t="s">
        <v>600</v>
      </c>
      <c r="I1518" t="s">
        <v>601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hidden="1">
      <c r="A1519" t="s">
        <v>18808</v>
      </c>
      <c r="B1519" t="s">
        <v>1589</v>
      </c>
      <c r="C1519" t="s">
        <v>1472</v>
      </c>
      <c r="D1519" t="s">
        <v>1365</v>
      </c>
      <c r="E1519" t="s">
        <v>973</v>
      </c>
      <c r="F1519" t="s">
        <v>598</v>
      </c>
      <c r="G1519" t="s">
        <v>478</v>
      </c>
      <c r="H1519" t="s">
        <v>600</v>
      </c>
      <c r="I1519" t="s">
        <v>601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hidden="1">
      <c r="A1520" t="s">
        <v>18808</v>
      </c>
      <c r="B1520" t="s">
        <v>1590</v>
      </c>
      <c r="C1520" t="s">
        <v>1472</v>
      </c>
      <c r="D1520" t="s">
        <v>1365</v>
      </c>
      <c r="E1520" t="s">
        <v>626</v>
      </c>
      <c r="F1520" t="s">
        <v>598</v>
      </c>
      <c r="G1520" t="s">
        <v>478</v>
      </c>
      <c r="H1520" t="s">
        <v>600</v>
      </c>
      <c r="I1520" t="s">
        <v>601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hidden="1">
      <c r="A1521" t="s">
        <v>18808</v>
      </c>
      <c r="B1521" t="s">
        <v>1591</v>
      </c>
      <c r="C1521" t="s">
        <v>1472</v>
      </c>
      <c r="D1521" t="s">
        <v>1365</v>
      </c>
      <c r="E1521" t="s">
        <v>628</v>
      </c>
      <c r="F1521" t="s">
        <v>598</v>
      </c>
      <c r="G1521" t="s">
        <v>478</v>
      </c>
      <c r="H1521" t="s">
        <v>600</v>
      </c>
      <c r="I1521" t="s">
        <v>601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hidden="1">
      <c r="A1522" t="s">
        <v>18808</v>
      </c>
      <c r="B1522" t="s">
        <v>1595</v>
      </c>
      <c r="C1522" t="s">
        <v>1472</v>
      </c>
      <c r="D1522" t="s">
        <v>1458</v>
      </c>
      <c r="E1522" t="s">
        <v>626</v>
      </c>
      <c r="F1522" t="s">
        <v>598</v>
      </c>
      <c r="G1522" t="s">
        <v>478</v>
      </c>
      <c r="H1522" t="s">
        <v>600</v>
      </c>
      <c r="I1522" t="s">
        <v>601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hidden="1">
      <c r="A1523" t="s">
        <v>18808</v>
      </c>
      <c r="B1523" t="s">
        <v>1600</v>
      </c>
      <c r="C1523" t="s">
        <v>1472</v>
      </c>
      <c r="D1523" t="s">
        <v>1601</v>
      </c>
      <c r="E1523" t="s">
        <v>626</v>
      </c>
      <c r="F1523" t="s">
        <v>598</v>
      </c>
      <c r="G1523" t="s">
        <v>478</v>
      </c>
      <c r="H1523" t="s">
        <v>600</v>
      </c>
      <c r="I1523" t="s">
        <v>601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hidden="1">
      <c r="A1524" t="s">
        <v>18808</v>
      </c>
      <c r="B1524" t="s">
        <v>1602</v>
      </c>
      <c r="C1524" t="s">
        <v>1472</v>
      </c>
      <c r="D1524" t="s">
        <v>1603</v>
      </c>
      <c r="E1524" t="s">
        <v>626</v>
      </c>
      <c r="F1524" t="s">
        <v>598</v>
      </c>
      <c r="G1524" t="s">
        <v>478</v>
      </c>
      <c r="H1524" t="s">
        <v>600</v>
      </c>
      <c r="I1524" t="s">
        <v>601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hidden="1">
      <c r="A1525" t="s">
        <v>18808</v>
      </c>
      <c r="B1525" t="s">
        <v>1604</v>
      </c>
      <c r="C1525" t="s">
        <v>1472</v>
      </c>
      <c r="D1525" t="s">
        <v>1605</v>
      </c>
      <c r="E1525" t="s">
        <v>626</v>
      </c>
      <c r="F1525" t="s">
        <v>598</v>
      </c>
      <c r="G1525" t="s">
        <v>478</v>
      </c>
      <c r="H1525" t="s">
        <v>600</v>
      </c>
      <c r="I1525" t="s">
        <v>601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hidden="1">
      <c r="A1526" t="s">
        <v>18808</v>
      </c>
      <c r="B1526" t="s">
        <v>1610</v>
      </c>
      <c r="C1526" t="s">
        <v>1611</v>
      </c>
      <c r="D1526" t="s">
        <v>648</v>
      </c>
      <c r="E1526" t="s">
        <v>920</v>
      </c>
      <c r="F1526" t="s">
        <v>598</v>
      </c>
      <c r="G1526" t="s">
        <v>478</v>
      </c>
      <c r="H1526" t="s">
        <v>600</v>
      </c>
      <c r="I1526" t="s">
        <v>601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hidden="1">
      <c r="A1527" t="s">
        <v>18808</v>
      </c>
      <c r="B1527" t="s">
        <v>1746</v>
      </c>
      <c r="C1527" t="s">
        <v>1614</v>
      </c>
      <c r="D1527" t="s">
        <v>1722</v>
      </c>
      <c r="E1527" t="s">
        <v>954</v>
      </c>
      <c r="F1527" t="s">
        <v>598</v>
      </c>
      <c r="G1527" t="s">
        <v>478</v>
      </c>
      <c r="H1527" t="s">
        <v>600</v>
      </c>
      <c r="I1527" t="s">
        <v>601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</row>
    <row r="1528" spans="1:25" hidden="1">
      <c r="A1528" t="s">
        <v>18808</v>
      </c>
      <c r="B1528" t="s">
        <v>1771</v>
      </c>
      <c r="C1528" t="s">
        <v>1614</v>
      </c>
      <c r="D1528" t="s">
        <v>1768</v>
      </c>
      <c r="E1528" t="s">
        <v>1772</v>
      </c>
      <c r="F1528" t="s">
        <v>598</v>
      </c>
      <c r="G1528" t="s">
        <v>478</v>
      </c>
      <c r="H1528" t="s">
        <v>600</v>
      </c>
      <c r="I1528" t="s">
        <v>601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hidden="1">
      <c r="A1529" t="s">
        <v>18808</v>
      </c>
      <c r="B1529" t="s">
        <v>1775</v>
      </c>
      <c r="C1529" t="s">
        <v>1614</v>
      </c>
      <c r="D1529" t="s">
        <v>1776</v>
      </c>
      <c r="E1529" t="s">
        <v>1777</v>
      </c>
      <c r="F1529" t="s">
        <v>598</v>
      </c>
      <c r="G1529" t="s">
        <v>478</v>
      </c>
      <c r="H1529" t="s">
        <v>600</v>
      </c>
      <c r="I1529" t="s">
        <v>601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</row>
    <row r="1530" spans="1:25" hidden="1">
      <c r="A1530" t="s">
        <v>18808</v>
      </c>
      <c r="B1530" t="s">
        <v>1780</v>
      </c>
      <c r="C1530" t="s">
        <v>1614</v>
      </c>
      <c r="D1530" t="s">
        <v>1781</v>
      </c>
      <c r="E1530" t="s">
        <v>1716</v>
      </c>
      <c r="F1530" t="s">
        <v>598</v>
      </c>
      <c r="G1530" t="s">
        <v>478</v>
      </c>
      <c r="H1530" t="s">
        <v>600</v>
      </c>
      <c r="I1530" t="s">
        <v>601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hidden="1">
      <c r="A1531" t="s">
        <v>18808</v>
      </c>
      <c r="B1531" t="s">
        <v>1825</v>
      </c>
      <c r="C1531" t="s">
        <v>1614</v>
      </c>
      <c r="D1531" t="s">
        <v>648</v>
      </c>
      <c r="E1531" t="s">
        <v>954</v>
      </c>
      <c r="F1531" t="s">
        <v>598</v>
      </c>
      <c r="G1531" t="s">
        <v>478</v>
      </c>
      <c r="H1531" t="s">
        <v>600</v>
      </c>
      <c r="I1531" t="s">
        <v>601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hidden="1">
      <c r="A1532" t="s">
        <v>18808</v>
      </c>
      <c r="B1532" t="s">
        <v>1858</v>
      </c>
      <c r="C1532" t="s">
        <v>1845</v>
      </c>
      <c r="D1532" t="s">
        <v>1859</v>
      </c>
      <c r="E1532" t="s">
        <v>1860</v>
      </c>
      <c r="F1532" t="s">
        <v>598</v>
      </c>
      <c r="G1532" t="s">
        <v>478</v>
      </c>
      <c r="H1532" t="s">
        <v>600</v>
      </c>
      <c r="I1532" t="s">
        <v>601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hidden="1">
      <c r="A1533" t="s">
        <v>18808</v>
      </c>
      <c r="B1533" t="s">
        <v>1861</v>
      </c>
      <c r="C1533" t="s">
        <v>1845</v>
      </c>
      <c r="D1533" t="s">
        <v>1862</v>
      </c>
      <c r="E1533" t="s">
        <v>1860</v>
      </c>
      <c r="F1533" t="s">
        <v>598</v>
      </c>
      <c r="G1533" t="s">
        <v>478</v>
      </c>
      <c r="H1533" t="s">
        <v>600</v>
      </c>
      <c r="I1533" t="s">
        <v>601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hidden="1">
      <c r="A1534" t="s">
        <v>18808</v>
      </c>
      <c r="B1534" t="s">
        <v>1863</v>
      </c>
      <c r="C1534" t="s">
        <v>1845</v>
      </c>
      <c r="D1534" t="s">
        <v>1864</v>
      </c>
      <c r="E1534" t="s">
        <v>1865</v>
      </c>
      <c r="F1534" t="s">
        <v>598</v>
      </c>
      <c r="G1534" t="s">
        <v>478</v>
      </c>
      <c r="H1534" t="s">
        <v>600</v>
      </c>
      <c r="I1534" t="s">
        <v>601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</row>
    <row r="1535" spans="1:25" hidden="1">
      <c r="A1535" t="s">
        <v>18808</v>
      </c>
      <c r="B1535" t="s">
        <v>1917</v>
      </c>
      <c r="C1535" t="s">
        <v>1845</v>
      </c>
      <c r="D1535" t="s">
        <v>1918</v>
      </c>
      <c r="E1535" t="s">
        <v>1872</v>
      </c>
      <c r="F1535" t="s">
        <v>598</v>
      </c>
      <c r="G1535" t="s">
        <v>478</v>
      </c>
      <c r="H1535" t="s">
        <v>600</v>
      </c>
      <c r="I1535" t="s">
        <v>601</v>
      </c>
      <c r="J1535">
        <v>1E-3</v>
      </c>
      <c r="K1535">
        <v>1E-3</v>
      </c>
      <c r="L1535">
        <v>1E-3</v>
      </c>
      <c r="M1535">
        <v>1E-3</v>
      </c>
      <c r="N1535">
        <v>1E-3</v>
      </c>
      <c r="O1535">
        <v>1.1000000000000001E-3</v>
      </c>
      <c r="P1535">
        <v>1.1000000000000001E-3</v>
      </c>
      <c r="Q1535">
        <v>1.1000000000000001E-3</v>
      </c>
      <c r="R1535">
        <v>1.1000000000000001E-3</v>
      </c>
      <c r="S1535">
        <v>1.1000000000000001E-3</v>
      </c>
      <c r="T1535">
        <v>1.1000000000000001E-3</v>
      </c>
      <c r="U1535">
        <v>1.1999999999999999E-3</v>
      </c>
      <c r="V1535">
        <v>1.1999999999999999E-3</v>
      </c>
      <c r="W1535">
        <v>1.1999999999999999E-3</v>
      </c>
      <c r="X1535">
        <v>1.1999999999999999E-3</v>
      </c>
      <c r="Y1535">
        <v>1.1999999999999999E-3</v>
      </c>
    </row>
    <row r="1536" spans="1:25" hidden="1">
      <c r="A1536" t="s">
        <v>18808</v>
      </c>
      <c r="B1536" t="s">
        <v>1919</v>
      </c>
      <c r="C1536" t="s">
        <v>1845</v>
      </c>
      <c r="D1536" t="s">
        <v>1918</v>
      </c>
      <c r="E1536" t="s">
        <v>1920</v>
      </c>
      <c r="F1536" t="s">
        <v>598</v>
      </c>
      <c r="G1536" t="s">
        <v>478</v>
      </c>
      <c r="H1536" t="s">
        <v>600</v>
      </c>
      <c r="I1536" t="s">
        <v>601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</row>
    <row r="1537" spans="1:25" hidden="1">
      <c r="A1537" t="s">
        <v>18808</v>
      </c>
      <c r="B1537" t="s">
        <v>1931</v>
      </c>
      <c r="C1537" t="s">
        <v>1845</v>
      </c>
      <c r="D1537" t="s">
        <v>1918</v>
      </c>
      <c r="E1537" t="s">
        <v>1896</v>
      </c>
      <c r="F1537" t="s">
        <v>598</v>
      </c>
      <c r="G1537" t="s">
        <v>478</v>
      </c>
      <c r="H1537" t="s">
        <v>600</v>
      </c>
      <c r="I1537" t="s">
        <v>601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hidden="1">
      <c r="A1538" t="s">
        <v>18808</v>
      </c>
      <c r="B1538" t="s">
        <v>1940</v>
      </c>
      <c r="C1538" t="s">
        <v>1845</v>
      </c>
      <c r="D1538" t="s">
        <v>1918</v>
      </c>
      <c r="E1538" t="s">
        <v>1910</v>
      </c>
      <c r="F1538" t="s">
        <v>598</v>
      </c>
      <c r="G1538" t="s">
        <v>478</v>
      </c>
      <c r="H1538" t="s">
        <v>600</v>
      </c>
      <c r="I1538" t="s">
        <v>601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</row>
    <row r="1539" spans="1:25" hidden="1">
      <c r="A1539" t="s">
        <v>18808</v>
      </c>
      <c r="B1539" t="s">
        <v>1950</v>
      </c>
      <c r="C1539" t="s">
        <v>1845</v>
      </c>
      <c r="D1539" t="s">
        <v>648</v>
      </c>
      <c r="E1539" t="s">
        <v>1951</v>
      </c>
      <c r="F1539" t="s">
        <v>598</v>
      </c>
      <c r="G1539" t="s">
        <v>478</v>
      </c>
      <c r="H1539" t="s">
        <v>600</v>
      </c>
      <c r="I1539" t="s">
        <v>601</v>
      </c>
      <c r="J1539">
        <v>1.72E-2</v>
      </c>
      <c r="K1539">
        <v>1.7500000000000002E-2</v>
      </c>
      <c r="L1539">
        <v>1.7899999999999999E-2</v>
      </c>
      <c r="M1539">
        <v>1.8200000000000001E-2</v>
      </c>
      <c r="N1539">
        <v>1.8499999999999999E-2</v>
      </c>
      <c r="O1539">
        <v>1.8800000000000001E-2</v>
      </c>
      <c r="P1539">
        <v>1.9099999999999999E-2</v>
      </c>
      <c r="Q1539">
        <v>1.9300000000000001E-2</v>
      </c>
      <c r="R1539">
        <v>1.9599999999999999E-2</v>
      </c>
      <c r="S1539">
        <v>1.9900000000000001E-2</v>
      </c>
      <c r="T1539">
        <v>2.0199999999999999E-2</v>
      </c>
      <c r="U1539">
        <v>2.0500000000000001E-2</v>
      </c>
      <c r="V1539">
        <v>2.0799999999999999E-2</v>
      </c>
      <c r="W1539">
        <v>2.1000000000000001E-2</v>
      </c>
      <c r="X1539">
        <v>2.1299999999999999E-2</v>
      </c>
      <c r="Y1539">
        <v>2.1499999999999998E-2</v>
      </c>
    </row>
    <row r="1540" spans="1:25" hidden="1">
      <c r="A1540" t="s">
        <v>18808</v>
      </c>
      <c r="B1540" t="s">
        <v>1964</v>
      </c>
      <c r="C1540" t="s">
        <v>1959</v>
      </c>
      <c r="D1540" t="s">
        <v>1965</v>
      </c>
      <c r="E1540" t="s">
        <v>1966</v>
      </c>
      <c r="F1540" t="s">
        <v>598</v>
      </c>
      <c r="G1540" t="s">
        <v>478</v>
      </c>
      <c r="H1540" t="s">
        <v>600</v>
      </c>
      <c r="I1540" t="s">
        <v>601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</row>
    <row r="1541" spans="1:25" hidden="1">
      <c r="A1541" t="s">
        <v>18808</v>
      </c>
      <c r="B1541" t="s">
        <v>1967</v>
      </c>
      <c r="C1541" t="s">
        <v>1959</v>
      </c>
      <c r="D1541" t="s">
        <v>1968</v>
      </c>
      <c r="E1541" t="s">
        <v>1962</v>
      </c>
      <c r="F1541" t="s">
        <v>598</v>
      </c>
      <c r="G1541" t="s">
        <v>478</v>
      </c>
      <c r="H1541" t="s">
        <v>600</v>
      </c>
      <c r="I1541" t="s">
        <v>601</v>
      </c>
      <c r="J1541">
        <v>4.7000000000000002E-3</v>
      </c>
      <c r="K1541">
        <v>5.0000000000000001E-3</v>
      </c>
      <c r="L1541">
        <v>5.3E-3</v>
      </c>
      <c r="M1541">
        <v>5.4999999999999997E-3</v>
      </c>
      <c r="N1541">
        <v>5.7000000000000002E-3</v>
      </c>
      <c r="O1541">
        <v>5.7999999999999996E-3</v>
      </c>
      <c r="P1541">
        <v>6.0000000000000001E-3</v>
      </c>
      <c r="Q1541">
        <v>6.1999999999999998E-3</v>
      </c>
      <c r="R1541">
        <v>6.1999999999999998E-3</v>
      </c>
      <c r="S1541">
        <v>6.1999999999999998E-3</v>
      </c>
      <c r="T1541">
        <v>6.4000000000000003E-3</v>
      </c>
      <c r="U1541">
        <v>6.6E-3</v>
      </c>
      <c r="V1541">
        <v>6.6E-3</v>
      </c>
      <c r="W1541">
        <v>6.7999999999999996E-3</v>
      </c>
      <c r="X1541">
        <v>6.8999999999999999E-3</v>
      </c>
      <c r="Y1541">
        <v>7.0000000000000001E-3</v>
      </c>
    </row>
    <row r="1542" spans="1:25" hidden="1">
      <c r="A1542" t="s">
        <v>18808</v>
      </c>
      <c r="B1542" t="s">
        <v>1975</v>
      </c>
      <c r="C1542" t="s">
        <v>1959</v>
      </c>
      <c r="D1542" t="s">
        <v>1972</v>
      </c>
      <c r="E1542" t="s">
        <v>1976</v>
      </c>
      <c r="F1542" t="s">
        <v>598</v>
      </c>
      <c r="G1542" t="s">
        <v>478</v>
      </c>
      <c r="H1542" t="s">
        <v>600</v>
      </c>
      <c r="I1542" t="s">
        <v>601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</row>
    <row r="1543" spans="1:25" hidden="1">
      <c r="A1543" t="s">
        <v>18808</v>
      </c>
      <c r="B1543" t="s">
        <v>1977</v>
      </c>
      <c r="C1543" t="s">
        <v>1959</v>
      </c>
      <c r="D1543" t="s">
        <v>1972</v>
      </c>
      <c r="E1543" t="s">
        <v>1966</v>
      </c>
      <c r="F1543" t="s">
        <v>598</v>
      </c>
      <c r="G1543" t="s">
        <v>478</v>
      </c>
      <c r="H1543" t="s">
        <v>600</v>
      </c>
      <c r="I1543" t="s">
        <v>601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 hidden="1">
      <c r="A1544" t="s">
        <v>18808</v>
      </c>
      <c r="B1544" t="s">
        <v>1985</v>
      </c>
      <c r="C1544" t="s">
        <v>1959</v>
      </c>
      <c r="D1544" t="s">
        <v>1983</v>
      </c>
      <c r="E1544" t="s">
        <v>1378</v>
      </c>
      <c r="F1544" t="s">
        <v>598</v>
      </c>
      <c r="G1544" t="s">
        <v>478</v>
      </c>
      <c r="H1544" t="s">
        <v>600</v>
      </c>
      <c r="I1544" t="s">
        <v>601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 hidden="1">
      <c r="A1545" t="s">
        <v>18808</v>
      </c>
      <c r="B1545" t="s">
        <v>2004</v>
      </c>
      <c r="C1545" t="s">
        <v>1959</v>
      </c>
      <c r="D1545" t="s">
        <v>2001</v>
      </c>
      <c r="E1545" t="s">
        <v>1380</v>
      </c>
      <c r="F1545" t="s">
        <v>598</v>
      </c>
      <c r="G1545" t="s">
        <v>478</v>
      </c>
      <c r="H1545" t="s">
        <v>600</v>
      </c>
      <c r="I1545" t="s">
        <v>601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 hidden="1">
      <c r="A1546" t="s">
        <v>18808</v>
      </c>
      <c r="B1546" t="s">
        <v>2005</v>
      </c>
      <c r="C1546" t="s">
        <v>1959</v>
      </c>
      <c r="D1546" t="s">
        <v>2001</v>
      </c>
      <c r="E1546" t="s">
        <v>1976</v>
      </c>
      <c r="F1546" t="s">
        <v>598</v>
      </c>
      <c r="G1546" t="s">
        <v>478</v>
      </c>
      <c r="H1546" t="s">
        <v>600</v>
      </c>
      <c r="I1546" t="s">
        <v>601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</row>
    <row r="1547" spans="1:25" hidden="1">
      <c r="A1547" t="s">
        <v>18808</v>
      </c>
      <c r="B1547" t="s">
        <v>2008</v>
      </c>
      <c r="C1547" t="s">
        <v>1959</v>
      </c>
      <c r="D1547" t="s">
        <v>2009</v>
      </c>
      <c r="E1547" t="s">
        <v>2010</v>
      </c>
      <c r="F1547" t="s">
        <v>598</v>
      </c>
      <c r="G1547" t="s">
        <v>478</v>
      </c>
      <c r="H1547" t="s">
        <v>600</v>
      </c>
      <c r="I1547" t="s">
        <v>601</v>
      </c>
      <c r="J1547">
        <v>2.9600000000000001E-2</v>
      </c>
      <c r="K1547">
        <v>3.1199999999999999E-2</v>
      </c>
      <c r="L1547">
        <v>3.2500000000000001E-2</v>
      </c>
      <c r="M1547">
        <v>3.3700000000000001E-2</v>
      </c>
      <c r="N1547">
        <v>3.49E-2</v>
      </c>
      <c r="O1547">
        <v>3.6200000000000003E-2</v>
      </c>
      <c r="P1547">
        <v>3.7499999999999999E-2</v>
      </c>
      <c r="Q1547">
        <v>3.8600000000000002E-2</v>
      </c>
      <c r="R1547">
        <v>3.9800000000000002E-2</v>
      </c>
      <c r="S1547">
        <v>4.1099999999999998E-2</v>
      </c>
      <c r="T1547">
        <v>4.2299999999999997E-2</v>
      </c>
      <c r="U1547">
        <v>4.3499999999999997E-2</v>
      </c>
      <c r="V1547">
        <v>4.48E-2</v>
      </c>
      <c r="W1547">
        <v>4.6100000000000002E-2</v>
      </c>
      <c r="X1547">
        <v>4.7500000000000001E-2</v>
      </c>
      <c r="Y1547">
        <v>4.8899999999999999E-2</v>
      </c>
    </row>
    <row r="1548" spans="1:25" hidden="1">
      <c r="A1548" t="s">
        <v>18808</v>
      </c>
      <c r="B1548" t="s">
        <v>2017</v>
      </c>
      <c r="C1548" t="s">
        <v>1959</v>
      </c>
      <c r="D1548" t="s">
        <v>1817</v>
      </c>
      <c r="E1548" t="s">
        <v>1962</v>
      </c>
      <c r="F1548" t="s">
        <v>598</v>
      </c>
      <c r="G1548" t="s">
        <v>478</v>
      </c>
      <c r="H1548" t="s">
        <v>600</v>
      </c>
      <c r="I1548" t="s">
        <v>601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hidden="1">
      <c r="A1549" t="s">
        <v>18808</v>
      </c>
      <c r="B1549" t="s">
        <v>2019</v>
      </c>
      <c r="C1549" t="s">
        <v>1959</v>
      </c>
      <c r="D1549" t="s">
        <v>1817</v>
      </c>
      <c r="E1549" t="s">
        <v>1976</v>
      </c>
      <c r="F1549" t="s">
        <v>598</v>
      </c>
      <c r="G1549" t="s">
        <v>478</v>
      </c>
      <c r="H1549" t="s">
        <v>600</v>
      </c>
      <c r="I1549" t="s">
        <v>601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hidden="1">
      <c r="A1550" t="s">
        <v>18808</v>
      </c>
      <c r="B1550" t="s">
        <v>2028</v>
      </c>
      <c r="C1550" t="s">
        <v>1959</v>
      </c>
      <c r="D1550" t="s">
        <v>1817</v>
      </c>
      <c r="E1550" t="s">
        <v>1966</v>
      </c>
      <c r="F1550" t="s">
        <v>598</v>
      </c>
      <c r="G1550" t="s">
        <v>478</v>
      </c>
      <c r="H1550" t="s">
        <v>600</v>
      </c>
      <c r="I1550" t="s">
        <v>601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hidden="1">
      <c r="A1551" t="s">
        <v>18808</v>
      </c>
      <c r="B1551" t="s">
        <v>2039</v>
      </c>
      <c r="C1551" t="s">
        <v>1959</v>
      </c>
      <c r="D1551" t="s">
        <v>648</v>
      </c>
      <c r="E1551" t="s">
        <v>1378</v>
      </c>
      <c r="F1551" t="s">
        <v>598</v>
      </c>
      <c r="G1551" t="s">
        <v>478</v>
      </c>
      <c r="H1551" t="s">
        <v>600</v>
      </c>
      <c r="I1551" t="s">
        <v>601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 hidden="1">
      <c r="A1552" t="s">
        <v>18808</v>
      </c>
      <c r="B1552" t="s">
        <v>2050</v>
      </c>
      <c r="C1552" t="s">
        <v>1959</v>
      </c>
      <c r="D1552" t="s">
        <v>648</v>
      </c>
      <c r="E1552" t="s">
        <v>2051</v>
      </c>
      <c r="F1552" t="s">
        <v>598</v>
      </c>
      <c r="G1552" t="s">
        <v>478</v>
      </c>
      <c r="H1552" t="s">
        <v>600</v>
      </c>
      <c r="I1552" t="s">
        <v>601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 hidden="1">
      <c r="A1553" t="s">
        <v>18808</v>
      </c>
      <c r="B1553" t="s">
        <v>2054</v>
      </c>
      <c r="C1553" t="s">
        <v>1959</v>
      </c>
      <c r="D1553" t="s">
        <v>648</v>
      </c>
      <c r="E1553" t="s">
        <v>2013</v>
      </c>
      <c r="F1553" t="s">
        <v>598</v>
      </c>
      <c r="G1553" t="s">
        <v>478</v>
      </c>
      <c r="H1553" t="s">
        <v>600</v>
      </c>
      <c r="I1553" t="s">
        <v>601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</row>
    <row r="1554" spans="1:25" hidden="1">
      <c r="A1554" t="s">
        <v>18808</v>
      </c>
      <c r="B1554" t="s">
        <v>2058</v>
      </c>
      <c r="C1554" t="s">
        <v>1959</v>
      </c>
      <c r="D1554" t="s">
        <v>648</v>
      </c>
      <c r="E1554" t="s">
        <v>2025</v>
      </c>
      <c r="F1554" t="s">
        <v>598</v>
      </c>
      <c r="G1554" t="s">
        <v>478</v>
      </c>
      <c r="H1554" t="s">
        <v>600</v>
      </c>
      <c r="I1554" t="s">
        <v>601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25" hidden="1">
      <c r="A1555" t="s">
        <v>18808</v>
      </c>
      <c r="B1555" t="s">
        <v>2072</v>
      </c>
      <c r="C1555" t="s">
        <v>1959</v>
      </c>
      <c r="D1555" t="s">
        <v>648</v>
      </c>
      <c r="E1555" t="s">
        <v>1966</v>
      </c>
      <c r="F1555" t="s">
        <v>598</v>
      </c>
      <c r="G1555" t="s">
        <v>478</v>
      </c>
      <c r="H1555" t="s">
        <v>600</v>
      </c>
      <c r="I1555" t="s">
        <v>601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hidden="1">
      <c r="A1556" t="s">
        <v>18808</v>
      </c>
      <c r="B1556" t="s">
        <v>2106</v>
      </c>
      <c r="C1556" t="s">
        <v>2075</v>
      </c>
      <c r="D1556" t="s">
        <v>648</v>
      </c>
      <c r="E1556" t="s">
        <v>1378</v>
      </c>
      <c r="F1556" t="s">
        <v>598</v>
      </c>
      <c r="G1556" t="s">
        <v>478</v>
      </c>
      <c r="H1556" t="s">
        <v>600</v>
      </c>
      <c r="I1556" t="s">
        <v>601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</row>
    <row r="1557" spans="1:25" hidden="1">
      <c r="A1557" t="s">
        <v>18808</v>
      </c>
      <c r="B1557" t="s">
        <v>2128</v>
      </c>
      <c r="C1557" t="s">
        <v>2116</v>
      </c>
      <c r="D1557" t="s">
        <v>648</v>
      </c>
      <c r="E1557" t="s">
        <v>656</v>
      </c>
      <c r="F1557" t="s">
        <v>598</v>
      </c>
      <c r="G1557" t="s">
        <v>478</v>
      </c>
      <c r="H1557" t="s">
        <v>600</v>
      </c>
      <c r="I1557" t="s">
        <v>601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hidden="1">
      <c r="A1558" t="s">
        <v>18808</v>
      </c>
      <c r="B1558" t="s">
        <v>2165</v>
      </c>
      <c r="C1558" t="s">
        <v>2154</v>
      </c>
      <c r="D1558" t="s">
        <v>1324</v>
      </c>
      <c r="E1558" t="s">
        <v>630</v>
      </c>
      <c r="F1558" t="s">
        <v>598</v>
      </c>
      <c r="G1558" t="s">
        <v>478</v>
      </c>
      <c r="H1558" t="s">
        <v>600</v>
      </c>
      <c r="I1558" t="s">
        <v>601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hidden="1">
      <c r="A1559" t="s">
        <v>18808</v>
      </c>
      <c r="B1559" t="s">
        <v>2169</v>
      </c>
      <c r="C1559" t="s">
        <v>2154</v>
      </c>
      <c r="D1559" t="s">
        <v>1332</v>
      </c>
      <c r="E1559" t="s">
        <v>630</v>
      </c>
      <c r="F1559" t="s">
        <v>598</v>
      </c>
      <c r="G1559" t="s">
        <v>478</v>
      </c>
      <c r="H1559" t="s">
        <v>600</v>
      </c>
      <c r="I1559" t="s">
        <v>601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</row>
    <row r="1560" spans="1:25" hidden="1">
      <c r="A1560" t="s">
        <v>18808</v>
      </c>
      <c r="B1560" t="s">
        <v>2172</v>
      </c>
      <c r="C1560" t="s">
        <v>2154</v>
      </c>
      <c r="D1560" t="s">
        <v>1435</v>
      </c>
      <c r="E1560" t="s">
        <v>973</v>
      </c>
      <c r="F1560" t="s">
        <v>598</v>
      </c>
      <c r="G1560" t="s">
        <v>478</v>
      </c>
      <c r="H1560" t="s">
        <v>600</v>
      </c>
      <c r="I1560" t="s">
        <v>601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hidden="1">
      <c r="A1561" t="s">
        <v>18808</v>
      </c>
      <c r="B1561" t="s">
        <v>2184</v>
      </c>
      <c r="C1561" t="s">
        <v>2154</v>
      </c>
      <c r="D1561" t="s">
        <v>2185</v>
      </c>
      <c r="E1561" t="s">
        <v>2186</v>
      </c>
      <c r="F1561" t="s">
        <v>598</v>
      </c>
      <c r="G1561" t="s">
        <v>478</v>
      </c>
      <c r="H1561" t="s">
        <v>600</v>
      </c>
      <c r="I1561" t="s">
        <v>601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</row>
    <row r="1562" spans="1:25" hidden="1">
      <c r="A1562" t="s">
        <v>18808</v>
      </c>
      <c r="B1562" t="s">
        <v>2187</v>
      </c>
      <c r="C1562" t="s">
        <v>2154</v>
      </c>
      <c r="D1562" t="s">
        <v>648</v>
      </c>
      <c r="E1562" t="s">
        <v>920</v>
      </c>
      <c r="F1562" t="s">
        <v>598</v>
      </c>
      <c r="G1562" t="s">
        <v>478</v>
      </c>
      <c r="H1562" t="s">
        <v>600</v>
      </c>
      <c r="I1562" t="s">
        <v>601</v>
      </c>
      <c r="J1562">
        <v>1.84E-2</v>
      </c>
      <c r="K1562">
        <v>1.9400000000000001E-2</v>
      </c>
      <c r="L1562">
        <v>2.0199999999999999E-2</v>
      </c>
      <c r="M1562">
        <v>2.1000000000000001E-2</v>
      </c>
      <c r="N1562">
        <v>2.18E-2</v>
      </c>
      <c r="O1562">
        <v>2.2599999999999999E-2</v>
      </c>
      <c r="P1562">
        <v>2.3300000000000001E-2</v>
      </c>
      <c r="Q1562">
        <v>2.41E-2</v>
      </c>
      <c r="R1562">
        <v>2.4799999999999999E-2</v>
      </c>
      <c r="S1562">
        <v>2.5499999999999998E-2</v>
      </c>
      <c r="T1562">
        <v>2.63E-2</v>
      </c>
      <c r="U1562">
        <v>2.7099999999999999E-2</v>
      </c>
      <c r="V1562">
        <v>2.7900000000000001E-2</v>
      </c>
      <c r="W1562">
        <v>2.87E-2</v>
      </c>
      <c r="X1562">
        <v>2.9600000000000001E-2</v>
      </c>
      <c r="Y1562">
        <v>3.0499999999999999E-2</v>
      </c>
    </row>
    <row r="1563" spans="1:25" hidden="1">
      <c r="A1563" t="s">
        <v>18808</v>
      </c>
      <c r="B1563" t="s">
        <v>2188</v>
      </c>
      <c r="C1563" t="s">
        <v>2154</v>
      </c>
      <c r="D1563" t="s">
        <v>648</v>
      </c>
      <c r="E1563" t="s">
        <v>973</v>
      </c>
      <c r="F1563" t="s">
        <v>598</v>
      </c>
      <c r="G1563" t="s">
        <v>478</v>
      </c>
      <c r="H1563" t="s">
        <v>600</v>
      </c>
      <c r="I1563" t="s">
        <v>601</v>
      </c>
      <c r="J1563">
        <v>5.8999999999999999E-3</v>
      </c>
      <c r="K1563">
        <v>6.1000000000000004E-3</v>
      </c>
      <c r="L1563">
        <v>6.3E-3</v>
      </c>
      <c r="M1563">
        <v>6.6E-3</v>
      </c>
      <c r="N1563">
        <v>6.7999999999999996E-3</v>
      </c>
      <c r="O1563">
        <v>7.0000000000000001E-3</v>
      </c>
      <c r="P1563">
        <v>7.1000000000000004E-3</v>
      </c>
      <c r="Q1563">
        <v>7.3000000000000001E-3</v>
      </c>
      <c r="R1563">
        <v>7.4000000000000003E-3</v>
      </c>
      <c r="S1563">
        <v>7.4999999999999997E-3</v>
      </c>
      <c r="T1563">
        <v>7.6E-3</v>
      </c>
      <c r="U1563">
        <v>7.7999999999999996E-3</v>
      </c>
      <c r="V1563">
        <v>7.9000000000000008E-3</v>
      </c>
      <c r="W1563">
        <v>8.0000000000000002E-3</v>
      </c>
      <c r="X1563">
        <v>8.0999999999999996E-3</v>
      </c>
      <c r="Y1563">
        <v>8.3000000000000001E-3</v>
      </c>
    </row>
    <row r="1564" spans="1:25" hidden="1">
      <c r="A1564" t="s">
        <v>18808</v>
      </c>
      <c r="B1564" t="s">
        <v>2208</v>
      </c>
      <c r="C1564" t="s">
        <v>2154</v>
      </c>
      <c r="D1564" t="s">
        <v>648</v>
      </c>
      <c r="E1564" t="s">
        <v>2060</v>
      </c>
      <c r="F1564" t="s">
        <v>598</v>
      </c>
      <c r="G1564" t="s">
        <v>478</v>
      </c>
      <c r="H1564" t="s">
        <v>600</v>
      </c>
      <c r="I1564" t="s">
        <v>601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 hidden="1">
      <c r="A1565" t="s">
        <v>18808</v>
      </c>
      <c r="B1565" t="s">
        <v>2209</v>
      </c>
      <c r="C1565" t="s">
        <v>2154</v>
      </c>
      <c r="D1565" t="s">
        <v>648</v>
      </c>
      <c r="E1565" t="s">
        <v>1004</v>
      </c>
      <c r="F1565" t="s">
        <v>598</v>
      </c>
      <c r="G1565" t="s">
        <v>478</v>
      </c>
      <c r="H1565" t="s">
        <v>600</v>
      </c>
      <c r="I1565" t="s">
        <v>601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>
      <c r="J1566">
        <f t="shared" ref="J1566:Y1566" si="7">SUBTOTAL(109,J1409:J1565)</f>
        <v>0.77599999999999991</v>
      </c>
      <c r="K1566">
        <f t="shared" si="7"/>
        <v>0.74680000000000002</v>
      </c>
      <c r="L1566">
        <f t="shared" si="7"/>
        <v>0.73529999999999995</v>
      </c>
      <c r="M1566">
        <f t="shared" si="7"/>
        <v>0.72509999999999997</v>
      </c>
      <c r="N1566">
        <f t="shared" si="7"/>
        <v>0.7107</v>
      </c>
      <c r="O1566">
        <f t="shared" si="7"/>
        <v>0.68359999999999999</v>
      </c>
      <c r="P1566">
        <f t="shared" si="7"/>
        <v>0.67289999999999994</v>
      </c>
      <c r="Q1566">
        <f t="shared" si="7"/>
        <v>0.63049999999999995</v>
      </c>
      <c r="R1566">
        <f t="shared" si="7"/>
        <v>0.63819999999999999</v>
      </c>
      <c r="S1566">
        <f t="shared" si="7"/>
        <v>0.64339999999999997</v>
      </c>
      <c r="T1566">
        <f t="shared" si="7"/>
        <v>0.64699999999999991</v>
      </c>
      <c r="U1566">
        <f t="shared" si="7"/>
        <v>0.64699999999999991</v>
      </c>
      <c r="V1566">
        <f t="shared" si="7"/>
        <v>0.64699999999999991</v>
      </c>
      <c r="W1566">
        <f t="shared" si="7"/>
        <v>0.64699999999999991</v>
      </c>
      <c r="X1566">
        <f t="shared" si="7"/>
        <v>0.64699999999999991</v>
      </c>
      <c r="Y1566">
        <f t="shared" si="7"/>
        <v>0.64699999999999991</v>
      </c>
    </row>
    <row r="1568" spans="1:25">
      <c r="A1568" t="s">
        <v>569</v>
      </c>
      <c r="B1568" t="s">
        <v>570</v>
      </c>
      <c r="C1568" t="s">
        <v>571</v>
      </c>
      <c r="D1568" t="s">
        <v>572</v>
      </c>
      <c r="E1568" t="s">
        <v>573</v>
      </c>
      <c r="F1568" t="s">
        <v>574</v>
      </c>
      <c r="G1568" t="s">
        <v>575</v>
      </c>
      <c r="H1568" t="s">
        <v>576</v>
      </c>
      <c r="I1568" t="s">
        <v>577</v>
      </c>
      <c r="J1568" t="s">
        <v>578</v>
      </c>
      <c r="K1568" t="s">
        <v>579</v>
      </c>
      <c r="L1568" t="s">
        <v>580</v>
      </c>
      <c r="M1568" t="s">
        <v>581</v>
      </c>
      <c r="N1568" t="s">
        <v>582</v>
      </c>
      <c r="O1568" t="s">
        <v>583</v>
      </c>
      <c r="P1568" t="s">
        <v>584</v>
      </c>
      <c r="Q1568" t="s">
        <v>585</v>
      </c>
      <c r="R1568" t="s">
        <v>586</v>
      </c>
      <c r="S1568" t="s">
        <v>587</v>
      </c>
      <c r="T1568" t="s">
        <v>588</v>
      </c>
      <c r="U1568" t="s">
        <v>589</v>
      </c>
      <c r="V1568" t="s">
        <v>590</v>
      </c>
      <c r="W1568" t="s">
        <v>591</v>
      </c>
      <c r="X1568" t="s">
        <v>592</v>
      </c>
      <c r="Y1568" t="s">
        <v>593</v>
      </c>
    </row>
    <row r="1569" spans="1:25">
      <c r="A1569" t="s">
        <v>18809</v>
      </c>
      <c r="B1569" t="s">
        <v>594</v>
      </c>
      <c r="C1569" t="s">
        <v>595</v>
      </c>
      <c r="D1569" t="s">
        <v>596</v>
      </c>
      <c r="E1569" t="s">
        <v>597</v>
      </c>
      <c r="F1569" t="s">
        <v>598</v>
      </c>
      <c r="G1569" t="s">
        <v>478</v>
      </c>
      <c r="H1569" t="s">
        <v>600</v>
      </c>
      <c r="I1569" t="s">
        <v>601</v>
      </c>
      <c r="J1569">
        <v>3.0200000000000001E-2</v>
      </c>
      <c r="K1569">
        <v>3.1399999999999997E-2</v>
      </c>
      <c r="L1569">
        <v>3.2099999999999997E-2</v>
      </c>
      <c r="M1569">
        <v>3.1600000000000003E-2</v>
      </c>
      <c r="N1569">
        <v>3.2199999999999999E-2</v>
      </c>
      <c r="O1569">
        <v>3.0800000000000001E-2</v>
      </c>
      <c r="P1569">
        <v>3.09E-2</v>
      </c>
      <c r="Q1569">
        <v>3.09E-2</v>
      </c>
      <c r="R1569">
        <v>3.1E-2</v>
      </c>
      <c r="S1569">
        <v>3.1E-2</v>
      </c>
      <c r="T1569">
        <v>3.1099999999999999E-2</v>
      </c>
      <c r="U1569">
        <v>3.1199999999999999E-2</v>
      </c>
      <c r="V1569">
        <v>3.1199999999999999E-2</v>
      </c>
      <c r="W1569">
        <v>3.1300000000000001E-2</v>
      </c>
      <c r="X1569">
        <v>3.1300000000000001E-2</v>
      </c>
      <c r="Y1569">
        <v>3.1399999999999997E-2</v>
      </c>
    </row>
    <row r="1570" spans="1:25">
      <c r="A1570" t="s">
        <v>18809</v>
      </c>
      <c r="B1570" t="s">
        <v>625</v>
      </c>
      <c r="C1570" t="s">
        <v>595</v>
      </c>
      <c r="D1570" t="s">
        <v>621</v>
      </c>
      <c r="E1570" t="s">
        <v>626</v>
      </c>
      <c r="F1570" t="s">
        <v>598</v>
      </c>
      <c r="G1570" t="s">
        <v>478</v>
      </c>
      <c r="H1570" t="s">
        <v>600</v>
      </c>
      <c r="I1570" t="s">
        <v>601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</row>
    <row r="1571" spans="1:25">
      <c r="A1571" t="s">
        <v>18809</v>
      </c>
      <c r="B1571" t="s">
        <v>631</v>
      </c>
      <c r="C1571" t="s">
        <v>595</v>
      </c>
      <c r="D1571" t="s">
        <v>632</v>
      </c>
      <c r="E1571" t="s">
        <v>597</v>
      </c>
      <c r="F1571" t="s">
        <v>598</v>
      </c>
      <c r="G1571" t="s">
        <v>478</v>
      </c>
      <c r="H1571" t="s">
        <v>600</v>
      </c>
      <c r="I1571" t="s">
        <v>601</v>
      </c>
      <c r="J1571">
        <v>0.34799999999999998</v>
      </c>
      <c r="K1571">
        <v>0.3619</v>
      </c>
      <c r="L1571">
        <v>0.36909999999999998</v>
      </c>
      <c r="M1571">
        <v>0.36399999999999999</v>
      </c>
      <c r="N1571">
        <v>0.37090000000000001</v>
      </c>
      <c r="O1571">
        <v>0.35499999999999998</v>
      </c>
      <c r="P1571">
        <v>0.35570000000000002</v>
      </c>
      <c r="Q1571">
        <v>0.35639999999999999</v>
      </c>
      <c r="R1571">
        <v>0.35670000000000002</v>
      </c>
      <c r="S1571">
        <v>0.35749999999999998</v>
      </c>
      <c r="T1571">
        <v>0.35820000000000002</v>
      </c>
      <c r="U1571">
        <v>0.3589</v>
      </c>
      <c r="V1571">
        <v>0.35959999999999998</v>
      </c>
      <c r="W1571">
        <v>0.3599</v>
      </c>
      <c r="X1571">
        <v>0.36070000000000002</v>
      </c>
      <c r="Y1571">
        <v>0.3614</v>
      </c>
    </row>
    <row r="1572" spans="1:25">
      <c r="A1572" t="s">
        <v>18809</v>
      </c>
      <c r="B1572" t="s">
        <v>635</v>
      </c>
      <c r="C1572" t="s">
        <v>595</v>
      </c>
      <c r="D1572" t="s">
        <v>632</v>
      </c>
      <c r="E1572" t="s">
        <v>624</v>
      </c>
      <c r="F1572" t="s">
        <v>598</v>
      </c>
      <c r="G1572" t="s">
        <v>478</v>
      </c>
      <c r="H1572" t="s">
        <v>600</v>
      </c>
      <c r="I1572" t="s">
        <v>601</v>
      </c>
      <c r="J1572">
        <v>1.2800000000000001E-2</v>
      </c>
      <c r="K1572">
        <v>1.2800000000000001E-2</v>
      </c>
      <c r="L1572">
        <v>1.2800000000000001E-2</v>
      </c>
      <c r="M1572">
        <v>1.2800000000000001E-2</v>
      </c>
      <c r="N1572">
        <v>1.2800000000000001E-2</v>
      </c>
      <c r="O1572">
        <v>1.2800000000000001E-2</v>
      </c>
      <c r="P1572">
        <v>1.2800000000000001E-2</v>
      </c>
      <c r="Q1572">
        <v>1.2800000000000001E-2</v>
      </c>
      <c r="R1572">
        <v>1.2800000000000001E-2</v>
      </c>
      <c r="S1572">
        <v>1.2800000000000001E-2</v>
      </c>
      <c r="T1572">
        <v>1.2800000000000001E-2</v>
      </c>
      <c r="U1572">
        <v>1.2800000000000001E-2</v>
      </c>
      <c r="V1572">
        <v>1.2800000000000001E-2</v>
      </c>
      <c r="W1572">
        <v>1.2800000000000001E-2</v>
      </c>
      <c r="X1572">
        <v>1.2800000000000001E-2</v>
      </c>
      <c r="Y1572">
        <v>1.2800000000000001E-2</v>
      </c>
    </row>
    <row r="1573" spans="1:25" hidden="1">
      <c r="A1573" t="s">
        <v>18809</v>
      </c>
      <c r="B1573" t="s">
        <v>658</v>
      </c>
      <c r="C1573" t="s">
        <v>651</v>
      </c>
      <c r="D1573" t="s">
        <v>621</v>
      </c>
      <c r="E1573" t="s">
        <v>624</v>
      </c>
      <c r="F1573" t="s">
        <v>598</v>
      </c>
      <c r="G1573" t="s">
        <v>478</v>
      </c>
      <c r="H1573" t="s">
        <v>600</v>
      </c>
      <c r="I1573" t="s">
        <v>601</v>
      </c>
      <c r="J1573">
        <v>0.21870000000000001</v>
      </c>
      <c r="K1573">
        <v>0.21870000000000001</v>
      </c>
      <c r="L1573">
        <v>0.21870000000000001</v>
      </c>
      <c r="M1573">
        <v>0.21870000000000001</v>
      </c>
      <c r="N1573">
        <v>0.21870000000000001</v>
      </c>
      <c r="O1573">
        <v>0.21870000000000001</v>
      </c>
      <c r="P1573">
        <v>0.21870000000000001</v>
      </c>
      <c r="Q1573">
        <v>0.21870000000000001</v>
      </c>
      <c r="R1573">
        <v>0.21870000000000001</v>
      </c>
      <c r="S1573">
        <v>0.21870000000000001</v>
      </c>
      <c r="T1573">
        <v>0.21870000000000001</v>
      </c>
      <c r="U1573">
        <v>0.21870000000000001</v>
      </c>
      <c r="V1573">
        <v>0.21870000000000001</v>
      </c>
      <c r="W1573">
        <v>0.21870000000000001</v>
      </c>
      <c r="X1573">
        <v>0.21870000000000001</v>
      </c>
      <c r="Y1573">
        <v>0.21870000000000001</v>
      </c>
    </row>
    <row r="1574" spans="1:25" hidden="1">
      <c r="A1574" t="s">
        <v>18809</v>
      </c>
      <c r="B1574" t="s">
        <v>728</v>
      </c>
      <c r="C1574" t="s">
        <v>729</v>
      </c>
      <c r="D1574" t="s">
        <v>596</v>
      </c>
      <c r="E1574" t="s">
        <v>597</v>
      </c>
      <c r="F1574" t="s">
        <v>598</v>
      </c>
      <c r="G1574" t="s">
        <v>478</v>
      </c>
      <c r="H1574" t="s">
        <v>600</v>
      </c>
      <c r="I1574" t="s">
        <v>601</v>
      </c>
      <c r="J1574">
        <v>2.52E-2</v>
      </c>
      <c r="K1574">
        <v>2.5100000000000001E-2</v>
      </c>
      <c r="L1574">
        <v>2.4799999999999999E-2</v>
      </c>
      <c r="M1574">
        <v>2.4799999999999999E-2</v>
      </c>
      <c r="N1574">
        <v>2.46E-2</v>
      </c>
      <c r="O1574">
        <v>2.46E-2</v>
      </c>
      <c r="P1574">
        <v>2.46E-2</v>
      </c>
      <c r="Q1574">
        <v>2.4799999999999999E-2</v>
      </c>
      <c r="R1574">
        <v>2.4799999999999999E-2</v>
      </c>
      <c r="S1574">
        <v>2.4799999999999999E-2</v>
      </c>
      <c r="T1574">
        <v>2.4899999999999999E-2</v>
      </c>
      <c r="U1574">
        <v>2.5100000000000001E-2</v>
      </c>
      <c r="V1574">
        <v>2.53E-2</v>
      </c>
      <c r="W1574">
        <v>2.5399999999999999E-2</v>
      </c>
      <c r="X1574">
        <v>2.5399999999999999E-2</v>
      </c>
      <c r="Y1574">
        <v>2.5700000000000001E-2</v>
      </c>
    </row>
    <row r="1575" spans="1:25" hidden="1">
      <c r="A1575" t="s">
        <v>18809</v>
      </c>
      <c r="B1575" t="s">
        <v>760</v>
      </c>
      <c r="C1575" t="s">
        <v>729</v>
      </c>
      <c r="D1575" t="s">
        <v>621</v>
      </c>
      <c r="E1575" t="s">
        <v>649</v>
      </c>
      <c r="F1575" t="s">
        <v>598</v>
      </c>
      <c r="G1575" t="s">
        <v>478</v>
      </c>
      <c r="H1575" t="s">
        <v>600</v>
      </c>
      <c r="I1575" t="s">
        <v>601</v>
      </c>
      <c r="J1575">
        <v>9.0300000000000005E-2</v>
      </c>
      <c r="K1575">
        <v>9.0300000000000005E-2</v>
      </c>
      <c r="L1575">
        <v>9.0300000000000005E-2</v>
      </c>
      <c r="M1575">
        <v>9.0300000000000005E-2</v>
      </c>
      <c r="N1575">
        <v>9.0300000000000005E-2</v>
      </c>
      <c r="O1575">
        <v>9.0300000000000005E-2</v>
      </c>
      <c r="P1575">
        <v>9.0300000000000005E-2</v>
      </c>
      <c r="Q1575">
        <v>9.0300000000000005E-2</v>
      </c>
      <c r="R1575">
        <v>9.0300000000000005E-2</v>
      </c>
      <c r="S1575">
        <v>9.0300000000000005E-2</v>
      </c>
      <c r="T1575">
        <v>9.0300000000000005E-2</v>
      </c>
      <c r="U1575">
        <v>9.0300000000000005E-2</v>
      </c>
      <c r="V1575">
        <v>9.0300000000000005E-2</v>
      </c>
      <c r="W1575">
        <v>9.0300000000000005E-2</v>
      </c>
      <c r="X1575">
        <v>9.0300000000000005E-2</v>
      </c>
      <c r="Y1575">
        <v>9.0300000000000005E-2</v>
      </c>
    </row>
    <row r="1576" spans="1:25" hidden="1">
      <c r="A1576" t="s">
        <v>18809</v>
      </c>
      <c r="B1576" t="s">
        <v>761</v>
      </c>
      <c r="C1576" t="s">
        <v>729</v>
      </c>
      <c r="D1576" t="s">
        <v>621</v>
      </c>
      <c r="E1576" t="s">
        <v>597</v>
      </c>
      <c r="F1576" t="s">
        <v>598</v>
      </c>
      <c r="G1576" t="s">
        <v>478</v>
      </c>
      <c r="H1576" t="s">
        <v>600</v>
      </c>
      <c r="I1576" t="s">
        <v>601</v>
      </c>
      <c r="J1576">
        <v>5.4199999999999998E-2</v>
      </c>
      <c r="K1576">
        <v>5.4100000000000002E-2</v>
      </c>
      <c r="L1576">
        <v>5.3800000000000001E-2</v>
      </c>
      <c r="M1576">
        <v>5.3600000000000002E-2</v>
      </c>
      <c r="N1576">
        <v>5.3499999999999999E-2</v>
      </c>
      <c r="O1576">
        <v>5.3499999999999999E-2</v>
      </c>
      <c r="P1576">
        <v>5.3600000000000002E-2</v>
      </c>
      <c r="Q1576">
        <v>5.3699999999999998E-2</v>
      </c>
      <c r="R1576">
        <v>5.3999999999999999E-2</v>
      </c>
      <c r="S1576">
        <v>5.4199999999999998E-2</v>
      </c>
      <c r="T1576">
        <v>5.4199999999999998E-2</v>
      </c>
      <c r="U1576">
        <v>5.4399999999999997E-2</v>
      </c>
      <c r="V1576">
        <v>5.4899999999999997E-2</v>
      </c>
      <c r="W1576">
        <v>5.5300000000000002E-2</v>
      </c>
      <c r="X1576">
        <v>5.5500000000000001E-2</v>
      </c>
      <c r="Y1576">
        <v>5.5800000000000002E-2</v>
      </c>
    </row>
    <row r="1577" spans="1:25" hidden="1">
      <c r="A1577" t="s">
        <v>18809</v>
      </c>
      <c r="B1577" t="s">
        <v>770</v>
      </c>
      <c r="C1577" t="s">
        <v>729</v>
      </c>
      <c r="D1577" t="s">
        <v>621</v>
      </c>
      <c r="E1577" t="s">
        <v>628</v>
      </c>
      <c r="F1577" t="s">
        <v>598</v>
      </c>
      <c r="G1577" t="s">
        <v>478</v>
      </c>
      <c r="H1577" t="s">
        <v>600</v>
      </c>
      <c r="I1577" t="s">
        <v>601</v>
      </c>
      <c r="J1577">
        <v>4.0399999999999998E-2</v>
      </c>
      <c r="K1577">
        <v>4.0399999999999998E-2</v>
      </c>
      <c r="L1577">
        <v>4.0399999999999998E-2</v>
      </c>
      <c r="M1577">
        <v>4.0399999999999998E-2</v>
      </c>
      <c r="N1577">
        <v>4.0399999999999998E-2</v>
      </c>
      <c r="O1577">
        <v>4.0399999999999998E-2</v>
      </c>
      <c r="P1577">
        <v>4.0399999999999998E-2</v>
      </c>
      <c r="Q1577">
        <v>4.0399999999999998E-2</v>
      </c>
      <c r="R1577">
        <v>4.0399999999999998E-2</v>
      </c>
      <c r="S1577">
        <v>4.0399999999999998E-2</v>
      </c>
      <c r="T1577">
        <v>4.0399999999999998E-2</v>
      </c>
      <c r="U1577">
        <v>4.0399999999999998E-2</v>
      </c>
      <c r="V1577">
        <v>4.0399999999999998E-2</v>
      </c>
      <c r="W1577">
        <v>4.0399999999999998E-2</v>
      </c>
      <c r="X1577">
        <v>4.0399999999999998E-2</v>
      </c>
      <c r="Y1577">
        <v>4.0399999999999998E-2</v>
      </c>
    </row>
    <row r="1578" spans="1:25" hidden="1">
      <c r="A1578" t="s">
        <v>18809</v>
      </c>
      <c r="B1578" t="s">
        <v>771</v>
      </c>
      <c r="C1578" t="s">
        <v>729</v>
      </c>
      <c r="D1578" t="s">
        <v>621</v>
      </c>
      <c r="E1578" t="s">
        <v>692</v>
      </c>
      <c r="F1578" t="s">
        <v>598</v>
      </c>
      <c r="G1578" t="s">
        <v>478</v>
      </c>
      <c r="H1578" t="s">
        <v>600</v>
      </c>
      <c r="I1578" t="s">
        <v>601</v>
      </c>
      <c r="J1578">
        <v>1E-4</v>
      </c>
      <c r="K1578">
        <v>1E-4</v>
      </c>
      <c r="L1578">
        <v>1E-4</v>
      </c>
      <c r="M1578">
        <v>1E-4</v>
      </c>
      <c r="N1578">
        <v>1E-4</v>
      </c>
      <c r="O1578">
        <v>1E-4</v>
      </c>
      <c r="P1578">
        <v>1E-4</v>
      </c>
      <c r="Q1578">
        <v>1E-4</v>
      </c>
      <c r="R1578">
        <v>1E-4</v>
      </c>
      <c r="S1578">
        <v>1E-4</v>
      </c>
      <c r="T1578">
        <v>1E-4</v>
      </c>
      <c r="U1578">
        <v>1E-4</v>
      </c>
      <c r="V1578">
        <v>1E-4</v>
      </c>
      <c r="W1578">
        <v>1E-4</v>
      </c>
      <c r="X1578">
        <v>1E-4</v>
      </c>
      <c r="Y1578">
        <v>1E-4</v>
      </c>
    </row>
    <row r="1579" spans="1:25" hidden="1">
      <c r="A1579" t="s">
        <v>18809</v>
      </c>
      <c r="B1579" t="s">
        <v>776</v>
      </c>
      <c r="C1579" t="s">
        <v>729</v>
      </c>
      <c r="D1579" t="s">
        <v>632</v>
      </c>
      <c r="E1579" t="s">
        <v>597</v>
      </c>
      <c r="F1579" t="s">
        <v>598</v>
      </c>
      <c r="G1579" t="s">
        <v>478</v>
      </c>
      <c r="H1579" t="s">
        <v>600</v>
      </c>
      <c r="I1579" t="s">
        <v>601</v>
      </c>
      <c r="J1579">
        <v>0.36459999999999998</v>
      </c>
      <c r="K1579">
        <v>0.36459999999999998</v>
      </c>
      <c r="L1579">
        <v>0.36459999999999998</v>
      </c>
      <c r="M1579">
        <v>0.36459999999999998</v>
      </c>
      <c r="N1579">
        <v>0.36459999999999998</v>
      </c>
      <c r="O1579">
        <v>0.36459999999999998</v>
      </c>
      <c r="P1579">
        <v>0.36459999999999998</v>
      </c>
      <c r="Q1579">
        <v>0.36459999999999998</v>
      </c>
      <c r="R1579">
        <v>0.36459999999999998</v>
      </c>
      <c r="S1579">
        <v>0.36459999999999998</v>
      </c>
      <c r="T1579">
        <v>0.36459999999999998</v>
      </c>
      <c r="U1579">
        <v>0.36459999999999998</v>
      </c>
      <c r="V1579">
        <v>0.36459999999999998</v>
      </c>
      <c r="W1579">
        <v>0.36459999999999998</v>
      </c>
      <c r="X1579">
        <v>0.36459999999999998</v>
      </c>
      <c r="Y1579">
        <v>0.36459999999999998</v>
      </c>
    </row>
    <row r="1580" spans="1:25" hidden="1">
      <c r="A1580" t="s">
        <v>18809</v>
      </c>
      <c r="B1580" t="s">
        <v>778</v>
      </c>
      <c r="C1580" t="s">
        <v>729</v>
      </c>
      <c r="D1580" t="s">
        <v>632</v>
      </c>
      <c r="E1580" t="s">
        <v>628</v>
      </c>
      <c r="F1580" t="s">
        <v>598</v>
      </c>
      <c r="G1580" t="s">
        <v>478</v>
      </c>
      <c r="H1580" t="s">
        <v>600</v>
      </c>
      <c r="I1580" t="s">
        <v>601</v>
      </c>
      <c r="J1580">
        <v>7.5300000000000006E-2</v>
      </c>
      <c r="K1580">
        <v>7.5300000000000006E-2</v>
      </c>
      <c r="L1580">
        <v>7.5300000000000006E-2</v>
      </c>
      <c r="M1580">
        <v>7.5300000000000006E-2</v>
      </c>
      <c r="N1580">
        <v>7.5300000000000006E-2</v>
      </c>
      <c r="O1580">
        <v>7.5300000000000006E-2</v>
      </c>
      <c r="P1580">
        <v>7.5300000000000006E-2</v>
      </c>
      <c r="Q1580">
        <v>7.5300000000000006E-2</v>
      </c>
      <c r="R1580">
        <v>7.5300000000000006E-2</v>
      </c>
      <c r="S1580">
        <v>7.5300000000000006E-2</v>
      </c>
      <c r="T1580">
        <v>7.5300000000000006E-2</v>
      </c>
      <c r="U1580">
        <v>7.5300000000000006E-2</v>
      </c>
      <c r="V1580">
        <v>7.5300000000000006E-2</v>
      </c>
      <c r="W1580">
        <v>7.5300000000000006E-2</v>
      </c>
      <c r="X1580">
        <v>7.5300000000000006E-2</v>
      </c>
      <c r="Y1580">
        <v>7.5300000000000006E-2</v>
      </c>
    </row>
    <row r="1581" spans="1:25" hidden="1">
      <c r="A1581" t="s">
        <v>18809</v>
      </c>
      <c r="B1581" t="s">
        <v>795</v>
      </c>
      <c r="C1581" t="s">
        <v>729</v>
      </c>
      <c r="D1581" t="s">
        <v>648</v>
      </c>
      <c r="E1581" t="s">
        <v>597</v>
      </c>
      <c r="F1581" t="s">
        <v>598</v>
      </c>
      <c r="G1581" t="s">
        <v>478</v>
      </c>
      <c r="H1581" t="s">
        <v>600</v>
      </c>
      <c r="I1581" t="s">
        <v>601</v>
      </c>
      <c r="J1581">
        <v>0.17150000000000001</v>
      </c>
      <c r="K1581">
        <v>0.17100000000000001</v>
      </c>
      <c r="L1581">
        <v>0.1699</v>
      </c>
      <c r="M1581">
        <v>0.1694</v>
      </c>
      <c r="N1581">
        <v>0.16889999999999999</v>
      </c>
      <c r="O1581">
        <v>0.16889999999999999</v>
      </c>
      <c r="P1581">
        <v>0.16889999999999999</v>
      </c>
      <c r="Q1581">
        <v>0.1694</v>
      </c>
      <c r="R1581">
        <v>0.1699</v>
      </c>
      <c r="S1581">
        <v>0.17019999999999999</v>
      </c>
      <c r="T1581">
        <v>0.1706</v>
      </c>
      <c r="U1581">
        <v>0.17100000000000001</v>
      </c>
      <c r="V1581">
        <v>0.17269999999999999</v>
      </c>
      <c r="W1581">
        <v>0.1744</v>
      </c>
      <c r="X1581">
        <v>0.17469999999999999</v>
      </c>
      <c r="Y1581">
        <v>0.17610000000000001</v>
      </c>
    </row>
    <row r="1582" spans="1:25" hidden="1">
      <c r="A1582" t="s">
        <v>18809</v>
      </c>
      <c r="B1582" t="s">
        <v>796</v>
      </c>
      <c r="C1582" t="s">
        <v>729</v>
      </c>
      <c r="D1582" t="s">
        <v>648</v>
      </c>
      <c r="E1582" t="s">
        <v>642</v>
      </c>
      <c r="F1582" t="s">
        <v>598</v>
      </c>
      <c r="G1582" t="s">
        <v>478</v>
      </c>
      <c r="H1582" t="s">
        <v>600</v>
      </c>
      <c r="I1582" t="s">
        <v>601</v>
      </c>
      <c r="J1582">
        <v>3.56E-2</v>
      </c>
      <c r="K1582">
        <v>3.56E-2</v>
      </c>
      <c r="L1582">
        <v>3.56E-2</v>
      </c>
      <c r="M1582">
        <v>3.56E-2</v>
      </c>
      <c r="N1582">
        <v>3.56E-2</v>
      </c>
      <c r="O1582">
        <v>3.56E-2</v>
      </c>
      <c r="P1582">
        <v>3.56E-2</v>
      </c>
      <c r="Q1582">
        <v>3.56E-2</v>
      </c>
      <c r="R1582">
        <v>3.56E-2</v>
      </c>
      <c r="S1582">
        <v>3.56E-2</v>
      </c>
      <c r="T1582">
        <v>3.56E-2</v>
      </c>
      <c r="U1582">
        <v>3.56E-2</v>
      </c>
      <c r="V1582">
        <v>3.56E-2</v>
      </c>
      <c r="W1582">
        <v>3.56E-2</v>
      </c>
      <c r="X1582">
        <v>3.56E-2</v>
      </c>
      <c r="Y1582">
        <v>3.56E-2</v>
      </c>
    </row>
    <row r="1583" spans="1:25" hidden="1">
      <c r="A1583" t="s">
        <v>18809</v>
      </c>
      <c r="B1583" t="s">
        <v>801</v>
      </c>
      <c r="C1583" t="s">
        <v>729</v>
      </c>
      <c r="D1583" t="s">
        <v>648</v>
      </c>
      <c r="E1583" t="s">
        <v>619</v>
      </c>
      <c r="F1583" t="s">
        <v>598</v>
      </c>
      <c r="G1583" t="s">
        <v>478</v>
      </c>
      <c r="H1583" t="s">
        <v>600</v>
      </c>
      <c r="I1583" t="s">
        <v>601</v>
      </c>
      <c r="J1583">
        <v>1.47E-2</v>
      </c>
      <c r="K1583">
        <v>1.61E-2</v>
      </c>
      <c r="L1583">
        <v>1.61E-2</v>
      </c>
      <c r="M1583">
        <v>1.61E-2</v>
      </c>
      <c r="N1583">
        <v>1.61E-2</v>
      </c>
      <c r="O1583">
        <v>1.61E-2</v>
      </c>
      <c r="P1583">
        <v>1.61E-2</v>
      </c>
      <c r="Q1583">
        <v>1.61E-2</v>
      </c>
      <c r="R1583">
        <v>1.61E-2</v>
      </c>
      <c r="S1583">
        <v>1.61E-2</v>
      </c>
      <c r="T1583">
        <v>1.61E-2</v>
      </c>
      <c r="U1583">
        <v>1.61E-2</v>
      </c>
      <c r="V1583">
        <v>1.61E-2</v>
      </c>
      <c r="W1583">
        <v>1.47E-2</v>
      </c>
      <c r="X1583">
        <v>1.47E-2</v>
      </c>
      <c r="Y1583">
        <v>1.47E-2</v>
      </c>
    </row>
    <row r="1584" spans="1:25" hidden="1">
      <c r="A1584" t="s">
        <v>18809</v>
      </c>
      <c r="B1584" t="s">
        <v>830</v>
      </c>
      <c r="C1584" t="s">
        <v>804</v>
      </c>
      <c r="D1584" t="s">
        <v>828</v>
      </c>
      <c r="E1584" t="s">
        <v>628</v>
      </c>
      <c r="F1584" t="s">
        <v>831</v>
      </c>
      <c r="G1584" t="s">
        <v>478</v>
      </c>
      <c r="H1584" t="s">
        <v>600</v>
      </c>
      <c r="I1584" t="s">
        <v>601</v>
      </c>
      <c r="J1584">
        <v>7.6899999999999996E-2</v>
      </c>
      <c r="K1584">
        <v>4.6300000000000001E-2</v>
      </c>
      <c r="L1584">
        <v>4.1000000000000002E-2</v>
      </c>
      <c r="M1584">
        <v>3.9699999999999999E-2</v>
      </c>
      <c r="N1584">
        <v>3.9E-2</v>
      </c>
      <c r="O1584">
        <v>3.8300000000000001E-2</v>
      </c>
      <c r="P1584">
        <v>3.7900000000000003E-2</v>
      </c>
      <c r="Q1584">
        <v>3.7600000000000001E-2</v>
      </c>
      <c r="R1584">
        <v>3.6900000000000002E-2</v>
      </c>
      <c r="S1584">
        <v>3.6200000000000003E-2</v>
      </c>
      <c r="T1584">
        <v>3.5499999999999997E-2</v>
      </c>
      <c r="U1584">
        <v>3.44E-2</v>
      </c>
      <c r="V1584">
        <v>3.3399999999999999E-2</v>
      </c>
      <c r="W1584">
        <v>3.2000000000000001E-2</v>
      </c>
      <c r="X1584">
        <v>3.0599999999999999E-2</v>
      </c>
      <c r="Y1584">
        <v>2.92E-2</v>
      </c>
    </row>
    <row r="1585" spans="1:25" hidden="1">
      <c r="A1585" t="s">
        <v>18809</v>
      </c>
      <c r="B1585" t="s">
        <v>832</v>
      </c>
      <c r="C1585" t="s">
        <v>804</v>
      </c>
      <c r="D1585" t="s">
        <v>828</v>
      </c>
      <c r="E1585" t="s">
        <v>628</v>
      </c>
      <c r="F1585" t="s">
        <v>833</v>
      </c>
      <c r="G1585" t="s">
        <v>478</v>
      </c>
      <c r="H1585" t="s">
        <v>600</v>
      </c>
      <c r="I1585" t="s">
        <v>601</v>
      </c>
      <c r="J1585">
        <v>8.4699999999999998E-2</v>
      </c>
      <c r="K1585">
        <v>8.0100000000000005E-2</v>
      </c>
      <c r="L1585">
        <v>7.5700000000000003E-2</v>
      </c>
      <c r="M1585">
        <v>7.1199999999999999E-2</v>
      </c>
      <c r="N1585">
        <v>6.6699999999999995E-2</v>
      </c>
      <c r="O1585">
        <v>6.25E-2</v>
      </c>
      <c r="P1585">
        <v>5.8099999999999999E-2</v>
      </c>
      <c r="Q1585">
        <v>5.3900000000000003E-2</v>
      </c>
      <c r="R1585">
        <v>4.9799999999999997E-2</v>
      </c>
      <c r="S1585">
        <v>4.6100000000000002E-2</v>
      </c>
      <c r="T1585">
        <v>4.2799999999999998E-2</v>
      </c>
      <c r="U1585">
        <v>3.9600000000000003E-2</v>
      </c>
      <c r="V1585">
        <v>3.6700000000000003E-2</v>
      </c>
      <c r="W1585">
        <v>3.4200000000000001E-2</v>
      </c>
      <c r="X1585">
        <v>3.1800000000000002E-2</v>
      </c>
      <c r="Y1585">
        <v>2.9600000000000001E-2</v>
      </c>
    </row>
    <row r="1586" spans="1:25" hidden="1">
      <c r="A1586" t="s">
        <v>18809</v>
      </c>
      <c r="B1586" t="s">
        <v>839</v>
      </c>
      <c r="C1586" t="s">
        <v>804</v>
      </c>
      <c r="D1586" t="s">
        <v>648</v>
      </c>
      <c r="E1586" t="s">
        <v>688</v>
      </c>
      <c r="F1586" t="s">
        <v>598</v>
      </c>
      <c r="G1586" t="s">
        <v>478</v>
      </c>
      <c r="H1586" t="s">
        <v>600</v>
      </c>
      <c r="I1586" t="s">
        <v>601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</row>
    <row r="1587" spans="1:25" hidden="1">
      <c r="A1587" t="s">
        <v>18809</v>
      </c>
      <c r="B1587" t="s">
        <v>847</v>
      </c>
      <c r="C1587" t="s">
        <v>841</v>
      </c>
      <c r="D1587" t="s">
        <v>596</v>
      </c>
      <c r="E1587" t="s">
        <v>808</v>
      </c>
      <c r="F1587" t="s">
        <v>598</v>
      </c>
      <c r="G1587" t="s">
        <v>478</v>
      </c>
      <c r="H1587" t="s">
        <v>600</v>
      </c>
      <c r="I1587" t="s">
        <v>601</v>
      </c>
      <c r="J1587">
        <v>1.5E-3</v>
      </c>
      <c r="K1587">
        <v>1.5E-3</v>
      </c>
      <c r="L1587">
        <v>1.5E-3</v>
      </c>
      <c r="M1587">
        <v>1.5E-3</v>
      </c>
      <c r="N1587">
        <v>1.5E-3</v>
      </c>
      <c r="O1587">
        <v>1.5E-3</v>
      </c>
      <c r="P1587">
        <v>1.5E-3</v>
      </c>
      <c r="Q1587">
        <v>1.5E-3</v>
      </c>
      <c r="R1587">
        <v>1.5E-3</v>
      </c>
      <c r="S1587">
        <v>1.5E-3</v>
      </c>
      <c r="T1587">
        <v>1.5E-3</v>
      </c>
      <c r="U1587">
        <v>1.5E-3</v>
      </c>
      <c r="V1587">
        <v>1.5E-3</v>
      </c>
      <c r="W1587">
        <v>1.5E-3</v>
      </c>
      <c r="X1587">
        <v>1.5E-3</v>
      </c>
      <c r="Y1587">
        <v>1.5E-3</v>
      </c>
    </row>
    <row r="1588" spans="1:25" hidden="1">
      <c r="A1588" t="s">
        <v>18809</v>
      </c>
      <c r="B1588" t="s">
        <v>872</v>
      </c>
      <c r="C1588" t="s">
        <v>841</v>
      </c>
      <c r="D1588" t="s">
        <v>621</v>
      </c>
      <c r="E1588" t="s">
        <v>624</v>
      </c>
      <c r="F1588" t="s">
        <v>598</v>
      </c>
      <c r="G1588" t="s">
        <v>478</v>
      </c>
      <c r="H1588" t="s">
        <v>600</v>
      </c>
      <c r="I1588" t="s">
        <v>601</v>
      </c>
      <c r="J1588">
        <v>0.1197</v>
      </c>
      <c r="K1588">
        <v>0.1197</v>
      </c>
      <c r="L1588">
        <v>0.1197</v>
      </c>
      <c r="M1588">
        <v>0.1197</v>
      </c>
      <c r="N1588">
        <v>0.1197</v>
      </c>
      <c r="O1588">
        <v>0.1197</v>
      </c>
      <c r="P1588">
        <v>0.1197</v>
      </c>
      <c r="Q1588">
        <v>0.1197</v>
      </c>
      <c r="R1588">
        <v>0.1197</v>
      </c>
      <c r="S1588">
        <v>0.1197</v>
      </c>
      <c r="T1588">
        <v>0.1197</v>
      </c>
      <c r="U1588">
        <v>0.1197</v>
      </c>
      <c r="V1588">
        <v>0.1197</v>
      </c>
      <c r="W1588">
        <v>0.1197</v>
      </c>
      <c r="X1588">
        <v>0.1197</v>
      </c>
      <c r="Y1588">
        <v>0.1197</v>
      </c>
    </row>
    <row r="1589" spans="1:25" hidden="1">
      <c r="A1589" t="s">
        <v>18809</v>
      </c>
      <c r="B1589" t="s">
        <v>873</v>
      </c>
      <c r="C1589" t="s">
        <v>841</v>
      </c>
      <c r="D1589" t="s">
        <v>621</v>
      </c>
      <c r="E1589" t="s">
        <v>768</v>
      </c>
      <c r="F1589" t="s">
        <v>598</v>
      </c>
      <c r="G1589" t="s">
        <v>478</v>
      </c>
      <c r="H1589" t="s">
        <v>600</v>
      </c>
      <c r="I1589" t="s">
        <v>601</v>
      </c>
      <c r="J1589">
        <v>0.1235</v>
      </c>
      <c r="K1589">
        <v>0.1235</v>
      </c>
      <c r="L1589">
        <v>0.1235</v>
      </c>
      <c r="M1589">
        <v>0.1235</v>
      </c>
      <c r="N1589">
        <v>0.1235</v>
      </c>
      <c r="O1589">
        <v>0.1235</v>
      </c>
      <c r="P1589">
        <v>0.1235</v>
      </c>
      <c r="Q1589">
        <v>0.1235</v>
      </c>
      <c r="R1589">
        <v>0.1235</v>
      </c>
      <c r="S1589">
        <v>0.1235</v>
      </c>
      <c r="T1589">
        <v>0.1235</v>
      </c>
      <c r="U1589">
        <v>0.1235</v>
      </c>
      <c r="V1589">
        <v>0.1235</v>
      </c>
      <c r="W1589">
        <v>0.1235</v>
      </c>
      <c r="X1589">
        <v>0.1235</v>
      </c>
      <c r="Y1589">
        <v>0.1235</v>
      </c>
    </row>
    <row r="1590" spans="1:25" hidden="1">
      <c r="A1590" t="s">
        <v>18809</v>
      </c>
      <c r="B1590" t="s">
        <v>877</v>
      </c>
      <c r="C1590" t="s">
        <v>841</v>
      </c>
      <c r="D1590" t="s">
        <v>621</v>
      </c>
      <c r="E1590" t="s">
        <v>692</v>
      </c>
      <c r="F1590" t="s">
        <v>598</v>
      </c>
      <c r="G1590" t="s">
        <v>478</v>
      </c>
      <c r="H1590" t="s">
        <v>600</v>
      </c>
      <c r="I1590" t="s">
        <v>601</v>
      </c>
      <c r="J1590">
        <v>2.52E-2</v>
      </c>
      <c r="K1590">
        <v>2.52E-2</v>
      </c>
      <c r="L1590">
        <v>2.52E-2</v>
      </c>
      <c r="M1590">
        <v>2.52E-2</v>
      </c>
      <c r="N1590">
        <v>2.52E-2</v>
      </c>
      <c r="O1590">
        <v>2.52E-2</v>
      </c>
      <c r="P1590">
        <v>2.52E-2</v>
      </c>
      <c r="Q1590">
        <v>2.52E-2</v>
      </c>
      <c r="R1590">
        <v>2.52E-2</v>
      </c>
      <c r="S1590">
        <v>2.52E-2</v>
      </c>
      <c r="T1590">
        <v>2.52E-2</v>
      </c>
      <c r="U1590">
        <v>2.52E-2</v>
      </c>
      <c r="V1590">
        <v>2.52E-2</v>
      </c>
      <c r="W1590">
        <v>2.52E-2</v>
      </c>
      <c r="X1590">
        <v>2.52E-2</v>
      </c>
      <c r="Y1590">
        <v>2.52E-2</v>
      </c>
    </row>
    <row r="1591" spans="1:25" hidden="1">
      <c r="A1591" t="s">
        <v>18809</v>
      </c>
      <c r="B1591" t="s">
        <v>882</v>
      </c>
      <c r="C1591" t="s">
        <v>841</v>
      </c>
      <c r="D1591" t="s">
        <v>632</v>
      </c>
      <c r="E1591" t="s">
        <v>597</v>
      </c>
      <c r="F1591" t="s">
        <v>598</v>
      </c>
      <c r="G1591" t="s">
        <v>478</v>
      </c>
      <c r="H1591" t="s">
        <v>600</v>
      </c>
      <c r="I1591" t="s">
        <v>601</v>
      </c>
      <c r="J1591">
        <v>5.1000000000000004E-3</v>
      </c>
      <c r="K1591">
        <v>5.1000000000000004E-3</v>
      </c>
      <c r="L1591">
        <v>5.1999999999999998E-3</v>
      </c>
      <c r="M1591">
        <v>5.3E-3</v>
      </c>
      <c r="N1591">
        <v>5.4000000000000003E-3</v>
      </c>
      <c r="O1591">
        <v>5.4999999999999997E-3</v>
      </c>
      <c r="P1591">
        <v>5.4999999999999997E-3</v>
      </c>
      <c r="Q1591">
        <v>5.5999999999999999E-3</v>
      </c>
      <c r="R1591">
        <v>5.5999999999999999E-3</v>
      </c>
      <c r="S1591">
        <v>5.7000000000000002E-3</v>
      </c>
      <c r="T1591">
        <v>5.7000000000000002E-3</v>
      </c>
      <c r="U1591">
        <v>5.5999999999999999E-3</v>
      </c>
      <c r="V1591">
        <v>5.5999999999999999E-3</v>
      </c>
      <c r="W1591">
        <v>5.7000000000000002E-3</v>
      </c>
      <c r="X1591">
        <v>5.7000000000000002E-3</v>
      </c>
      <c r="Y1591">
        <v>5.7000000000000002E-3</v>
      </c>
    </row>
    <row r="1592" spans="1:25" hidden="1">
      <c r="A1592" t="s">
        <v>18809</v>
      </c>
      <c r="B1592" t="s">
        <v>883</v>
      </c>
      <c r="C1592" t="s">
        <v>841</v>
      </c>
      <c r="D1592" t="s">
        <v>632</v>
      </c>
      <c r="E1592" t="s">
        <v>624</v>
      </c>
      <c r="F1592" t="s">
        <v>598</v>
      </c>
      <c r="G1592" t="s">
        <v>478</v>
      </c>
      <c r="H1592" t="s">
        <v>600</v>
      </c>
      <c r="I1592" t="s">
        <v>601</v>
      </c>
      <c r="J1592">
        <v>3.73E-2</v>
      </c>
      <c r="K1592">
        <v>3.73E-2</v>
      </c>
      <c r="L1592">
        <v>3.73E-2</v>
      </c>
      <c r="M1592">
        <v>3.73E-2</v>
      </c>
      <c r="N1592">
        <v>3.73E-2</v>
      </c>
      <c r="O1592">
        <v>3.73E-2</v>
      </c>
      <c r="P1592">
        <v>3.73E-2</v>
      </c>
      <c r="Q1592">
        <v>3.73E-2</v>
      </c>
      <c r="R1592">
        <v>3.73E-2</v>
      </c>
      <c r="S1592">
        <v>3.73E-2</v>
      </c>
      <c r="T1592">
        <v>3.73E-2</v>
      </c>
      <c r="U1592">
        <v>3.73E-2</v>
      </c>
      <c r="V1592">
        <v>3.73E-2</v>
      </c>
      <c r="W1592">
        <v>3.73E-2</v>
      </c>
      <c r="X1592">
        <v>3.73E-2</v>
      </c>
      <c r="Y1592">
        <v>3.73E-2</v>
      </c>
    </row>
    <row r="1593" spans="1:25" hidden="1">
      <c r="A1593" t="s">
        <v>18809</v>
      </c>
      <c r="B1593" t="s">
        <v>886</v>
      </c>
      <c r="C1593" t="s">
        <v>841</v>
      </c>
      <c r="D1593" t="s">
        <v>632</v>
      </c>
      <c r="E1593" t="s">
        <v>773</v>
      </c>
      <c r="F1593" t="s">
        <v>598</v>
      </c>
      <c r="G1593" t="s">
        <v>478</v>
      </c>
      <c r="H1593" t="s">
        <v>600</v>
      </c>
      <c r="I1593" t="s">
        <v>601</v>
      </c>
      <c r="J1593">
        <v>2.01E-2</v>
      </c>
      <c r="K1593">
        <v>2.01E-2</v>
      </c>
      <c r="L1593">
        <v>2.01E-2</v>
      </c>
      <c r="M1593">
        <v>2.01E-2</v>
      </c>
      <c r="N1593">
        <v>2.01E-2</v>
      </c>
      <c r="O1593">
        <v>2.01E-2</v>
      </c>
      <c r="P1593">
        <v>2.01E-2</v>
      </c>
      <c r="Q1593">
        <v>2.01E-2</v>
      </c>
      <c r="R1593">
        <v>2.01E-2</v>
      </c>
      <c r="S1593">
        <v>2.01E-2</v>
      </c>
      <c r="T1593">
        <v>2.01E-2</v>
      </c>
      <c r="U1593">
        <v>2.01E-2</v>
      </c>
      <c r="V1593">
        <v>2.01E-2</v>
      </c>
      <c r="W1593">
        <v>2.01E-2</v>
      </c>
      <c r="X1593">
        <v>2.01E-2</v>
      </c>
      <c r="Y1593">
        <v>2.01E-2</v>
      </c>
    </row>
    <row r="1594" spans="1:25" hidden="1">
      <c r="A1594" t="s">
        <v>18809</v>
      </c>
      <c r="B1594" t="s">
        <v>890</v>
      </c>
      <c r="C1594" t="s">
        <v>841</v>
      </c>
      <c r="D1594" t="s">
        <v>632</v>
      </c>
      <c r="E1594" t="s">
        <v>638</v>
      </c>
      <c r="F1594" t="s">
        <v>598</v>
      </c>
      <c r="G1594" t="s">
        <v>478</v>
      </c>
      <c r="H1594" t="s">
        <v>600</v>
      </c>
      <c r="I1594" t="s">
        <v>601</v>
      </c>
      <c r="J1594">
        <v>6.7400000000000002E-2</v>
      </c>
      <c r="K1594">
        <v>6.7400000000000002E-2</v>
      </c>
      <c r="L1594">
        <v>6.7400000000000002E-2</v>
      </c>
      <c r="M1594">
        <v>6.7400000000000002E-2</v>
      </c>
      <c r="N1594">
        <v>6.7400000000000002E-2</v>
      </c>
      <c r="O1594">
        <v>6.7400000000000002E-2</v>
      </c>
      <c r="P1594">
        <v>6.7400000000000002E-2</v>
      </c>
      <c r="Q1594">
        <v>6.7400000000000002E-2</v>
      </c>
      <c r="R1594">
        <v>6.7400000000000002E-2</v>
      </c>
      <c r="S1594">
        <v>6.7400000000000002E-2</v>
      </c>
      <c r="T1594">
        <v>6.7400000000000002E-2</v>
      </c>
      <c r="U1594">
        <v>6.7400000000000002E-2</v>
      </c>
      <c r="V1594">
        <v>6.7400000000000002E-2</v>
      </c>
      <c r="W1594">
        <v>6.7400000000000002E-2</v>
      </c>
      <c r="X1594">
        <v>6.7400000000000002E-2</v>
      </c>
      <c r="Y1594">
        <v>6.7400000000000002E-2</v>
      </c>
    </row>
    <row r="1595" spans="1:25" hidden="1">
      <c r="A1595" t="s">
        <v>18809</v>
      </c>
      <c r="B1595" t="s">
        <v>902</v>
      </c>
      <c r="C1595" t="s">
        <v>841</v>
      </c>
      <c r="D1595" t="s">
        <v>648</v>
      </c>
      <c r="E1595" t="s">
        <v>597</v>
      </c>
      <c r="F1595" t="s">
        <v>598</v>
      </c>
      <c r="G1595" t="s">
        <v>478</v>
      </c>
      <c r="H1595" t="s">
        <v>600</v>
      </c>
      <c r="I1595" t="s">
        <v>601</v>
      </c>
      <c r="J1595">
        <v>0.66779999999999995</v>
      </c>
      <c r="K1595">
        <v>0.67369999999999997</v>
      </c>
      <c r="L1595">
        <v>0.67789999999999995</v>
      </c>
      <c r="M1595">
        <v>0.68220000000000003</v>
      </c>
      <c r="N1595">
        <v>0.68569999999999998</v>
      </c>
      <c r="O1595">
        <v>0.69030000000000002</v>
      </c>
      <c r="P1595">
        <v>0.69479999999999997</v>
      </c>
      <c r="Q1595">
        <v>0.69740000000000002</v>
      </c>
      <c r="R1595">
        <v>0.70079999999999998</v>
      </c>
      <c r="S1595">
        <v>0.70450000000000002</v>
      </c>
      <c r="T1595">
        <v>0.70760000000000001</v>
      </c>
      <c r="U1595">
        <v>0.71120000000000005</v>
      </c>
      <c r="V1595">
        <v>0.71419999999999995</v>
      </c>
      <c r="W1595">
        <v>0.71809999999999996</v>
      </c>
      <c r="X1595">
        <v>0.72250000000000003</v>
      </c>
      <c r="Y1595">
        <v>0.72729999999999995</v>
      </c>
    </row>
    <row r="1596" spans="1:25" hidden="1">
      <c r="A1596" t="s">
        <v>18809</v>
      </c>
      <c r="B1596" t="s">
        <v>909</v>
      </c>
      <c r="C1596" t="s">
        <v>841</v>
      </c>
      <c r="D1596" t="s">
        <v>648</v>
      </c>
      <c r="E1596" t="s">
        <v>642</v>
      </c>
      <c r="F1596" t="s">
        <v>598</v>
      </c>
      <c r="G1596" t="s">
        <v>478</v>
      </c>
      <c r="H1596" t="s">
        <v>600</v>
      </c>
      <c r="I1596" t="s">
        <v>601</v>
      </c>
      <c r="J1596">
        <v>2.98E-2</v>
      </c>
      <c r="K1596">
        <v>0.03</v>
      </c>
      <c r="L1596">
        <v>3.0099999999999998E-2</v>
      </c>
      <c r="M1596">
        <v>3.0200000000000001E-2</v>
      </c>
      <c r="N1596">
        <v>3.0200000000000001E-2</v>
      </c>
      <c r="O1596">
        <v>3.0300000000000001E-2</v>
      </c>
      <c r="P1596">
        <v>3.0499999999999999E-2</v>
      </c>
      <c r="Q1596">
        <v>3.0499999999999999E-2</v>
      </c>
      <c r="R1596">
        <v>3.0599999999999999E-2</v>
      </c>
      <c r="S1596">
        <v>3.0700000000000002E-2</v>
      </c>
      <c r="T1596">
        <v>3.0800000000000001E-2</v>
      </c>
      <c r="U1596">
        <v>3.09E-2</v>
      </c>
      <c r="V1596">
        <v>3.1E-2</v>
      </c>
      <c r="W1596">
        <v>4.24E-2</v>
      </c>
      <c r="X1596">
        <v>4.2500000000000003E-2</v>
      </c>
      <c r="Y1596">
        <v>4.2700000000000002E-2</v>
      </c>
    </row>
    <row r="1597" spans="1:25" hidden="1">
      <c r="A1597" t="s">
        <v>18809</v>
      </c>
      <c r="B1597" t="s">
        <v>911</v>
      </c>
      <c r="C1597" t="s">
        <v>841</v>
      </c>
      <c r="D1597" t="s">
        <v>648</v>
      </c>
      <c r="E1597" t="s">
        <v>619</v>
      </c>
      <c r="F1597" t="s">
        <v>598</v>
      </c>
      <c r="G1597" t="s">
        <v>478</v>
      </c>
      <c r="H1597" t="s">
        <v>600</v>
      </c>
      <c r="I1597" t="s">
        <v>601</v>
      </c>
      <c r="J1597">
        <v>6.1000000000000004E-3</v>
      </c>
      <c r="K1597">
        <v>6.1999999999999998E-3</v>
      </c>
      <c r="L1597">
        <v>6.1999999999999998E-3</v>
      </c>
      <c r="M1597">
        <v>6.1999999999999998E-3</v>
      </c>
      <c r="N1597">
        <v>6.3E-3</v>
      </c>
      <c r="O1597">
        <v>6.3E-3</v>
      </c>
      <c r="P1597">
        <v>6.3E-3</v>
      </c>
      <c r="Q1597">
        <v>6.4000000000000003E-3</v>
      </c>
      <c r="R1597">
        <v>6.4000000000000003E-3</v>
      </c>
      <c r="S1597">
        <v>6.4000000000000003E-3</v>
      </c>
      <c r="T1597">
        <v>6.4000000000000003E-3</v>
      </c>
      <c r="U1597">
        <v>6.4999999999999997E-3</v>
      </c>
      <c r="V1597">
        <v>6.4999999999999997E-3</v>
      </c>
      <c r="W1597">
        <v>6.4999999999999997E-3</v>
      </c>
      <c r="X1597">
        <v>6.6E-3</v>
      </c>
      <c r="Y1597">
        <v>6.6E-3</v>
      </c>
    </row>
    <row r="1598" spans="1:25" hidden="1">
      <c r="A1598" t="s">
        <v>18809</v>
      </c>
      <c r="B1598" t="s">
        <v>916</v>
      </c>
      <c r="C1598" t="s">
        <v>914</v>
      </c>
      <c r="D1598" t="s">
        <v>621</v>
      </c>
      <c r="E1598" t="s">
        <v>628</v>
      </c>
      <c r="F1598" t="s">
        <v>598</v>
      </c>
      <c r="G1598" t="s">
        <v>478</v>
      </c>
      <c r="H1598" t="s">
        <v>600</v>
      </c>
      <c r="I1598" t="s">
        <v>601</v>
      </c>
      <c r="J1598">
        <v>0.58564720000000003</v>
      </c>
      <c r="K1598">
        <v>0.58634560000000002</v>
      </c>
      <c r="L1598">
        <v>0.5869664</v>
      </c>
      <c r="M1598">
        <v>0.5877424</v>
      </c>
      <c r="N1598">
        <v>0.58828559999999996</v>
      </c>
      <c r="O1598">
        <v>0.49516559999999998</v>
      </c>
      <c r="P1598">
        <v>0.49594159999999998</v>
      </c>
      <c r="Q1598">
        <v>0.4964848</v>
      </c>
      <c r="R1598">
        <v>0.49710559999999998</v>
      </c>
      <c r="S1598">
        <v>0.49741600000000002</v>
      </c>
      <c r="T1598">
        <v>0.4980368</v>
      </c>
      <c r="U1598">
        <v>0.49850240000000001</v>
      </c>
      <c r="V1598">
        <v>0.49896800000000002</v>
      </c>
      <c r="W1598">
        <v>0.4995888</v>
      </c>
      <c r="X1598">
        <v>0.50028720000000004</v>
      </c>
      <c r="Y1598">
        <v>0.50083040000000001</v>
      </c>
    </row>
    <row r="1599" spans="1:25" hidden="1">
      <c r="A1599" t="s">
        <v>18809</v>
      </c>
      <c r="B1599" t="s">
        <v>919</v>
      </c>
      <c r="C1599" t="s">
        <v>914</v>
      </c>
      <c r="D1599" t="s">
        <v>648</v>
      </c>
      <c r="E1599" t="s">
        <v>920</v>
      </c>
      <c r="F1599" t="s">
        <v>598</v>
      </c>
      <c r="G1599" t="s">
        <v>478</v>
      </c>
      <c r="H1599" t="s">
        <v>600</v>
      </c>
      <c r="I1599" t="s">
        <v>601</v>
      </c>
      <c r="J1599">
        <v>5.3699999999999998E-2</v>
      </c>
      <c r="K1599">
        <v>5.4199999999999998E-2</v>
      </c>
      <c r="L1599">
        <v>5.45E-2</v>
      </c>
      <c r="M1599">
        <v>5.4699999999999999E-2</v>
      </c>
      <c r="N1599">
        <v>5.5E-2</v>
      </c>
      <c r="O1599">
        <v>5.5300000000000002E-2</v>
      </c>
      <c r="P1599">
        <v>5.57E-2</v>
      </c>
      <c r="Q1599">
        <v>5.5800000000000002E-2</v>
      </c>
      <c r="R1599">
        <v>5.62E-2</v>
      </c>
      <c r="S1599">
        <v>5.6500000000000002E-2</v>
      </c>
      <c r="T1599">
        <v>5.67E-2</v>
      </c>
      <c r="U1599">
        <v>5.7099999999999998E-2</v>
      </c>
      <c r="V1599">
        <v>5.7299999999999997E-2</v>
      </c>
      <c r="W1599">
        <v>5.7599999999999998E-2</v>
      </c>
      <c r="X1599">
        <v>5.8000000000000003E-2</v>
      </c>
      <c r="Y1599">
        <v>5.8299999999999998E-2</v>
      </c>
    </row>
    <row r="1600" spans="1:25" hidden="1">
      <c r="A1600" t="s">
        <v>18809</v>
      </c>
      <c r="B1600" t="s">
        <v>921</v>
      </c>
      <c r="C1600" t="s">
        <v>914</v>
      </c>
      <c r="D1600" t="s">
        <v>648</v>
      </c>
      <c r="E1600" t="s">
        <v>649</v>
      </c>
      <c r="F1600" t="s">
        <v>598</v>
      </c>
      <c r="G1600" t="s">
        <v>478</v>
      </c>
      <c r="H1600" t="s">
        <v>600</v>
      </c>
      <c r="I1600" t="s">
        <v>601</v>
      </c>
      <c r="J1600">
        <v>2.2100000000000002E-2</v>
      </c>
      <c r="K1600">
        <v>2.2100000000000002E-2</v>
      </c>
      <c r="L1600">
        <v>2.2100000000000002E-2</v>
      </c>
      <c r="M1600">
        <v>2.2100000000000002E-2</v>
      </c>
      <c r="N1600">
        <v>2.2100000000000002E-2</v>
      </c>
      <c r="O1600">
        <v>2.2100000000000002E-2</v>
      </c>
      <c r="P1600">
        <v>2.2100000000000002E-2</v>
      </c>
      <c r="Q1600">
        <v>2.2100000000000002E-2</v>
      </c>
      <c r="R1600">
        <v>2.2100000000000002E-2</v>
      </c>
      <c r="S1600">
        <v>2.2100000000000002E-2</v>
      </c>
      <c r="T1600">
        <v>2.2100000000000002E-2</v>
      </c>
      <c r="U1600">
        <v>2.2100000000000002E-2</v>
      </c>
      <c r="V1600">
        <v>2.2100000000000002E-2</v>
      </c>
      <c r="W1600">
        <v>2.2100000000000002E-2</v>
      </c>
      <c r="X1600">
        <v>2.2100000000000002E-2</v>
      </c>
      <c r="Y1600">
        <v>2.2100000000000002E-2</v>
      </c>
    </row>
    <row r="1601" spans="1:25" hidden="1">
      <c r="A1601" t="s">
        <v>18809</v>
      </c>
      <c r="B1601" t="s">
        <v>923</v>
      </c>
      <c r="C1601" t="s">
        <v>914</v>
      </c>
      <c r="D1601" t="s">
        <v>648</v>
      </c>
      <c r="E1601" t="s">
        <v>781</v>
      </c>
      <c r="F1601" t="s">
        <v>598</v>
      </c>
      <c r="G1601" t="s">
        <v>478</v>
      </c>
      <c r="H1601" t="s">
        <v>600</v>
      </c>
      <c r="I1601" t="s">
        <v>601</v>
      </c>
      <c r="J1601">
        <v>2.0000000000000001E-4</v>
      </c>
      <c r="K1601">
        <v>2.0000000000000001E-4</v>
      </c>
      <c r="L1601">
        <v>2.0000000000000001E-4</v>
      </c>
      <c r="M1601">
        <v>2.0000000000000001E-4</v>
      </c>
      <c r="N1601">
        <v>2.0000000000000001E-4</v>
      </c>
      <c r="O1601">
        <v>2.0000000000000001E-4</v>
      </c>
      <c r="P1601">
        <v>2.0000000000000001E-4</v>
      </c>
      <c r="Q1601">
        <v>2.0000000000000001E-4</v>
      </c>
      <c r="R1601">
        <v>2.0000000000000001E-4</v>
      </c>
      <c r="S1601">
        <v>2.0000000000000001E-4</v>
      </c>
      <c r="T1601">
        <v>2.0000000000000001E-4</v>
      </c>
      <c r="U1601">
        <v>2.0000000000000001E-4</v>
      </c>
      <c r="V1601">
        <v>2.0000000000000001E-4</v>
      </c>
      <c r="W1601">
        <v>2.0000000000000001E-4</v>
      </c>
      <c r="X1601">
        <v>2.0000000000000001E-4</v>
      </c>
      <c r="Y1601">
        <v>2.0000000000000001E-4</v>
      </c>
    </row>
    <row r="1602" spans="1:25" hidden="1">
      <c r="A1602" t="s">
        <v>18809</v>
      </c>
      <c r="B1602" t="s">
        <v>924</v>
      </c>
      <c r="C1602" t="s">
        <v>925</v>
      </c>
      <c r="D1602" t="s">
        <v>926</v>
      </c>
      <c r="E1602" t="s">
        <v>927</v>
      </c>
      <c r="F1602" t="s">
        <v>598</v>
      </c>
      <c r="G1602" t="s">
        <v>478</v>
      </c>
      <c r="H1602" t="s">
        <v>600</v>
      </c>
      <c r="I1602" t="s">
        <v>601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5" hidden="1">
      <c r="A1603" t="s">
        <v>18809</v>
      </c>
      <c r="B1603" t="s">
        <v>936</v>
      </c>
      <c r="C1603" t="s">
        <v>925</v>
      </c>
      <c r="D1603" t="s">
        <v>934</v>
      </c>
      <c r="E1603" t="s">
        <v>937</v>
      </c>
      <c r="F1603" t="s">
        <v>598</v>
      </c>
      <c r="G1603" t="s">
        <v>478</v>
      </c>
      <c r="H1603" t="s">
        <v>600</v>
      </c>
      <c r="I1603" t="s">
        <v>601</v>
      </c>
      <c r="J1603">
        <v>1.5299999999999999E-2</v>
      </c>
      <c r="K1603">
        <v>1.4999999999999999E-2</v>
      </c>
      <c r="L1603">
        <v>1.46E-2</v>
      </c>
      <c r="M1603">
        <v>1.4200000000000001E-2</v>
      </c>
      <c r="N1603">
        <v>1.38E-2</v>
      </c>
      <c r="O1603">
        <v>1.35E-2</v>
      </c>
      <c r="P1603">
        <v>1.32E-2</v>
      </c>
      <c r="Q1603">
        <v>1.29E-2</v>
      </c>
      <c r="R1603">
        <v>1.26E-2</v>
      </c>
      <c r="S1603">
        <v>1.24E-2</v>
      </c>
      <c r="T1603">
        <v>1.21E-2</v>
      </c>
      <c r="U1603">
        <v>1.18E-2</v>
      </c>
      <c r="V1603">
        <v>1.15E-2</v>
      </c>
      <c r="W1603">
        <v>1.1299999999999999E-2</v>
      </c>
      <c r="X1603">
        <v>1.0999999999999999E-2</v>
      </c>
      <c r="Y1603">
        <v>1.0699999999999999E-2</v>
      </c>
    </row>
    <row r="1604" spans="1:25" hidden="1">
      <c r="A1604" t="s">
        <v>18809</v>
      </c>
      <c r="B1604" t="s">
        <v>938</v>
      </c>
      <c r="C1604" t="s">
        <v>925</v>
      </c>
      <c r="D1604" t="s">
        <v>934</v>
      </c>
      <c r="E1604" t="s">
        <v>768</v>
      </c>
      <c r="F1604" t="s">
        <v>598</v>
      </c>
      <c r="G1604" t="s">
        <v>478</v>
      </c>
      <c r="H1604" t="s">
        <v>600</v>
      </c>
      <c r="I1604" t="s">
        <v>601</v>
      </c>
      <c r="J1604">
        <v>5.3100000000000001E-2</v>
      </c>
      <c r="K1604">
        <v>5.3699999999999998E-2</v>
      </c>
      <c r="L1604">
        <v>5.4300000000000001E-2</v>
      </c>
      <c r="M1604">
        <v>5.4699999999999999E-2</v>
      </c>
      <c r="N1604">
        <v>5.5100000000000003E-2</v>
      </c>
      <c r="O1604">
        <v>5.5399999999999998E-2</v>
      </c>
      <c r="P1604">
        <v>5.5800000000000002E-2</v>
      </c>
      <c r="Q1604">
        <v>5.6000000000000001E-2</v>
      </c>
      <c r="R1604">
        <v>5.6300000000000003E-2</v>
      </c>
      <c r="S1604">
        <v>5.6599999999999998E-2</v>
      </c>
      <c r="T1604">
        <v>5.6899999999999999E-2</v>
      </c>
      <c r="U1604">
        <v>5.7200000000000001E-2</v>
      </c>
      <c r="V1604">
        <v>5.7599999999999998E-2</v>
      </c>
      <c r="W1604">
        <v>5.8000000000000003E-2</v>
      </c>
      <c r="X1604">
        <v>5.8200000000000002E-2</v>
      </c>
      <c r="Y1604">
        <v>5.8500000000000003E-2</v>
      </c>
    </row>
    <row r="1605" spans="1:25" hidden="1">
      <c r="A1605" t="s">
        <v>18809</v>
      </c>
      <c r="B1605" t="s">
        <v>947</v>
      </c>
      <c r="C1605" t="s">
        <v>943</v>
      </c>
      <c r="D1605" t="s">
        <v>946</v>
      </c>
      <c r="E1605" t="s">
        <v>948</v>
      </c>
      <c r="F1605" t="s">
        <v>598</v>
      </c>
      <c r="G1605" t="s">
        <v>478</v>
      </c>
      <c r="H1605" t="s">
        <v>600</v>
      </c>
      <c r="I1605" t="s">
        <v>601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</row>
    <row r="1606" spans="1:25" hidden="1">
      <c r="A1606" t="s">
        <v>18809</v>
      </c>
      <c r="B1606" t="s">
        <v>949</v>
      </c>
      <c r="C1606" t="s">
        <v>943</v>
      </c>
      <c r="D1606" t="s">
        <v>950</v>
      </c>
      <c r="E1606" t="s">
        <v>646</v>
      </c>
      <c r="F1606" t="s">
        <v>598</v>
      </c>
      <c r="G1606" t="s">
        <v>478</v>
      </c>
      <c r="H1606" t="s">
        <v>600</v>
      </c>
      <c r="I1606" t="s">
        <v>601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</row>
    <row r="1607" spans="1:25" hidden="1">
      <c r="A1607" t="s">
        <v>18809</v>
      </c>
      <c r="B1607" t="s">
        <v>951</v>
      </c>
      <c r="C1607" t="s">
        <v>943</v>
      </c>
      <c r="D1607" t="s">
        <v>934</v>
      </c>
      <c r="E1607" t="s">
        <v>937</v>
      </c>
      <c r="F1607" t="s">
        <v>598</v>
      </c>
      <c r="G1607" t="s">
        <v>478</v>
      </c>
      <c r="H1607" t="s">
        <v>600</v>
      </c>
      <c r="I1607" t="s">
        <v>601</v>
      </c>
      <c r="J1607">
        <v>0.22869999999999999</v>
      </c>
      <c r="K1607">
        <v>0.23080000000000001</v>
      </c>
      <c r="L1607">
        <v>0.23280000000000001</v>
      </c>
      <c r="M1607">
        <v>0.2346</v>
      </c>
      <c r="N1607">
        <v>0.23630000000000001</v>
      </c>
      <c r="O1607">
        <v>0.2379</v>
      </c>
      <c r="P1607">
        <v>0.23949999999999999</v>
      </c>
      <c r="Q1607">
        <v>0.24110000000000001</v>
      </c>
      <c r="R1607">
        <v>0.24249999999999999</v>
      </c>
      <c r="S1607">
        <v>0.24399999999999999</v>
      </c>
      <c r="T1607">
        <v>0.2455</v>
      </c>
      <c r="U1607">
        <v>0.247</v>
      </c>
      <c r="V1607">
        <v>0.2485</v>
      </c>
      <c r="W1607">
        <v>0.25019999999999998</v>
      </c>
      <c r="X1607">
        <v>0.25169999999999998</v>
      </c>
      <c r="Y1607">
        <v>0.253</v>
      </c>
    </row>
    <row r="1608" spans="1:25" hidden="1">
      <c r="A1608" t="s">
        <v>18809</v>
      </c>
      <c r="B1608" t="s">
        <v>968</v>
      </c>
      <c r="C1608" t="s">
        <v>956</v>
      </c>
      <c r="D1608" t="s">
        <v>648</v>
      </c>
      <c r="E1608" t="s">
        <v>961</v>
      </c>
      <c r="F1608" t="s">
        <v>598</v>
      </c>
      <c r="G1608" t="s">
        <v>478</v>
      </c>
      <c r="H1608" t="s">
        <v>600</v>
      </c>
      <c r="I1608" t="s">
        <v>601</v>
      </c>
      <c r="J1608">
        <v>3.3999999999999998E-3</v>
      </c>
      <c r="K1608">
        <v>3.3999999999999998E-3</v>
      </c>
      <c r="L1608">
        <v>3.5000000000000001E-3</v>
      </c>
      <c r="M1608">
        <v>3.5000000000000001E-3</v>
      </c>
      <c r="N1608">
        <v>3.5000000000000001E-3</v>
      </c>
      <c r="O1608">
        <v>3.5000000000000001E-3</v>
      </c>
      <c r="P1608">
        <v>3.5999999999999999E-3</v>
      </c>
      <c r="Q1608">
        <v>3.7000000000000002E-3</v>
      </c>
      <c r="R1608">
        <v>3.7000000000000002E-3</v>
      </c>
      <c r="S1608">
        <v>3.7000000000000002E-3</v>
      </c>
      <c r="T1608">
        <v>3.7000000000000002E-3</v>
      </c>
      <c r="U1608">
        <v>3.7000000000000002E-3</v>
      </c>
      <c r="V1608">
        <v>3.8E-3</v>
      </c>
      <c r="W1608">
        <v>3.8999999999999998E-3</v>
      </c>
      <c r="X1608">
        <v>3.8999999999999998E-3</v>
      </c>
      <c r="Y1608">
        <v>3.8999999999999998E-3</v>
      </c>
    </row>
    <row r="1609" spans="1:25" hidden="1">
      <c r="A1609" t="s">
        <v>18809</v>
      </c>
      <c r="B1609" t="s">
        <v>981</v>
      </c>
      <c r="C1609" t="s">
        <v>980</v>
      </c>
      <c r="D1609" t="s">
        <v>982</v>
      </c>
      <c r="E1609" t="s">
        <v>613</v>
      </c>
      <c r="F1609" t="s">
        <v>598</v>
      </c>
      <c r="G1609" t="s">
        <v>478</v>
      </c>
      <c r="H1609" t="s">
        <v>600</v>
      </c>
      <c r="I1609" t="s">
        <v>601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hidden="1">
      <c r="A1610" t="s">
        <v>18809</v>
      </c>
      <c r="B1610" t="s">
        <v>987</v>
      </c>
      <c r="C1610" t="s">
        <v>980</v>
      </c>
      <c r="D1610" t="s">
        <v>986</v>
      </c>
      <c r="E1610" t="s">
        <v>927</v>
      </c>
      <c r="F1610" t="s">
        <v>598</v>
      </c>
      <c r="G1610" t="s">
        <v>478</v>
      </c>
      <c r="H1610" t="s">
        <v>600</v>
      </c>
      <c r="I1610" t="s">
        <v>601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hidden="1">
      <c r="A1611" t="s">
        <v>18809</v>
      </c>
      <c r="B1611" t="s">
        <v>988</v>
      </c>
      <c r="C1611" t="s">
        <v>980</v>
      </c>
      <c r="D1611" t="s">
        <v>648</v>
      </c>
      <c r="E1611" t="s">
        <v>920</v>
      </c>
      <c r="F1611" t="s">
        <v>598</v>
      </c>
      <c r="G1611" t="s">
        <v>478</v>
      </c>
      <c r="H1611" t="s">
        <v>600</v>
      </c>
      <c r="I1611" t="s">
        <v>601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hidden="1">
      <c r="A1612" t="s">
        <v>18809</v>
      </c>
      <c r="B1612" t="s">
        <v>997</v>
      </c>
      <c r="C1612" t="s">
        <v>998</v>
      </c>
      <c r="D1612" t="s">
        <v>999</v>
      </c>
      <c r="E1612" t="s">
        <v>1000</v>
      </c>
      <c r="F1612" t="s">
        <v>598</v>
      </c>
      <c r="G1612" t="s">
        <v>478</v>
      </c>
      <c r="H1612" t="s">
        <v>600</v>
      </c>
      <c r="I1612" t="s">
        <v>601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hidden="1">
      <c r="A1613" t="s">
        <v>18809</v>
      </c>
      <c r="B1613" t="s">
        <v>1007</v>
      </c>
      <c r="C1613" t="s">
        <v>998</v>
      </c>
      <c r="D1613" t="s">
        <v>999</v>
      </c>
      <c r="E1613" t="s">
        <v>1008</v>
      </c>
      <c r="F1613" t="s">
        <v>598</v>
      </c>
      <c r="G1613" t="s">
        <v>478</v>
      </c>
      <c r="H1613" t="s">
        <v>600</v>
      </c>
      <c r="I1613" t="s">
        <v>601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hidden="1">
      <c r="A1614" t="s">
        <v>18809</v>
      </c>
      <c r="B1614" t="s">
        <v>1009</v>
      </c>
      <c r="C1614" t="s">
        <v>998</v>
      </c>
      <c r="D1614" t="s">
        <v>999</v>
      </c>
      <c r="E1614" t="s">
        <v>1010</v>
      </c>
      <c r="F1614" t="s">
        <v>598</v>
      </c>
      <c r="G1614" t="s">
        <v>478</v>
      </c>
      <c r="H1614" t="s">
        <v>600</v>
      </c>
      <c r="I1614" t="s">
        <v>601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hidden="1">
      <c r="A1615" t="s">
        <v>18809</v>
      </c>
      <c r="B1615" t="s">
        <v>1015</v>
      </c>
      <c r="C1615" t="s">
        <v>1016</v>
      </c>
      <c r="D1615" t="s">
        <v>1017</v>
      </c>
      <c r="E1615" t="s">
        <v>1018</v>
      </c>
      <c r="F1615" t="s">
        <v>598</v>
      </c>
      <c r="G1615" t="s">
        <v>478</v>
      </c>
      <c r="H1615" t="s">
        <v>600</v>
      </c>
      <c r="I1615" t="s">
        <v>601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hidden="1">
      <c r="A1616" t="s">
        <v>18809</v>
      </c>
      <c r="B1616" t="s">
        <v>1021</v>
      </c>
      <c r="C1616" t="s">
        <v>1016</v>
      </c>
      <c r="D1616" t="s">
        <v>1017</v>
      </c>
      <c r="E1616" t="s">
        <v>1022</v>
      </c>
      <c r="F1616" t="s">
        <v>598</v>
      </c>
      <c r="G1616" t="s">
        <v>478</v>
      </c>
      <c r="H1616" t="s">
        <v>600</v>
      </c>
      <c r="I1616" t="s">
        <v>601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hidden="1">
      <c r="A1617" t="s">
        <v>18809</v>
      </c>
      <c r="B1617" t="s">
        <v>1025</v>
      </c>
      <c r="C1617" t="s">
        <v>1016</v>
      </c>
      <c r="D1617" t="s">
        <v>1017</v>
      </c>
      <c r="E1617" t="s">
        <v>1026</v>
      </c>
      <c r="F1617" t="s">
        <v>598</v>
      </c>
      <c r="G1617" t="s">
        <v>478</v>
      </c>
      <c r="H1617" t="s">
        <v>600</v>
      </c>
      <c r="I1617" t="s">
        <v>601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hidden="1">
      <c r="A1618" t="s">
        <v>18809</v>
      </c>
      <c r="B1618" t="s">
        <v>1029</v>
      </c>
      <c r="C1618" t="s">
        <v>1016</v>
      </c>
      <c r="D1618" t="s">
        <v>1017</v>
      </c>
      <c r="E1618" t="s">
        <v>1030</v>
      </c>
      <c r="F1618" t="s">
        <v>598</v>
      </c>
      <c r="G1618" t="s">
        <v>478</v>
      </c>
      <c r="H1618" t="s">
        <v>600</v>
      </c>
      <c r="I1618" t="s">
        <v>601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hidden="1">
      <c r="A1619" t="s">
        <v>18809</v>
      </c>
      <c r="B1619" t="s">
        <v>1034</v>
      </c>
      <c r="C1619" t="s">
        <v>1016</v>
      </c>
      <c r="D1619" t="s">
        <v>1017</v>
      </c>
      <c r="E1619" t="s">
        <v>1035</v>
      </c>
      <c r="F1619" t="s">
        <v>598</v>
      </c>
      <c r="G1619" t="s">
        <v>478</v>
      </c>
      <c r="H1619" t="s">
        <v>600</v>
      </c>
      <c r="I1619" t="s">
        <v>601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hidden="1">
      <c r="A1620" t="s">
        <v>18809</v>
      </c>
      <c r="B1620" t="s">
        <v>1037</v>
      </c>
      <c r="C1620" t="s">
        <v>1016</v>
      </c>
      <c r="D1620" t="s">
        <v>1017</v>
      </c>
      <c r="E1620" t="s">
        <v>1038</v>
      </c>
      <c r="F1620" t="s">
        <v>598</v>
      </c>
      <c r="G1620" t="s">
        <v>478</v>
      </c>
      <c r="H1620" t="s">
        <v>600</v>
      </c>
      <c r="I1620" t="s">
        <v>601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hidden="1">
      <c r="A1621" t="s">
        <v>18809</v>
      </c>
      <c r="B1621" t="s">
        <v>1039</v>
      </c>
      <c r="C1621" t="s">
        <v>1016</v>
      </c>
      <c r="D1621" t="s">
        <v>1017</v>
      </c>
      <c r="E1621" t="s">
        <v>1040</v>
      </c>
      <c r="F1621" t="s">
        <v>598</v>
      </c>
      <c r="G1621" t="s">
        <v>478</v>
      </c>
      <c r="H1621" t="s">
        <v>600</v>
      </c>
      <c r="I1621" t="s">
        <v>601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</row>
    <row r="1622" spans="1:25" hidden="1">
      <c r="A1622" t="s">
        <v>18809</v>
      </c>
      <c r="B1622" t="s">
        <v>1041</v>
      </c>
      <c r="C1622" t="s">
        <v>1016</v>
      </c>
      <c r="D1622" t="s">
        <v>1017</v>
      </c>
      <c r="E1622" t="s">
        <v>1042</v>
      </c>
      <c r="F1622" t="s">
        <v>598</v>
      </c>
      <c r="G1622" t="s">
        <v>478</v>
      </c>
      <c r="H1622" t="s">
        <v>600</v>
      </c>
      <c r="I1622" t="s">
        <v>601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hidden="1">
      <c r="A1623" t="s">
        <v>18809</v>
      </c>
      <c r="B1623" t="s">
        <v>1045</v>
      </c>
      <c r="C1623" t="s">
        <v>1016</v>
      </c>
      <c r="D1623" t="s">
        <v>1017</v>
      </c>
      <c r="E1623" t="s">
        <v>1046</v>
      </c>
      <c r="F1623" t="s">
        <v>598</v>
      </c>
      <c r="G1623" t="s">
        <v>478</v>
      </c>
      <c r="H1623" t="s">
        <v>600</v>
      </c>
      <c r="I1623" t="s">
        <v>601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hidden="1">
      <c r="A1624" t="s">
        <v>18809</v>
      </c>
      <c r="B1624" t="s">
        <v>1047</v>
      </c>
      <c r="C1624" t="s">
        <v>1016</v>
      </c>
      <c r="D1624" t="s">
        <v>1017</v>
      </c>
      <c r="E1624" t="s">
        <v>1048</v>
      </c>
      <c r="F1624" t="s">
        <v>598</v>
      </c>
      <c r="G1624" t="s">
        <v>478</v>
      </c>
      <c r="H1624" t="s">
        <v>600</v>
      </c>
      <c r="I1624" t="s">
        <v>601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hidden="1">
      <c r="A1625" t="s">
        <v>18809</v>
      </c>
      <c r="B1625" t="s">
        <v>1049</v>
      </c>
      <c r="C1625" t="s">
        <v>1016</v>
      </c>
      <c r="D1625" t="s">
        <v>1050</v>
      </c>
      <c r="E1625" t="s">
        <v>1024</v>
      </c>
      <c r="F1625" t="s">
        <v>598</v>
      </c>
      <c r="G1625" t="s">
        <v>478</v>
      </c>
      <c r="H1625" t="s">
        <v>600</v>
      </c>
      <c r="I1625" t="s">
        <v>601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hidden="1">
      <c r="A1626" t="s">
        <v>18809</v>
      </c>
      <c r="B1626" t="s">
        <v>1051</v>
      </c>
      <c r="C1626" t="s">
        <v>1016</v>
      </c>
      <c r="D1626" t="s">
        <v>1050</v>
      </c>
      <c r="E1626" t="s">
        <v>1052</v>
      </c>
      <c r="F1626" t="s">
        <v>598</v>
      </c>
      <c r="G1626" t="s">
        <v>478</v>
      </c>
      <c r="H1626" t="s">
        <v>600</v>
      </c>
      <c r="I1626" t="s">
        <v>601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hidden="1">
      <c r="A1627" t="s">
        <v>18809</v>
      </c>
      <c r="B1627" t="s">
        <v>1053</v>
      </c>
      <c r="C1627" t="s">
        <v>1016</v>
      </c>
      <c r="D1627" t="s">
        <v>1050</v>
      </c>
      <c r="E1627" t="s">
        <v>1000</v>
      </c>
      <c r="F1627" t="s">
        <v>598</v>
      </c>
      <c r="G1627" t="s">
        <v>478</v>
      </c>
      <c r="H1627" t="s">
        <v>600</v>
      </c>
      <c r="I1627" t="s">
        <v>601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hidden="1">
      <c r="A1628" t="s">
        <v>18809</v>
      </c>
      <c r="B1628" t="s">
        <v>1054</v>
      </c>
      <c r="C1628" t="s">
        <v>1016</v>
      </c>
      <c r="D1628" t="s">
        <v>1050</v>
      </c>
      <c r="E1628" t="s">
        <v>1055</v>
      </c>
      <c r="F1628" t="s">
        <v>598</v>
      </c>
      <c r="G1628" t="s">
        <v>478</v>
      </c>
      <c r="H1628" t="s">
        <v>600</v>
      </c>
      <c r="I1628" t="s">
        <v>601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hidden="1">
      <c r="A1629" t="s">
        <v>18809</v>
      </c>
      <c r="B1629" t="s">
        <v>1059</v>
      </c>
      <c r="C1629" t="s">
        <v>1016</v>
      </c>
      <c r="D1629" t="s">
        <v>1050</v>
      </c>
      <c r="E1629" t="s">
        <v>1042</v>
      </c>
      <c r="F1629" t="s">
        <v>598</v>
      </c>
      <c r="G1629" t="s">
        <v>478</v>
      </c>
      <c r="H1629" t="s">
        <v>600</v>
      </c>
      <c r="I1629" t="s">
        <v>601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</row>
    <row r="1630" spans="1:25" hidden="1">
      <c r="A1630" t="s">
        <v>18809</v>
      </c>
      <c r="B1630" t="s">
        <v>1061</v>
      </c>
      <c r="C1630" t="s">
        <v>1016</v>
      </c>
      <c r="D1630" t="s">
        <v>1050</v>
      </c>
      <c r="E1630" t="s">
        <v>1048</v>
      </c>
      <c r="F1630" t="s">
        <v>598</v>
      </c>
      <c r="G1630" t="s">
        <v>478</v>
      </c>
      <c r="H1630" t="s">
        <v>600</v>
      </c>
      <c r="I1630" t="s">
        <v>601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hidden="1">
      <c r="A1631" t="s">
        <v>18809</v>
      </c>
      <c r="B1631" t="s">
        <v>1062</v>
      </c>
      <c r="C1631" t="s">
        <v>1016</v>
      </c>
      <c r="D1631" t="s">
        <v>1063</v>
      </c>
      <c r="E1631" t="s">
        <v>1018</v>
      </c>
      <c r="F1631" t="s">
        <v>598</v>
      </c>
      <c r="G1631" t="s">
        <v>478</v>
      </c>
      <c r="H1631" t="s">
        <v>600</v>
      </c>
      <c r="I1631" t="s">
        <v>601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hidden="1">
      <c r="A1632" t="s">
        <v>18809</v>
      </c>
      <c r="B1632" t="s">
        <v>1064</v>
      </c>
      <c r="C1632" t="s">
        <v>1016</v>
      </c>
      <c r="D1632" t="s">
        <v>1063</v>
      </c>
      <c r="E1632" t="s">
        <v>1022</v>
      </c>
      <c r="F1632" t="s">
        <v>598</v>
      </c>
      <c r="G1632" t="s">
        <v>478</v>
      </c>
      <c r="H1632" t="s">
        <v>600</v>
      </c>
      <c r="I1632" t="s">
        <v>601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</row>
    <row r="1633" spans="1:25" hidden="1">
      <c r="A1633" t="s">
        <v>18809</v>
      </c>
      <c r="B1633" t="s">
        <v>1068</v>
      </c>
      <c r="C1633" t="s">
        <v>1016</v>
      </c>
      <c r="D1633" t="s">
        <v>1063</v>
      </c>
      <c r="E1633" t="s">
        <v>1030</v>
      </c>
      <c r="F1633" t="s">
        <v>598</v>
      </c>
      <c r="G1633" t="s">
        <v>478</v>
      </c>
      <c r="H1633" t="s">
        <v>600</v>
      </c>
      <c r="I1633" t="s">
        <v>601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hidden="1">
      <c r="A1634" t="s">
        <v>18809</v>
      </c>
      <c r="B1634" t="s">
        <v>1070</v>
      </c>
      <c r="C1634" t="s">
        <v>1016</v>
      </c>
      <c r="D1634" t="s">
        <v>1063</v>
      </c>
      <c r="E1634" t="s">
        <v>1000</v>
      </c>
      <c r="F1634" t="s">
        <v>598</v>
      </c>
      <c r="G1634" t="s">
        <v>478</v>
      </c>
      <c r="H1634" t="s">
        <v>600</v>
      </c>
      <c r="I1634" t="s">
        <v>601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hidden="1">
      <c r="A1635" t="s">
        <v>18809</v>
      </c>
      <c r="B1635" t="s">
        <v>1071</v>
      </c>
      <c r="C1635" t="s">
        <v>1016</v>
      </c>
      <c r="D1635" t="s">
        <v>1063</v>
      </c>
      <c r="E1635" t="s">
        <v>1038</v>
      </c>
      <c r="F1635" t="s">
        <v>598</v>
      </c>
      <c r="G1635" t="s">
        <v>478</v>
      </c>
      <c r="H1635" t="s">
        <v>600</v>
      </c>
      <c r="I1635" t="s">
        <v>601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hidden="1">
      <c r="A1636" t="s">
        <v>18809</v>
      </c>
      <c r="B1636" t="s">
        <v>1072</v>
      </c>
      <c r="C1636" t="s">
        <v>1016</v>
      </c>
      <c r="D1636" t="s">
        <v>1063</v>
      </c>
      <c r="E1636" t="s">
        <v>1040</v>
      </c>
      <c r="F1636" t="s">
        <v>598</v>
      </c>
      <c r="G1636" t="s">
        <v>478</v>
      </c>
      <c r="H1636" t="s">
        <v>600</v>
      </c>
      <c r="I1636" t="s">
        <v>601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hidden="1">
      <c r="A1637" t="s">
        <v>18809</v>
      </c>
      <c r="B1637" t="s">
        <v>1087</v>
      </c>
      <c r="C1637" t="s">
        <v>1079</v>
      </c>
      <c r="D1637" t="s">
        <v>1086</v>
      </c>
      <c r="E1637" t="s">
        <v>1081</v>
      </c>
      <c r="F1637" t="s">
        <v>598</v>
      </c>
      <c r="G1637" t="s">
        <v>478</v>
      </c>
      <c r="H1637" t="s">
        <v>600</v>
      </c>
      <c r="I1637" t="s">
        <v>601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hidden="1">
      <c r="A1638" t="s">
        <v>18809</v>
      </c>
      <c r="B1638" t="s">
        <v>1107</v>
      </c>
      <c r="C1638" t="s">
        <v>1079</v>
      </c>
      <c r="D1638" t="s">
        <v>1108</v>
      </c>
      <c r="E1638" t="s">
        <v>1081</v>
      </c>
      <c r="F1638" t="s">
        <v>598</v>
      </c>
      <c r="G1638" t="s">
        <v>478</v>
      </c>
      <c r="H1638" t="s">
        <v>600</v>
      </c>
      <c r="I1638" t="s">
        <v>601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hidden="1">
      <c r="A1639" t="s">
        <v>18809</v>
      </c>
      <c r="B1639" t="s">
        <v>1114</v>
      </c>
      <c r="C1639" t="s">
        <v>1079</v>
      </c>
      <c r="D1639" t="s">
        <v>1115</v>
      </c>
      <c r="E1639" t="s">
        <v>1081</v>
      </c>
      <c r="F1639" t="s">
        <v>598</v>
      </c>
      <c r="G1639" t="s">
        <v>478</v>
      </c>
      <c r="H1639" t="s">
        <v>600</v>
      </c>
      <c r="I1639" t="s">
        <v>601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hidden="1">
      <c r="A1640" t="s">
        <v>18809</v>
      </c>
      <c r="B1640" t="s">
        <v>1125</v>
      </c>
      <c r="C1640" t="s">
        <v>1079</v>
      </c>
      <c r="D1640" t="s">
        <v>1126</v>
      </c>
      <c r="E1640" t="s">
        <v>1081</v>
      </c>
      <c r="F1640" t="s">
        <v>598</v>
      </c>
      <c r="G1640" t="s">
        <v>478</v>
      </c>
      <c r="H1640" t="s">
        <v>600</v>
      </c>
      <c r="I1640" t="s">
        <v>601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hidden="1">
      <c r="A1641" t="s">
        <v>18809</v>
      </c>
      <c r="B1641" t="s">
        <v>1133</v>
      </c>
      <c r="C1641" t="s">
        <v>1079</v>
      </c>
      <c r="D1641" t="s">
        <v>1134</v>
      </c>
      <c r="E1641" t="s">
        <v>1081</v>
      </c>
      <c r="F1641" t="s">
        <v>598</v>
      </c>
      <c r="G1641" t="s">
        <v>478</v>
      </c>
      <c r="H1641" t="s">
        <v>600</v>
      </c>
      <c r="I1641" t="s">
        <v>601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hidden="1">
      <c r="A1642" t="s">
        <v>18809</v>
      </c>
      <c r="B1642" t="s">
        <v>1144</v>
      </c>
      <c r="C1642" t="s">
        <v>1079</v>
      </c>
      <c r="D1642" t="s">
        <v>1145</v>
      </c>
      <c r="E1642" t="s">
        <v>1081</v>
      </c>
      <c r="F1642" t="s">
        <v>598</v>
      </c>
      <c r="G1642" t="s">
        <v>478</v>
      </c>
      <c r="H1642" t="s">
        <v>600</v>
      </c>
      <c r="I1642" t="s">
        <v>601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</row>
    <row r="1643" spans="1:25" hidden="1">
      <c r="A1643" t="s">
        <v>18809</v>
      </c>
      <c r="B1643" t="s">
        <v>1155</v>
      </c>
      <c r="C1643" t="s">
        <v>1079</v>
      </c>
      <c r="D1643" t="s">
        <v>1156</v>
      </c>
      <c r="E1643" t="s">
        <v>1081</v>
      </c>
      <c r="F1643" t="s">
        <v>598</v>
      </c>
      <c r="G1643" t="s">
        <v>478</v>
      </c>
      <c r="H1643" t="s">
        <v>600</v>
      </c>
      <c r="I1643" t="s">
        <v>601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hidden="1">
      <c r="A1644" t="s">
        <v>18809</v>
      </c>
      <c r="B1644" t="s">
        <v>1171</v>
      </c>
      <c r="C1644" t="s">
        <v>1079</v>
      </c>
      <c r="D1644" t="s">
        <v>1172</v>
      </c>
      <c r="E1644" t="s">
        <v>1081</v>
      </c>
      <c r="F1644" t="s">
        <v>598</v>
      </c>
      <c r="G1644" t="s">
        <v>478</v>
      </c>
      <c r="H1644" t="s">
        <v>600</v>
      </c>
      <c r="I1644" t="s">
        <v>601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hidden="1">
      <c r="A1645" t="s">
        <v>18809</v>
      </c>
      <c r="B1645" t="s">
        <v>1179</v>
      </c>
      <c r="C1645" t="s">
        <v>1079</v>
      </c>
      <c r="D1645" t="s">
        <v>1180</v>
      </c>
      <c r="E1645" t="s">
        <v>1081</v>
      </c>
      <c r="F1645" t="s">
        <v>598</v>
      </c>
      <c r="G1645" t="s">
        <v>478</v>
      </c>
      <c r="H1645" t="s">
        <v>600</v>
      </c>
      <c r="I1645" t="s">
        <v>601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</row>
    <row r="1646" spans="1:25" hidden="1">
      <c r="A1646" t="s">
        <v>18809</v>
      </c>
      <c r="B1646" t="s">
        <v>1217</v>
      </c>
      <c r="C1646" t="s">
        <v>1079</v>
      </c>
      <c r="D1646" t="s">
        <v>1188</v>
      </c>
      <c r="E1646" t="s">
        <v>1106</v>
      </c>
      <c r="F1646" t="s">
        <v>598</v>
      </c>
      <c r="G1646" t="s">
        <v>478</v>
      </c>
      <c r="H1646" t="s">
        <v>600</v>
      </c>
      <c r="I1646" t="s">
        <v>601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hidden="1">
      <c r="A1647" t="s">
        <v>18809</v>
      </c>
      <c r="B1647" t="s">
        <v>1221</v>
      </c>
      <c r="C1647" t="s">
        <v>1079</v>
      </c>
      <c r="D1647" t="s">
        <v>648</v>
      </c>
      <c r="E1647" t="s">
        <v>1081</v>
      </c>
      <c r="F1647" t="s">
        <v>598</v>
      </c>
      <c r="G1647" t="s">
        <v>478</v>
      </c>
      <c r="H1647" t="s">
        <v>600</v>
      </c>
      <c r="I1647" t="s">
        <v>601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hidden="1">
      <c r="A1648" t="s">
        <v>18809</v>
      </c>
      <c r="B1648" t="s">
        <v>1234</v>
      </c>
      <c r="C1648" t="s">
        <v>1230</v>
      </c>
      <c r="D1648" t="s">
        <v>1188</v>
      </c>
      <c r="E1648" t="s">
        <v>1004</v>
      </c>
      <c r="F1648" t="s">
        <v>598</v>
      </c>
      <c r="G1648" t="s">
        <v>478</v>
      </c>
      <c r="H1648" t="s">
        <v>600</v>
      </c>
      <c r="I1648" t="s">
        <v>601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hidden="1">
      <c r="A1649" t="s">
        <v>18809</v>
      </c>
      <c r="B1649" t="s">
        <v>1244</v>
      </c>
      <c r="C1649" t="s">
        <v>1230</v>
      </c>
      <c r="D1649" t="s">
        <v>1243</v>
      </c>
      <c r="E1649" t="s">
        <v>1239</v>
      </c>
      <c r="F1649" t="s">
        <v>598</v>
      </c>
      <c r="G1649" t="s">
        <v>478</v>
      </c>
      <c r="H1649" t="s">
        <v>600</v>
      </c>
      <c r="I1649" t="s">
        <v>601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hidden="1">
      <c r="A1650" t="s">
        <v>18809</v>
      </c>
      <c r="B1650" t="s">
        <v>1247</v>
      </c>
      <c r="C1650" t="s">
        <v>1230</v>
      </c>
      <c r="D1650" t="s">
        <v>1246</v>
      </c>
      <c r="E1650" t="s">
        <v>1239</v>
      </c>
      <c r="F1650" t="s">
        <v>598</v>
      </c>
      <c r="G1650" t="s">
        <v>478</v>
      </c>
      <c r="H1650" t="s">
        <v>600</v>
      </c>
      <c r="I1650" t="s">
        <v>601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 hidden="1">
      <c r="A1651" t="s">
        <v>18809</v>
      </c>
      <c r="B1651" t="s">
        <v>1250</v>
      </c>
      <c r="C1651" t="s">
        <v>1230</v>
      </c>
      <c r="D1651" t="s">
        <v>648</v>
      </c>
      <c r="E1651" t="s">
        <v>1004</v>
      </c>
      <c r="F1651" t="s">
        <v>598</v>
      </c>
      <c r="G1651" t="s">
        <v>478</v>
      </c>
      <c r="H1651" t="s">
        <v>600</v>
      </c>
      <c r="I1651" t="s">
        <v>601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hidden="1">
      <c r="A1652" t="s">
        <v>18809</v>
      </c>
      <c r="B1652" t="s">
        <v>1256</v>
      </c>
      <c r="C1652" t="s">
        <v>1253</v>
      </c>
      <c r="D1652" t="s">
        <v>1254</v>
      </c>
      <c r="E1652" t="s">
        <v>1257</v>
      </c>
      <c r="F1652" t="s">
        <v>598</v>
      </c>
      <c r="G1652" t="s">
        <v>478</v>
      </c>
      <c r="H1652" t="s">
        <v>600</v>
      </c>
      <c r="I1652" t="s">
        <v>601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hidden="1">
      <c r="A1653" t="s">
        <v>18809</v>
      </c>
      <c r="B1653" t="s">
        <v>1258</v>
      </c>
      <c r="C1653" t="s">
        <v>1253</v>
      </c>
      <c r="D1653" t="s">
        <v>1254</v>
      </c>
      <c r="E1653" t="s">
        <v>1259</v>
      </c>
      <c r="F1653" t="s">
        <v>598</v>
      </c>
      <c r="G1653" t="s">
        <v>478</v>
      </c>
      <c r="H1653" t="s">
        <v>600</v>
      </c>
      <c r="I1653" t="s">
        <v>601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hidden="1">
      <c r="A1654" t="s">
        <v>18809</v>
      </c>
      <c r="B1654" t="s">
        <v>1260</v>
      </c>
      <c r="C1654" t="s">
        <v>1261</v>
      </c>
      <c r="D1654" t="s">
        <v>648</v>
      </c>
      <c r="E1654" t="s">
        <v>920</v>
      </c>
      <c r="F1654" t="s">
        <v>598</v>
      </c>
      <c r="G1654" t="s">
        <v>478</v>
      </c>
      <c r="H1654" t="s">
        <v>600</v>
      </c>
      <c r="I1654" t="s">
        <v>601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hidden="1">
      <c r="A1655" t="s">
        <v>18809</v>
      </c>
      <c r="B1655" t="s">
        <v>1265</v>
      </c>
      <c r="C1655" t="s">
        <v>1261</v>
      </c>
      <c r="D1655" t="s">
        <v>648</v>
      </c>
      <c r="E1655" t="s">
        <v>1004</v>
      </c>
      <c r="F1655" t="s">
        <v>598</v>
      </c>
      <c r="G1655" t="s">
        <v>478</v>
      </c>
      <c r="H1655" t="s">
        <v>600</v>
      </c>
      <c r="I1655" t="s">
        <v>601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hidden="1">
      <c r="A1656" t="s">
        <v>18809</v>
      </c>
      <c r="B1656" t="s">
        <v>1478</v>
      </c>
      <c r="C1656" t="s">
        <v>1472</v>
      </c>
      <c r="D1656" t="s">
        <v>1305</v>
      </c>
      <c r="E1656" t="s">
        <v>973</v>
      </c>
      <c r="F1656" t="s">
        <v>598</v>
      </c>
      <c r="G1656" t="s">
        <v>478</v>
      </c>
      <c r="H1656" t="s">
        <v>600</v>
      </c>
      <c r="I1656" t="s">
        <v>601</v>
      </c>
      <c r="J1656">
        <v>7.7000000000000002E-3</v>
      </c>
      <c r="K1656">
        <v>7.7000000000000002E-3</v>
      </c>
      <c r="L1656">
        <v>7.6E-3</v>
      </c>
      <c r="M1656">
        <v>7.4999999999999997E-3</v>
      </c>
      <c r="N1656">
        <v>7.3000000000000001E-3</v>
      </c>
      <c r="O1656">
        <v>7.1999999999999998E-3</v>
      </c>
      <c r="P1656">
        <v>7.0000000000000001E-3</v>
      </c>
      <c r="Q1656">
        <v>6.7999999999999996E-3</v>
      </c>
      <c r="R1656">
        <v>6.6E-3</v>
      </c>
      <c r="S1656">
        <v>6.4999999999999997E-3</v>
      </c>
      <c r="T1656">
        <v>6.3E-3</v>
      </c>
      <c r="U1656">
        <v>6.1000000000000004E-3</v>
      </c>
      <c r="V1656">
        <v>6.0000000000000001E-3</v>
      </c>
      <c r="W1656">
        <v>5.8999999999999999E-3</v>
      </c>
      <c r="X1656">
        <v>5.7999999999999996E-3</v>
      </c>
      <c r="Y1656">
        <v>5.7000000000000002E-3</v>
      </c>
    </row>
    <row r="1657" spans="1:25" hidden="1">
      <c r="A1657" t="s">
        <v>18809</v>
      </c>
      <c r="B1657" t="s">
        <v>1482</v>
      </c>
      <c r="C1657" t="s">
        <v>1472</v>
      </c>
      <c r="D1657" t="s">
        <v>1483</v>
      </c>
      <c r="E1657" t="s">
        <v>597</v>
      </c>
      <c r="F1657" t="s">
        <v>598</v>
      </c>
      <c r="G1657" t="s">
        <v>478</v>
      </c>
      <c r="H1657" t="s">
        <v>600</v>
      </c>
      <c r="I1657" t="s">
        <v>601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hidden="1">
      <c r="A1658" t="s">
        <v>18809</v>
      </c>
      <c r="B1658" t="s">
        <v>1493</v>
      </c>
      <c r="C1658" t="s">
        <v>1472</v>
      </c>
      <c r="D1658" t="s">
        <v>1316</v>
      </c>
      <c r="E1658" t="s">
        <v>626</v>
      </c>
      <c r="F1658" t="s">
        <v>598</v>
      </c>
      <c r="G1658" t="s">
        <v>478</v>
      </c>
      <c r="H1658" t="s">
        <v>600</v>
      </c>
      <c r="I1658" t="s">
        <v>601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hidden="1">
      <c r="A1659" t="s">
        <v>18809</v>
      </c>
      <c r="B1659" t="s">
        <v>1556</v>
      </c>
      <c r="C1659" t="s">
        <v>1472</v>
      </c>
      <c r="D1659" t="s">
        <v>1552</v>
      </c>
      <c r="E1659" t="s">
        <v>676</v>
      </c>
      <c r="F1659" t="s">
        <v>598</v>
      </c>
      <c r="G1659" t="s">
        <v>478</v>
      </c>
      <c r="H1659" t="s">
        <v>600</v>
      </c>
      <c r="I1659" t="s">
        <v>601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hidden="1">
      <c r="A1660" t="s">
        <v>18809</v>
      </c>
      <c r="B1660" t="s">
        <v>1563</v>
      </c>
      <c r="C1660" t="s">
        <v>1472</v>
      </c>
      <c r="D1660" t="s">
        <v>1564</v>
      </c>
      <c r="E1660" t="s">
        <v>626</v>
      </c>
      <c r="F1660" t="s">
        <v>598</v>
      </c>
      <c r="G1660" t="s">
        <v>478</v>
      </c>
      <c r="H1660" t="s">
        <v>600</v>
      </c>
      <c r="I1660" t="s">
        <v>601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hidden="1">
      <c r="A1661" t="s">
        <v>18809</v>
      </c>
      <c r="B1661" t="s">
        <v>1565</v>
      </c>
      <c r="C1661" t="s">
        <v>1472</v>
      </c>
      <c r="D1661" t="s">
        <v>1564</v>
      </c>
      <c r="E1661" t="s">
        <v>678</v>
      </c>
      <c r="F1661" t="s">
        <v>598</v>
      </c>
      <c r="G1661" t="s">
        <v>478</v>
      </c>
      <c r="H1661" t="s">
        <v>600</v>
      </c>
      <c r="I1661" t="s">
        <v>601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hidden="1">
      <c r="A1662" t="s">
        <v>18809</v>
      </c>
      <c r="B1662" t="s">
        <v>1566</v>
      </c>
      <c r="C1662" t="s">
        <v>1472</v>
      </c>
      <c r="D1662" t="s">
        <v>1567</v>
      </c>
      <c r="E1662" t="s">
        <v>626</v>
      </c>
      <c r="F1662" t="s">
        <v>598</v>
      </c>
      <c r="G1662" t="s">
        <v>478</v>
      </c>
      <c r="H1662" t="s">
        <v>600</v>
      </c>
      <c r="I1662" t="s">
        <v>601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hidden="1">
      <c r="A1663" t="s">
        <v>18809</v>
      </c>
      <c r="B1663" t="s">
        <v>1568</v>
      </c>
      <c r="C1663" t="s">
        <v>1472</v>
      </c>
      <c r="D1663" t="s">
        <v>1569</v>
      </c>
      <c r="E1663" t="s">
        <v>626</v>
      </c>
      <c r="F1663" t="s">
        <v>598</v>
      </c>
      <c r="G1663" t="s">
        <v>478</v>
      </c>
      <c r="H1663" t="s">
        <v>600</v>
      </c>
      <c r="I1663" t="s">
        <v>601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hidden="1">
      <c r="A1664" t="s">
        <v>18809</v>
      </c>
      <c r="B1664" t="s">
        <v>1570</v>
      </c>
      <c r="C1664" t="s">
        <v>1472</v>
      </c>
      <c r="D1664" t="s">
        <v>1571</v>
      </c>
      <c r="E1664" t="s">
        <v>626</v>
      </c>
      <c r="F1664" t="s">
        <v>598</v>
      </c>
      <c r="G1664" t="s">
        <v>478</v>
      </c>
      <c r="H1664" t="s">
        <v>600</v>
      </c>
      <c r="I1664" t="s">
        <v>601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hidden="1">
      <c r="A1665" t="s">
        <v>18809</v>
      </c>
      <c r="B1665" t="s">
        <v>1573</v>
      </c>
      <c r="C1665" t="s">
        <v>1472</v>
      </c>
      <c r="D1665" t="s">
        <v>1574</v>
      </c>
      <c r="E1665" t="s">
        <v>626</v>
      </c>
      <c r="F1665" t="s">
        <v>598</v>
      </c>
      <c r="G1665" t="s">
        <v>478</v>
      </c>
      <c r="H1665" t="s">
        <v>600</v>
      </c>
      <c r="I1665" t="s">
        <v>601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hidden="1">
      <c r="A1666" t="s">
        <v>18809</v>
      </c>
      <c r="B1666" t="s">
        <v>1575</v>
      </c>
      <c r="C1666" t="s">
        <v>1472</v>
      </c>
      <c r="D1666" t="s">
        <v>1576</v>
      </c>
      <c r="E1666" t="s">
        <v>626</v>
      </c>
      <c r="F1666" t="s">
        <v>598</v>
      </c>
      <c r="G1666" t="s">
        <v>478</v>
      </c>
      <c r="H1666" t="s">
        <v>600</v>
      </c>
      <c r="I1666" t="s">
        <v>601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hidden="1">
      <c r="A1667" t="s">
        <v>18809</v>
      </c>
      <c r="B1667" t="s">
        <v>1577</v>
      </c>
      <c r="C1667" t="s">
        <v>1472</v>
      </c>
      <c r="D1667" t="s">
        <v>1578</v>
      </c>
      <c r="E1667" t="s">
        <v>626</v>
      </c>
      <c r="F1667" t="s">
        <v>598</v>
      </c>
      <c r="G1667" t="s">
        <v>478</v>
      </c>
      <c r="H1667" t="s">
        <v>600</v>
      </c>
      <c r="I1667" t="s">
        <v>601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hidden="1">
      <c r="A1668" t="s">
        <v>18809</v>
      </c>
      <c r="B1668" t="s">
        <v>1582</v>
      </c>
      <c r="C1668" t="s">
        <v>1472</v>
      </c>
      <c r="D1668" t="s">
        <v>1583</v>
      </c>
      <c r="E1668" t="s">
        <v>626</v>
      </c>
      <c r="F1668" t="s">
        <v>598</v>
      </c>
      <c r="G1668" t="s">
        <v>478</v>
      </c>
      <c r="H1668" t="s">
        <v>600</v>
      </c>
      <c r="I1668" t="s">
        <v>601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hidden="1">
      <c r="A1669" t="s">
        <v>18809</v>
      </c>
      <c r="B1669" t="s">
        <v>1589</v>
      </c>
      <c r="C1669" t="s">
        <v>1472</v>
      </c>
      <c r="D1669" t="s">
        <v>1365</v>
      </c>
      <c r="E1669" t="s">
        <v>973</v>
      </c>
      <c r="F1669" t="s">
        <v>598</v>
      </c>
      <c r="G1669" t="s">
        <v>478</v>
      </c>
      <c r="H1669" t="s">
        <v>600</v>
      </c>
      <c r="I1669" t="s">
        <v>601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hidden="1">
      <c r="A1670" t="s">
        <v>18809</v>
      </c>
      <c r="B1670" t="s">
        <v>1590</v>
      </c>
      <c r="C1670" t="s">
        <v>1472</v>
      </c>
      <c r="D1670" t="s">
        <v>1365</v>
      </c>
      <c r="E1670" t="s">
        <v>626</v>
      </c>
      <c r="F1670" t="s">
        <v>598</v>
      </c>
      <c r="G1670" t="s">
        <v>478</v>
      </c>
      <c r="H1670" t="s">
        <v>600</v>
      </c>
      <c r="I1670" t="s">
        <v>601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hidden="1">
      <c r="A1671" t="s">
        <v>18809</v>
      </c>
      <c r="B1671" t="s">
        <v>1600</v>
      </c>
      <c r="C1671" t="s">
        <v>1472</v>
      </c>
      <c r="D1671" t="s">
        <v>1601</v>
      </c>
      <c r="E1671" t="s">
        <v>626</v>
      </c>
      <c r="F1671" t="s">
        <v>598</v>
      </c>
      <c r="G1671" t="s">
        <v>478</v>
      </c>
      <c r="H1671" t="s">
        <v>600</v>
      </c>
      <c r="I1671" t="s">
        <v>601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hidden="1">
      <c r="A1672" t="s">
        <v>18809</v>
      </c>
      <c r="B1672" t="s">
        <v>1602</v>
      </c>
      <c r="C1672" t="s">
        <v>1472</v>
      </c>
      <c r="D1672" t="s">
        <v>1603</v>
      </c>
      <c r="E1672" t="s">
        <v>626</v>
      </c>
      <c r="F1672" t="s">
        <v>598</v>
      </c>
      <c r="G1672" t="s">
        <v>478</v>
      </c>
      <c r="H1672" t="s">
        <v>600</v>
      </c>
      <c r="I1672" t="s">
        <v>601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hidden="1">
      <c r="A1673" t="s">
        <v>18809</v>
      </c>
      <c r="B1673" t="s">
        <v>1604</v>
      </c>
      <c r="C1673" t="s">
        <v>1472</v>
      </c>
      <c r="D1673" t="s">
        <v>1605</v>
      </c>
      <c r="E1673" t="s">
        <v>626</v>
      </c>
      <c r="F1673" t="s">
        <v>598</v>
      </c>
      <c r="G1673" t="s">
        <v>478</v>
      </c>
      <c r="H1673" t="s">
        <v>600</v>
      </c>
      <c r="I1673" t="s">
        <v>601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hidden="1">
      <c r="A1674" t="s">
        <v>18809</v>
      </c>
      <c r="B1674" t="s">
        <v>1610</v>
      </c>
      <c r="C1674" t="s">
        <v>1611</v>
      </c>
      <c r="D1674" t="s">
        <v>648</v>
      </c>
      <c r="E1674" t="s">
        <v>920</v>
      </c>
      <c r="F1674" t="s">
        <v>598</v>
      </c>
      <c r="G1674" t="s">
        <v>478</v>
      </c>
      <c r="H1674" t="s">
        <v>600</v>
      </c>
      <c r="I1674" t="s">
        <v>601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 hidden="1">
      <c r="A1675" t="s">
        <v>18809</v>
      </c>
      <c r="B1675" t="s">
        <v>1771</v>
      </c>
      <c r="C1675" t="s">
        <v>1614</v>
      </c>
      <c r="D1675" t="s">
        <v>1768</v>
      </c>
      <c r="E1675" t="s">
        <v>1772</v>
      </c>
      <c r="F1675" t="s">
        <v>598</v>
      </c>
      <c r="G1675" t="s">
        <v>478</v>
      </c>
      <c r="H1675" t="s">
        <v>600</v>
      </c>
      <c r="I1675" t="s">
        <v>601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hidden="1">
      <c r="A1676" t="s">
        <v>18809</v>
      </c>
      <c r="B1676" t="s">
        <v>1775</v>
      </c>
      <c r="C1676" t="s">
        <v>1614</v>
      </c>
      <c r="D1676" t="s">
        <v>1776</v>
      </c>
      <c r="E1676" t="s">
        <v>1777</v>
      </c>
      <c r="F1676" t="s">
        <v>598</v>
      </c>
      <c r="G1676" t="s">
        <v>478</v>
      </c>
      <c r="H1676" t="s">
        <v>600</v>
      </c>
      <c r="I1676" t="s">
        <v>601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hidden="1">
      <c r="A1677" t="s">
        <v>18809</v>
      </c>
      <c r="B1677" t="s">
        <v>1780</v>
      </c>
      <c r="C1677" t="s">
        <v>1614</v>
      </c>
      <c r="D1677" t="s">
        <v>1781</v>
      </c>
      <c r="E1677" t="s">
        <v>1716</v>
      </c>
      <c r="F1677" t="s">
        <v>598</v>
      </c>
      <c r="G1677" t="s">
        <v>478</v>
      </c>
      <c r="H1677" t="s">
        <v>600</v>
      </c>
      <c r="I1677" t="s">
        <v>601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 hidden="1">
      <c r="A1678" t="s">
        <v>18809</v>
      </c>
      <c r="B1678" t="s">
        <v>1813</v>
      </c>
      <c r="C1678" t="s">
        <v>1614</v>
      </c>
      <c r="D1678" t="s">
        <v>1812</v>
      </c>
      <c r="E1678" t="s">
        <v>1393</v>
      </c>
      <c r="F1678" t="s">
        <v>598</v>
      </c>
      <c r="G1678" t="s">
        <v>478</v>
      </c>
      <c r="H1678" t="s">
        <v>600</v>
      </c>
      <c r="I1678" t="s">
        <v>601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hidden="1">
      <c r="A1679" t="s">
        <v>18809</v>
      </c>
      <c r="B1679" t="s">
        <v>1832</v>
      </c>
      <c r="C1679" t="s">
        <v>1614</v>
      </c>
      <c r="D1679" t="s">
        <v>648</v>
      </c>
      <c r="E1679" t="s">
        <v>1393</v>
      </c>
      <c r="F1679" t="s">
        <v>598</v>
      </c>
      <c r="G1679" t="s">
        <v>478</v>
      </c>
      <c r="H1679" t="s">
        <v>600</v>
      </c>
      <c r="I1679" t="s">
        <v>601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hidden="1">
      <c r="A1680" t="s">
        <v>18809</v>
      </c>
      <c r="B1680" t="s">
        <v>1858</v>
      </c>
      <c r="C1680" t="s">
        <v>1845</v>
      </c>
      <c r="D1680" t="s">
        <v>1859</v>
      </c>
      <c r="E1680" t="s">
        <v>1860</v>
      </c>
      <c r="F1680" t="s">
        <v>598</v>
      </c>
      <c r="G1680" t="s">
        <v>478</v>
      </c>
      <c r="H1680" t="s">
        <v>600</v>
      </c>
      <c r="I1680" t="s">
        <v>601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hidden="1">
      <c r="A1681" t="s">
        <v>18809</v>
      </c>
      <c r="B1681" t="s">
        <v>1863</v>
      </c>
      <c r="C1681" t="s">
        <v>1845</v>
      </c>
      <c r="D1681" t="s">
        <v>1864</v>
      </c>
      <c r="E1681" t="s">
        <v>1865</v>
      </c>
      <c r="F1681" t="s">
        <v>598</v>
      </c>
      <c r="G1681" t="s">
        <v>478</v>
      </c>
      <c r="H1681" t="s">
        <v>600</v>
      </c>
      <c r="I1681" t="s">
        <v>601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 hidden="1">
      <c r="A1682" t="s">
        <v>18809</v>
      </c>
      <c r="B1682" t="s">
        <v>1870</v>
      </c>
      <c r="C1682" t="s">
        <v>1845</v>
      </c>
      <c r="D1682" t="s">
        <v>1871</v>
      </c>
      <c r="E1682" t="s">
        <v>1872</v>
      </c>
      <c r="F1682" t="s">
        <v>598</v>
      </c>
      <c r="G1682" t="s">
        <v>478</v>
      </c>
      <c r="H1682" t="s">
        <v>600</v>
      </c>
      <c r="I1682" t="s">
        <v>601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</row>
    <row r="1683" spans="1:25" hidden="1">
      <c r="A1683" t="s">
        <v>18809</v>
      </c>
      <c r="B1683" t="s">
        <v>1877</v>
      </c>
      <c r="C1683" t="s">
        <v>1845</v>
      </c>
      <c r="D1683" t="s">
        <v>1878</v>
      </c>
      <c r="E1683" t="s">
        <v>1872</v>
      </c>
      <c r="F1683" t="s">
        <v>598</v>
      </c>
      <c r="G1683" t="s">
        <v>478</v>
      </c>
      <c r="H1683" t="s">
        <v>600</v>
      </c>
      <c r="I1683" t="s">
        <v>601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hidden="1">
      <c r="A1684" t="s">
        <v>18809</v>
      </c>
      <c r="B1684" t="s">
        <v>1917</v>
      </c>
      <c r="C1684" t="s">
        <v>1845</v>
      </c>
      <c r="D1684" t="s">
        <v>1918</v>
      </c>
      <c r="E1684" t="s">
        <v>1872</v>
      </c>
      <c r="F1684" t="s">
        <v>598</v>
      </c>
      <c r="G1684" t="s">
        <v>478</v>
      </c>
      <c r="H1684" t="s">
        <v>600</v>
      </c>
      <c r="I1684" t="s">
        <v>601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hidden="1">
      <c r="A1685" t="s">
        <v>18809</v>
      </c>
      <c r="B1685" t="s">
        <v>1964</v>
      </c>
      <c r="C1685" t="s">
        <v>1959</v>
      </c>
      <c r="D1685" t="s">
        <v>1965</v>
      </c>
      <c r="E1685" t="s">
        <v>1966</v>
      </c>
      <c r="F1685" t="s">
        <v>598</v>
      </c>
      <c r="G1685" t="s">
        <v>478</v>
      </c>
      <c r="H1685" t="s">
        <v>600</v>
      </c>
      <c r="I1685" t="s">
        <v>601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</row>
    <row r="1686" spans="1:25" hidden="1">
      <c r="A1686" t="s">
        <v>18809</v>
      </c>
      <c r="B1686" t="s">
        <v>1967</v>
      </c>
      <c r="C1686" t="s">
        <v>1959</v>
      </c>
      <c r="D1686" t="s">
        <v>1968</v>
      </c>
      <c r="E1686" t="s">
        <v>1962</v>
      </c>
      <c r="F1686" t="s">
        <v>598</v>
      </c>
      <c r="G1686" t="s">
        <v>478</v>
      </c>
      <c r="H1686" t="s">
        <v>600</v>
      </c>
      <c r="I1686" t="s">
        <v>601</v>
      </c>
      <c r="J1686">
        <v>0.17380000000000001</v>
      </c>
      <c r="K1686">
        <v>0.17979999999999999</v>
      </c>
      <c r="L1686">
        <v>0.18609999999999999</v>
      </c>
      <c r="M1686">
        <v>0.19289999999999999</v>
      </c>
      <c r="N1686">
        <v>0.19589999999999999</v>
      </c>
      <c r="O1686">
        <v>0.19850000000000001</v>
      </c>
      <c r="P1686">
        <v>0.20119999999999999</v>
      </c>
      <c r="Q1686">
        <v>0.2041</v>
      </c>
      <c r="R1686">
        <v>0.20710000000000001</v>
      </c>
      <c r="S1686">
        <v>0.21029999999999999</v>
      </c>
      <c r="T1686">
        <v>0.2137</v>
      </c>
      <c r="U1686">
        <v>0.2177</v>
      </c>
      <c r="V1686">
        <v>0.2218</v>
      </c>
      <c r="W1686">
        <v>0.2261</v>
      </c>
      <c r="X1686">
        <v>0.22969999999999999</v>
      </c>
      <c r="Y1686">
        <v>0.2334</v>
      </c>
    </row>
    <row r="1687" spans="1:25" hidden="1">
      <c r="A1687" t="s">
        <v>18809</v>
      </c>
      <c r="B1687" t="s">
        <v>1977</v>
      </c>
      <c r="C1687" t="s">
        <v>1959</v>
      </c>
      <c r="D1687" t="s">
        <v>1972</v>
      </c>
      <c r="E1687" t="s">
        <v>1966</v>
      </c>
      <c r="F1687" t="s">
        <v>598</v>
      </c>
      <c r="G1687" t="s">
        <v>478</v>
      </c>
      <c r="H1687" t="s">
        <v>600</v>
      </c>
      <c r="I1687" t="s">
        <v>601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</row>
    <row r="1688" spans="1:25" hidden="1">
      <c r="A1688" t="s">
        <v>18809</v>
      </c>
      <c r="B1688" t="s">
        <v>1978</v>
      </c>
      <c r="C1688" t="s">
        <v>1959</v>
      </c>
      <c r="D1688" t="s">
        <v>1972</v>
      </c>
      <c r="E1688" t="s">
        <v>1979</v>
      </c>
      <c r="F1688" t="s">
        <v>598</v>
      </c>
      <c r="G1688" t="s">
        <v>478</v>
      </c>
      <c r="H1688" t="s">
        <v>600</v>
      </c>
      <c r="I1688" t="s">
        <v>601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hidden="1">
      <c r="A1689" t="s">
        <v>18809</v>
      </c>
      <c r="B1689" t="s">
        <v>1985</v>
      </c>
      <c r="C1689" t="s">
        <v>1959</v>
      </c>
      <c r="D1689" t="s">
        <v>1983</v>
      </c>
      <c r="E1689" t="s">
        <v>1378</v>
      </c>
      <c r="F1689" t="s">
        <v>598</v>
      </c>
      <c r="G1689" t="s">
        <v>478</v>
      </c>
      <c r="H1689" t="s">
        <v>600</v>
      </c>
      <c r="I1689" t="s">
        <v>601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</row>
    <row r="1690" spans="1:25" hidden="1">
      <c r="A1690" t="s">
        <v>18809</v>
      </c>
      <c r="B1690" t="s">
        <v>1986</v>
      </c>
      <c r="C1690" t="s">
        <v>1959</v>
      </c>
      <c r="D1690" t="s">
        <v>1983</v>
      </c>
      <c r="E1690" t="s">
        <v>1987</v>
      </c>
      <c r="F1690" t="s">
        <v>598</v>
      </c>
      <c r="G1690" t="s">
        <v>478</v>
      </c>
      <c r="H1690" t="s">
        <v>600</v>
      </c>
      <c r="I1690" t="s">
        <v>601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hidden="1">
      <c r="A1691" t="s">
        <v>18809</v>
      </c>
      <c r="B1691" t="s">
        <v>1988</v>
      </c>
      <c r="C1691" t="s">
        <v>1959</v>
      </c>
      <c r="D1691" t="s">
        <v>1983</v>
      </c>
      <c r="E1691" t="s">
        <v>1966</v>
      </c>
      <c r="F1691" t="s">
        <v>598</v>
      </c>
      <c r="G1691" t="s">
        <v>478</v>
      </c>
      <c r="H1691" t="s">
        <v>600</v>
      </c>
      <c r="I1691" t="s">
        <v>601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</row>
    <row r="1692" spans="1:25" hidden="1">
      <c r="A1692" t="s">
        <v>18809</v>
      </c>
      <c r="B1692" t="s">
        <v>1989</v>
      </c>
      <c r="C1692" t="s">
        <v>1959</v>
      </c>
      <c r="D1692" t="s">
        <v>1983</v>
      </c>
      <c r="E1692" t="s">
        <v>1990</v>
      </c>
      <c r="F1692" t="s">
        <v>598</v>
      </c>
      <c r="G1692" t="s">
        <v>478</v>
      </c>
      <c r="H1692" t="s">
        <v>600</v>
      </c>
      <c r="I1692" t="s">
        <v>601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</row>
    <row r="1693" spans="1:25" hidden="1">
      <c r="A1693" t="s">
        <v>18809</v>
      </c>
      <c r="B1693" t="s">
        <v>1991</v>
      </c>
      <c r="C1693" t="s">
        <v>1959</v>
      </c>
      <c r="D1693" t="s">
        <v>1983</v>
      </c>
      <c r="E1693" t="s">
        <v>1992</v>
      </c>
      <c r="F1693" t="s">
        <v>598</v>
      </c>
      <c r="G1693" t="s">
        <v>478</v>
      </c>
      <c r="H1693" t="s">
        <v>600</v>
      </c>
      <c r="I1693" t="s">
        <v>601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</row>
    <row r="1694" spans="1:25" hidden="1">
      <c r="A1694" t="s">
        <v>18809</v>
      </c>
      <c r="B1694" t="s">
        <v>1993</v>
      </c>
      <c r="C1694" t="s">
        <v>1959</v>
      </c>
      <c r="D1694" t="s">
        <v>1983</v>
      </c>
      <c r="E1694" t="s">
        <v>1994</v>
      </c>
      <c r="F1694" t="s">
        <v>598</v>
      </c>
      <c r="G1694" t="s">
        <v>478</v>
      </c>
      <c r="H1694" t="s">
        <v>600</v>
      </c>
      <c r="I1694" t="s">
        <v>601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hidden="1">
      <c r="A1695" t="s">
        <v>18809</v>
      </c>
      <c r="B1695" t="s">
        <v>2004</v>
      </c>
      <c r="C1695" t="s">
        <v>1959</v>
      </c>
      <c r="D1695" t="s">
        <v>2001</v>
      </c>
      <c r="E1695" t="s">
        <v>1380</v>
      </c>
      <c r="F1695" t="s">
        <v>598</v>
      </c>
      <c r="G1695" t="s">
        <v>478</v>
      </c>
      <c r="H1695" t="s">
        <v>600</v>
      </c>
      <c r="I1695" t="s">
        <v>601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</row>
    <row r="1696" spans="1:25" hidden="1">
      <c r="A1696" t="s">
        <v>18809</v>
      </c>
      <c r="B1696" t="s">
        <v>2005</v>
      </c>
      <c r="C1696" t="s">
        <v>1959</v>
      </c>
      <c r="D1696" t="s">
        <v>2001</v>
      </c>
      <c r="E1696" t="s">
        <v>1976</v>
      </c>
      <c r="F1696" t="s">
        <v>598</v>
      </c>
      <c r="G1696" t="s">
        <v>478</v>
      </c>
      <c r="H1696" t="s">
        <v>600</v>
      </c>
      <c r="I1696" t="s">
        <v>601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</row>
    <row r="1697" spans="1:25" hidden="1">
      <c r="A1697" t="s">
        <v>18809</v>
      </c>
      <c r="B1697" t="s">
        <v>2039</v>
      </c>
      <c r="C1697" t="s">
        <v>1959</v>
      </c>
      <c r="D1697" t="s">
        <v>648</v>
      </c>
      <c r="E1697" t="s">
        <v>1378</v>
      </c>
      <c r="F1697" t="s">
        <v>598</v>
      </c>
      <c r="G1697" t="s">
        <v>478</v>
      </c>
      <c r="H1697" t="s">
        <v>600</v>
      </c>
      <c r="I1697" t="s">
        <v>601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</row>
    <row r="1698" spans="1:25" hidden="1">
      <c r="A1698" t="s">
        <v>18809</v>
      </c>
      <c r="B1698" t="s">
        <v>2042</v>
      </c>
      <c r="C1698" t="s">
        <v>1959</v>
      </c>
      <c r="D1698" t="s">
        <v>648</v>
      </c>
      <c r="E1698" t="s">
        <v>1380</v>
      </c>
      <c r="F1698" t="s">
        <v>598</v>
      </c>
      <c r="G1698" t="s">
        <v>478</v>
      </c>
      <c r="H1698" t="s">
        <v>600</v>
      </c>
      <c r="I1698" t="s">
        <v>601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</row>
    <row r="1699" spans="1:25" hidden="1">
      <c r="A1699" t="s">
        <v>18809</v>
      </c>
      <c r="B1699" t="s">
        <v>2046</v>
      </c>
      <c r="C1699" t="s">
        <v>1959</v>
      </c>
      <c r="D1699" t="s">
        <v>648</v>
      </c>
      <c r="E1699" t="s">
        <v>2047</v>
      </c>
      <c r="F1699" t="s">
        <v>598</v>
      </c>
      <c r="G1699" t="s">
        <v>478</v>
      </c>
      <c r="H1699" t="s">
        <v>600</v>
      </c>
      <c r="I1699" t="s">
        <v>601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hidden="1">
      <c r="A1700" t="s">
        <v>18809</v>
      </c>
      <c r="B1700" t="s">
        <v>2058</v>
      </c>
      <c r="C1700" t="s">
        <v>1959</v>
      </c>
      <c r="D1700" t="s">
        <v>648</v>
      </c>
      <c r="E1700" t="s">
        <v>2025</v>
      </c>
      <c r="F1700" t="s">
        <v>598</v>
      </c>
      <c r="G1700" t="s">
        <v>478</v>
      </c>
      <c r="H1700" t="s">
        <v>600</v>
      </c>
      <c r="I1700" t="s">
        <v>601</v>
      </c>
      <c r="J1700">
        <v>1.8E-3</v>
      </c>
      <c r="K1700">
        <v>1.9E-3</v>
      </c>
      <c r="L1700">
        <v>2E-3</v>
      </c>
      <c r="M1700">
        <v>2E-3</v>
      </c>
      <c r="N1700">
        <v>2.0999999999999999E-3</v>
      </c>
      <c r="O1700">
        <v>2.0999999999999999E-3</v>
      </c>
      <c r="P1700">
        <v>2.0999999999999999E-3</v>
      </c>
      <c r="Q1700">
        <v>2.2000000000000001E-3</v>
      </c>
      <c r="R1700">
        <v>2.2000000000000001E-3</v>
      </c>
      <c r="S1700">
        <v>2.2000000000000001E-3</v>
      </c>
      <c r="T1700">
        <v>2.3E-3</v>
      </c>
      <c r="U1700">
        <v>2.3E-3</v>
      </c>
      <c r="V1700">
        <v>2.3E-3</v>
      </c>
      <c r="W1700">
        <v>2.3999999999999998E-3</v>
      </c>
      <c r="X1700">
        <v>2.3999999999999998E-3</v>
      </c>
      <c r="Y1700">
        <v>2.5000000000000001E-3</v>
      </c>
    </row>
    <row r="1701" spans="1:25" hidden="1">
      <c r="A1701" t="s">
        <v>18809</v>
      </c>
      <c r="B1701" t="s">
        <v>2072</v>
      </c>
      <c r="C1701" t="s">
        <v>1959</v>
      </c>
      <c r="D1701" t="s">
        <v>648</v>
      </c>
      <c r="E1701" t="s">
        <v>1966</v>
      </c>
      <c r="F1701" t="s">
        <v>598</v>
      </c>
      <c r="G1701" t="s">
        <v>478</v>
      </c>
      <c r="H1701" t="s">
        <v>600</v>
      </c>
      <c r="I1701" t="s">
        <v>601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</row>
    <row r="1702" spans="1:25" hidden="1">
      <c r="A1702" t="s">
        <v>18809</v>
      </c>
      <c r="B1702" t="s">
        <v>2078</v>
      </c>
      <c r="C1702" t="s">
        <v>2075</v>
      </c>
      <c r="D1702" t="s">
        <v>2079</v>
      </c>
      <c r="E1702" t="s">
        <v>1378</v>
      </c>
      <c r="F1702" t="s">
        <v>598</v>
      </c>
      <c r="G1702" t="s">
        <v>478</v>
      </c>
      <c r="H1702" t="s">
        <v>600</v>
      </c>
      <c r="I1702" t="s">
        <v>601</v>
      </c>
      <c r="J1702">
        <v>5.0000000000000001E-3</v>
      </c>
      <c r="K1702">
        <v>5.0000000000000001E-3</v>
      </c>
      <c r="L1702">
        <v>4.8999999999999998E-3</v>
      </c>
      <c r="M1702">
        <v>4.7999999999999996E-3</v>
      </c>
      <c r="N1702">
        <v>4.7000000000000002E-3</v>
      </c>
      <c r="O1702">
        <v>4.7000000000000002E-3</v>
      </c>
      <c r="P1702">
        <v>4.7000000000000002E-3</v>
      </c>
      <c r="Q1702">
        <v>4.7999999999999996E-3</v>
      </c>
      <c r="R1702">
        <v>4.8999999999999998E-3</v>
      </c>
      <c r="S1702">
        <v>4.8999999999999998E-3</v>
      </c>
      <c r="T1702">
        <v>5.0000000000000001E-3</v>
      </c>
      <c r="U1702">
        <v>5.0000000000000001E-3</v>
      </c>
      <c r="V1702">
        <v>5.1000000000000004E-3</v>
      </c>
      <c r="W1702">
        <v>5.1000000000000004E-3</v>
      </c>
      <c r="X1702">
        <v>5.1999999999999998E-3</v>
      </c>
      <c r="Y1702">
        <v>5.1999999999999998E-3</v>
      </c>
    </row>
    <row r="1703" spans="1:25" hidden="1">
      <c r="A1703" t="s">
        <v>18809</v>
      </c>
      <c r="B1703" t="s">
        <v>2092</v>
      </c>
      <c r="C1703" t="s">
        <v>2075</v>
      </c>
      <c r="D1703" t="s">
        <v>2090</v>
      </c>
      <c r="E1703" t="s">
        <v>1378</v>
      </c>
      <c r="F1703" t="s">
        <v>598</v>
      </c>
      <c r="G1703" t="s">
        <v>478</v>
      </c>
      <c r="H1703" t="s">
        <v>600</v>
      </c>
      <c r="I1703" t="s">
        <v>601</v>
      </c>
      <c r="J1703">
        <v>1.1000000000000001E-3</v>
      </c>
      <c r="K1703">
        <v>1.1000000000000001E-3</v>
      </c>
      <c r="L1703">
        <v>1.1000000000000001E-3</v>
      </c>
      <c r="M1703">
        <v>1.1000000000000001E-3</v>
      </c>
      <c r="N1703">
        <v>1.1000000000000001E-3</v>
      </c>
      <c r="O1703">
        <v>1.1999999999999999E-3</v>
      </c>
      <c r="P1703">
        <v>1.1999999999999999E-3</v>
      </c>
      <c r="Q1703">
        <v>1.1999999999999999E-3</v>
      </c>
      <c r="R1703">
        <v>1.1999999999999999E-3</v>
      </c>
      <c r="S1703">
        <v>1.1999999999999999E-3</v>
      </c>
      <c r="T1703">
        <v>1.2999999999999999E-3</v>
      </c>
      <c r="U1703">
        <v>1.2999999999999999E-3</v>
      </c>
      <c r="V1703">
        <v>1.2999999999999999E-3</v>
      </c>
      <c r="W1703">
        <v>1.2999999999999999E-3</v>
      </c>
      <c r="X1703">
        <v>1.4E-3</v>
      </c>
      <c r="Y1703">
        <v>1.4E-3</v>
      </c>
    </row>
    <row r="1704" spans="1:25" hidden="1">
      <c r="A1704" t="s">
        <v>18809</v>
      </c>
      <c r="B1704" t="s">
        <v>2096</v>
      </c>
      <c r="C1704" t="s">
        <v>2075</v>
      </c>
      <c r="D1704" t="s">
        <v>2090</v>
      </c>
      <c r="E1704" t="s">
        <v>2097</v>
      </c>
      <c r="F1704" t="s">
        <v>598</v>
      </c>
      <c r="G1704" t="s">
        <v>478</v>
      </c>
      <c r="H1704" t="s">
        <v>600</v>
      </c>
      <c r="I1704" t="s">
        <v>601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hidden="1">
      <c r="A1705" t="s">
        <v>18809</v>
      </c>
      <c r="B1705" t="s">
        <v>2103</v>
      </c>
      <c r="C1705" t="s">
        <v>2075</v>
      </c>
      <c r="D1705" t="s">
        <v>648</v>
      </c>
      <c r="E1705" t="s">
        <v>973</v>
      </c>
      <c r="F1705" t="s">
        <v>598</v>
      </c>
      <c r="G1705" t="s">
        <v>478</v>
      </c>
      <c r="H1705" t="s">
        <v>600</v>
      </c>
      <c r="I1705" t="s">
        <v>601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hidden="1">
      <c r="A1706" t="s">
        <v>18809</v>
      </c>
      <c r="B1706" t="s">
        <v>2105</v>
      </c>
      <c r="C1706" t="s">
        <v>2075</v>
      </c>
      <c r="D1706" t="s">
        <v>648</v>
      </c>
      <c r="E1706" t="s">
        <v>1393</v>
      </c>
      <c r="F1706" t="s">
        <v>598</v>
      </c>
      <c r="G1706" t="s">
        <v>478</v>
      </c>
      <c r="H1706" t="s">
        <v>600</v>
      </c>
      <c r="I1706" t="s">
        <v>601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</row>
    <row r="1707" spans="1:25" hidden="1">
      <c r="A1707" t="s">
        <v>18809</v>
      </c>
      <c r="B1707" t="s">
        <v>2106</v>
      </c>
      <c r="C1707" t="s">
        <v>2075</v>
      </c>
      <c r="D1707" t="s">
        <v>648</v>
      </c>
      <c r="E1707" t="s">
        <v>1378</v>
      </c>
      <c r="F1707" t="s">
        <v>598</v>
      </c>
      <c r="G1707" t="s">
        <v>478</v>
      </c>
      <c r="H1707" t="s">
        <v>600</v>
      </c>
      <c r="I1707" t="s">
        <v>601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</row>
    <row r="1708" spans="1:25" hidden="1">
      <c r="A1708" t="s">
        <v>18809</v>
      </c>
      <c r="B1708" t="s">
        <v>2187</v>
      </c>
      <c r="C1708" t="s">
        <v>2154</v>
      </c>
      <c r="D1708" t="s">
        <v>648</v>
      </c>
      <c r="E1708" t="s">
        <v>920</v>
      </c>
      <c r="F1708" t="s">
        <v>598</v>
      </c>
      <c r="G1708" t="s">
        <v>478</v>
      </c>
      <c r="H1708" t="s">
        <v>600</v>
      </c>
      <c r="I1708" t="s">
        <v>601</v>
      </c>
      <c r="J1708">
        <v>2.9499999999999998E-2</v>
      </c>
      <c r="K1708">
        <v>3.2800000000000003E-2</v>
      </c>
      <c r="L1708">
        <v>3.6700000000000003E-2</v>
      </c>
      <c r="M1708">
        <v>4.1200000000000001E-2</v>
      </c>
      <c r="N1708">
        <v>4.2900000000000001E-2</v>
      </c>
      <c r="O1708">
        <v>4.4400000000000002E-2</v>
      </c>
      <c r="P1708">
        <v>4.5999999999999999E-2</v>
      </c>
      <c r="Q1708">
        <v>4.7500000000000001E-2</v>
      </c>
      <c r="R1708">
        <v>4.9000000000000002E-2</v>
      </c>
      <c r="S1708">
        <v>5.0700000000000002E-2</v>
      </c>
      <c r="T1708">
        <v>5.2200000000000003E-2</v>
      </c>
      <c r="U1708">
        <v>5.3999999999999999E-2</v>
      </c>
      <c r="V1708">
        <v>5.5800000000000002E-2</v>
      </c>
      <c r="W1708">
        <v>5.7599999999999998E-2</v>
      </c>
      <c r="X1708">
        <v>5.9299999999999999E-2</v>
      </c>
      <c r="Y1708">
        <v>6.1100000000000002E-2</v>
      </c>
    </row>
    <row r="1709" spans="1:25" hidden="1">
      <c r="A1709" t="s">
        <v>18809</v>
      </c>
      <c r="B1709" t="s">
        <v>2188</v>
      </c>
      <c r="C1709" t="s">
        <v>2154</v>
      </c>
      <c r="D1709" t="s">
        <v>648</v>
      </c>
      <c r="E1709" t="s">
        <v>973</v>
      </c>
      <c r="F1709" t="s">
        <v>598</v>
      </c>
      <c r="G1709" t="s">
        <v>478</v>
      </c>
      <c r="H1709" t="s">
        <v>600</v>
      </c>
      <c r="I1709" t="s">
        <v>601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</row>
    <row r="1710" spans="1:25" hidden="1">
      <c r="A1710" t="s">
        <v>18809</v>
      </c>
      <c r="B1710" t="s">
        <v>2196</v>
      </c>
      <c r="C1710" t="s">
        <v>2154</v>
      </c>
      <c r="D1710" t="s">
        <v>648</v>
      </c>
      <c r="E1710" t="s">
        <v>1393</v>
      </c>
      <c r="F1710" t="s">
        <v>598</v>
      </c>
      <c r="G1710" t="s">
        <v>478</v>
      </c>
      <c r="H1710" t="s">
        <v>600</v>
      </c>
      <c r="I1710" t="s">
        <v>601</v>
      </c>
      <c r="J1710">
        <v>9.2999999999999992E-3</v>
      </c>
      <c r="K1710">
        <v>1.03E-2</v>
      </c>
      <c r="L1710">
        <v>1.15E-2</v>
      </c>
      <c r="M1710">
        <v>1.29E-2</v>
      </c>
      <c r="N1710">
        <v>1.35E-2</v>
      </c>
      <c r="O1710">
        <v>1.3899999999999999E-2</v>
      </c>
      <c r="P1710">
        <v>1.44E-2</v>
      </c>
      <c r="Q1710">
        <v>1.49E-2</v>
      </c>
      <c r="R1710">
        <v>1.54E-2</v>
      </c>
      <c r="S1710">
        <v>1.5900000000000001E-2</v>
      </c>
      <c r="T1710">
        <v>1.6400000000000001E-2</v>
      </c>
      <c r="U1710">
        <v>1.6899999999999998E-2</v>
      </c>
      <c r="V1710">
        <v>1.7500000000000002E-2</v>
      </c>
      <c r="W1710">
        <v>1.8100000000000002E-2</v>
      </c>
      <c r="X1710">
        <v>1.8599999999999998E-2</v>
      </c>
      <c r="Y1710">
        <v>1.9199999999999998E-2</v>
      </c>
    </row>
    <row r="1711" spans="1:25">
      <c r="J1711">
        <f t="shared" ref="J1711:Y1711" si="8">SUBTOTAL(109,J1569:J1710)</f>
        <v>0.39099999999999996</v>
      </c>
      <c r="K1711">
        <f t="shared" si="8"/>
        <v>0.40609999999999996</v>
      </c>
      <c r="L1711">
        <f t="shared" si="8"/>
        <v>0.41399999999999998</v>
      </c>
      <c r="M1711">
        <f t="shared" si="8"/>
        <v>0.40839999999999999</v>
      </c>
      <c r="N1711">
        <f t="shared" si="8"/>
        <v>0.41589999999999999</v>
      </c>
      <c r="O1711">
        <f t="shared" si="8"/>
        <v>0.39859999999999995</v>
      </c>
      <c r="P1711">
        <f t="shared" si="8"/>
        <v>0.39939999999999998</v>
      </c>
      <c r="Q1711">
        <f t="shared" si="8"/>
        <v>0.40009999999999996</v>
      </c>
      <c r="R1711">
        <f t="shared" si="8"/>
        <v>0.40050000000000002</v>
      </c>
      <c r="S1711">
        <f t="shared" si="8"/>
        <v>0.40129999999999993</v>
      </c>
      <c r="T1711">
        <f t="shared" si="8"/>
        <v>0.40210000000000001</v>
      </c>
      <c r="U1711">
        <f t="shared" si="8"/>
        <v>0.40289999999999998</v>
      </c>
      <c r="V1711">
        <f t="shared" si="8"/>
        <v>0.40359999999999996</v>
      </c>
      <c r="W1711">
        <f t="shared" si="8"/>
        <v>0.40399999999999997</v>
      </c>
      <c r="X1711">
        <f t="shared" si="8"/>
        <v>0.40479999999999999</v>
      </c>
      <c r="Y1711">
        <f t="shared" si="8"/>
        <v>0.40559999999999996</v>
      </c>
    </row>
    <row r="1713" spans="1:25">
      <c r="A1713" t="s">
        <v>569</v>
      </c>
      <c r="B1713" t="s">
        <v>570</v>
      </c>
      <c r="C1713" t="s">
        <v>571</v>
      </c>
      <c r="D1713" t="s">
        <v>572</v>
      </c>
      <c r="E1713" t="s">
        <v>573</v>
      </c>
      <c r="F1713" t="s">
        <v>574</v>
      </c>
      <c r="G1713" t="s">
        <v>575</v>
      </c>
      <c r="H1713" t="s">
        <v>576</v>
      </c>
      <c r="I1713" t="s">
        <v>577</v>
      </c>
      <c r="J1713" t="s">
        <v>578</v>
      </c>
      <c r="K1713" t="s">
        <v>579</v>
      </c>
      <c r="L1713" t="s">
        <v>580</v>
      </c>
      <c r="M1713" t="s">
        <v>581</v>
      </c>
      <c r="N1713" t="s">
        <v>582</v>
      </c>
      <c r="O1713" t="s">
        <v>583</v>
      </c>
      <c r="P1713" t="s">
        <v>584</v>
      </c>
      <c r="Q1713" t="s">
        <v>585</v>
      </c>
      <c r="R1713" t="s">
        <v>586</v>
      </c>
      <c r="S1713" t="s">
        <v>587</v>
      </c>
      <c r="T1713" t="s">
        <v>588</v>
      </c>
      <c r="U1713" t="s">
        <v>589</v>
      </c>
      <c r="V1713" t="s">
        <v>590</v>
      </c>
      <c r="W1713" t="s">
        <v>591</v>
      </c>
      <c r="X1713" t="s">
        <v>592</v>
      </c>
      <c r="Y1713" t="s">
        <v>593</v>
      </c>
    </row>
    <row r="1714" spans="1:25">
      <c r="A1714" t="s">
        <v>18810</v>
      </c>
      <c r="B1714" t="s">
        <v>594</v>
      </c>
      <c r="C1714" t="s">
        <v>595</v>
      </c>
      <c r="D1714" t="s">
        <v>596</v>
      </c>
      <c r="E1714" t="s">
        <v>597</v>
      </c>
      <c r="F1714" t="s">
        <v>598</v>
      </c>
      <c r="G1714" t="s">
        <v>478</v>
      </c>
      <c r="H1714" t="s">
        <v>600</v>
      </c>
      <c r="I1714" t="s">
        <v>601</v>
      </c>
      <c r="J1714">
        <v>2.98E-2</v>
      </c>
      <c r="K1714">
        <v>3.0599999999999999E-2</v>
      </c>
      <c r="L1714">
        <v>3.1600000000000003E-2</v>
      </c>
      <c r="M1714">
        <v>3.1600000000000003E-2</v>
      </c>
      <c r="N1714">
        <v>3.15E-2</v>
      </c>
      <c r="O1714">
        <v>2.93E-2</v>
      </c>
      <c r="P1714">
        <v>2.9399999999999999E-2</v>
      </c>
      <c r="Q1714">
        <v>2.9399999999999999E-2</v>
      </c>
      <c r="R1714">
        <v>2.9399999999999999E-2</v>
      </c>
      <c r="S1714">
        <v>2.9499999999999998E-2</v>
      </c>
      <c r="T1714">
        <v>2.9499999999999998E-2</v>
      </c>
      <c r="U1714">
        <v>2.9499999999999998E-2</v>
      </c>
      <c r="V1714">
        <v>2.9700000000000001E-2</v>
      </c>
      <c r="W1714">
        <v>2.9700000000000001E-2</v>
      </c>
      <c r="X1714">
        <v>2.98E-2</v>
      </c>
      <c r="Y1714">
        <v>2.98E-2</v>
      </c>
    </row>
    <row r="1715" spans="1:25">
      <c r="A1715" t="s">
        <v>18810</v>
      </c>
      <c r="B1715" t="s">
        <v>610</v>
      </c>
      <c r="C1715" t="s">
        <v>595</v>
      </c>
      <c r="D1715" t="s">
        <v>596</v>
      </c>
      <c r="E1715" t="s">
        <v>611</v>
      </c>
      <c r="F1715" t="s">
        <v>598</v>
      </c>
      <c r="G1715" t="s">
        <v>478</v>
      </c>
      <c r="H1715" t="s">
        <v>600</v>
      </c>
      <c r="I1715" t="s">
        <v>601</v>
      </c>
      <c r="J1715">
        <v>0.64549999999999996</v>
      </c>
      <c r="K1715">
        <v>0.65349999999999997</v>
      </c>
      <c r="L1715">
        <v>0.66090000000000004</v>
      </c>
      <c r="M1715">
        <v>0.66890000000000005</v>
      </c>
      <c r="N1715">
        <v>0.67689999999999995</v>
      </c>
      <c r="O1715">
        <v>0.68489999999999995</v>
      </c>
      <c r="P1715">
        <v>0.69350000000000001</v>
      </c>
      <c r="Q1715">
        <v>0.70150000000000001</v>
      </c>
      <c r="R1715">
        <v>0.71020000000000005</v>
      </c>
      <c r="S1715">
        <v>0.71879999999999999</v>
      </c>
      <c r="T1715">
        <v>0.72740000000000005</v>
      </c>
      <c r="U1715">
        <v>0.73599999999999999</v>
      </c>
      <c r="V1715">
        <v>0.74460000000000004</v>
      </c>
      <c r="W1715">
        <v>0.75390000000000001</v>
      </c>
      <c r="X1715">
        <v>0.7631</v>
      </c>
      <c r="Y1715">
        <v>0.77170000000000005</v>
      </c>
    </row>
    <row r="1716" spans="1:25">
      <c r="A1716" t="s">
        <v>18810</v>
      </c>
      <c r="B1716" t="s">
        <v>620</v>
      </c>
      <c r="C1716" t="s">
        <v>595</v>
      </c>
      <c r="D1716" t="s">
        <v>621</v>
      </c>
      <c r="E1716" t="s">
        <v>597</v>
      </c>
      <c r="F1716" t="s">
        <v>598</v>
      </c>
      <c r="G1716" t="s">
        <v>478</v>
      </c>
      <c r="H1716" t="s">
        <v>600</v>
      </c>
      <c r="I1716" t="s">
        <v>601</v>
      </c>
      <c r="J1716">
        <v>1.3599999999999999E-2</v>
      </c>
      <c r="K1716">
        <v>1.37E-2</v>
      </c>
      <c r="L1716">
        <v>1.38E-2</v>
      </c>
      <c r="M1716">
        <v>1.4E-2</v>
      </c>
      <c r="N1716">
        <v>1.41E-2</v>
      </c>
      <c r="O1716">
        <v>1.43E-2</v>
      </c>
      <c r="P1716">
        <v>1.44E-2</v>
      </c>
      <c r="Q1716">
        <v>1.46E-2</v>
      </c>
      <c r="R1716">
        <v>1.47E-2</v>
      </c>
      <c r="S1716">
        <v>1.4800000000000001E-2</v>
      </c>
      <c r="T1716">
        <v>1.4999999999999999E-2</v>
      </c>
      <c r="U1716">
        <v>1.5100000000000001E-2</v>
      </c>
      <c r="V1716">
        <v>1.5299999999999999E-2</v>
      </c>
      <c r="W1716">
        <v>1.5299999999999999E-2</v>
      </c>
      <c r="X1716">
        <v>1.54E-2</v>
      </c>
      <c r="Y1716">
        <v>1.6E-2</v>
      </c>
    </row>
    <row r="1717" spans="1:25">
      <c r="A1717" t="s">
        <v>18810</v>
      </c>
      <c r="B1717" t="s">
        <v>623</v>
      </c>
      <c r="C1717" t="s">
        <v>595</v>
      </c>
      <c r="D1717" t="s">
        <v>621</v>
      </c>
      <c r="E1717" t="s">
        <v>624</v>
      </c>
      <c r="F1717" t="s">
        <v>598</v>
      </c>
      <c r="G1717" t="s">
        <v>478</v>
      </c>
      <c r="H1717" t="s">
        <v>600</v>
      </c>
      <c r="I1717" t="s">
        <v>601</v>
      </c>
      <c r="J1717">
        <v>0.2944</v>
      </c>
      <c r="K1717">
        <v>0.2999</v>
      </c>
      <c r="L1717">
        <v>0.30249999999999999</v>
      </c>
      <c r="M1717">
        <v>0.30640000000000001</v>
      </c>
      <c r="N1717">
        <v>0.30969999999999998</v>
      </c>
      <c r="O1717">
        <v>0.31640000000000001</v>
      </c>
      <c r="P1717">
        <v>0.31909999999999999</v>
      </c>
      <c r="Q1717">
        <v>0.32300000000000001</v>
      </c>
      <c r="R1717">
        <v>0.32650000000000001</v>
      </c>
      <c r="S1717">
        <v>0.33169999999999999</v>
      </c>
      <c r="T1717">
        <v>0.33760000000000001</v>
      </c>
      <c r="U1717">
        <v>0.3422</v>
      </c>
      <c r="V1717">
        <v>0.34539999999999998</v>
      </c>
      <c r="W1717">
        <v>0.35039999999999999</v>
      </c>
      <c r="X1717">
        <v>0.35560000000000003</v>
      </c>
      <c r="Y1717">
        <v>0.35949999999999999</v>
      </c>
    </row>
    <row r="1718" spans="1:25">
      <c r="A1718" t="s">
        <v>18810</v>
      </c>
      <c r="B1718" t="s">
        <v>627</v>
      </c>
      <c r="C1718" t="s">
        <v>595</v>
      </c>
      <c r="D1718" t="s">
        <v>621</v>
      </c>
      <c r="E1718" t="s">
        <v>628</v>
      </c>
      <c r="F1718" t="s">
        <v>598</v>
      </c>
      <c r="G1718" t="s">
        <v>478</v>
      </c>
      <c r="H1718" t="s">
        <v>600</v>
      </c>
      <c r="I1718" t="s">
        <v>601</v>
      </c>
      <c r="J1718">
        <v>0.30780000000000002</v>
      </c>
      <c r="K1718">
        <v>0.30499999999999999</v>
      </c>
      <c r="L1718">
        <v>0.30159999999999998</v>
      </c>
      <c r="M1718">
        <v>0.29880000000000001</v>
      </c>
      <c r="N1718">
        <v>0.29599999999999999</v>
      </c>
      <c r="O1718">
        <v>0.29249999999999998</v>
      </c>
      <c r="P1718">
        <v>0.29559999999999997</v>
      </c>
      <c r="Q1718">
        <v>0.2989</v>
      </c>
      <c r="R1718">
        <v>0.30159999999999998</v>
      </c>
      <c r="S1718">
        <v>0.30430000000000001</v>
      </c>
      <c r="T1718">
        <v>0.30780000000000002</v>
      </c>
      <c r="U1718">
        <v>0.31130000000000002</v>
      </c>
      <c r="V1718">
        <v>0.314</v>
      </c>
      <c r="W1718">
        <v>0.31719999999999998</v>
      </c>
      <c r="X1718">
        <v>0.32019999999999998</v>
      </c>
      <c r="Y1718">
        <v>0.32319999999999999</v>
      </c>
    </row>
    <row r="1719" spans="1:25">
      <c r="A1719" t="s">
        <v>18810</v>
      </c>
      <c r="B1719" t="s">
        <v>631</v>
      </c>
      <c r="C1719" t="s">
        <v>595</v>
      </c>
      <c r="D1719" t="s">
        <v>632</v>
      </c>
      <c r="E1719" t="s">
        <v>597</v>
      </c>
      <c r="F1719" t="s">
        <v>598</v>
      </c>
      <c r="G1719" t="s">
        <v>478</v>
      </c>
      <c r="H1719" t="s">
        <v>600</v>
      </c>
      <c r="I1719" t="s">
        <v>601</v>
      </c>
      <c r="J1719">
        <v>0.98150000000000004</v>
      </c>
      <c r="K1719">
        <v>0.99650000000000005</v>
      </c>
      <c r="L1719">
        <v>1.0114000000000001</v>
      </c>
      <c r="M1719">
        <v>1.0268999999999999</v>
      </c>
      <c r="N1719">
        <v>1.0418000000000001</v>
      </c>
      <c r="O1719">
        <v>1.0580000000000001</v>
      </c>
      <c r="P1719">
        <v>1.0734999999999999</v>
      </c>
      <c r="Q1719">
        <v>1.0895999999999999</v>
      </c>
      <c r="R1719">
        <v>1.1059000000000001</v>
      </c>
      <c r="S1719">
        <v>1.1227</v>
      </c>
      <c r="T1719">
        <v>1.1395999999999999</v>
      </c>
      <c r="U1719">
        <v>1.1565000000000001</v>
      </c>
      <c r="V1719">
        <v>1.1738999999999999</v>
      </c>
      <c r="W1719">
        <v>1.1914</v>
      </c>
      <c r="X1719">
        <v>1.2095</v>
      </c>
      <c r="Y1719">
        <v>1.2276</v>
      </c>
    </row>
    <row r="1720" spans="1:25">
      <c r="A1720" t="s">
        <v>18810</v>
      </c>
      <c r="B1720" t="s">
        <v>635</v>
      </c>
      <c r="C1720" t="s">
        <v>595</v>
      </c>
      <c r="D1720" t="s">
        <v>632</v>
      </c>
      <c r="E1720" t="s">
        <v>624</v>
      </c>
      <c r="F1720" t="s">
        <v>598</v>
      </c>
      <c r="G1720" t="s">
        <v>478</v>
      </c>
      <c r="H1720" t="s">
        <v>600</v>
      </c>
      <c r="I1720" t="s">
        <v>601</v>
      </c>
      <c r="J1720">
        <v>4.9500000000000002E-2</v>
      </c>
      <c r="K1720">
        <v>4.9500000000000002E-2</v>
      </c>
      <c r="L1720">
        <v>4.9500000000000002E-2</v>
      </c>
      <c r="M1720">
        <v>4.9599999999999998E-2</v>
      </c>
      <c r="N1720">
        <v>4.9599999999999998E-2</v>
      </c>
      <c r="O1720">
        <v>4.9700000000000001E-2</v>
      </c>
      <c r="P1720">
        <v>4.9700000000000001E-2</v>
      </c>
      <c r="Q1720">
        <v>4.9700000000000001E-2</v>
      </c>
      <c r="R1720">
        <v>4.9799999999999997E-2</v>
      </c>
      <c r="S1720">
        <v>4.9799999999999997E-2</v>
      </c>
      <c r="T1720">
        <v>4.9799999999999997E-2</v>
      </c>
      <c r="U1720">
        <v>4.99E-2</v>
      </c>
      <c r="V1720">
        <v>4.99E-2</v>
      </c>
      <c r="W1720">
        <v>0.05</v>
      </c>
      <c r="X1720">
        <v>0.05</v>
      </c>
      <c r="Y1720">
        <v>5.0099999999999999E-2</v>
      </c>
    </row>
    <row r="1721" spans="1:25">
      <c r="A1721" t="s">
        <v>18810</v>
      </c>
      <c r="B1721" t="s">
        <v>636</v>
      </c>
      <c r="C1721" t="s">
        <v>595</v>
      </c>
      <c r="D1721" t="s">
        <v>632</v>
      </c>
      <c r="E1721" t="s">
        <v>628</v>
      </c>
      <c r="F1721" t="s">
        <v>598</v>
      </c>
      <c r="G1721" t="s">
        <v>478</v>
      </c>
      <c r="H1721" t="s">
        <v>600</v>
      </c>
      <c r="I1721" t="s">
        <v>601</v>
      </c>
      <c r="J1721">
        <v>3.39E-2</v>
      </c>
      <c r="K1721">
        <v>3.4299999999999997E-2</v>
      </c>
      <c r="L1721">
        <v>3.4700000000000002E-2</v>
      </c>
      <c r="M1721">
        <v>3.5099999999999999E-2</v>
      </c>
      <c r="N1721">
        <v>3.5499999999999997E-2</v>
      </c>
      <c r="O1721">
        <v>3.5900000000000001E-2</v>
      </c>
      <c r="P1721">
        <v>3.6400000000000002E-2</v>
      </c>
      <c r="Q1721">
        <v>3.6799999999999999E-2</v>
      </c>
      <c r="R1721">
        <v>3.7199999999999997E-2</v>
      </c>
      <c r="S1721">
        <v>3.78E-2</v>
      </c>
      <c r="T1721">
        <v>3.8199999999999998E-2</v>
      </c>
      <c r="U1721">
        <v>3.8699999999999998E-2</v>
      </c>
      <c r="V1721">
        <v>3.9100000000000003E-2</v>
      </c>
      <c r="W1721">
        <v>3.9600000000000003E-2</v>
      </c>
      <c r="X1721">
        <v>4.0099999999999997E-2</v>
      </c>
      <c r="Y1721">
        <v>4.0599999999999997E-2</v>
      </c>
    </row>
    <row r="1722" spans="1:25">
      <c r="A1722" t="s">
        <v>18810</v>
      </c>
      <c r="B1722" t="s">
        <v>637</v>
      </c>
      <c r="C1722" t="s">
        <v>595</v>
      </c>
      <c r="D1722" t="s">
        <v>632</v>
      </c>
      <c r="E1722" t="s">
        <v>638</v>
      </c>
      <c r="F1722" t="s">
        <v>598</v>
      </c>
      <c r="G1722" t="s">
        <v>478</v>
      </c>
      <c r="H1722" t="s">
        <v>600</v>
      </c>
      <c r="I1722" t="s">
        <v>601</v>
      </c>
      <c r="J1722">
        <v>1E-4</v>
      </c>
      <c r="K1722">
        <v>1E-4</v>
      </c>
      <c r="L1722">
        <v>1E-4</v>
      </c>
      <c r="M1722">
        <v>1E-4</v>
      </c>
      <c r="N1722">
        <v>1E-4</v>
      </c>
      <c r="O1722">
        <v>1E-4</v>
      </c>
      <c r="P1722">
        <v>1E-4</v>
      </c>
      <c r="Q1722">
        <v>1E-4</v>
      </c>
      <c r="R1722">
        <v>1E-4</v>
      </c>
      <c r="S1722">
        <v>1E-4</v>
      </c>
      <c r="T1722">
        <v>1E-4</v>
      </c>
      <c r="U1722">
        <v>1E-4</v>
      </c>
      <c r="V1722">
        <v>1E-4</v>
      </c>
      <c r="W1722">
        <v>1E-4</v>
      </c>
      <c r="X1722">
        <v>1E-4</v>
      </c>
      <c r="Y1722">
        <v>1E-4</v>
      </c>
    </row>
    <row r="1723" spans="1:25">
      <c r="A1723" t="s">
        <v>18810</v>
      </c>
      <c r="B1723" t="s">
        <v>639</v>
      </c>
      <c r="C1723" t="s">
        <v>595</v>
      </c>
      <c r="D1723" t="s">
        <v>640</v>
      </c>
      <c r="E1723" t="s">
        <v>597</v>
      </c>
      <c r="F1723" t="s">
        <v>598</v>
      </c>
      <c r="G1723" t="s">
        <v>478</v>
      </c>
      <c r="H1723" t="s">
        <v>600</v>
      </c>
      <c r="I1723" t="s">
        <v>601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</row>
    <row r="1724" spans="1:25">
      <c r="A1724" t="s">
        <v>18810</v>
      </c>
      <c r="B1724" t="s">
        <v>643</v>
      </c>
      <c r="C1724" t="s">
        <v>595</v>
      </c>
      <c r="D1724" t="s">
        <v>640</v>
      </c>
      <c r="E1724" t="s">
        <v>613</v>
      </c>
      <c r="F1724" t="s">
        <v>598</v>
      </c>
      <c r="G1724" t="s">
        <v>478</v>
      </c>
      <c r="H1724" t="s">
        <v>600</v>
      </c>
      <c r="I1724" t="s">
        <v>601</v>
      </c>
      <c r="J1724">
        <v>9.8199999999999996E-2</v>
      </c>
      <c r="K1724">
        <v>9.9099999999999994E-2</v>
      </c>
      <c r="L1724">
        <v>0.1</v>
      </c>
      <c r="M1724">
        <v>0.1008</v>
      </c>
      <c r="N1724">
        <v>0.1018</v>
      </c>
      <c r="O1724">
        <v>0.1026</v>
      </c>
      <c r="P1724">
        <v>0.1037</v>
      </c>
      <c r="Q1724">
        <v>0.1046</v>
      </c>
      <c r="R1724">
        <v>0.1055</v>
      </c>
      <c r="S1724">
        <v>0.10639999999999999</v>
      </c>
      <c r="T1724">
        <v>0.1076</v>
      </c>
      <c r="U1724">
        <v>0.10829999999999999</v>
      </c>
      <c r="V1724">
        <v>0.10929999999999999</v>
      </c>
      <c r="W1724">
        <v>0.1104</v>
      </c>
      <c r="X1724">
        <v>0.1113</v>
      </c>
      <c r="Y1724">
        <v>0.1123</v>
      </c>
    </row>
    <row r="1725" spans="1:25" hidden="1">
      <c r="A1725" t="s">
        <v>18810</v>
      </c>
      <c r="B1725" t="s">
        <v>652</v>
      </c>
      <c r="C1725" t="s">
        <v>651</v>
      </c>
      <c r="D1725" t="s">
        <v>596</v>
      </c>
      <c r="E1725" t="s">
        <v>605</v>
      </c>
      <c r="F1725" t="s">
        <v>598</v>
      </c>
      <c r="G1725" t="s">
        <v>478</v>
      </c>
      <c r="H1725" t="s">
        <v>600</v>
      </c>
      <c r="I1725" t="s">
        <v>601</v>
      </c>
      <c r="J1725">
        <v>5.6500000000000002E-2</v>
      </c>
      <c r="K1725">
        <v>5.7200000000000001E-2</v>
      </c>
      <c r="L1725">
        <v>5.7799999999999997E-2</v>
      </c>
      <c r="M1725">
        <v>5.8500000000000003E-2</v>
      </c>
      <c r="N1725">
        <v>5.9200000000000003E-2</v>
      </c>
      <c r="O1725">
        <v>5.9900000000000002E-2</v>
      </c>
      <c r="P1725">
        <v>6.0699999999999997E-2</v>
      </c>
      <c r="Q1725">
        <v>6.1400000000000003E-2</v>
      </c>
      <c r="R1725">
        <v>6.2100000000000002E-2</v>
      </c>
      <c r="S1725">
        <v>6.2899999999999998E-2</v>
      </c>
      <c r="T1725">
        <v>6.3600000000000004E-2</v>
      </c>
      <c r="U1725">
        <v>6.4399999999999999E-2</v>
      </c>
      <c r="V1725">
        <v>6.5100000000000005E-2</v>
      </c>
      <c r="W1725">
        <v>6.59E-2</v>
      </c>
      <c r="X1725">
        <v>6.6699999999999995E-2</v>
      </c>
      <c r="Y1725">
        <v>6.7500000000000004E-2</v>
      </c>
    </row>
    <row r="1726" spans="1:25" hidden="1">
      <c r="A1726" t="s">
        <v>18810</v>
      </c>
      <c r="B1726" t="s">
        <v>657</v>
      </c>
      <c r="C1726" t="s">
        <v>651</v>
      </c>
      <c r="D1726" t="s">
        <v>621</v>
      </c>
      <c r="E1726" t="s">
        <v>597</v>
      </c>
      <c r="F1726" t="s">
        <v>598</v>
      </c>
      <c r="G1726" t="s">
        <v>478</v>
      </c>
      <c r="H1726" t="s">
        <v>600</v>
      </c>
      <c r="I1726" t="s">
        <v>601</v>
      </c>
      <c r="J1726">
        <v>0.24299999999999999</v>
      </c>
      <c r="K1726">
        <v>0.24579999999999999</v>
      </c>
      <c r="L1726">
        <v>0.24879999999999999</v>
      </c>
      <c r="M1726">
        <v>0.25180000000000002</v>
      </c>
      <c r="N1726">
        <v>0.25469999999999998</v>
      </c>
      <c r="O1726">
        <v>0.25769999999999998</v>
      </c>
      <c r="P1726">
        <v>0.26090000000000002</v>
      </c>
      <c r="Q1726">
        <v>0.26390000000000002</v>
      </c>
      <c r="R1726">
        <v>0.26719999999999999</v>
      </c>
      <c r="S1726">
        <v>0.27039999999999997</v>
      </c>
      <c r="T1726">
        <v>0.2737</v>
      </c>
      <c r="U1726">
        <v>0.27660000000000001</v>
      </c>
      <c r="V1726">
        <v>0.27989999999999998</v>
      </c>
      <c r="W1726">
        <v>0.28370000000000001</v>
      </c>
      <c r="X1726">
        <v>0.28670000000000001</v>
      </c>
      <c r="Y1726">
        <v>0.29020000000000001</v>
      </c>
    </row>
    <row r="1727" spans="1:25" hidden="1">
      <c r="A1727" t="s">
        <v>18810</v>
      </c>
      <c r="B1727" t="s">
        <v>660</v>
      </c>
      <c r="C1727" t="s">
        <v>651</v>
      </c>
      <c r="D1727" t="s">
        <v>632</v>
      </c>
      <c r="E1727" t="s">
        <v>597</v>
      </c>
      <c r="F1727" t="s">
        <v>598</v>
      </c>
      <c r="G1727" t="s">
        <v>478</v>
      </c>
      <c r="H1727" t="s">
        <v>600</v>
      </c>
      <c r="I1727" t="s">
        <v>601</v>
      </c>
      <c r="J1727">
        <v>2.3744999999999998</v>
      </c>
      <c r="K1727">
        <v>2.4041000000000001</v>
      </c>
      <c r="L1727">
        <v>2.4310999999999998</v>
      </c>
      <c r="M1727">
        <v>2.4605000000000001</v>
      </c>
      <c r="N1727">
        <v>2.4897999999999998</v>
      </c>
      <c r="O1727">
        <v>2.5194999999999999</v>
      </c>
      <c r="P1727">
        <v>2.5510999999999999</v>
      </c>
      <c r="Q1727">
        <v>2.5804999999999998</v>
      </c>
      <c r="R1727">
        <v>2.6120000000000001</v>
      </c>
      <c r="S1727">
        <v>2.6438000000000001</v>
      </c>
      <c r="T1727">
        <v>2.6756000000000002</v>
      </c>
      <c r="U1727">
        <v>2.7071999999999998</v>
      </c>
      <c r="V1727">
        <v>2.7391000000000001</v>
      </c>
      <c r="W1727">
        <v>2.7730000000000001</v>
      </c>
      <c r="X1727">
        <v>2.8069000000000002</v>
      </c>
      <c r="Y1727">
        <v>2.8384999999999998</v>
      </c>
    </row>
    <row r="1728" spans="1:25" hidden="1">
      <c r="A1728" t="s">
        <v>18810</v>
      </c>
      <c r="B1728" t="s">
        <v>661</v>
      </c>
      <c r="C1728" t="s">
        <v>651</v>
      </c>
      <c r="D1728" t="s">
        <v>632</v>
      </c>
      <c r="E1728" t="s">
        <v>628</v>
      </c>
      <c r="F1728" t="s">
        <v>598</v>
      </c>
      <c r="G1728" t="s">
        <v>478</v>
      </c>
      <c r="H1728" t="s">
        <v>600</v>
      </c>
      <c r="I1728" t="s">
        <v>601</v>
      </c>
      <c r="J1728">
        <v>4.4999999999999997E-3</v>
      </c>
      <c r="K1728">
        <v>4.4999999999999997E-3</v>
      </c>
      <c r="L1728">
        <v>4.4999999999999997E-3</v>
      </c>
      <c r="M1728">
        <v>4.4999999999999997E-3</v>
      </c>
      <c r="N1728">
        <v>4.4999999999999997E-3</v>
      </c>
      <c r="O1728">
        <v>4.4999999999999997E-3</v>
      </c>
      <c r="P1728">
        <v>4.4999999999999997E-3</v>
      </c>
      <c r="Q1728">
        <v>4.4999999999999997E-3</v>
      </c>
      <c r="R1728">
        <v>4.4999999999999997E-3</v>
      </c>
      <c r="S1728">
        <v>4.4999999999999997E-3</v>
      </c>
      <c r="T1728">
        <v>4.4999999999999997E-3</v>
      </c>
      <c r="U1728">
        <v>4.4999999999999997E-3</v>
      </c>
      <c r="V1728">
        <v>4.4999999999999997E-3</v>
      </c>
      <c r="W1728">
        <v>4.4999999999999997E-3</v>
      </c>
      <c r="X1728">
        <v>4.4999999999999997E-3</v>
      </c>
      <c r="Y1728">
        <v>4.4999999999999997E-3</v>
      </c>
    </row>
    <row r="1729" spans="1:25" hidden="1">
      <c r="A1729" t="s">
        <v>18810</v>
      </c>
      <c r="B1729" t="s">
        <v>662</v>
      </c>
      <c r="C1729" t="s">
        <v>651</v>
      </c>
      <c r="D1729" t="s">
        <v>648</v>
      </c>
      <c r="E1729" t="s">
        <v>649</v>
      </c>
      <c r="F1729" t="s">
        <v>598</v>
      </c>
      <c r="G1729" t="s">
        <v>478</v>
      </c>
      <c r="H1729" t="s">
        <v>600</v>
      </c>
      <c r="I1729" t="s">
        <v>601</v>
      </c>
      <c r="J1729">
        <v>0.24099999999999999</v>
      </c>
      <c r="K1729">
        <v>0.24390000000000001</v>
      </c>
      <c r="L1729">
        <v>0.24660000000000001</v>
      </c>
      <c r="M1729">
        <v>0.24970000000000001</v>
      </c>
      <c r="N1729">
        <v>0.25259999999999999</v>
      </c>
      <c r="O1729">
        <v>0.2555</v>
      </c>
      <c r="P1729">
        <v>0.25879999999999997</v>
      </c>
      <c r="Q1729">
        <v>0.26169999999999999</v>
      </c>
      <c r="R1729">
        <v>0.2651</v>
      </c>
      <c r="S1729">
        <v>0.26829999999999998</v>
      </c>
      <c r="T1729">
        <v>0.27139999999999997</v>
      </c>
      <c r="U1729">
        <v>0.27460000000000001</v>
      </c>
      <c r="V1729">
        <v>0.27789999999999998</v>
      </c>
      <c r="W1729">
        <v>0.28129999999999999</v>
      </c>
      <c r="X1729">
        <v>0.2848</v>
      </c>
      <c r="Y1729">
        <v>0.28799999999999998</v>
      </c>
    </row>
    <row r="1730" spans="1:25" hidden="1">
      <c r="A1730" t="s">
        <v>18810</v>
      </c>
      <c r="B1730" t="s">
        <v>670</v>
      </c>
      <c r="C1730" t="s">
        <v>664</v>
      </c>
      <c r="D1730" t="s">
        <v>671</v>
      </c>
      <c r="E1730" t="s">
        <v>672</v>
      </c>
      <c r="F1730" t="s">
        <v>598</v>
      </c>
      <c r="G1730" t="s">
        <v>478</v>
      </c>
      <c r="H1730" t="s">
        <v>600</v>
      </c>
      <c r="I1730" t="s">
        <v>601</v>
      </c>
      <c r="J1730">
        <v>1E-4</v>
      </c>
      <c r="K1730">
        <v>1E-4</v>
      </c>
      <c r="L1730">
        <v>1E-4</v>
      </c>
      <c r="M1730">
        <v>1E-4</v>
      </c>
      <c r="N1730">
        <v>1E-4</v>
      </c>
      <c r="O1730">
        <v>1E-4</v>
      </c>
      <c r="P1730">
        <v>1E-4</v>
      </c>
      <c r="Q1730">
        <v>1E-4</v>
      </c>
      <c r="R1730">
        <v>1E-4</v>
      </c>
      <c r="S1730">
        <v>1E-4</v>
      </c>
      <c r="T1730">
        <v>1E-4</v>
      </c>
      <c r="U1730">
        <v>1E-4</v>
      </c>
      <c r="V1730">
        <v>1E-4</v>
      </c>
      <c r="W1730">
        <v>1E-4</v>
      </c>
      <c r="X1730">
        <v>1E-4</v>
      </c>
      <c r="Y1730">
        <v>1E-4</v>
      </c>
    </row>
    <row r="1731" spans="1:25" hidden="1">
      <c r="A1731" t="s">
        <v>18810</v>
      </c>
      <c r="B1731" t="s">
        <v>677</v>
      </c>
      <c r="C1731" t="s">
        <v>664</v>
      </c>
      <c r="D1731" t="s">
        <v>671</v>
      </c>
      <c r="E1731" t="s">
        <v>678</v>
      </c>
      <c r="F1731" t="s">
        <v>598</v>
      </c>
      <c r="G1731" t="s">
        <v>478</v>
      </c>
      <c r="H1731" t="s">
        <v>600</v>
      </c>
      <c r="I1731" t="s">
        <v>601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hidden="1">
      <c r="A1732" t="s">
        <v>18810</v>
      </c>
      <c r="B1732" t="s">
        <v>684</v>
      </c>
      <c r="C1732" t="s">
        <v>664</v>
      </c>
      <c r="D1732" t="s">
        <v>621</v>
      </c>
      <c r="E1732" t="s">
        <v>597</v>
      </c>
      <c r="F1732" t="s">
        <v>598</v>
      </c>
      <c r="G1732" t="s">
        <v>478</v>
      </c>
      <c r="H1732" t="s">
        <v>600</v>
      </c>
      <c r="I1732" t="s">
        <v>601</v>
      </c>
      <c r="J1732">
        <v>3.3399999999999999E-2</v>
      </c>
      <c r="K1732">
        <v>3.3700000000000001E-2</v>
      </c>
      <c r="L1732">
        <v>3.4099999999999998E-2</v>
      </c>
      <c r="M1732">
        <v>3.44E-2</v>
      </c>
      <c r="N1732">
        <v>3.4700000000000002E-2</v>
      </c>
      <c r="O1732">
        <v>3.5099999999999999E-2</v>
      </c>
      <c r="P1732">
        <v>3.5400000000000001E-2</v>
      </c>
      <c r="Q1732">
        <v>3.5799999999999998E-2</v>
      </c>
      <c r="R1732">
        <v>3.61E-2</v>
      </c>
      <c r="S1732">
        <v>3.6499999999999998E-2</v>
      </c>
      <c r="T1732">
        <v>3.6900000000000002E-2</v>
      </c>
      <c r="U1732">
        <v>3.7199999999999997E-2</v>
      </c>
      <c r="V1732">
        <v>3.7600000000000001E-2</v>
      </c>
      <c r="W1732">
        <v>3.7999999999999999E-2</v>
      </c>
      <c r="X1732">
        <v>3.8300000000000001E-2</v>
      </c>
      <c r="Y1732">
        <v>3.8699999999999998E-2</v>
      </c>
    </row>
    <row r="1733" spans="1:25" hidden="1">
      <c r="A1733" t="s">
        <v>18810</v>
      </c>
      <c r="B1733" t="s">
        <v>693</v>
      </c>
      <c r="C1733" t="s">
        <v>664</v>
      </c>
      <c r="D1733" t="s">
        <v>621</v>
      </c>
      <c r="E1733" t="s">
        <v>678</v>
      </c>
      <c r="F1733" t="s">
        <v>598</v>
      </c>
      <c r="G1733" t="s">
        <v>478</v>
      </c>
      <c r="H1733" t="s">
        <v>600</v>
      </c>
      <c r="I1733" t="s">
        <v>601</v>
      </c>
      <c r="J1733">
        <v>4.0000000000000002E-4</v>
      </c>
      <c r="K1733">
        <v>4.0000000000000002E-4</v>
      </c>
      <c r="L1733">
        <v>4.0000000000000002E-4</v>
      </c>
      <c r="M1733">
        <v>4.0000000000000002E-4</v>
      </c>
      <c r="N1733">
        <v>4.0000000000000002E-4</v>
      </c>
      <c r="O1733">
        <v>4.0000000000000002E-4</v>
      </c>
      <c r="P1733">
        <v>4.0000000000000002E-4</v>
      </c>
      <c r="Q1733">
        <v>4.0000000000000002E-4</v>
      </c>
      <c r="R1733">
        <v>4.0000000000000002E-4</v>
      </c>
      <c r="S1733">
        <v>2.9999999999999997E-4</v>
      </c>
      <c r="T1733">
        <v>2.9999999999999997E-4</v>
      </c>
      <c r="U1733">
        <v>2.9999999999999997E-4</v>
      </c>
      <c r="V1733">
        <v>2.9999999999999997E-4</v>
      </c>
      <c r="W1733">
        <v>2.9999999999999997E-4</v>
      </c>
      <c r="X1733">
        <v>2.9999999999999997E-4</v>
      </c>
      <c r="Y1733">
        <v>2.9999999999999997E-4</v>
      </c>
    </row>
    <row r="1734" spans="1:25" hidden="1">
      <c r="A1734" t="s">
        <v>18810</v>
      </c>
      <c r="B1734" t="s">
        <v>698</v>
      </c>
      <c r="C1734" t="s">
        <v>664</v>
      </c>
      <c r="D1734" t="s">
        <v>640</v>
      </c>
      <c r="E1734" t="s">
        <v>597</v>
      </c>
      <c r="F1734" t="s">
        <v>598</v>
      </c>
      <c r="G1734" t="s">
        <v>478</v>
      </c>
      <c r="H1734" t="s">
        <v>600</v>
      </c>
      <c r="I1734" t="s">
        <v>601</v>
      </c>
      <c r="J1734">
        <v>6.9999999999999999E-4</v>
      </c>
      <c r="K1734">
        <v>6.9999999999999999E-4</v>
      </c>
      <c r="L1734">
        <v>6.9999999999999999E-4</v>
      </c>
      <c r="M1734">
        <v>6.9999999999999999E-4</v>
      </c>
      <c r="N1734">
        <v>6.9999999999999999E-4</v>
      </c>
      <c r="O1734">
        <v>6.9999999999999999E-4</v>
      </c>
      <c r="P1734">
        <v>8.0000000000000004E-4</v>
      </c>
      <c r="Q1734">
        <v>8.0000000000000004E-4</v>
      </c>
      <c r="R1734">
        <v>8.0000000000000004E-4</v>
      </c>
      <c r="S1734">
        <v>8.0000000000000004E-4</v>
      </c>
      <c r="T1734">
        <v>8.0000000000000004E-4</v>
      </c>
      <c r="U1734">
        <v>8.0000000000000004E-4</v>
      </c>
      <c r="V1734">
        <v>8.0000000000000004E-4</v>
      </c>
      <c r="W1734">
        <v>8.0000000000000004E-4</v>
      </c>
      <c r="X1734">
        <v>8.0000000000000004E-4</v>
      </c>
      <c r="Y1734">
        <v>8.0000000000000004E-4</v>
      </c>
    </row>
    <row r="1735" spans="1:25" hidden="1">
      <c r="A1735" t="s">
        <v>18810</v>
      </c>
      <c r="B1735" t="s">
        <v>699</v>
      </c>
      <c r="C1735" t="s">
        <v>664</v>
      </c>
      <c r="D1735" t="s">
        <v>640</v>
      </c>
      <c r="E1735" t="s">
        <v>605</v>
      </c>
      <c r="F1735" t="s">
        <v>598</v>
      </c>
      <c r="G1735" t="s">
        <v>478</v>
      </c>
      <c r="H1735" t="s">
        <v>600</v>
      </c>
      <c r="I1735" t="s">
        <v>601</v>
      </c>
      <c r="J1735">
        <v>2.0000000000000001E-4</v>
      </c>
      <c r="K1735">
        <v>2.0000000000000001E-4</v>
      </c>
      <c r="L1735">
        <v>2.0000000000000001E-4</v>
      </c>
      <c r="M1735">
        <v>2.0000000000000001E-4</v>
      </c>
      <c r="N1735">
        <v>2.0000000000000001E-4</v>
      </c>
      <c r="O1735">
        <v>2.0000000000000001E-4</v>
      </c>
      <c r="P1735">
        <v>2.0000000000000001E-4</v>
      </c>
      <c r="Q1735">
        <v>2.0000000000000001E-4</v>
      </c>
      <c r="R1735">
        <v>2.0000000000000001E-4</v>
      </c>
      <c r="S1735">
        <v>2.0000000000000001E-4</v>
      </c>
      <c r="T1735">
        <v>2.0000000000000001E-4</v>
      </c>
      <c r="U1735">
        <v>2.0000000000000001E-4</v>
      </c>
      <c r="V1735">
        <v>2.0000000000000001E-4</v>
      </c>
      <c r="W1735">
        <v>2.0000000000000001E-4</v>
      </c>
      <c r="X1735">
        <v>2.0000000000000001E-4</v>
      </c>
      <c r="Y1735">
        <v>2.0000000000000001E-4</v>
      </c>
    </row>
    <row r="1736" spans="1:25" hidden="1">
      <c r="A1736" t="s">
        <v>18810</v>
      </c>
      <c r="B1736" t="s">
        <v>700</v>
      </c>
      <c r="C1736" t="s">
        <v>664</v>
      </c>
      <c r="D1736" t="s">
        <v>701</v>
      </c>
      <c r="E1736" t="s">
        <v>672</v>
      </c>
      <c r="F1736" t="s">
        <v>598</v>
      </c>
      <c r="G1736" t="s">
        <v>478</v>
      </c>
      <c r="H1736" t="s">
        <v>600</v>
      </c>
      <c r="I1736" t="s">
        <v>601</v>
      </c>
      <c r="J1736">
        <v>4.0000000000000002E-4</v>
      </c>
      <c r="K1736">
        <v>4.0000000000000002E-4</v>
      </c>
      <c r="L1736">
        <v>4.0000000000000002E-4</v>
      </c>
      <c r="M1736">
        <v>4.0000000000000002E-4</v>
      </c>
      <c r="N1736">
        <v>4.0000000000000002E-4</v>
      </c>
      <c r="O1736">
        <v>2.9999999999999997E-4</v>
      </c>
      <c r="P1736">
        <v>2.9999999999999997E-4</v>
      </c>
      <c r="Q1736">
        <v>2.9999999999999997E-4</v>
      </c>
      <c r="R1736">
        <v>2.9999999999999997E-4</v>
      </c>
      <c r="S1736">
        <v>2.9999999999999997E-4</v>
      </c>
      <c r="T1736">
        <v>2.9999999999999997E-4</v>
      </c>
      <c r="U1736">
        <v>2.9999999999999997E-4</v>
      </c>
      <c r="V1736">
        <v>2.9999999999999997E-4</v>
      </c>
      <c r="W1736">
        <v>2.9999999999999997E-4</v>
      </c>
      <c r="X1736">
        <v>2.9999999999999997E-4</v>
      </c>
      <c r="Y1736">
        <v>2.9999999999999997E-4</v>
      </c>
    </row>
    <row r="1737" spans="1:25" hidden="1">
      <c r="A1737" t="s">
        <v>18810</v>
      </c>
      <c r="B1737" t="s">
        <v>702</v>
      </c>
      <c r="C1737" t="s">
        <v>664</v>
      </c>
      <c r="D1737" t="s">
        <v>701</v>
      </c>
      <c r="E1737" t="s">
        <v>597</v>
      </c>
      <c r="F1737" t="s">
        <v>598</v>
      </c>
      <c r="G1737" t="s">
        <v>478</v>
      </c>
      <c r="H1737" t="s">
        <v>600</v>
      </c>
      <c r="I1737" t="s">
        <v>601</v>
      </c>
      <c r="J1737">
        <v>2.0000000000000001E-4</v>
      </c>
      <c r="K1737">
        <v>2.0000000000000001E-4</v>
      </c>
      <c r="L1737">
        <v>2.0000000000000001E-4</v>
      </c>
      <c r="M1737">
        <v>2.0000000000000001E-4</v>
      </c>
      <c r="N1737">
        <v>2.0000000000000001E-4</v>
      </c>
      <c r="O1737">
        <v>2.0000000000000001E-4</v>
      </c>
      <c r="P1737">
        <v>2.0000000000000001E-4</v>
      </c>
      <c r="Q1737">
        <v>2.0000000000000001E-4</v>
      </c>
      <c r="R1737">
        <v>2.0000000000000001E-4</v>
      </c>
      <c r="S1737">
        <v>2.0000000000000001E-4</v>
      </c>
      <c r="T1737">
        <v>2.0000000000000001E-4</v>
      </c>
      <c r="U1737">
        <v>2.0000000000000001E-4</v>
      </c>
      <c r="V1737">
        <v>1E-4</v>
      </c>
      <c r="W1737">
        <v>1E-4</v>
      </c>
      <c r="X1737">
        <v>1E-4</v>
      </c>
      <c r="Y1737">
        <v>1E-4</v>
      </c>
    </row>
    <row r="1738" spans="1:25" hidden="1">
      <c r="A1738" t="s">
        <v>18810</v>
      </c>
      <c r="B1738" t="s">
        <v>703</v>
      </c>
      <c r="C1738" t="s">
        <v>664</v>
      </c>
      <c r="D1738" t="s">
        <v>704</v>
      </c>
      <c r="E1738" t="s">
        <v>672</v>
      </c>
      <c r="F1738" t="s">
        <v>598</v>
      </c>
      <c r="G1738" t="s">
        <v>478</v>
      </c>
      <c r="H1738" t="s">
        <v>600</v>
      </c>
      <c r="I1738" t="s">
        <v>601</v>
      </c>
      <c r="J1738">
        <v>3.0000000000000001E-3</v>
      </c>
      <c r="K1738">
        <v>2.8999999999999998E-3</v>
      </c>
      <c r="L1738">
        <v>2.8999999999999998E-3</v>
      </c>
      <c r="M1738">
        <v>2.8E-3</v>
      </c>
      <c r="N1738">
        <v>2.7000000000000001E-3</v>
      </c>
      <c r="O1738">
        <v>2.7000000000000001E-3</v>
      </c>
      <c r="P1738">
        <v>2.5999999999999999E-3</v>
      </c>
      <c r="Q1738">
        <v>2.5999999999999999E-3</v>
      </c>
      <c r="R1738">
        <v>2.5000000000000001E-3</v>
      </c>
      <c r="S1738">
        <v>2.5000000000000001E-3</v>
      </c>
      <c r="T1738">
        <v>2.3999999999999998E-3</v>
      </c>
      <c r="U1738">
        <v>2.3E-3</v>
      </c>
      <c r="V1738">
        <v>2.3E-3</v>
      </c>
      <c r="W1738">
        <v>2.2000000000000001E-3</v>
      </c>
      <c r="X1738">
        <v>2.2000000000000001E-3</v>
      </c>
      <c r="Y1738">
        <v>2.0999999999999999E-3</v>
      </c>
    </row>
    <row r="1739" spans="1:25" hidden="1">
      <c r="A1739" t="s">
        <v>18810</v>
      </c>
      <c r="B1739" t="s">
        <v>705</v>
      </c>
      <c r="C1739" t="s">
        <v>664</v>
      </c>
      <c r="D1739" t="s">
        <v>704</v>
      </c>
      <c r="E1739" t="s">
        <v>597</v>
      </c>
      <c r="F1739" t="s">
        <v>598</v>
      </c>
      <c r="G1739" t="s">
        <v>478</v>
      </c>
      <c r="H1739" t="s">
        <v>600</v>
      </c>
      <c r="I1739" t="s">
        <v>601</v>
      </c>
      <c r="J1739">
        <v>8.9999999999999998E-4</v>
      </c>
      <c r="K1739">
        <v>8.0000000000000004E-4</v>
      </c>
      <c r="L1739">
        <v>8.0000000000000004E-4</v>
      </c>
      <c r="M1739">
        <v>8.0000000000000004E-4</v>
      </c>
      <c r="N1739">
        <v>8.0000000000000004E-4</v>
      </c>
      <c r="O1739">
        <v>8.0000000000000004E-4</v>
      </c>
      <c r="P1739">
        <v>6.9999999999999999E-4</v>
      </c>
      <c r="Q1739">
        <v>6.9999999999999999E-4</v>
      </c>
      <c r="R1739">
        <v>6.9999999999999999E-4</v>
      </c>
      <c r="S1739">
        <v>6.9999999999999999E-4</v>
      </c>
      <c r="T1739">
        <v>6.9999999999999999E-4</v>
      </c>
      <c r="U1739">
        <v>6.9999999999999999E-4</v>
      </c>
      <c r="V1739">
        <v>6.9999999999999999E-4</v>
      </c>
      <c r="W1739">
        <v>5.9999999999999995E-4</v>
      </c>
      <c r="X1739">
        <v>5.9999999999999995E-4</v>
      </c>
      <c r="Y1739">
        <v>5.9999999999999995E-4</v>
      </c>
    </row>
    <row r="1740" spans="1:25" hidden="1">
      <c r="A1740" t="s">
        <v>18810</v>
      </c>
      <c r="B1740" t="s">
        <v>709</v>
      </c>
      <c r="C1740" t="s">
        <v>710</v>
      </c>
      <c r="D1740" t="s">
        <v>596</v>
      </c>
      <c r="E1740" t="s">
        <v>597</v>
      </c>
      <c r="F1740" t="s">
        <v>598</v>
      </c>
      <c r="G1740" t="s">
        <v>478</v>
      </c>
      <c r="H1740" t="s">
        <v>600</v>
      </c>
      <c r="I1740" t="s">
        <v>601</v>
      </c>
      <c r="J1740">
        <v>1.7600000000000001E-2</v>
      </c>
      <c r="K1740">
        <v>1.78E-2</v>
      </c>
      <c r="L1740">
        <v>1.7999999999999999E-2</v>
      </c>
      <c r="M1740">
        <v>1.8100000000000002E-2</v>
      </c>
      <c r="N1740">
        <v>1.84E-2</v>
      </c>
      <c r="O1740">
        <v>1.8499999999999999E-2</v>
      </c>
      <c r="P1740">
        <v>1.8700000000000001E-2</v>
      </c>
      <c r="Q1740">
        <v>1.89E-2</v>
      </c>
      <c r="R1740">
        <v>1.9099999999999999E-2</v>
      </c>
      <c r="S1740">
        <v>1.9199999999999998E-2</v>
      </c>
      <c r="T1740">
        <v>1.95E-2</v>
      </c>
      <c r="U1740">
        <v>1.9599999999999999E-2</v>
      </c>
      <c r="V1740">
        <v>1.9800000000000002E-2</v>
      </c>
      <c r="W1740">
        <v>2.01E-2</v>
      </c>
      <c r="X1740">
        <v>2.0199999999999999E-2</v>
      </c>
      <c r="Y1740">
        <v>2.0400000000000001E-2</v>
      </c>
    </row>
    <row r="1741" spans="1:25" hidden="1">
      <c r="A1741" t="s">
        <v>18810</v>
      </c>
      <c r="B1741" t="s">
        <v>711</v>
      </c>
      <c r="C1741" t="s">
        <v>710</v>
      </c>
      <c r="D1741" t="s">
        <v>596</v>
      </c>
      <c r="E1741" t="s">
        <v>605</v>
      </c>
      <c r="F1741" t="s">
        <v>598</v>
      </c>
      <c r="G1741" t="s">
        <v>478</v>
      </c>
      <c r="H1741" t="s">
        <v>600</v>
      </c>
      <c r="I1741" t="s">
        <v>601</v>
      </c>
      <c r="J1741">
        <v>2.6111</v>
      </c>
      <c r="K1741">
        <v>2.6387</v>
      </c>
      <c r="L1741">
        <v>2.6638000000000002</v>
      </c>
      <c r="M1741">
        <v>2.6913</v>
      </c>
      <c r="N1741">
        <v>2.7189999999999999</v>
      </c>
      <c r="O1741">
        <v>2.7440000000000002</v>
      </c>
      <c r="P1741">
        <v>2.7717000000000001</v>
      </c>
      <c r="Q1741">
        <v>2.7991999999999999</v>
      </c>
      <c r="R1741">
        <v>2.8269000000000002</v>
      </c>
      <c r="S1741">
        <v>2.8569</v>
      </c>
      <c r="T1741">
        <v>2.8845000000000001</v>
      </c>
      <c r="U1741">
        <v>2.9121000000000001</v>
      </c>
      <c r="V1741">
        <v>2.9422000000000001</v>
      </c>
      <c r="W1741">
        <v>2.9723000000000002</v>
      </c>
      <c r="X1741">
        <v>2.9998</v>
      </c>
      <c r="Y1741">
        <v>3.0324</v>
      </c>
    </row>
    <row r="1742" spans="1:25" hidden="1">
      <c r="A1742" t="s">
        <v>18810</v>
      </c>
      <c r="B1742" t="s">
        <v>712</v>
      </c>
      <c r="C1742" t="s">
        <v>710</v>
      </c>
      <c r="D1742" t="s">
        <v>596</v>
      </c>
      <c r="E1742" t="s">
        <v>713</v>
      </c>
      <c r="F1742" t="s">
        <v>598</v>
      </c>
      <c r="G1742" t="s">
        <v>478</v>
      </c>
      <c r="H1742" t="s">
        <v>600</v>
      </c>
      <c r="I1742" t="s">
        <v>601</v>
      </c>
      <c r="J1742">
        <v>7.5800000000000006E-2</v>
      </c>
      <c r="K1742">
        <v>7.6600000000000001E-2</v>
      </c>
      <c r="L1742">
        <v>7.7299999999999994E-2</v>
      </c>
      <c r="M1742">
        <v>7.8100000000000003E-2</v>
      </c>
      <c r="N1742">
        <v>7.8899999999999998E-2</v>
      </c>
      <c r="O1742">
        <v>7.9699999999999993E-2</v>
      </c>
      <c r="P1742">
        <v>8.0500000000000002E-2</v>
      </c>
      <c r="Q1742">
        <v>8.1299999999999997E-2</v>
      </c>
      <c r="R1742">
        <v>8.2100000000000006E-2</v>
      </c>
      <c r="S1742">
        <v>8.2900000000000001E-2</v>
      </c>
      <c r="T1742">
        <v>8.3699999999999997E-2</v>
      </c>
      <c r="U1742">
        <v>8.4500000000000006E-2</v>
      </c>
      <c r="V1742">
        <v>8.5400000000000004E-2</v>
      </c>
      <c r="W1742">
        <v>8.6300000000000002E-2</v>
      </c>
      <c r="X1742">
        <v>8.7099999999999997E-2</v>
      </c>
      <c r="Y1742">
        <v>8.7999999999999995E-2</v>
      </c>
    </row>
    <row r="1743" spans="1:25" hidden="1">
      <c r="A1743" t="s">
        <v>18810</v>
      </c>
      <c r="B1743" t="s">
        <v>715</v>
      </c>
      <c r="C1743" t="s">
        <v>710</v>
      </c>
      <c r="D1743" t="s">
        <v>671</v>
      </c>
      <c r="E1743" t="s">
        <v>597</v>
      </c>
      <c r="F1743" t="s">
        <v>598</v>
      </c>
      <c r="G1743" t="s">
        <v>478</v>
      </c>
      <c r="H1743" t="s">
        <v>600</v>
      </c>
      <c r="I1743" t="s">
        <v>601</v>
      </c>
      <c r="J1743">
        <v>8.48E-2</v>
      </c>
      <c r="K1743">
        <v>8.5800000000000001E-2</v>
      </c>
      <c r="L1743">
        <v>8.6599999999999996E-2</v>
      </c>
      <c r="M1743">
        <v>8.7499999999999994E-2</v>
      </c>
      <c r="N1743">
        <v>8.8400000000000006E-2</v>
      </c>
      <c r="O1743">
        <v>8.9200000000000002E-2</v>
      </c>
      <c r="P1743">
        <v>9.01E-2</v>
      </c>
      <c r="Q1743">
        <v>9.0899999999999995E-2</v>
      </c>
      <c r="R1743">
        <v>9.1899999999999996E-2</v>
      </c>
      <c r="S1743">
        <v>9.2899999999999996E-2</v>
      </c>
      <c r="T1743">
        <v>9.3700000000000006E-2</v>
      </c>
      <c r="U1743">
        <v>9.4600000000000004E-2</v>
      </c>
      <c r="V1743">
        <v>9.5600000000000004E-2</v>
      </c>
      <c r="W1743">
        <v>9.6600000000000005E-2</v>
      </c>
      <c r="X1743">
        <v>9.7500000000000003E-2</v>
      </c>
      <c r="Y1743">
        <v>9.8599999999999993E-2</v>
      </c>
    </row>
    <row r="1744" spans="1:25" hidden="1">
      <c r="A1744" t="s">
        <v>18810</v>
      </c>
      <c r="B1744" t="s">
        <v>716</v>
      </c>
      <c r="C1744" t="s">
        <v>710</v>
      </c>
      <c r="D1744" t="s">
        <v>671</v>
      </c>
      <c r="E1744" t="s">
        <v>605</v>
      </c>
      <c r="F1744" t="s">
        <v>598</v>
      </c>
      <c r="G1744" t="s">
        <v>478</v>
      </c>
      <c r="H1744" t="s">
        <v>600</v>
      </c>
      <c r="I1744" t="s">
        <v>601</v>
      </c>
      <c r="J1744">
        <v>4.6959</v>
      </c>
      <c r="K1744">
        <v>4.7455999999999996</v>
      </c>
      <c r="L1744">
        <v>4.7906000000000004</v>
      </c>
      <c r="M1744">
        <v>4.8400999999999996</v>
      </c>
      <c r="N1744">
        <v>4.8898000000000001</v>
      </c>
      <c r="O1744">
        <v>4.9348999999999998</v>
      </c>
      <c r="P1744">
        <v>4.9846000000000004</v>
      </c>
      <c r="Q1744">
        <v>5.0342000000000002</v>
      </c>
      <c r="R1744">
        <v>5.0838000000000001</v>
      </c>
      <c r="S1744">
        <v>5.1379000000000001</v>
      </c>
      <c r="T1744">
        <v>5.1875999999999998</v>
      </c>
      <c r="U1744">
        <v>5.2371999999999996</v>
      </c>
      <c r="V1744">
        <v>5.2912999999999997</v>
      </c>
      <c r="W1744">
        <v>5.3455000000000004</v>
      </c>
      <c r="X1744">
        <v>5.3951000000000002</v>
      </c>
      <c r="Y1744">
        <v>5.4537000000000004</v>
      </c>
    </row>
    <row r="1745" spans="1:25" hidden="1">
      <c r="A1745" t="s">
        <v>18810</v>
      </c>
      <c r="B1745" t="s">
        <v>718</v>
      </c>
      <c r="C1745" t="s">
        <v>710</v>
      </c>
      <c r="D1745" t="s">
        <v>621</v>
      </c>
      <c r="E1745" t="s">
        <v>597</v>
      </c>
      <c r="F1745" t="s">
        <v>598</v>
      </c>
      <c r="G1745" t="s">
        <v>478</v>
      </c>
      <c r="H1745" t="s">
        <v>600</v>
      </c>
      <c r="I1745" t="s">
        <v>601</v>
      </c>
      <c r="J1745">
        <v>6.6E-3</v>
      </c>
      <c r="K1745">
        <v>6.6E-3</v>
      </c>
      <c r="L1745">
        <v>6.7000000000000002E-3</v>
      </c>
      <c r="M1745">
        <v>6.7999999999999996E-3</v>
      </c>
      <c r="N1745">
        <v>6.7999999999999996E-3</v>
      </c>
      <c r="O1745">
        <v>6.8999999999999999E-3</v>
      </c>
      <c r="P1745">
        <v>7.0000000000000001E-3</v>
      </c>
      <c r="Q1745">
        <v>7.1000000000000004E-3</v>
      </c>
      <c r="R1745">
        <v>7.1000000000000004E-3</v>
      </c>
      <c r="S1745">
        <v>7.1999999999999998E-3</v>
      </c>
      <c r="T1745">
        <v>7.3000000000000001E-3</v>
      </c>
      <c r="U1745">
        <v>7.3000000000000001E-3</v>
      </c>
      <c r="V1745">
        <v>7.4000000000000003E-3</v>
      </c>
      <c r="W1745">
        <v>7.4999999999999997E-3</v>
      </c>
      <c r="X1745">
        <v>7.6E-3</v>
      </c>
      <c r="Y1745">
        <v>7.6E-3</v>
      </c>
    </row>
    <row r="1746" spans="1:25" hidden="1">
      <c r="A1746" t="s">
        <v>18810</v>
      </c>
      <c r="B1746" t="s">
        <v>720</v>
      </c>
      <c r="C1746" t="s">
        <v>710</v>
      </c>
      <c r="D1746" t="s">
        <v>632</v>
      </c>
      <c r="E1746" t="s">
        <v>597</v>
      </c>
      <c r="F1746" t="s">
        <v>598</v>
      </c>
      <c r="G1746" t="s">
        <v>478</v>
      </c>
      <c r="H1746" t="s">
        <v>600</v>
      </c>
      <c r="I1746" t="s">
        <v>601</v>
      </c>
      <c r="J1746">
        <v>1.3331999999999999</v>
      </c>
      <c r="K1746">
        <v>1.3498000000000001</v>
      </c>
      <c r="L1746">
        <v>1.365</v>
      </c>
      <c r="M1746">
        <v>1.3815999999999999</v>
      </c>
      <c r="N1746">
        <v>1.3979999999999999</v>
      </c>
      <c r="O1746">
        <v>1.4146000000000001</v>
      </c>
      <c r="P1746">
        <v>1.4322999999999999</v>
      </c>
      <c r="Q1746">
        <v>1.4489000000000001</v>
      </c>
      <c r="R1746">
        <v>1.4666999999999999</v>
      </c>
      <c r="S1746">
        <v>1.4843999999999999</v>
      </c>
      <c r="T1746">
        <v>1.5023</v>
      </c>
      <c r="U1746">
        <v>1.5201</v>
      </c>
      <c r="V1746">
        <v>1.5379</v>
      </c>
      <c r="W1746">
        <v>1.5569999999999999</v>
      </c>
      <c r="X1746">
        <v>1.5760000000000001</v>
      </c>
      <c r="Y1746">
        <v>1.5936999999999999</v>
      </c>
    </row>
    <row r="1747" spans="1:25" hidden="1">
      <c r="A1747" t="s">
        <v>18810</v>
      </c>
      <c r="B1747" t="s">
        <v>721</v>
      </c>
      <c r="C1747" t="s">
        <v>710</v>
      </c>
      <c r="D1747" t="s">
        <v>632</v>
      </c>
      <c r="E1747" t="s">
        <v>642</v>
      </c>
      <c r="F1747" t="s">
        <v>598</v>
      </c>
      <c r="G1747" t="s">
        <v>478</v>
      </c>
      <c r="H1747" t="s">
        <v>600</v>
      </c>
      <c r="I1747" t="s">
        <v>601</v>
      </c>
      <c r="J1747">
        <v>1.1999999999999999E-3</v>
      </c>
      <c r="K1747">
        <v>1.1999999999999999E-3</v>
      </c>
      <c r="L1747">
        <v>1.1999999999999999E-3</v>
      </c>
      <c r="M1747">
        <v>1.1999999999999999E-3</v>
      </c>
      <c r="N1747">
        <v>1.2999999999999999E-3</v>
      </c>
      <c r="O1747">
        <v>1.2999999999999999E-3</v>
      </c>
      <c r="P1747">
        <v>1.2999999999999999E-3</v>
      </c>
      <c r="Q1747">
        <v>1.2999999999999999E-3</v>
      </c>
      <c r="R1747">
        <v>1.2999999999999999E-3</v>
      </c>
      <c r="S1747">
        <v>1.2999999999999999E-3</v>
      </c>
      <c r="T1747">
        <v>1.2999999999999999E-3</v>
      </c>
      <c r="U1747">
        <v>1.4E-3</v>
      </c>
      <c r="V1747">
        <v>1.4E-3</v>
      </c>
      <c r="W1747">
        <v>1.4E-3</v>
      </c>
      <c r="X1747">
        <v>1.4E-3</v>
      </c>
      <c r="Y1747">
        <v>1.4E-3</v>
      </c>
    </row>
    <row r="1748" spans="1:25" hidden="1">
      <c r="A1748" t="s">
        <v>18810</v>
      </c>
      <c r="B1748" t="s">
        <v>722</v>
      </c>
      <c r="C1748" t="s">
        <v>710</v>
      </c>
      <c r="D1748" t="s">
        <v>632</v>
      </c>
      <c r="E1748" t="s">
        <v>723</v>
      </c>
      <c r="F1748" t="s">
        <v>598</v>
      </c>
      <c r="G1748" t="s">
        <v>478</v>
      </c>
      <c r="H1748" t="s">
        <v>600</v>
      </c>
      <c r="I1748" t="s">
        <v>601</v>
      </c>
      <c r="J1748">
        <v>0.2742</v>
      </c>
      <c r="K1748">
        <v>0.27760000000000001</v>
      </c>
      <c r="L1748">
        <v>0.28079999999999999</v>
      </c>
      <c r="M1748">
        <v>0.28420000000000001</v>
      </c>
      <c r="N1748">
        <v>0.28749999999999998</v>
      </c>
      <c r="O1748">
        <v>0.29099999999999998</v>
      </c>
      <c r="P1748">
        <v>0.29459999999999997</v>
      </c>
      <c r="Q1748">
        <v>0.29799999999999999</v>
      </c>
      <c r="R1748">
        <v>0.30170000000000002</v>
      </c>
      <c r="S1748">
        <v>0.3054</v>
      </c>
      <c r="T1748">
        <v>0.309</v>
      </c>
      <c r="U1748">
        <v>0.31269999999999998</v>
      </c>
      <c r="V1748">
        <v>0.31630000000000003</v>
      </c>
      <c r="W1748">
        <v>0.32029999999999997</v>
      </c>
      <c r="X1748">
        <v>0.32419999999999999</v>
      </c>
      <c r="Y1748">
        <v>0.32779999999999998</v>
      </c>
    </row>
    <row r="1749" spans="1:25" hidden="1">
      <c r="A1749" t="s">
        <v>18810</v>
      </c>
      <c r="B1749" t="s">
        <v>724</v>
      </c>
      <c r="C1749" t="s">
        <v>710</v>
      </c>
      <c r="D1749" t="s">
        <v>640</v>
      </c>
      <c r="E1749" t="s">
        <v>597</v>
      </c>
      <c r="F1749" t="s">
        <v>598</v>
      </c>
      <c r="G1749" t="s">
        <v>478</v>
      </c>
      <c r="H1749" t="s">
        <v>600</v>
      </c>
      <c r="I1749" t="s">
        <v>601</v>
      </c>
      <c r="J1749">
        <v>0.29409999999999997</v>
      </c>
      <c r="K1749">
        <v>0.29930000000000001</v>
      </c>
      <c r="L1749">
        <v>0.30209999999999998</v>
      </c>
      <c r="M1749">
        <v>0.3049</v>
      </c>
      <c r="N1749">
        <v>0.30769999999999997</v>
      </c>
      <c r="O1749">
        <v>0.31</v>
      </c>
      <c r="P1749">
        <v>0.31290000000000001</v>
      </c>
      <c r="Q1749">
        <v>0.31559999999999999</v>
      </c>
      <c r="R1749">
        <v>0.32079999999999997</v>
      </c>
      <c r="S1749">
        <v>0.3236</v>
      </c>
      <c r="T1749">
        <v>0.3261</v>
      </c>
      <c r="U1749">
        <v>0.32869999999999999</v>
      </c>
      <c r="V1749">
        <v>0.33150000000000002</v>
      </c>
      <c r="W1749">
        <v>0.33689999999999998</v>
      </c>
      <c r="X1749">
        <v>0.33939999999999998</v>
      </c>
      <c r="Y1749">
        <v>0.34229999999999999</v>
      </c>
    </row>
    <row r="1750" spans="1:25" hidden="1">
      <c r="A1750" t="s">
        <v>18810</v>
      </c>
      <c r="B1750" t="s">
        <v>725</v>
      </c>
      <c r="C1750" t="s">
        <v>710</v>
      </c>
      <c r="D1750" t="s">
        <v>640</v>
      </c>
      <c r="E1750" t="s">
        <v>642</v>
      </c>
      <c r="F1750" t="s">
        <v>598</v>
      </c>
      <c r="G1750" t="s">
        <v>478</v>
      </c>
      <c r="H1750" t="s">
        <v>600</v>
      </c>
      <c r="I1750" t="s">
        <v>601</v>
      </c>
      <c r="J1750">
        <v>3.8E-3</v>
      </c>
      <c r="K1750">
        <v>3.8999999999999998E-3</v>
      </c>
      <c r="L1750">
        <v>3.8999999999999998E-3</v>
      </c>
      <c r="M1750">
        <v>3.8999999999999998E-3</v>
      </c>
      <c r="N1750">
        <v>4.0000000000000001E-3</v>
      </c>
      <c r="O1750">
        <v>4.0000000000000001E-3</v>
      </c>
      <c r="P1750">
        <v>4.1000000000000003E-3</v>
      </c>
      <c r="Q1750">
        <v>4.1000000000000003E-3</v>
      </c>
      <c r="R1750">
        <v>4.1000000000000003E-3</v>
      </c>
      <c r="S1750">
        <v>4.1999999999999997E-3</v>
      </c>
      <c r="T1750">
        <v>4.1999999999999997E-3</v>
      </c>
      <c r="U1750">
        <v>4.3E-3</v>
      </c>
      <c r="V1750">
        <v>4.3E-3</v>
      </c>
      <c r="W1750">
        <v>4.3E-3</v>
      </c>
      <c r="X1750">
        <v>4.4000000000000003E-3</v>
      </c>
      <c r="Y1750">
        <v>4.4000000000000003E-3</v>
      </c>
    </row>
    <row r="1751" spans="1:25" hidden="1">
      <c r="A1751" t="s">
        <v>18810</v>
      </c>
      <c r="B1751" t="s">
        <v>726</v>
      </c>
      <c r="C1751" t="s">
        <v>710</v>
      </c>
      <c r="D1751" t="s">
        <v>640</v>
      </c>
      <c r="E1751" t="s">
        <v>605</v>
      </c>
      <c r="F1751" t="s">
        <v>598</v>
      </c>
      <c r="G1751" t="s">
        <v>478</v>
      </c>
      <c r="H1751" t="s">
        <v>600</v>
      </c>
      <c r="I1751" t="s">
        <v>601</v>
      </c>
      <c r="J1751">
        <v>0.18329999999999999</v>
      </c>
      <c r="K1751">
        <v>0.1865</v>
      </c>
      <c r="L1751">
        <v>0.18820000000000001</v>
      </c>
      <c r="M1751">
        <v>0.18990000000000001</v>
      </c>
      <c r="N1751">
        <v>0.1918</v>
      </c>
      <c r="O1751">
        <v>0.19309999999999999</v>
      </c>
      <c r="P1751">
        <v>0.19489999999999999</v>
      </c>
      <c r="Q1751">
        <v>0.19670000000000001</v>
      </c>
      <c r="R1751">
        <v>0.19980000000000001</v>
      </c>
      <c r="S1751">
        <v>0.2016</v>
      </c>
      <c r="T1751">
        <v>0.20319999999999999</v>
      </c>
      <c r="U1751">
        <v>0.20480000000000001</v>
      </c>
      <c r="V1751">
        <v>0.20660000000000001</v>
      </c>
      <c r="W1751">
        <v>0.2099</v>
      </c>
      <c r="X1751">
        <v>0.21149999999999999</v>
      </c>
      <c r="Y1751">
        <v>0.2132</v>
      </c>
    </row>
    <row r="1752" spans="1:25" hidden="1">
      <c r="A1752" t="s">
        <v>18810</v>
      </c>
      <c r="B1752" t="s">
        <v>727</v>
      </c>
      <c r="C1752" t="s">
        <v>710</v>
      </c>
      <c r="D1752" t="s">
        <v>640</v>
      </c>
      <c r="E1752" t="s">
        <v>613</v>
      </c>
      <c r="F1752" t="s">
        <v>598</v>
      </c>
      <c r="G1752" t="s">
        <v>478</v>
      </c>
      <c r="H1752" t="s">
        <v>600</v>
      </c>
      <c r="I1752" t="s">
        <v>601</v>
      </c>
      <c r="J1752">
        <v>0.29199999999999998</v>
      </c>
      <c r="K1752">
        <v>0.29480000000000001</v>
      </c>
      <c r="L1752">
        <v>0.2974</v>
      </c>
      <c r="M1752">
        <v>0.30020000000000002</v>
      </c>
      <c r="N1752">
        <v>0.30299999999999999</v>
      </c>
      <c r="O1752">
        <v>0.30580000000000002</v>
      </c>
      <c r="P1752">
        <v>0.30859999999999999</v>
      </c>
      <c r="Q1752">
        <v>0.31140000000000001</v>
      </c>
      <c r="R1752">
        <v>0.3145</v>
      </c>
      <c r="S1752">
        <v>0.31730000000000003</v>
      </c>
      <c r="T1752">
        <v>0.32040000000000002</v>
      </c>
      <c r="U1752">
        <v>0.32319999999999999</v>
      </c>
      <c r="V1752">
        <v>0.32629999999999998</v>
      </c>
      <c r="W1752">
        <v>0.32940000000000003</v>
      </c>
      <c r="X1752">
        <v>0.33250000000000002</v>
      </c>
      <c r="Y1752">
        <v>0.33560000000000001</v>
      </c>
    </row>
    <row r="1753" spans="1:25" hidden="1">
      <c r="A1753" t="s">
        <v>18810</v>
      </c>
      <c r="B1753" t="s">
        <v>728</v>
      </c>
      <c r="C1753" t="s">
        <v>729</v>
      </c>
      <c r="D1753" t="s">
        <v>596</v>
      </c>
      <c r="E1753" t="s">
        <v>597</v>
      </c>
      <c r="F1753" t="s">
        <v>598</v>
      </c>
      <c r="G1753" t="s">
        <v>478</v>
      </c>
      <c r="H1753" t="s">
        <v>600</v>
      </c>
      <c r="I1753" t="s">
        <v>601</v>
      </c>
      <c r="J1753">
        <v>0.26129999999999998</v>
      </c>
      <c r="K1753">
        <v>0.26319999999999999</v>
      </c>
      <c r="L1753">
        <v>0.2656</v>
      </c>
      <c r="M1753">
        <v>0.26829999999999998</v>
      </c>
      <c r="N1753">
        <v>0.26989999999999997</v>
      </c>
      <c r="O1753">
        <v>0.27160000000000001</v>
      </c>
      <c r="P1753">
        <v>0.2742</v>
      </c>
      <c r="Q1753">
        <v>0.27760000000000001</v>
      </c>
      <c r="R1753">
        <v>0.27989999999999998</v>
      </c>
      <c r="S1753">
        <v>0.28210000000000002</v>
      </c>
      <c r="T1753">
        <v>0.28439999999999999</v>
      </c>
      <c r="U1753">
        <v>0.28739999999999999</v>
      </c>
      <c r="V1753">
        <v>0.28989999999999999</v>
      </c>
      <c r="W1753">
        <v>0.29260000000000003</v>
      </c>
      <c r="X1753">
        <v>0.29520000000000002</v>
      </c>
      <c r="Y1753">
        <v>0.2984</v>
      </c>
    </row>
    <row r="1754" spans="1:25" hidden="1">
      <c r="A1754" t="s">
        <v>18810</v>
      </c>
      <c r="B1754" t="s">
        <v>733</v>
      </c>
      <c r="C1754" t="s">
        <v>729</v>
      </c>
      <c r="D1754" t="s">
        <v>596</v>
      </c>
      <c r="E1754" t="s">
        <v>605</v>
      </c>
      <c r="F1754" t="s">
        <v>598</v>
      </c>
      <c r="G1754" t="s">
        <v>478</v>
      </c>
      <c r="H1754" t="s">
        <v>600</v>
      </c>
      <c r="I1754" t="s">
        <v>601</v>
      </c>
      <c r="J1754">
        <v>8.0000000000000004E-4</v>
      </c>
      <c r="K1754">
        <v>8.0000000000000004E-4</v>
      </c>
      <c r="L1754">
        <v>8.0000000000000004E-4</v>
      </c>
      <c r="M1754">
        <v>8.0000000000000004E-4</v>
      </c>
      <c r="N1754">
        <v>8.0000000000000004E-4</v>
      </c>
      <c r="O1754">
        <v>8.0000000000000004E-4</v>
      </c>
      <c r="P1754">
        <v>8.0000000000000004E-4</v>
      </c>
      <c r="Q1754">
        <v>8.0000000000000004E-4</v>
      </c>
      <c r="R1754">
        <v>8.0000000000000004E-4</v>
      </c>
      <c r="S1754">
        <v>8.9999999999999998E-4</v>
      </c>
      <c r="T1754">
        <v>8.9999999999999998E-4</v>
      </c>
      <c r="U1754">
        <v>8.9999999999999998E-4</v>
      </c>
      <c r="V1754">
        <v>8.9999999999999998E-4</v>
      </c>
      <c r="W1754">
        <v>8.9999999999999998E-4</v>
      </c>
      <c r="X1754">
        <v>8.9999999999999998E-4</v>
      </c>
      <c r="Y1754">
        <v>8.9999999999999998E-4</v>
      </c>
    </row>
    <row r="1755" spans="1:25" hidden="1">
      <c r="A1755" t="s">
        <v>18810</v>
      </c>
      <c r="B1755" t="s">
        <v>738</v>
      </c>
      <c r="C1755" t="s">
        <v>729</v>
      </c>
      <c r="D1755" t="s">
        <v>596</v>
      </c>
      <c r="E1755" t="s">
        <v>617</v>
      </c>
      <c r="F1755" t="s">
        <v>598</v>
      </c>
      <c r="G1755" t="s">
        <v>478</v>
      </c>
      <c r="H1755" t="s">
        <v>600</v>
      </c>
      <c r="I1755" t="s">
        <v>601</v>
      </c>
      <c r="J1755">
        <v>8.0000000000000002E-3</v>
      </c>
      <c r="K1755">
        <v>8.0000000000000002E-3</v>
      </c>
      <c r="L1755">
        <v>8.0000000000000002E-3</v>
      </c>
      <c r="M1755">
        <v>8.0000000000000002E-3</v>
      </c>
      <c r="N1755">
        <v>8.0000000000000002E-3</v>
      </c>
      <c r="O1755">
        <v>8.0000000000000002E-3</v>
      </c>
      <c r="P1755">
        <v>8.0000000000000002E-3</v>
      </c>
      <c r="Q1755">
        <v>8.0000000000000002E-3</v>
      </c>
      <c r="R1755">
        <v>8.0000000000000002E-3</v>
      </c>
      <c r="S1755">
        <v>8.0000000000000002E-3</v>
      </c>
      <c r="T1755">
        <v>8.0000000000000002E-3</v>
      </c>
      <c r="U1755">
        <v>8.0000000000000002E-3</v>
      </c>
      <c r="V1755">
        <v>8.0000000000000002E-3</v>
      </c>
      <c r="W1755">
        <v>8.0000000000000002E-3</v>
      </c>
      <c r="X1755">
        <v>8.0000000000000002E-3</v>
      </c>
      <c r="Y1755">
        <v>8.0000000000000002E-3</v>
      </c>
    </row>
    <row r="1756" spans="1:25" hidden="1">
      <c r="A1756" t="s">
        <v>18810</v>
      </c>
      <c r="B1756" t="s">
        <v>745</v>
      </c>
      <c r="C1756" t="s">
        <v>729</v>
      </c>
      <c r="D1756" t="s">
        <v>671</v>
      </c>
      <c r="E1756" t="s">
        <v>597</v>
      </c>
      <c r="F1756" t="s">
        <v>598</v>
      </c>
      <c r="G1756" t="s">
        <v>478</v>
      </c>
      <c r="H1756" t="s">
        <v>600</v>
      </c>
      <c r="I1756" t="s">
        <v>601</v>
      </c>
      <c r="J1756">
        <v>6.3700000000000007E-2</v>
      </c>
      <c r="K1756">
        <v>6.4299999999999996E-2</v>
      </c>
      <c r="L1756">
        <v>6.4299999999999996E-2</v>
      </c>
      <c r="M1756">
        <v>6.5000000000000002E-2</v>
      </c>
      <c r="N1756">
        <v>6.5199999999999994E-2</v>
      </c>
      <c r="O1756">
        <v>6.5699999999999995E-2</v>
      </c>
      <c r="P1756">
        <v>6.6199999999999995E-2</v>
      </c>
      <c r="Q1756">
        <v>6.6699999999999995E-2</v>
      </c>
      <c r="R1756">
        <v>6.7199999999999996E-2</v>
      </c>
      <c r="S1756">
        <v>6.7699999999999996E-2</v>
      </c>
      <c r="T1756">
        <v>6.83E-2</v>
      </c>
      <c r="U1756">
        <v>6.8900000000000003E-2</v>
      </c>
      <c r="V1756">
        <v>6.9500000000000006E-2</v>
      </c>
      <c r="W1756">
        <v>7.0099999999999996E-2</v>
      </c>
      <c r="X1756">
        <v>7.0599999999999996E-2</v>
      </c>
      <c r="Y1756">
        <v>7.1300000000000002E-2</v>
      </c>
    </row>
    <row r="1757" spans="1:25" hidden="1">
      <c r="A1757" t="s">
        <v>18810</v>
      </c>
      <c r="B1757" t="s">
        <v>747</v>
      </c>
      <c r="C1757" t="s">
        <v>729</v>
      </c>
      <c r="D1757" t="s">
        <v>671</v>
      </c>
      <c r="E1757" t="s">
        <v>605</v>
      </c>
      <c r="F1757" t="s">
        <v>598</v>
      </c>
      <c r="G1757" t="s">
        <v>478</v>
      </c>
      <c r="H1757" t="s">
        <v>600</v>
      </c>
      <c r="I1757" t="s">
        <v>601</v>
      </c>
      <c r="J1757">
        <v>2.0999999999999999E-3</v>
      </c>
      <c r="K1757">
        <v>2.0999999999999999E-3</v>
      </c>
      <c r="L1757">
        <v>2.0999999999999999E-3</v>
      </c>
      <c r="M1757">
        <v>2.2000000000000001E-3</v>
      </c>
      <c r="N1757">
        <v>2.2000000000000001E-3</v>
      </c>
      <c r="O1757">
        <v>2.2000000000000001E-3</v>
      </c>
      <c r="P1757">
        <v>2.2000000000000001E-3</v>
      </c>
      <c r="Q1757">
        <v>2.2000000000000001E-3</v>
      </c>
      <c r="R1757">
        <v>2.3E-3</v>
      </c>
      <c r="S1757">
        <v>2.3E-3</v>
      </c>
      <c r="T1757">
        <v>2.3E-3</v>
      </c>
      <c r="U1757">
        <v>2.3E-3</v>
      </c>
      <c r="V1757">
        <v>2.3999999999999998E-3</v>
      </c>
      <c r="W1757">
        <v>2.3999999999999998E-3</v>
      </c>
      <c r="X1757">
        <v>2.3999999999999998E-3</v>
      </c>
      <c r="Y1757">
        <v>2.5000000000000001E-3</v>
      </c>
    </row>
    <row r="1758" spans="1:25" hidden="1">
      <c r="A1758" t="s">
        <v>18810</v>
      </c>
      <c r="B1758" t="s">
        <v>755</v>
      </c>
      <c r="C1758" t="s">
        <v>729</v>
      </c>
      <c r="D1758" t="s">
        <v>756</v>
      </c>
      <c r="E1758" t="s">
        <v>597</v>
      </c>
      <c r="F1758" t="s">
        <v>598</v>
      </c>
      <c r="G1758" t="s">
        <v>478</v>
      </c>
      <c r="H1758" t="s">
        <v>600</v>
      </c>
      <c r="I1758" t="s">
        <v>601</v>
      </c>
      <c r="J1758">
        <v>0.33179999999999998</v>
      </c>
      <c r="K1758">
        <v>0.33279999999999998</v>
      </c>
      <c r="L1758">
        <v>0.33350000000000002</v>
      </c>
      <c r="M1758">
        <v>0.33439999999999998</v>
      </c>
      <c r="N1758">
        <v>0.3352</v>
      </c>
      <c r="O1758">
        <v>0.33660000000000001</v>
      </c>
      <c r="P1758">
        <v>0.33750000000000002</v>
      </c>
      <c r="Q1758">
        <v>0.33850000000000002</v>
      </c>
      <c r="R1758">
        <v>0.3392</v>
      </c>
      <c r="S1758">
        <v>0.34039999999999998</v>
      </c>
      <c r="T1758">
        <v>0.34110000000000001</v>
      </c>
      <c r="U1758">
        <v>0.34189999999999998</v>
      </c>
      <c r="V1758">
        <v>0.34310000000000002</v>
      </c>
      <c r="W1758">
        <v>0.34410000000000002</v>
      </c>
      <c r="X1758">
        <v>0.34520000000000001</v>
      </c>
      <c r="Y1758">
        <v>0.34610000000000002</v>
      </c>
    </row>
    <row r="1759" spans="1:25" hidden="1">
      <c r="A1759" t="s">
        <v>18810</v>
      </c>
      <c r="B1759" t="s">
        <v>759</v>
      </c>
      <c r="C1759" t="s">
        <v>729</v>
      </c>
      <c r="D1759" t="s">
        <v>756</v>
      </c>
      <c r="E1759" t="s">
        <v>619</v>
      </c>
      <c r="F1759" t="s">
        <v>598</v>
      </c>
      <c r="G1759" t="s">
        <v>478</v>
      </c>
      <c r="H1759" t="s">
        <v>600</v>
      </c>
      <c r="I1759" t="s">
        <v>601</v>
      </c>
      <c r="J1759">
        <v>1E-4</v>
      </c>
      <c r="K1759">
        <v>1E-4</v>
      </c>
      <c r="L1759">
        <v>1E-4</v>
      </c>
      <c r="M1759">
        <v>1E-4</v>
      </c>
      <c r="N1759">
        <v>1E-4</v>
      </c>
      <c r="O1759">
        <v>1E-4</v>
      </c>
      <c r="P1759">
        <v>1E-4</v>
      </c>
      <c r="Q1759">
        <v>1E-4</v>
      </c>
      <c r="R1759">
        <v>1E-4</v>
      </c>
      <c r="S1759">
        <v>1E-4</v>
      </c>
      <c r="T1759">
        <v>1E-4</v>
      </c>
      <c r="U1759">
        <v>1E-4</v>
      </c>
      <c r="V1759">
        <v>1E-4</v>
      </c>
      <c r="W1759">
        <v>1E-4</v>
      </c>
      <c r="X1759">
        <v>1E-4</v>
      </c>
      <c r="Y1759">
        <v>1E-4</v>
      </c>
    </row>
    <row r="1760" spans="1:25" hidden="1">
      <c r="A1760" t="s">
        <v>18810</v>
      </c>
      <c r="B1760" t="s">
        <v>760</v>
      </c>
      <c r="C1760" t="s">
        <v>729</v>
      </c>
      <c r="D1760" t="s">
        <v>621</v>
      </c>
      <c r="E1760" t="s">
        <v>649</v>
      </c>
      <c r="F1760" t="s">
        <v>598</v>
      </c>
      <c r="G1760" t="s">
        <v>478</v>
      </c>
      <c r="H1760" t="s">
        <v>600</v>
      </c>
      <c r="I1760" t="s">
        <v>601</v>
      </c>
      <c r="J1760">
        <v>1E-4</v>
      </c>
      <c r="K1760">
        <v>1E-4</v>
      </c>
      <c r="L1760">
        <v>1E-4</v>
      </c>
      <c r="M1760">
        <v>1E-4</v>
      </c>
      <c r="N1760">
        <v>1E-4</v>
      </c>
      <c r="O1760">
        <v>1E-4</v>
      </c>
      <c r="P1760">
        <v>1E-4</v>
      </c>
      <c r="Q1760">
        <v>1E-4</v>
      </c>
      <c r="R1760">
        <v>1E-4</v>
      </c>
      <c r="S1760">
        <v>1E-4</v>
      </c>
      <c r="T1760">
        <v>1E-4</v>
      </c>
      <c r="U1760">
        <v>2.0000000000000001E-4</v>
      </c>
      <c r="V1760">
        <v>2.0000000000000001E-4</v>
      </c>
      <c r="W1760">
        <v>2.0000000000000001E-4</v>
      </c>
      <c r="X1760">
        <v>2.0000000000000001E-4</v>
      </c>
      <c r="Y1760">
        <v>2.0000000000000001E-4</v>
      </c>
    </row>
    <row r="1761" spans="1:25" hidden="1">
      <c r="A1761" t="s">
        <v>18810</v>
      </c>
      <c r="B1761" t="s">
        <v>761</v>
      </c>
      <c r="C1761" t="s">
        <v>729</v>
      </c>
      <c r="D1761" t="s">
        <v>621</v>
      </c>
      <c r="E1761" t="s">
        <v>597</v>
      </c>
      <c r="F1761" t="s">
        <v>598</v>
      </c>
      <c r="G1761" t="s">
        <v>478</v>
      </c>
      <c r="H1761" t="s">
        <v>600</v>
      </c>
      <c r="I1761" t="s">
        <v>601</v>
      </c>
      <c r="J1761">
        <v>1.2699999999999999E-2</v>
      </c>
      <c r="K1761">
        <v>1.2500000000000001E-2</v>
      </c>
      <c r="L1761">
        <v>1.23E-2</v>
      </c>
      <c r="M1761">
        <v>1.24E-2</v>
      </c>
      <c r="N1761">
        <v>1.24E-2</v>
      </c>
      <c r="O1761">
        <v>1.24E-2</v>
      </c>
      <c r="P1761">
        <v>1.2500000000000001E-2</v>
      </c>
      <c r="Q1761">
        <v>1.2E-2</v>
      </c>
      <c r="R1761">
        <v>1.2E-2</v>
      </c>
      <c r="S1761">
        <v>1.2E-2</v>
      </c>
      <c r="T1761">
        <v>1.21E-2</v>
      </c>
      <c r="U1761">
        <v>1.2200000000000001E-2</v>
      </c>
      <c r="V1761">
        <v>1.23E-2</v>
      </c>
      <c r="W1761">
        <v>1.24E-2</v>
      </c>
      <c r="X1761">
        <v>1.2500000000000001E-2</v>
      </c>
      <c r="Y1761">
        <v>1.26E-2</v>
      </c>
    </row>
    <row r="1762" spans="1:25" hidden="1">
      <c r="A1762" t="s">
        <v>18810</v>
      </c>
      <c r="B1762" t="s">
        <v>762</v>
      </c>
      <c r="C1762" t="s">
        <v>729</v>
      </c>
      <c r="D1762" t="s">
        <v>621</v>
      </c>
      <c r="E1762" t="s">
        <v>642</v>
      </c>
      <c r="F1762" t="s">
        <v>598</v>
      </c>
      <c r="G1762" t="s">
        <v>478</v>
      </c>
      <c r="H1762" t="s">
        <v>600</v>
      </c>
      <c r="I1762" t="s">
        <v>601</v>
      </c>
      <c r="J1762">
        <v>3.8999999999999998E-3</v>
      </c>
      <c r="K1762">
        <v>3.8999999999999998E-3</v>
      </c>
      <c r="L1762">
        <v>3.8999999999999998E-3</v>
      </c>
      <c r="M1762">
        <v>3.8999999999999998E-3</v>
      </c>
      <c r="N1762">
        <v>3.8999999999999998E-3</v>
      </c>
      <c r="O1762">
        <v>3.8999999999999998E-3</v>
      </c>
      <c r="P1762">
        <v>3.8999999999999998E-3</v>
      </c>
      <c r="Q1762">
        <v>3.8999999999999998E-3</v>
      </c>
      <c r="R1762">
        <v>3.8999999999999998E-3</v>
      </c>
      <c r="S1762">
        <v>3.8999999999999998E-3</v>
      </c>
      <c r="T1762">
        <v>3.8999999999999998E-3</v>
      </c>
      <c r="U1762">
        <v>3.8999999999999998E-3</v>
      </c>
      <c r="V1762">
        <v>3.8999999999999998E-3</v>
      </c>
      <c r="W1762">
        <v>3.8999999999999998E-3</v>
      </c>
      <c r="X1762">
        <v>3.8999999999999998E-3</v>
      </c>
      <c r="Y1762">
        <v>3.8999999999999998E-3</v>
      </c>
    </row>
    <row r="1763" spans="1:25" hidden="1">
      <c r="A1763" t="s">
        <v>18810</v>
      </c>
      <c r="B1763" t="s">
        <v>763</v>
      </c>
      <c r="C1763" t="s">
        <v>729</v>
      </c>
      <c r="D1763" t="s">
        <v>621</v>
      </c>
      <c r="E1763" t="s">
        <v>731</v>
      </c>
      <c r="F1763" t="s">
        <v>598</v>
      </c>
      <c r="G1763" t="s">
        <v>478</v>
      </c>
      <c r="H1763" t="s">
        <v>600</v>
      </c>
      <c r="I1763" t="s">
        <v>601</v>
      </c>
      <c r="J1763">
        <v>2.3999999999999998E-3</v>
      </c>
      <c r="K1763">
        <v>2.3999999999999998E-3</v>
      </c>
      <c r="L1763">
        <v>2.3999999999999998E-3</v>
      </c>
      <c r="M1763">
        <v>2.3999999999999998E-3</v>
      </c>
      <c r="N1763">
        <v>2.3999999999999998E-3</v>
      </c>
      <c r="O1763">
        <v>2.5000000000000001E-3</v>
      </c>
      <c r="P1763">
        <v>2.5000000000000001E-3</v>
      </c>
      <c r="Q1763">
        <v>2.5000000000000001E-3</v>
      </c>
      <c r="R1763">
        <v>2.5000000000000001E-3</v>
      </c>
      <c r="S1763">
        <v>2.5000000000000001E-3</v>
      </c>
      <c r="T1763">
        <v>2.5000000000000001E-3</v>
      </c>
      <c r="U1763">
        <v>2.5999999999999999E-3</v>
      </c>
      <c r="V1763">
        <v>2.7000000000000001E-3</v>
      </c>
      <c r="W1763">
        <v>2.7000000000000001E-3</v>
      </c>
      <c r="X1763">
        <v>2.8E-3</v>
      </c>
      <c r="Y1763">
        <v>2.8E-3</v>
      </c>
    </row>
    <row r="1764" spans="1:25" hidden="1">
      <c r="A1764" t="s">
        <v>18810</v>
      </c>
      <c r="B1764" t="s">
        <v>764</v>
      </c>
      <c r="C1764" t="s">
        <v>729</v>
      </c>
      <c r="D1764" t="s">
        <v>621</v>
      </c>
      <c r="E1764" t="s">
        <v>603</v>
      </c>
      <c r="F1764" t="s">
        <v>598</v>
      </c>
      <c r="G1764" t="s">
        <v>478</v>
      </c>
      <c r="H1764" t="s">
        <v>600</v>
      </c>
      <c r="I1764" t="s">
        <v>601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hidden="1">
      <c r="A1765" t="s">
        <v>18810</v>
      </c>
      <c r="B1765" t="s">
        <v>766</v>
      </c>
      <c r="C1765" t="s">
        <v>729</v>
      </c>
      <c r="D1765" t="s">
        <v>621</v>
      </c>
      <c r="E1765" t="s">
        <v>624</v>
      </c>
      <c r="F1765" t="s">
        <v>598</v>
      </c>
      <c r="G1765" t="s">
        <v>478</v>
      </c>
      <c r="H1765" t="s">
        <v>600</v>
      </c>
      <c r="I1765" t="s">
        <v>601</v>
      </c>
      <c r="J1765">
        <v>1E-4</v>
      </c>
      <c r="K1765">
        <v>1E-4</v>
      </c>
      <c r="L1765">
        <v>1E-4</v>
      </c>
      <c r="M1765">
        <v>1E-4</v>
      </c>
      <c r="N1765">
        <v>1E-4</v>
      </c>
      <c r="O1765">
        <v>1E-4</v>
      </c>
      <c r="P1765">
        <v>1E-4</v>
      </c>
      <c r="Q1765">
        <v>1E-4</v>
      </c>
      <c r="R1765">
        <v>1E-4</v>
      </c>
      <c r="S1765">
        <v>1E-4</v>
      </c>
      <c r="T1765">
        <v>1E-4</v>
      </c>
      <c r="U1765">
        <v>1E-4</v>
      </c>
      <c r="V1765">
        <v>1E-4</v>
      </c>
      <c r="W1765">
        <v>1E-4</v>
      </c>
      <c r="X1765">
        <v>1E-4</v>
      </c>
      <c r="Y1765">
        <v>1E-4</v>
      </c>
    </row>
    <row r="1766" spans="1:25" hidden="1">
      <c r="A1766" t="s">
        <v>18810</v>
      </c>
      <c r="B1766" t="s">
        <v>770</v>
      </c>
      <c r="C1766" t="s">
        <v>729</v>
      </c>
      <c r="D1766" t="s">
        <v>621</v>
      </c>
      <c r="E1766" t="s">
        <v>628</v>
      </c>
      <c r="F1766" t="s">
        <v>598</v>
      </c>
      <c r="G1766" t="s">
        <v>478</v>
      </c>
      <c r="H1766" t="s">
        <v>600</v>
      </c>
      <c r="I1766" t="s">
        <v>601</v>
      </c>
      <c r="J1766">
        <v>0.18629999999999999</v>
      </c>
      <c r="K1766">
        <v>0.1736</v>
      </c>
      <c r="L1766">
        <v>0.16070000000000001</v>
      </c>
      <c r="M1766">
        <v>0.14810000000000001</v>
      </c>
      <c r="N1766">
        <v>0.13500000000000001</v>
      </c>
      <c r="O1766">
        <v>0.12230000000000001</v>
      </c>
      <c r="P1766">
        <v>0.12330000000000001</v>
      </c>
      <c r="Q1766">
        <v>0.12640000000000001</v>
      </c>
      <c r="R1766">
        <v>0.1278</v>
      </c>
      <c r="S1766">
        <v>0.12939999999999999</v>
      </c>
      <c r="T1766">
        <v>0.1318</v>
      </c>
      <c r="U1766">
        <v>0.13300000000000001</v>
      </c>
      <c r="V1766">
        <v>0.13469999999999999</v>
      </c>
      <c r="W1766">
        <v>0.1371</v>
      </c>
      <c r="X1766">
        <v>0.1384</v>
      </c>
      <c r="Y1766">
        <v>0.14099999999999999</v>
      </c>
    </row>
    <row r="1767" spans="1:25" hidden="1">
      <c r="A1767" t="s">
        <v>18810</v>
      </c>
      <c r="B1767" t="s">
        <v>772</v>
      </c>
      <c r="C1767" t="s">
        <v>729</v>
      </c>
      <c r="D1767" t="s">
        <v>621</v>
      </c>
      <c r="E1767" t="s">
        <v>773</v>
      </c>
      <c r="F1767" t="s">
        <v>598</v>
      </c>
      <c r="G1767" t="s">
        <v>478</v>
      </c>
      <c r="H1767" t="s">
        <v>600</v>
      </c>
      <c r="I1767" t="s">
        <v>601</v>
      </c>
      <c r="J1767">
        <v>2.0000000000000001E-4</v>
      </c>
      <c r="K1767">
        <v>2.0000000000000001E-4</v>
      </c>
      <c r="L1767">
        <v>2.0000000000000001E-4</v>
      </c>
      <c r="M1767">
        <v>2.0000000000000001E-4</v>
      </c>
      <c r="N1767">
        <v>2.0000000000000001E-4</v>
      </c>
      <c r="O1767">
        <v>2.0000000000000001E-4</v>
      </c>
      <c r="P1767">
        <v>2.0000000000000001E-4</v>
      </c>
      <c r="Q1767">
        <v>2.0000000000000001E-4</v>
      </c>
      <c r="R1767">
        <v>2.0000000000000001E-4</v>
      </c>
      <c r="S1767">
        <v>2.0000000000000001E-4</v>
      </c>
      <c r="T1767">
        <v>2.0000000000000001E-4</v>
      </c>
      <c r="U1767">
        <v>2.0000000000000001E-4</v>
      </c>
      <c r="V1767">
        <v>2.0000000000000001E-4</v>
      </c>
      <c r="W1767">
        <v>2.0000000000000001E-4</v>
      </c>
      <c r="X1767">
        <v>2.0000000000000001E-4</v>
      </c>
      <c r="Y1767">
        <v>2.0000000000000001E-4</v>
      </c>
    </row>
    <row r="1768" spans="1:25" hidden="1">
      <c r="A1768" t="s">
        <v>18810</v>
      </c>
      <c r="B1768" t="s">
        <v>774</v>
      </c>
      <c r="C1768" t="s">
        <v>729</v>
      </c>
      <c r="D1768" t="s">
        <v>621</v>
      </c>
      <c r="E1768" t="s">
        <v>638</v>
      </c>
      <c r="F1768" t="s">
        <v>598</v>
      </c>
      <c r="G1768" t="s">
        <v>478</v>
      </c>
      <c r="H1768" t="s">
        <v>600</v>
      </c>
      <c r="I1768" t="s">
        <v>601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hidden="1">
      <c r="A1769" t="s">
        <v>18810</v>
      </c>
      <c r="B1769" t="s">
        <v>785</v>
      </c>
      <c r="C1769" t="s">
        <v>729</v>
      </c>
      <c r="D1769" t="s">
        <v>640</v>
      </c>
      <c r="E1769" t="s">
        <v>597</v>
      </c>
      <c r="F1769" t="s">
        <v>598</v>
      </c>
      <c r="G1769" t="s">
        <v>478</v>
      </c>
      <c r="H1769" t="s">
        <v>600</v>
      </c>
      <c r="I1769" t="s">
        <v>601</v>
      </c>
      <c r="J1769">
        <v>0.75719999999999998</v>
      </c>
      <c r="K1769">
        <v>0.76390000000000002</v>
      </c>
      <c r="L1769">
        <v>0.77159999999999995</v>
      </c>
      <c r="M1769">
        <v>0.77890000000000004</v>
      </c>
      <c r="N1769">
        <v>0.78669999999999995</v>
      </c>
      <c r="O1769">
        <v>0.79420000000000002</v>
      </c>
      <c r="P1769">
        <v>0.80200000000000005</v>
      </c>
      <c r="Q1769">
        <v>0.80989999999999995</v>
      </c>
      <c r="R1769">
        <v>0.81769999999999998</v>
      </c>
      <c r="S1769">
        <v>0.82540000000000002</v>
      </c>
      <c r="T1769">
        <v>0.83360000000000001</v>
      </c>
      <c r="U1769">
        <v>0.84160000000000001</v>
      </c>
      <c r="V1769">
        <v>0.85029999999999994</v>
      </c>
      <c r="W1769">
        <v>0.85829999999999995</v>
      </c>
      <c r="X1769">
        <v>0.86660000000000004</v>
      </c>
      <c r="Y1769">
        <v>0.87549999999999994</v>
      </c>
    </row>
    <row r="1770" spans="1:25" hidden="1">
      <c r="A1770" t="s">
        <v>18810</v>
      </c>
      <c r="B1770" t="s">
        <v>786</v>
      </c>
      <c r="C1770" t="s">
        <v>729</v>
      </c>
      <c r="D1770" t="s">
        <v>640</v>
      </c>
      <c r="E1770" t="s">
        <v>642</v>
      </c>
      <c r="F1770" t="s">
        <v>598</v>
      </c>
      <c r="G1770" t="s">
        <v>478</v>
      </c>
      <c r="H1770" t="s">
        <v>600</v>
      </c>
      <c r="I1770" t="s">
        <v>601</v>
      </c>
      <c r="J1770">
        <v>1.0800000000000001E-2</v>
      </c>
      <c r="K1770">
        <v>1.0800000000000001E-2</v>
      </c>
      <c r="L1770">
        <v>1.0800000000000001E-2</v>
      </c>
      <c r="M1770">
        <v>1.0800000000000001E-2</v>
      </c>
      <c r="N1770">
        <v>1.0800000000000001E-2</v>
      </c>
      <c r="O1770">
        <v>1.0800000000000001E-2</v>
      </c>
      <c r="P1770">
        <v>1.09E-2</v>
      </c>
      <c r="Q1770">
        <v>1.09E-2</v>
      </c>
      <c r="R1770">
        <v>1.09E-2</v>
      </c>
      <c r="S1770">
        <v>1.09E-2</v>
      </c>
      <c r="T1770">
        <v>1.0999999999999999E-2</v>
      </c>
      <c r="U1770">
        <v>1.11E-2</v>
      </c>
      <c r="V1770">
        <v>1.11E-2</v>
      </c>
      <c r="W1770">
        <v>1.11E-2</v>
      </c>
      <c r="X1770">
        <v>1.11E-2</v>
      </c>
      <c r="Y1770">
        <v>1.11E-2</v>
      </c>
    </row>
    <row r="1771" spans="1:25" hidden="1">
      <c r="A1771" t="s">
        <v>18810</v>
      </c>
      <c r="B1771" t="s">
        <v>787</v>
      </c>
      <c r="C1771" t="s">
        <v>729</v>
      </c>
      <c r="D1771" t="s">
        <v>640</v>
      </c>
      <c r="E1771" t="s">
        <v>605</v>
      </c>
      <c r="F1771" t="s">
        <v>598</v>
      </c>
      <c r="G1771" t="s">
        <v>478</v>
      </c>
      <c r="H1771" t="s">
        <v>600</v>
      </c>
      <c r="I1771" t="s">
        <v>601</v>
      </c>
      <c r="J1771">
        <v>4.3700000000000003E-2</v>
      </c>
      <c r="K1771">
        <v>4.41E-2</v>
      </c>
      <c r="L1771">
        <v>4.4600000000000001E-2</v>
      </c>
      <c r="M1771">
        <v>4.5100000000000001E-2</v>
      </c>
      <c r="N1771">
        <v>4.5499999999999999E-2</v>
      </c>
      <c r="O1771">
        <v>4.5900000000000003E-2</v>
      </c>
      <c r="P1771">
        <v>4.6399999999999997E-2</v>
      </c>
      <c r="Q1771">
        <v>4.6800000000000001E-2</v>
      </c>
      <c r="R1771">
        <v>4.7199999999999999E-2</v>
      </c>
      <c r="S1771">
        <v>4.7800000000000002E-2</v>
      </c>
      <c r="T1771">
        <v>4.8300000000000003E-2</v>
      </c>
      <c r="U1771">
        <v>4.8800000000000003E-2</v>
      </c>
      <c r="V1771">
        <v>4.9299999999999997E-2</v>
      </c>
      <c r="W1771">
        <v>4.9700000000000001E-2</v>
      </c>
      <c r="X1771">
        <v>5.0200000000000002E-2</v>
      </c>
      <c r="Y1771">
        <v>5.0700000000000002E-2</v>
      </c>
    </row>
    <row r="1772" spans="1:25" hidden="1">
      <c r="A1772" t="s">
        <v>18810</v>
      </c>
      <c r="B1772" t="s">
        <v>788</v>
      </c>
      <c r="C1772" t="s">
        <v>729</v>
      </c>
      <c r="D1772" t="s">
        <v>640</v>
      </c>
      <c r="E1772" t="s">
        <v>611</v>
      </c>
      <c r="F1772" t="s">
        <v>598</v>
      </c>
      <c r="G1772" t="s">
        <v>478</v>
      </c>
      <c r="H1772" t="s">
        <v>600</v>
      </c>
      <c r="I1772" t="s">
        <v>601</v>
      </c>
      <c r="J1772">
        <v>4.1308999999999996</v>
      </c>
      <c r="K1772">
        <v>4.1971999999999996</v>
      </c>
      <c r="L1772">
        <v>4.2594000000000003</v>
      </c>
      <c r="M1772">
        <v>4.3219000000000003</v>
      </c>
      <c r="N1772">
        <v>4.3879999999999999</v>
      </c>
      <c r="O1772">
        <v>4.4504999999999999</v>
      </c>
      <c r="P1772">
        <v>4.4977999999999998</v>
      </c>
      <c r="Q1772">
        <v>4.5411000000000001</v>
      </c>
      <c r="R1772">
        <v>4.5846999999999998</v>
      </c>
      <c r="S1772">
        <v>4.6319999999999997</v>
      </c>
      <c r="T1772">
        <v>4.6756000000000002</v>
      </c>
      <c r="U1772">
        <v>4.7419000000000002</v>
      </c>
      <c r="V1772">
        <v>4.8045</v>
      </c>
      <c r="W1772">
        <v>4.8708999999999998</v>
      </c>
      <c r="X1772">
        <v>4.9336000000000002</v>
      </c>
      <c r="Y1772">
        <v>4.9997999999999996</v>
      </c>
    </row>
    <row r="1773" spans="1:25" hidden="1">
      <c r="A1773" t="s">
        <v>18810</v>
      </c>
      <c r="B1773" t="s">
        <v>789</v>
      </c>
      <c r="C1773" t="s">
        <v>729</v>
      </c>
      <c r="D1773" t="s">
        <v>640</v>
      </c>
      <c r="E1773" t="s">
        <v>656</v>
      </c>
      <c r="F1773" t="s">
        <v>598</v>
      </c>
      <c r="G1773" t="s">
        <v>478</v>
      </c>
      <c r="H1773" t="s">
        <v>600</v>
      </c>
      <c r="I1773" t="s">
        <v>601</v>
      </c>
      <c r="J1773">
        <v>4.3E-3</v>
      </c>
      <c r="K1773">
        <v>4.4999999999999997E-3</v>
      </c>
      <c r="L1773">
        <v>4.4999999999999997E-3</v>
      </c>
      <c r="M1773">
        <v>4.5999999999999999E-3</v>
      </c>
      <c r="N1773">
        <v>4.5999999999999999E-3</v>
      </c>
      <c r="O1773">
        <v>4.7000000000000002E-3</v>
      </c>
      <c r="P1773">
        <v>4.7000000000000002E-3</v>
      </c>
      <c r="Q1773">
        <v>4.7999999999999996E-3</v>
      </c>
      <c r="R1773">
        <v>4.7999999999999996E-3</v>
      </c>
      <c r="S1773">
        <v>4.8999999999999998E-3</v>
      </c>
      <c r="T1773">
        <v>4.8999999999999998E-3</v>
      </c>
      <c r="U1773">
        <v>5.0000000000000001E-3</v>
      </c>
      <c r="V1773">
        <v>5.0000000000000001E-3</v>
      </c>
      <c r="W1773">
        <v>5.1000000000000004E-3</v>
      </c>
      <c r="X1773">
        <v>5.1000000000000004E-3</v>
      </c>
      <c r="Y1773">
        <v>5.1999999999999998E-3</v>
      </c>
    </row>
    <row r="1774" spans="1:25" hidden="1">
      <c r="A1774" t="s">
        <v>18810</v>
      </c>
      <c r="B1774" t="s">
        <v>790</v>
      </c>
      <c r="C1774" t="s">
        <v>729</v>
      </c>
      <c r="D1774" t="s">
        <v>640</v>
      </c>
      <c r="E1774" t="s">
        <v>613</v>
      </c>
      <c r="F1774" t="s">
        <v>598</v>
      </c>
      <c r="G1774" t="s">
        <v>478</v>
      </c>
      <c r="H1774" t="s">
        <v>600</v>
      </c>
      <c r="I1774" t="s">
        <v>601</v>
      </c>
      <c r="J1774">
        <v>0.1419</v>
      </c>
      <c r="K1774">
        <v>0.14319999999999999</v>
      </c>
      <c r="L1774">
        <v>0.14480000000000001</v>
      </c>
      <c r="M1774">
        <v>0.1462</v>
      </c>
      <c r="N1774">
        <v>0.1477</v>
      </c>
      <c r="O1774">
        <v>0.14899999999999999</v>
      </c>
      <c r="P1774">
        <v>0.1507</v>
      </c>
      <c r="Q1774">
        <v>0.15210000000000001</v>
      </c>
      <c r="R1774">
        <v>0.15359999999999999</v>
      </c>
      <c r="S1774">
        <v>0.155</v>
      </c>
      <c r="T1774">
        <v>0.15659999999999999</v>
      </c>
      <c r="U1774">
        <v>0.1583</v>
      </c>
      <c r="V1774">
        <v>0.15970000000000001</v>
      </c>
      <c r="W1774">
        <v>0.16120000000000001</v>
      </c>
      <c r="X1774">
        <v>0.16300000000000001</v>
      </c>
      <c r="Y1774">
        <v>0.16450000000000001</v>
      </c>
    </row>
    <row r="1775" spans="1:25" hidden="1">
      <c r="A1775" t="s">
        <v>18810</v>
      </c>
      <c r="B1775" t="s">
        <v>791</v>
      </c>
      <c r="C1775" t="s">
        <v>729</v>
      </c>
      <c r="D1775" t="s">
        <v>640</v>
      </c>
      <c r="E1775" t="s">
        <v>619</v>
      </c>
      <c r="F1775" t="s">
        <v>598</v>
      </c>
      <c r="G1775" t="s">
        <v>478</v>
      </c>
      <c r="H1775" t="s">
        <v>600</v>
      </c>
      <c r="I1775" t="s">
        <v>601</v>
      </c>
      <c r="J1775">
        <v>1.01E-2</v>
      </c>
      <c r="K1775">
        <v>1.03E-2</v>
      </c>
      <c r="L1775">
        <v>1.04E-2</v>
      </c>
      <c r="M1775">
        <v>1.06E-2</v>
      </c>
      <c r="N1775">
        <v>1.0699999999999999E-2</v>
      </c>
      <c r="O1775">
        <v>1.09E-2</v>
      </c>
      <c r="P1775">
        <v>1.11E-2</v>
      </c>
      <c r="Q1775">
        <v>1.12E-2</v>
      </c>
      <c r="R1775">
        <v>1.14E-2</v>
      </c>
      <c r="S1775">
        <v>1.1599999999999999E-2</v>
      </c>
      <c r="T1775">
        <v>1.18E-2</v>
      </c>
      <c r="U1775">
        <v>1.2E-2</v>
      </c>
      <c r="V1775">
        <v>1.21E-2</v>
      </c>
      <c r="W1775">
        <v>1.23E-2</v>
      </c>
      <c r="X1775">
        <v>1.2500000000000001E-2</v>
      </c>
      <c r="Y1775">
        <v>1.2699999999999999E-2</v>
      </c>
    </row>
    <row r="1776" spans="1:25" hidden="1">
      <c r="A1776" t="s">
        <v>18810</v>
      </c>
      <c r="B1776" t="s">
        <v>795</v>
      </c>
      <c r="C1776" t="s">
        <v>729</v>
      </c>
      <c r="D1776" t="s">
        <v>648</v>
      </c>
      <c r="E1776" t="s">
        <v>597</v>
      </c>
      <c r="F1776" t="s">
        <v>598</v>
      </c>
      <c r="G1776" t="s">
        <v>478</v>
      </c>
      <c r="H1776" t="s">
        <v>600</v>
      </c>
      <c r="I1776" t="s">
        <v>601</v>
      </c>
      <c r="J1776">
        <v>3.1244999999999998</v>
      </c>
      <c r="K1776">
        <v>3.0569000000000002</v>
      </c>
      <c r="L1776">
        <v>2.9821</v>
      </c>
      <c r="M1776">
        <v>2.9842</v>
      </c>
      <c r="N1776">
        <v>2.9632000000000001</v>
      </c>
      <c r="O1776">
        <v>2.9344000000000001</v>
      </c>
      <c r="P1776">
        <v>2.9485000000000001</v>
      </c>
      <c r="Q1776">
        <v>2.9377</v>
      </c>
      <c r="R1776">
        <v>2.9314</v>
      </c>
      <c r="S1776">
        <v>2.9106999999999998</v>
      </c>
      <c r="T1776">
        <v>2.9148999999999998</v>
      </c>
      <c r="U1776">
        <v>2.9201999999999999</v>
      </c>
      <c r="V1776">
        <v>2.9415</v>
      </c>
      <c r="W1776">
        <v>2.9664000000000001</v>
      </c>
      <c r="X1776">
        <v>2.9693999999999998</v>
      </c>
      <c r="Y1776">
        <v>2.9940000000000002</v>
      </c>
    </row>
    <row r="1777" spans="1:25" hidden="1">
      <c r="A1777" t="s">
        <v>18810</v>
      </c>
      <c r="B1777" t="s">
        <v>796</v>
      </c>
      <c r="C1777" t="s">
        <v>729</v>
      </c>
      <c r="D1777" t="s">
        <v>648</v>
      </c>
      <c r="E1777" t="s">
        <v>642</v>
      </c>
      <c r="F1777" t="s">
        <v>598</v>
      </c>
      <c r="G1777" t="s">
        <v>478</v>
      </c>
      <c r="H1777" t="s">
        <v>600</v>
      </c>
      <c r="I1777" t="s">
        <v>601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hidden="1">
      <c r="A1778" t="s">
        <v>18810</v>
      </c>
      <c r="B1778" t="s">
        <v>801</v>
      </c>
      <c r="C1778" t="s">
        <v>729</v>
      </c>
      <c r="D1778" t="s">
        <v>648</v>
      </c>
      <c r="E1778" t="s">
        <v>619</v>
      </c>
      <c r="F1778" t="s">
        <v>598</v>
      </c>
      <c r="G1778" t="s">
        <v>478</v>
      </c>
      <c r="H1778" t="s">
        <v>600</v>
      </c>
      <c r="I1778" t="s">
        <v>601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25" hidden="1">
      <c r="A1779" t="s">
        <v>18810</v>
      </c>
      <c r="B1779" t="s">
        <v>803</v>
      </c>
      <c r="C1779" t="s">
        <v>804</v>
      </c>
      <c r="D1779" t="s">
        <v>596</v>
      </c>
      <c r="E1779" t="s">
        <v>597</v>
      </c>
      <c r="F1779" t="s">
        <v>598</v>
      </c>
      <c r="G1779" t="s">
        <v>478</v>
      </c>
      <c r="H1779" t="s">
        <v>600</v>
      </c>
      <c r="I1779" t="s">
        <v>601</v>
      </c>
      <c r="J1779">
        <v>8.43E-2</v>
      </c>
      <c r="K1779">
        <v>8.4900000000000003E-2</v>
      </c>
      <c r="L1779">
        <v>8.5699999999999998E-2</v>
      </c>
      <c r="M1779">
        <v>8.6499999999999994E-2</v>
      </c>
      <c r="N1779">
        <v>8.7099999999999997E-2</v>
      </c>
      <c r="O1779">
        <v>8.7999999999999995E-2</v>
      </c>
      <c r="P1779">
        <v>8.8599999999999998E-2</v>
      </c>
      <c r="Q1779">
        <v>8.9499999999999996E-2</v>
      </c>
      <c r="R1779">
        <v>9.0200000000000002E-2</v>
      </c>
      <c r="S1779">
        <v>9.11E-2</v>
      </c>
      <c r="T1779">
        <v>9.1800000000000007E-2</v>
      </c>
      <c r="U1779">
        <v>9.2600000000000002E-2</v>
      </c>
      <c r="V1779">
        <v>9.35E-2</v>
      </c>
      <c r="W1779">
        <v>9.4200000000000006E-2</v>
      </c>
      <c r="X1779">
        <v>9.5000000000000001E-2</v>
      </c>
      <c r="Y1779">
        <v>9.5799999999999996E-2</v>
      </c>
    </row>
    <row r="1780" spans="1:25" hidden="1">
      <c r="A1780" t="s">
        <v>18810</v>
      </c>
      <c r="B1780" t="s">
        <v>811</v>
      </c>
      <c r="C1780" t="s">
        <v>804</v>
      </c>
      <c r="D1780" t="s">
        <v>596</v>
      </c>
      <c r="E1780" t="s">
        <v>617</v>
      </c>
      <c r="F1780" t="s">
        <v>598</v>
      </c>
      <c r="G1780" t="s">
        <v>478</v>
      </c>
      <c r="H1780" t="s">
        <v>600</v>
      </c>
      <c r="I1780" t="s">
        <v>601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</row>
    <row r="1781" spans="1:25" hidden="1">
      <c r="A1781" t="s">
        <v>18810</v>
      </c>
      <c r="B1781" t="s">
        <v>812</v>
      </c>
      <c r="C1781" t="s">
        <v>804</v>
      </c>
      <c r="D1781" t="s">
        <v>596</v>
      </c>
      <c r="E1781" t="s">
        <v>619</v>
      </c>
      <c r="F1781" t="s">
        <v>598</v>
      </c>
      <c r="G1781" t="s">
        <v>478</v>
      </c>
      <c r="H1781" t="s">
        <v>600</v>
      </c>
      <c r="I1781" t="s">
        <v>601</v>
      </c>
      <c r="J1781">
        <v>5.0000000000000001E-4</v>
      </c>
      <c r="K1781">
        <v>5.0000000000000001E-4</v>
      </c>
      <c r="L1781">
        <v>5.0000000000000001E-4</v>
      </c>
      <c r="M1781">
        <v>5.0000000000000001E-4</v>
      </c>
      <c r="N1781">
        <v>5.0000000000000001E-4</v>
      </c>
      <c r="O1781">
        <v>5.0000000000000001E-4</v>
      </c>
      <c r="P1781">
        <v>5.0000000000000001E-4</v>
      </c>
      <c r="Q1781">
        <v>5.0000000000000001E-4</v>
      </c>
      <c r="R1781">
        <v>5.0000000000000001E-4</v>
      </c>
      <c r="S1781">
        <v>5.0000000000000001E-4</v>
      </c>
      <c r="T1781">
        <v>5.0000000000000001E-4</v>
      </c>
      <c r="U1781">
        <v>5.0000000000000001E-4</v>
      </c>
      <c r="V1781">
        <v>5.0000000000000001E-4</v>
      </c>
      <c r="W1781">
        <v>5.0000000000000001E-4</v>
      </c>
      <c r="X1781">
        <v>5.9999999999999995E-4</v>
      </c>
      <c r="Y1781">
        <v>5.9999999999999995E-4</v>
      </c>
    </row>
    <row r="1782" spans="1:25" hidden="1">
      <c r="A1782" t="s">
        <v>18810</v>
      </c>
      <c r="B1782" t="s">
        <v>813</v>
      </c>
      <c r="C1782" t="s">
        <v>804</v>
      </c>
      <c r="D1782" t="s">
        <v>596</v>
      </c>
      <c r="E1782" t="s">
        <v>742</v>
      </c>
      <c r="F1782" t="s">
        <v>598</v>
      </c>
      <c r="G1782" t="s">
        <v>478</v>
      </c>
      <c r="H1782" t="s">
        <v>600</v>
      </c>
      <c r="I1782" t="s">
        <v>601</v>
      </c>
      <c r="J1782">
        <v>5.9999999999999995E-4</v>
      </c>
      <c r="K1782">
        <v>5.9999999999999995E-4</v>
      </c>
      <c r="L1782">
        <v>6.9999999999999999E-4</v>
      </c>
      <c r="M1782">
        <v>6.9999999999999999E-4</v>
      </c>
      <c r="N1782">
        <v>6.9999999999999999E-4</v>
      </c>
      <c r="O1782">
        <v>6.9999999999999999E-4</v>
      </c>
      <c r="P1782">
        <v>6.9999999999999999E-4</v>
      </c>
      <c r="Q1782">
        <v>6.9999999999999999E-4</v>
      </c>
      <c r="R1782">
        <v>6.9999999999999999E-4</v>
      </c>
      <c r="S1782">
        <v>6.9999999999999999E-4</v>
      </c>
      <c r="T1782">
        <v>6.9999999999999999E-4</v>
      </c>
      <c r="U1782">
        <v>6.9999999999999999E-4</v>
      </c>
      <c r="V1782">
        <v>8.0000000000000004E-4</v>
      </c>
      <c r="W1782">
        <v>8.0000000000000004E-4</v>
      </c>
      <c r="X1782">
        <v>8.0000000000000004E-4</v>
      </c>
      <c r="Y1782">
        <v>8.0000000000000004E-4</v>
      </c>
    </row>
    <row r="1783" spans="1:25" hidden="1">
      <c r="A1783" t="s">
        <v>18810</v>
      </c>
      <c r="B1783" t="s">
        <v>814</v>
      </c>
      <c r="C1783" t="s">
        <v>804</v>
      </c>
      <c r="D1783" t="s">
        <v>596</v>
      </c>
      <c r="E1783" t="s">
        <v>669</v>
      </c>
      <c r="F1783" t="s">
        <v>598</v>
      </c>
      <c r="G1783" t="s">
        <v>478</v>
      </c>
      <c r="H1783" t="s">
        <v>600</v>
      </c>
      <c r="I1783" t="s">
        <v>601</v>
      </c>
      <c r="J1783">
        <v>6.4999999999999997E-3</v>
      </c>
      <c r="K1783">
        <v>6.6E-3</v>
      </c>
      <c r="L1783">
        <v>6.6E-3</v>
      </c>
      <c r="M1783">
        <v>6.7000000000000002E-3</v>
      </c>
      <c r="N1783">
        <v>6.7999999999999996E-3</v>
      </c>
      <c r="O1783">
        <v>6.7999999999999996E-3</v>
      </c>
      <c r="P1783">
        <v>6.8999999999999999E-3</v>
      </c>
      <c r="Q1783">
        <v>7.0000000000000001E-3</v>
      </c>
      <c r="R1783">
        <v>7.1000000000000004E-3</v>
      </c>
      <c r="S1783">
        <v>7.1999999999999998E-3</v>
      </c>
      <c r="T1783">
        <v>7.1999999999999998E-3</v>
      </c>
      <c r="U1783">
        <v>7.3000000000000001E-3</v>
      </c>
      <c r="V1783">
        <v>7.4000000000000003E-3</v>
      </c>
      <c r="W1783">
        <v>7.4999999999999997E-3</v>
      </c>
      <c r="X1783">
        <v>7.6E-3</v>
      </c>
      <c r="Y1783">
        <v>7.6E-3</v>
      </c>
    </row>
    <row r="1784" spans="1:25" hidden="1">
      <c r="A1784" t="s">
        <v>18810</v>
      </c>
      <c r="B1784" t="s">
        <v>815</v>
      </c>
      <c r="C1784" t="s">
        <v>804</v>
      </c>
      <c r="D1784" t="s">
        <v>671</v>
      </c>
      <c r="E1784" t="s">
        <v>597</v>
      </c>
      <c r="F1784" t="s">
        <v>598</v>
      </c>
      <c r="G1784" t="s">
        <v>478</v>
      </c>
      <c r="H1784" t="s">
        <v>600</v>
      </c>
      <c r="I1784" t="s">
        <v>601</v>
      </c>
      <c r="J1784">
        <v>9.69E-2</v>
      </c>
      <c r="K1784">
        <v>9.7699999999999995E-2</v>
      </c>
      <c r="L1784">
        <v>9.8699999999999996E-2</v>
      </c>
      <c r="M1784">
        <v>9.9599999999999994E-2</v>
      </c>
      <c r="N1784">
        <v>0.1003</v>
      </c>
      <c r="O1784">
        <v>0.1014</v>
      </c>
      <c r="P1784">
        <v>0.1023</v>
      </c>
      <c r="Q1784">
        <v>0.10299999999999999</v>
      </c>
      <c r="R1784">
        <v>0.10390000000000001</v>
      </c>
      <c r="S1784">
        <v>0.1048</v>
      </c>
      <c r="T1784">
        <v>0.10589999999999999</v>
      </c>
      <c r="U1784">
        <v>0.10680000000000001</v>
      </c>
      <c r="V1784">
        <v>0.1077</v>
      </c>
      <c r="W1784">
        <v>0.1086</v>
      </c>
      <c r="X1784">
        <v>0.1096</v>
      </c>
      <c r="Y1784">
        <v>0.1106</v>
      </c>
    </row>
    <row r="1785" spans="1:25" hidden="1">
      <c r="A1785" t="s">
        <v>18810</v>
      </c>
      <c r="B1785" t="s">
        <v>816</v>
      </c>
      <c r="C1785" t="s">
        <v>804</v>
      </c>
      <c r="D1785" t="s">
        <v>671</v>
      </c>
      <c r="E1785" t="s">
        <v>642</v>
      </c>
      <c r="F1785" t="s">
        <v>598</v>
      </c>
      <c r="G1785" t="s">
        <v>478</v>
      </c>
      <c r="H1785" t="s">
        <v>600</v>
      </c>
      <c r="I1785" t="s">
        <v>601</v>
      </c>
      <c r="J1785">
        <v>1.1999999999999999E-3</v>
      </c>
      <c r="K1785">
        <v>1.1999999999999999E-3</v>
      </c>
      <c r="L1785">
        <v>1.1999999999999999E-3</v>
      </c>
      <c r="M1785">
        <v>1.1999999999999999E-3</v>
      </c>
      <c r="N1785">
        <v>1.1999999999999999E-3</v>
      </c>
      <c r="O1785">
        <v>1.2999999999999999E-3</v>
      </c>
      <c r="P1785">
        <v>1.2999999999999999E-3</v>
      </c>
      <c r="Q1785">
        <v>1.2999999999999999E-3</v>
      </c>
      <c r="R1785">
        <v>1.2999999999999999E-3</v>
      </c>
      <c r="S1785">
        <v>1.2999999999999999E-3</v>
      </c>
      <c r="T1785">
        <v>1.4E-3</v>
      </c>
      <c r="U1785">
        <v>1.4E-3</v>
      </c>
      <c r="V1785">
        <v>1.4E-3</v>
      </c>
      <c r="W1785">
        <v>1.4E-3</v>
      </c>
      <c r="X1785">
        <v>1.4E-3</v>
      </c>
      <c r="Y1785">
        <v>1.5E-3</v>
      </c>
    </row>
    <row r="1786" spans="1:25" hidden="1">
      <c r="A1786" t="s">
        <v>18810</v>
      </c>
      <c r="B1786" t="s">
        <v>819</v>
      </c>
      <c r="C1786" t="s">
        <v>804</v>
      </c>
      <c r="D1786" t="s">
        <v>756</v>
      </c>
      <c r="E1786" t="s">
        <v>597</v>
      </c>
      <c r="F1786" t="s">
        <v>598</v>
      </c>
      <c r="G1786" t="s">
        <v>478</v>
      </c>
      <c r="H1786" t="s">
        <v>600</v>
      </c>
      <c r="I1786" t="s">
        <v>601</v>
      </c>
      <c r="J1786">
        <v>3.3999999999999998E-3</v>
      </c>
      <c r="K1786">
        <v>3.3E-3</v>
      </c>
      <c r="L1786">
        <v>3.3E-3</v>
      </c>
      <c r="M1786">
        <v>3.3E-3</v>
      </c>
      <c r="N1786">
        <v>3.3E-3</v>
      </c>
      <c r="O1786">
        <v>3.3E-3</v>
      </c>
      <c r="P1786">
        <v>3.2000000000000002E-3</v>
      </c>
      <c r="Q1786">
        <v>3.2000000000000002E-3</v>
      </c>
      <c r="R1786">
        <v>3.2000000000000002E-3</v>
      </c>
      <c r="S1786">
        <v>3.2000000000000002E-3</v>
      </c>
      <c r="T1786">
        <v>3.2000000000000002E-3</v>
      </c>
      <c r="U1786">
        <v>3.2000000000000002E-3</v>
      </c>
      <c r="V1786">
        <v>3.2000000000000002E-3</v>
      </c>
      <c r="W1786">
        <v>3.2000000000000002E-3</v>
      </c>
      <c r="X1786">
        <v>3.2000000000000002E-3</v>
      </c>
      <c r="Y1786">
        <v>3.2000000000000002E-3</v>
      </c>
    </row>
    <row r="1787" spans="1:25" hidden="1">
      <c r="A1787" t="s">
        <v>18810</v>
      </c>
      <c r="B1787" t="s">
        <v>820</v>
      </c>
      <c r="C1787" t="s">
        <v>804</v>
      </c>
      <c r="D1787" t="s">
        <v>621</v>
      </c>
      <c r="E1787" t="s">
        <v>597</v>
      </c>
      <c r="F1787" t="s">
        <v>598</v>
      </c>
      <c r="G1787" t="s">
        <v>478</v>
      </c>
      <c r="H1787" t="s">
        <v>600</v>
      </c>
      <c r="I1787" t="s">
        <v>601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hidden="1">
      <c r="A1788" t="s">
        <v>18810</v>
      </c>
      <c r="B1788" t="s">
        <v>821</v>
      </c>
      <c r="C1788" t="s">
        <v>804</v>
      </c>
      <c r="D1788" t="s">
        <v>621</v>
      </c>
      <c r="E1788" t="s">
        <v>731</v>
      </c>
      <c r="F1788" t="s">
        <v>598</v>
      </c>
      <c r="G1788" t="s">
        <v>478</v>
      </c>
      <c r="H1788" t="s">
        <v>600</v>
      </c>
      <c r="I1788" t="s">
        <v>601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hidden="1">
      <c r="A1789" t="s">
        <v>18810</v>
      </c>
      <c r="B1789" t="s">
        <v>825</v>
      </c>
      <c r="C1789" t="s">
        <v>804</v>
      </c>
      <c r="D1789" t="s">
        <v>621</v>
      </c>
      <c r="E1789" t="s">
        <v>628</v>
      </c>
      <c r="F1789" t="s">
        <v>598</v>
      </c>
      <c r="G1789" t="s">
        <v>478</v>
      </c>
      <c r="H1789" t="s">
        <v>600</v>
      </c>
      <c r="I1789" t="s">
        <v>601</v>
      </c>
      <c r="J1789">
        <v>1E-3</v>
      </c>
      <c r="K1789">
        <v>1E-3</v>
      </c>
      <c r="L1789">
        <v>1E-3</v>
      </c>
      <c r="M1789">
        <v>1E-3</v>
      </c>
      <c r="N1789">
        <v>1E-3</v>
      </c>
      <c r="O1789">
        <v>1E-3</v>
      </c>
      <c r="P1789">
        <v>1E-3</v>
      </c>
      <c r="Q1789">
        <v>1E-3</v>
      </c>
      <c r="R1789">
        <v>1E-3</v>
      </c>
      <c r="S1789">
        <v>1E-3</v>
      </c>
      <c r="T1789">
        <v>1E-3</v>
      </c>
      <c r="U1789">
        <v>1E-3</v>
      </c>
      <c r="V1789">
        <v>1E-3</v>
      </c>
      <c r="W1789">
        <v>1E-3</v>
      </c>
      <c r="X1789">
        <v>1E-3</v>
      </c>
      <c r="Y1789">
        <v>1E-3</v>
      </c>
    </row>
    <row r="1790" spans="1:25" hidden="1">
      <c r="A1790" t="s">
        <v>18810</v>
      </c>
      <c r="B1790" t="s">
        <v>830</v>
      </c>
      <c r="C1790" t="s">
        <v>804</v>
      </c>
      <c r="D1790" t="s">
        <v>828</v>
      </c>
      <c r="E1790" t="s">
        <v>628</v>
      </c>
      <c r="F1790" t="s">
        <v>831</v>
      </c>
      <c r="G1790" t="s">
        <v>478</v>
      </c>
      <c r="H1790" t="s">
        <v>600</v>
      </c>
      <c r="I1790" t="s">
        <v>601</v>
      </c>
      <c r="J1790">
        <v>7.8899999999999998E-2</v>
      </c>
      <c r="K1790">
        <v>3.9899999999999998E-2</v>
      </c>
      <c r="L1790">
        <v>3.56E-2</v>
      </c>
      <c r="M1790">
        <v>3.3599999999999998E-2</v>
      </c>
      <c r="N1790">
        <v>3.3099999999999997E-2</v>
      </c>
      <c r="O1790">
        <v>3.2800000000000003E-2</v>
      </c>
      <c r="P1790">
        <v>3.2399999999999998E-2</v>
      </c>
      <c r="Q1790">
        <v>3.1800000000000002E-2</v>
      </c>
      <c r="R1790">
        <v>3.15E-2</v>
      </c>
      <c r="S1790">
        <v>3.0800000000000001E-2</v>
      </c>
      <c r="T1790">
        <v>0.03</v>
      </c>
      <c r="U1790">
        <v>2.9399999999999999E-2</v>
      </c>
      <c r="V1790">
        <v>2.8500000000000001E-2</v>
      </c>
      <c r="W1790">
        <v>2.7300000000000001E-2</v>
      </c>
      <c r="X1790">
        <v>2.6200000000000001E-2</v>
      </c>
      <c r="Y1790">
        <v>2.4799999999999999E-2</v>
      </c>
    </row>
    <row r="1791" spans="1:25" hidden="1">
      <c r="A1791" t="s">
        <v>18810</v>
      </c>
      <c r="B1791" t="s">
        <v>832</v>
      </c>
      <c r="C1791" t="s">
        <v>804</v>
      </c>
      <c r="D1791" t="s">
        <v>828</v>
      </c>
      <c r="E1791" t="s">
        <v>628</v>
      </c>
      <c r="F1791" t="s">
        <v>833</v>
      </c>
      <c r="G1791" t="s">
        <v>478</v>
      </c>
      <c r="H1791" t="s">
        <v>600</v>
      </c>
      <c r="I1791" t="s">
        <v>601</v>
      </c>
      <c r="J1791">
        <v>6.3500000000000001E-2</v>
      </c>
      <c r="K1791">
        <v>6.0100000000000001E-2</v>
      </c>
      <c r="L1791">
        <v>5.6899999999999999E-2</v>
      </c>
      <c r="M1791">
        <v>5.3600000000000002E-2</v>
      </c>
      <c r="N1791">
        <v>5.0299999999999997E-2</v>
      </c>
      <c r="O1791">
        <v>4.7E-2</v>
      </c>
      <c r="P1791">
        <v>4.3200000000000002E-2</v>
      </c>
      <c r="Q1791">
        <v>0.04</v>
      </c>
      <c r="R1791">
        <v>3.6700000000000003E-2</v>
      </c>
      <c r="S1791">
        <v>3.39E-2</v>
      </c>
      <c r="T1791">
        <v>3.1399999999999997E-2</v>
      </c>
      <c r="U1791">
        <v>2.8899999999999999E-2</v>
      </c>
      <c r="V1791">
        <v>2.6599999999999999E-2</v>
      </c>
      <c r="W1791">
        <v>2.4500000000000001E-2</v>
      </c>
      <c r="X1791">
        <v>2.29E-2</v>
      </c>
      <c r="Y1791">
        <v>2.12E-2</v>
      </c>
    </row>
    <row r="1792" spans="1:25" hidden="1">
      <c r="A1792" t="s">
        <v>18810</v>
      </c>
      <c r="B1792" t="s">
        <v>834</v>
      </c>
      <c r="C1792" t="s">
        <v>804</v>
      </c>
      <c r="D1792" t="s">
        <v>632</v>
      </c>
      <c r="E1792" t="s">
        <v>597</v>
      </c>
      <c r="F1792" t="s">
        <v>598</v>
      </c>
      <c r="G1792" t="s">
        <v>478</v>
      </c>
      <c r="H1792" t="s">
        <v>600</v>
      </c>
      <c r="I1792" t="s">
        <v>601</v>
      </c>
      <c r="J1792">
        <v>2.41E-2</v>
      </c>
      <c r="K1792">
        <v>2.4400000000000002E-2</v>
      </c>
      <c r="L1792">
        <v>2.4799999999999999E-2</v>
      </c>
      <c r="M1792">
        <v>2.52E-2</v>
      </c>
      <c r="N1792">
        <v>2.5600000000000001E-2</v>
      </c>
      <c r="O1792">
        <v>2.5999999999999999E-2</v>
      </c>
      <c r="P1792">
        <v>2.63E-2</v>
      </c>
      <c r="Q1792">
        <v>2.6700000000000002E-2</v>
      </c>
      <c r="R1792">
        <v>2.7099999999999999E-2</v>
      </c>
      <c r="S1792">
        <v>2.75E-2</v>
      </c>
      <c r="T1792">
        <v>2.8000000000000001E-2</v>
      </c>
      <c r="U1792">
        <v>2.8400000000000002E-2</v>
      </c>
      <c r="V1792">
        <v>2.8799999999999999E-2</v>
      </c>
      <c r="W1792">
        <v>2.92E-2</v>
      </c>
      <c r="X1792">
        <v>2.9700000000000001E-2</v>
      </c>
      <c r="Y1792">
        <v>3.0099999999999998E-2</v>
      </c>
    </row>
    <row r="1793" spans="1:25" hidden="1">
      <c r="A1793" t="s">
        <v>18810</v>
      </c>
      <c r="B1793" t="s">
        <v>836</v>
      </c>
      <c r="C1793" t="s">
        <v>804</v>
      </c>
      <c r="D1793" t="s">
        <v>640</v>
      </c>
      <c r="E1793" t="s">
        <v>597</v>
      </c>
      <c r="F1793" t="s">
        <v>598</v>
      </c>
      <c r="G1793" t="s">
        <v>478</v>
      </c>
      <c r="H1793" t="s">
        <v>600</v>
      </c>
      <c r="I1793" t="s">
        <v>601</v>
      </c>
      <c r="J1793">
        <v>4.5999999999999999E-3</v>
      </c>
      <c r="K1793">
        <v>4.5999999999999999E-3</v>
      </c>
      <c r="L1793">
        <v>4.5999999999999999E-3</v>
      </c>
      <c r="M1793">
        <v>4.7000000000000002E-3</v>
      </c>
      <c r="N1793">
        <v>4.7000000000000002E-3</v>
      </c>
      <c r="O1793">
        <v>4.7999999999999996E-3</v>
      </c>
      <c r="P1793">
        <v>4.7999999999999996E-3</v>
      </c>
      <c r="Q1793">
        <v>4.7999999999999996E-3</v>
      </c>
      <c r="R1793">
        <v>4.7999999999999996E-3</v>
      </c>
      <c r="S1793">
        <v>4.7999999999999996E-3</v>
      </c>
      <c r="T1793">
        <v>4.8999999999999998E-3</v>
      </c>
      <c r="U1793">
        <v>4.8999999999999998E-3</v>
      </c>
      <c r="V1793">
        <v>5.1000000000000004E-3</v>
      </c>
      <c r="W1793">
        <v>5.1000000000000004E-3</v>
      </c>
      <c r="X1793">
        <v>5.3E-3</v>
      </c>
      <c r="Y1793">
        <v>5.3E-3</v>
      </c>
    </row>
    <row r="1794" spans="1:25" hidden="1">
      <c r="A1794" t="s">
        <v>18810</v>
      </c>
      <c r="B1794" t="s">
        <v>837</v>
      </c>
      <c r="C1794" t="s">
        <v>804</v>
      </c>
      <c r="D1794" t="s">
        <v>640</v>
      </c>
      <c r="E1794" t="s">
        <v>613</v>
      </c>
      <c r="F1794" t="s">
        <v>598</v>
      </c>
      <c r="G1794" t="s">
        <v>478</v>
      </c>
      <c r="H1794" t="s">
        <v>600</v>
      </c>
      <c r="I1794" t="s">
        <v>601</v>
      </c>
      <c r="J1794">
        <v>2.5000000000000001E-3</v>
      </c>
      <c r="K1794">
        <v>2.5000000000000001E-3</v>
      </c>
      <c r="L1794">
        <v>2.5999999999999999E-3</v>
      </c>
      <c r="M1794">
        <v>2.5999999999999999E-3</v>
      </c>
      <c r="N1794">
        <v>2.7000000000000001E-3</v>
      </c>
      <c r="O1794">
        <v>2.7000000000000001E-3</v>
      </c>
      <c r="P1794">
        <v>2.7000000000000001E-3</v>
      </c>
      <c r="Q1794">
        <v>2.7000000000000001E-3</v>
      </c>
      <c r="R1794">
        <v>2.8E-3</v>
      </c>
      <c r="S1794">
        <v>2.8E-3</v>
      </c>
      <c r="T1794">
        <v>2.8E-3</v>
      </c>
      <c r="U1794">
        <v>2.8E-3</v>
      </c>
      <c r="V1794">
        <v>2.8E-3</v>
      </c>
      <c r="W1794">
        <v>2.8E-3</v>
      </c>
      <c r="X1794">
        <v>2.8999999999999998E-3</v>
      </c>
      <c r="Y1794">
        <v>2.8999999999999998E-3</v>
      </c>
    </row>
    <row r="1795" spans="1:25" hidden="1">
      <c r="A1795" t="s">
        <v>18810</v>
      </c>
      <c r="B1795" t="s">
        <v>838</v>
      </c>
      <c r="C1795" t="s">
        <v>804</v>
      </c>
      <c r="D1795" t="s">
        <v>648</v>
      </c>
      <c r="E1795" t="s">
        <v>597</v>
      </c>
      <c r="F1795" t="s">
        <v>598</v>
      </c>
      <c r="G1795" t="s">
        <v>478</v>
      </c>
      <c r="H1795" t="s">
        <v>600</v>
      </c>
      <c r="I1795" t="s">
        <v>601</v>
      </c>
      <c r="J1795">
        <v>3.0000000000000001E-3</v>
      </c>
      <c r="K1795">
        <v>3.0000000000000001E-3</v>
      </c>
      <c r="L1795">
        <v>2.8999999999999998E-3</v>
      </c>
      <c r="M1795">
        <v>3.0000000000000001E-3</v>
      </c>
      <c r="N1795">
        <v>3.0000000000000001E-3</v>
      </c>
      <c r="O1795">
        <v>2.8999999999999998E-3</v>
      </c>
      <c r="P1795">
        <v>2.8999999999999998E-3</v>
      </c>
      <c r="Q1795">
        <v>2.8999999999999998E-3</v>
      </c>
      <c r="R1795">
        <v>2.8999999999999998E-3</v>
      </c>
      <c r="S1795">
        <v>2.8E-3</v>
      </c>
      <c r="T1795">
        <v>2.8E-3</v>
      </c>
      <c r="U1795">
        <v>2.8E-3</v>
      </c>
      <c r="V1795">
        <v>2.8E-3</v>
      </c>
      <c r="W1795">
        <v>2.8E-3</v>
      </c>
      <c r="X1795">
        <v>2.8E-3</v>
      </c>
      <c r="Y1795">
        <v>2.8E-3</v>
      </c>
    </row>
    <row r="1796" spans="1:25" hidden="1">
      <c r="A1796" t="s">
        <v>18810</v>
      </c>
      <c r="B1796" t="s">
        <v>842</v>
      </c>
      <c r="C1796" t="s">
        <v>841</v>
      </c>
      <c r="D1796" t="s">
        <v>596</v>
      </c>
      <c r="E1796" t="s">
        <v>597</v>
      </c>
      <c r="F1796" t="s">
        <v>598</v>
      </c>
      <c r="G1796" t="s">
        <v>478</v>
      </c>
      <c r="H1796" t="s">
        <v>600</v>
      </c>
      <c r="I1796" t="s">
        <v>601</v>
      </c>
      <c r="J1796">
        <v>0.25080000000000002</v>
      </c>
      <c r="K1796">
        <v>0.25380000000000003</v>
      </c>
      <c r="L1796">
        <v>0.25669999999999998</v>
      </c>
      <c r="M1796">
        <v>0.2601</v>
      </c>
      <c r="N1796">
        <v>0.26240000000000002</v>
      </c>
      <c r="O1796">
        <v>0.26569999999999999</v>
      </c>
      <c r="P1796">
        <v>0.26769999999999999</v>
      </c>
      <c r="Q1796">
        <v>0.2702</v>
      </c>
      <c r="R1796">
        <v>0.27239999999999998</v>
      </c>
      <c r="S1796">
        <v>0.27429999999999999</v>
      </c>
      <c r="T1796">
        <v>0.2762</v>
      </c>
      <c r="U1796">
        <v>0.27800000000000002</v>
      </c>
      <c r="V1796">
        <v>0.27989999999999998</v>
      </c>
      <c r="W1796">
        <v>0.28260000000000002</v>
      </c>
      <c r="X1796">
        <v>0.28520000000000001</v>
      </c>
      <c r="Y1796">
        <v>0.28849999999999998</v>
      </c>
    </row>
    <row r="1797" spans="1:25" hidden="1">
      <c r="A1797" t="s">
        <v>18810</v>
      </c>
      <c r="B1797" t="s">
        <v>844</v>
      </c>
      <c r="C1797" t="s">
        <v>841</v>
      </c>
      <c r="D1797" t="s">
        <v>596</v>
      </c>
      <c r="E1797" t="s">
        <v>603</v>
      </c>
      <c r="F1797" t="s">
        <v>598</v>
      </c>
      <c r="G1797" t="s">
        <v>478</v>
      </c>
      <c r="H1797" t="s">
        <v>600</v>
      </c>
      <c r="I1797" t="s">
        <v>601</v>
      </c>
      <c r="J1797">
        <v>1.6000000000000001E-3</v>
      </c>
      <c r="K1797">
        <v>1.6000000000000001E-3</v>
      </c>
      <c r="L1797">
        <v>1.6000000000000001E-3</v>
      </c>
      <c r="M1797">
        <v>1.6000000000000001E-3</v>
      </c>
      <c r="N1797">
        <v>1.6999999999999999E-3</v>
      </c>
      <c r="O1797">
        <v>1.6999999999999999E-3</v>
      </c>
      <c r="P1797">
        <v>1.6999999999999999E-3</v>
      </c>
      <c r="Q1797">
        <v>1.6999999999999999E-3</v>
      </c>
      <c r="R1797">
        <v>1.6999999999999999E-3</v>
      </c>
      <c r="S1797">
        <v>1.8E-3</v>
      </c>
      <c r="T1797">
        <v>1.8E-3</v>
      </c>
      <c r="U1797">
        <v>1.8E-3</v>
      </c>
      <c r="V1797">
        <v>1.8E-3</v>
      </c>
      <c r="W1797">
        <v>1.8E-3</v>
      </c>
      <c r="X1797">
        <v>1.9E-3</v>
      </c>
      <c r="Y1797">
        <v>1.9E-3</v>
      </c>
    </row>
    <row r="1798" spans="1:25" hidden="1">
      <c r="A1798" t="s">
        <v>18810</v>
      </c>
      <c r="B1798" t="s">
        <v>845</v>
      </c>
      <c r="C1798" t="s">
        <v>841</v>
      </c>
      <c r="D1798" t="s">
        <v>596</v>
      </c>
      <c r="E1798" t="s">
        <v>605</v>
      </c>
      <c r="F1798" t="s">
        <v>598</v>
      </c>
      <c r="G1798" t="s">
        <v>478</v>
      </c>
      <c r="H1798" t="s">
        <v>600</v>
      </c>
      <c r="I1798" t="s">
        <v>601</v>
      </c>
      <c r="J1798">
        <v>1.0699999999999999E-2</v>
      </c>
      <c r="K1798">
        <v>1.09E-2</v>
      </c>
      <c r="L1798">
        <v>1.0999999999999999E-2</v>
      </c>
      <c r="M1798">
        <v>1.11E-2</v>
      </c>
      <c r="N1798">
        <v>1.1299999999999999E-2</v>
      </c>
      <c r="O1798">
        <v>1.15E-2</v>
      </c>
      <c r="P1798">
        <v>1.1599999999999999E-2</v>
      </c>
      <c r="Q1798">
        <v>1.17E-2</v>
      </c>
      <c r="R1798">
        <v>1.18E-2</v>
      </c>
      <c r="S1798">
        <v>1.1900000000000001E-2</v>
      </c>
      <c r="T1798">
        <v>1.2E-2</v>
      </c>
      <c r="U1798">
        <v>1.21E-2</v>
      </c>
      <c r="V1798">
        <v>1.24E-2</v>
      </c>
      <c r="W1798">
        <v>1.2500000000000001E-2</v>
      </c>
      <c r="X1798">
        <v>1.26E-2</v>
      </c>
      <c r="Y1798">
        <v>1.2699999999999999E-2</v>
      </c>
    </row>
    <row r="1799" spans="1:25" hidden="1">
      <c r="A1799" t="s">
        <v>18810</v>
      </c>
      <c r="B1799" t="s">
        <v>847</v>
      </c>
      <c r="C1799" t="s">
        <v>841</v>
      </c>
      <c r="D1799" t="s">
        <v>596</v>
      </c>
      <c r="E1799" t="s">
        <v>808</v>
      </c>
      <c r="F1799" t="s">
        <v>598</v>
      </c>
      <c r="G1799" t="s">
        <v>478</v>
      </c>
      <c r="H1799" t="s">
        <v>600</v>
      </c>
      <c r="I1799" t="s">
        <v>601</v>
      </c>
      <c r="J1799">
        <v>5.8700000000000002E-2</v>
      </c>
      <c r="K1799">
        <v>5.9299999999999999E-2</v>
      </c>
      <c r="L1799">
        <v>5.9799999999999999E-2</v>
      </c>
      <c r="M1799">
        <v>6.0299999999999999E-2</v>
      </c>
      <c r="N1799">
        <v>6.0900000000000003E-2</v>
      </c>
      <c r="O1799">
        <v>6.1600000000000002E-2</v>
      </c>
      <c r="P1799">
        <v>6.2100000000000002E-2</v>
      </c>
      <c r="Q1799">
        <v>6.2799999999999995E-2</v>
      </c>
      <c r="R1799">
        <v>6.3299999999999995E-2</v>
      </c>
      <c r="S1799">
        <v>6.4000000000000001E-2</v>
      </c>
      <c r="T1799">
        <v>6.4600000000000005E-2</v>
      </c>
      <c r="U1799">
        <v>6.5199999999999994E-2</v>
      </c>
      <c r="V1799">
        <v>6.5799999999999997E-2</v>
      </c>
      <c r="W1799">
        <v>6.6400000000000001E-2</v>
      </c>
      <c r="X1799">
        <v>6.7100000000000007E-2</v>
      </c>
      <c r="Y1799">
        <v>6.7699999999999996E-2</v>
      </c>
    </row>
    <row r="1800" spans="1:25" hidden="1">
      <c r="A1800" t="s">
        <v>18810</v>
      </c>
      <c r="B1800" t="s">
        <v>852</v>
      </c>
      <c r="C1800" t="s">
        <v>841</v>
      </c>
      <c r="D1800" t="s">
        <v>596</v>
      </c>
      <c r="E1800" t="s">
        <v>619</v>
      </c>
      <c r="F1800" t="s">
        <v>598</v>
      </c>
      <c r="G1800" t="s">
        <v>478</v>
      </c>
      <c r="H1800" t="s">
        <v>600</v>
      </c>
      <c r="I1800" t="s">
        <v>601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 hidden="1">
      <c r="A1801" t="s">
        <v>18810</v>
      </c>
      <c r="B1801" t="s">
        <v>855</v>
      </c>
      <c r="C1801" t="s">
        <v>841</v>
      </c>
      <c r="D1801" t="s">
        <v>671</v>
      </c>
      <c r="E1801" t="s">
        <v>597</v>
      </c>
      <c r="F1801" t="s">
        <v>598</v>
      </c>
      <c r="G1801" t="s">
        <v>478</v>
      </c>
      <c r="H1801" t="s">
        <v>600</v>
      </c>
      <c r="I1801" t="s">
        <v>601</v>
      </c>
      <c r="J1801">
        <v>1.2999999999999999E-3</v>
      </c>
      <c r="K1801">
        <v>1.2999999999999999E-3</v>
      </c>
      <c r="L1801">
        <v>1.2999999999999999E-3</v>
      </c>
      <c r="M1801">
        <v>1.2999999999999999E-3</v>
      </c>
      <c r="N1801">
        <v>1.2999999999999999E-3</v>
      </c>
      <c r="O1801">
        <v>1.2999999999999999E-3</v>
      </c>
      <c r="P1801">
        <v>1.2999999999999999E-3</v>
      </c>
      <c r="Q1801">
        <v>1.4E-3</v>
      </c>
      <c r="R1801">
        <v>1.4E-3</v>
      </c>
      <c r="S1801">
        <v>1.4E-3</v>
      </c>
      <c r="T1801">
        <v>1.4E-3</v>
      </c>
      <c r="U1801">
        <v>1.4E-3</v>
      </c>
      <c r="V1801">
        <v>1.4E-3</v>
      </c>
      <c r="W1801">
        <v>1.4E-3</v>
      </c>
      <c r="X1801">
        <v>1.4E-3</v>
      </c>
      <c r="Y1801">
        <v>1.4E-3</v>
      </c>
    </row>
    <row r="1802" spans="1:25" hidden="1">
      <c r="A1802" t="s">
        <v>18810</v>
      </c>
      <c r="B1802" t="s">
        <v>857</v>
      </c>
      <c r="C1802" t="s">
        <v>841</v>
      </c>
      <c r="D1802" t="s">
        <v>671</v>
      </c>
      <c r="E1802" t="s">
        <v>605</v>
      </c>
      <c r="F1802" t="s">
        <v>598</v>
      </c>
      <c r="G1802" t="s">
        <v>478</v>
      </c>
      <c r="H1802" t="s">
        <v>600</v>
      </c>
      <c r="I1802" t="s">
        <v>601</v>
      </c>
      <c r="J1802">
        <v>6.9999999999999999E-4</v>
      </c>
      <c r="K1802">
        <v>6.9999999999999999E-4</v>
      </c>
      <c r="L1802">
        <v>6.9999999999999999E-4</v>
      </c>
      <c r="M1802">
        <v>6.9999999999999999E-4</v>
      </c>
      <c r="N1802">
        <v>6.9999999999999999E-4</v>
      </c>
      <c r="O1802">
        <v>8.0000000000000004E-4</v>
      </c>
      <c r="P1802">
        <v>8.0000000000000004E-4</v>
      </c>
      <c r="Q1802">
        <v>8.0000000000000004E-4</v>
      </c>
      <c r="R1802">
        <v>8.0000000000000004E-4</v>
      </c>
      <c r="S1802">
        <v>8.0000000000000004E-4</v>
      </c>
      <c r="T1802">
        <v>8.0000000000000004E-4</v>
      </c>
      <c r="U1802">
        <v>8.0000000000000004E-4</v>
      </c>
      <c r="V1802">
        <v>8.0000000000000004E-4</v>
      </c>
      <c r="W1802">
        <v>8.0000000000000004E-4</v>
      </c>
      <c r="X1802">
        <v>8.0000000000000004E-4</v>
      </c>
      <c r="Y1802">
        <v>8.0000000000000004E-4</v>
      </c>
    </row>
    <row r="1803" spans="1:25" hidden="1">
      <c r="A1803" t="s">
        <v>18810</v>
      </c>
      <c r="B1803" t="s">
        <v>862</v>
      </c>
      <c r="C1803" t="s">
        <v>841</v>
      </c>
      <c r="D1803" t="s">
        <v>756</v>
      </c>
      <c r="E1803" t="s">
        <v>597</v>
      </c>
      <c r="F1803" t="s">
        <v>598</v>
      </c>
      <c r="G1803" t="s">
        <v>478</v>
      </c>
      <c r="H1803" t="s">
        <v>600</v>
      </c>
      <c r="I1803" t="s">
        <v>601</v>
      </c>
      <c r="J1803">
        <v>0.60560000000000003</v>
      </c>
      <c r="K1803">
        <v>0.61140000000000005</v>
      </c>
      <c r="L1803">
        <v>0.61670000000000003</v>
      </c>
      <c r="M1803">
        <v>0.62280000000000002</v>
      </c>
      <c r="N1803">
        <v>0.62880000000000003</v>
      </c>
      <c r="O1803">
        <v>0.63449999999999995</v>
      </c>
      <c r="P1803">
        <v>0.63919999999999999</v>
      </c>
      <c r="Q1803">
        <v>0.6452</v>
      </c>
      <c r="R1803">
        <v>0.65039999999999998</v>
      </c>
      <c r="S1803">
        <v>0.65610000000000002</v>
      </c>
      <c r="T1803">
        <v>0.66110000000000002</v>
      </c>
      <c r="U1803">
        <v>0.66620000000000001</v>
      </c>
      <c r="V1803">
        <v>0.67159999999999997</v>
      </c>
      <c r="W1803">
        <v>0.67789999999999995</v>
      </c>
      <c r="X1803">
        <v>0.6835</v>
      </c>
      <c r="Y1803">
        <v>0.68969999999999998</v>
      </c>
    </row>
    <row r="1804" spans="1:25" hidden="1">
      <c r="A1804" t="s">
        <v>18810</v>
      </c>
      <c r="B1804" t="s">
        <v>863</v>
      </c>
      <c r="C1804" t="s">
        <v>841</v>
      </c>
      <c r="D1804" t="s">
        <v>756</v>
      </c>
      <c r="E1804" t="s">
        <v>642</v>
      </c>
      <c r="F1804" t="s">
        <v>598</v>
      </c>
      <c r="G1804" t="s">
        <v>478</v>
      </c>
      <c r="H1804" t="s">
        <v>600</v>
      </c>
      <c r="I1804" t="s">
        <v>601</v>
      </c>
      <c r="J1804">
        <v>8.3000000000000001E-3</v>
      </c>
      <c r="K1804">
        <v>8.5000000000000006E-3</v>
      </c>
      <c r="L1804">
        <v>8.6E-3</v>
      </c>
      <c r="M1804">
        <v>8.6999999999999994E-3</v>
      </c>
      <c r="N1804">
        <v>8.8999999999999999E-3</v>
      </c>
      <c r="O1804">
        <v>8.9999999999999993E-3</v>
      </c>
      <c r="P1804">
        <v>9.1999999999999998E-3</v>
      </c>
      <c r="Q1804">
        <v>9.2999999999999992E-3</v>
      </c>
      <c r="R1804">
        <v>9.4999999999999998E-3</v>
      </c>
      <c r="S1804">
        <v>9.5999999999999992E-3</v>
      </c>
      <c r="T1804">
        <v>9.7999999999999997E-3</v>
      </c>
      <c r="U1804">
        <v>9.9000000000000008E-3</v>
      </c>
      <c r="V1804">
        <v>1.01E-2</v>
      </c>
      <c r="W1804">
        <v>1.03E-2</v>
      </c>
      <c r="X1804">
        <v>1.04E-2</v>
      </c>
      <c r="Y1804">
        <v>1.06E-2</v>
      </c>
    </row>
    <row r="1805" spans="1:25" hidden="1">
      <c r="A1805" t="s">
        <v>18810</v>
      </c>
      <c r="B1805" t="s">
        <v>864</v>
      </c>
      <c r="C1805" t="s">
        <v>841</v>
      </c>
      <c r="D1805" t="s">
        <v>756</v>
      </c>
      <c r="E1805" t="s">
        <v>619</v>
      </c>
      <c r="F1805" t="s">
        <v>598</v>
      </c>
      <c r="G1805" t="s">
        <v>478</v>
      </c>
      <c r="H1805" t="s">
        <v>600</v>
      </c>
      <c r="I1805" t="s">
        <v>601</v>
      </c>
      <c r="J1805">
        <v>1.1999999999999999E-3</v>
      </c>
      <c r="K1805">
        <v>1.1999999999999999E-3</v>
      </c>
      <c r="L1805">
        <v>1.1999999999999999E-3</v>
      </c>
      <c r="M1805">
        <v>1.1999999999999999E-3</v>
      </c>
      <c r="N1805">
        <v>1.1999999999999999E-3</v>
      </c>
      <c r="O1805">
        <v>1.1999999999999999E-3</v>
      </c>
      <c r="P1805">
        <v>1.2999999999999999E-3</v>
      </c>
      <c r="Q1805">
        <v>1.2999999999999999E-3</v>
      </c>
      <c r="R1805">
        <v>1.2999999999999999E-3</v>
      </c>
      <c r="S1805">
        <v>1.2999999999999999E-3</v>
      </c>
      <c r="T1805">
        <v>1.2999999999999999E-3</v>
      </c>
      <c r="U1805">
        <v>1.2999999999999999E-3</v>
      </c>
      <c r="V1805">
        <v>1.2999999999999999E-3</v>
      </c>
      <c r="W1805">
        <v>1.2999999999999999E-3</v>
      </c>
      <c r="X1805">
        <v>1.2999999999999999E-3</v>
      </c>
      <c r="Y1805">
        <v>1.2999999999999999E-3</v>
      </c>
    </row>
    <row r="1806" spans="1:25" hidden="1">
      <c r="A1806" t="s">
        <v>18810</v>
      </c>
      <c r="B1806" t="s">
        <v>868</v>
      </c>
      <c r="C1806" t="s">
        <v>841</v>
      </c>
      <c r="D1806" t="s">
        <v>621</v>
      </c>
      <c r="E1806" t="s">
        <v>597</v>
      </c>
      <c r="F1806" t="s">
        <v>598</v>
      </c>
      <c r="G1806" t="s">
        <v>478</v>
      </c>
      <c r="H1806" t="s">
        <v>600</v>
      </c>
      <c r="I1806" t="s">
        <v>601</v>
      </c>
      <c r="J1806">
        <v>0.24129999999999999</v>
      </c>
      <c r="K1806">
        <v>0.24349999999999999</v>
      </c>
      <c r="L1806">
        <v>0.24590000000000001</v>
      </c>
      <c r="M1806">
        <v>0.24840000000000001</v>
      </c>
      <c r="N1806">
        <v>0.25090000000000001</v>
      </c>
      <c r="O1806">
        <v>0.25330000000000003</v>
      </c>
      <c r="P1806">
        <v>0.25609999999999999</v>
      </c>
      <c r="Q1806">
        <v>0.25850000000000001</v>
      </c>
      <c r="R1806">
        <v>0.26119999999999999</v>
      </c>
      <c r="S1806">
        <v>0.26369999999999999</v>
      </c>
      <c r="T1806">
        <v>0.26640000000000003</v>
      </c>
      <c r="U1806">
        <v>0.26889999999999997</v>
      </c>
      <c r="V1806">
        <v>0.27160000000000001</v>
      </c>
      <c r="W1806">
        <v>0.2742</v>
      </c>
      <c r="X1806">
        <v>0.27700000000000002</v>
      </c>
      <c r="Y1806">
        <v>0.2797</v>
      </c>
    </row>
    <row r="1807" spans="1:25" hidden="1">
      <c r="A1807" t="s">
        <v>18810</v>
      </c>
      <c r="B1807" t="s">
        <v>869</v>
      </c>
      <c r="C1807" t="s">
        <v>841</v>
      </c>
      <c r="D1807" t="s">
        <v>621</v>
      </c>
      <c r="E1807" t="s">
        <v>731</v>
      </c>
      <c r="F1807" t="s">
        <v>598</v>
      </c>
      <c r="G1807" t="s">
        <v>478</v>
      </c>
      <c r="H1807" t="s">
        <v>600</v>
      </c>
      <c r="I1807" t="s">
        <v>601</v>
      </c>
      <c r="J1807">
        <v>8.9999999999999998E-4</v>
      </c>
      <c r="K1807">
        <v>8.9999999999999998E-4</v>
      </c>
      <c r="L1807">
        <v>8.9999999999999998E-4</v>
      </c>
      <c r="M1807">
        <v>8.9999999999999998E-4</v>
      </c>
      <c r="N1807">
        <v>8.9999999999999998E-4</v>
      </c>
      <c r="O1807">
        <v>8.9999999999999998E-4</v>
      </c>
      <c r="P1807">
        <v>8.9999999999999998E-4</v>
      </c>
      <c r="Q1807">
        <v>8.9999999999999998E-4</v>
      </c>
      <c r="R1807">
        <v>8.9999999999999998E-4</v>
      </c>
      <c r="S1807">
        <v>8.9999999999999998E-4</v>
      </c>
      <c r="T1807">
        <v>8.9999999999999998E-4</v>
      </c>
      <c r="U1807">
        <v>8.9999999999999998E-4</v>
      </c>
      <c r="V1807">
        <v>8.9999999999999998E-4</v>
      </c>
      <c r="W1807">
        <v>8.9999999999999998E-4</v>
      </c>
      <c r="X1807">
        <v>1E-3</v>
      </c>
      <c r="Y1807">
        <v>1E-3</v>
      </c>
    </row>
    <row r="1808" spans="1:25" hidden="1">
      <c r="A1808" t="s">
        <v>18810</v>
      </c>
      <c r="B1808" t="s">
        <v>870</v>
      </c>
      <c r="C1808" t="s">
        <v>841</v>
      </c>
      <c r="D1808" t="s">
        <v>621</v>
      </c>
      <c r="E1808" t="s">
        <v>603</v>
      </c>
      <c r="F1808" t="s">
        <v>598</v>
      </c>
      <c r="G1808" t="s">
        <v>478</v>
      </c>
      <c r="H1808" t="s">
        <v>600</v>
      </c>
      <c r="I1808" t="s">
        <v>601</v>
      </c>
      <c r="J1808">
        <v>5.9999999999999995E-4</v>
      </c>
      <c r="K1808">
        <v>5.9999999999999995E-4</v>
      </c>
      <c r="L1808">
        <v>5.9999999999999995E-4</v>
      </c>
      <c r="M1808">
        <v>5.9999999999999995E-4</v>
      </c>
      <c r="N1808">
        <v>5.9999999999999995E-4</v>
      </c>
      <c r="O1808">
        <v>5.9999999999999995E-4</v>
      </c>
      <c r="P1808">
        <v>5.9999999999999995E-4</v>
      </c>
      <c r="Q1808">
        <v>5.9999999999999995E-4</v>
      </c>
      <c r="R1808">
        <v>5.9999999999999995E-4</v>
      </c>
      <c r="S1808">
        <v>5.9999999999999995E-4</v>
      </c>
      <c r="T1808">
        <v>5.9999999999999995E-4</v>
      </c>
      <c r="U1808">
        <v>5.9999999999999995E-4</v>
      </c>
      <c r="V1808">
        <v>6.9999999999999999E-4</v>
      </c>
      <c r="W1808">
        <v>6.9999999999999999E-4</v>
      </c>
      <c r="X1808">
        <v>6.9999999999999999E-4</v>
      </c>
      <c r="Y1808">
        <v>6.9999999999999999E-4</v>
      </c>
    </row>
    <row r="1809" spans="1:25" hidden="1">
      <c r="A1809" t="s">
        <v>18810</v>
      </c>
      <c r="B1809" t="s">
        <v>872</v>
      </c>
      <c r="C1809" t="s">
        <v>841</v>
      </c>
      <c r="D1809" t="s">
        <v>621</v>
      </c>
      <c r="E1809" t="s">
        <v>624</v>
      </c>
      <c r="F1809" t="s">
        <v>598</v>
      </c>
      <c r="G1809" t="s">
        <v>478</v>
      </c>
      <c r="H1809" t="s">
        <v>600</v>
      </c>
      <c r="I1809" t="s">
        <v>601</v>
      </c>
      <c r="J1809">
        <v>0.32269999999999999</v>
      </c>
      <c r="K1809">
        <v>0.32329999999999998</v>
      </c>
      <c r="L1809">
        <v>0.32390000000000002</v>
      </c>
      <c r="M1809">
        <v>0.32429999999999998</v>
      </c>
      <c r="N1809">
        <v>0.32490000000000002</v>
      </c>
      <c r="O1809">
        <v>0.32519999999999999</v>
      </c>
      <c r="P1809">
        <v>0.32550000000000001</v>
      </c>
      <c r="Q1809">
        <v>0.32550000000000001</v>
      </c>
      <c r="R1809">
        <v>0.32569999999999999</v>
      </c>
      <c r="S1809">
        <v>0.32579999999999998</v>
      </c>
      <c r="T1809">
        <v>0.32569999999999999</v>
      </c>
      <c r="U1809">
        <v>0.32540000000000002</v>
      </c>
      <c r="V1809">
        <v>0.32500000000000001</v>
      </c>
      <c r="W1809">
        <v>0.32450000000000001</v>
      </c>
      <c r="X1809">
        <v>0.3241</v>
      </c>
      <c r="Y1809">
        <v>0.32350000000000001</v>
      </c>
    </row>
    <row r="1810" spans="1:25" hidden="1">
      <c r="A1810" t="s">
        <v>18810</v>
      </c>
      <c r="B1810" t="s">
        <v>873</v>
      </c>
      <c r="C1810" t="s">
        <v>841</v>
      </c>
      <c r="D1810" t="s">
        <v>621</v>
      </c>
      <c r="E1810" t="s">
        <v>768</v>
      </c>
      <c r="F1810" t="s">
        <v>598</v>
      </c>
      <c r="G1810" t="s">
        <v>478</v>
      </c>
      <c r="H1810" t="s">
        <v>600</v>
      </c>
      <c r="I1810" t="s">
        <v>601</v>
      </c>
      <c r="J1810">
        <v>0.97550000000000003</v>
      </c>
      <c r="K1810">
        <v>0.98670000000000002</v>
      </c>
      <c r="L1810">
        <v>0.99890000000000001</v>
      </c>
      <c r="M1810">
        <v>1.0109999999999999</v>
      </c>
      <c r="N1810">
        <v>1.0230999999999999</v>
      </c>
      <c r="O1810">
        <v>1.0350999999999999</v>
      </c>
      <c r="P1810">
        <v>1.0482</v>
      </c>
      <c r="Q1810">
        <v>1.0601</v>
      </c>
      <c r="R1810">
        <v>1.0731999999999999</v>
      </c>
      <c r="S1810">
        <v>1.0863</v>
      </c>
      <c r="T1810">
        <v>1.0991</v>
      </c>
      <c r="U1810">
        <v>1.1123000000000001</v>
      </c>
      <c r="V1810">
        <v>1.1253</v>
      </c>
      <c r="W1810">
        <v>1.1392</v>
      </c>
      <c r="X1810">
        <v>1.1520999999999999</v>
      </c>
      <c r="Y1810">
        <v>1.1660999999999999</v>
      </c>
    </row>
    <row r="1811" spans="1:25" hidden="1">
      <c r="A1811" t="s">
        <v>18810</v>
      </c>
      <c r="B1811" t="s">
        <v>875</v>
      </c>
      <c r="C1811" t="s">
        <v>841</v>
      </c>
      <c r="D1811" t="s">
        <v>621</v>
      </c>
      <c r="E1811" t="s">
        <v>626</v>
      </c>
      <c r="F1811" t="s">
        <v>598</v>
      </c>
      <c r="G1811" t="s">
        <v>478</v>
      </c>
      <c r="H1811" t="s">
        <v>600</v>
      </c>
      <c r="I1811" t="s">
        <v>601</v>
      </c>
      <c r="J1811">
        <v>3.3E-3</v>
      </c>
      <c r="K1811">
        <v>3.3E-3</v>
      </c>
      <c r="L1811">
        <v>3.3E-3</v>
      </c>
      <c r="M1811">
        <v>3.3E-3</v>
      </c>
      <c r="N1811">
        <v>3.3E-3</v>
      </c>
      <c r="O1811">
        <v>3.3E-3</v>
      </c>
      <c r="P1811">
        <v>3.3E-3</v>
      </c>
      <c r="Q1811">
        <v>3.3E-3</v>
      </c>
      <c r="R1811">
        <v>3.3E-3</v>
      </c>
      <c r="S1811">
        <v>3.3E-3</v>
      </c>
      <c r="T1811">
        <v>3.3E-3</v>
      </c>
      <c r="U1811">
        <v>3.3E-3</v>
      </c>
      <c r="V1811">
        <v>3.3E-3</v>
      </c>
      <c r="W1811">
        <v>3.3E-3</v>
      </c>
      <c r="X1811">
        <v>3.3E-3</v>
      </c>
      <c r="Y1811">
        <v>3.3E-3</v>
      </c>
    </row>
    <row r="1812" spans="1:25" hidden="1">
      <c r="A1812" t="s">
        <v>18810</v>
      </c>
      <c r="B1812" t="s">
        <v>876</v>
      </c>
      <c r="C1812" t="s">
        <v>841</v>
      </c>
      <c r="D1812" t="s">
        <v>621</v>
      </c>
      <c r="E1812" t="s">
        <v>628</v>
      </c>
      <c r="F1812" t="s">
        <v>598</v>
      </c>
      <c r="G1812" t="s">
        <v>478</v>
      </c>
      <c r="H1812" t="s">
        <v>600</v>
      </c>
      <c r="I1812" t="s">
        <v>601</v>
      </c>
      <c r="J1812">
        <v>0.16270000000000001</v>
      </c>
      <c r="K1812">
        <v>0.16189999999999999</v>
      </c>
      <c r="L1812">
        <v>0.16059999999999999</v>
      </c>
      <c r="M1812">
        <v>0.1593</v>
      </c>
      <c r="N1812">
        <v>0.15859999999999999</v>
      </c>
      <c r="O1812">
        <v>0.15740000000000001</v>
      </c>
      <c r="P1812">
        <v>0.15890000000000001</v>
      </c>
      <c r="Q1812">
        <v>0.1605</v>
      </c>
      <c r="R1812">
        <v>0.16220000000000001</v>
      </c>
      <c r="S1812">
        <v>0.16370000000000001</v>
      </c>
      <c r="T1812">
        <v>0.16550000000000001</v>
      </c>
      <c r="U1812">
        <v>0.1673</v>
      </c>
      <c r="V1812">
        <v>0.1694</v>
      </c>
      <c r="W1812">
        <v>0.1709</v>
      </c>
      <c r="X1812">
        <v>0.1724</v>
      </c>
      <c r="Y1812">
        <v>0.17419999999999999</v>
      </c>
    </row>
    <row r="1813" spans="1:25" hidden="1">
      <c r="A1813" t="s">
        <v>18810</v>
      </c>
      <c r="B1813" t="s">
        <v>878</v>
      </c>
      <c r="C1813" t="s">
        <v>841</v>
      </c>
      <c r="D1813" t="s">
        <v>621</v>
      </c>
      <c r="E1813" t="s">
        <v>619</v>
      </c>
      <c r="F1813" t="s">
        <v>598</v>
      </c>
      <c r="G1813" t="s">
        <v>478</v>
      </c>
      <c r="H1813" t="s">
        <v>600</v>
      </c>
      <c r="I1813" t="s">
        <v>601</v>
      </c>
      <c r="J1813">
        <v>2.8999999999999998E-3</v>
      </c>
      <c r="K1813">
        <v>2.8999999999999998E-3</v>
      </c>
      <c r="L1813">
        <v>2.8999999999999998E-3</v>
      </c>
      <c r="M1813">
        <v>2.8999999999999998E-3</v>
      </c>
      <c r="N1813">
        <v>2.8E-3</v>
      </c>
      <c r="O1813">
        <v>2.8E-3</v>
      </c>
      <c r="P1813">
        <v>2.8E-3</v>
      </c>
      <c r="Q1813">
        <v>2.8999999999999998E-3</v>
      </c>
      <c r="R1813">
        <v>2.8999999999999998E-3</v>
      </c>
      <c r="S1813">
        <v>2.8999999999999998E-3</v>
      </c>
      <c r="T1813">
        <v>2.8999999999999998E-3</v>
      </c>
      <c r="U1813">
        <v>2.8999999999999998E-3</v>
      </c>
      <c r="V1813">
        <v>3.0000000000000001E-3</v>
      </c>
      <c r="W1813">
        <v>3.0999999999999999E-3</v>
      </c>
      <c r="X1813">
        <v>3.0999999999999999E-3</v>
      </c>
      <c r="Y1813">
        <v>3.2000000000000002E-3</v>
      </c>
    </row>
    <row r="1814" spans="1:25" hidden="1">
      <c r="A1814" t="s">
        <v>18810</v>
      </c>
      <c r="B1814" t="s">
        <v>880</v>
      </c>
      <c r="C1814" t="s">
        <v>841</v>
      </c>
      <c r="D1814" t="s">
        <v>621</v>
      </c>
      <c r="E1814" t="s">
        <v>638</v>
      </c>
      <c r="F1814" t="s">
        <v>598</v>
      </c>
      <c r="G1814" t="s">
        <v>478</v>
      </c>
      <c r="H1814" t="s">
        <v>600</v>
      </c>
      <c r="I1814" t="s">
        <v>601</v>
      </c>
      <c r="J1814">
        <v>1E-4</v>
      </c>
      <c r="K1814">
        <v>1E-4</v>
      </c>
      <c r="L1814">
        <v>1E-4</v>
      </c>
      <c r="M1814">
        <v>1E-4</v>
      </c>
      <c r="N1814">
        <v>1E-4</v>
      </c>
      <c r="O1814">
        <v>1E-4</v>
      </c>
      <c r="P1814">
        <v>1E-4</v>
      </c>
      <c r="Q1814">
        <v>1E-4</v>
      </c>
      <c r="R1814">
        <v>1E-4</v>
      </c>
      <c r="S1814">
        <v>1E-4</v>
      </c>
      <c r="T1814">
        <v>1E-4</v>
      </c>
      <c r="U1814">
        <v>1E-4</v>
      </c>
      <c r="V1814">
        <v>1E-4</v>
      </c>
      <c r="W1814">
        <v>1E-4</v>
      </c>
      <c r="X1814">
        <v>1E-4</v>
      </c>
      <c r="Y1814">
        <v>1E-4</v>
      </c>
    </row>
    <row r="1815" spans="1:25" hidden="1">
      <c r="A1815" t="s">
        <v>18810</v>
      </c>
      <c r="B1815" t="s">
        <v>881</v>
      </c>
      <c r="C1815" t="s">
        <v>841</v>
      </c>
      <c r="D1815" t="s">
        <v>632</v>
      </c>
      <c r="E1815" t="s">
        <v>649</v>
      </c>
      <c r="F1815" t="s">
        <v>598</v>
      </c>
      <c r="G1815" t="s">
        <v>478</v>
      </c>
      <c r="H1815" t="s">
        <v>600</v>
      </c>
      <c r="I1815" t="s">
        <v>601</v>
      </c>
      <c r="J1815">
        <v>5.0000000000000001E-4</v>
      </c>
      <c r="K1815">
        <v>5.0000000000000001E-4</v>
      </c>
      <c r="L1815">
        <v>5.0000000000000001E-4</v>
      </c>
      <c r="M1815">
        <v>5.0000000000000001E-4</v>
      </c>
      <c r="N1815">
        <v>5.0000000000000001E-4</v>
      </c>
      <c r="O1815">
        <v>5.0000000000000001E-4</v>
      </c>
      <c r="P1815">
        <v>5.0000000000000001E-4</v>
      </c>
      <c r="Q1815">
        <v>5.0000000000000001E-4</v>
      </c>
      <c r="R1815">
        <v>5.0000000000000001E-4</v>
      </c>
      <c r="S1815">
        <v>5.0000000000000001E-4</v>
      </c>
      <c r="T1815">
        <v>5.0000000000000001E-4</v>
      </c>
      <c r="U1815">
        <v>5.0000000000000001E-4</v>
      </c>
      <c r="V1815">
        <v>5.0000000000000001E-4</v>
      </c>
      <c r="W1815">
        <v>5.0000000000000001E-4</v>
      </c>
      <c r="X1815">
        <v>5.9999999999999995E-4</v>
      </c>
      <c r="Y1815">
        <v>5.9999999999999995E-4</v>
      </c>
    </row>
    <row r="1816" spans="1:25" hidden="1">
      <c r="A1816" t="s">
        <v>18810</v>
      </c>
      <c r="B1816" t="s">
        <v>882</v>
      </c>
      <c r="C1816" t="s">
        <v>841</v>
      </c>
      <c r="D1816" t="s">
        <v>632</v>
      </c>
      <c r="E1816" t="s">
        <v>597</v>
      </c>
      <c r="F1816" t="s">
        <v>598</v>
      </c>
      <c r="G1816" t="s">
        <v>478</v>
      </c>
      <c r="H1816" t="s">
        <v>600</v>
      </c>
      <c r="I1816" t="s">
        <v>601</v>
      </c>
      <c r="J1816">
        <v>3.1399999999999997E-2</v>
      </c>
      <c r="K1816">
        <v>3.1600000000000003E-2</v>
      </c>
      <c r="L1816">
        <v>3.2199999999999999E-2</v>
      </c>
      <c r="M1816">
        <v>3.2800000000000003E-2</v>
      </c>
      <c r="N1816">
        <v>3.32E-2</v>
      </c>
      <c r="O1816">
        <v>3.3500000000000002E-2</v>
      </c>
      <c r="P1816">
        <v>3.3500000000000002E-2</v>
      </c>
      <c r="Q1816">
        <v>3.3799999999999997E-2</v>
      </c>
      <c r="R1816">
        <v>3.39E-2</v>
      </c>
      <c r="S1816">
        <v>3.4000000000000002E-2</v>
      </c>
      <c r="T1816">
        <v>3.4000000000000002E-2</v>
      </c>
      <c r="U1816">
        <v>3.4000000000000002E-2</v>
      </c>
      <c r="V1816">
        <v>3.4099999999999998E-2</v>
      </c>
      <c r="W1816">
        <v>3.44E-2</v>
      </c>
      <c r="X1816">
        <v>3.4700000000000002E-2</v>
      </c>
      <c r="Y1816">
        <v>3.49E-2</v>
      </c>
    </row>
    <row r="1817" spans="1:25" hidden="1">
      <c r="A1817" t="s">
        <v>18810</v>
      </c>
      <c r="B1817" t="s">
        <v>883</v>
      </c>
      <c r="C1817" t="s">
        <v>841</v>
      </c>
      <c r="D1817" t="s">
        <v>632</v>
      </c>
      <c r="E1817" t="s">
        <v>624</v>
      </c>
      <c r="F1817" t="s">
        <v>598</v>
      </c>
      <c r="G1817" t="s">
        <v>478</v>
      </c>
      <c r="H1817" t="s">
        <v>600</v>
      </c>
      <c r="I1817" t="s">
        <v>601</v>
      </c>
      <c r="J1817">
        <v>0.17860000000000001</v>
      </c>
      <c r="K1817">
        <v>0.17860000000000001</v>
      </c>
      <c r="L1817">
        <v>0.17860000000000001</v>
      </c>
      <c r="M1817">
        <v>0.1784</v>
      </c>
      <c r="N1817">
        <v>0.1784</v>
      </c>
      <c r="O1817">
        <v>0.17829999999999999</v>
      </c>
      <c r="P1817">
        <v>0.17810000000000001</v>
      </c>
      <c r="Q1817">
        <v>0.1777</v>
      </c>
      <c r="R1817">
        <v>0.1774</v>
      </c>
      <c r="S1817">
        <v>0.17699999999999999</v>
      </c>
      <c r="T1817">
        <v>0.17649999999999999</v>
      </c>
      <c r="U1817">
        <v>0.1759</v>
      </c>
      <c r="V1817">
        <v>0.17519999999999999</v>
      </c>
      <c r="W1817">
        <v>0.17449999999999999</v>
      </c>
      <c r="X1817">
        <v>0.17380000000000001</v>
      </c>
      <c r="Y1817">
        <v>0.1729</v>
      </c>
    </row>
    <row r="1818" spans="1:25" hidden="1">
      <c r="A1818" t="s">
        <v>18810</v>
      </c>
      <c r="B1818" t="s">
        <v>884</v>
      </c>
      <c r="C1818" t="s">
        <v>841</v>
      </c>
      <c r="D1818" t="s">
        <v>632</v>
      </c>
      <c r="E1818" t="s">
        <v>768</v>
      </c>
      <c r="F1818" t="s">
        <v>598</v>
      </c>
      <c r="G1818" t="s">
        <v>478</v>
      </c>
      <c r="H1818" t="s">
        <v>600</v>
      </c>
      <c r="I1818" t="s">
        <v>601</v>
      </c>
      <c r="J1818">
        <v>3.2399999999999998E-2</v>
      </c>
      <c r="K1818">
        <v>3.2899999999999999E-2</v>
      </c>
      <c r="L1818">
        <v>3.3300000000000003E-2</v>
      </c>
      <c r="M1818">
        <v>3.3599999999999998E-2</v>
      </c>
      <c r="N1818">
        <v>3.4099999999999998E-2</v>
      </c>
      <c r="O1818">
        <v>3.4500000000000003E-2</v>
      </c>
      <c r="P1818">
        <v>3.49E-2</v>
      </c>
      <c r="Q1818">
        <v>3.5299999999999998E-2</v>
      </c>
      <c r="R1818">
        <v>3.5700000000000003E-2</v>
      </c>
      <c r="S1818">
        <v>3.61E-2</v>
      </c>
      <c r="T1818">
        <v>3.6600000000000001E-2</v>
      </c>
      <c r="U1818">
        <v>3.6999999999999998E-2</v>
      </c>
      <c r="V1818">
        <v>3.7400000000000003E-2</v>
      </c>
      <c r="W1818">
        <v>3.7999999999999999E-2</v>
      </c>
      <c r="X1818">
        <v>3.8399999999999997E-2</v>
      </c>
      <c r="Y1818">
        <v>3.8800000000000001E-2</v>
      </c>
    </row>
    <row r="1819" spans="1:25" hidden="1">
      <c r="A1819" t="s">
        <v>18810</v>
      </c>
      <c r="B1819" t="s">
        <v>885</v>
      </c>
      <c r="C1819" t="s">
        <v>841</v>
      </c>
      <c r="D1819" t="s">
        <v>632</v>
      </c>
      <c r="E1819" t="s">
        <v>628</v>
      </c>
      <c r="F1819" t="s">
        <v>598</v>
      </c>
      <c r="G1819" t="s">
        <v>478</v>
      </c>
      <c r="H1819" t="s">
        <v>600</v>
      </c>
      <c r="I1819" t="s">
        <v>601</v>
      </c>
      <c r="J1819">
        <v>4.8999999999999998E-3</v>
      </c>
      <c r="K1819">
        <v>4.8999999999999998E-3</v>
      </c>
      <c r="L1819">
        <v>4.8999999999999998E-3</v>
      </c>
      <c r="M1819">
        <v>4.8999999999999998E-3</v>
      </c>
      <c r="N1819">
        <v>4.8999999999999998E-3</v>
      </c>
      <c r="O1819">
        <v>4.8999999999999998E-3</v>
      </c>
      <c r="P1819">
        <v>4.8999999999999998E-3</v>
      </c>
      <c r="Q1819">
        <v>4.8999999999999998E-3</v>
      </c>
      <c r="R1819">
        <v>4.8999999999999998E-3</v>
      </c>
      <c r="S1819">
        <v>4.8999999999999998E-3</v>
      </c>
      <c r="T1819">
        <v>4.8999999999999998E-3</v>
      </c>
      <c r="U1819">
        <v>4.8999999999999998E-3</v>
      </c>
      <c r="V1819">
        <v>4.8999999999999998E-3</v>
      </c>
      <c r="W1819">
        <v>4.8999999999999998E-3</v>
      </c>
      <c r="X1819">
        <v>4.8999999999999998E-3</v>
      </c>
      <c r="Y1819">
        <v>4.8999999999999998E-3</v>
      </c>
    </row>
    <row r="1820" spans="1:25" hidden="1">
      <c r="A1820" t="s">
        <v>18810</v>
      </c>
      <c r="B1820" t="s">
        <v>887</v>
      </c>
      <c r="C1820" t="s">
        <v>841</v>
      </c>
      <c r="D1820" t="s">
        <v>632</v>
      </c>
      <c r="E1820" t="s">
        <v>888</v>
      </c>
      <c r="F1820" t="s">
        <v>598</v>
      </c>
      <c r="G1820" t="s">
        <v>478</v>
      </c>
      <c r="H1820" t="s">
        <v>600</v>
      </c>
      <c r="I1820" t="s">
        <v>601</v>
      </c>
      <c r="J1820">
        <v>0.19719999999999999</v>
      </c>
      <c r="K1820">
        <v>0.1991</v>
      </c>
      <c r="L1820">
        <v>0.20069999999999999</v>
      </c>
      <c r="M1820">
        <v>0.20269999999999999</v>
      </c>
      <c r="N1820">
        <v>0.20419999999999999</v>
      </c>
      <c r="O1820">
        <v>0.20610000000000001</v>
      </c>
      <c r="P1820">
        <v>0.20799999999999999</v>
      </c>
      <c r="Q1820">
        <v>0.2097</v>
      </c>
      <c r="R1820">
        <v>0.2114</v>
      </c>
      <c r="S1820">
        <v>0.21329999999999999</v>
      </c>
      <c r="T1820">
        <v>0.215</v>
      </c>
      <c r="U1820">
        <v>0.21690000000000001</v>
      </c>
      <c r="V1820">
        <v>0.21870000000000001</v>
      </c>
      <c r="W1820">
        <v>0.22059999999999999</v>
      </c>
      <c r="X1820">
        <v>0.2223</v>
      </c>
      <c r="Y1820">
        <v>0.2243</v>
      </c>
    </row>
    <row r="1821" spans="1:25" hidden="1">
      <c r="A1821" t="s">
        <v>18810</v>
      </c>
      <c r="B1821" t="s">
        <v>891</v>
      </c>
      <c r="C1821" t="s">
        <v>841</v>
      </c>
      <c r="D1821" t="s">
        <v>632</v>
      </c>
      <c r="E1821" t="s">
        <v>892</v>
      </c>
      <c r="F1821" t="s">
        <v>598</v>
      </c>
      <c r="G1821" t="s">
        <v>478</v>
      </c>
      <c r="H1821" t="s">
        <v>600</v>
      </c>
      <c r="I1821" t="s">
        <v>601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</row>
    <row r="1822" spans="1:25" hidden="1">
      <c r="A1822" t="s">
        <v>18810</v>
      </c>
      <c r="B1822" t="s">
        <v>896</v>
      </c>
      <c r="C1822" t="s">
        <v>841</v>
      </c>
      <c r="D1822" t="s">
        <v>640</v>
      </c>
      <c r="E1822" t="s">
        <v>597</v>
      </c>
      <c r="F1822" t="s">
        <v>598</v>
      </c>
      <c r="G1822" t="s">
        <v>478</v>
      </c>
      <c r="H1822" t="s">
        <v>600</v>
      </c>
      <c r="I1822" t="s">
        <v>601</v>
      </c>
      <c r="J1822">
        <v>9.5999999999999992E-3</v>
      </c>
      <c r="K1822">
        <v>9.7999999999999997E-3</v>
      </c>
      <c r="L1822">
        <v>9.7999999999999997E-3</v>
      </c>
      <c r="M1822">
        <v>9.9000000000000008E-3</v>
      </c>
      <c r="N1822">
        <v>1.01E-2</v>
      </c>
      <c r="O1822">
        <v>1.01E-2</v>
      </c>
      <c r="P1822">
        <v>1.0200000000000001E-2</v>
      </c>
      <c r="Q1822">
        <v>1.03E-2</v>
      </c>
      <c r="R1822">
        <v>1.03E-2</v>
      </c>
      <c r="S1822">
        <v>1.04E-2</v>
      </c>
      <c r="T1822">
        <v>1.0500000000000001E-2</v>
      </c>
      <c r="U1822">
        <v>1.0500000000000001E-2</v>
      </c>
      <c r="V1822">
        <v>1.0699999999999999E-2</v>
      </c>
      <c r="W1822">
        <v>1.0800000000000001E-2</v>
      </c>
      <c r="X1822">
        <v>1.09E-2</v>
      </c>
      <c r="Y1822">
        <v>1.0999999999999999E-2</v>
      </c>
    </row>
    <row r="1823" spans="1:25" hidden="1">
      <c r="A1823" t="s">
        <v>18810</v>
      </c>
      <c r="B1823" t="s">
        <v>897</v>
      </c>
      <c r="C1823" t="s">
        <v>841</v>
      </c>
      <c r="D1823" t="s">
        <v>640</v>
      </c>
      <c r="E1823" t="s">
        <v>642</v>
      </c>
      <c r="F1823" t="s">
        <v>598</v>
      </c>
      <c r="G1823" t="s">
        <v>478</v>
      </c>
      <c r="H1823" t="s">
        <v>600</v>
      </c>
      <c r="I1823" t="s">
        <v>601</v>
      </c>
      <c r="J1823">
        <v>2.0000000000000001E-4</v>
      </c>
      <c r="K1823">
        <v>2.0000000000000001E-4</v>
      </c>
      <c r="L1823">
        <v>2.0000000000000001E-4</v>
      </c>
      <c r="M1823">
        <v>2.0000000000000001E-4</v>
      </c>
      <c r="N1823">
        <v>2.0000000000000001E-4</v>
      </c>
      <c r="O1823">
        <v>2.0000000000000001E-4</v>
      </c>
      <c r="P1823">
        <v>2.0000000000000001E-4</v>
      </c>
      <c r="Q1823">
        <v>2.0000000000000001E-4</v>
      </c>
      <c r="R1823">
        <v>2.0000000000000001E-4</v>
      </c>
      <c r="S1823">
        <v>2.0000000000000001E-4</v>
      </c>
      <c r="T1823">
        <v>2.9999999999999997E-4</v>
      </c>
      <c r="U1823">
        <v>2.9999999999999997E-4</v>
      </c>
      <c r="V1823">
        <v>2.9999999999999997E-4</v>
      </c>
      <c r="W1823">
        <v>2.9999999999999997E-4</v>
      </c>
      <c r="X1823">
        <v>2.9999999999999997E-4</v>
      </c>
      <c r="Y1823">
        <v>2.9999999999999997E-4</v>
      </c>
    </row>
    <row r="1824" spans="1:25" hidden="1">
      <c r="A1824" t="s">
        <v>18810</v>
      </c>
      <c r="B1824" t="s">
        <v>899</v>
      </c>
      <c r="C1824" t="s">
        <v>841</v>
      </c>
      <c r="D1824" t="s">
        <v>640</v>
      </c>
      <c r="E1824" t="s">
        <v>613</v>
      </c>
      <c r="F1824" t="s">
        <v>598</v>
      </c>
      <c r="G1824" t="s">
        <v>478</v>
      </c>
      <c r="H1824" t="s">
        <v>600</v>
      </c>
      <c r="I1824" t="s">
        <v>601</v>
      </c>
      <c r="J1824">
        <v>4.48E-2</v>
      </c>
      <c r="K1824">
        <v>4.53E-2</v>
      </c>
      <c r="L1824">
        <v>4.5699999999999998E-2</v>
      </c>
      <c r="M1824">
        <v>4.6199999999999998E-2</v>
      </c>
      <c r="N1824">
        <v>4.6399999999999997E-2</v>
      </c>
      <c r="O1824">
        <v>4.6899999999999997E-2</v>
      </c>
      <c r="P1824">
        <v>4.7399999999999998E-2</v>
      </c>
      <c r="Q1824">
        <v>4.7800000000000002E-2</v>
      </c>
      <c r="R1824">
        <v>4.8099999999999997E-2</v>
      </c>
      <c r="S1824">
        <v>4.8599999999999997E-2</v>
      </c>
      <c r="T1824">
        <v>4.9000000000000002E-2</v>
      </c>
      <c r="U1824">
        <v>4.9299999999999997E-2</v>
      </c>
      <c r="V1824">
        <v>4.99E-2</v>
      </c>
      <c r="W1824">
        <v>5.0299999999999997E-2</v>
      </c>
      <c r="X1824">
        <v>5.0700000000000002E-2</v>
      </c>
      <c r="Y1824">
        <v>5.1200000000000002E-2</v>
      </c>
    </row>
    <row r="1825" spans="1:25" hidden="1">
      <c r="A1825" t="s">
        <v>18810</v>
      </c>
      <c r="B1825" t="s">
        <v>900</v>
      </c>
      <c r="C1825" t="s">
        <v>841</v>
      </c>
      <c r="D1825" t="s">
        <v>640</v>
      </c>
      <c r="E1825" t="s">
        <v>619</v>
      </c>
      <c r="F1825" t="s">
        <v>598</v>
      </c>
      <c r="G1825" t="s">
        <v>478</v>
      </c>
      <c r="H1825" t="s">
        <v>600</v>
      </c>
      <c r="I1825" t="s">
        <v>601</v>
      </c>
      <c r="J1825">
        <v>1.1999999999999999E-3</v>
      </c>
      <c r="K1825">
        <v>1.1999999999999999E-3</v>
      </c>
      <c r="L1825">
        <v>1.1999999999999999E-3</v>
      </c>
      <c r="M1825">
        <v>1.1999999999999999E-3</v>
      </c>
      <c r="N1825">
        <v>1.1999999999999999E-3</v>
      </c>
      <c r="O1825">
        <v>1.2999999999999999E-3</v>
      </c>
      <c r="P1825">
        <v>1.2999999999999999E-3</v>
      </c>
      <c r="Q1825">
        <v>1.2999999999999999E-3</v>
      </c>
      <c r="R1825">
        <v>1.2999999999999999E-3</v>
      </c>
      <c r="S1825">
        <v>1.2999999999999999E-3</v>
      </c>
      <c r="T1825">
        <v>1.4E-3</v>
      </c>
      <c r="U1825">
        <v>1.4E-3</v>
      </c>
      <c r="V1825">
        <v>1.4E-3</v>
      </c>
      <c r="W1825">
        <v>1.4E-3</v>
      </c>
      <c r="X1825">
        <v>1.4E-3</v>
      </c>
      <c r="Y1825">
        <v>1.5E-3</v>
      </c>
    </row>
    <row r="1826" spans="1:25" hidden="1">
      <c r="A1826" t="s">
        <v>18810</v>
      </c>
      <c r="B1826" t="s">
        <v>902</v>
      </c>
      <c r="C1826" t="s">
        <v>841</v>
      </c>
      <c r="D1826" t="s">
        <v>648</v>
      </c>
      <c r="E1826" t="s">
        <v>597</v>
      </c>
      <c r="F1826" t="s">
        <v>598</v>
      </c>
      <c r="G1826" t="s">
        <v>478</v>
      </c>
      <c r="H1826" t="s">
        <v>600</v>
      </c>
      <c r="I1826" t="s">
        <v>601</v>
      </c>
      <c r="J1826">
        <v>2.4777999999999998</v>
      </c>
      <c r="K1826">
        <v>2.5087999999999999</v>
      </c>
      <c r="L1826">
        <v>2.5468999999999999</v>
      </c>
      <c r="M1826">
        <v>2.5956999999999999</v>
      </c>
      <c r="N1826">
        <v>2.6261000000000001</v>
      </c>
      <c r="O1826">
        <v>2.6497000000000002</v>
      </c>
      <c r="P1826">
        <v>2.6680000000000001</v>
      </c>
      <c r="Q1826">
        <v>2.6854</v>
      </c>
      <c r="R1826">
        <v>2.6959</v>
      </c>
      <c r="S1826">
        <v>2.7025000000000001</v>
      </c>
      <c r="T1826">
        <v>2.7008999999999999</v>
      </c>
      <c r="U1826">
        <v>2.6987000000000001</v>
      </c>
      <c r="V1826">
        <v>2.7090000000000001</v>
      </c>
      <c r="W1826">
        <v>2.7332999999999998</v>
      </c>
      <c r="X1826">
        <v>2.7591000000000001</v>
      </c>
      <c r="Y1826">
        <v>2.7854999999999999</v>
      </c>
    </row>
    <row r="1827" spans="1:25" hidden="1">
      <c r="A1827" t="s">
        <v>18810</v>
      </c>
      <c r="B1827" t="s">
        <v>909</v>
      </c>
      <c r="C1827" t="s">
        <v>841</v>
      </c>
      <c r="D1827" t="s">
        <v>648</v>
      </c>
      <c r="E1827" t="s">
        <v>642</v>
      </c>
      <c r="F1827" t="s">
        <v>598</v>
      </c>
      <c r="G1827" t="s">
        <v>478</v>
      </c>
      <c r="H1827" t="s">
        <v>600</v>
      </c>
      <c r="I1827" t="s">
        <v>601</v>
      </c>
      <c r="J1827">
        <v>1.9E-3</v>
      </c>
      <c r="K1827">
        <v>1.9E-3</v>
      </c>
      <c r="L1827">
        <v>1.9E-3</v>
      </c>
      <c r="M1827">
        <v>1.9E-3</v>
      </c>
      <c r="N1827">
        <v>1.9E-3</v>
      </c>
      <c r="O1827">
        <v>2E-3</v>
      </c>
      <c r="P1827">
        <v>2E-3</v>
      </c>
      <c r="Q1827">
        <v>2E-3</v>
      </c>
      <c r="R1827">
        <v>2E-3</v>
      </c>
      <c r="S1827">
        <v>2E-3</v>
      </c>
      <c r="T1827">
        <v>2.0999999999999999E-3</v>
      </c>
      <c r="U1827">
        <v>2.0999999999999999E-3</v>
      </c>
      <c r="V1827">
        <v>2.0999999999999999E-3</v>
      </c>
      <c r="W1827">
        <v>2.5000000000000001E-3</v>
      </c>
      <c r="X1827">
        <v>2.5000000000000001E-3</v>
      </c>
      <c r="Y1827">
        <v>2.5999999999999999E-3</v>
      </c>
    </row>
    <row r="1828" spans="1:25" hidden="1">
      <c r="A1828" t="s">
        <v>18810</v>
      </c>
      <c r="B1828" t="s">
        <v>911</v>
      </c>
      <c r="C1828" t="s">
        <v>841</v>
      </c>
      <c r="D1828" t="s">
        <v>648</v>
      </c>
      <c r="E1828" t="s">
        <v>619</v>
      </c>
      <c r="F1828" t="s">
        <v>598</v>
      </c>
      <c r="G1828" t="s">
        <v>478</v>
      </c>
      <c r="H1828" t="s">
        <v>600</v>
      </c>
      <c r="I1828" t="s">
        <v>601</v>
      </c>
      <c r="J1828">
        <v>3.8999999999999998E-3</v>
      </c>
      <c r="K1828">
        <v>4.1000000000000003E-3</v>
      </c>
      <c r="L1828">
        <v>4.1000000000000003E-3</v>
      </c>
      <c r="M1828">
        <v>4.1000000000000003E-3</v>
      </c>
      <c r="N1828">
        <v>4.0000000000000001E-3</v>
      </c>
      <c r="O1828">
        <v>4.0000000000000001E-3</v>
      </c>
      <c r="P1828">
        <v>4.0000000000000001E-3</v>
      </c>
      <c r="Q1828">
        <v>4.1000000000000003E-3</v>
      </c>
      <c r="R1828">
        <v>4.1000000000000003E-3</v>
      </c>
      <c r="S1828">
        <v>4.1000000000000003E-3</v>
      </c>
      <c r="T1828">
        <v>4.1000000000000003E-3</v>
      </c>
      <c r="U1828">
        <v>4.1999999999999997E-3</v>
      </c>
      <c r="V1828">
        <v>4.3E-3</v>
      </c>
      <c r="W1828">
        <v>4.3E-3</v>
      </c>
      <c r="X1828">
        <v>4.3E-3</v>
      </c>
      <c r="Y1828">
        <v>4.3E-3</v>
      </c>
    </row>
    <row r="1829" spans="1:25" hidden="1">
      <c r="A1829" t="s">
        <v>18810</v>
      </c>
      <c r="B1829" t="s">
        <v>913</v>
      </c>
      <c r="C1829" t="s">
        <v>914</v>
      </c>
      <c r="D1829" t="s">
        <v>671</v>
      </c>
      <c r="E1829" t="s">
        <v>597</v>
      </c>
      <c r="F1829" t="s">
        <v>598</v>
      </c>
      <c r="G1829" t="s">
        <v>478</v>
      </c>
      <c r="H1829" t="s">
        <v>600</v>
      </c>
      <c r="I1829" t="s">
        <v>601</v>
      </c>
      <c r="J1829">
        <v>0.1043</v>
      </c>
      <c r="K1829">
        <v>0.10539999999999999</v>
      </c>
      <c r="L1829">
        <v>0.1062</v>
      </c>
      <c r="M1829">
        <v>0.1072</v>
      </c>
      <c r="N1829">
        <v>0.1081</v>
      </c>
      <c r="O1829">
        <v>0.109</v>
      </c>
      <c r="P1829">
        <v>0.1101</v>
      </c>
      <c r="Q1829">
        <v>0.11119999999999999</v>
      </c>
      <c r="R1829">
        <v>0.11210000000000001</v>
      </c>
      <c r="S1829">
        <v>0.11310000000000001</v>
      </c>
      <c r="T1829">
        <v>0.1142</v>
      </c>
      <c r="U1829">
        <v>0.11509999999999999</v>
      </c>
      <c r="V1829">
        <v>0.11609999999999999</v>
      </c>
      <c r="W1829">
        <v>0.1173</v>
      </c>
      <c r="X1829">
        <v>0.1182</v>
      </c>
      <c r="Y1829">
        <v>0.11940000000000001</v>
      </c>
    </row>
    <row r="1830" spans="1:25" hidden="1">
      <c r="A1830" t="s">
        <v>18810</v>
      </c>
      <c r="B1830" t="s">
        <v>916</v>
      </c>
      <c r="C1830" t="s">
        <v>914</v>
      </c>
      <c r="D1830" t="s">
        <v>621</v>
      </c>
      <c r="E1830" t="s">
        <v>628</v>
      </c>
      <c r="F1830" t="s">
        <v>598</v>
      </c>
      <c r="G1830" t="s">
        <v>478</v>
      </c>
      <c r="H1830" t="s">
        <v>600</v>
      </c>
      <c r="I1830" t="s">
        <v>601</v>
      </c>
      <c r="J1830">
        <v>1.5047416</v>
      </c>
      <c r="K1830">
        <v>1.5017152</v>
      </c>
      <c r="L1830">
        <v>1.4985336</v>
      </c>
      <c r="M1830">
        <v>1.4954296</v>
      </c>
      <c r="N1830">
        <v>1.4931791999999999</v>
      </c>
      <c r="O1830">
        <v>1.2801671999999999</v>
      </c>
      <c r="P1830">
        <v>1.2834264</v>
      </c>
      <c r="Q1830">
        <v>1.2865304</v>
      </c>
      <c r="R1830">
        <v>1.2894791999999999</v>
      </c>
      <c r="S1830">
        <v>1.292816</v>
      </c>
      <c r="T1830">
        <v>1.2966960000000001</v>
      </c>
      <c r="U1830">
        <v>1.3002655999999999</v>
      </c>
      <c r="V1830">
        <v>1.3030592000000001</v>
      </c>
      <c r="W1830">
        <v>1.3063184000000001</v>
      </c>
      <c r="X1830">
        <v>1.3098103999999999</v>
      </c>
      <c r="Y1830">
        <v>1.3143111999999999</v>
      </c>
    </row>
    <row r="1831" spans="1:25" hidden="1">
      <c r="A1831" t="s">
        <v>18810</v>
      </c>
      <c r="B1831" t="s">
        <v>917</v>
      </c>
      <c r="C1831" t="s">
        <v>914</v>
      </c>
      <c r="D1831" t="s">
        <v>918</v>
      </c>
      <c r="E1831" t="s">
        <v>649</v>
      </c>
      <c r="F1831" t="s">
        <v>598</v>
      </c>
      <c r="G1831" t="s">
        <v>478</v>
      </c>
      <c r="H1831" t="s">
        <v>600</v>
      </c>
      <c r="I1831" t="s">
        <v>601</v>
      </c>
      <c r="J1831">
        <v>2.3E-3</v>
      </c>
      <c r="K1831">
        <v>2.3E-3</v>
      </c>
      <c r="L1831">
        <v>2.3E-3</v>
      </c>
      <c r="M1831">
        <v>2.3E-3</v>
      </c>
      <c r="N1831">
        <v>2.3E-3</v>
      </c>
      <c r="O1831">
        <v>2.3E-3</v>
      </c>
      <c r="P1831">
        <v>2.3E-3</v>
      </c>
      <c r="Q1831">
        <v>2.3E-3</v>
      </c>
      <c r="R1831">
        <v>2.3999999999999998E-3</v>
      </c>
      <c r="S1831">
        <v>2.3999999999999998E-3</v>
      </c>
      <c r="T1831">
        <v>2.3999999999999998E-3</v>
      </c>
      <c r="U1831">
        <v>2.3999999999999998E-3</v>
      </c>
      <c r="V1831">
        <v>2.3999999999999998E-3</v>
      </c>
      <c r="W1831">
        <v>2.3999999999999998E-3</v>
      </c>
      <c r="X1831">
        <v>2.3999999999999998E-3</v>
      </c>
      <c r="Y1831">
        <v>2.5000000000000001E-3</v>
      </c>
    </row>
    <row r="1832" spans="1:25" hidden="1">
      <c r="A1832" t="s">
        <v>18810</v>
      </c>
      <c r="B1832" t="s">
        <v>919</v>
      </c>
      <c r="C1832" t="s">
        <v>914</v>
      </c>
      <c r="D1832" t="s">
        <v>648</v>
      </c>
      <c r="E1832" t="s">
        <v>920</v>
      </c>
      <c r="F1832" t="s">
        <v>598</v>
      </c>
      <c r="G1832" t="s">
        <v>478</v>
      </c>
      <c r="H1832" t="s">
        <v>600</v>
      </c>
      <c r="I1832" t="s">
        <v>601</v>
      </c>
      <c r="J1832">
        <v>3.9699999999999999E-2</v>
      </c>
      <c r="K1832">
        <v>0.04</v>
      </c>
      <c r="L1832">
        <v>4.0300000000000002E-2</v>
      </c>
      <c r="M1832">
        <v>4.0800000000000003E-2</v>
      </c>
      <c r="N1832">
        <v>4.1000000000000002E-2</v>
      </c>
      <c r="O1832">
        <v>4.1500000000000002E-2</v>
      </c>
      <c r="P1832">
        <v>4.1799999999999997E-2</v>
      </c>
      <c r="Q1832">
        <v>4.24E-2</v>
      </c>
      <c r="R1832">
        <v>4.2700000000000002E-2</v>
      </c>
      <c r="S1832">
        <v>4.3099999999999999E-2</v>
      </c>
      <c r="T1832">
        <v>4.3400000000000001E-2</v>
      </c>
      <c r="U1832">
        <v>4.3999999999999997E-2</v>
      </c>
      <c r="V1832">
        <v>4.4200000000000003E-2</v>
      </c>
      <c r="W1832">
        <v>4.4600000000000001E-2</v>
      </c>
      <c r="X1832">
        <v>4.4900000000000002E-2</v>
      </c>
      <c r="Y1832">
        <v>4.5600000000000002E-2</v>
      </c>
    </row>
    <row r="1833" spans="1:25" hidden="1">
      <c r="A1833" t="s">
        <v>18810</v>
      </c>
      <c r="B1833" t="s">
        <v>921</v>
      </c>
      <c r="C1833" t="s">
        <v>914</v>
      </c>
      <c r="D1833" t="s">
        <v>648</v>
      </c>
      <c r="E1833" t="s">
        <v>649</v>
      </c>
      <c r="F1833" t="s">
        <v>598</v>
      </c>
      <c r="G1833" t="s">
        <v>478</v>
      </c>
      <c r="H1833" t="s">
        <v>600</v>
      </c>
      <c r="I1833" t="s">
        <v>601</v>
      </c>
      <c r="J1833">
        <v>4.0000000000000001E-3</v>
      </c>
      <c r="K1833">
        <v>4.0000000000000001E-3</v>
      </c>
      <c r="L1833">
        <v>4.1000000000000003E-3</v>
      </c>
      <c r="M1833">
        <v>4.1000000000000003E-3</v>
      </c>
      <c r="N1833">
        <v>4.1000000000000003E-3</v>
      </c>
      <c r="O1833">
        <v>4.1000000000000003E-3</v>
      </c>
      <c r="P1833">
        <v>4.1000000000000003E-3</v>
      </c>
      <c r="Q1833">
        <v>4.1999999999999997E-3</v>
      </c>
      <c r="R1833">
        <v>4.1999999999999997E-3</v>
      </c>
      <c r="S1833">
        <v>4.1999999999999997E-3</v>
      </c>
      <c r="T1833">
        <v>4.1999999999999997E-3</v>
      </c>
      <c r="U1833">
        <v>4.1999999999999997E-3</v>
      </c>
      <c r="V1833">
        <v>4.3E-3</v>
      </c>
      <c r="W1833">
        <v>4.3E-3</v>
      </c>
      <c r="X1833">
        <v>4.3E-3</v>
      </c>
      <c r="Y1833">
        <v>4.3E-3</v>
      </c>
    </row>
    <row r="1834" spans="1:25" hidden="1">
      <c r="A1834" t="s">
        <v>18810</v>
      </c>
      <c r="B1834" t="s">
        <v>924</v>
      </c>
      <c r="C1834" t="s">
        <v>925</v>
      </c>
      <c r="D1834" t="s">
        <v>926</v>
      </c>
      <c r="E1834" t="s">
        <v>927</v>
      </c>
      <c r="F1834" t="s">
        <v>598</v>
      </c>
      <c r="G1834" t="s">
        <v>478</v>
      </c>
      <c r="H1834" t="s">
        <v>600</v>
      </c>
      <c r="I1834" t="s">
        <v>601</v>
      </c>
      <c r="J1834">
        <v>2.0000000000000001E-4</v>
      </c>
      <c r="K1834">
        <v>2.0000000000000001E-4</v>
      </c>
      <c r="L1834">
        <v>2.0000000000000001E-4</v>
      </c>
      <c r="M1834">
        <v>2.0000000000000001E-4</v>
      </c>
      <c r="N1834">
        <v>2.0000000000000001E-4</v>
      </c>
      <c r="O1834">
        <v>2.0000000000000001E-4</v>
      </c>
      <c r="P1834">
        <v>2.0000000000000001E-4</v>
      </c>
      <c r="Q1834">
        <v>2.0000000000000001E-4</v>
      </c>
      <c r="R1834">
        <v>2.0000000000000001E-4</v>
      </c>
      <c r="S1834">
        <v>2.0000000000000001E-4</v>
      </c>
      <c r="T1834">
        <v>2.0000000000000001E-4</v>
      </c>
      <c r="U1834">
        <v>2.0000000000000001E-4</v>
      </c>
      <c r="V1834">
        <v>2.0000000000000001E-4</v>
      </c>
      <c r="W1834">
        <v>2.0000000000000001E-4</v>
      </c>
      <c r="X1834">
        <v>2.0000000000000001E-4</v>
      </c>
      <c r="Y1834">
        <v>2.0000000000000001E-4</v>
      </c>
    </row>
    <row r="1835" spans="1:25" hidden="1">
      <c r="A1835" t="s">
        <v>18810</v>
      </c>
      <c r="B1835" t="s">
        <v>930</v>
      </c>
      <c r="C1835" t="s">
        <v>925</v>
      </c>
      <c r="D1835" t="s">
        <v>931</v>
      </c>
      <c r="E1835" t="s">
        <v>932</v>
      </c>
      <c r="F1835" t="s">
        <v>598</v>
      </c>
      <c r="G1835" t="s">
        <v>478</v>
      </c>
      <c r="H1835" t="s">
        <v>600</v>
      </c>
      <c r="I1835" t="s">
        <v>601</v>
      </c>
      <c r="J1835">
        <v>0.1769</v>
      </c>
      <c r="K1835">
        <v>0.17849999999999999</v>
      </c>
      <c r="L1835">
        <v>0.18010000000000001</v>
      </c>
      <c r="M1835">
        <v>0.1817</v>
      </c>
      <c r="N1835">
        <v>0.18329999999999999</v>
      </c>
      <c r="O1835">
        <v>0.185</v>
      </c>
      <c r="P1835">
        <v>0.1867</v>
      </c>
      <c r="Q1835">
        <v>0.1883</v>
      </c>
      <c r="R1835">
        <v>0.19009999999999999</v>
      </c>
      <c r="S1835">
        <v>0.1918</v>
      </c>
      <c r="T1835">
        <v>0.19350000000000001</v>
      </c>
      <c r="U1835">
        <v>0.19520000000000001</v>
      </c>
      <c r="V1835">
        <v>0.1968</v>
      </c>
      <c r="W1835">
        <v>0.19869999999999999</v>
      </c>
      <c r="X1835">
        <v>0.20039999999999999</v>
      </c>
      <c r="Y1835">
        <v>0.20230000000000001</v>
      </c>
    </row>
    <row r="1836" spans="1:25" hidden="1">
      <c r="A1836" t="s">
        <v>18810</v>
      </c>
      <c r="B1836" t="s">
        <v>933</v>
      </c>
      <c r="C1836" t="s">
        <v>925</v>
      </c>
      <c r="D1836" t="s">
        <v>934</v>
      </c>
      <c r="E1836" t="s">
        <v>597</v>
      </c>
      <c r="F1836" t="s">
        <v>598</v>
      </c>
      <c r="G1836" t="s">
        <v>478</v>
      </c>
      <c r="H1836" t="s">
        <v>600</v>
      </c>
      <c r="I1836" t="s">
        <v>601</v>
      </c>
      <c r="J1836">
        <v>2.5000000000000001E-3</v>
      </c>
      <c r="K1836">
        <v>2.5999999999999999E-3</v>
      </c>
      <c r="L1836">
        <v>2.5999999999999999E-3</v>
      </c>
      <c r="M1836">
        <v>2.7000000000000001E-3</v>
      </c>
      <c r="N1836">
        <v>2.7000000000000001E-3</v>
      </c>
      <c r="O1836">
        <v>2.8E-3</v>
      </c>
      <c r="P1836">
        <v>2.8E-3</v>
      </c>
      <c r="Q1836">
        <v>2.8E-3</v>
      </c>
      <c r="R1836">
        <v>2.8E-3</v>
      </c>
      <c r="S1836">
        <v>2.8999999999999998E-3</v>
      </c>
      <c r="T1836">
        <v>2.8999999999999998E-3</v>
      </c>
      <c r="U1836">
        <v>2.8999999999999998E-3</v>
      </c>
      <c r="V1836">
        <v>3.0000000000000001E-3</v>
      </c>
      <c r="W1836">
        <v>3.0000000000000001E-3</v>
      </c>
      <c r="X1836">
        <v>3.0000000000000001E-3</v>
      </c>
      <c r="Y1836">
        <v>3.0000000000000001E-3</v>
      </c>
    </row>
    <row r="1837" spans="1:25" hidden="1">
      <c r="A1837" t="s">
        <v>18810</v>
      </c>
      <c r="B1837" t="s">
        <v>935</v>
      </c>
      <c r="C1837" t="s">
        <v>925</v>
      </c>
      <c r="D1837" t="s">
        <v>934</v>
      </c>
      <c r="E1837" t="s">
        <v>605</v>
      </c>
      <c r="F1837" t="s">
        <v>598</v>
      </c>
      <c r="G1837" t="s">
        <v>478</v>
      </c>
      <c r="H1837" t="s">
        <v>600</v>
      </c>
      <c r="I1837" t="s">
        <v>601</v>
      </c>
      <c r="J1837">
        <v>0.11849999999999999</v>
      </c>
      <c r="K1837">
        <v>0.1201</v>
      </c>
      <c r="L1837">
        <v>0.12180000000000001</v>
      </c>
      <c r="M1837">
        <v>0.1239</v>
      </c>
      <c r="N1837">
        <v>0.126</v>
      </c>
      <c r="O1837">
        <v>0.12790000000000001</v>
      </c>
      <c r="P1837">
        <v>0.13009999999999999</v>
      </c>
      <c r="Q1837">
        <v>0.1321</v>
      </c>
      <c r="R1837">
        <v>0.13400000000000001</v>
      </c>
      <c r="S1837">
        <v>0.1361</v>
      </c>
      <c r="T1837">
        <v>0.1386</v>
      </c>
      <c r="U1837">
        <v>0.14069999999999999</v>
      </c>
      <c r="V1837">
        <v>0.14269999999999999</v>
      </c>
      <c r="W1837">
        <v>0.1452</v>
      </c>
      <c r="X1837">
        <v>0.14760000000000001</v>
      </c>
      <c r="Y1837">
        <v>0.1497</v>
      </c>
    </row>
    <row r="1838" spans="1:25" hidden="1">
      <c r="A1838" t="s">
        <v>18810</v>
      </c>
      <c r="B1838" t="s">
        <v>938</v>
      </c>
      <c r="C1838" t="s">
        <v>925</v>
      </c>
      <c r="D1838" t="s">
        <v>934</v>
      </c>
      <c r="E1838" t="s">
        <v>768</v>
      </c>
      <c r="F1838" t="s">
        <v>598</v>
      </c>
      <c r="G1838" t="s">
        <v>478</v>
      </c>
      <c r="H1838" t="s">
        <v>600</v>
      </c>
      <c r="I1838" t="s">
        <v>601</v>
      </c>
      <c r="J1838">
        <v>2.0000000000000001E-4</v>
      </c>
      <c r="K1838">
        <v>2.0000000000000001E-4</v>
      </c>
      <c r="L1838">
        <v>2.0000000000000001E-4</v>
      </c>
      <c r="M1838">
        <v>2.0000000000000001E-4</v>
      </c>
      <c r="N1838">
        <v>2.0000000000000001E-4</v>
      </c>
      <c r="O1838">
        <v>2.0000000000000001E-4</v>
      </c>
      <c r="P1838">
        <v>2.0000000000000001E-4</v>
      </c>
      <c r="Q1838">
        <v>2.0000000000000001E-4</v>
      </c>
      <c r="R1838">
        <v>2.0000000000000001E-4</v>
      </c>
      <c r="S1838">
        <v>2.0000000000000001E-4</v>
      </c>
      <c r="T1838">
        <v>2.0000000000000001E-4</v>
      </c>
      <c r="U1838">
        <v>2.0000000000000001E-4</v>
      </c>
      <c r="V1838">
        <v>2.0000000000000001E-4</v>
      </c>
      <c r="W1838">
        <v>2.0000000000000001E-4</v>
      </c>
      <c r="X1838">
        <v>2.0000000000000001E-4</v>
      </c>
      <c r="Y1838">
        <v>2.0000000000000001E-4</v>
      </c>
    </row>
    <row r="1839" spans="1:25" hidden="1">
      <c r="A1839" t="s">
        <v>18810</v>
      </c>
      <c r="B1839" t="s">
        <v>939</v>
      </c>
      <c r="C1839" t="s">
        <v>925</v>
      </c>
      <c r="D1839" t="s">
        <v>648</v>
      </c>
      <c r="E1839" t="s">
        <v>597</v>
      </c>
      <c r="F1839" t="s">
        <v>598</v>
      </c>
      <c r="G1839" t="s">
        <v>478</v>
      </c>
      <c r="H1839" t="s">
        <v>600</v>
      </c>
      <c r="I1839" t="s">
        <v>601</v>
      </c>
      <c r="J1839">
        <v>7.1000000000000004E-3</v>
      </c>
      <c r="K1839">
        <v>7.1999999999999998E-3</v>
      </c>
      <c r="L1839">
        <v>7.1999999999999998E-3</v>
      </c>
      <c r="M1839">
        <v>7.3000000000000001E-3</v>
      </c>
      <c r="N1839">
        <v>7.3000000000000001E-3</v>
      </c>
      <c r="O1839">
        <v>7.4000000000000003E-3</v>
      </c>
      <c r="P1839">
        <v>7.4999999999999997E-3</v>
      </c>
      <c r="Q1839">
        <v>7.6E-3</v>
      </c>
      <c r="R1839">
        <v>7.6E-3</v>
      </c>
      <c r="S1839">
        <v>7.7000000000000002E-3</v>
      </c>
      <c r="T1839">
        <v>7.7999999999999996E-3</v>
      </c>
      <c r="U1839">
        <v>7.7999999999999996E-3</v>
      </c>
      <c r="V1839">
        <v>7.9000000000000008E-3</v>
      </c>
      <c r="W1839">
        <v>8.0000000000000002E-3</v>
      </c>
      <c r="X1839">
        <v>8.0000000000000002E-3</v>
      </c>
      <c r="Y1839">
        <v>8.0999999999999996E-3</v>
      </c>
    </row>
    <row r="1840" spans="1:25" hidden="1">
      <c r="A1840" t="s">
        <v>18810</v>
      </c>
      <c r="B1840" t="s">
        <v>945</v>
      </c>
      <c r="C1840" t="s">
        <v>943</v>
      </c>
      <c r="D1840" t="s">
        <v>946</v>
      </c>
      <c r="E1840" t="s">
        <v>613</v>
      </c>
      <c r="F1840" t="s">
        <v>598</v>
      </c>
      <c r="G1840" t="s">
        <v>478</v>
      </c>
      <c r="H1840" t="s">
        <v>600</v>
      </c>
      <c r="I1840" t="s">
        <v>601</v>
      </c>
      <c r="J1840">
        <v>1E-4</v>
      </c>
      <c r="K1840">
        <v>1E-4</v>
      </c>
      <c r="L1840">
        <v>1E-4</v>
      </c>
      <c r="M1840">
        <v>1E-4</v>
      </c>
      <c r="N1840">
        <v>1E-4</v>
      </c>
      <c r="O1840">
        <v>1E-4</v>
      </c>
      <c r="P1840">
        <v>1E-4</v>
      </c>
      <c r="Q1840">
        <v>1E-4</v>
      </c>
      <c r="R1840">
        <v>1E-4</v>
      </c>
      <c r="S1840">
        <v>1E-4</v>
      </c>
      <c r="T1840">
        <v>1E-4</v>
      </c>
      <c r="U1840">
        <v>1E-4</v>
      </c>
      <c r="V1840">
        <v>1E-4</v>
      </c>
      <c r="W1840">
        <v>1E-4</v>
      </c>
      <c r="X1840">
        <v>1E-4</v>
      </c>
      <c r="Y1840">
        <v>1E-4</v>
      </c>
    </row>
    <row r="1841" spans="1:25" hidden="1">
      <c r="A1841" t="s">
        <v>18810</v>
      </c>
      <c r="B1841" t="s">
        <v>947</v>
      </c>
      <c r="C1841" t="s">
        <v>943</v>
      </c>
      <c r="D1841" t="s">
        <v>946</v>
      </c>
      <c r="E1841" t="s">
        <v>948</v>
      </c>
      <c r="F1841" t="s">
        <v>598</v>
      </c>
      <c r="G1841" t="s">
        <v>478</v>
      </c>
      <c r="H1841" t="s">
        <v>600</v>
      </c>
      <c r="I1841" t="s">
        <v>601</v>
      </c>
      <c r="J1841">
        <v>1.26E-2</v>
      </c>
      <c r="K1841">
        <v>1.2699999999999999E-2</v>
      </c>
      <c r="L1841">
        <v>1.2800000000000001E-2</v>
      </c>
      <c r="M1841">
        <v>1.29E-2</v>
      </c>
      <c r="N1841">
        <v>1.2999999999999999E-2</v>
      </c>
      <c r="O1841">
        <v>1.3100000000000001E-2</v>
      </c>
      <c r="P1841">
        <v>1.32E-2</v>
      </c>
      <c r="Q1841">
        <v>1.3299999999999999E-2</v>
      </c>
      <c r="R1841">
        <v>1.34E-2</v>
      </c>
      <c r="S1841">
        <v>1.3599999999999999E-2</v>
      </c>
      <c r="T1841">
        <v>1.37E-2</v>
      </c>
      <c r="U1841">
        <v>1.38E-2</v>
      </c>
      <c r="V1841">
        <v>1.38E-2</v>
      </c>
      <c r="W1841">
        <v>1.4E-2</v>
      </c>
      <c r="X1841">
        <v>1.41E-2</v>
      </c>
      <c r="Y1841">
        <v>1.4E-2</v>
      </c>
    </row>
    <row r="1842" spans="1:25" hidden="1">
      <c r="A1842" t="s">
        <v>18810</v>
      </c>
      <c r="B1842" t="s">
        <v>953</v>
      </c>
      <c r="C1842" t="s">
        <v>943</v>
      </c>
      <c r="D1842" t="s">
        <v>648</v>
      </c>
      <c r="E1842" t="s">
        <v>954</v>
      </c>
      <c r="F1842" t="s">
        <v>598</v>
      </c>
      <c r="G1842" t="s">
        <v>478</v>
      </c>
      <c r="H1842" t="s">
        <v>600</v>
      </c>
      <c r="I1842" t="s">
        <v>601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</row>
    <row r="1843" spans="1:25" hidden="1">
      <c r="A1843" t="s">
        <v>18810</v>
      </c>
      <c r="B1843" t="s">
        <v>955</v>
      </c>
      <c r="C1843" t="s">
        <v>956</v>
      </c>
      <c r="D1843" t="s">
        <v>931</v>
      </c>
      <c r="E1843" t="s">
        <v>597</v>
      </c>
      <c r="F1843" t="s">
        <v>598</v>
      </c>
      <c r="G1843" t="s">
        <v>478</v>
      </c>
      <c r="H1843" t="s">
        <v>600</v>
      </c>
      <c r="I1843" t="s">
        <v>601</v>
      </c>
      <c r="J1843">
        <v>0.24679999999999999</v>
      </c>
      <c r="K1843">
        <v>0.24879999999999999</v>
      </c>
      <c r="L1843">
        <v>0.25069999999999998</v>
      </c>
      <c r="M1843">
        <v>0.25319999999999998</v>
      </c>
      <c r="N1843">
        <v>0.25519999999999998</v>
      </c>
      <c r="O1843">
        <v>0.25779999999999997</v>
      </c>
      <c r="P1843">
        <v>0.26</v>
      </c>
      <c r="Q1843">
        <v>0.26240000000000002</v>
      </c>
      <c r="R1843">
        <v>0.26429999999999998</v>
      </c>
      <c r="S1843">
        <v>0.26700000000000002</v>
      </c>
      <c r="T1843">
        <v>0.26919999999999999</v>
      </c>
      <c r="U1843">
        <v>0.2712</v>
      </c>
      <c r="V1843">
        <v>0.27429999999999999</v>
      </c>
      <c r="W1843">
        <v>0.27679999999999999</v>
      </c>
      <c r="X1843">
        <v>0.27889999999999998</v>
      </c>
      <c r="Y1843">
        <v>0.28189999999999998</v>
      </c>
    </row>
    <row r="1844" spans="1:25" hidden="1">
      <c r="A1844" t="s">
        <v>18810</v>
      </c>
      <c r="B1844" t="s">
        <v>959</v>
      </c>
      <c r="C1844" t="s">
        <v>956</v>
      </c>
      <c r="D1844" t="s">
        <v>931</v>
      </c>
      <c r="E1844" t="s">
        <v>613</v>
      </c>
      <c r="F1844" t="s">
        <v>598</v>
      </c>
      <c r="G1844" t="s">
        <v>478</v>
      </c>
      <c r="H1844" t="s">
        <v>600</v>
      </c>
      <c r="I1844" t="s">
        <v>601</v>
      </c>
      <c r="J1844">
        <v>1.5100000000000001E-2</v>
      </c>
      <c r="K1844">
        <v>1.5100000000000001E-2</v>
      </c>
      <c r="L1844">
        <v>1.5100000000000001E-2</v>
      </c>
      <c r="M1844">
        <v>1.52E-2</v>
      </c>
      <c r="N1844">
        <v>1.5699999999999999E-2</v>
      </c>
      <c r="O1844">
        <v>1.5699999999999999E-2</v>
      </c>
      <c r="P1844">
        <v>1.5699999999999999E-2</v>
      </c>
      <c r="Q1844">
        <v>1.5900000000000001E-2</v>
      </c>
      <c r="R1844">
        <v>1.5900000000000001E-2</v>
      </c>
      <c r="S1844">
        <v>1.6E-2</v>
      </c>
      <c r="T1844">
        <v>1.6400000000000001E-2</v>
      </c>
      <c r="U1844">
        <v>1.6400000000000001E-2</v>
      </c>
      <c r="V1844">
        <v>1.6400000000000001E-2</v>
      </c>
      <c r="W1844">
        <v>1.66E-2</v>
      </c>
      <c r="X1844">
        <v>1.67E-2</v>
      </c>
      <c r="Y1844">
        <v>1.6799999999999999E-2</v>
      </c>
    </row>
    <row r="1845" spans="1:25" hidden="1">
      <c r="A1845" t="s">
        <v>18810</v>
      </c>
      <c r="B1845" t="s">
        <v>960</v>
      </c>
      <c r="C1845" t="s">
        <v>956</v>
      </c>
      <c r="D1845" t="s">
        <v>931</v>
      </c>
      <c r="E1845" t="s">
        <v>961</v>
      </c>
      <c r="F1845" t="s">
        <v>598</v>
      </c>
      <c r="G1845" t="s">
        <v>478</v>
      </c>
      <c r="H1845" t="s">
        <v>600</v>
      </c>
      <c r="I1845" t="s">
        <v>601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25" hidden="1">
      <c r="A1846" t="s">
        <v>18810</v>
      </c>
      <c r="B1846" t="s">
        <v>963</v>
      </c>
      <c r="C1846" t="s">
        <v>956</v>
      </c>
      <c r="D1846" t="s">
        <v>934</v>
      </c>
      <c r="E1846" t="s">
        <v>597</v>
      </c>
      <c r="F1846" t="s">
        <v>598</v>
      </c>
      <c r="G1846" t="s">
        <v>478</v>
      </c>
      <c r="H1846" t="s">
        <v>600</v>
      </c>
      <c r="I1846" t="s">
        <v>601</v>
      </c>
      <c r="J1846">
        <v>8.9999999999999993E-3</v>
      </c>
      <c r="K1846">
        <v>9.1999999999999998E-3</v>
      </c>
      <c r="L1846">
        <v>9.1999999999999998E-3</v>
      </c>
      <c r="M1846">
        <v>9.4000000000000004E-3</v>
      </c>
      <c r="N1846">
        <v>9.4999999999999998E-3</v>
      </c>
      <c r="O1846">
        <v>9.7000000000000003E-3</v>
      </c>
      <c r="P1846">
        <v>9.7999999999999997E-3</v>
      </c>
      <c r="Q1846">
        <v>9.9000000000000008E-3</v>
      </c>
      <c r="R1846">
        <v>9.9000000000000008E-3</v>
      </c>
      <c r="S1846">
        <v>1.0200000000000001E-2</v>
      </c>
      <c r="T1846">
        <v>1.0200000000000001E-2</v>
      </c>
      <c r="U1846">
        <v>1.04E-2</v>
      </c>
      <c r="V1846">
        <v>1.04E-2</v>
      </c>
      <c r="W1846">
        <v>1.06E-2</v>
      </c>
      <c r="X1846">
        <v>1.06E-2</v>
      </c>
      <c r="Y1846">
        <v>1.0699999999999999E-2</v>
      </c>
    </row>
    <row r="1847" spans="1:25" hidden="1">
      <c r="A1847" t="s">
        <v>18810</v>
      </c>
      <c r="B1847" t="s">
        <v>964</v>
      </c>
      <c r="C1847" t="s">
        <v>956</v>
      </c>
      <c r="D1847" t="s">
        <v>934</v>
      </c>
      <c r="E1847" t="s">
        <v>605</v>
      </c>
      <c r="F1847" t="s">
        <v>598</v>
      </c>
      <c r="G1847" t="s">
        <v>478</v>
      </c>
      <c r="H1847" t="s">
        <v>600</v>
      </c>
      <c r="I1847" t="s">
        <v>601</v>
      </c>
      <c r="J1847">
        <v>0.54090000000000005</v>
      </c>
      <c r="K1847">
        <v>0.5413</v>
      </c>
      <c r="L1847">
        <v>0.54179999999999995</v>
      </c>
      <c r="M1847">
        <v>0.54159999999999997</v>
      </c>
      <c r="N1847">
        <v>0.54220000000000002</v>
      </c>
      <c r="O1847">
        <v>0.54239999999999999</v>
      </c>
      <c r="P1847">
        <v>0.54239999999999999</v>
      </c>
      <c r="Q1847">
        <v>0.54179999999999995</v>
      </c>
      <c r="R1847">
        <v>0.5413</v>
      </c>
      <c r="S1847">
        <v>0.54079999999999995</v>
      </c>
      <c r="T1847">
        <v>0.53990000000000005</v>
      </c>
      <c r="U1847">
        <v>0.53910000000000002</v>
      </c>
      <c r="V1847">
        <v>0.5373</v>
      </c>
      <c r="W1847">
        <v>0.53590000000000004</v>
      </c>
      <c r="X1847">
        <v>0.53439999999999999</v>
      </c>
      <c r="Y1847">
        <v>0.53249999999999997</v>
      </c>
    </row>
    <row r="1848" spans="1:25" hidden="1">
      <c r="A1848" t="s">
        <v>18810</v>
      </c>
      <c r="B1848" t="s">
        <v>966</v>
      </c>
      <c r="C1848" t="s">
        <v>956</v>
      </c>
      <c r="D1848" t="s">
        <v>648</v>
      </c>
      <c r="E1848" t="s">
        <v>597</v>
      </c>
      <c r="F1848" t="s">
        <v>598</v>
      </c>
      <c r="G1848" t="s">
        <v>478</v>
      </c>
      <c r="H1848" t="s">
        <v>600</v>
      </c>
      <c r="I1848" t="s">
        <v>601</v>
      </c>
      <c r="J1848">
        <v>9.1999999999999998E-3</v>
      </c>
      <c r="K1848">
        <v>9.1999999999999998E-3</v>
      </c>
      <c r="L1848">
        <v>9.4000000000000004E-3</v>
      </c>
      <c r="M1848">
        <v>9.4000000000000004E-3</v>
      </c>
      <c r="N1848">
        <v>9.4000000000000004E-3</v>
      </c>
      <c r="O1848">
        <v>9.5999999999999992E-3</v>
      </c>
      <c r="P1848">
        <v>9.5999999999999992E-3</v>
      </c>
      <c r="Q1848">
        <v>9.7000000000000003E-3</v>
      </c>
      <c r="R1848">
        <v>9.9000000000000008E-3</v>
      </c>
      <c r="S1848">
        <v>0.01</v>
      </c>
      <c r="T1848">
        <v>0.01</v>
      </c>
      <c r="U1848">
        <v>1.01E-2</v>
      </c>
      <c r="V1848">
        <v>1.0200000000000001E-2</v>
      </c>
      <c r="W1848">
        <v>1.03E-2</v>
      </c>
      <c r="X1848">
        <v>1.03E-2</v>
      </c>
      <c r="Y1848">
        <v>1.04E-2</v>
      </c>
    </row>
    <row r="1849" spans="1:25" hidden="1">
      <c r="A1849" t="s">
        <v>18810</v>
      </c>
      <c r="B1849" t="s">
        <v>967</v>
      </c>
      <c r="C1849" t="s">
        <v>956</v>
      </c>
      <c r="D1849" t="s">
        <v>648</v>
      </c>
      <c r="E1849" t="s">
        <v>642</v>
      </c>
      <c r="F1849" t="s">
        <v>598</v>
      </c>
      <c r="G1849" t="s">
        <v>478</v>
      </c>
      <c r="H1849" t="s">
        <v>600</v>
      </c>
      <c r="I1849" t="s">
        <v>601</v>
      </c>
      <c r="J1849">
        <v>1E-4</v>
      </c>
      <c r="K1849">
        <v>1E-4</v>
      </c>
      <c r="L1849">
        <v>1E-4</v>
      </c>
      <c r="M1849">
        <v>1E-4</v>
      </c>
      <c r="N1849">
        <v>1E-4</v>
      </c>
      <c r="O1849">
        <v>1E-4</v>
      </c>
      <c r="P1849">
        <v>1E-4</v>
      </c>
      <c r="Q1849">
        <v>1E-4</v>
      </c>
      <c r="R1849">
        <v>1E-4</v>
      </c>
      <c r="S1849">
        <v>1E-4</v>
      </c>
      <c r="T1849">
        <v>1E-4</v>
      </c>
      <c r="U1849">
        <v>1E-4</v>
      </c>
      <c r="V1849">
        <v>1E-4</v>
      </c>
      <c r="W1849">
        <v>1E-4</v>
      </c>
      <c r="X1849">
        <v>1E-4</v>
      </c>
      <c r="Y1849">
        <v>1E-4</v>
      </c>
    </row>
    <row r="1850" spans="1:25" hidden="1">
      <c r="A1850" t="s">
        <v>18810</v>
      </c>
      <c r="B1850" t="s">
        <v>968</v>
      </c>
      <c r="C1850" t="s">
        <v>956</v>
      </c>
      <c r="D1850" t="s">
        <v>648</v>
      </c>
      <c r="E1850" t="s">
        <v>961</v>
      </c>
      <c r="F1850" t="s">
        <v>598</v>
      </c>
      <c r="G1850" t="s">
        <v>478</v>
      </c>
      <c r="H1850" t="s">
        <v>600</v>
      </c>
      <c r="I1850" t="s">
        <v>601</v>
      </c>
      <c r="J1850">
        <v>1.8700000000000001E-2</v>
      </c>
      <c r="K1850">
        <v>1.9E-2</v>
      </c>
      <c r="L1850">
        <v>1.9199999999999998E-2</v>
      </c>
      <c r="M1850">
        <v>1.9400000000000001E-2</v>
      </c>
      <c r="N1850">
        <v>1.9699999999999999E-2</v>
      </c>
      <c r="O1850">
        <v>2.01E-2</v>
      </c>
      <c r="P1850">
        <v>2.0299999999999999E-2</v>
      </c>
      <c r="Q1850">
        <v>2.0500000000000001E-2</v>
      </c>
      <c r="R1850">
        <v>2.0799999999999999E-2</v>
      </c>
      <c r="S1850">
        <v>2.1000000000000001E-2</v>
      </c>
      <c r="T1850">
        <v>2.12E-2</v>
      </c>
      <c r="U1850">
        <v>2.1499999999999998E-2</v>
      </c>
      <c r="V1850">
        <v>2.1700000000000001E-2</v>
      </c>
      <c r="W1850">
        <v>2.1999999999999999E-2</v>
      </c>
      <c r="X1850">
        <v>2.24E-2</v>
      </c>
      <c r="Y1850">
        <v>2.2599999999999999E-2</v>
      </c>
    </row>
    <row r="1851" spans="1:25" hidden="1">
      <c r="A1851" t="s">
        <v>18810</v>
      </c>
      <c r="B1851" t="s">
        <v>970</v>
      </c>
      <c r="C1851" t="s">
        <v>971</v>
      </c>
      <c r="D1851" t="s">
        <v>972</v>
      </c>
      <c r="E1851" t="s">
        <v>973</v>
      </c>
      <c r="F1851" t="s">
        <v>598</v>
      </c>
      <c r="G1851" t="s">
        <v>478</v>
      </c>
      <c r="H1851" t="s">
        <v>600</v>
      </c>
      <c r="I1851" t="s">
        <v>601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</row>
    <row r="1852" spans="1:25" hidden="1">
      <c r="A1852" t="s">
        <v>18810</v>
      </c>
      <c r="B1852" t="s">
        <v>974</v>
      </c>
      <c r="C1852" t="s">
        <v>971</v>
      </c>
      <c r="D1852" t="s">
        <v>648</v>
      </c>
      <c r="E1852" t="s">
        <v>973</v>
      </c>
      <c r="F1852" t="s">
        <v>598</v>
      </c>
      <c r="G1852" t="s">
        <v>478</v>
      </c>
      <c r="H1852" t="s">
        <v>600</v>
      </c>
      <c r="I1852" t="s">
        <v>601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</row>
    <row r="1853" spans="1:25" hidden="1">
      <c r="A1853" t="s">
        <v>18810</v>
      </c>
      <c r="B1853" t="s">
        <v>977</v>
      </c>
      <c r="C1853" t="s">
        <v>971</v>
      </c>
      <c r="D1853" t="s">
        <v>648</v>
      </c>
      <c r="E1853" t="s">
        <v>613</v>
      </c>
      <c r="F1853" t="s">
        <v>598</v>
      </c>
      <c r="G1853" t="s">
        <v>478</v>
      </c>
      <c r="H1853" t="s">
        <v>600</v>
      </c>
      <c r="I1853" t="s">
        <v>601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</row>
    <row r="1854" spans="1:25" hidden="1">
      <c r="A1854" t="s">
        <v>18810</v>
      </c>
      <c r="B1854" t="s">
        <v>978</v>
      </c>
      <c r="C1854" t="s">
        <v>971</v>
      </c>
      <c r="D1854" t="s">
        <v>648</v>
      </c>
      <c r="E1854" t="s">
        <v>927</v>
      </c>
      <c r="F1854" t="s">
        <v>598</v>
      </c>
      <c r="G1854" t="s">
        <v>478</v>
      </c>
      <c r="H1854" t="s">
        <v>600</v>
      </c>
      <c r="I1854" t="s">
        <v>601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hidden="1">
      <c r="A1855" t="s">
        <v>18810</v>
      </c>
      <c r="B1855" t="s">
        <v>981</v>
      </c>
      <c r="C1855" t="s">
        <v>980</v>
      </c>
      <c r="D1855" t="s">
        <v>982</v>
      </c>
      <c r="E1855" t="s">
        <v>613</v>
      </c>
      <c r="F1855" t="s">
        <v>598</v>
      </c>
      <c r="G1855" t="s">
        <v>478</v>
      </c>
      <c r="H1855" t="s">
        <v>600</v>
      </c>
      <c r="I1855" t="s">
        <v>601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</row>
    <row r="1856" spans="1:25" hidden="1">
      <c r="A1856" t="s">
        <v>18810</v>
      </c>
      <c r="B1856" t="s">
        <v>983</v>
      </c>
      <c r="C1856" t="s">
        <v>980</v>
      </c>
      <c r="D1856" t="s">
        <v>982</v>
      </c>
      <c r="E1856" t="s">
        <v>984</v>
      </c>
      <c r="F1856" t="s">
        <v>598</v>
      </c>
      <c r="G1856" t="s">
        <v>478</v>
      </c>
      <c r="H1856" t="s">
        <v>600</v>
      </c>
      <c r="I1856" t="s">
        <v>601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hidden="1">
      <c r="A1857" t="s">
        <v>18810</v>
      </c>
      <c r="B1857" t="s">
        <v>985</v>
      </c>
      <c r="C1857" t="s">
        <v>980</v>
      </c>
      <c r="D1857" t="s">
        <v>986</v>
      </c>
      <c r="E1857" t="s">
        <v>973</v>
      </c>
      <c r="F1857" t="s">
        <v>598</v>
      </c>
      <c r="G1857" t="s">
        <v>478</v>
      </c>
      <c r="H1857" t="s">
        <v>600</v>
      </c>
      <c r="I1857" t="s">
        <v>601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</row>
    <row r="1858" spans="1:25" hidden="1">
      <c r="A1858" t="s">
        <v>18810</v>
      </c>
      <c r="B1858" t="s">
        <v>988</v>
      </c>
      <c r="C1858" t="s">
        <v>980</v>
      </c>
      <c r="D1858" t="s">
        <v>648</v>
      </c>
      <c r="E1858" t="s">
        <v>920</v>
      </c>
      <c r="F1858" t="s">
        <v>598</v>
      </c>
      <c r="G1858" t="s">
        <v>478</v>
      </c>
      <c r="H1858" t="s">
        <v>600</v>
      </c>
      <c r="I1858" t="s">
        <v>601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</row>
    <row r="1859" spans="1:25" hidden="1">
      <c r="A1859" t="s">
        <v>18810</v>
      </c>
      <c r="B1859" t="s">
        <v>990</v>
      </c>
      <c r="C1859" t="s">
        <v>980</v>
      </c>
      <c r="D1859" t="s">
        <v>648</v>
      </c>
      <c r="E1859" t="s">
        <v>984</v>
      </c>
      <c r="F1859" t="s">
        <v>598</v>
      </c>
      <c r="G1859" t="s">
        <v>478</v>
      </c>
      <c r="H1859" t="s">
        <v>600</v>
      </c>
      <c r="I1859" t="s">
        <v>601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hidden="1">
      <c r="A1860" t="s">
        <v>18810</v>
      </c>
      <c r="B1860" t="s">
        <v>991</v>
      </c>
      <c r="C1860" t="s">
        <v>980</v>
      </c>
      <c r="D1860" t="s">
        <v>648</v>
      </c>
      <c r="E1860" t="s">
        <v>927</v>
      </c>
      <c r="F1860" t="s">
        <v>598</v>
      </c>
      <c r="G1860" t="s">
        <v>478</v>
      </c>
      <c r="H1860" t="s">
        <v>600</v>
      </c>
      <c r="I1860" t="s">
        <v>601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hidden="1">
      <c r="A1861" t="s">
        <v>18810</v>
      </c>
      <c r="B1861" t="s">
        <v>994</v>
      </c>
      <c r="C1861" t="s">
        <v>980</v>
      </c>
      <c r="D1861" t="s">
        <v>648</v>
      </c>
      <c r="E1861" t="s">
        <v>954</v>
      </c>
      <c r="F1861" t="s">
        <v>598</v>
      </c>
      <c r="G1861" t="s">
        <v>478</v>
      </c>
      <c r="H1861" t="s">
        <v>600</v>
      </c>
      <c r="I1861" t="s">
        <v>601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hidden="1">
      <c r="A1862" t="s">
        <v>18810</v>
      </c>
      <c r="B1862" t="s">
        <v>997</v>
      </c>
      <c r="C1862" t="s">
        <v>998</v>
      </c>
      <c r="D1862" t="s">
        <v>999</v>
      </c>
      <c r="E1862" t="s">
        <v>1000</v>
      </c>
      <c r="F1862" t="s">
        <v>598</v>
      </c>
      <c r="G1862" t="s">
        <v>478</v>
      </c>
      <c r="H1862" t="s">
        <v>600</v>
      </c>
      <c r="I1862" t="s">
        <v>601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hidden="1">
      <c r="A1863" t="s">
        <v>18810</v>
      </c>
      <c r="B1863" t="s">
        <v>1001</v>
      </c>
      <c r="C1863" t="s">
        <v>998</v>
      </c>
      <c r="D1863" t="s">
        <v>999</v>
      </c>
      <c r="E1863" t="s">
        <v>1002</v>
      </c>
      <c r="F1863" t="s">
        <v>598</v>
      </c>
      <c r="G1863" t="s">
        <v>478</v>
      </c>
      <c r="H1863" t="s">
        <v>600</v>
      </c>
      <c r="I1863" t="s">
        <v>601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hidden="1">
      <c r="A1864" t="s">
        <v>18810</v>
      </c>
      <c r="B1864" t="s">
        <v>1005</v>
      </c>
      <c r="C1864" t="s">
        <v>998</v>
      </c>
      <c r="D1864" t="s">
        <v>999</v>
      </c>
      <c r="E1864" t="s">
        <v>1006</v>
      </c>
      <c r="F1864" t="s">
        <v>598</v>
      </c>
      <c r="G1864" t="s">
        <v>478</v>
      </c>
      <c r="H1864" t="s">
        <v>600</v>
      </c>
      <c r="I1864" t="s">
        <v>601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hidden="1">
      <c r="A1865" t="s">
        <v>18810</v>
      </c>
      <c r="B1865" t="s">
        <v>1009</v>
      </c>
      <c r="C1865" t="s">
        <v>998</v>
      </c>
      <c r="D1865" t="s">
        <v>999</v>
      </c>
      <c r="E1865" t="s">
        <v>1010</v>
      </c>
      <c r="F1865" t="s">
        <v>598</v>
      </c>
      <c r="G1865" t="s">
        <v>478</v>
      </c>
      <c r="H1865" t="s">
        <v>600</v>
      </c>
      <c r="I1865" t="s">
        <v>601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</row>
    <row r="1866" spans="1:25" hidden="1">
      <c r="A1866" t="s">
        <v>18810</v>
      </c>
      <c r="B1866" t="s">
        <v>1011</v>
      </c>
      <c r="C1866" t="s">
        <v>998</v>
      </c>
      <c r="D1866" t="s">
        <v>1012</v>
      </c>
      <c r="E1866" t="s">
        <v>1004</v>
      </c>
      <c r="F1866" t="s">
        <v>598</v>
      </c>
      <c r="G1866" t="s">
        <v>478</v>
      </c>
      <c r="H1866" t="s">
        <v>600</v>
      </c>
      <c r="I1866" t="s">
        <v>601</v>
      </c>
      <c r="J1866">
        <v>3.3999999999999998E-3</v>
      </c>
      <c r="K1866">
        <v>3.5000000000000001E-3</v>
      </c>
      <c r="L1866">
        <v>3.5000000000000001E-3</v>
      </c>
      <c r="M1866">
        <v>3.5000000000000001E-3</v>
      </c>
      <c r="N1866">
        <v>3.5999999999999999E-3</v>
      </c>
      <c r="O1866">
        <v>3.5999999999999999E-3</v>
      </c>
      <c r="P1866">
        <v>3.5999999999999999E-3</v>
      </c>
      <c r="Q1866">
        <v>3.7000000000000002E-3</v>
      </c>
      <c r="R1866">
        <v>3.7000000000000002E-3</v>
      </c>
      <c r="S1866">
        <v>3.7000000000000002E-3</v>
      </c>
      <c r="T1866">
        <v>3.8E-3</v>
      </c>
      <c r="U1866">
        <v>3.8E-3</v>
      </c>
      <c r="V1866">
        <v>3.8E-3</v>
      </c>
      <c r="W1866">
        <v>3.8999999999999998E-3</v>
      </c>
      <c r="X1866">
        <v>3.8999999999999998E-3</v>
      </c>
      <c r="Y1866">
        <v>3.8999999999999998E-3</v>
      </c>
    </row>
    <row r="1867" spans="1:25" hidden="1">
      <c r="A1867" t="s">
        <v>18810</v>
      </c>
      <c r="B1867" t="s">
        <v>1015</v>
      </c>
      <c r="C1867" t="s">
        <v>1016</v>
      </c>
      <c r="D1867" t="s">
        <v>1017</v>
      </c>
      <c r="E1867" t="s">
        <v>1018</v>
      </c>
      <c r="F1867" t="s">
        <v>598</v>
      </c>
      <c r="G1867" t="s">
        <v>478</v>
      </c>
      <c r="H1867" t="s">
        <v>600</v>
      </c>
      <c r="I1867" t="s">
        <v>601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hidden="1">
      <c r="A1868" t="s">
        <v>18810</v>
      </c>
      <c r="B1868" t="s">
        <v>1019</v>
      </c>
      <c r="C1868" t="s">
        <v>1016</v>
      </c>
      <c r="D1868" t="s">
        <v>1017</v>
      </c>
      <c r="E1868" t="s">
        <v>1020</v>
      </c>
      <c r="F1868" t="s">
        <v>598</v>
      </c>
      <c r="G1868" t="s">
        <v>478</v>
      </c>
      <c r="H1868" t="s">
        <v>600</v>
      </c>
      <c r="I1868" t="s">
        <v>601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hidden="1">
      <c r="A1869" t="s">
        <v>18810</v>
      </c>
      <c r="B1869" t="s">
        <v>1025</v>
      </c>
      <c r="C1869" t="s">
        <v>1016</v>
      </c>
      <c r="D1869" t="s">
        <v>1017</v>
      </c>
      <c r="E1869" t="s">
        <v>1026</v>
      </c>
      <c r="F1869" t="s">
        <v>598</v>
      </c>
      <c r="G1869" t="s">
        <v>478</v>
      </c>
      <c r="H1869" t="s">
        <v>600</v>
      </c>
      <c r="I1869" t="s">
        <v>601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hidden="1">
      <c r="A1870" t="s">
        <v>18810</v>
      </c>
      <c r="B1870" t="s">
        <v>1029</v>
      </c>
      <c r="C1870" t="s">
        <v>1016</v>
      </c>
      <c r="D1870" t="s">
        <v>1017</v>
      </c>
      <c r="E1870" t="s">
        <v>1030</v>
      </c>
      <c r="F1870" t="s">
        <v>598</v>
      </c>
      <c r="G1870" t="s">
        <v>478</v>
      </c>
      <c r="H1870" t="s">
        <v>600</v>
      </c>
      <c r="I1870" t="s">
        <v>601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hidden="1">
      <c r="A1871" t="s">
        <v>18810</v>
      </c>
      <c r="B1871" t="s">
        <v>1031</v>
      </c>
      <c r="C1871" t="s">
        <v>1016</v>
      </c>
      <c r="D1871" t="s">
        <v>1017</v>
      </c>
      <c r="E1871" t="s">
        <v>630</v>
      </c>
      <c r="F1871" t="s">
        <v>598</v>
      </c>
      <c r="G1871" t="s">
        <v>478</v>
      </c>
      <c r="H1871" t="s">
        <v>600</v>
      </c>
      <c r="I1871" t="s">
        <v>601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hidden="1">
      <c r="A1872" t="s">
        <v>18810</v>
      </c>
      <c r="B1872" t="s">
        <v>1032</v>
      </c>
      <c r="C1872" t="s">
        <v>1016</v>
      </c>
      <c r="D1872" t="s">
        <v>1017</v>
      </c>
      <c r="E1872" t="s">
        <v>1033</v>
      </c>
      <c r="F1872" t="s">
        <v>598</v>
      </c>
      <c r="G1872" t="s">
        <v>478</v>
      </c>
      <c r="H1872" t="s">
        <v>600</v>
      </c>
      <c r="I1872" t="s">
        <v>601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hidden="1">
      <c r="A1873" t="s">
        <v>18810</v>
      </c>
      <c r="B1873" t="s">
        <v>1034</v>
      </c>
      <c r="C1873" t="s">
        <v>1016</v>
      </c>
      <c r="D1873" t="s">
        <v>1017</v>
      </c>
      <c r="E1873" t="s">
        <v>1035</v>
      </c>
      <c r="F1873" t="s">
        <v>598</v>
      </c>
      <c r="G1873" t="s">
        <v>478</v>
      </c>
      <c r="H1873" t="s">
        <v>600</v>
      </c>
      <c r="I1873" t="s">
        <v>601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hidden="1">
      <c r="A1874" t="s">
        <v>18810</v>
      </c>
      <c r="B1874" t="s">
        <v>1036</v>
      </c>
      <c r="C1874" t="s">
        <v>1016</v>
      </c>
      <c r="D1874" t="s">
        <v>1017</v>
      </c>
      <c r="E1874" t="s">
        <v>1000</v>
      </c>
      <c r="F1874" t="s">
        <v>598</v>
      </c>
      <c r="G1874" t="s">
        <v>478</v>
      </c>
      <c r="H1874" t="s">
        <v>600</v>
      </c>
      <c r="I1874" t="s">
        <v>601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hidden="1">
      <c r="A1875" t="s">
        <v>18810</v>
      </c>
      <c r="B1875" t="s">
        <v>1041</v>
      </c>
      <c r="C1875" t="s">
        <v>1016</v>
      </c>
      <c r="D1875" t="s">
        <v>1017</v>
      </c>
      <c r="E1875" t="s">
        <v>1042</v>
      </c>
      <c r="F1875" t="s">
        <v>598</v>
      </c>
      <c r="G1875" t="s">
        <v>478</v>
      </c>
      <c r="H1875" t="s">
        <v>600</v>
      </c>
      <c r="I1875" t="s">
        <v>601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hidden="1">
      <c r="A1876" t="s">
        <v>18810</v>
      </c>
      <c r="B1876" t="s">
        <v>1043</v>
      </c>
      <c r="C1876" t="s">
        <v>1016</v>
      </c>
      <c r="D1876" t="s">
        <v>1017</v>
      </c>
      <c r="E1876" t="s">
        <v>1044</v>
      </c>
      <c r="F1876" t="s">
        <v>598</v>
      </c>
      <c r="G1876" t="s">
        <v>478</v>
      </c>
      <c r="H1876" t="s">
        <v>600</v>
      </c>
      <c r="I1876" t="s">
        <v>601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hidden="1">
      <c r="A1877" t="s">
        <v>18810</v>
      </c>
      <c r="B1877" t="s">
        <v>1047</v>
      </c>
      <c r="C1877" t="s">
        <v>1016</v>
      </c>
      <c r="D1877" t="s">
        <v>1017</v>
      </c>
      <c r="E1877" t="s">
        <v>1048</v>
      </c>
      <c r="F1877" t="s">
        <v>598</v>
      </c>
      <c r="G1877" t="s">
        <v>478</v>
      </c>
      <c r="H1877" t="s">
        <v>600</v>
      </c>
      <c r="I1877" t="s">
        <v>601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hidden="1">
      <c r="A1878" t="s">
        <v>18810</v>
      </c>
      <c r="B1878" t="s">
        <v>1053</v>
      </c>
      <c r="C1878" t="s">
        <v>1016</v>
      </c>
      <c r="D1878" t="s">
        <v>1050</v>
      </c>
      <c r="E1878" t="s">
        <v>1000</v>
      </c>
      <c r="F1878" t="s">
        <v>598</v>
      </c>
      <c r="G1878" t="s">
        <v>478</v>
      </c>
      <c r="H1878" t="s">
        <v>600</v>
      </c>
      <c r="I1878" t="s">
        <v>601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hidden="1">
      <c r="A1879" t="s">
        <v>18810</v>
      </c>
      <c r="B1879" t="s">
        <v>1056</v>
      </c>
      <c r="C1879" t="s">
        <v>1016</v>
      </c>
      <c r="D1879" t="s">
        <v>1050</v>
      </c>
      <c r="E1879" t="s">
        <v>1002</v>
      </c>
      <c r="F1879" t="s">
        <v>598</v>
      </c>
      <c r="G1879" t="s">
        <v>478</v>
      </c>
      <c r="H1879" t="s">
        <v>600</v>
      </c>
      <c r="I1879" t="s">
        <v>601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hidden="1">
      <c r="A1880" t="s">
        <v>18810</v>
      </c>
      <c r="B1880" t="s">
        <v>1059</v>
      </c>
      <c r="C1880" t="s">
        <v>1016</v>
      </c>
      <c r="D1880" t="s">
        <v>1050</v>
      </c>
      <c r="E1880" t="s">
        <v>1042</v>
      </c>
      <c r="F1880" t="s">
        <v>598</v>
      </c>
      <c r="G1880" t="s">
        <v>478</v>
      </c>
      <c r="H1880" t="s">
        <v>600</v>
      </c>
      <c r="I1880" t="s">
        <v>601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hidden="1">
      <c r="A1881" t="s">
        <v>18810</v>
      </c>
      <c r="B1881" t="s">
        <v>1060</v>
      </c>
      <c r="C1881" t="s">
        <v>1016</v>
      </c>
      <c r="D1881" t="s">
        <v>1050</v>
      </c>
      <c r="E1881" t="s">
        <v>1044</v>
      </c>
      <c r="F1881" t="s">
        <v>598</v>
      </c>
      <c r="G1881" t="s">
        <v>478</v>
      </c>
      <c r="H1881" t="s">
        <v>600</v>
      </c>
      <c r="I1881" t="s">
        <v>601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 hidden="1">
      <c r="A1882" t="s">
        <v>18810</v>
      </c>
      <c r="B1882" t="s">
        <v>1061</v>
      </c>
      <c r="C1882" t="s">
        <v>1016</v>
      </c>
      <c r="D1882" t="s">
        <v>1050</v>
      </c>
      <c r="E1882" t="s">
        <v>1048</v>
      </c>
      <c r="F1882" t="s">
        <v>598</v>
      </c>
      <c r="G1882" t="s">
        <v>478</v>
      </c>
      <c r="H1882" t="s">
        <v>600</v>
      </c>
      <c r="I1882" t="s">
        <v>601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hidden="1">
      <c r="A1883" t="s">
        <v>18810</v>
      </c>
      <c r="B1883" t="s">
        <v>1076</v>
      </c>
      <c r="C1883" t="s">
        <v>1016</v>
      </c>
      <c r="D1883" t="s">
        <v>1063</v>
      </c>
      <c r="E1883" t="s">
        <v>1048</v>
      </c>
      <c r="F1883" t="s">
        <v>598</v>
      </c>
      <c r="G1883" t="s">
        <v>478</v>
      </c>
      <c r="H1883" t="s">
        <v>600</v>
      </c>
      <c r="I1883" t="s">
        <v>601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hidden="1">
      <c r="A1884" t="s">
        <v>18810</v>
      </c>
      <c r="B1884" t="s">
        <v>1082</v>
      </c>
      <c r="C1884" t="s">
        <v>1079</v>
      </c>
      <c r="D1884" t="s">
        <v>1083</v>
      </c>
      <c r="E1884" t="s">
        <v>1084</v>
      </c>
      <c r="F1884" t="s">
        <v>598</v>
      </c>
      <c r="G1884" t="s">
        <v>478</v>
      </c>
      <c r="H1884" t="s">
        <v>600</v>
      </c>
      <c r="I1884" t="s">
        <v>601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 hidden="1">
      <c r="A1885" t="s">
        <v>18810</v>
      </c>
      <c r="B1885" t="s">
        <v>1085</v>
      </c>
      <c r="C1885" t="s">
        <v>1079</v>
      </c>
      <c r="D1885" t="s">
        <v>1086</v>
      </c>
      <c r="E1885" t="s">
        <v>1004</v>
      </c>
      <c r="F1885" t="s">
        <v>598</v>
      </c>
      <c r="G1885" t="s">
        <v>478</v>
      </c>
      <c r="H1885" t="s">
        <v>600</v>
      </c>
      <c r="I1885" t="s">
        <v>601</v>
      </c>
      <c r="J1885">
        <v>2.1000000000000001E-2</v>
      </c>
      <c r="K1885">
        <v>2.1100000000000001E-2</v>
      </c>
      <c r="L1885">
        <v>2.12E-2</v>
      </c>
      <c r="M1885">
        <v>2.1399999999999999E-2</v>
      </c>
      <c r="N1885">
        <v>2.1499999999999998E-2</v>
      </c>
      <c r="O1885">
        <v>2.18E-2</v>
      </c>
      <c r="P1885">
        <v>2.1999999999999999E-2</v>
      </c>
      <c r="Q1885">
        <v>2.23E-2</v>
      </c>
      <c r="R1885">
        <v>2.24E-2</v>
      </c>
      <c r="S1885">
        <v>2.24E-2</v>
      </c>
      <c r="T1885">
        <v>2.29E-2</v>
      </c>
      <c r="U1885">
        <v>2.3E-2</v>
      </c>
      <c r="V1885">
        <v>2.3300000000000001E-2</v>
      </c>
      <c r="W1885">
        <v>2.35E-2</v>
      </c>
      <c r="X1885">
        <v>2.3800000000000002E-2</v>
      </c>
      <c r="Y1885">
        <v>2.3900000000000001E-2</v>
      </c>
    </row>
    <row r="1886" spans="1:25" hidden="1">
      <c r="A1886" t="s">
        <v>18810</v>
      </c>
      <c r="B1886" t="s">
        <v>1087</v>
      </c>
      <c r="C1886" t="s">
        <v>1079</v>
      </c>
      <c r="D1886" t="s">
        <v>1086</v>
      </c>
      <c r="E1886" t="s">
        <v>1081</v>
      </c>
      <c r="F1886" t="s">
        <v>598</v>
      </c>
      <c r="G1886" t="s">
        <v>478</v>
      </c>
      <c r="H1886" t="s">
        <v>600</v>
      </c>
      <c r="I1886" t="s">
        <v>601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hidden="1">
      <c r="A1887" t="s">
        <v>18810</v>
      </c>
      <c r="B1887" t="s">
        <v>1090</v>
      </c>
      <c r="C1887" t="s">
        <v>1079</v>
      </c>
      <c r="D1887" t="s">
        <v>1086</v>
      </c>
      <c r="E1887" t="s">
        <v>1091</v>
      </c>
      <c r="F1887" t="s">
        <v>598</v>
      </c>
      <c r="G1887" t="s">
        <v>478</v>
      </c>
      <c r="H1887" t="s">
        <v>600</v>
      </c>
      <c r="I1887" t="s">
        <v>601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hidden="1">
      <c r="A1888" t="s">
        <v>18810</v>
      </c>
      <c r="B1888" t="s">
        <v>1092</v>
      </c>
      <c r="C1888" t="s">
        <v>1079</v>
      </c>
      <c r="D1888" t="s">
        <v>1086</v>
      </c>
      <c r="E1888" t="s">
        <v>1093</v>
      </c>
      <c r="F1888" t="s">
        <v>598</v>
      </c>
      <c r="G1888" t="s">
        <v>478</v>
      </c>
      <c r="H1888" t="s">
        <v>600</v>
      </c>
      <c r="I1888" t="s">
        <v>601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 hidden="1">
      <c r="A1889" t="s">
        <v>18810</v>
      </c>
      <c r="B1889" t="s">
        <v>1096</v>
      </c>
      <c r="C1889" t="s">
        <v>1079</v>
      </c>
      <c r="D1889" t="s">
        <v>1086</v>
      </c>
      <c r="E1889" t="s">
        <v>1097</v>
      </c>
      <c r="F1889" t="s">
        <v>598</v>
      </c>
      <c r="G1889" t="s">
        <v>478</v>
      </c>
      <c r="H1889" t="s">
        <v>600</v>
      </c>
      <c r="I1889" t="s">
        <v>601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hidden="1">
      <c r="A1890" t="s">
        <v>18810</v>
      </c>
      <c r="B1890" t="s">
        <v>1098</v>
      </c>
      <c r="C1890" t="s">
        <v>1079</v>
      </c>
      <c r="D1890" t="s">
        <v>1086</v>
      </c>
      <c r="E1890" t="s">
        <v>1099</v>
      </c>
      <c r="F1890" t="s">
        <v>598</v>
      </c>
      <c r="G1890" t="s">
        <v>478</v>
      </c>
      <c r="H1890" t="s">
        <v>600</v>
      </c>
      <c r="I1890" t="s">
        <v>601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hidden="1">
      <c r="A1891" t="s">
        <v>18810</v>
      </c>
      <c r="B1891" t="s">
        <v>1100</v>
      </c>
      <c r="C1891" t="s">
        <v>1079</v>
      </c>
      <c r="D1891" t="s">
        <v>1086</v>
      </c>
      <c r="E1891" t="s">
        <v>1101</v>
      </c>
      <c r="F1891" t="s">
        <v>598</v>
      </c>
      <c r="G1891" t="s">
        <v>478</v>
      </c>
      <c r="H1891" t="s">
        <v>600</v>
      </c>
      <c r="I1891" t="s">
        <v>601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hidden="1">
      <c r="A1892" t="s">
        <v>18810</v>
      </c>
      <c r="B1892" t="s">
        <v>1107</v>
      </c>
      <c r="C1892" t="s">
        <v>1079</v>
      </c>
      <c r="D1892" t="s">
        <v>1108</v>
      </c>
      <c r="E1892" t="s">
        <v>1081</v>
      </c>
      <c r="F1892" t="s">
        <v>598</v>
      </c>
      <c r="G1892" t="s">
        <v>478</v>
      </c>
      <c r="H1892" t="s">
        <v>600</v>
      </c>
      <c r="I1892" t="s">
        <v>601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hidden="1">
      <c r="A1893" t="s">
        <v>18810</v>
      </c>
      <c r="B1893" t="s">
        <v>1109</v>
      </c>
      <c r="C1893" t="s">
        <v>1079</v>
      </c>
      <c r="D1893" t="s">
        <v>1108</v>
      </c>
      <c r="E1893" t="s">
        <v>1091</v>
      </c>
      <c r="F1893" t="s">
        <v>598</v>
      </c>
      <c r="G1893" t="s">
        <v>478</v>
      </c>
      <c r="H1893" t="s">
        <v>600</v>
      </c>
      <c r="I1893" t="s">
        <v>601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hidden="1">
      <c r="A1894" t="s">
        <v>18810</v>
      </c>
      <c r="B1894" t="s">
        <v>1111</v>
      </c>
      <c r="C1894" t="s">
        <v>1079</v>
      </c>
      <c r="D1894" t="s">
        <v>1108</v>
      </c>
      <c r="E1894" t="s">
        <v>1095</v>
      </c>
      <c r="F1894" t="s">
        <v>598</v>
      </c>
      <c r="G1894" t="s">
        <v>478</v>
      </c>
      <c r="H1894" t="s">
        <v>600</v>
      </c>
      <c r="I1894" t="s">
        <v>601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hidden="1">
      <c r="A1895" t="s">
        <v>18810</v>
      </c>
      <c r="B1895" t="s">
        <v>1113</v>
      </c>
      <c r="C1895" t="s">
        <v>1079</v>
      </c>
      <c r="D1895" t="s">
        <v>1108</v>
      </c>
      <c r="E1895" t="s">
        <v>1101</v>
      </c>
      <c r="F1895" t="s">
        <v>598</v>
      </c>
      <c r="G1895" t="s">
        <v>478</v>
      </c>
      <c r="H1895" t="s">
        <v>600</v>
      </c>
      <c r="I1895" t="s">
        <v>601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hidden="1">
      <c r="A1896" t="s">
        <v>18810</v>
      </c>
      <c r="B1896" t="s">
        <v>1114</v>
      </c>
      <c r="C1896" t="s">
        <v>1079</v>
      </c>
      <c r="D1896" t="s">
        <v>1115</v>
      </c>
      <c r="E1896" t="s">
        <v>1081</v>
      </c>
      <c r="F1896" t="s">
        <v>598</v>
      </c>
      <c r="G1896" t="s">
        <v>478</v>
      </c>
      <c r="H1896" t="s">
        <v>600</v>
      </c>
      <c r="I1896" t="s">
        <v>601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hidden="1">
      <c r="A1897" t="s">
        <v>18810</v>
      </c>
      <c r="B1897" t="s">
        <v>1117</v>
      </c>
      <c r="C1897" t="s">
        <v>1079</v>
      </c>
      <c r="D1897" t="s">
        <v>1115</v>
      </c>
      <c r="E1897" t="s">
        <v>1093</v>
      </c>
      <c r="F1897" t="s">
        <v>598</v>
      </c>
      <c r="G1897" t="s">
        <v>478</v>
      </c>
      <c r="H1897" t="s">
        <v>600</v>
      </c>
      <c r="I1897" t="s">
        <v>601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hidden="1">
      <c r="A1898" t="s">
        <v>18810</v>
      </c>
      <c r="B1898" t="s">
        <v>1119</v>
      </c>
      <c r="C1898" t="s">
        <v>1079</v>
      </c>
      <c r="D1898" t="s">
        <v>1115</v>
      </c>
      <c r="E1898" t="s">
        <v>1101</v>
      </c>
      <c r="F1898" t="s">
        <v>598</v>
      </c>
      <c r="G1898" t="s">
        <v>478</v>
      </c>
      <c r="H1898" t="s">
        <v>600</v>
      </c>
      <c r="I1898" t="s">
        <v>601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5" hidden="1">
      <c r="A1899" t="s">
        <v>18810</v>
      </c>
      <c r="B1899" t="s">
        <v>1120</v>
      </c>
      <c r="C1899" t="s">
        <v>1079</v>
      </c>
      <c r="D1899" t="s">
        <v>1121</v>
      </c>
      <c r="E1899" t="s">
        <v>1081</v>
      </c>
      <c r="F1899" t="s">
        <v>598</v>
      </c>
      <c r="G1899" t="s">
        <v>478</v>
      </c>
      <c r="H1899" t="s">
        <v>600</v>
      </c>
      <c r="I1899" t="s">
        <v>601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hidden="1">
      <c r="A1900" t="s">
        <v>18810</v>
      </c>
      <c r="B1900" t="s">
        <v>1122</v>
      </c>
      <c r="C1900" t="s">
        <v>1079</v>
      </c>
      <c r="D1900" t="s">
        <v>1121</v>
      </c>
      <c r="E1900" t="s">
        <v>1097</v>
      </c>
      <c r="F1900" t="s">
        <v>598</v>
      </c>
      <c r="G1900" t="s">
        <v>478</v>
      </c>
      <c r="H1900" t="s">
        <v>600</v>
      </c>
      <c r="I1900" t="s">
        <v>601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hidden="1">
      <c r="A1901" t="s">
        <v>18810</v>
      </c>
      <c r="B1901" t="s">
        <v>1125</v>
      </c>
      <c r="C1901" t="s">
        <v>1079</v>
      </c>
      <c r="D1901" t="s">
        <v>1126</v>
      </c>
      <c r="E1901" t="s">
        <v>1081</v>
      </c>
      <c r="F1901" t="s">
        <v>598</v>
      </c>
      <c r="G1901" t="s">
        <v>478</v>
      </c>
      <c r="H1901" t="s">
        <v>600</v>
      </c>
      <c r="I1901" t="s">
        <v>601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hidden="1">
      <c r="A1902" t="s">
        <v>18810</v>
      </c>
      <c r="B1902" t="s">
        <v>1127</v>
      </c>
      <c r="C1902" t="s">
        <v>1079</v>
      </c>
      <c r="D1902" t="s">
        <v>1126</v>
      </c>
      <c r="E1902" t="s">
        <v>1091</v>
      </c>
      <c r="F1902" t="s">
        <v>598</v>
      </c>
      <c r="G1902" t="s">
        <v>478</v>
      </c>
      <c r="H1902" t="s">
        <v>600</v>
      </c>
      <c r="I1902" t="s">
        <v>601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hidden="1">
      <c r="A1903" t="s">
        <v>18810</v>
      </c>
      <c r="B1903" t="s">
        <v>1128</v>
      </c>
      <c r="C1903" t="s">
        <v>1079</v>
      </c>
      <c r="D1903" t="s">
        <v>1126</v>
      </c>
      <c r="E1903" t="s">
        <v>1093</v>
      </c>
      <c r="F1903" t="s">
        <v>598</v>
      </c>
      <c r="G1903" t="s">
        <v>478</v>
      </c>
      <c r="H1903" t="s">
        <v>600</v>
      </c>
      <c r="I1903" t="s">
        <v>601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hidden="1">
      <c r="A1904" t="s">
        <v>18810</v>
      </c>
      <c r="B1904" t="s">
        <v>1129</v>
      </c>
      <c r="C1904" t="s">
        <v>1079</v>
      </c>
      <c r="D1904" t="s">
        <v>1126</v>
      </c>
      <c r="E1904" t="s">
        <v>1097</v>
      </c>
      <c r="F1904" t="s">
        <v>598</v>
      </c>
      <c r="G1904" t="s">
        <v>478</v>
      </c>
      <c r="H1904" t="s">
        <v>600</v>
      </c>
      <c r="I1904" t="s">
        <v>601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hidden="1">
      <c r="A1905" t="s">
        <v>18810</v>
      </c>
      <c r="B1905" t="s">
        <v>1130</v>
      </c>
      <c r="C1905" t="s">
        <v>1079</v>
      </c>
      <c r="D1905" t="s">
        <v>1126</v>
      </c>
      <c r="E1905" t="s">
        <v>1099</v>
      </c>
      <c r="F1905" t="s">
        <v>598</v>
      </c>
      <c r="G1905" t="s">
        <v>478</v>
      </c>
      <c r="H1905" t="s">
        <v>600</v>
      </c>
      <c r="I1905" t="s">
        <v>601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hidden="1">
      <c r="A1906" t="s">
        <v>18810</v>
      </c>
      <c r="B1906" t="s">
        <v>1131</v>
      </c>
      <c r="C1906" t="s">
        <v>1079</v>
      </c>
      <c r="D1906" t="s">
        <v>1126</v>
      </c>
      <c r="E1906" t="s">
        <v>1101</v>
      </c>
      <c r="F1906" t="s">
        <v>598</v>
      </c>
      <c r="G1906" t="s">
        <v>478</v>
      </c>
      <c r="H1906" t="s">
        <v>600</v>
      </c>
      <c r="I1906" t="s">
        <v>601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hidden="1">
      <c r="A1907" t="s">
        <v>18810</v>
      </c>
      <c r="B1907" t="s">
        <v>1133</v>
      </c>
      <c r="C1907" t="s">
        <v>1079</v>
      </c>
      <c r="D1907" t="s">
        <v>1134</v>
      </c>
      <c r="E1907" t="s">
        <v>1081</v>
      </c>
      <c r="F1907" t="s">
        <v>598</v>
      </c>
      <c r="G1907" t="s">
        <v>478</v>
      </c>
      <c r="H1907" t="s">
        <v>600</v>
      </c>
      <c r="I1907" t="s">
        <v>601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hidden="1">
      <c r="A1908" t="s">
        <v>18810</v>
      </c>
      <c r="B1908" t="s">
        <v>1139</v>
      </c>
      <c r="C1908" t="s">
        <v>1079</v>
      </c>
      <c r="D1908" t="s">
        <v>1134</v>
      </c>
      <c r="E1908" t="s">
        <v>1099</v>
      </c>
      <c r="F1908" t="s">
        <v>598</v>
      </c>
      <c r="G1908" t="s">
        <v>478</v>
      </c>
      <c r="H1908" t="s">
        <v>600</v>
      </c>
      <c r="I1908" t="s">
        <v>601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hidden="1">
      <c r="A1909" t="s">
        <v>18810</v>
      </c>
      <c r="B1909" t="s">
        <v>1142</v>
      </c>
      <c r="C1909" t="s">
        <v>1079</v>
      </c>
      <c r="D1909" t="s">
        <v>1134</v>
      </c>
      <c r="E1909" t="s">
        <v>1101</v>
      </c>
      <c r="F1909" t="s">
        <v>598</v>
      </c>
      <c r="G1909" t="s">
        <v>478</v>
      </c>
      <c r="H1909" t="s">
        <v>600</v>
      </c>
      <c r="I1909" t="s">
        <v>601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hidden="1">
      <c r="A1910" t="s">
        <v>18810</v>
      </c>
      <c r="B1910" t="s">
        <v>1144</v>
      </c>
      <c r="C1910" t="s">
        <v>1079</v>
      </c>
      <c r="D1910" t="s">
        <v>1145</v>
      </c>
      <c r="E1910" t="s">
        <v>1081</v>
      </c>
      <c r="F1910" t="s">
        <v>598</v>
      </c>
      <c r="G1910" t="s">
        <v>478</v>
      </c>
      <c r="H1910" t="s">
        <v>600</v>
      </c>
      <c r="I1910" t="s">
        <v>601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hidden="1">
      <c r="A1911" t="s">
        <v>18810</v>
      </c>
      <c r="B1911" t="s">
        <v>1146</v>
      </c>
      <c r="C1911" t="s">
        <v>1079</v>
      </c>
      <c r="D1911" t="s">
        <v>1145</v>
      </c>
      <c r="E1911" t="s">
        <v>1091</v>
      </c>
      <c r="F1911" t="s">
        <v>598</v>
      </c>
      <c r="G1911" t="s">
        <v>478</v>
      </c>
      <c r="H1911" t="s">
        <v>600</v>
      </c>
      <c r="I1911" t="s">
        <v>601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hidden="1">
      <c r="A1912" t="s">
        <v>18810</v>
      </c>
      <c r="B1912" t="s">
        <v>1147</v>
      </c>
      <c r="C1912" t="s">
        <v>1079</v>
      </c>
      <c r="D1912" t="s">
        <v>1145</v>
      </c>
      <c r="E1912" t="s">
        <v>1093</v>
      </c>
      <c r="F1912" t="s">
        <v>598</v>
      </c>
      <c r="G1912" t="s">
        <v>478</v>
      </c>
      <c r="H1912" t="s">
        <v>600</v>
      </c>
      <c r="I1912" t="s">
        <v>601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hidden="1">
      <c r="A1913" t="s">
        <v>18810</v>
      </c>
      <c r="B1913" t="s">
        <v>1148</v>
      </c>
      <c r="C1913" t="s">
        <v>1079</v>
      </c>
      <c r="D1913" t="s">
        <v>1145</v>
      </c>
      <c r="E1913" t="s">
        <v>1095</v>
      </c>
      <c r="F1913" t="s">
        <v>598</v>
      </c>
      <c r="G1913" t="s">
        <v>478</v>
      </c>
      <c r="H1913" t="s">
        <v>600</v>
      </c>
      <c r="I1913" t="s">
        <v>601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</row>
    <row r="1914" spans="1:25" hidden="1">
      <c r="A1914" t="s">
        <v>18810</v>
      </c>
      <c r="B1914" t="s">
        <v>1151</v>
      </c>
      <c r="C1914" t="s">
        <v>1079</v>
      </c>
      <c r="D1914" t="s">
        <v>1145</v>
      </c>
      <c r="E1914" t="s">
        <v>1101</v>
      </c>
      <c r="F1914" t="s">
        <v>598</v>
      </c>
      <c r="G1914" t="s">
        <v>478</v>
      </c>
      <c r="H1914" t="s">
        <v>600</v>
      </c>
      <c r="I1914" t="s">
        <v>601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hidden="1">
      <c r="A1915" t="s">
        <v>18810</v>
      </c>
      <c r="B1915" t="s">
        <v>1155</v>
      </c>
      <c r="C1915" t="s">
        <v>1079</v>
      </c>
      <c r="D1915" t="s">
        <v>1156</v>
      </c>
      <c r="E1915" t="s">
        <v>1081</v>
      </c>
      <c r="F1915" t="s">
        <v>598</v>
      </c>
      <c r="G1915" t="s">
        <v>478</v>
      </c>
      <c r="H1915" t="s">
        <v>600</v>
      </c>
      <c r="I1915" t="s">
        <v>601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</row>
    <row r="1916" spans="1:25" hidden="1">
      <c r="A1916" t="s">
        <v>18810</v>
      </c>
      <c r="B1916" t="s">
        <v>1157</v>
      </c>
      <c r="C1916" t="s">
        <v>1079</v>
      </c>
      <c r="D1916" t="s">
        <v>1156</v>
      </c>
      <c r="E1916" t="s">
        <v>1091</v>
      </c>
      <c r="F1916" t="s">
        <v>598</v>
      </c>
      <c r="G1916" t="s">
        <v>478</v>
      </c>
      <c r="H1916" t="s">
        <v>600</v>
      </c>
      <c r="I1916" t="s">
        <v>601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hidden="1">
      <c r="A1917" t="s">
        <v>18810</v>
      </c>
      <c r="B1917" t="s">
        <v>1158</v>
      </c>
      <c r="C1917" t="s">
        <v>1079</v>
      </c>
      <c r="D1917" t="s">
        <v>1156</v>
      </c>
      <c r="E1917" t="s">
        <v>1093</v>
      </c>
      <c r="F1917" t="s">
        <v>598</v>
      </c>
      <c r="G1917" t="s">
        <v>478</v>
      </c>
      <c r="H1917" t="s">
        <v>600</v>
      </c>
      <c r="I1917" t="s">
        <v>601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hidden="1">
      <c r="A1918" t="s">
        <v>18810</v>
      </c>
      <c r="B1918" t="s">
        <v>1159</v>
      </c>
      <c r="C1918" t="s">
        <v>1079</v>
      </c>
      <c r="D1918" t="s">
        <v>1156</v>
      </c>
      <c r="E1918" t="s">
        <v>1097</v>
      </c>
      <c r="F1918" t="s">
        <v>598</v>
      </c>
      <c r="G1918" t="s">
        <v>478</v>
      </c>
      <c r="H1918" t="s">
        <v>600</v>
      </c>
      <c r="I1918" t="s">
        <v>601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hidden="1">
      <c r="A1919" t="s">
        <v>18810</v>
      </c>
      <c r="B1919" t="s">
        <v>1160</v>
      </c>
      <c r="C1919" t="s">
        <v>1079</v>
      </c>
      <c r="D1919" t="s">
        <v>1156</v>
      </c>
      <c r="E1919" t="s">
        <v>1099</v>
      </c>
      <c r="F1919" t="s">
        <v>598</v>
      </c>
      <c r="G1919" t="s">
        <v>478</v>
      </c>
      <c r="H1919" t="s">
        <v>600</v>
      </c>
      <c r="I1919" t="s">
        <v>601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hidden="1">
      <c r="A1920" t="s">
        <v>18810</v>
      </c>
      <c r="B1920" t="s">
        <v>1161</v>
      </c>
      <c r="C1920" t="s">
        <v>1079</v>
      </c>
      <c r="D1920" t="s">
        <v>1156</v>
      </c>
      <c r="E1920" t="s">
        <v>1101</v>
      </c>
      <c r="F1920" t="s">
        <v>598</v>
      </c>
      <c r="G1920" t="s">
        <v>478</v>
      </c>
      <c r="H1920" t="s">
        <v>600</v>
      </c>
      <c r="I1920" t="s">
        <v>601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hidden="1">
      <c r="A1921" t="s">
        <v>18810</v>
      </c>
      <c r="B1921" t="s">
        <v>1167</v>
      </c>
      <c r="C1921" t="s">
        <v>1079</v>
      </c>
      <c r="D1921" t="s">
        <v>1164</v>
      </c>
      <c r="E1921" t="s">
        <v>1095</v>
      </c>
      <c r="F1921" t="s">
        <v>598</v>
      </c>
      <c r="G1921" t="s">
        <v>478</v>
      </c>
      <c r="H1921" t="s">
        <v>600</v>
      </c>
      <c r="I1921" t="s">
        <v>601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hidden="1">
      <c r="A1922" t="s">
        <v>18810</v>
      </c>
      <c r="B1922" t="s">
        <v>1168</v>
      </c>
      <c r="C1922" t="s">
        <v>1079</v>
      </c>
      <c r="D1922" t="s">
        <v>1164</v>
      </c>
      <c r="E1922" t="s">
        <v>1141</v>
      </c>
      <c r="F1922" t="s">
        <v>598</v>
      </c>
      <c r="G1922" t="s">
        <v>478</v>
      </c>
      <c r="H1922" t="s">
        <v>600</v>
      </c>
      <c r="I1922" t="s">
        <v>601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hidden="1">
      <c r="A1923" t="s">
        <v>18810</v>
      </c>
      <c r="B1923" t="s">
        <v>1171</v>
      </c>
      <c r="C1923" t="s">
        <v>1079</v>
      </c>
      <c r="D1923" t="s">
        <v>1172</v>
      </c>
      <c r="E1923" t="s">
        <v>1081</v>
      </c>
      <c r="F1923" t="s">
        <v>598</v>
      </c>
      <c r="G1923" t="s">
        <v>478</v>
      </c>
      <c r="H1923" t="s">
        <v>600</v>
      </c>
      <c r="I1923" t="s">
        <v>601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hidden="1">
      <c r="A1924" t="s">
        <v>18810</v>
      </c>
      <c r="B1924" t="s">
        <v>1174</v>
      </c>
      <c r="C1924" t="s">
        <v>1079</v>
      </c>
      <c r="D1924" t="s">
        <v>1172</v>
      </c>
      <c r="E1924" t="s">
        <v>1099</v>
      </c>
      <c r="F1924" t="s">
        <v>598</v>
      </c>
      <c r="G1924" t="s">
        <v>478</v>
      </c>
      <c r="H1924" t="s">
        <v>600</v>
      </c>
      <c r="I1924" t="s">
        <v>601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hidden="1">
      <c r="A1925" t="s">
        <v>18810</v>
      </c>
      <c r="B1925" t="s">
        <v>1175</v>
      </c>
      <c r="C1925" t="s">
        <v>1079</v>
      </c>
      <c r="D1925" t="s">
        <v>1172</v>
      </c>
      <c r="E1925" t="s">
        <v>1101</v>
      </c>
      <c r="F1925" t="s">
        <v>598</v>
      </c>
      <c r="G1925" t="s">
        <v>478</v>
      </c>
      <c r="H1925" t="s">
        <v>600</v>
      </c>
      <c r="I1925" t="s">
        <v>601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hidden="1">
      <c r="A1926" t="s">
        <v>18810</v>
      </c>
      <c r="B1926" t="s">
        <v>1179</v>
      </c>
      <c r="C1926" t="s">
        <v>1079</v>
      </c>
      <c r="D1926" t="s">
        <v>1180</v>
      </c>
      <c r="E1926" t="s">
        <v>1081</v>
      </c>
      <c r="F1926" t="s">
        <v>598</v>
      </c>
      <c r="G1926" t="s">
        <v>478</v>
      </c>
      <c r="H1926" t="s">
        <v>600</v>
      </c>
      <c r="I1926" t="s">
        <v>601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hidden="1">
      <c r="A1927" t="s">
        <v>18810</v>
      </c>
      <c r="B1927" t="s">
        <v>1183</v>
      </c>
      <c r="C1927" t="s">
        <v>1079</v>
      </c>
      <c r="D1927" t="s">
        <v>1180</v>
      </c>
      <c r="E1927" t="s">
        <v>1097</v>
      </c>
      <c r="F1927" t="s">
        <v>598</v>
      </c>
      <c r="G1927" t="s">
        <v>478</v>
      </c>
      <c r="H1927" t="s">
        <v>600</v>
      </c>
      <c r="I1927" t="s">
        <v>601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hidden="1">
      <c r="A1928" t="s">
        <v>18810</v>
      </c>
      <c r="B1928" t="s">
        <v>1184</v>
      </c>
      <c r="C1928" t="s">
        <v>1079</v>
      </c>
      <c r="D1928" t="s">
        <v>1180</v>
      </c>
      <c r="E1928" t="s">
        <v>1099</v>
      </c>
      <c r="F1928" t="s">
        <v>598</v>
      </c>
      <c r="G1928" t="s">
        <v>478</v>
      </c>
      <c r="H1928" t="s">
        <v>600</v>
      </c>
      <c r="I1928" t="s">
        <v>601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hidden="1">
      <c r="A1929" t="s">
        <v>18810</v>
      </c>
      <c r="B1929" t="s">
        <v>1185</v>
      </c>
      <c r="C1929" t="s">
        <v>1079</v>
      </c>
      <c r="D1929" t="s">
        <v>1180</v>
      </c>
      <c r="E1929" t="s">
        <v>1101</v>
      </c>
      <c r="F1929" t="s">
        <v>598</v>
      </c>
      <c r="G1929" t="s">
        <v>478</v>
      </c>
      <c r="H1929" t="s">
        <v>600</v>
      </c>
      <c r="I1929" t="s">
        <v>601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hidden="1">
      <c r="A1930" t="s">
        <v>18810</v>
      </c>
      <c r="B1930" t="s">
        <v>1217</v>
      </c>
      <c r="C1930" t="s">
        <v>1079</v>
      </c>
      <c r="D1930" t="s">
        <v>1188</v>
      </c>
      <c r="E1930" t="s">
        <v>1106</v>
      </c>
      <c r="F1930" t="s">
        <v>598</v>
      </c>
      <c r="G1930" t="s">
        <v>478</v>
      </c>
      <c r="H1930" t="s">
        <v>600</v>
      </c>
      <c r="I1930" t="s">
        <v>601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hidden="1">
      <c r="A1931" t="s">
        <v>18810</v>
      </c>
      <c r="B1931" t="s">
        <v>1220</v>
      </c>
      <c r="C1931" t="s">
        <v>1079</v>
      </c>
      <c r="D1931" t="s">
        <v>1188</v>
      </c>
      <c r="E1931" t="s">
        <v>1084</v>
      </c>
      <c r="F1931" t="s">
        <v>598</v>
      </c>
      <c r="G1931" t="s">
        <v>478</v>
      </c>
      <c r="H1931" t="s">
        <v>600</v>
      </c>
      <c r="I1931" t="s">
        <v>601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hidden="1">
      <c r="A1932" t="s">
        <v>18810</v>
      </c>
      <c r="B1932" t="s">
        <v>1221</v>
      </c>
      <c r="C1932" t="s">
        <v>1079</v>
      </c>
      <c r="D1932" t="s">
        <v>648</v>
      </c>
      <c r="E1932" t="s">
        <v>1081</v>
      </c>
      <c r="F1932" t="s">
        <v>598</v>
      </c>
      <c r="G1932" t="s">
        <v>478</v>
      </c>
      <c r="H1932" t="s">
        <v>600</v>
      </c>
      <c r="I1932" t="s">
        <v>601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hidden="1">
      <c r="A1933" t="s">
        <v>18810</v>
      </c>
      <c r="B1933" t="s">
        <v>1222</v>
      </c>
      <c r="C1933" t="s">
        <v>1079</v>
      </c>
      <c r="D1933" t="s">
        <v>648</v>
      </c>
      <c r="E1933" t="s">
        <v>1091</v>
      </c>
      <c r="F1933" t="s">
        <v>598</v>
      </c>
      <c r="G1933" t="s">
        <v>478</v>
      </c>
      <c r="H1933" t="s">
        <v>600</v>
      </c>
      <c r="I1933" t="s">
        <v>601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hidden="1">
      <c r="A1934" t="s">
        <v>18810</v>
      </c>
      <c r="B1934" t="s">
        <v>1223</v>
      </c>
      <c r="C1934" t="s">
        <v>1079</v>
      </c>
      <c r="D1934" t="s">
        <v>648</v>
      </c>
      <c r="E1934" t="s">
        <v>1093</v>
      </c>
      <c r="F1934" t="s">
        <v>598</v>
      </c>
      <c r="G1934" t="s">
        <v>478</v>
      </c>
      <c r="H1934" t="s">
        <v>600</v>
      </c>
      <c r="I1934" t="s">
        <v>601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hidden="1">
      <c r="A1935" t="s">
        <v>18810</v>
      </c>
      <c r="B1935" t="s">
        <v>1224</v>
      </c>
      <c r="C1935" t="s">
        <v>1079</v>
      </c>
      <c r="D1935" t="s">
        <v>648</v>
      </c>
      <c r="E1935" t="s">
        <v>1095</v>
      </c>
      <c r="F1935" t="s">
        <v>598</v>
      </c>
      <c r="G1935" t="s">
        <v>478</v>
      </c>
      <c r="H1935" t="s">
        <v>600</v>
      </c>
      <c r="I1935" t="s">
        <v>601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hidden="1">
      <c r="A1936" t="s">
        <v>18810</v>
      </c>
      <c r="B1936" t="s">
        <v>1225</v>
      </c>
      <c r="C1936" t="s">
        <v>1079</v>
      </c>
      <c r="D1936" t="s">
        <v>648</v>
      </c>
      <c r="E1936" t="s">
        <v>1097</v>
      </c>
      <c r="F1936" t="s">
        <v>598</v>
      </c>
      <c r="G1936" t="s">
        <v>478</v>
      </c>
      <c r="H1936" t="s">
        <v>600</v>
      </c>
      <c r="I1936" t="s">
        <v>601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hidden="1">
      <c r="A1937" t="s">
        <v>18810</v>
      </c>
      <c r="B1937" t="s">
        <v>1226</v>
      </c>
      <c r="C1937" t="s">
        <v>1079</v>
      </c>
      <c r="D1937" t="s">
        <v>648</v>
      </c>
      <c r="E1937" t="s">
        <v>1099</v>
      </c>
      <c r="F1937" t="s">
        <v>598</v>
      </c>
      <c r="G1937" t="s">
        <v>478</v>
      </c>
      <c r="H1937" t="s">
        <v>600</v>
      </c>
      <c r="I1937" t="s">
        <v>601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hidden="1">
      <c r="A1938" t="s">
        <v>18810</v>
      </c>
      <c r="B1938" t="s">
        <v>1227</v>
      </c>
      <c r="C1938" t="s">
        <v>1079</v>
      </c>
      <c r="D1938" t="s">
        <v>648</v>
      </c>
      <c r="E1938" t="s">
        <v>1101</v>
      </c>
      <c r="F1938" t="s">
        <v>598</v>
      </c>
      <c r="G1938" t="s">
        <v>478</v>
      </c>
      <c r="H1938" t="s">
        <v>600</v>
      </c>
      <c r="I1938" t="s">
        <v>601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hidden="1">
      <c r="A1939" t="s">
        <v>18810</v>
      </c>
      <c r="B1939" t="s">
        <v>1231</v>
      </c>
      <c r="C1939" t="s">
        <v>1230</v>
      </c>
      <c r="D1939" t="s">
        <v>1188</v>
      </c>
      <c r="E1939" t="s">
        <v>1028</v>
      </c>
      <c r="F1939" t="s">
        <v>598</v>
      </c>
      <c r="G1939" t="s">
        <v>478</v>
      </c>
      <c r="H1939" t="s">
        <v>600</v>
      </c>
      <c r="I1939" t="s">
        <v>601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hidden="1">
      <c r="A1940" t="s">
        <v>18810</v>
      </c>
      <c r="B1940" t="s">
        <v>1232</v>
      </c>
      <c r="C1940" t="s">
        <v>1230</v>
      </c>
      <c r="D1940" t="s">
        <v>1188</v>
      </c>
      <c r="E1940" t="s">
        <v>1233</v>
      </c>
      <c r="F1940" t="s">
        <v>598</v>
      </c>
      <c r="G1940" t="s">
        <v>478</v>
      </c>
      <c r="H1940" t="s">
        <v>600</v>
      </c>
      <c r="I1940" t="s">
        <v>601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hidden="1">
      <c r="A1941" t="s">
        <v>18810</v>
      </c>
      <c r="B1941" t="s">
        <v>1236</v>
      </c>
      <c r="C1941" t="s">
        <v>1230</v>
      </c>
      <c r="D1941" t="s">
        <v>1188</v>
      </c>
      <c r="E1941" t="s">
        <v>1084</v>
      </c>
      <c r="F1941" t="s">
        <v>598</v>
      </c>
      <c r="G1941" t="s">
        <v>478</v>
      </c>
      <c r="H1941" t="s">
        <v>600</v>
      </c>
      <c r="I1941" t="s">
        <v>601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hidden="1">
      <c r="A1942" t="s">
        <v>18810</v>
      </c>
      <c r="B1942" t="s">
        <v>1237</v>
      </c>
      <c r="C1942" t="s">
        <v>1230</v>
      </c>
      <c r="D1942" t="s">
        <v>1238</v>
      </c>
      <c r="E1942" t="s">
        <v>1239</v>
      </c>
      <c r="F1942" t="s">
        <v>598</v>
      </c>
      <c r="G1942" t="s">
        <v>478</v>
      </c>
      <c r="H1942" t="s">
        <v>600</v>
      </c>
      <c r="I1942" t="s">
        <v>601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hidden="1">
      <c r="A1943" t="s">
        <v>18810</v>
      </c>
      <c r="B1943" t="s">
        <v>1240</v>
      </c>
      <c r="C1943" t="s">
        <v>1230</v>
      </c>
      <c r="D1943" t="s">
        <v>1241</v>
      </c>
      <c r="E1943" t="s">
        <v>1239</v>
      </c>
      <c r="F1943" t="s">
        <v>598</v>
      </c>
      <c r="G1943" t="s">
        <v>478</v>
      </c>
      <c r="H1943" t="s">
        <v>600</v>
      </c>
      <c r="I1943" t="s">
        <v>601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hidden="1">
      <c r="A1944" t="s">
        <v>18810</v>
      </c>
      <c r="B1944" t="s">
        <v>1242</v>
      </c>
      <c r="C1944" t="s">
        <v>1230</v>
      </c>
      <c r="D1944" t="s">
        <v>1243</v>
      </c>
      <c r="E1944" t="s">
        <v>1004</v>
      </c>
      <c r="F1944" t="s">
        <v>598</v>
      </c>
      <c r="G1944" t="s">
        <v>478</v>
      </c>
      <c r="H1944" t="s">
        <v>600</v>
      </c>
      <c r="I1944" t="s">
        <v>601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hidden="1">
      <c r="A1945" t="s">
        <v>18810</v>
      </c>
      <c r="B1945" t="s">
        <v>1244</v>
      </c>
      <c r="C1945" t="s">
        <v>1230</v>
      </c>
      <c r="D1945" t="s">
        <v>1243</v>
      </c>
      <c r="E1945" t="s">
        <v>1239</v>
      </c>
      <c r="F1945" t="s">
        <v>598</v>
      </c>
      <c r="G1945" t="s">
        <v>478</v>
      </c>
      <c r="H1945" t="s">
        <v>600</v>
      </c>
      <c r="I1945" t="s">
        <v>601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hidden="1">
      <c r="A1946" t="s">
        <v>18810</v>
      </c>
      <c r="B1946" t="s">
        <v>1247</v>
      </c>
      <c r="C1946" t="s">
        <v>1230</v>
      </c>
      <c r="D1946" t="s">
        <v>1246</v>
      </c>
      <c r="E1946" t="s">
        <v>1239</v>
      </c>
      <c r="F1946" t="s">
        <v>598</v>
      </c>
      <c r="G1946" t="s">
        <v>478</v>
      </c>
      <c r="H1946" t="s">
        <v>600</v>
      </c>
      <c r="I1946" t="s">
        <v>601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hidden="1">
      <c r="A1947" t="s">
        <v>18810</v>
      </c>
      <c r="B1947" t="s">
        <v>1248</v>
      </c>
      <c r="C1947" t="s">
        <v>1230</v>
      </c>
      <c r="D1947" t="s">
        <v>1249</v>
      </c>
      <c r="E1947" t="s">
        <v>1239</v>
      </c>
      <c r="F1947" t="s">
        <v>598</v>
      </c>
      <c r="G1947" t="s">
        <v>478</v>
      </c>
      <c r="H1947" t="s">
        <v>600</v>
      </c>
      <c r="I1947" t="s">
        <v>601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hidden="1">
      <c r="A1948" t="s">
        <v>18810</v>
      </c>
      <c r="B1948" t="s">
        <v>1250</v>
      </c>
      <c r="C1948" t="s">
        <v>1230</v>
      </c>
      <c r="D1948" t="s">
        <v>648</v>
      </c>
      <c r="E1948" t="s">
        <v>1004</v>
      </c>
      <c r="F1948" t="s">
        <v>598</v>
      </c>
      <c r="G1948" t="s">
        <v>478</v>
      </c>
      <c r="H1948" t="s">
        <v>600</v>
      </c>
      <c r="I1948" t="s">
        <v>601</v>
      </c>
      <c r="J1948">
        <v>1.1000000000000001E-3</v>
      </c>
      <c r="K1948">
        <v>1.1000000000000001E-3</v>
      </c>
      <c r="L1948">
        <v>1.1000000000000001E-3</v>
      </c>
      <c r="M1948">
        <v>1.1000000000000001E-3</v>
      </c>
      <c r="N1948">
        <v>1.1999999999999999E-3</v>
      </c>
      <c r="O1948">
        <v>1.1999999999999999E-3</v>
      </c>
      <c r="P1948">
        <v>1.1999999999999999E-3</v>
      </c>
      <c r="Q1948">
        <v>1.1999999999999999E-3</v>
      </c>
      <c r="R1948">
        <v>1.1999999999999999E-3</v>
      </c>
      <c r="S1948">
        <v>1.1999999999999999E-3</v>
      </c>
      <c r="T1948">
        <v>1.1999999999999999E-3</v>
      </c>
      <c r="U1948">
        <v>1.1999999999999999E-3</v>
      </c>
      <c r="V1948">
        <v>1.1999999999999999E-3</v>
      </c>
      <c r="W1948">
        <v>1.1999999999999999E-3</v>
      </c>
      <c r="X1948">
        <v>1.2999999999999999E-3</v>
      </c>
      <c r="Y1948">
        <v>1.2999999999999999E-3</v>
      </c>
    </row>
    <row r="1949" spans="1:25" hidden="1">
      <c r="A1949" t="s">
        <v>18810</v>
      </c>
      <c r="B1949" t="s">
        <v>1251</v>
      </c>
      <c r="C1949" t="s">
        <v>1230</v>
      </c>
      <c r="D1949" t="s">
        <v>648</v>
      </c>
      <c r="E1949" t="s">
        <v>1239</v>
      </c>
      <c r="F1949" t="s">
        <v>598</v>
      </c>
      <c r="G1949" t="s">
        <v>478</v>
      </c>
      <c r="H1949" t="s">
        <v>600</v>
      </c>
      <c r="I1949" t="s">
        <v>601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hidden="1">
      <c r="A1950" t="s">
        <v>18810</v>
      </c>
      <c r="B1950" t="s">
        <v>1252</v>
      </c>
      <c r="C1950" t="s">
        <v>1253</v>
      </c>
      <c r="D1950" t="s">
        <v>1254</v>
      </c>
      <c r="E1950" t="s">
        <v>1255</v>
      </c>
      <c r="F1950" t="s">
        <v>598</v>
      </c>
      <c r="G1950" t="s">
        <v>478</v>
      </c>
      <c r="H1950" t="s">
        <v>600</v>
      </c>
      <c r="I1950" t="s">
        <v>601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hidden="1">
      <c r="A1951" t="s">
        <v>18810</v>
      </c>
      <c r="B1951" t="s">
        <v>1256</v>
      </c>
      <c r="C1951" t="s">
        <v>1253</v>
      </c>
      <c r="D1951" t="s">
        <v>1254</v>
      </c>
      <c r="E1951" t="s">
        <v>1257</v>
      </c>
      <c r="F1951" t="s">
        <v>598</v>
      </c>
      <c r="G1951" t="s">
        <v>478</v>
      </c>
      <c r="H1951" t="s">
        <v>600</v>
      </c>
      <c r="I1951" t="s">
        <v>601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</row>
    <row r="1952" spans="1:25" hidden="1">
      <c r="A1952" t="s">
        <v>18810</v>
      </c>
      <c r="B1952" t="s">
        <v>1258</v>
      </c>
      <c r="C1952" t="s">
        <v>1253</v>
      </c>
      <c r="D1952" t="s">
        <v>1254</v>
      </c>
      <c r="E1952" t="s">
        <v>1259</v>
      </c>
      <c r="F1952" t="s">
        <v>598</v>
      </c>
      <c r="G1952" t="s">
        <v>478</v>
      </c>
      <c r="H1952" t="s">
        <v>600</v>
      </c>
      <c r="I1952" t="s">
        <v>601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hidden="1">
      <c r="A1953" t="s">
        <v>18810</v>
      </c>
      <c r="B1953" t="s">
        <v>1260</v>
      </c>
      <c r="C1953" t="s">
        <v>1261</v>
      </c>
      <c r="D1953" t="s">
        <v>648</v>
      </c>
      <c r="E1953" t="s">
        <v>920</v>
      </c>
      <c r="F1953" t="s">
        <v>598</v>
      </c>
      <c r="G1953" t="s">
        <v>478</v>
      </c>
      <c r="H1953" t="s">
        <v>600</v>
      </c>
      <c r="I1953" t="s">
        <v>601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hidden="1">
      <c r="A1954" t="s">
        <v>18810</v>
      </c>
      <c r="B1954" t="s">
        <v>1265</v>
      </c>
      <c r="C1954" t="s">
        <v>1261</v>
      </c>
      <c r="D1954" t="s">
        <v>648</v>
      </c>
      <c r="E1954" t="s">
        <v>1004</v>
      </c>
      <c r="F1954" t="s">
        <v>598</v>
      </c>
      <c r="G1954" t="s">
        <v>478</v>
      </c>
      <c r="H1954" t="s">
        <v>600</v>
      </c>
      <c r="I1954" t="s">
        <v>601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hidden="1">
      <c r="A1955" t="s">
        <v>18810</v>
      </c>
      <c r="B1955" t="s">
        <v>1272</v>
      </c>
      <c r="C1955" t="s">
        <v>1267</v>
      </c>
      <c r="D1955" t="s">
        <v>1271</v>
      </c>
      <c r="E1955" t="s">
        <v>678</v>
      </c>
      <c r="F1955" t="s">
        <v>598</v>
      </c>
      <c r="G1955" t="s">
        <v>478</v>
      </c>
      <c r="H1955" t="s">
        <v>600</v>
      </c>
      <c r="I1955" t="s">
        <v>601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hidden="1">
      <c r="A1956" t="s">
        <v>18810</v>
      </c>
      <c r="B1956" t="s">
        <v>1273</v>
      </c>
      <c r="C1956" t="s">
        <v>1267</v>
      </c>
      <c r="D1956" t="s">
        <v>1274</v>
      </c>
      <c r="E1956" t="s">
        <v>672</v>
      </c>
      <c r="F1956" t="s">
        <v>598</v>
      </c>
      <c r="G1956" t="s">
        <v>478</v>
      </c>
      <c r="H1956" t="s">
        <v>600</v>
      </c>
      <c r="I1956" t="s">
        <v>601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hidden="1">
      <c r="A1957" t="s">
        <v>18810</v>
      </c>
      <c r="B1957" t="s">
        <v>1276</v>
      </c>
      <c r="C1957" t="s">
        <v>1267</v>
      </c>
      <c r="D1957" t="s">
        <v>1274</v>
      </c>
      <c r="E1957" t="s">
        <v>678</v>
      </c>
      <c r="F1957" t="s">
        <v>598</v>
      </c>
      <c r="G1957" t="s">
        <v>478</v>
      </c>
      <c r="H1957" t="s">
        <v>600</v>
      </c>
      <c r="I1957" t="s">
        <v>601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hidden="1">
      <c r="A1958" t="s">
        <v>18810</v>
      </c>
      <c r="B1958" t="s">
        <v>1277</v>
      </c>
      <c r="C1958" t="s">
        <v>1267</v>
      </c>
      <c r="D1958" t="s">
        <v>1278</v>
      </c>
      <c r="E1958" t="s">
        <v>672</v>
      </c>
      <c r="F1958" t="s">
        <v>598</v>
      </c>
      <c r="G1958" t="s">
        <v>478</v>
      </c>
      <c r="H1958" t="s">
        <v>600</v>
      </c>
      <c r="I1958" t="s">
        <v>601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hidden="1">
      <c r="A1959" t="s">
        <v>18810</v>
      </c>
      <c r="B1959" t="s">
        <v>1279</v>
      </c>
      <c r="C1959" t="s">
        <v>1267</v>
      </c>
      <c r="D1959" t="s">
        <v>1278</v>
      </c>
      <c r="E1959" t="s">
        <v>678</v>
      </c>
      <c r="F1959" t="s">
        <v>598</v>
      </c>
      <c r="G1959" t="s">
        <v>478</v>
      </c>
      <c r="H1959" t="s">
        <v>600</v>
      </c>
      <c r="I1959" t="s">
        <v>601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hidden="1">
      <c r="A1960" t="s">
        <v>18810</v>
      </c>
      <c r="B1960" t="s">
        <v>1280</v>
      </c>
      <c r="C1960" t="s">
        <v>1267</v>
      </c>
      <c r="D1960" t="s">
        <v>1281</v>
      </c>
      <c r="E1960" t="s">
        <v>672</v>
      </c>
      <c r="F1960" t="s">
        <v>598</v>
      </c>
      <c r="G1960" t="s">
        <v>478</v>
      </c>
      <c r="H1960" t="s">
        <v>600</v>
      </c>
      <c r="I1960" t="s">
        <v>601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hidden="1">
      <c r="A1961" t="s">
        <v>18810</v>
      </c>
      <c r="B1961" t="s">
        <v>1283</v>
      </c>
      <c r="C1961" t="s">
        <v>1267</v>
      </c>
      <c r="D1961" t="s">
        <v>1281</v>
      </c>
      <c r="E1961" t="s">
        <v>678</v>
      </c>
      <c r="F1961" t="s">
        <v>598</v>
      </c>
      <c r="G1961" t="s">
        <v>478</v>
      </c>
      <c r="H1961" t="s">
        <v>600</v>
      </c>
      <c r="I1961" t="s">
        <v>601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hidden="1">
      <c r="A1962" t="s">
        <v>18810</v>
      </c>
      <c r="B1962" t="s">
        <v>1291</v>
      </c>
      <c r="C1962" t="s">
        <v>1267</v>
      </c>
      <c r="D1962" t="s">
        <v>1290</v>
      </c>
      <c r="E1962" t="s">
        <v>678</v>
      </c>
      <c r="F1962" t="s">
        <v>598</v>
      </c>
      <c r="G1962" t="s">
        <v>478</v>
      </c>
      <c r="H1962" t="s">
        <v>600</v>
      </c>
      <c r="I1962" t="s">
        <v>601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hidden="1">
      <c r="A1963" t="s">
        <v>18810</v>
      </c>
      <c r="B1963" t="s">
        <v>1292</v>
      </c>
      <c r="C1963" t="s">
        <v>1267</v>
      </c>
      <c r="D1963" t="s">
        <v>1293</v>
      </c>
      <c r="E1963" t="s">
        <v>672</v>
      </c>
      <c r="F1963" t="s">
        <v>598</v>
      </c>
      <c r="G1963" t="s">
        <v>478</v>
      </c>
      <c r="H1963" t="s">
        <v>600</v>
      </c>
      <c r="I1963" t="s">
        <v>601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hidden="1">
      <c r="A1964" t="s">
        <v>18810</v>
      </c>
      <c r="B1964" t="s">
        <v>1294</v>
      </c>
      <c r="C1964" t="s">
        <v>1267</v>
      </c>
      <c r="D1964" t="s">
        <v>1293</v>
      </c>
      <c r="E1964" t="s">
        <v>678</v>
      </c>
      <c r="F1964" t="s">
        <v>598</v>
      </c>
      <c r="G1964" t="s">
        <v>478</v>
      </c>
      <c r="H1964" t="s">
        <v>600</v>
      </c>
      <c r="I1964" t="s">
        <v>601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hidden="1">
      <c r="A1965" t="s">
        <v>18810</v>
      </c>
      <c r="B1965" t="s">
        <v>1297</v>
      </c>
      <c r="C1965" t="s">
        <v>1267</v>
      </c>
      <c r="D1965" t="s">
        <v>1298</v>
      </c>
      <c r="E1965" t="s">
        <v>672</v>
      </c>
      <c r="F1965" t="s">
        <v>598</v>
      </c>
      <c r="G1965" t="s">
        <v>478</v>
      </c>
      <c r="H1965" t="s">
        <v>600</v>
      </c>
      <c r="I1965" t="s">
        <v>601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hidden="1">
      <c r="A1966" t="s">
        <v>18810</v>
      </c>
      <c r="B1966" t="s">
        <v>1301</v>
      </c>
      <c r="C1966" t="s">
        <v>1267</v>
      </c>
      <c r="D1966" t="s">
        <v>1302</v>
      </c>
      <c r="E1966" t="s">
        <v>672</v>
      </c>
      <c r="F1966" t="s">
        <v>598</v>
      </c>
      <c r="G1966" t="s">
        <v>478</v>
      </c>
      <c r="H1966" t="s">
        <v>600</v>
      </c>
      <c r="I1966" t="s">
        <v>601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hidden="1">
      <c r="A1967" t="s">
        <v>18810</v>
      </c>
      <c r="B1967" t="s">
        <v>1303</v>
      </c>
      <c r="C1967" t="s">
        <v>1267</v>
      </c>
      <c r="D1967" t="s">
        <v>1302</v>
      </c>
      <c r="E1967" t="s">
        <v>678</v>
      </c>
      <c r="F1967" t="s">
        <v>598</v>
      </c>
      <c r="G1967" t="s">
        <v>478</v>
      </c>
      <c r="H1967" t="s">
        <v>600</v>
      </c>
      <c r="I1967" t="s">
        <v>601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hidden="1">
      <c r="A1968" t="s">
        <v>18810</v>
      </c>
      <c r="B1968" t="s">
        <v>1304</v>
      </c>
      <c r="C1968" t="s">
        <v>1267</v>
      </c>
      <c r="D1968" t="s">
        <v>1305</v>
      </c>
      <c r="E1968" t="s">
        <v>672</v>
      </c>
      <c r="F1968" t="s">
        <v>598</v>
      </c>
      <c r="G1968" t="s">
        <v>478</v>
      </c>
      <c r="H1968" t="s">
        <v>600</v>
      </c>
      <c r="I1968" t="s">
        <v>601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hidden="1">
      <c r="A1969" t="s">
        <v>18810</v>
      </c>
      <c r="B1969" t="s">
        <v>1308</v>
      </c>
      <c r="C1969" t="s">
        <v>1267</v>
      </c>
      <c r="D1969" t="s">
        <v>1309</v>
      </c>
      <c r="E1969" t="s">
        <v>672</v>
      </c>
      <c r="F1969" t="s">
        <v>598</v>
      </c>
      <c r="G1969" t="s">
        <v>478</v>
      </c>
      <c r="H1969" t="s">
        <v>600</v>
      </c>
      <c r="I1969" t="s">
        <v>601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</row>
    <row r="1970" spans="1:25" hidden="1">
      <c r="A1970" t="s">
        <v>18810</v>
      </c>
      <c r="B1970" t="s">
        <v>1313</v>
      </c>
      <c r="C1970" t="s">
        <v>1267</v>
      </c>
      <c r="D1970" t="s">
        <v>1311</v>
      </c>
      <c r="E1970" t="s">
        <v>605</v>
      </c>
      <c r="F1970" t="s">
        <v>598</v>
      </c>
      <c r="G1970" t="s">
        <v>478</v>
      </c>
      <c r="H1970" t="s">
        <v>600</v>
      </c>
      <c r="I1970" t="s">
        <v>601</v>
      </c>
      <c r="J1970">
        <v>7.7999999999999996E-3</v>
      </c>
      <c r="K1970">
        <v>7.6E-3</v>
      </c>
      <c r="L1970">
        <v>7.4000000000000003E-3</v>
      </c>
      <c r="M1970">
        <v>7.1999999999999998E-3</v>
      </c>
      <c r="N1970">
        <v>7.1000000000000004E-3</v>
      </c>
      <c r="O1970">
        <v>6.8999999999999999E-3</v>
      </c>
      <c r="P1970">
        <v>6.7999999999999996E-3</v>
      </c>
      <c r="Q1970">
        <v>6.6E-3</v>
      </c>
      <c r="R1970">
        <v>6.4999999999999997E-3</v>
      </c>
      <c r="S1970">
        <v>6.3E-3</v>
      </c>
      <c r="T1970">
        <v>6.1999999999999998E-3</v>
      </c>
      <c r="U1970">
        <v>6.1000000000000004E-3</v>
      </c>
      <c r="V1970">
        <v>5.8999999999999999E-3</v>
      </c>
      <c r="W1970">
        <v>5.7999999999999996E-3</v>
      </c>
      <c r="X1970">
        <v>5.7000000000000002E-3</v>
      </c>
      <c r="Y1970">
        <v>5.5999999999999999E-3</v>
      </c>
    </row>
    <row r="1971" spans="1:25" hidden="1">
      <c r="A1971" t="s">
        <v>18810</v>
      </c>
      <c r="B1971" t="s">
        <v>1314</v>
      </c>
      <c r="C1971" t="s">
        <v>1267</v>
      </c>
      <c r="D1971" t="s">
        <v>1311</v>
      </c>
      <c r="E1971" t="s">
        <v>678</v>
      </c>
      <c r="F1971" t="s">
        <v>598</v>
      </c>
      <c r="G1971" t="s">
        <v>478</v>
      </c>
      <c r="H1971" t="s">
        <v>600</v>
      </c>
      <c r="I1971" t="s">
        <v>601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hidden="1">
      <c r="A1972" t="s">
        <v>18810</v>
      </c>
      <c r="B1972" t="s">
        <v>1321</v>
      </c>
      <c r="C1972" t="s">
        <v>1267</v>
      </c>
      <c r="D1972" t="s">
        <v>1322</v>
      </c>
      <c r="E1972" t="s">
        <v>672</v>
      </c>
      <c r="F1972" t="s">
        <v>598</v>
      </c>
      <c r="G1972" t="s">
        <v>478</v>
      </c>
      <c r="H1972" t="s">
        <v>600</v>
      </c>
      <c r="I1972" t="s">
        <v>601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hidden="1">
      <c r="A1973" t="s">
        <v>18810</v>
      </c>
      <c r="B1973" t="s">
        <v>1323</v>
      </c>
      <c r="C1973" t="s">
        <v>1267</v>
      </c>
      <c r="D1973" t="s">
        <v>1324</v>
      </c>
      <c r="E1973" t="s">
        <v>688</v>
      </c>
      <c r="F1973" t="s">
        <v>598</v>
      </c>
      <c r="G1973" t="s">
        <v>478</v>
      </c>
      <c r="H1973" t="s">
        <v>600</v>
      </c>
      <c r="I1973" t="s">
        <v>601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hidden="1">
      <c r="A1974" t="s">
        <v>18810</v>
      </c>
      <c r="B1974" t="s">
        <v>1325</v>
      </c>
      <c r="C1974" t="s">
        <v>1267</v>
      </c>
      <c r="D1974" t="s">
        <v>1324</v>
      </c>
      <c r="E1974" t="s">
        <v>1326</v>
      </c>
      <c r="F1974" t="s">
        <v>598</v>
      </c>
      <c r="G1974" t="s">
        <v>478</v>
      </c>
      <c r="H1974" t="s">
        <v>600</v>
      </c>
      <c r="I1974" t="s">
        <v>601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hidden="1">
      <c r="A1975" t="s">
        <v>18810</v>
      </c>
      <c r="B1975" t="s">
        <v>1328</v>
      </c>
      <c r="C1975" t="s">
        <v>1267</v>
      </c>
      <c r="D1975" t="s">
        <v>1324</v>
      </c>
      <c r="E1975" t="s">
        <v>678</v>
      </c>
      <c r="F1975" t="s">
        <v>598</v>
      </c>
      <c r="G1975" t="s">
        <v>478</v>
      </c>
      <c r="H1975" t="s">
        <v>600</v>
      </c>
      <c r="I1975" t="s">
        <v>601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hidden="1">
      <c r="A1976" t="s">
        <v>18810</v>
      </c>
      <c r="B1976" t="s">
        <v>1329</v>
      </c>
      <c r="C1976" t="s">
        <v>1267</v>
      </c>
      <c r="D1976" t="s">
        <v>1324</v>
      </c>
      <c r="E1976" t="s">
        <v>1318</v>
      </c>
      <c r="F1976" t="s">
        <v>598</v>
      </c>
      <c r="G1976" t="s">
        <v>478</v>
      </c>
      <c r="H1976" t="s">
        <v>600</v>
      </c>
      <c r="I1976" t="s">
        <v>601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hidden="1">
      <c r="A1977" t="s">
        <v>18810</v>
      </c>
      <c r="B1977" t="s">
        <v>1330</v>
      </c>
      <c r="C1977" t="s">
        <v>1267</v>
      </c>
      <c r="D1977" t="s">
        <v>1324</v>
      </c>
      <c r="E1977" t="s">
        <v>954</v>
      </c>
      <c r="F1977" t="s">
        <v>598</v>
      </c>
      <c r="G1977" t="s">
        <v>478</v>
      </c>
      <c r="H1977" t="s">
        <v>600</v>
      </c>
      <c r="I1977" t="s">
        <v>601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</row>
    <row r="1978" spans="1:25" hidden="1">
      <c r="A1978" t="s">
        <v>18810</v>
      </c>
      <c r="B1978" t="s">
        <v>1347</v>
      </c>
      <c r="C1978" t="s">
        <v>1267</v>
      </c>
      <c r="D1978" t="s">
        <v>1348</v>
      </c>
      <c r="E1978" t="s">
        <v>1318</v>
      </c>
      <c r="F1978" t="s">
        <v>598</v>
      </c>
      <c r="G1978" t="s">
        <v>478</v>
      </c>
      <c r="H1978" t="s">
        <v>600</v>
      </c>
      <c r="I1978" t="s">
        <v>601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hidden="1">
      <c r="A1979" t="s">
        <v>18810</v>
      </c>
      <c r="B1979" t="s">
        <v>1351</v>
      </c>
      <c r="C1979" t="s">
        <v>1267</v>
      </c>
      <c r="D1979" t="s">
        <v>1352</v>
      </c>
      <c r="E1979" t="s">
        <v>672</v>
      </c>
      <c r="F1979" t="s">
        <v>598</v>
      </c>
      <c r="G1979" t="s">
        <v>478</v>
      </c>
      <c r="H1979" t="s">
        <v>600</v>
      </c>
      <c r="I1979" t="s">
        <v>601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hidden="1">
      <c r="A1980" t="s">
        <v>18810</v>
      </c>
      <c r="B1980" t="s">
        <v>1353</v>
      </c>
      <c r="C1980" t="s">
        <v>1267</v>
      </c>
      <c r="D1980" t="s">
        <v>1354</v>
      </c>
      <c r="E1980" t="s">
        <v>672</v>
      </c>
      <c r="F1980" t="s">
        <v>598</v>
      </c>
      <c r="G1980" t="s">
        <v>478</v>
      </c>
      <c r="H1980" t="s">
        <v>600</v>
      </c>
      <c r="I1980" t="s">
        <v>601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hidden="1">
      <c r="A1981" t="s">
        <v>18810</v>
      </c>
      <c r="B1981" t="s">
        <v>1369</v>
      </c>
      <c r="C1981" t="s">
        <v>1267</v>
      </c>
      <c r="D1981" t="s">
        <v>1370</v>
      </c>
      <c r="E1981" t="s">
        <v>672</v>
      </c>
      <c r="F1981" t="s">
        <v>598</v>
      </c>
      <c r="G1981" t="s">
        <v>478</v>
      </c>
      <c r="H1981" t="s">
        <v>600</v>
      </c>
      <c r="I1981" t="s">
        <v>601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hidden="1">
      <c r="A1982" t="s">
        <v>18810</v>
      </c>
      <c r="B1982" t="s">
        <v>1371</v>
      </c>
      <c r="C1982" t="s">
        <v>1267</v>
      </c>
      <c r="D1982" t="s">
        <v>1370</v>
      </c>
      <c r="E1982" t="s">
        <v>678</v>
      </c>
      <c r="F1982" t="s">
        <v>598</v>
      </c>
      <c r="G1982" t="s">
        <v>478</v>
      </c>
      <c r="H1982" t="s">
        <v>600</v>
      </c>
      <c r="I1982" t="s">
        <v>601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hidden="1">
      <c r="A1983" t="s">
        <v>18810</v>
      </c>
      <c r="B1983" t="s">
        <v>1373</v>
      </c>
      <c r="C1983" t="s">
        <v>1267</v>
      </c>
      <c r="D1983" t="s">
        <v>648</v>
      </c>
      <c r="E1983" t="s">
        <v>672</v>
      </c>
      <c r="F1983" t="s">
        <v>598</v>
      </c>
      <c r="G1983" t="s">
        <v>478</v>
      </c>
      <c r="H1983" t="s">
        <v>600</v>
      </c>
      <c r="I1983" t="s">
        <v>601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</row>
    <row r="1984" spans="1:25" hidden="1">
      <c r="A1984" t="s">
        <v>18810</v>
      </c>
      <c r="B1984" t="s">
        <v>1375</v>
      </c>
      <c r="C1984" t="s">
        <v>1267</v>
      </c>
      <c r="D1984" t="s">
        <v>648</v>
      </c>
      <c r="E1984" t="s">
        <v>929</v>
      </c>
      <c r="F1984" t="s">
        <v>598</v>
      </c>
      <c r="G1984" t="s">
        <v>478</v>
      </c>
      <c r="H1984" t="s">
        <v>600</v>
      </c>
      <c r="I1984" t="s">
        <v>601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hidden="1">
      <c r="A1985" t="s">
        <v>18810</v>
      </c>
      <c r="B1985" t="s">
        <v>1376</v>
      </c>
      <c r="C1985" t="s">
        <v>1267</v>
      </c>
      <c r="D1985" t="s">
        <v>648</v>
      </c>
      <c r="E1985" t="s">
        <v>678</v>
      </c>
      <c r="F1985" t="s">
        <v>598</v>
      </c>
      <c r="G1985" t="s">
        <v>478</v>
      </c>
      <c r="H1985" t="s">
        <v>600</v>
      </c>
      <c r="I1985" t="s">
        <v>601</v>
      </c>
      <c r="J1985">
        <v>2.0999999999999999E-3</v>
      </c>
      <c r="K1985">
        <v>2.2000000000000001E-3</v>
      </c>
      <c r="L1985">
        <v>2.2000000000000001E-3</v>
      </c>
      <c r="M1985">
        <v>2.2000000000000001E-3</v>
      </c>
      <c r="N1985">
        <v>2.3E-3</v>
      </c>
      <c r="O1985">
        <v>2.3E-3</v>
      </c>
      <c r="P1985">
        <v>2.3E-3</v>
      </c>
      <c r="Q1985">
        <v>2.3999999999999998E-3</v>
      </c>
      <c r="R1985">
        <v>2.3999999999999998E-3</v>
      </c>
      <c r="S1985">
        <v>2.3999999999999998E-3</v>
      </c>
      <c r="T1985">
        <v>2.5000000000000001E-3</v>
      </c>
      <c r="U1985">
        <v>2.5000000000000001E-3</v>
      </c>
      <c r="V1985">
        <v>2.5000000000000001E-3</v>
      </c>
      <c r="W1985">
        <v>2.5999999999999999E-3</v>
      </c>
      <c r="X1985">
        <v>2.5999999999999999E-3</v>
      </c>
      <c r="Y1985">
        <v>2.7000000000000001E-3</v>
      </c>
    </row>
    <row r="1986" spans="1:25" hidden="1">
      <c r="A1986" t="s">
        <v>18810</v>
      </c>
      <c r="B1986" t="s">
        <v>1381</v>
      </c>
      <c r="C1986" t="s">
        <v>1382</v>
      </c>
      <c r="D1986" t="s">
        <v>1274</v>
      </c>
      <c r="E1986" t="s">
        <v>973</v>
      </c>
      <c r="F1986" t="s">
        <v>598</v>
      </c>
      <c r="G1986" t="s">
        <v>478</v>
      </c>
      <c r="H1986" t="s">
        <v>600</v>
      </c>
      <c r="I1986" t="s">
        <v>601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hidden="1">
      <c r="A1987" t="s">
        <v>18810</v>
      </c>
      <c r="B1987" t="s">
        <v>1384</v>
      </c>
      <c r="C1987" t="s">
        <v>1382</v>
      </c>
      <c r="D1987" t="s">
        <v>1285</v>
      </c>
      <c r="E1987" t="s">
        <v>973</v>
      </c>
      <c r="F1987" t="s">
        <v>598</v>
      </c>
      <c r="G1987" t="s">
        <v>478</v>
      </c>
      <c r="H1987" t="s">
        <v>600</v>
      </c>
      <c r="I1987" t="s">
        <v>601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5" hidden="1">
      <c r="A1988" t="s">
        <v>18810</v>
      </c>
      <c r="B1988" t="s">
        <v>1387</v>
      </c>
      <c r="C1988" t="s">
        <v>1382</v>
      </c>
      <c r="D1988" t="s">
        <v>1311</v>
      </c>
      <c r="E1988" t="s">
        <v>973</v>
      </c>
      <c r="F1988" t="s">
        <v>598</v>
      </c>
      <c r="G1988" t="s">
        <v>478</v>
      </c>
      <c r="H1988" t="s">
        <v>600</v>
      </c>
      <c r="I1988" t="s">
        <v>601</v>
      </c>
      <c r="J1988">
        <v>3.3099999999999997E-2</v>
      </c>
      <c r="K1988">
        <v>3.3700000000000001E-2</v>
      </c>
      <c r="L1988">
        <v>3.4099999999999998E-2</v>
      </c>
      <c r="M1988">
        <v>3.44E-2</v>
      </c>
      <c r="N1988">
        <v>3.4700000000000002E-2</v>
      </c>
      <c r="O1988">
        <v>3.49E-2</v>
      </c>
      <c r="P1988">
        <v>3.5200000000000002E-2</v>
      </c>
      <c r="Q1988">
        <v>3.56E-2</v>
      </c>
      <c r="R1988">
        <v>3.6200000000000003E-2</v>
      </c>
      <c r="S1988">
        <v>3.6400000000000002E-2</v>
      </c>
      <c r="T1988">
        <v>3.6700000000000003E-2</v>
      </c>
      <c r="U1988">
        <v>3.7100000000000001E-2</v>
      </c>
      <c r="V1988">
        <v>3.7400000000000003E-2</v>
      </c>
      <c r="W1988">
        <v>3.7999999999999999E-2</v>
      </c>
      <c r="X1988">
        <v>3.8199999999999998E-2</v>
      </c>
      <c r="Y1988">
        <v>3.8600000000000002E-2</v>
      </c>
    </row>
    <row r="1989" spans="1:25" hidden="1">
      <c r="A1989" t="s">
        <v>18810</v>
      </c>
      <c r="B1989" t="s">
        <v>1388</v>
      </c>
      <c r="C1989" t="s">
        <v>1382</v>
      </c>
      <c r="D1989" t="s">
        <v>1311</v>
      </c>
      <c r="E1989" t="s">
        <v>597</v>
      </c>
      <c r="F1989" t="s">
        <v>598</v>
      </c>
      <c r="G1989" t="s">
        <v>478</v>
      </c>
      <c r="H1989" t="s">
        <v>600</v>
      </c>
      <c r="I1989" t="s">
        <v>601</v>
      </c>
      <c r="J1989">
        <v>0.1691</v>
      </c>
      <c r="K1989">
        <v>0.1706</v>
      </c>
      <c r="L1989">
        <v>0.1721</v>
      </c>
      <c r="M1989">
        <v>0.17380000000000001</v>
      </c>
      <c r="N1989">
        <v>0.17519999999999999</v>
      </c>
      <c r="O1989">
        <v>0.17680000000000001</v>
      </c>
      <c r="P1989">
        <v>0.17849999999999999</v>
      </c>
      <c r="Q1989">
        <v>0.18010000000000001</v>
      </c>
      <c r="R1989">
        <v>0.18179999999999999</v>
      </c>
      <c r="S1989">
        <v>0.18340000000000001</v>
      </c>
      <c r="T1989">
        <v>0.185</v>
      </c>
      <c r="U1989">
        <v>0.18659999999999999</v>
      </c>
      <c r="V1989">
        <v>0.1883</v>
      </c>
      <c r="W1989">
        <v>0.19009999999999999</v>
      </c>
      <c r="X1989">
        <v>0.19170000000000001</v>
      </c>
      <c r="Y1989">
        <v>0.19350000000000001</v>
      </c>
    </row>
    <row r="1990" spans="1:25" hidden="1">
      <c r="A1990" t="s">
        <v>18810</v>
      </c>
      <c r="B1990" t="s">
        <v>1390</v>
      </c>
      <c r="C1990" t="s">
        <v>1382</v>
      </c>
      <c r="D1990" t="s">
        <v>1311</v>
      </c>
      <c r="E1990" t="s">
        <v>605</v>
      </c>
      <c r="F1990" t="s">
        <v>598</v>
      </c>
      <c r="G1990" t="s">
        <v>478</v>
      </c>
      <c r="H1990" t="s">
        <v>600</v>
      </c>
      <c r="I1990" t="s">
        <v>601</v>
      </c>
      <c r="J1990">
        <v>1.12E-2</v>
      </c>
      <c r="K1990">
        <v>1.14E-2</v>
      </c>
      <c r="L1990">
        <v>1.15E-2</v>
      </c>
      <c r="M1990">
        <v>1.1599999999999999E-2</v>
      </c>
      <c r="N1990">
        <v>1.17E-2</v>
      </c>
      <c r="O1990">
        <v>1.18E-2</v>
      </c>
      <c r="P1990">
        <v>1.1900000000000001E-2</v>
      </c>
      <c r="Q1990">
        <v>1.2E-2</v>
      </c>
      <c r="R1990">
        <v>1.2200000000000001E-2</v>
      </c>
      <c r="S1990">
        <v>1.23E-2</v>
      </c>
      <c r="T1990">
        <v>1.24E-2</v>
      </c>
      <c r="U1990">
        <v>1.2500000000000001E-2</v>
      </c>
      <c r="V1990">
        <v>1.26E-2</v>
      </c>
      <c r="W1990">
        <v>1.2800000000000001E-2</v>
      </c>
      <c r="X1990">
        <v>1.29E-2</v>
      </c>
      <c r="Y1990">
        <v>1.2999999999999999E-2</v>
      </c>
    </row>
    <row r="1991" spans="1:25" hidden="1">
      <c r="A1991" t="s">
        <v>18810</v>
      </c>
      <c r="B1991" t="s">
        <v>1391</v>
      </c>
      <c r="C1991" t="s">
        <v>1382</v>
      </c>
      <c r="D1991" t="s">
        <v>1392</v>
      </c>
      <c r="E1991" t="s">
        <v>1393</v>
      </c>
      <c r="F1991" t="s">
        <v>598</v>
      </c>
      <c r="G1991" t="s">
        <v>478</v>
      </c>
      <c r="H1991" t="s">
        <v>600</v>
      </c>
      <c r="I1991" t="s">
        <v>601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hidden="1">
      <c r="A1992" t="s">
        <v>18810</v>
      </c>
      <c r="B1992" t="s">
        <v>1394</v>
      </c>
      <c r="C1992" t="s">
        <v>1382</v>
      </c>
      <c r="D1992" t="s">
        <v>1316</v>
      </c>
      <c r="E1992" t="s">
        <v>1018</v>
      </c>
      <c r="F1992" t="s">
        <v>598</v>
      </c>
      <c r="G1992" t="s">
        <v>478</v>
      </c>
      <c r="H1992" t="s">
        <v>600</v>
      </c>
      <c r="I1992" t="s">
        <v>601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hidden="1">
      <c r="A1993" t="s">
        <v>18810</v>
      </c>
      <c r="B1993" t="s">
        <v>1395</v>
      </c>
      <c r="C1993" t="s">
        <v>1382</v>
      </c>
      <c r="D1993" t="s">
        <v>1316</v>
      </c>
      <c r="E1993" t="s">
        <v>688</v>
      </c>
      <c r="F1993" t="s">
        <v>598</v>
      </c>
      <c r="G1993" t="s">
        <v>478</v>
      </c>
      <c r="H1993" t="s">
        <v>600</v>
      </c>
      <c r="I1993" t="s">
        <v>601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hidden="1">
      <c r="A1994" t="s">
        <v>18810</v>
      </c>
      <c r="B1994" t="s">
        <v>1396</v>
      </c>
      <c r="C1994" t="s">
        <v>1382</v>
      </c>
      <c r="D1994" t="s">
        <v>1316</v>
      </c>
      <c r="E1994" t="s">
        <v>626</v>
      </c>
      <c r="F1994" t="s">
        <v>598</v>
      </c>
      <c r="G1994" t="s">
        <v>478</v>
      </c>
      <c r="H1994" t="s">
        <v>600</v>
      </c>
      <c r="I1994" t="s">
        <v>601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hidden="1">
      <c r="A1995" t="s">
        <v>18810</v>
      </c>
      <c r="B1995" t="s">
        <v>1397</v>
      </c>
      <c r="C1995" t="s">
        <v>1382</v>
      </c>
      <c r="D1995" t="s">
        <v>1316</v>
      </c>
      <c r="E1995" t="s">
        <v>1334</v>
      </c>
      <c r="F1995" t="s">
        <v>598</v>
      </c>
      <c r="G1995" t="s">
        <v>478</v>
      </c>
      <c r="H1995" t="s">
        <v>600</v>
      </c>
      <c r="I1995" t="s">
        <v>601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hidden="1">
      <c r="A1996" t="s">
        <v>18810</v>
      </c>
      <c r="B1996" t="s">
        <v>1404</v>
      </c>
      <c r="C1996" t="s">
        <v>1382</v>
      </c>
      <c r="D1996" t="s">
        <v>1316</v>
      </c>
      <c r="E1996" t="s">
        <v>1318</v>
      </c>
      <c r="F1996" t="s">
        <v>598</v>
      </c>
      <c r="G1996" t="s">
        <v>478</v>
      </c>
      <c r="H1996" t="s">
        <v>600</v>
      </c>
      <c r="I1996" t="s">
        <v>601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hidden="1">
      <c r="A1997" t="s">
        <v>18810</v>
      </c>
      <c r="B1997" t="s">
        <v>1405</v>
      </c>
      <c r="C1997" t="s">
        <v>1382</v>
      </c>
      <c r="D1997" t="s">
        <v>1316</v>
      </c>
      <c r="E1997" t="s">
        <v>1198</v>
      </c>
      <c r="F1997" t="s">
        <v>598</v>
      </c>
      <c r="G1997" t="s">
        <v>478</v>
      </c>
      <c r="H1997" t="s">
        <v>600</v>
      </c>
      <c r="I1997" t="s">
        <v>601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hidden="1">
      <c r="A1998" t="s">
        <v>18810</v>
      </c>
      <c r="B1998" t="s">
        <v>1413</v>
      </c>
      <c r="C1998" t="s">
        <v>1382</v>
      </c>
      <c r="D1998" t="s">
        <v>1324</v>
      </c>
      <c r="E1998" t="s">
        <v>1018</v>
      </c>
      <c r="F1998" t="s">
        <v>598</v>
      </c>
      <c r="G1998" t="s">
        <v>478</v>
      </c>
      <c r="H1998" t="s">
        <v>600</v>
      </c>
      <c r="I1998" t="s">
        <v>601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hidden="1">
      <c r="A1999" t="s">
        <v>18810</v>
      </c>
      <c r="B1999" t="s">
        <v>1414</v>
      </c>
      <c r="C1999" t="s">
        <v>1382</v>
      </c>
      <c r="D1999" t="s">
        <v>1324</v>
      </c>
      <c r="E1999" t="s">
        <v>688</v>
      </c>
      <c r="F1999" t="s">
        <v>598</v>
      </c>
      <c r="G1999" t="s">
        <v>478</v>
      </c>
      <c r="H1999" t="s">
        <v>600</v>
      </c>
      <c r="I1999" t="s">
        <v>601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hidden="1">
      <c r="A2000" t="s">
        <v>18810</v>
      </c>
      <c r="B2000" t="s">
        <v>1418</v>
      </c>
      <c r="C2000" t="s">
        <v>1382</v>
      </c>
      <c r="D2000" t="s">
        <v>1324</v>
      </c>
      <c r="E2000" t="s">
        <v>1326</v>
      </c>
      <c r="F2000" t="s">
        <v>598</v>
      </c>
      <c r="G2000" t="s">
        <v>478</v>
      </c>
      <c r="H2000" t="s">
        <v>600</v>
      </c>
      <c r="I2000" t="s">
        <v>601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hidden="1">
      <c r="A2001" t="s">
        <v>18810</v>
      </c>
      <c r="B2001" t="s">
        <v>1421</v>
      </c>
      <c r="C2001" t="s">
        <v>1382</v>
      </c>
      <c r="D2001" t="s">
        <v>1324</v>
      </c>
      <c r="E2001" t="s">
        <v>1318</v>
      </c>
      <c r="F2001" t="s">
        <v>598</v>
      </c>
      <c r="G2001" t="s">
        <v>478</v>
      </c>
      <c r="H2001" t="s">
        <v>600</v>
      </c>
      <c r="I2001" t="s">
        <v>601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</row>
    <row r="2002" spans="1:25" hidden="1">
      <c r="A2002" t="s">
        <v>18810</v>
      </c>
      <c r="B2002" t="s">
        <v>1422</v>
      </c>
      <c r="C2002" t="s">
        <v>1382</v>
      </c>
      <c r="D2002" t="s">
        <v>1324</v>
      </c>
      <c r="E2002" t="s">
        <v>1423</v>
      </c>
      <c r="F2002" t="s">
        <v>598</v>
      </c>
      <c r="G2002" t="s">
        <v>478</v>
      </c>
      <c r="H2002" t="s">
        <v>600</v>
      </c>
      <c r="I2002" t="s">
        <v>601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hidden="1">
      <c r="A2003" t="s">
        <v>18810</v>
      </c>
      <c r="B2003" t="s">
        <v>1432</v>
      </c>
      <c r="C2003" t="s">
        <v>1382</v>
      </c>
      <c r="D2003" t="s">
        <v>1348</v>
      </c>
      <c r="E2003" t="s">
        <v>688</v>
      </c>
      <c r="F2003" t="s">
        <v>598</v>
      </c>
      <c r="G2003" t="s">
        <v>478</v>
      </c>
      <c r="H2003" t="s">
        <v>600</v>
      </c>
      <c r="I2003" t="s">
        <v>601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hidden="1">
      <c r="A2004" t="s">
        <v>18810</v>
      </c>
      <c r="B2004" t="s">
        <v>1434</v>
      </c>
      <c r="C2004" t="s">
        <v>1382</v>
      </c>
      <c r="D2004" t="s">
        <v>1435</v>
      </c>
      <c r="E2004" t="s">
        <v>973</v>
      </c>
      <c r="F2004" t="s">
        <v>598</v>
      </c>
      <c r="G2004" t="s">
        <v>478</v>
      </c>
      <c r="H2004" t="s">
        <v>600</v>
      </c>
      <c r="I2004" t="s">
        <v>601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hidden="1">
      <c r="A2005" t="s">
        <v>18810</v>
      </c>
      <c r="B2005" t="s">
        <v>1436</v>
      </c>
      <c r="C2005" t="s">
        <v>1382</v>
      </c>
      <c r="D2005" t="s">
        <v>1354</v>
      </c>
      <c r="E2005" t="s">
        <v>973</v>
      </c>
      <c r="F2005" t="s">
        <v>598</v>
      </c>
      <c r="G2005" t="s">
        <v>478</v>
      </c>
      <c r="H2005" t="s">
        <v>600</v>
      </c>
      <c r="I2005" t="s">
        <v>601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hidden="1">
      <c r="A2006" t="s">
        <v>18810</v>
      </c>
      <c r="B2006" t="s">
        <v>1437</v>
      </c>
      <c r="C2006" t="s">
        <v>1382</v>
      </c>
      <c r="D2006" t="s">
        <v>1354</v>
      </c>
      <c r="E2006" t="s">
        <v>1438</v>
      </c>
      <c r="F2006" t="s">
        <v>598</v>
      </c>
      <c r="G2006" t="s">
        <v>478</v>
      </c>
      <c r="H2006" t="s">
        <v>600</v>
      </c>
      <c r="I2006" t="s">
        <v>601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</row>
    <row r="2007" spans="1:25" hidden="1">
      <c r="A2007" t="s">
        <v>18810</v>
      </c>
      <c r="B2007" t="s">
        <v>1439</v>
      </c>
      <c r="C2007" t="s">
        <v>1382</v>
      </c>
      <c r="D2007" t="s">
        <v>1440</v>
      </c>
      <c r="E2007" t="s">
        <v>973</v>
      </c>
      <c r="F2007" t="s">
        <v>598</v>
      </c>
      <c r="G2007" t="s">
        <v>478</v>
      </c>
      <c r="H2007" t="s">
        <v>600</v>
      </c>
      <c r="I2007" t="s">
        <v>601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hidden="1">
      <c r="A2008" t="s">
        <v>18810</v>
      </c>
      <c r="B2008" t="s">
        <v>1442</v>
      </c>
      <c r="C2008" t="s">
        <v>1382</v>
      </c>
      <c r="D2008" t="s">
        <v>1443</v>
      </c>
      <c r="E2008" t="s">
        <v>611</v>
      </c>
      <c r="F2008" t="s">
        <v>598</v>
      </c>
      <c r="G2008" t="s">
        <v>478</v>
      </c>
      <c r="H2008" t="s">
        <v>600</v>
      </c>
      <c r="I2008" t="s">
        <v>601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</row>
    <row r="2009" spans="1:25" hidden="1">
      <c r="A2009" t="s">
        <v>18810</v>
      </c>
      <c r="B2009" t="s">
        <v>1444</v>
      </c>
      <c r="C2009" t="s">
        <v>1382</v>
      </c>
      <c r="D2009" t="s">
        <v>1445</v>
      </c>
      <c r="E2009" t="s">
        <v>973</v>
      </c>
      <c r="F2009" t="s">
        <v>598</v>
      </c>
      <c r="G2009" t="s">
        <v>478</v>
      </c>
      <c r="H2009" t="s">
        <v>600</v>
      </c>
      <c r="I2009" t="s">
        <v>601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</row>
    <row r="2010" spans="1:25" hidden="1">
      <c r="A2010" t="s">
        <v>18810</v>
      </c>
      <c r="B2010" t="s">
        <v>1448</v>
      </c>
      <c r="C2010" t="s">
        <v>1382</v>
      </c>
      <c r="D2010" t="s">
        <v>1449</v>
      </c>
      <c r="E2010" t="s">
        <v>1450</v>
      </c>
      <c r="F2010" t="s">
        <v>598</v>
      </c>
      <c r="G2010" t="s">
        <v>478</v>
      </c>
      <c r="H2010" t="s">
        <v>600</v>
      </c>
      <c r="I2010" t="s">
        <v>601</v>
      </c>
      <c r="J2010">
        <v>7.5700000000000003E-2</v>
      </c>
      <c r="K2010">
        <v>7.6399999999999996E-2</v>
      </c>
      <c r="L2010">
        <v>7.7200000000000005E-2</v>
      </c>
      <c r="M2010">
        <v>7.7899999999999997E-2</v>
      </c>
      <c r="N2010">
        <v>7.8600000000000003E-2</v>
      </c>
      <c r="O2010">
        <v>7.9500000000000001E-2</v>
      </c>
      <c r="P2010">
        <v>8.0199999999999994E-2</v>
      </c>
      <c r="Q2010">
        <v>8.1100000000000005E-2</v>
      </c>
      <c r="R2010">
        <v>8.1799999999999998E-2</v>
      </c>
      <c r="S2010">
        <v>8.2699999999999996E-2</v>
      </c>
      <c r="T2010">
        <v>8.3599999999999994E-2</v>
      </c>
      <c r="U2010">
        <v>8.43E-2</v>
      </c>
      <c r="V2010">
        <v>8.5199999999999998E-2</v>
      </c>
      <c r="W2010">
        <v>8.5999999999999993E-2</v>
      </c>
      <c r="X2010">
        <v>8.6900000000000005E-2</v>
      </c>
      <c r="Y2010">
        <v>8.7800000000000003E-2</v>
      </c>
    </row>
    <row r="2011" spans="1:25" hidden="1">
      <c r="A2011" t="s">
        <v>18810</v>
      </c>
      <c r="B2011" t="s">
        <v>1459</v>
      </c>
      <c r="C2011" t="s">
        <v>1382</v>
      </c>
      <c r="D2011" t="s">
        <v>648</v>
      </c>
      <c r="E2011" t="s">
        <v>920</v>
      </c>
      <c r="F2011" t="s">
        <v>598</v>
      </c>
      <c r="G2011" t="s">
        <v>478</v>
      </c>
      <c r="H2011" t="s">
        <v>600</v>
      </c>
      <c r="I2011" t="s">
        <v>601</v>
      </c>
      <c r="J2011">
        <v>1.0230999999999999</v>
      </c>
      <c r="K2011">
        <v>1.0407999999999999</v>
      </c>
      <c r="L2011">
        <v>1.0507</v>
      </c>
      <c r="M2011">
        <v>1.0605</v>
      </c>
      <c r="N2011">
        <v>1.0704</v>
      </c>
      <c r="O2011">
        <v>1.0783</v>
      </c>
      <c r="P2011">
        <v>1.0881000000000001</v>
      </c>
      <c r="Q2011">
        <v>1.0980000000000001</v>
      </c>
      <c r="R2011">
        <v>1.1156999999999999</v>
      </c>
      <c r="S2011">
        <v>1.1255999999999999</v>
      </c>
      <c r="T2011">
        <v>1.1344000000000001</v>
      </c>
      <c r="U2011">
        <v>1.1433</v>
      </c>
      <c r="V2011">
        <v>1.1532</v>
      </c>
      <c r="W2011">
        <v>1.1718999999999999</v>
      </c>
      <c r="X2011">
        <v>1.1808000000000001</v>
      </c>
      <c r="Y2011">
        <v>1.1906000000000001</v>
      </c>
    </row>
    <row r="2012" spans="1:25" hidden="1">
      <c r="A2012" t="s">
        <v>18810</v>
      </c>
      <c r="B2012" t="s">
        <v>1460</v>
      </c>
      <c r="C2012" t="s">
        <v>1382</v>
      </c>
      <c r="D2012" t="s">
        <v>648</v>
      </c>
      <c r="E2012" t="s">
        <v>973</v>
      </c>
      <c r="F2012" t="s">
        <v>598</v>
      </c>
      <c r="G2012" t="s">
        <v>478</v>
      </c>
      <c r="H2012" t="s">
        <v>600</v>
      </c>
      <c r="I2012" t="s">
        <v>601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hidden="1">
      <c r="A2013" t="s">
        <v>18810</v>
      </c>
      <c r="B2013" t="s">
        <v>1462</v>
      </c>
      <c r="C2013" t="s">
        <v>1382</v>
      </c>
      <c r="D2013" t="s">
        <v>648</v>
      </c>
      <c r="E2013" t="s">
        <v>929</v>
      </c>
      <c r="F2013" t="s">
        <v>598</v>
      </c>
      <c r="G2013" t="s">
        <v>478</v>
      </c>
      <c r="H2013" t="s">
        <v>600</v>
      </c>
      <c r="I2013" t="s">
        <v>601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hidden="1">
      <c r="A2014" t="s">
        <v>18810</v>
      </c>
      <c r="B2014" t="s">
        <v>1466</v>
      </c>
      <c r="C2014" t="s">
        <v>1382</v>
      </c>
      <c r="D2014" t="s">
        <v>648</v>
      </c>
      <c r="E2014" t="s">
        <v>1467</v>
      </c>
      <c r="F2014" t="s">
        <v>598</v>
      </c>
      <c r="G2014" t="s">
        <v>478</v>
      </c>
      <c r="H2014" t="s">
        <v>600</v>
      </c>
      <c r="I2014" t="s">
        <v>601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hidden="1">
      <c r="A2015" t="s">
        <v>18810</v>
      </c>
      <c r="B2015" t="s">
        <v>1468</v>
      </c>
      <c r="C2015" t="s">
        <v>1382</v>
      </c>
      <c r="D2015" t="s">
        <v>648</v>
      </c>
      <c r="E2015" t="s">
        <v>1469</v>
      </c>
      <c r="F2015" t="s">
        <v>598</v>
      </c>
      <c r="G2015" t="s">
        <v>478</v>
      </c>
      <c r="H2015" t="s">
        <v>600</v>
      </c>
      <c r="I2015" t="s">
        <v>601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hidden="1">
      <c r="A2016" t="s">
        <v>18810</v>
      </c>
      <c r="B2016" t="s">
        <v>1470</v>
      </c>
      <c r="C2016" t="s">
        <v>1382</v>
      </c>
      <c r="D2016" t="s">
        <v>648</v>
      </c>
      <c r="E2016" t="s">
        <v>1393</v>
      </c>
      <c r="F2016" t="s">
        <v>598</v>
      </c>
      <c r="G2016" t="s">
        <v>478</v>
      </c>
      <c r="H2016" t="s">
        <v>600</v>
      </c>
      <c r="I2016" t="s">
        <v>601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hidden="1">
      <c r="A2017" t="s">
        <v>18810</v>
      </c>
      <c r="B2017" t="s">
        <v>1471</v>
      </c>
      <c r="C2017" t="s">
        <v>1472</v>
      </c>
      <c r="D2017" t="s">
        <v>1274</v>
      </c>
      <c r="E2017" t="s">
        <v>973</v>
      </c>
      <c r="F2017" t="s">
        <v>598</v>
      </c>
      <c r="G2017" t="s">
        <v>478</v>
      </c>
      <c r="H2017" t="s">
        <v>600</v>
      </c>
      <c r="I2017" t="s">
        <v>601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hidden="1">
      <c r="A2018" t="s">
        <v>18810</v>
      </c>
      <c r="B2018" t="s">
        <v>1482</v>
      </c>
      <c r="C2018" t="s">
        <v>1472</v>
      </c>
      <c r="D2018" t="s">
        <v>1483</v>
      </c>
      <c r="E2018" t="s">
        <v>597</v>
      </c>
      <c r="F2018" t="s">
        <v>598</v>
      </c>
      <c r="G2018" t="s">
        <v>478</v>
      </c>
      <c r="H2018" t="s">
        <v>600</v>
      </c>
      <c r="I2018" t="s">
        <v>601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hidden="1">
      <c r="A2019" t="s">
        <v>18810</v>
      </c>
      <c r="B2019" t="s">
        <v>1491</v>
      </c>
      <c r="C2019" t="s">
        <v>1472</v>
      </c>
      <c r="D2019" t="s">
        <v>1392</v>
      </c>
      <c r="E2019" t="s">
        <v>1393</v>
      </c>
      <c r="F2019" t="s">
        <v>598</v>
      </c>
      <c r="G2019" t="s">
        <v>478</v>
      </c>
      <c r="H2019" t="s">
        <v>600</v>
      </c>
      <c r="I2019" t="s">
        <v>601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hidden="1">
      <c r="A2020" t="s">
        <v>18810</v>
      </c>
      <c r="B2020" t="s">
        <v>1494</v>
      </c>
      <c r="C2020" t="s">
        <v>1472</v>
      </c>
      <c r="D2020" t="s">
        <v>1316</v>
      </c>
      <c r="E2020" t="s">
        <v>1334</v>
      </c>
      <c r="F2020" t="s">
        <v>598</v>
      </c>
      <c r="G2020" t="s">
        <v>478</v>
      </c>
      <c r="H2020" t="s">
        <v>600</v>
      </c>
      <c r="I2020" t="s">
        <v>601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hidden="1">
      <c r="A2021" t="s">
        <v>18810</v>
      </c>
      <c r="B2021" t="s">
        <v>1501</v>
      </c>
      <c r="C2021" t="s">
        <v>1472</v>
      </c>
      <c r="D2021" t="s">
        <v>1316</v>
      </c>
      <c r="E2021" t="s">
        <v>1318</v>
      </c>
      <c r="F2021" t="s">
        <v>598</v>
      </c>
      <c r="G2021" t="s">
        <v>478</v>
      </c>
      <c r="H2021" t="s">
        <v>600</v>
      </c>
      <c r="I2021" t="s">
        <v>601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hidden="1">
      <c r="A2022" t="s">
        <v>18810</v>
      </c>
      <c r="B2022" t="s">
        <v>1502</v>
      </c>
      <c r="C2022" t="s">
        <v>1472</v>
      </c>
      <c r="D2022" t="s">
        <v>1316</v>
      </c>
      <c r="E2022" t="s">
        <v>1198</v>
      </c>
      <c r="F2022" t="s">
        <v>598</v>
      </c>
      <c r="G2022" t="s">
        <v>478</v>
      </c>
      <c r="H2022" t="s">
        <v>600</v>
      </c>
      <c r="I2022" t="s">
        <v>601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hidden="1">
      <c r="A2023" t="s">
        <v>18810</v>
      </c>
      <c r="B2023" t="s">
        <v>1513</v>
      </c>
      <c r="C2023" t="s">
        <v>1472</v>
      </c>
      <c r="D2023" t="s">
        <v>1324</v>
      </c>
      <c r="E2023" t="s">
        <v>688</v>
      </c>
      <c r="F2023" t="s">
        <v>598</v>
      </c>
      <c r="G2023" t="s">
        <v>478</v>
      </c>
      <c r="H2023" t="s">
        <v>600</v>
      </c>
      <c r="I2023" t="s">
        <v>601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hidden="1">
      <c r="A2024" t="s">
        <v>18810</v>
      </c>
      <c r="B2024" t="s">
        <v>1514</v>
      </c>
      <c r="C2024" t="s">
        <v>1472</v>
      </c>
      <c r="D2024" t="s">
        <v>1324</v>
      </c>
      <c r="E2024" t="s">
        <v>1334</v>
      </c>
      <c r="F2024" t="s">
        <v>598</v>
      </c>
      <c r="G2024" t="s">
        <v>478</v>
      </c>
      <c r="H2024" t="s">
        <v>600</v>
      </c>
      <c r="I2024" t="s">
        <v>601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hidden="1">
      <c r="A2025" t="s">
        <v>18810</v>
      </c>
      <c r="B2025" t="s">
        <v>1524</v>
      </c>
      <c r="C2025" t="s">
        <v>1472</v>
      </c>
      <c r="D2025" t="s">
        <v>1324</v>
      </c>
      <c r="E2025" t="s">
        <v>1318</v>
      </c>
      <c r="F2025" t="s">
        <v>598</v>
      </c>
      <c r="G2025" t="s">
        <v>478</v>
      </c>
      <c r="H2025" t="s">
        <v>600</v>
      </c>
      <c r="I2025" t="s">
        <v>601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hidden="1">
      <c r="A2026" t="s">
        <v>18810</v>
      </c>
      <c r="B2026" t="s">
        <v>1539</v>
      </c>
      <c r="C2026" t="s">
        <v>1472</v>
      </c>
      <c r="D2026" t="s">
        <v>1348</v>
      </c>
      <c r="E2026" t="s">
        <v>688</v>
      </c>
      <c r="F2026" t="s">
        <v>598</v>
      </c>
      <c r="G2026" t="s">
        <v>478</v>
      </c>
      <c r="H2026" t="s">
        <v>600</v>
      </c>
      <c r="I2026" t="s">
        <v>601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hidden="1">
      <c r="A2027" t="s">
        <v>18810</v>
      </c>
      <c r="B2027" t="s">
        <v>1540</v>
      </c>
      <c r="C2027" t="s">
        <v>1472</v>
      </c>
      <c r="D2027" t="s">
        <v>1348</v>
      </c>
      <c r="E2027" t="s">
        <v>1334</v>
      </c>
      <c r="F2027" t="s">
        <v>598</v>
      </c>
      <c r="G2027" t="s">
        <v>478</v>
      </c>
      <c r="H2027" t="s">
        <v>600</v>
      </c>
      <c r="I2027" t="s">
        <v>601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hidden="1">
      <c r="A2028" t="s">
        <v>18810</v>
      </c>
      <c r="B2028" t="s">
        <v>1541</v>
      </c>
      <c r="C2028" t="s">
        <v>1472</v>
      </c>
      <c r="D2028" t="s">
        <v>1348</v>
      </c>
      <c r="E2028" t="s">
        <v>1399</v>
      </c>
      <c r="F2028" t="s">
        <v>598</v>
      </c>
      <c r="G2028" t="s">
        <v>478</v>
      </c>
      <c r="H2028" t="s">
        <v>600</v>
      </c>
      <c r="I2028" t="s">
        <v>601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hidden="1">
      <c r="A2029" t="s">
        <v>18810</v>
      </c>
      <c r="B2029" t="s">
        <v>1543</v>
      </c>
      <c r="C2029" t="s">
        <v>1472</v>
      </c>
      <c r="D2029" t="s">
        <v>1348</v>
      </c>
      <c r="E2029" t="s">
        <v>1544</v>
      </c>
      <c r="F2029" t="s">
        <v>598</v>
      </c>
      <c r="G2029" t="s">
        <v>478</v>
      </c>
      <c r="H2029" t="s">
        <v>600</v>
      </c>
      <c r="I2029" t="s">
        <v>601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</row>
    <row r="2030" spans="1:25" hidden="1">
      <c r="A2030" t="s">
        <v>18810</v>
      </c>
      <c r="B2030" t="s">
        <v>1545</v>
      </c>
      <c r="C2030" t="s">
        <v>1472</v>
      </c>
      <c r="D2030" t="s">
        <v>1348</v>
      </c>
      <c r="E2030" t="s">
        <v>1326</v>
      </c>
      <c r="F2030" t="s">
        <v>598</v>
      </c>
      <c r="G2030" t="s">
        <v>478</v>
      </c>
      <c r="H2030" t="s">
        <v>600</v>
      </c>
      <c r="I2030" t="s">
        <v>601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hidden="1">
      <c r="A2031" t="s">
        <v>18810</v>
      </c>
      <c r="B2031" t="s">
        <v>1546</v>
      </c>
      <c r="C2031" t="s">
        <v>1472</v>
      </c>
      <c r="D2031" t="s">
        <v>1348</v>
      </c>
      <c r="E2031" t="s">
        <v>1402</v>
      </c>
      <c r="F2031" t="s">
        <v>598</v>
      </c>
      <c r="G2031" t="s">
        <v>478</v>
      </c>
      <c r="H2031" t="s">
        <v>600</v>
      </c>
      <c r="I2031" t="s">
        <v>601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hidden="1">
      <c r="A2032" t="s">
        <v>18810</v>
      </c>
      <c r="B2032" t="s">
        <v>1548</v>
      </c>
      <c r="C2032" t="s">
        <v>1472</v>
      </c>
      <c r="D2032" t="s">
        <v>1348</v>
      </c>
      <c r="E2032" t="s">
        <v>1318</v>
      </c>
      <c r="F2032" t="s">
        <v>598</v>
      </c>
      <c r="G2032" t="s">
        <v>478</v>
      </c>
      <c r="H2032" t="s">
        <v>600</v>
      </c>
      <c r="I2032" t="s">
        <v>601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hidden="1">
      <c r="A2033" t="s">
        <v>18810</v>
      </c>
      <c r="B2033" t="s">
        <v>1550</v>
      </c>
      <c r="C2033" t="s">
        <v>1472</v>
      </c>
      <c r="D2033" t="s">
        <v>1354</v>
      </c>
      <c r="E2033" t="s">
        <v>973</v>
      </c>
      <c r="F2033" t="s">
        <v>598</v>
      </c>
      <c r="G2033" t="s">
        <v>478</v>
      </c>
      <c r="H2033" t="s">
        <v>600</v>
      </c>
      <c r="I2033" t="s">
        <v>601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hidden="1">
      <c r="A2034" t="s">
        <v>18810</v>
      </c>
      <c r="B2034" t="s">
        <v>1557</v>
      </c>
      <c r="C2034" t="s">
        <v>1472</v>
      </c>
      <c r="D2034" t="s">
        <v>1558</v>
      </c>
      <c r="E2034" t="s">
        <v>688</v>
      </c>
      <c r="F2034" t="s">
        <v>598</v>
      </c>
      <c r="G2034" t="s">
        <v>478</v>
      </c>
      <c r="H2034" t="s">
        <v>600</v>
      </c>
      <c r="I2034" t="s">
        <v>601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hidden="1">
      <c r="A2035" t="s">
        <v>18810</v>
      </c>
      <c r="B2035" t="s">
        <v>1561</v>
      </c>
      <c r="C2035" t="s">
        <v>1472</v>
      </c>
      <c r="D2035" t="s">
        <v>1562</v>
      </c>
      <c r="E2035" t="s">
        <v>678</v>
      </c>
      <c r="F2035" t="s">
        <v>598</v>
      </c>
      <c r="G2035" t="s">
        <v>478</v>
      </c>
      <c r="H2035" t="s">
        <v>600</v>
      </c>
      <c r="I2035" t="s">
        <v>601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hidden="1">
      <c r="A2036" t="s">
        <v>18810</v>
      </c>
      <c r="B2036" t="s">
        <v>1563</v>
      </c>
      <c r="C2036" t="s">
        <v>1472</v>
      </c>
      <c r="D2036" t="s">
        <v>1564</v>
      </c>
      <c r="E2036" t="s">
        <v>626</v>
      </c>
      <c r="F2036" t="s">
        <v>598</v>
      </c>
      <c r="G2036" t="s">
        <v>478</v>
      </c>
      <c r="H2036" t="s">
        <v>600</v>
      </c>
      <c r="I2036" t="s">
        <v>601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hidden="1">
      <c r="A2037" t="s">
        <v>18810</v>
      </c>
      <c r="B2037" t="s">
        <v>1565</v>
      </c>
      <c r="C2037" t="s">
        <v>1472</v>
      </c>
      <c r="D2037" t="s">
        <v>1564</v>
      </c>
      <c r="E2037" t="s">
        <v>678</v>
      </c>
      <c r="F2037" t="s">
        <v>598</v>
      </c>
      <c r="G2037" t="s">
        <v>478</v>
      </c>
      <c r="H2037" t="s">
        <v>600</v>
      </c>
      <c r="I2037" t="s">
        <v>601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hidden="1">
      <c r="A2038" t="s">
        <v>18810</v>
      </c>
      <c r="B2038" t="s">
        <v>1566</v>
      </c>
      <c r="C2038" t="s">
        <v>1472</v>
      </c>
      <c r="D2038" t="s">
        <v>1567</v>
      </c>
      <c r="E2038" t="s">
        <v>626</v>
      </c>
      <c r="F2038" t="s">
        <v>598</v>
      </c>
      <c r="G2038" t="s">
        <v>478</v>
      </c>
      <c r="H2038" t="s">
        <v>600</v>
      </c>
      <c r="I2038" t="s">
        <v>601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hidden="1">
      <c r="A2039" t="s">
        <v>18810</v>
      </c>
      <c r="B2039" t="s">
        <v>1568</v>
      </c>
      <c r="C2039" t="s">
        <v>1472</v>
      </c>
      <c r="D2039" t="s">
        <v>1569</v>
      </c>
      <c r="E2039" t="s">
        <v>626</v>
      </c>
      <c r="F2039" t="s">
        <v>598</v>
      </c>
      <c r="G2039" t="s">
        <v>478</v>
      </c>
      <c r="H2039" t="s">
        <v>600</v>
      </c>
      <c r="I2039" t="s">
        <v>601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hidden="1">
      <c r="A2040" t="s">
        <v>18810</v>
      </c>
      <c r="B2040" t="s">
        <v>1570</v>
      </c>
      <c r="C2040" t="s">
        <v>1472</v>
      </c>
      <c r="D2040" t="s">
        <v>1571</v>
      </c>
      <c r="E2040" t="s">
        <v>626</v>
      </c>
      <c r="F2040" t="s">
        <v>598</v>
      </c>
      <c r="G2040" t="s">
        <v>478</v>
      </c>
      <c r="H2040" t="s">
        <v>600</v>
      </c>
      <c r="I2040" t="s">
        <v>601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hidden="1">
      <c r="A2041" t="s">
        <v>18810</v>
      </c>
      <c r="B2041" t="s">
        <v>1573</v>
      </c>
      <c r="C2041" t="s">
        <v>1472</v>
      </c>
      <c r="D2041" t="s">
        <v>1574</v>
      </c>
      <c r="E2041" t="s">
        <v>626</v>
      </c>
      <c r="F2041" t="s">
        <v>598</v>
      </c>
      <c r="G2041" t="s">
        <v>478</v>
      </c>
      <c r="H2041" t="s">
        <v>600</v>
      </c>
      <c r="I2041" t="s">
        <v>601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hidden="1">
      <c r="A2042" t="s">
        <v>18810</v>
      </c>
      <c r="B2042" t="s">
        <v>1575</v>
      </c>
      <c r="C2042" t="s">
        <v>1472</v>
      </c>
      <c r="D2042" t="s">
        <v>1576</v>
      </c>
      <c r="E2042" t="s">
        <v>626</v>
      </c>
      <c r="F2042" t="s">
        <v>598</v>
      </c>
      <c r="G2042" t="s">
        <v>478</v>
      </c>
      <c r="H2042" t="s">
        <v>600</v>
      </c>
      <c r="I2042" t="s">
        <v>601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hidden="1">
      <c r="A2043" t="s">
        <v>18810</v>
      </c>
      <c r="B2043" t="s">
        <v>1582</v>
      </c>
      <c r="C2043" t="s">
        <v>1472</v>
      </c>
      <c r="D2043" t="s">
        <v>1583</v>
      </c>
      <c r="E2043" t="s">
        <v>626</v>
      </c>
      <c r="F2043" t="s">
        <v>598</v>
      </c>
      <c r="G2043" t="s">
        <v>478</v>
      </c>
      <c r="H2043" t="s">
        <v>600</v>
      </c>
      <c r="I2043" t="s">
        <v>601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hidden="1">
      <c r="A2044" t="s">
        <v>18810</v>
      </c>
      <c r="B2044" t="s">
        <v>1585</v>
      </c>
      <c r="C2044" t="s">
        <v>1472</v>
      </c>
      <c r="D2044" t="s">
        <v>1583</v>
      </c>
      <c r="E2044" t="s">
        <v>1399</v>
      </c>
      <c r="F2044" t="s">
        <v>598</v>
      </c>
      <c r="G2044" t="s">
        <v>478</v>
      </c>
      <c r="H2044" t="s">
        <v>600</v>
      </c>
      <c r="I2044" t="s">
        <v>601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hidden="1">
      <c r="A2045" t="s">
        <v>18810</v>
      </c>
      <c r="B2045" t="s">
        <v>1589</v>
      </c>
      <c r="C2045" t="s">
        <v>1472</v>
      </c>
      <c r="D2045" t="s">
        <v>1365</v>
      </c>
      <c r="E2045" t="s">
        <v>973</v>
      </c>
      <c r="F2045" t="s">
        <v>598</v>
      </c>
      <c r="G2045" t="s">
        <v>478</v>
      </c>
      <c r="H2045" t="s">
        <v>600</v>
      </c>
      <c r="I2045" t="s">
        <v>601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hidden="1">
      <c r="A2046" t="s">
        <v>18810</v>
      </c>
      <c r="B2046" t="s">
        <v>1590</v>
      </c>
      <c r="C2046" t="s">
        <v>1472</v>
      </c>
      <c r="D2046" t="s">
        <v>1365</v>
      </c>
      <c r="E2046" t="s">
        <v>626</v>
      </c>
      <c r="F2046" t="s">
        <v>598</v>
      </c>
      <c r="G2046" t="s">
        <v>478</v>
      </c>
      <c r="H2046" t="s">
        <v>600</v>
      </c>
      <c r="I2046" t="s">
        <v>601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hidden="1">
      <c r="A2047" t="s">
        <v>18810</v>
      </c>
      <c r="B2047" t="s">
        <v>1591</v>
      </c>
      <c r="C2047" t="s">
        <v>1472</v>
      </c>
      <c r="D2047" t="s">
        <v>1365</v>
      </c>
      <c r="E2047" t="s">
        <v>628</v>
      </c>
      <c r="F2047" t="s">
        <v>598</v>
      </c>
      <c r="G2047" t="s">
        <v>478</v>
      </c>
      <c r="H2047" t="s">
        <v>600</v>
      </c>
      <c r="I2047" t="s">
        <v>601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hidden="1">
      <c r="A2048" t="s">
        <v>18810</v>
      </c>
      <c r="B2048" t="s">
        <v>1592</v>
      </c>
      <c r="C2048" t="s">
        <v>1472</v>
      </c>
      <c r="D2048" t="s">
        <v>1365</v>
      </c>
      <c r="E2048" t="s">
        <v>888</v>
      </c>
      <c r="F2048" t="s">
        <v>598</v>
      </c>
      <c r="G2048" t="s">
        <v>478</v>
      </c>
      <c r="H2048" t="s">
        <v>600</v>
      </c>
      <c r="I2048" t="s">
        <v>601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hidden="1">
      <c r="A2049" t="s">
        <v>18810</v>
      </c>
      <c r="B2049" t="s">
        <v>1596</v>
      </c>
      <c r="C2049" t="s">
        <v>1472</v>
      </c>
      <c r="D2049" t="s">
        <v>1458</v>
      </c>
      <c r="E2049" t="s">
        <v>781</v>
      </c>
      <c r="F2049" t="s">
        <v>598</v>
      </c>
      <c r="G2049" t="s">
        <v>478</v>
      </c>
      <c r="H2049" t="s">
        <v>600</v>
      </c>
      <c r="I2049" t="s">
        <v>601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hidden="1">
      <c r="A2050" t="s">
        <v>18810</v>
      </c>
      <c r="B2050" t="s">
        <v>1600</v>
      </c>
      <c r="C2050" t="s">
        <v>1472</v>
      </c>
      <c r="D2050" t="s">
        <v>1601</v>
      </c>
      <c r="E2050" t="s">
        <v>626</v>
      </c>
      <c r="F2050" t="s">
        <v>598</v>
      </c>
      <c r="G2050" t="s">
        <v>478</v>
      </c>
      <c r="H2050" t="s">
        <v>600</v>
      </c>
      <c r="I2050" t="s">
        <v>601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hidden="1">
      <c r="A2051" t="s">
        <v>18810</v>
      </c>
      <c r="B2051" t="s">
        <v>1602</v>
      </c>
      <c r="C2051" t="s">
        <v>1472</v>
      </c>
      <c r="D2051" t="s">
        <v>1603</v>
      </c>
      <c r="E2051" t="s">
        <v>626</v>
      </c>
      <c r="F2051" t="s">
        <v>598</v>
      </c>
      <c r="G2051" t="s">
        <v>478</v>
      </c>
      <c r="H2051" t="s">
        <v>600</v>
      </c>
      <c r="I2051" t="s">
        <v>601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hidden="1">
      <c r="A2052" t="s">
        <v>18810</v>
      </c>
      <c r="B2052" t="s">
        <v>1604</v>
      </c>
      <c r="C2052" t="s">
        <v>1472</v>
      </c>
      <c r="D2052" t="s">
        <v>1605</v>
      </c>
      <c r="E2052" t="s">
        <v>626</v>
      </c>
      <c r="F2052" t="s">
        <v>598</v>
      </c>
      <c r="G2052" t="s">
        <v>478</v>
      </c>
      <c r="H2052" t="s">
        <v>600</v>
      </c>
      <c r="I2052" t="s">
        <v>601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</row>
    <row r="2053" spans="1:25" hidden="1">
      <c r="A2053" t="s">
        <v>18810</v>
      </c>
      <c r="B2053" t="s">
        <v>1609</v>
      </c>
      <c r="C2053" t="s">
        <v>1472</v>
      </c>
      <c r="D2053" t="s">
        <v>648</v>
      </c>
      <c r="E2053" t="s">
        <v>626</v>
      </c>
      <c r="F2053" t="s">
        <v>598</v>
      </c>
      <c r="G2053" t="s">
        <v>478</v>
      </c>
      <c r="H2053" t="s">
        <v>600</v>
      </c>
      <c r="I2053" t="s">
        <v>601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hidden="1">
      <c r="A2054" t="s">
        <v>18810</v>
      </c>
      <c r="B2054" t="s">
        <v>1610</v>
      </c>
      <c r="C2054" t="s">
        <v>1611</v>
      </c>
      <c r="D2054" t="s">
        <v>648</v>
      </c>
      <c r="E2054" t="s">
        <v>920</v>
      </c>
      <c r="F2054" t="s">
        <v>598</v>
      </c>
      <c r="G2054" t="s">
        <v>478</v>
      </c>
      <c r="H2054" t="s">
        <v>600</v>
      </c>
      <c r="I2054" t="s">
        <v>601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hidden="1">
      <c r="A2055" t="s">
        <v>18810</v>
      </c>
      <c r="B2055" t="s">
        <v>1616</v>
      </c>
      <c r="C2055" t="s">
        <v>1614</v>
      </c>
      <c r="D2055" t="s">
        <v>1392</v>
      </c>
      <c r="E2055" t="s">
        <v>1393</v>
      </c>
      <c r="F2055" t="s">
        <v>598</v>
      </c>
      <c r="G2055" t="s">
        <v>478</v>
      </c>
      <c r="H2055" t="s">
        <v>600</v>
      </c>
      <c r="I2055" t="s">
        <v>601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hidden="1">
      <c r="A2056" t="s">
        <v>18810</v>
      </c>
      <c r="B2056" t="s">
        <v>1617</v>
      </c>
      <c r="C2056" t="s">
        <v>1614</v>
      </c>
      <c r="D2056" t="s">
        <v>1316</v>
      </c>
      <c r="E2056" t="s">
        <v>954</v>
      </c>
      <c r="F2056" t="s">
        <v>598</v>
      </c>
      <c r="G2056" t="s">
        <v>478</v>
      </c>
      <c r="H2056" t="s">
        <v>600</v>
      </c>
      <c r="I2056" t="s">
        <v>601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hidden="1">
      <c r="A2057" t="s">
        <v>18810</v>
      </c>
      <c r="B2057" t="s">
        <v>1623</v>
      </c>
      <c r="C2057" t="s">
        <v>1614</v>
      </c>
      <c r="D2057" t="s">
        <v>1324</v>
      </c>
      <c r="E2057" t="s">
        <v>642</v>
      </c>
      <c r="F2057" t="s">
        <v>598</v>
      </c>
      <c r="G2057" t="s">
        <v>478</v>
      </c>
      <c r="H2057" t="s">
        <v>600</v>
      </c>
      <c r="I2057" t="s">
        <v>601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hidden="1">
      <c r="A2058" t="s">
        <v>18810</v>
      </c>
      <c r="B2058" t="s">
        <v>1624</v>
      </c>
      <c r="C2058" t="s">
        <v>1614</v>
      </c>
      <c r="D2058" t="s">
        <v>1324</v>
      </c>
      <c r="E2058" t="s">
        <v>1018</v>
      </c>
      <c r="F2058" t="s">
        <v>598</v>
      </c>
      <c r="G2058" t="s">
        <v>478</v>
      </c>
      <c r="H2058" t="s">
        <v>600</v>
      </c>
      <c r="I2058" t="s">
        <v>601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hidden="1">
      <c r="A2059" t="s">
        <v>18810</v>
      </c>
      <c r="B2059" t="s">
        <v>1627</v>
      </c>
      <c r="C2059" t="s">
        <v>1614</v>
      </c>
      <c r="D2059" t="s">
        <v>1324</v>
      </c>
      <c r="E2059" t="s">
        <v>954</v>
      </c>
      <c r="F2059" t="s">
        <v>598</v>
      </c>
      <c r="G2059" t="s">
        <v>478</v>
      </c>
      <c r="H2059" t="s">
        <v>600</v>
      </c>
      <c r="I2059" t="s">
        <v>601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hidden="1">
      <c r="A2060" t="s">
        <v>18810</v>
      </c>
      <c r="B2060" t="s">
        <v>1628</v>
      </c>
      <c r="C2060" t="s">
        <v>1614</v>
      </c>
      <c r="D2060" t="s">
        <v>1324</v>
      </c>
      <c r="E2060" t="s">
        <v>1022</v>
      </c>
      <c r="F2060" t="s">
        <v>598</v>
      </c>
      <c r="G2060" t="s">
        <v>478</v>
      </c>
      <c r="H2060" t="s">
        <v>600</v>
      </c>
      <c r="I2060" t="s">
        <v>601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hidden="1">
      <c r="A2061" t="s">
        <v>18810</v>
      </c>
      <c r="B2061" t="s">
        <v>1629</v>
      </c>
      <c r="C2061" t="s">
        <v>1614</v>
      </c>
      <c r="D2061" t="s">
        <v>1324</v>
      </c>
      <c r="E2061" t="s">
        <v>1423</v>
      </c>
      <c r="F2061" t="s">
        <v>598</v>
      </c>
      <c r="G2061" t="s">
        <v>478</v>
      </c>
      <c r="H2061" t="s">
        <v>600</v>
      </c>
      <c r="I2061" t="s">
        <v>601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hidden="1">
      <c r="A2062" t="s">
        <v>18810</v>
      </c>
      <c r="B2062" t="s">
        <v>1630</v>
      </c>
      <c r="C2062" t="s">
        <v>1614</v>
      </c>
      <c r="D2062" t="s">
        <v>1324</v>
      </c>
      <c r="E2062" t="s">
        <v>1343</v>
      </c>
      <c r="F2062" t="s">
        <v>598</v>
      </c>
      <c r="G2062" t="s">
        <v>478</v>
      </c>
      <c r="H2062" t="s">
        <v>600</v>
      </c>
      <c r="I2062" t="s">
        <v>601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hidden="1">
      <c r="A2063" t="s">
        <v>18810</v>
      </c>
      <c r="B2063" t="s">
        <v>1631</v>
      </c>
      <c r="C2063" t="s">
        <v>1614</v>
      </c>
      <c r="D2063" t="s">
        <v>1324</v>
      </c>
      <c r="E2063" t="s">
        <v>1469</v>
      </c>
      <c r="F2063" t="s">
        <v>598</v>
      </c>
      <c r="G2063" t="s">
        <v>478</v>
      </c>
      <c r="H2063" t="s">
        <v>600</v>
      </c>
      <c r="I2063" t="s">
        <v>601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hidden="1">
      <c r="A2064" t="s">
        <v>18810</v>
      </c>
      <c r="B2064" t="s">
        <v>1632</v>
      </c>
      <c r="C2064" t="s">
        <v>1614</v>
      </c>
      <c r="D2064" t="s">
        <v>1324</v>
      </c>
      <c r="E2064" t="s">
        <v>1192</v>
      </c>
      <c r="F2064" t="s">
        <v>598</v>
      </c>
      <c r="G2064" t="s">
        <v>478</v>
      </c>
      <c r="H2064" t="s">
        <v>600</v>
      </c>
      <c r="I2064" t="s">
        <v>601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hidden="1">
      <c r="A2065" t="s">
        <v>18810</v>
      </c>
      <c r="B2065" t="s">
        <v>1633</v>
      </c>
      <c r="C2065" t="s">
        <v>1614</v>
      </c>
      <c r="D2065" t="s">
        <v>1324</v>
      </c>
      <c r="E2065" t="s">
        <v>1634</v>
      </c>
      <c r="F2065" t="s">
        <v>598</v>
      </c>
      <c r="G2065" t="s">
        <v>478</v>
      </c>
      <c r="H2065" t="s">
        <v>600</v>
      </c>
      <c r="I2065" t="s">
        <v>601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hidden="1">
      <c r="A2066" t="s">
        <v>18810</v>
      </c>
      <c r="B2066" t="s">
        <v>1635</v>
      </c>
      <c r="C2066" t="s">
        <v>1614</v>
      </c>
      <c r="D2066" t="s">
        <v>1324</v>
      </c>
      <c r="E2066" t="s">
        <v>1636</v>
      </c>
      <c r="F2066" t="s">
        <v>598</v>
      </c>
      <c r="G2066" t="s">
        <v>478</v>
      </c>
      <c r="H2066" t="s">
        <v>600</v>
      </c>
      <c r="I2066" t="s">
        <v>601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hidden="1">
      <c r="A2067" t="s">
        <v>18810</v>
      </c>
      <c r="B2067" t="s">
        <v>1639</v>
      </c>
      <c r="C2067" t="s">
        <v>1614</v>
      </c>
      <c r="D2067" t="s">
        <v>1324</v>
      </c>
      <c r="E2067" t="s">
        <v>1640</v>
      </c>
      <c r="F2067" t="s">
        <v>598</v>
      </c>
      <c r="G2067" t="s">
        <v>478</v>
      </c>
      <c r="H2067" t="s">
        <v>600</v>
      </c>
      <c r="I2067" t="s">
        <v>601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hidden="1">
      <c r="A2068" t="s">
        <v>18810</v>
      </c>
      <c r="B2068" t="s">
        <v>1641</v>
      </c>
      <c r="C2068" t="s">
        <v>1614</v>
      </c>
      <c r="D2068" t="s">
        <v>1324</v>
      </c>
      <c r="E2068" t="s">
        <v>1642</v>
      </c>
      <c r="F2068" t="s">
        <v>598</v>
      </c>
      <c r="G2068" t="s">
        <v>478</v>
      </c>
      <c r="H2068" t="s">
        <v>600</v>
      </c>
      <c r="I2068" t="s">
        <v>601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hidden="1">
      <c r="A2069" t="s">
        <v>18810</v>
      </c>
      <c r="B2069" t="s">
        <v>1643</v>
      </c>
      <c r="C2069" t="s">
        <v>1614</v>
      </c>
      <c r="D2069" t="s">
        <v>1324</v>
      </c>
      <c r="E2069" t="s">
        <v>1198</v>
      </c>
      <c r="F2069" t="s">
        <v>598</v>
      </c>
      <c r="G2069" t="s">
        <v>478</v>
      </c>
      <c r="H2069" t="s">
        <v>600</v>
      </c>
      <c r="I2069" t="s">
        <v>601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hidden="1">
      <c r="A2070" t="s">
        <v>18810</v>
      </c>
      <c r="B2070" t="s">
        <v>1646</v>
      </c>
      <c r="C2070" t="s">
        <v>1614</v>
      </c>
      <c r="D2070" t="s">
        <v>1324</v>
      </c>
      <c r="E2070" t="s">
        <v>1647</v>
      </c>
      <c r="F2070" t="s">
        <v>598</v>
      </c>
      <c r="G2070" t="s">
        <v>478</v>
      </c>
      <c r="H2070" t="s">
        <v>600</v>
      </c>
      <c r="I2070" t="s">
        <v>601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hidden="1">
      <c r="A2071" t="s">
        <v>18810</v>
      </c>
      <c r="B2071" t="s">
        <v>1650</v>
      </c>
      <c r="C2071" t="s">
        <v>1614</v>
      </c>
      <c r="D2071" t="s">
        <v>1324</v>
      </c>
      <c r="E2071" t="s">
        <v>1651</v>
      </c>
      <c r="F2071" t="s">
        <v>598</v>
      </c>
      <c r="G2071" t="s">
        <v>478</v>
      </c>
      <c r="H2071" t="s">
        <v>600</v>
      </c>
      <c r="I2071" t="s">
        <v>601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hidden="1">
      <c r="A2072" t="s">
        <v>18810</v>
      </c>
      <c r="B2072" t="s">
        <v>1652</v>
      </c>
      <c r="C2072" t="s">
        <v>1614</v>
      </c>
      <c r="D2072" t="s">
        <v>1324</v>
      </c>
      <c r="E2072" t="s">
        <v>1653</v>
      </c>
      <c r="F2072" t="s">
        <v>598</v>
      </c>
      <c r="G2072" t="s">
        <v>478</v>
      </c>
      <c r="H2072" t="s">
        <v>600</v>
      </c>
      <c r="I2072" t="s">
        <v>601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hidden="1">
      <c r="A2073" t="s">
        <v>18810</v>
      </c>
      <c r="B2073" t="s">
        <v>1654</v>
      </c>
      <c r="C2073" t="s">
        <v>1614</v>
      </c>
      <c r="D2073" t="s">
        <v>1324</v>
      </c>
      <c r="E2073" t="s">
        <v>1655</v>
      </c>
      <c r="F2073" t="s">
        <v>598</v>
      </c>
      <c r="G2073" t="s">
        <v>478</v>
      </c>
      <c r="H2073" t="s">
        <v>600</v>
      </c>
      <c r="I2073" t="s">
        <v>601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hidden="1">
      <c r="A2074" t="s">
        <v>18810</v>
      </c>
      <c r="B2074" t="s">
        <v>1656</v>
      </c>
      <c r="C2074" t="s">
        <v>1614</v>
      </c>
      <c r="D2074" t="s">
        <v>1324</v>
      </c>
      <c r="E2074" t="s">
        <v>1202</v>
      </c>
      <c r="F2074" t="s">
        <v>598</v>
      </c>
      <c r="G2074" t="s">
        <v>478</v>
      </c>
      <c r="H2074" t="s">
        <v>600</v>
      </c>
      <c r="I2074" t="s">
        <v>601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hidden="1">
      <c r="A2075" t="s">
        <v>18810</v>
      </c>
      <c r="B2075" t="s">
        <v>1657</v>
      </c>
      <c r="C2075" t="s">
        <v>1614</v>
      </c>
      <c r="D2075" t="s">
        <v>1324</v>
      </c>
      <c r="E2075" t="s">
        <v>1028</v>
      </c>
      <c r="F2075" t="s">
        <v>598</v>
      </c>
      <c r="G2075" t="s">
        <v>478</v>
      </c>
      <c r="H2075" t="s">
        <v>600</v>
      </c>
      <c r="I2075" t="s">
        <v>601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hidden="1">
      <c r="A2076" t="s">
        <v>18810</v>
      </c>
      <c r="B2076" t="s">
        <v>1659</v>
      </c>
      <c r="C2076" t="s">
        <v>1614</v>
      </c>
      <c r="D2076" t="s">
        <v>1324</v>
      </c>
      <c r="E2076" t="s">
        <v>1660</v>
      </c>
      <c r="F2076" t="s">
        <v>598</v>
      </c>
      <c r="G2076" t="s">
        <v>478</v>
      </c>
      <c r="H2076" t="s">
        <v>600</v>
      </c>
      <c r="I2076" t="s">
        <v>601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hidden="1">
      <c r="A2077" t="s">
        <v>18810</v>
      </c>
      <c r="B2077" t="s">
        <v>1661</v>
      </c>
      <c r="C2077" t="s">
        <v>1614</v>
      </c>
      <c r="D2077" t="s">
        <v>1324</v>
      </c>
      <c r="E2077" t="s">
        <v>630</v>
      </c>
      <c r="F2077" t="s">
        <v>598</v>
      </c>
      <c r="G2077" t="s">
        <v>478</v>
      </c>
      <c r="H2077" t="s">
        <v>600</v>
      </c>
      <c r="I2077" t="s">
        <v>601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hidden="1">
      <c r="A2078" t="s">
        <v>18810</v>
      </c>
      <c r="B2078" t="s">
        <v>1662</v>
      </c>
      <c r="C2078" t="s">
        <v>1614</v>
      </c>
      <c r="D2078" t="s">
        <v>1324</v>
      </c>
      <c r="E2078" t="s">
        <v>1033</v>
      </c>
      <c r="F2078" t="s">
        <v>598</v>
      </c>
      <c r="G2078" t="s">
        <v>478</v>
      </c>
      <c r="H2078" t="s">
        <v>600</v>
      </c>
      <c r="I2078" t="s">
        <v>601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hidden="1">
      <c r="A2079" t="s">
        <v>18810</v>
      </c>
      <c r="B2079" t="s">
        <v>1663</v>
      </c>
      <c r="C2079" t="s">
        <v>1614</v>
      </c>
      <c r="D2079" t="s">
        <v>1324</v>
      </c>
      <c r="E2079" t="s">
        <v>1664</v>
      </c>
      <c r="F2079" t="s">
        <v>598</v>
      </c>
      <c r="G2079" t="s">
        <v>478</v>
      </c>
      <c r="H2079" t="s">
        <v>600</v>
      </c>
      <c r="I2079" t="s">
        <v>601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hidden="1">
      <c r="A2080" t="s">
        <v>18810</v>
      </c>
      <c r="B2080" t="s">
        <v>1667</v>
      </c>
      <c r="C2080" t="s">
        <v>1614</v>
      </c>
      <c r="D2080" t="s">
        <v>1324</v>
      </c>
      <c r="E2080" t="s">
        <v>1035</v>
      </c>
      <c r="F2080" t="s">
        <v>598</v>
      </c>
      <c r="G2080" t="s">
        <v>478</v>
      </c>
      <c r="H2080" t="s">
        <v>600</v>
      </c>
      <c r="I2080" t="s">
        <v>601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hidden="1">
      <c r="A2081" t="s">
        <v>18810</v>
      </c>
      <c r="B2081" t="s">
        <v>1668</v>
      </c>
      <c r="C2081" t="s">
        <v>1614</v>
      </c>
      <c r="D2081" t="s">
        <v>1324</v>
      </c>
      <c r="E2081" t="s">
        <v>1211</v>
      </c>
      <c r="F2081" t="s">
        <v>598</v>
      </c>
      <c r="G2081" t="s">
        <v>478</v>
      </c>
      <c r="H2081" t="s">
        <v>600</v>
      </c>
      <c r="I2081" t="s">
        <v>601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hidden="1">
      <c r="A2082" t="s">
        <v>18810</v>
      </c>
      <c r="B2082" t="s">
        <v>1673</v>
      </c>
      <c r="C2082" t="s">
        <v>1614</v>
      </c>
      <c r="D2082" t="s">
        <v>1324</v>
      </c>
      <c r="E2082" t="s">
        <v>1000</v>
      </c>
      <c r="F2082" t="s">
        <v>598</v>
      </c>
      <c r="G2082" t="s">
        <v>478</v>
      </c>
      <c r="H2082" t="s">
        <v>600</v>
      </c>
      <c r="I2082" t="s">
        <v>601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hidden="1">
      <c r="A2083" t="s">
        <v>18810</v>
      </c>
      <c r="B2083" t="s">
        <v>1674</v>
      </c>
      <c r="C2083" t="s">
        <v>1614</v>
      </c>
      <c r="D2083" t="s">
        <v>1324</v>
      </c>
      <c r="E2083" t="s">
        <v>1233</v>
      </c>
      <c r="F2083" t="s">
        <v>598</v>
      </c>
      <c r="G2083" t="s">
        <v>478</v>
      </c>
      <c r="H2083" t="s">
        <v>600</v>
      </c>
      <c r="I2083" t="s">
        <v>601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hidden="1">
      <c r="A2084" t="s">
        <v>18810</v>
      </c>
      <c r="B2084" t="s">
        <v>1677</v>
      </c>
      <c r="C2084" t="s">
        <v>1614</v>
      </c>
      <c r="D2084" t="s">
        <v>1324</v>
      </c>
      <c r="E2084" t="s">
        <v>1678</v>
      </c>
      <c r="F2084" t="s">
        <v>598</v>
      </c>
      <c r="G2084" t="s">
        <v>478</v>
      </c>
      <c r="H2084" t="s">
        <v>600</v>
      </c>
      <c r="I2084" t="s">
        <v>601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hidden="1">
      <c r="A2085" t="s">
        <v>18810</v>
      </c>
      <c r="B2085" t="s">
        <v>1679</v>
      </c>
      <c r="C2085" t="s">
        <v>1614</v>
      </c>
      <c r="D2085" t="s">
        <v>1324</v>
      </c>
      <c r="E2085" t="s">
        <v>1058</v>
      </c>
      <c r="F2085" t="s">
        <v>598</v>
      </c>
      <c r="G2085" t="s">
        <v>478</v>
      </c>
      <c r="H2085" t="s">
        <v>600</v>
      </c>
      <c r="I2085" t="s">
        <v>601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hidden="1">
      <c r="A2086" t="s">
        <v>18810</v>
      </c>
      <c r="B2086" t="s">
        <v>1698</v>
      </c>
      <c r="C2086" t="s">
        <v>1614</v>
      </c>
      <c r="D2086" t="s">
        <v>1332</v>
      </c>
      <c r="E2086" t="s">
        <v>1033</v>
      </c>
      <c r="F2086" t="s">
        <v>598</v>
      </c>
      <c r="G2086" t="s">
        <v>478</v>
      </c>
      <c r="H2086" t="s">
        <v>600</v>
      </c>
      <c r="I2086" t="s">
        <v>601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hidden="1">
      <c r="A2087" t="s">
        <v>18810</v>
      </c>
      <c r="B2087" t="s">
        <v>1709</v>
      </c>
      <c r="C2087" t="s">
        <v>1614</v>
      </c>
      <c r="D2087" t="s">
        <v>1332</v>
      </c>
      <c r="E2087" t="s">
        <v>1346</v>
      </c>
      <c r="F2087" t="s">
        <v>598</v>
      </c>
      <c r="G2087" t="s">
        <v>478</v>
      </c>
      <c r="H2087" t="s">
        <v>600</v>
      </c>
      <c r="I2087" t="s">
        <v>601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hidden="1">
      <c r="A2088" t="s">
        <v>18810</v>
      </c>
      <c r="B2088" t="s">
        <v>1714</v>
      </c>
      <c r="C2088" t="s">
        <v>1614</v>
      </c>
      <c r="D2088" t="s">
        <v>1354</v>
      </c>
      <c r="E2088" t="s">
        <v>954</v>
      </c>
      <c r="F2088" t="s">
        <v>598</v>
      </c>
      <c r="G2088" t="s">
        <v>478</v>
      </c>
      <c r="H2088" t="s">
        <v>600</v>
      </c>
      <c r="I2088" t="s">
        <v>601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hidden="1">
      <c r="A2089" t="s">
        <v>18810</v>
      </c>
      <c r="B2089" t="s">
        <v>1715</v>
      </c>
      <c r="C2089" t="s">
        <v>1614</v>
      </c>
      <c r="D2089" t="s">
        <v>1354</v>
      </c>
      <c r="E2089" t="s">
        <v>1716</v>
      </c>
      <c r="F2089" t="s">
        <v>598</v>
      </c>
      <c r="G2089" t="s">
        <v>478</v>
      </c>
      <c r="H2089" t="s">
        <v>600</v>
      </c>
      <c r="I2089" t="s">
        <v>601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hidden="1">
      <c r="A2090" t="s">
        <v>18810</v>
      </c>
      <c r="B2090" t="s">
        <v>1719</v>
      </c>
      <c r="C2090" t="s">
        <v>1614</v>
      </c>
      <c r="D2090" t="s">
        <v>1365</v>
      </c>
      <c r="E2090" t="s">
        <v>954</v>
      </c>
      <c r="F2090" t="s">
        <v>598</v>
      </c>
      <c r="G2090" t="s">
        <v>478</v>
      </c>
      <c r="H2090" t="s">
        <v>600</v>
      </c>
      <c r="I2090" t="s">
        <v>601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hidden="1">
      <c r="A2091" t="s">
        <v>18810</v>
      </c>
      <c r="B2091" t="s">
        <v>1720</v>
      </c>
      <c r="C2091" t="s">
        <v>1614</v>
      </c>
      <c r="D2091" t="s">
        <v>1365</v>
      </c>
      <c r="E2091" t="s">
        <v>1393</v>
      </c>
      <c r="F2091" t="s">
        <v>598</v>
      </c>
      <c r="G2091" t="s">
        <v>478</v>
      </c>
      <c r="H2091" t="s">
        <v>600</v>
      </c>
      <c r="I2091" t="s">
        <v>601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</row>
    <row r="2092" spans="1:25" hidden="1">
      <c r="A2092" t="s">
        <v>18810</v>
      </c>
      <c r="B2092" t="s">
        <v>1724</v>
      </c>
      <c r="C2092" t="s">
        <v>1614</v>
      </c>
      <c r="D2092" t="s">
        <v>1722</v>
      </c>
      <c r="E2092" t="s">
        <v>1340</v>
      </c>
      <c r="F2092" t="s">
        <v>598</v>
      </c>
      <c r="G2092" t="s">
        <v>478</v>
      </c>
      <c r="H2092" t="s">
        <v>600</v>
      </c>
      <c r="I2092" t="s">
        <v>601</v>
      </c>
      <c r="J2092">
        <v>0.10680000000000001</v>
      </c>
      <c r="K2092">
        <v>0.108</v>
      </c>
      <c r="L2092">
        <v>0.1091</v>
      </c>
      <c r="M2092">
        <v>0.1105</v>
      </c>
      <c r="N2092">
        <v>0.1114</v>
      </c>
      <c r="O2092">
        <v>0.1129</v>
      </c>
      <c r="P2092">
        <v>0.114</v>
      </c>
      <c r="Q2092">
        <v>0.1154</v>
      </c>
      <c r="R2092">
        <v>0.1167</v>
      </c>
      <c r="S2092">
        <v>0.1179</v>
      </c>
      <c r="T2092">
        <v>0.1193</v>
      </c>
      <c r="U2092">
        <v>0.1206</v>
      </c>
      <c r="V2092">
        <v>0.12189999999999999</v>
      </c>
      <c r="W2092">
        <v>0.12330000000000001</v>
      </c>
      <c r="X2092">
        <v>0.1249</v>
      </c>
      <c r="Y2092">
        <v>0.12620000000000001</v>
      </c>
    </row>
    <row r="2093" spans="1:25" hidden="1">
      <c r="A2093" t="s">
        <v>18810</v>
      </c>
      <c r="B2093" t="s">
        <v>1725</v>
      </c>
      <c r="C2093" t="s">
        <v>1614</v>
      </c>
      <c r="D2093" t="s">
        <v>1722</v>
      </c>
      <c r="E2093" t="s">
        <v>1684</v>
      </c>
      <c r="F2093" t="s">
        <v>598</v>
      </c>
      <c r="G2093" t="s">
        <v>478</v>
      </c>
      <c r="H2093" t="s">
        <v>600</v>
      </c>
      <c r="I2093" t="s">
        <v>601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</row>
    <row r="2094" spans="1:25" hidden="1">
      <c r="A2094" t="s">
        <v>18810</v>
      </c>
      <c r="B2094" t="s">
        <v>1732</v>
      </c>
      <c r="C2094" t="s">
        <v>1614</v>
      </c>
      <c r="D2094" t="s">
        <v>1722</v>
      </c>
      <c r="E2094" t="s">
        <v>1733</v>
      </c>
      <c r="F2094" t="s">
        <v>598</v>
      </c>
      <c r="G2094" t="s">
        <v>478</v>
      </c>
      <c r="H2094" t="s">
        <v>600</v>
      </c>
      <c r="I2094" t="s">
        <v>601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hidden="1">
      <c r="A2095" t="s">
        <v>18810</v>
      </c>
      <c r="B2095" t="s">
        <v>1734</v>
      </c>
      <c r="C2095" t="s">
        <v>1614</v>
      </c>
      <c r="D2095" t="s">
        <v>1722</v>
      </c>
      <c r="E2095" t="s">
        <v>1735</v>
      </c>
      <c r="F2095" t="s">
        <v>598</v>
      </c>
      <c r="G2095" t="s">
        <v>478</v>
      </c>
      <c r="H2095" t="s">
        <v>600</v>
      </c>
      <c r="I2095" t="s">
        <v>601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hidden="1">
      <c r="A2096" t="s">
        <v>18810</v>
      </c>
      <c r="B2096" t="s">
        <v>1736</v>
      </c>
      <c r="C2096" t="s">
        <v>1614</v>
      </c>
      <c r="D2096" t="s">
        <v>1722</v>
      </c>
      <c r="E2096" t="s">
        <v>1737</v>
      </c>
      <c r="F2096" t="s">
        <v>598</v>
      </c>
      <c r="G2096" t="s">
        <v>478</v>
      </c>
      <c r="H2096" t="s">
        <v>600</v>
      </c>
      <c r="I2096" t="s">
        <v>601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hidden="1">
      <c r="A2097" t="s">
        <v>18810</v>
      </c>
      <c r="B2097" t="s">
        <v>1745</v>
      </c>
      <c r="C2097" t="s">
        <v>1614</v>
      </c>
      <c r="D2097" t="s">
        <v>1722</v>
      </c>
      <c r="E2097" t="s">
        <v>1615</v>
      </c>
      <c r="F2097" t="s">
        <v>598</v>
      </c>
      <c r="G2097" t="s">
        <v>478</v>
      </c>
      <c r="H2097" t="s">
        <v>600</v>
      </c>
      <c r="I2097" t="s">
        <v>601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</row>
    <row r="2098" spans="1:25" hidden="1">
      <c r="A2098" t="s">
        <v>18810</v>
      </c>
      <c r="B2098" t="s">
        <v>1746</v>
      </c>
      <c r="C2098" t="s">
        <v>1614</v>
      </c>
      <c r="D2098" t="s">
        <v>1722</v>
      </c>
      <c r="E2098" t="s">
        <v>954</v>
      </c>
      <c r="F2098" t="s">
        <v>598</v>
      </c>
      <c r="G2098" t="s">
        <v>478</v>
      </c>
      <c r="H2098" t="s">
        <v>600</v>
      </c>
      <c r="I2098" t="s">
        <v>601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hidden="1">
      <c r="A2099" t="s">
        <v>18810</v>
      </c>
      <c r="B2099" t="s">
        <v>1757</v>
      </c>
      <c r="C2099" t="s">
        <v>1614</v>
      </c>
      <c r="D2099" t="s">
        <v>1722</v>
      </c>
      <c r="E2099" t="s">
        <v>1393</v>
      </c>
      <c r="F2099" t="s">
        <v>598</v>
      </c>
      <c r="G2099" t="s">
        <v>478</v>
      </c>
      <c r="H2099" t="s">
        <v>600</v>
      </c>
      <c r="I2099" t="s">
        <v>601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hidden="1">
      <c r="A2100" t="s">
        <v>18810</v>
      </c>
      <c r="B2100" t="s">
        <v>1758</v>
      </c>
      <c r="C2100" t="s">
        <v>1614</v>
      </c>
      <c r="D2100" t="s">
        <v>1722</v>
      </c>
      <c r="E2100" t="s">
        <v>1759</v>
      </c>
      <c r="F2100" t="s">
        <v>598</v>
      </c>
      <c r="G2100" t="s">
        <v>478</v>
      </c>
      <c r="H2100" t="s">
        <v>600</v>
      </c>
      <c r="I2100" t="s">
        <v>601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hidden="1">
      <c r="A2101" t="s">
        <v>18810</v>
      </c>
      <c r="B2101" t="s">
        <v>1766</v>
      </c>
      <c r="C2101" t="s">
        <v>1614</v>
      </c>
      <c r="D2101" t="s">
        <v>1722</v>
      </c>
      <c r="E2101" t="s">
        <v>1378</v>
      </c>
      <c r="F2101" t="s">
        <v>598</v>
      </c>
      <c r="G2101" t="s">
        <v>478</v>
      </c>
      <c r="H2101" t="s">
        <v>600</v>
      </c>
      <c r="I2101" t="s">
        <v>601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hidden="1">
      <c r="A2102" t="s">
        <v>18810</v>
      </c>
      <c r="B2102" t="s">
        <v>1767</v>
      </c>
      <c r="C2102" t="s">
        <v>1614</v>
      </c>
      <c r="D2102" t="s">
        <v>1768</v>
      </c>
      <c r="E2102" t="s">
        <v>973</v>
      </c>
      <c r="F2102" t="s">
        <v>598</v>
      </c>
      <c r="G2102" t="s">
        <v>478</v>
      </c>
      <c r="H2102" t="s">
        <v>600</v>
      </c>
      <c r="I2102" t="s">
        <v>601</v>
      </c>
      <c r="J2102">
        <v>1E-4</v>
      </c>
      <c r="K2102">
        <v>1E-4</v>
      </c>
      <c r="L2102">
        <v>1E-4</v>
      </c>
      <c r="M2102">
        <v>1E-4</v>
      </c>
      <c r="N2102">
        <v>1E-4</v>
      </c>
      <c r="O2102">
        <v>1E-4</v>
      </c>
      <c r="P2102">
        <v>1E-4</v>
      </c>
      <c r="Q2102">
        <v>1E-4</v>
      </c>
      <c r="R2102">
        <v>1E-4</v>
      </c>
      <c r="S2102">
        <v>1E-4</v>
      </c>
      <c r="T2102">
        <v>1E-4</v>
      </c>
      <c r="U2102">
        <v>1E-4</v>
      </c>
      <c r="V2102">
        <v>1E-4</v>
      </c>
      <c r="W2102">
        <v>1E-4</v>
      </c>
      <c r="X2102">
        <v>1E-4</v>
      </c>
      <c r="Y2102">
        <v>1E-4</v>
      </c>
    </row>
    <row r="2103" spans="1:25" hidden="1">
      <c r="A2103" t="s">
        <v>18810</v>
      </c>
      <c r="B2103" t="s">
        <v>1771</v>
      </c>
      <c r="C2103" t="s">
        <v>1614</v>
      </c>
      <c r="D2103" t="s">
        <v>1768</v>
      </c>
      <c r="E2103" t="s">
        <v>1772</v>
      </c>
      <c r="F2103" t="s">
        <v>598</v>
      </c>
      <c r="G2103" t="s">
        <v>478</v>
      </c>
      <c r="H2103" t="s">
        <v>600</v>
      </c>
      <c r="I2103" t="s">
        <v>601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hidden="1">
      <c r="A2104" t="s">
        <v>18810</v>
      </c>
      <c r="B2104" t="s">
        <v>1773</v>
      </c>
      <c r="C2104" t="s">
        <v>1614</v>
      </c>
      <c r="D2104" t="s">
        <v>1768</v>
      </c>
      <c r="E2104" t="s">
        <v>1774</v>
      </c>
      <c r="F2104" t="s">
        <v>598</v>
      </c>
      <c r="G2104" t="s">
        <v>478</v>
      </c>
      <c r="H2104" t="s">
        <v>600</v>
      </c>
      <c r="I2104" t="s">
        <v>601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hidden="1">
      <c r="A2105" t="s">
        <v>18810</v>
      </c>
      <c r="B2105" t="s">
        <v>1775</v>
      </c>
      <c r="C2105" t="s">
        <v>1614</v>
      </c>
      <c r="D2105" t="s">
        <v>1776</v>
      </c>
      <c r="E2105" t="s">
        <v>1777</v>
      </c>
      <c r="F2105" t="s">
        <v>598</v>
      </c>
      <c r="G2105" t="s">
        <v>478</v>
      </c>
      <c r="H2105" t="s">
        <v>600</v>
      </c>
      <c r="I2105" t="s">
        <v>601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hidden="1">
      <c r="A2106" t="s">
        <v>18810</v>
      </c>
      <c r="B2106" t="s">
        <v>1780</v>
      </c>
      <c r="C2106" t="s">
        <v>1614</v>
      </c>
      <c r="D2106" t="s">
        <v>1781</v>
      </c>
      <c r="E2106" t="s">
        <v>1716</v>
      </c>
      <c r="F2106" t="s">
        <v>598</v>
      </c>
      <c r="G2106" t="s">
        <v>478</v>
      </c>
      <c r="H2106" t="s">
        <v>600</v>
      </c>
      <c r="I2106" t="s">
        <v>601</v>
      </c>
      <c r="J2106">
        <v>3.0999999999999999E-3</v>
      </c>
      <c r="K2106">
        <v>3.2000000000000002E-3</v>
      </c>
      <c r="L2106">
        <v>3.2000000000000002E-3</v>
      </c>
      <c r="M2106">
        <v>3.2000000000000002E-3</v>
      </c>
      <c r="N2106">
        <v>3.2000000000000002E-3</v>
      </c>
      <c r="O2106">
        <v>3.3E-3</v>
      </c>
      <c r="P2106">
        <v>3.3E-3</v>
      </c>
      <c r="Q2106">
        <v>3.3E-3</v>
      </c>
      <c r="R2106">
        <v>3.3999999999999998E-3</v>
      </c>
      <c r="S2106">
        <v>3.3999999999999998E-3</v>
      </c>
      <c r="T2106">
        <v>3.3999999999999998E-3</v>
      </c>
      <c r="U2106">
        <v>3.5000000000000001E-3</v>
      </c>
      <c r="V2106">
        <v>3.5000000000000001E-3</v>
      </c>
      <c r="W2106">
        <v>3.5000000000000001E-3</v>
      </c>
      <c r="X2106">
        <v>3.5999999999999999E-3</v>
      </c>
      <c r="Y2106">
        <v>3.5999999999999999E-3</v>
      </c>
    </row>
    <row r="2107" spans="1:25" hidden="1">
      <c r="A2107" t="s">
        <v>18810</v>
      </c>
      <c r="B2107" t="s">
        <v>1796</v>
      </c>
      <c r="C2107" t="s">
        <v>1614</v>
      </c>
      <c r="D2107" t="s">
        <v>1781</v>
      </c>
      <c r="E2107" t="s">
        <v>1797</v>
      </c>
      <c r="F2107" t="s">
        <v>598</v>
      </c>
      <c r="G2107" t="s">
        <v>478</v>
      </c>
      <c r="H2107" t="s">
        <v>600</v>
      </c>
      <c r="I2107" t="s">
        <v>601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hidden="1">
      <c r="A2108" t="s">
        <v>18810</v>
      </c>
      <c r="B2108" t="s">
        <v>1798</v>
      </c>
      <c r="C2108" t="s">
        <v>1614</v>
      </c>
      <c r="D2108" t="s">
        <v>1781</v>
      </c>
      <c r="E2108" t="s">
        <v>1799</v>
      </c>
      <c r="F2108" t="s">
        <v>598</v>
      </c>
      <c r="G2108" t="s">
        <v>478</v>
      </c>
      <c r="H2108" t="s">
        <v>600</v>
      </c>
      <c r="I2108" t="s">
        <v>601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hidden="1">
      <c r="A2109" t="s">
        <v>18810</v>
      </c>
      <c r="B2109" t="s">
        <v>1800</v>
      </c>
      <c r="C2109" t="s">
        <v>1614</v>
      </c>
      <c r="D2109" t="s">
        <v>1781</v>
      </c>
      <c r="E2109" t="s">
        <v>1801</v>
      </c>
      <c r="F2109" t="s">
        <v>598</v>
      </c>
      <c r="G2109" t="s">
        <v>478</v>
      </c>
      <c r="H2109" t="s">
        <v>600</v>
      </c>
      <c r="I2109" t="s">
        <v>601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hidden="1">
      <c r="A2110" t="s">
        <v>18810</v>
      </c>
      <c r="B2110" t="s">
        <v>1813</v>
      </c>
      <c r="C2110" t="s">
        <v>1614</v>
      </c>
      <c r="D2110" t="s">
        <v>1812</v>
      </c>
      <c r="E2110" t="s">
        <v>1393</v>
      </c>
      <c r="F2110" t="s">
        <v>598</v>
      </c>
      <c r="G2110" t="s">
        <v>478</v>
      </c>
      <c r="H2110" t="s">
        <v>600</v>
      </c>
      <c r="I2110" t="s">
        <v>601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hidden="1">
      <c r="A2111" t="s">
        <v>18810</v>
      </c>
      <c r="B2111" t="s">
        <v>1814</v>
      </c>
      <c r="C2111" t="s">
        <v>1614</v>
      </c>
      <c r="D2111" t="s">
        <v>1812</v>
      </c>
      <c r="E2111" t="s">
        <v>1081</v>
      </c>
      <c r="F2111" t="s">
        <v>598</v>
      </c>
      <c r="G2111" t="s">
        <v>478</v>
      </c>
      <c r="H2111" t="s">
        <v>600</v>
      </c>
      <c r="I2111" t="s">
        <v>601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hidden="1">
      <c r="A2112" t="s">
        <v>18810</v>
      </c>
      <c r="B2112" t="s">
        <v>1819</v>
      </c>
      <c r="C2112" t="s">
        <v>1614</v>
      </c>
      <c r="D2112" t="s">
        <v>648</v>
      </c>
      <c r="E2112" t="s">
        <v>1340</v>
      </c>
      <c r="F2112" t="s">
        <v>598</v>
      </c>
      <c r="G2112" t="s">
        <v>478</v>
      </c>
      <c r="H2112" t="s">
        <v>600</v>
      </c>
      <c r="I2112" t="s">
        <v>601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hidden="1">
      <c r="A2113" t="s">
        <v>18810</v>
      </c>
      <c r="B2113" t="s">
        <v>1823</v>
      </c>
      <c r="C2113" t="s">
        <v>1614</v>
      </c>
      <c r="D2113" t="s">
        <v>648</v>
      </c>
      <c r="E2113" t="s">
        <v>1743</v>
      </c>
      <c r="F2113" t="s">
        <v>598</v>
      </c>
      <c r="G2113" t="s">
        <v>478</v>
      </c>
      <c r="H2113" t="s">
        <v>600</v>
      </c>
      <c r="I2113" t="s">
        <v>601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hidden="1">
      <c r="A2114" t="s">
        <v>18810</v>
      </c>
      <c r="B2114" t="s">
        <v>1824</v>
      </c>
      <c r="C2114" t="s">
        <v>1614</v>
      </c>
      <c r="D2114" t="s">
        <v>648</v>
      </c>
      <c r="E2114" t="s">
        <v>1615</v>
      </c>
      <c r="F2114" t="s">
        <v>598</v>
      </c>
      <c r="G2114" t="s">
        <v>478</v>
      </c>
      <c r="H2114" t="s">
        <v>600</v>
      </c>
      <c r="I2114" t="s">
        <v>601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</row>
    <row r="2115" spans="1:25" hidden="1">
      <c r="A2115" t="s">
        <v>18810</v>
      </c>
      <c r="B2115" t="s">
        <v>1825</v>
      </c>
      <c r="C2115" t="s">
        <v>1614</v>
      </c>
      <c r="D2115" t="s">
        <v>648</v>
      </c>
      <c r="E2115" t="s">
        <v>954</v>
      </c>
      <c r="F2115" t="s">
        <v>598</v>
      </c>
      <c r="G2115" t="s">
        <v>478</v>
      </c>
      <c r="H2115" t="s">
        <v>600</v>
      </c>
      <c r="I2115" t="s">
        <v>601</v>
      </c>
      <c r="J2115">
        <v>1.41E-2</v>
      </c>
      <c r="K2115">
        <v>1.4200000000000001E-2</v>
      </c>
      <c r="L2115">
        <v>1.43E-2</v>
      </c>
      <c r="M2115">
        <v>1.4500000000000001E-2</v>
      </c>
      <c r="N2115">
        <v>1.46E-2</v>
      </c>
      <c r="O2115">
        <v>1.4800000000000001E-2</v>
      </c>
      <c r="P2115">
        <v>1.49E-2</v>
      </c>
      <c r="Q2115">
        <v>1.5100000000000001E-2</v>
      </c>
      <c r="R2115">
        <v>1.52E-2</v>
      </c>
      <c r="S2115">
        <v>1.54E-2</v>
      </c>
      <c r="T2115">
        <v>1.55E-2</v>
      </c>
      <c r="U2115">
        <v>1.5699999999999999E-2</v>
      </c>
      <c r="V2115">
        <v>1.5800000000000002E-2</v>
      </c>
      <c r="W2115">
        <v>1.6E-2</v>
      </c>
      <c r="X2115">
        <v>1.61E-2</v>
      </c>
      <c r="Y2115">
        <v>1.6299999999999999E-2</v>
      </c>
    </row>
    <row r="2116" spans="1:25" hidden="1">
      <c r="A2116" t="s">
        <v>18810</v>
      </c>
      <c r="B2116" t="s">
        <v>1826</v>
      </c>
      <c r="C2116" t="s">
        <v>1614</v>
      </c>
      <c r="D2116" t="s">
        <v>648</v>
      </c>
      <c r="E2116" t="s">
        <v>1020</v>
      </c>
      <c r="F2116" t="s">
        <v>598</v>
      </c>
      <c r="G2116" t="s">
        <v>478</v>
      </c>
      <c r="H2116" t="s">
        <v>600</v>
      </c>
      <c r="I2116" t="s">
        <v>601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</row>
    <row r="2117" spans="1:25" hidden="1">
      <c r="A2117" t="s">
        <v>18810</v>
      </c>
      <c r="B2117" t="s">
        <v>1832</v>
      </c>
      <c r="C2117" t="s">
        <v>1614</v>
      </c>
      <c r="D2117" t="s">
        <v>648</v>
      </c>
      <c r="E2117" t="s">
        <v>1393</v>
      </c>
      <c r="F2117" t="s">
        <v>598</v>
      </c>
      <c r="G2117" t="s">
        <v>478</v>
      </c>
      <c r="H2117" t="s">
        <v>600</v>
      </c>
      <c r="I2117" t="s">
        <v>601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hidden="1">
      <c r="A2118" t="s">
        <v>18810</v>
      </c>
      <c r="B2118" t="s">
        <v>1836</v>
      </c>
      <c r="C2118" t="s">
        <v>1614</v>
      </c>
      <c r="D2118" t="s">
        <v>648</v>
      </c>
      <c r="E2118" t="s">
        <v>1799</v>
      </c>
      <c r="F2118" t="s">
        <v>598</v>
      </c>
      <c r="G2118" t="s">
        <v>478</v>
      </c>
      <c r="H2118" t="s">
        <v>600</v>
      </c>
      <c r="I2118" t="s">
        <v>601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</row>
    <row r="2119" spans="1:25" hidden="1">
      <c r="A2119" t="s">
        <v>18810</v>
      </c>
      <c r="B2119" t="s">
        <v>1837</v>
      </c>
      <c r="C2119" t="s">
        <v>1614</v>
      </c>
      <c r="D2119" t="s">
        <v>648</v>
      </c>
      <c r="E2119" t="s">
        <v>1759</v>
      </c>
      <c r="F2119" t="s">
        <v>598</v>
      </c>
      <c r="G2119" t="s">
        <v>478</v>
      </c>
      <c r="H2119" t="s">
        <v>600</v>
      </c>
      <c r="I2119" t="s">
        <v>601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hidden="1">
      <c r="A2120" t="s">
        <v>18810</v>
      </c>
      <c r="B2120" t="s">
        <v>1838</v>
      </c>
      <c r="C2120" t="s">
        <v>1614</v>
      </c>
      <c r="D2120" t="s">
        <v>648</v>
      </c>
      <c r="E2120" t="s">
        <v>1718</v>
      </c>
      <c r="F2120" t="s">
        <v>598</v>
      </c>
      <c r="G2120" t="s">
        <v>478</v>
      </c>
      <c r="H2120" t="s">
        <v>600</v>
      </c>
      <c r="I2120" t="s">
        <v>601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 hidden="1">
      <c r="A2121" t="s">
        <v>18810</v>
      </c>
      <c r="B2121" t="s">
        <v>1839</v>
      </c>
      <c r="C2121" t="s">
        <v>1614</v>
      </c>
      <c r="D2121" t="s">
        <v>648</v>
      </c>
      <c r="E2121" t="s">
        <v>1765</v>
      </c>
      <c r="F2121" t="s">
        <v>598</v>
      </c>
      <c r="G2121" t="s">
        <v>478</v>
      </c>
      <c r="H2121" t="s">
        <v>600</v>
      </c>
      <c r="I2121" t="s">
        <v>601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25" hidden="1">
      <c r="A2122" t="s">
        <v>18810</v>
      </c>
      <c r="B2122" t="s">
        <v>1841</v>
      </c>
      <c r="C2122" t="s">
        <v>1614</v>
      </c>
      <c r="D2122" t="s">
        <v>648</v>
      </c>
      <c r="E2122" t="s">
        <v>1380</v>
      </c>
      <c r="F2122" t="s">
        <v>598</v>
      </c>
      <c r="G2122" t="s">
        <v>478</v>
      </c>
      <c r="H2122" t="s">
        <v>600</v>
      </c>
      <c r="I2122" t="s">
        <v>601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hidden="1">
      <c r="A2123" t="s">
        <v>18810</v>
      </c>
      <c r="B2123" t="s">
        <v>1842</v>
      </c>
      <c r="C2123" t="s">
        <v>1614</v>
      </c>
      <c r="D2123" t="s">
        <v>648</v>
      </c>
      <c r="E2123" t="s">
        <v>1239</v>
      </c>
      <c r="F2123" t="s">
        <v>598</v>
      </c>
      <c r="G2123" t="s">
        <v>478</v>
      </c>
      <c r="H2123" t="s">
        <v>600</v>
      </c>
      <c r="I2123" t="s">
        <v>601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hidden="1">
      <c r="A2124" t="s">
        <v>18810</v>
      </c>
      <c r="B2124" t="s">
        <v>1843</v>
      </c>
      <c r="C2124" t="s">
        <v>1614</v>
      </c>
      <c r="D2124" t="s">
        <v>648</v>
      </c>
      <c r="E2124" t="s">
        <v>1081</v>
      </c>
      <c r="F2124" t="s">
        <v>598</v>
      </c>
      <c r="G2124" t="s">
        <v>478</v>
      </c>
      <c r="H2124" t="s">
        <v>600</v>
      </c>
      <c r="I2124" t="s">
        <v>601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hidden="1">
      <c r="A2125" t="s">
        <v>18810</v>
      </c>
      <c r="B2125" t="s">
        <v>1844</v>
      </c>
      <c r="C2125" t="s">
        <v>1845</v>
      </c>
      <c r="D2125" t="s">
        <v>1392</v>
      </c>
      <c r="E2125" t="s">
        <v>1846</v>
      </c>
      <c r="F2125" t="s">
        <v>598</v>
      </c>
      <c r="G2125" t="s">
        <v>478</v>
      </c>
      <c r="H2125" t="s">
        <v>600</v>
      </c>
      <c r="I2125" t="s">
        <v>601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hidden="1">
      <c r="A2126" t="s">
        <v>18810</v>
      </c>
      <c r="B2126" t="s">
        <v>1848</v>
      </c>
      <c r="C2126" t="s">
        <v>1845</v>
      </c>
      <c r="D2126" t="s">
        <v>1324</v>
      </c>
      <c r="E2126" t="s">
        <v>954</v>
      </c>
      <c r="F2126" t="s">
        <v>598</v>
      </c>
      <c r="G2126" t="s">
        <v>478</v>
      </c>
      <c r="H2126" t="s">
        <v>600</v>
      </c>
      <c r="I2126" t="s">
        <v>601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hidden="1">
      <c r="A2127" t="s">
        <v>18810</v>
      </c>
      <c r="B2127" t="s">
        <v>1858</v>
      </c>
      <c r="C2127" t="s">
        <v>1845</v>
      </c>
      <c r="D2127" t="s">
        <v>1859</v>
      </c>
      <c r="E2127" t="s">
        <v>1860</v>
      </c>
      <c r="F2127" t="s">
        <v>598</v>
      </c>
      <c r="G2127" t="s">
        <v>478</v>
      </c>
      <c r="H2127" t="s">
        <v>600</v>
      </c>
      <c r="I2127" t="s">
        <v>601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hidden="1">
      <c r="A2128" t="s">
        <v>18810</v>
      </c>
      <c r="B2128" t="s">
        <v>1861</v>
      </c>
      <c r="C2128" t="s">
        <v>1845</v>
      </c>
      <c r="D2128" t="s">
        <v>1862</v>
      </c>
      <c r="E2128" t="s">
        <v>1860</v>
      </c>
      <c r="F2128" t="s">
        <v>598</v>
      </c>
      <c r="G2128" t="s">
        <v>478</v>
      </c>
      <c r="H2128" t="s">
        <v>600</v>
      </c>
      <c r="I2128" t="s">
        <v>601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hidden="1">
      <c r="A2129" t="s">
        <v>18810</v>
      </c>
      <c r="B2129" t="s">
        <v>1863</v>
      </c>
      <c r="C2129" t="s">
        <v>1845</v>
      </c>
      <c r="D2129" t="s">
        <v>1864</v>
      </c>
      <c r="E2129" t="s">
        <v>1865</v>
      </c>
      <c r="F2129" t="s">
        <v>598</v>
      </c>
      <c r="G2129" t="s">
        <v>478</v>
      </c>
      <c r="H2129" t="s">
        <v>600</v>
      </c>
      <c r="I2129" t="s">
        <v>601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hidden="1">
      <c r="A2130" t="s">
        <v>18810</v>
      </c>
      <c r="B2130" t="s">
        <v>1873</v>
      </c>
      <c r="C2130" t="s">
        <v>1845</v>
      </c>
      <c r="D2130" t="s">
        <v>1871</v>
      </c>
      <c r="E2130" t="s">
        <v>1874</v>
      </c>
      <c r="F2130" t="s">
        <v>598</v>
      </c>
      <c r="G2130" t="s">
        <v>478</v>
      </c>
      <c r="H2130" t="s">
        <v>600</v>
      </c>
      <c r="I2130" t="s">
        <v>601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hidden="1">
      <c r="A2131" t="s">
        <v>18810</v>
      </c>
      <c r="B2131" t="s">
        <v>1877</v>
      </c>
      <c r="C2131" t="s">
        <v>1845</v>
      </c>
      <c r="D2131" t="s">
        <v>1878</v>
      </c>
      <c r="E2131" t="s">
        <v>1872</v>
      </c>
      <c r="F2131" t="s">
        <v>598</v>
      </c>
      <c r="G2131" t="s">
        <v>478</v>
      </c>
      <c r="H2131" t="s">
        <v>600</v>
      </c>
      <c r="I2131" t="s">
        <v>601</v>
      </c>
      <c r="J2131">
        <v>4.4000000000000003E-3</v>
      </c>
      <c r="K2131">
        <v>4.4999999999999997E-3</v>
      </c>
      <c r="L2131">
        <v>4.5999999999999999E-3</v>
      </c>
      <c r="M2131">
        <v>4.7000000000000002E-3</v>
      </c>
      <c r="N2131">
        <v>4.7000000000000002E-3</v>
      </c>
      <c r="O2131">
        <v>4.7000000000000002E-3</v>
      </c>
      <c r="P2131">
        <v>4.8999999999999998E-3</v>
      </c>
      <c r="Q2131">
        <v>4.8999999999999998E-3</v>
      </c>
      <c r="R2131">
        <v>5.0000000000000001E-3</v>
      </c>
      <c r="S2131">
        <v>5.0000000000000001E-3</v>
      </c>
      <c r="T2131">
        <v>5.1000000000000004E-3</v>
      </c>
      <c r="U2131">
        <v>5.1000000000000004E-3</v>
      </c>
      <c r="V2131">
        <v>5.1999999999999998E-3</v>
      </c>
      <c r="W2131">
        <v>5.3E-3</v>
      </c>
      <c r="X2131">
        <v>5.3E-3</v>
      </c>
      <c r="Y2131">
        <v>5.4999999999999997E-3</v>
      </c>
    </row>
    <row r="2132" spans="1:25" hidden="1">
      <c r="A2132" t="s">
        <v>18810</v>
      </c>
      <c r="B2132" t="s">
        <v>1881</v>
      </c>
      <c r="C2132" t="s">
        <v>1845</v>
      </c>
      <c r="D2132" t="s">
        <v>1878</v>
      </c>
      <c r="E2132" t="s">
        <v>1882</v>
      </c>
      <c r="F2132" t="s">
        <v>598</v>
      </c>
      <c r="G2132" t="s">
        <v>478</v>
      </c>
      <c r="H2132" t="s">
        <v>600</v>
      </c>
      <c r="I2132" t="s">
        <v>601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hidden="1">
      <c r="A2133" t="s">
        <v>18810</v>
      </c>
      <c r="B2133" t="s">
        <v>1885</v>
      </c>
      <c r="C2133" t="s">
        <v>1845</v>
      </c>
      <c r="D2133" t="s">
        <v>1878</v>
      </c>
      <c r="E2133" t="s">
        <v>1886</v>
      </c>
      <c r="F2133" t="s">
        <v>598</v>
      </c>
      <c r="G2133" t="s">
        <v>478</v>
      </c>
      <c r="H2133" t="s">
        <v>600</v>
      </c>
      <c r="I2133" t="s">
        <v>601</v>
      </c>
      <c r="J2133">
        <v>7.4499999999999997E-2</v>
      </c>
      <c r="K2133">
        <v>7.5600000000000001E-2</v>
      </c>
      <c r="L2133">
        <v>7.6799999999999993E-2</v>
      </c>
      <c r="M2133">
        <v>7.8E-2</v>
      </c>
      <c r="N2133">
        <v>7.9100000000000004E-2</v>
      </c>
      <c r="O2133">
        <v>8.0299999999999996E-2</v>
      </c>
      <c r="P2133">
        <v>8.1100000000000005E-2</v>
      </c>
      <c r="Q2133">
        <v>8.2199999999999995E-2</v>
      </c>
      <c r="R2133">
        <v>8.3199999999999996E-2</v>
      </c>
      <c r="S2133">
        <v>8.4000000000000005E-2</v>
      </c>
      <c r="T2133">
        <v>8.5000000000000006E-2</v>
      </c>
      <c r="U2133">
        <v>8.6300000000000002E-2</v>
      </c>
      <c r="V2133">
        <v>8.7400000000000005E-2</v>
      </c>
      <c r="W2133">
        <v>8.8599999999999998E-2</v>
      </c>
      <c r="X2133">
        <v>8.9700000000000002E-2</v>
      </c>
      <c r="Y2133">
        <v>9.0800000000000006E-2</v>
      </c>
    </row>
    <row r="2134" spans="1:25" hidden="1">
      <c r="A2134" t="s">
        <v>18810</v>
      </c>
      <c r="B2134" t="s">
        <v>1893</v>
      </c>
      <c r="C2134" t="s">
        <v>1845</v>
      </c>
      <c r="D2134" t="s">
        <v>1878</v>
      </c>
      <c r="E2134" t="s">
        <v>1894</v>
      </c>
      <c r="F2134" t="s">
        <v>598</v>
      </c>
      <c r="G2134" t="s">
        <v>478</v>
      </c>
      <c r="H2134" t="s">
        <v>600</v>
      </c>
      <c r="I2134" t="s">
        <v>601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</row>
    <row r="2135" spans="1:25" hidden="1">
      <c r="A2135" t="s">
        <v>18810</v>
      </c>
      <c r="B2135" t="s">
        <v>1897</v>
      </c>
      <c r="C2135" t="s">
        <v>1845</v>
      </c>
      <c r="D2135" t="s">
        <v>1878</v>
      </c>
      <c r="E2135" t="s">
        <v>1898</v>
      </c>
      <c r="F2135" t="s">
        <v>598</v>
      </c>
      <c r="G2135" t="s">
        <v>478</v>
      </c>
      <c r="H2135" t="s">
        <v>600</v>
      </c>
      <c r="I2135" t="s">
        <v>601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hidden="1">
      <c r="A2136" t="s">
        <v>18810</v>
      </c>
      <c r="B2136" t="s">
        <v>1905</v>
      </c>
      <c r="C2136" t="s">
        <v>1845</v>
      </c>
      <c r="D2136" t="s">
        <v>1878</v>
      </c>
      <c r="E2136" t="s">
        <v>1906</v>
      </c>
      <c r="F2136" t="s">
        <v>598</v>
      </c>
      <c r="G2136" t="s">
        <v>478</v>
      </c>
      <c r="H2136" t="s">
        <v>600</v>
      </c>
      <c r="I2136" t="s">
        <v>601</v>
      </c>
      <c r="J2136">
        <v>5.9999999999999995E-4</v>
      </c>
      <c r="K2136">
        <v>5.9999999999999995E-4</v>
      </c>
      <c r="L2136">
        <v>5.9999999999999995E-4</v>
      </c>
      <c r="M2136">
        <v>5.9999999999999995E-4</v>
      </c>
      <c r="N2136">
        <v>5.9999999999999995E-4</v>
      </c>
      <c r="O2136">
        <v>6.9999999999999999E-4</v>
      </c>
      <c r="P2136">
        <v>6.9999999999999999E-4</v>
      </c>
      <c r="Q2136">
        <v>6.9999999999999999E-4</v>
      </c>
      <c r="R2136">
        <v>6.9999999999999999E-4</v>
      </c>
      <c r="S2136">
        <v>6.9999999999999999E-4</v>
      </c>
      <c r="T2136">
        <v>6.9999999999999999E-4</v>
      </c>
      <c r="U2136">
        <v>6.9999999999999999E-4</v>
      </c>
      <c r="V2136">
        <v>6.9999999999999999E-4</v>
      </c>
      <c r="W2136">
        <v>6.9999999999999999E-4</v>
      </c>
      <c r="X2136">
        <v>6.9999999999999999E-4</v>
      </c>
      <c r="Y2136">
        <v>6.9999999999999999E-4</v>
      </c>
    </row>
    <row r="2137" spans="1:25" hidden="1">
      <c r="A2137" t="s">
        <v>18810</v>
      </c>
      <c r="B2137" t="s">
        <v>1913</v>
      </c>
      <c r="C2137" t="s">
        <v>1845</v>
      </c>
      <c r="D2137" t="s">
        <v>1878</v>
      </c>
      <c r="E2137" t="s">
        <v>1914</v>
      </c>
      <c r="F2137" t="s">
        <v>598</v>
      </c>
      <c r="G2137" t="s">
        <v>478</v>
      </c>
      <c r="H2137" t="s">
        <v>600</v>
      </c>
      <c r="I2137" t="s">
        <v>601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 hidden="1">
      <c r="A2138" t="s">
        <v>18810</v>
      </c>
      <c r="B2138" t="s">
        <v>1915</v>
      </c>
      <c r="C2138" t="s">
        <v>1845</v>
      </c>
      <c r="D2138" t="s">
        <v>1878</v>
      </c>
      <c r="E2138" t="s">
        <v>1846</v>
      </c>
      <c r="F2138" t="s">
        <v>598</v>
      </c>
      <c r="G2138" t="s">
        <v>478</v>
      </c>
      <c r="H2138" t="s">
        <v>600</v>
      </c>
      <c r="I2138" t="s">
        <v>601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hidden="1">
      <c r="A2139" t="s">
        <v>18810</v>
      </c>
      <c r="B2139" t="s">
        <v>1916</v>
      </c>
      <c r="C2139" t="s">
        <v>1845</v>
      </c>
      <c r="D2139" t="s">
        <v>1878</v>
      </c>
      <c r="E2139" t="s">
        <v>1869</v>
      </c>
      <c r="F2139" t="s">
        <v>598</v>
      </c>
      <c r="G2139" t="s">
        <v>478</v>
      </c>
      <c r="H2139" t="s">
        <v>600</v>
      </c>
      <c r="I2139" t="s">
        <v>601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hidden="1">
      <c r="A2140" t="s">
        <v>18810</v>
      </c>
      <c r="B2140" t="s">
        <v>1917</v>
      </c>
      <c r="C2140" t="s">
        <v>1845</v>
      </c>
      <c r="D2140" t="s">
        <v>1918</v>
      </c>
      <c r="E2140" t="s">
        <v>1872</v>
      </c>
      <c r="F2140" t="s">
        <v>598</v>
      </c>
      <c r="G2140" t="s">
        <v>478</v>
      </c>
      <c r="H2140" t="s">
        <v>600</v>
      </c>
      <c r="I2140" t="s">
        <v>601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</row>
    <row r="2141" spans="1:25" hidden="1">
      <c r="A2141" t="s">
        <v>18810</v>
      </c>
      <c r="B2141" t="s">
        <v>1940</v>
      </c>
      <c r="C2141" t="s">
        <v>1845</v>
      </c>
      <c r="D2141" t="s">
        <v>1918</v>
      </c>
      <c r="E2141" t="s">
        <v>1910</v>
      </c>
      <c r="F2141" t="s">
        <v>598</v>
      </c>
      <c r="G2141" t="s">
        <v>478</v>
      </c>
      <c r="H2141" t="s">
        <v>600</v>
      </c>
      <c r="I2141" t="s">
        <v>601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 hidden="1">
      <c r="A2142" t="s">
        <v>18810</v>
      </c>
      <c r="B2142" t="s">
        <v>1942</v>
      </c>
      <c r="C2142" t="s">
        <v>1845</v>
      </c>
      <c r="D2142" t="s">
        <v>1918</v>
      </c>
      <c r="E2142" t="s">
        <v>1914</v>
      </c>
      <c r="F2142" t="s">
        <v>598</v>
      </c>
      <c r="G2142" t="s">
        <v>478</v>
      </c>
      <c r="H2142" t="s">
        <v>600</v>
      </c>
      <c r="I2142" t="s">
        <v>601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hidden="1">
      <c r="A2143" t="s">
        <v>18810</v>
      </c>
      <c r="B2143" t="s">
        <v>1948</v>
      </c>
      <c r="C2143" t="s">
        <v>1845</v>
      </c>
      <c r="D2143" t="s">
        <v>648</v>
      </c>
      <c r="E2143" t="s">
        <v>1393</v>
      </c>
      <c r="F2143" t="s">
        <v>598</v>
      </c>
      <c r="G2143" t="s">
        <v>478</v>
      </c>
      <c r="H2143" t="s">
        <v>600</v>
      </c>
      <c r="I2143" t="s">
        <v>601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hidden="1">
      <c r="A2144" t="s">
        <v>18810</v>
      </c>
      <c r="B2144" t="s">
        <v>1949</v>
      </c>
      <c r="C2144" t="s">
        <v>1845</v>
      </c>
      <c r="D2144" t="s">
        <v>648</v>
      </c>
      <c r="E2144" t="s">
        <v>1872</v>
      </c>
      <c r="F2144" t="s">
        <v>598</v>
      </c>
      <c r="G2144" t="s">
        <v>478</v>
      </c>
      <c r="H2144" t="s">
        <v>600</v>
      </c>
      <c r="I2144" t="s">
        <v>601</v>
      </c>
      <c r="J2144">
        <v>1.2999999999999999E-3</v>
      </c>
      <c r="K2144">
        <v>1.2999999999999999E-3</v>
      </c>
      <c r="L2144">
        <v>1.2999999999999999E-3</v>
      </c>
      <c r="M2144">
        <v>1.2999999999999999E-3</v>
      </c>
      <c r="N2144">
        <v>1.2999999999999999E-3</v>
      </c>
      <c r="O2144">
        <v>1.2999999999999999E-3</v>
      </c>
      <c r="P2144">
        <v>1.2999999999999999E-3</v>
      </c>
      <c r="Q2144">
        <v>1.2999999999999999E-3</v>
      </c>
      <c r="R2144">
        <v>1.2999999999999999E-3</v>
      </c>
      <c r="S2144">
        <v>1.2999999999999999E-3</v>
      </c>
      <c r="T2144">
        <v>1.4E-3</v>
      </c>
      <c r="U2144">
        <v>1.4E-3</v>
      </c>
      <c r="V2144">
        <v>1.4E-3</v>
      </c>
      <c r="W2144">
        <v>1.4E-3</v>
      </c>
      <c r="X2144">
        <v>1.4E-3</v>
      </c>
      <c r="Y2144">
        <v>1.4E-3</v>
      </c>
    </row>
    <row r="2145" spans="1:25" hidden="1">
      <c r="A2145" t="s">
        <v>18810</v>
      </c>
      <c r="B2145" t="s">
        <v>1954</v>
      </c>
      <c r="C2145" t="s">
        <v>1845</v>
      </c>
      <c r="D2145" t="s">
        <v>648</v>
      </c>
      <c r="E2145" t="s">
        <v>1896</v>
      </c>
      <c r="F2145" t="s">
        <v>598</v>
      </c>
      <c r="G2145" t="s">
        <v>478</v>
      </c>
      <c r="H2145" t="s">
        <v>600</v>
      </c>
      <c r="I2145" t="s">
        <v>601</v>
      </c>
      <c r="J2145">
        <v>7.4999999999999997E-3</v>
      </c>
      <c r="K2145">
        <v>7.6E-3</v>
      </c>
      <c r="L2145">
        <v>7.6E-3</v>
      </c>
      <c r="M2145">
        <v>7.6E-3</v>
      </c>
      <c r="N2145">
        <v>7.7000000000000002E-3</v>
      </c>
      <c r="O2145">
        <v>7.7999999999999996E-3</v>
      </c>
      <c r="P2145">
        <v>7.9000000000000008E-3</v>
      </c>
      <c r="Q2145">
        <v>8.0000000000000002E-3</v>
      </c>
      <c r="R2145">
        <v>8.0000000000000002E-3</v>
      </c>
      <c r="S2145">
        <v>8.0000000000000002E-3</v>
      </c>
      <c r="T2145">
        <v>8.2000000000000007E-3</v>
      </c>
      <c r="U2145">
        <v>8.3000000000000001E-3</v>
      </c>
      <c r="V2145">
        <v>8.3000000000000001E-3</v>
      </c>
      <c r="W2145">
        <v>8.3999999999999995E-3</v>
      </c>
      <c r="X2145">
        <v>8.3999999999999995E-3</v>
      </c>
      <c r="Y2145">
        <v>8.5000000000000006E-3</v>
      </c>
    </row>
    <row r="2146" spans="1:25" hidden="1">
      <c r="A2146" t="s">
        <v>18810</v>
      </c>
      <c r="B2146" t="s">
        <v>1955</v>
      </c>
      <c r="C2146" t="s">
        <v>1845</v>
      </c>
      <c r="D2146" t="s">
        <v>648</v>
      </c>
      <c r="E2146" t="s">
        <v>1914</v>
      </c>
      <c r="F2146" t="s">
        <v>598</v>
      </c>
      <c r="G2146" t="s">
        <v>478</v>
      </c>
      <c r="H2146" t="s">
        <v>600</v>
      </c>
      <c r="I2146" t="s">
        <v>601</v>
      </c>
      <c r="J2146">
        <v>1.6E-2</v>
      </c>
      <c r="K2146">
        <v>1.61E-2</v>
      </c>
      <c r="L2146">
        <v>1.6299999999999999E-2</v>
      </c>
      <c r="M2146">
        <v>1.6400000000000001E-2</v>
      </c>
      <c r="N2146">
        <v>1.66E-2</v>
      </c>
      <c r="O2146">
        <v>1.67E-2</v>
      </c>
      <c r="P2146">
        <v>1.6899999999999998E-2</v>
      </c>
      <c r="Q2146">
        <v>1.7000000000000001E-2</v>
      </c>
      <c r="R2146">
        <v>1.72E-2</v>
      </c>
      <c r="S2146">
        <v>1.7299999999999999E-2</v>
      </c>
      <c r="T2146">
        <v>1.7500000000000002E-2</v>
      </c>
      <c r="U2146">
        <v>1.7600000000000001E-2</v>
      </c>
      <c r="V2146">
        <v>1.78E-2</v>
      </c>
      <c r="W2146">
        <v>1.7999999999999999E-2</v>
      </c>
      <c r="X2146">
        <v>1.8100000000000002E-2</v>
      </c>
      <c r="Y2146">
        <v>1.83E-2</v>
      </c>
    </row>
    <row r="2147" spans="1:25" hidden="1">
      <c r="A2147" t="s">
        <v>18810</v>
      </c>
      <c r="B2147" t="s">
        <v>1958</v>
      </c>
      <c r="C2147" t="s">
        <v>1959</v>
      </c>
      <c r="D2147" t="s">
        <v>1324</v>
      </c>
      <c r="E2147" t="s">
        <v>954</v>
      </c>
      <c r="F2147" t="s">
        <v>598</v>
      </c>
      <c r="G2147" t="s">
        <v>478</v>
      </c>
      <c r="H2147" t="s">
        <v>600</v>
      </c>
      <c r="I2147" t="s">
        <v>601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hidden="1">
      <c r="A2148" t="s">
        <v>18810</v>
      </c>
      <c r="B2148" t="s">
        <v>1964</v>
      </c>
      <c r="C2148" t="s">
        <v>1959</v>
      </c>
      <c r="D2148" t="s">
        <v>1965</v>
      </c>
      <c r="E2148" t="s">
        <v>1966</v>
      </c>
      <c r="F2148" t="s">
        <v>598</v>
      </c>
      <c r="G2148" t="s">
        <v>478</v>
      </c>
      <c r="H2148" t="s">
        <v>600</v>
      </c>
      <c r="I2148" t="s">
        <v>601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hidden="1">
      <c r="A2149" t="s">
        <v>18810</v>
      </c>
      <c r="B2149" t="s">
        <v>1967</v>
      </c>
      <c r="C2149" t="s">
        <v>1959</v>
      </c>
      <c r="D2149" t="s">
        <v>1968</v>
      </c>
      <c r="E2149" t="s">
        <v>1962</v>
      </c>
      <c r="F2149" t="s">
        <v>598</v>
      </c>
      <c r="G2149" t="s">
        <v>478</v>
      </c>
      <c r="H2149" t="s">
        <v>600</v>
      </c>
      <c r="I2149" t="s">
        <v>601</v>
      </c>
      <c r="J2149">
        <v>2.4299999999999999E-2</v>
      </c>
      <c r="K2149">
        <v>2.5000000000000001E-2</v>
      </c>
      <c r="L2149">
        <v>2.58E-2</v>
      </c>
      <c r="M2149">
        <v>2.6599999999999999E-2</v>
      </c>
      <c r="N2149">
        <v>2.7099999999999999E-2</v>
      </c>
      <c r="O2149">
        <v>2.75E-2</v>
      </c>
      <c r="P2149">
        <v>2.8000000000000001E-2</v>
      </c>
      <c r="Q2149">
        <v>2.8500000000000001E-2</v>
      </c>
      <c r="R2149">
        <v>2.9100000000000001E-2</v>
      </c>
      <c r="S2149">
        <v>2.9700000000000001E-2</v>
      </c>
      <c r="T2149">
        <v>3.0300000000000001E-2</v>
      </c>
      <c r="U2149">
        <v>3.09E-2</v>
      </c>
      <c r="V2149">
        <v>3.15E-2</v>
      </c>
      <c r="W2149">
        <v>3.2199999999999999E-2</v>
      </c>
      <c r="X2149">
        <v>3.2800000000000003E-2</v>
      </c>
      <c r="Y2149">
        <v>3.3399999999999999E-2</v>
      </c>
    </row>
    <row r="2150" spans="1:25" hidden="1">
      <c r="A2150" t="s">
        <v>18810</v>
      </c>
      <c r="B2150" t="s">
        <v>1974</v>
      </c>
      <c r="C2150" t="s">
        <v>1959</v>
      </c>
      <c r="D2150" t="s">
        <v>1972</v>
      </c>
      <c r="E2150" t="s">
        <v>1962</v>
      </c>
      <c r="F2150" t="s">
        <v>598</v>
      </c>
      <c r="G2150" t="s">
        <v>478</v>
      </c>
      <c r="H2150" t="s">
        <v>600</v>
      </c>
      <c r="I2150" t="s">
        <v>601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hidden="1">
      <c r="A2151" t="s">
        <v>18810</v>
      </c>
      <c r="B2151" t="s">
        <v>1977</v>
      </c>
      <c r="C2151" t="s">
        <v>1959</v>
      </c>
      <c r="D2151" t="s">
        <v>1972</v>
      </c>
      <c r="E2151" t="s">
        <v>1966</v>
      </c>
      <c r="F2151" t="s">
        <v>598</v>
      </c>
      <c r="G2151" t="s">
        <v>478</v>
      </c>
      <c r="H2151" t="s">
        <v>600</v>
      </c>
      <c r="I2151" t="s">
        <v>601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hidden="1">
      <c r="A2152" t="s">
        <v>18810</v>
      </c>
      <c r="B2152" t="s">
        <v>1978</v>
      </c>
      <c r="C2152" t="s">
        <v>1959</v>
      </c>
      <c r="D2152" t="s">
        <v>1972</v>
      </c>
      <c r="E2152" t="s">
        <v>1979</v>
      </c>
      <c r="F2152" t="s">
        <v>598</v>
      </c>
      <c r="G2152" t="s">
        <v>478</v>
      </c>
      <c r="H2152" t="s">
        <v>600</v>
      </c>
      <c r="I2152" t="s">
        <v>601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</row>
    <row r="2153" spans="1:25" hidden="1">
      <c r="A2153" t="s">
        <v>18810</v>
      </c>
      <c r="B2153" t="s">
        <v>1985</v>
      </c>
      <c r="C2153" t="s">
        <v>1959</v>
      </c>
      <c r="D2153" t="s">
        <v>1983</v>
      </c>
      <c r="E2153" t="s">
        <v>1378</v>
      </c>
      <c r="F2153" t="s">
        <v>598</v>
      </c>
      <c r="G2153" t="s">
        <v>478</v>
      </c>
      <c r="H2153" t="s">
        <v>600</v>
      </c>
      <c r="I2153" t="s">
        <v>601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hidden="1">
      <c r="A2154" t="s">
        <v>18810</v>
      </c>
      <c r="B2154" t="s">
        <v>1988</v>
      </c>
      <c r="C2154" t="s">
        <v>1959</v>
      </c>
      <c r="D2154" t="s">
        <v>1983</v>
      </c>
      <c r="E2154" t="s">
        <v>1966</v>
      </c>
      <c r="F2154" t="s">
        <v>598</v>
      </c>
      <c r="G2154" t="s">
        <v>478</v>
      </c>
      <c r="H2154" t="s">
        <v>600</v>
      </c>
      <c r="I2154" t="s">
        <v>601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</row>
    <row r="2155" spans="1:25" hidden="1">
      <c r="A2155" t="s">
        <v>18810</v>
      </c>
      <c r="B2155" t="s">
        <v>1991</v>
      </c>
      <c r="C2155" t="s">
        <v>1959</v>
      </c>
      <c r="D2155" t="s">
        <v>1983</v>
      </c>
      <c r="E2155" t="s">
        <v>1992</v>
      </c>
      <c r="F2155" t="s">
        <v>598</v>
      </c>
      <c r="G2155" t="s">
        <v>478</v>
      </c>
      <c r="H2155" t="s">
        <v>600</v>
      </c>
      <c r="I2155" t="s">
        <v>601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hidden="1">
      <c r="A2156" t="s">
        <v>18810</v>
      </c>
      <c r="B2156" t="s">
        <v>1995</v>
      </c>
      <c r="C2156" t="s">
        <v>1959</v>
      </c>
      <c r="D2156" t="s">
        <v>1996</v>
      </c>
      <c r="E2156" t="s">
        <v>1973</v>
      </c>
      <c r="F2156" t="s">
        <v>598</v>
      </c>
      <c r="G2156" t="s">
        <v>478</v>
      </c>
      <c r="H2156" t="s">
        <v>600</v>
      </c>
      <c r="I2156" t="s">
        <v>601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hidden="1">
      <c r="A2157" t="s">
        <v>18810</v>
      </c>
      <c r="B2157" t="s">
        <v>1997</v>
      </c>
      <c r="C2157" t="s">
        <v>1959</v>
      </c>
      <c r="D2157" t="s">
        <v>1996</v>
      </c>
      <c r="E2157" t="s">
        <v>1380</v>
      </c>
      <c r="F2157" t="s">
        <v>598</v>
      </c>
      <c r="G2157" t="s">
        <v>478</v>
      </c>
      <c r="H2157" t="s">
        <v>600</v>
      </c>
      <c r="I2157" t="s">
        <v>601</v>
      </c>
      <c r="J2157">
        <v>0.1923</v>
      </c>
      <c r="K2157">
        <v>0.1963</v>
      </c>
      <c r="L2157">
        <v>0.20039999999999999</v>
      </c>
      <c r="M2157">
        <v>0.20449999999999999</v>
      </c>
      <c r="N2157">
        <v>0.2084</v>
      </c>
      <c r="O2157">
        <v>0.21249999999999999</v>
      </c>
      <c r="P2157">
        <v>0.21909999999999999</v>
      </c>
      <c r="Q2157">
        <v>0.22550000000000001</v>
      </c>
      <c r="R2157">
        <v>0.2321</v>
      </c>
      <c r="S2157">
        <v>0.23849999999999999</v>
      </c>
      <c r="T2157">
        <v>0.24490000000000001</v>
      </c>
      <c r="U2157">
        <v>0.25090000000000001</v>
      </c>
      <c r="V2157">
        <v>0.25679999999999997</v>
      </c>
      <c r="W2157">
        <v>0.26279999999999998</v>
      </c>
      <c r="X2157">
        <v>0.26869999999999999</v>
      </c>
      <c r="Y2157">
        <v>0.27450000000000002</v>
      </c>
    </row>
    <row r="2158" spans="1:25" hidden="1">
      <c r="A2158" t="s">
        <v>18810</v>
      </c>
      <c r="B2158" t="s">
        <v>2004</v>
      </c>
      <c r="C2158" t="s">
        <v>1959</v>
      </c>
      <c r="D2158" t="s">
        <v>2001</v>
      </c>
      <c r="E2158" t="s">
        <v>1380</v>
      </c>
      <c r="F2158" t="s">
        <v>598</v>
      </c>
      <c r="G2158" t="s">
        <v>478</v>
      </c>
      <c r="H2158" t="s">
        <v>600</v>
      </c>
      <c r="I2158" t="s">
        <v>601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hidden="1">
      <c r="A2159" t="s">
        <v>18810</v>
      </c>
      <c r="B2159" t="s">
        <v>2005</v>
      </c>
      <c r="C2159" t="s">
        <v>1959</v>
      </c>
      <c r="D2159" t="s">
        <v>2001</v>
      </c>
      <c r="E2159" t="s">
        <v>1976</v>
      </c>
      <c r="F2159" t="s">
        <v>598</v>
      </c>
      <c r="G2159" t="s">
        <v>478</v>
      </c>
      <c r="H2159" t="s">
        <v>600</v>
      </c>
      <c r="I2159" t="s">
        <v>601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hidden="1">
      <c r="A2160" t="s">
        <v>18810</v>
      </c>
      <c r="B2160" t="s">
        <v>2007</v>
      </c>
      <c r="C2160" t="s">
        <v>1959</v>
      </c>
      <c r="D2160" t="s">
        <v>2001</v>
      </c>
      <c r="E2160" t="s">
        <v>1966</v>
      </c>
      <c r="F2160" t="s">
        <v>598</v>
      </c>
      <c r="G2160" t="s">
        <v>478</v>
      </c>
      <c r="H2160" t="s">
        <v>600</v>
      </c>
      <c r="I2160" t="s">
        <v>601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hidden="1">
      <c r="A2161" t="s">
        <v>18810</v>
      </c>
      <c r="B2161" t="s">
        <v>2008</v>
      </c>
      <c r="C2161" t="s">
        <v>1959</v>
      </c>
      <c r="D2161" t="s">
        <v>2009</v>
      </c>
      <c r="E2161" t="s">
        <v>2010</v>
      </c>
      <c r="F2161" t="s">
        <v>598</v>
      </c>
      <c r="G2161" t="s">
        <v>478</v>
      </c>
      <c r="H2161" t="s">
        <v>600</v>
      </c>
      <c r="I2161" t="s">
        <v>601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hidden="1">
      <c r="A2162" t="s">
        <v>18810</v>
      </c>
      <c r="B2162" t="s">
        <v>2011</v>
      </c>
      <c r="C2162" t="s">
        <v>1959</v>
      </c>
      <c r="D2162" t="s">
        <v>2012</v>
      </c>
      <c r="E2162" t="s">
        <v>2013</v>
      </c>
      <c r="F2162" t="s">
        <v>598</v>
      </c>
      <c r="G2162" t="s">
        <v>478</v>
      </c>
      <c r="H2162" t="s">
        <v>600</v>
      </c>
      <c r="I2162" t="s">
        <v>601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hidden="1">
      <c r="A2163" t="s">
        <v>18810</v>
      </c>
      <c r="B2163" t="s">
        <v>2017</v>
      </c>
      <c r="C2163" t="s">
        <v>1959</v>
      </c>
      <c r="D2163" t="s">
        <v>1817</v>
      </c>
      <c r="E2163" t="s">
        <v>1962</v>
      </c>
      <c r="F2163" t="s">
        <v>598</v>
      </c>
      <c r="G2163" t="s">
        <v>478</v>
      </c>
      <c r="H2163" t="s">
        <v>600</v>
      </c>
      <c r="I2163" t="s">
        <v>601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hidden="1">
      <c r="A2164" t="s">
        <v>18810</v>
      </c>
      <c r="B2164" t="s">
        <v>2019</v>
      </c>
      <c r="C2164" t="s">
        <v>1959</v>
      </c>
      <c r="D2164" t="s">
        <v>1817</v>
      </c>
      <c r="E2164" t="s">
        <v>1976</v>
      </c>
      <c r="F2164" t="s">
        <v>598</v>
      </c>
      <c r="G2164" t="s">
        <v>478</v>
      </c>
      <c r="H2164" t="s">
        <v>600</v>
      </c>
      <c r="I2164" t="s">
        <v>601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hidden="1">
      <c r="A2165" t="s">
        <v>18810</v>
      </c>
      <c r="B2165" t="s">
        <v>2023</v>
      </c>
      <c r="C2165" t="s">
        <v>1959</v>
      </c>
      <c r="D2165" t="s">
        <v>1817</v>
      </c>
      <c r="E2165" t="s">
        <v>1970</v>
      </c>
      <c r="F2165" t="s">
        <v>598</v>
      </c>
      <c r="G2165" t="s">
        <v>478</v>
      </c>
      <c r="H2165" t="s">
        <v>600</v>
      </c>
      <c r="I2165" t="s">
        <v>601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</row>
    <row r="2166" spans="1:25" hidden="1">
      <c r="A2166" t="s">
        <v>18810</v>
      </c>
      <c r="B2166" t="s">
        <v>2028</v>
      </c>
      <c r="C2166" t="s">
        <v>1959</v>
      </c>
      <c r="D2166" t="s">
        <v>1817</v>
      </c>
      <c r="E2166" t="s">
        <v>1966</v>
      </c>
      <c r="F2166" t="s">
        <v>598</v>
      </c>
      <c r="G2166" t="s">
        <v>478</v>
      </c>
      <c r="H2166" t="s">
        <v>600</v>
      </c>
      <c r="I2166" t="s">
        <v>601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</row>
    <row r="2167" spans="1:25" hidden="1">
      <c r="A2167" t="s">
        <v>18810</v>
      </c>
      <c r="B2167" t="s">
        <v>2029</v>
      </c>
      <c r="C2167" t="s">
        <v>1959</v>
      </c>
      <c r="D2167" t="s">
        <v>1817</v>
      </c>
      <c r="E2167" t="s">
        <v>1979</v>
      </c>
      <c r="F2167" t="s">
        <v>598</v>
      </c>
      <c r="G2167" t="s">
        <v>478</v>
      </c>
      <c r="H2167" t="s">
        <v>600</v>
      </c>
      <c r="I2167" t="s">
        <v>601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hidden="1">
      <c r="A2168" t="s">
        <v>18810</v>
      </c>
      <c r="B2168" t="s">
        <v>2033</v>
      </c>
      <c r="C2168" t="s">
        <v>1959</v>
      </c>
      <c r="D2168" t="s">
        <v>648</v>
      </c>
      <c r="E2168" t="s">
        <v>973</v>
      </c>
      <c r="F2168" t="s">
        <v>598</v>
      </c>
      <c r="G2168" t="s">
        <v>478</v>
      </c>
      <c r="H2168" t="s">
        <v>600</v>
      </c>
      <c r="I2168" t="s">
        <v>601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hidden="1">
      <c r="A2169" t="s">
        <v>18810</v>
      </c>
      <c r="B2169" t="s">
        <v>2036</v>
      </c>
      <c r="C2169" t="s">
        <v>1959</v>
      </c>
      <c r="D2169" t="s">
        <v>648</v>
      </c>
      <c r="E2169" t="s">
        <v>611</v>
      </c>
      <c r="F2169" t="s">
        <v>598</v>
      </c>
      <c r="G2169" t="s">
        <v>478</v>
      </c>
      <c r="H2169" t="s">
        <v>600</v>
      </c>
      <c r="I2169" t="s">
        <v>601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hidden="1">
      <c r="A2170" t="s">
        <v>18810</v>
      </c>
      <c r="B2170" t="s">
        <v>2039</v>
      </c>
      <c r="C2170" t="s">
        <v>1959</v>
      </c>
      <c r="D2170" t="s">
        <v>648</v>
      </c>
      <c r="E2170" t="s">
        <v>1378</v>
      </c>
      <c r="F2170" t="s">
        <v>598</v>
      </c>
      <c r="G2170" t="s">
        <v>478</v>
      </c>
      <c r="H2170" t="s">
        <v>600</v>
      </c>
      <c r="I2170" t="s">
        <v>601</v>
      </c>
      <c r="J2170">
        <v>2.8927999999999998</v>
      </c>
      <c r="K2170">
        <v>2.96</v>
      </c>
      <c r="L2170">
        <v>3.0306000000000002</v>
      </c>
      <c r="M2170">
        <v>3.1036999999999999</v>
      </c>
      <c r="N2170">
        <v>3.1457000000000002</v>
      </c>
      <c r="O2170">
        <v>3.19</v>
      </c>
      <c r="P2170">
        <v>3.2339000000000002</v>
      </c>
      <c r="Q2170">
        <v>3.2795000000000001</v>
      </c>
      <c r="R2170">
        <v>3.3271000000000002</v>
      </c>
      <c r="S2170">
        <v>3.3763999999999998</v>
      </c>
      <c r="T2170">
        <v>3.4287999999999998</v>
      </c>
      <c r="U2170">
        <v>3.4836</v>
      </c>
      <c r="V2170">
        <v>3.5448</v>
      </c>
      <c r="W2170">
        <v>3.6044</v>
      </c>
      <c r="X2170">
        <v>3.6598000000000002</v>
      </c>
      <c r="Y2170">
        <v>3.7176</v>
      </c>
    </row>
    <row r="2171" spans="1:25" hidden="1">
      <c r="A2171" t="s">
        <v>18810</v>
      </c>
      <c r="B2171" t="s">
        <v>2040</v>
      </c>
      <c r="C2171" t="s">
        <v>1959</v>
      </c>
      <c r="D2171" t="s">
        <v>648</v>
      </c>
      <c r="E2171" t="s">
        <v>1962</v>
      </c>
      <c r="F2171" t="s">
        <v>598</v>
      </c>
      <c r="G2171" t="s">
        <v>478</v>
      </c>
      <c r="H2171" t="s">
        <v>600</v>
      </c>
      <c r="I2171" t="s">
        <v>601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hidden="1">
      <c r="A2172" t="s">
        <v>18810</v>
      </c>
      <c r="B2172" t="s">
        <v>2041</v>
      </c>
      <c r="C2172" t="s">
        <v>1959</v>
      </c>
      <c r="D2172" t="s">
        <v>648</v>
      </c>
      <c r="E2172" t="s">
        <v>2003</v>
      </c>
      <c r="F2172" t="s">
        <v>598</v>
      </c>
      <c r="G2172" t="s">
        <v>478</v>
      </c>
      <c r="H2172" t="s">
        <v>600</v>
      </c>
      <c r="I2172" t="s">
        <v>601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</row>
    <row r="2173" spans="1:25" hidden="1">
      <c r="A2173" t="s">
        <v>18810</v>
      </c>
      <c r="B2173" t="s">
        <v>2042</v>
      </c>
      <c r="C2173" t="s">
        <v>1959</v>
      </c>
      <c r="D2173" t="s">
        <v>648</v>
      </c>
      <c r="E2173" t="s">
        <v>1380</v>
      </c>
      <c r="F2173" t="s">
        <v>598</v>
      </c>
      <c r="G2173" t="s">
        <v>478</v>
      </c>
      <c r="H2173" t="s">
        <v>600</v>
      </c>
      <c r="I2173" t="s">
        <v>601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hidden="1">
      <c r="A2174" t="s">
        <v>18810</v>
      </c>
      <c r="B2174" t="s">
        <v>2043</v>
      </c>
      <c r="C2174" t="s">
        <v>1959</v>
      </c>
      <c r="D2174" t="s">
        <v>648</v>
      </c>
      <c r="E2174" t="s">
        <v>1976</v>
      </c>
      <c r="F2174" t="s">
        <v>598</v>
      </c>
      <c r="G2174" t="s">
        <v>478</v>
      </c>
      <c r="H2174" t="s">
        <v>600</v>
      </c>
      <c r="I2174" t="s">
        <v>601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</row>
    <row r="2175" spans="1:25" hidden="1">
      <c r="A2175" t="s">
        <v>18810</v>
      </c>
      <c r="B2175" t="s">
        <v>2046</v>
      </c>
      <c r="C2175" t="s">
        <v>1959</v>
      </c>
      <c r="D2175" t="s">
        <v>648</v>
      </c>
      <c r="E2175" t="s">
        <v>2047</v>
      </c>
      <c r="F2175" t="s">
        <v>598</v>
      </c>
      <c r="G2175" t="s">
        <v>478</v>
      </c>
      <c r="H2175" t="s">
        <v>600</v>
      </c>
      <c r="I2175" t="s">
        <v>601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hidden="1">
      <c r="A2176" t="s">
        <v>18810</v>
      </c>
      <c r="B2176" t="s">
        <v>2053</v>
      </c>
      <c r="C2176" t="s">
        <v>1959</v>
      </c>
      <c r="D2176" t="s">
        <v>648</v>
      </c>
      <c r="E2176" t="s">
        <v>2022</v>
      </c>
      <c r="F2176" t="s">
        <v>598</v>
      </c>
      <c r="G2176" t="s">
        <v>478</v>
      </c>
      <c r="H2176" t="s">
        <v>600</v>
      </c>
      <c r="I2176" t="s">
        <v>601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</row>
    <row r="2177" spans="1:25" hidden="1">
      <c r="A2177" t="s">
        <v>18810</v>
      </c>
      <c r="B2177" t="s">
        <v>2056</v>
      </c>
      <c r="C2177" t="s">
        <v>1959</v>
      </c>
      <c r="D2177" t="s">
        <v>648</v>
      </c>
      <c r="E2177" t="s">
        <v>2057</v>
      </c>
      <c r="F2177" t="s">
        <v>598</v>
      </c>
      <c r="G2177" t="s">
        <v>478</v>
      </c>
      <c r="H2177" t="s">
        <v>600</v>
      </c>
      <c r="I2177" t="s">
        <v>601</v>
      </c>
      <c r="J2177">
        <v>2.92E-2</v>
      </c>
      <c r="K2177">
        <v>2.9700000000000001E-2</v>
      </c>
      <c r="L2177">
        <v>3.0099999999999998E-2</v>
      </c>
      <c r="M2177">
        <v>3.0599999999999999E-2</v>
      </c>
      <c r="N2177">
        <v>3.1E-2</v>
      </c>
      <c r="O2177">
        <v>3.15E-2</v>
      </c>
      <c r="P2177">
        <v>3.1800000000000002E-2</v>
      </c>
      <c r="Q2177">
        <v>3.2199999999999999E-2</v>
      </c>
      <c r="R2177">
        <v>3.2599999999999997E-2</v>
      </c>
      <c r="S2177">
        <v>3.2899999999999999E-2</v>
      </c>
      <c r="T2177">
        <v>3.3300000000000003E-2</v>
      </c>
      <c r="U2177">
        <v>3.3799999999999997E-2</v>
      </c>
      <c r="V2177">
        <v>3.4200000000000001E-2</v>
      </c>
      <c r="W2177">
        <v>3.4700000000000002E-2</v>
      </c>
      <c r="X2177">
        <v>3.5099999999999999E-2</v>
      </c>
      <c r="Y2177">
        <v>3.56E-2</v>
      </c>
    </row>
    <row r="2178" spans="1:25" hidden="1">
      <c r="A2178" t="s">
        <v>18810</v>
      </c>
      <c r="B2178" t="s">
        <v>2058</v>
      </c>
      <c r="C2178" t="s">
        <v>1959</v>
      </c>
      <c r="D2178" t="s">
        <v>648</v>
      </c>
      <c r="E2178" t="s">
        <v>2025</v>
      </c>
      <c r="F2178" t="s">
        <v>598</v>
      </c>
      <c r="G2178" t="s">
        <v>478</v>
      </c>
      <c r="H2178" t="s">
        <v>600</v>
      </c>
      <c r="I2178" t="s">
        <v>601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hidden="1">
      <c r="A2179" t="s">
        <v>18810</v>
      </c>
      <c r="B2179" t="s">
        <v>2063</v>
      </c>
      <c r="C2179" t="s">
        <v>1959</v>
      </c>
      <c r="D2179" t="s">
        <v>648</v>
      </c>
      <c r="E2179" t="s">
        <v>2064</v>
      </c>
      <c r="F2179" t="s">
        <v>598</v>
      </c>
      <c r="G2179" t="s">
        <v>478</v>
      </c>
      <c r="H2179" t="s">
        <v>600</v>
      </c>
      <c r="I2179" t="s">
        <v>601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hidden="1">
      <c r="A2180" t="s">
        <v>18810</v>
      </c>
      <c r="B2180" t="s">
        <v>2067</v>
      </c>
      <c r="C2180" t="s">
        <v>1959</v>
      </c>
      <c r="D2180" t="s">
        <v>648</v>
      </c>
      <c r="E2180" t="s">
        <v>2027</v>
      </c>
      <c r="F2180" t="s">
        <v>598</v>
      </c>
      <c r="G2180" t="s">
        <v>478</v>
      </c>
      <c r="H2180" t="s">
        <v>600</v>
      </c>
      <c r="I2180" t="s">
        <v>601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hidden="1">
      <c r="A2181" t="s">
        <v>18810</v>
      </c>
      <c r="B2181" t="s">
        <v>2068</v>
      </c>
      <c r="C2181" t="s">
        <v>1959</v>
      </c>
      <c r="D2181" t="s">
        <v>648</v>
      </c>
      <c r="E2181" t="s">
        <v>2069</v>
      </c>
      <c r="F2181" t="s">
        <v>598</v>
      </c>
      <c r="G2181" t="s">
        <v>478</v>
      </c>
      <c r="H2181" t="s">
        <v>600</v>
      </c>
      <c r="I2181" t="s">
        <v>601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hidden="1">
      <c r="A2182" t="s">
        <v>18810</v>
      </c>
      <c r="B2182" t="s">
        <v>2070</v>
      </c>
      <c r="C2182" t="s">
        <v>1959</v>
      </c>
      <c r="D2182" t="s">
        <v>648</v>
      </c>
      <c r="E2182" t="s">
        <v>2071</v>
      </c>
      <c r="F2182" t="s">
        <v>598</v>
      </c>
      <c r="G2182" t="s">
        <v>478</v>
      </c>
      <c r="H2182" t="s">
        <v>600</v>
      </c>
      <c r="I2182" t="s">
        <v>601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hidden="1">
      <c r="A2183" t="s">
        <v>18810</v>
      </c>
      <c r="B2183" t="s">
        <v>2072</v>
      </c>
      <c r="C2183" t="s">
        <v>1959</v>
      </c>
      <c r="D2183" t="s">
        <v>648</v>
      </c>
      <c r="E2183" t="s">
        <v>1966</v>
      </c>
      <c r="F2183" t="s">
        <v>598</v>
      </c>
      <c r="G2183" t="s">
        <v>478</v>
      </c>
      <c r="H2183" t="s">
        <v>600</v>
      </c>
      <c r="I2183" t="s">
        <v>601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hidden="1">
      <c r="A2184" t="s">
        <v>18810</v>
      </c>
      <c r="B2184" t="s">
        <v>2077</v>
      </c>
      <c r="C2184" t="s">
        <v>2075</v>
      </c>
      <c r="D2184" t="s">
        <v>1354</v>
      </c>
      <c r="E2184" t="s">
        <v>973</v>
      </c>
      <c r="F2184" t="s">
        <v>598</v>
      </c>
      <c r="G2184" t="s">
        <v>478</v>
      </c>
      <c r="H2184" t="s">
        <v>600</v>
      </c>
      <c r="I2184" t="s">
        <v>601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hidden="1">
      <c r="A2185" t="s">
        <v>18810</v>
      </c>
      <c r="B2185" t="s">
        <v>2078</v>
      </c>
      <c r="C2185" t="s">
        <v>2075</v>
      </c>
      <c r="D2185" t="s">
        <v>2079</v>
      </c>
      <c r="E2185" t="s">
        <v>1378</v>
      </c>
      <c r="F2185" t="s">
        <v>598</v>
      </c>
      <c r="G2185" t="s">
        <v>478</v>
      </c>
      <c r="H2185" t="s">
        <v>600</v>
      </c>
      <c r="I2185" t="s">
        <v>601</v>
      </c>
      <c r="J2185">
        <v>1.14E-2</v>
      </c>
      <c r="K2185">
        <v>1.1599999999999999E-2</v>
      </c>
      <c r="L2185">
        <v>1.17E-2</v>
      </c>
      <c r="M2185">
        <v>1.1900000000000001E-2</v>
      </c>
      <c r="N2185">
        <v>1.21E-2</v>
      </c>
      <c r="O2185">
        <v>1.23E-2</v>
      </c>
      <c r="P2185">
        <v>1.24E-2</v>
      </c>
      <c r="Q2185">
        <v>1.26E-2</v>
      </c>
      <c r="R2185">
        <v>1.2699999999999999E-2</v>
      </c>
      <c r="S2185">
        <v>1.29E-2</v>
      </c>
      <c r="T2185">
        <v>1.2999999999999999E-2</v>
      </c>
      <c r="U2185">
        <v>1.32E-2</v>
      </c>
      <c r="V2185">
        <v>1.3299999999999999E-2</v>
      </c>
      <c r="W2185">
        <v>1.35E-2</v>
      </c>
      <c r="X2185">
        <v>1.37E-2</v>
      </c>
      <c r="Y2185">
        <v>1.3899999999999999E-2</v>
      </c>
    </row>
    <row r="2186" spans="1:25" hidden="1">
      <c r="A2186" t="s">
        <v>18810</v>
      </c>
      <c r="B2186" t="s">
        <v>2080</v>
      </c>
      <c r="C2186" t="s">
        <v>2075</v>
      </c>
      <c r="D2186" t="s">
        <v>2079</v>
      </c>
      <c r="E2186" t="s">
        <v>2081</v>
      </c>
      <c r="F2186" t="s">
        <v>598</v>
      </c>
      <c r="G2186" t="s">
        <v>478</v>
      </c>
      <c r="H2186" t="s">
        <v>600</v>
      </c>
      <c r="I2186" t="s">
        <v>601</v>
      </c>
      <c r="J2186">
        <v>6.9999999999999999E-4</v>
      </c>
      <c r="K2186">
        <v>6.9999999999999999E-4</v>
      </c>
      <c r="L2186">
        <v>6.9999999999999999E-4</v>
      </c>
      <c r="M2186">
        <v>6.9999999999999999E-4</v>
      </c>
      <c r="N2186">
        <v>6.9999999999999999E-4</v>
      </c>
      <c r="O2186">
        <v>6.9999999999999999E-4</v>
      </c>
      <c r="P2186">
        <v>6.9999999999999999E-4</v>
      </c>
      <c r="Q2186">
        <v>6.9999999999999999E-4</v>
      </c>
      <c r="R2186">
        <v>6.9999999999999999E-4</v>
      </c>
      <c r="S2186">
        <v>6.9999999999999999E-4</v>
      </c>
      <c r="T2186">
        <v>6.9999999999999999E-4</v>
      </c>
      <c r="U2186">
        <v>6.9999999999999999E-4</v>
      </c>
      <c r="V2186">
        <v>6.9999999999999999E-4</v>
      </c>
      <c r="W2186">
        <v>6.9999999999999999E-4</v>
      </c>
      <c r="X2186">
        <v>6.9999999999999999E-4</v>
      </c>
      <c r="Y2186">
        <v>6.9999999999999999E-4</v>
      </c>
    </row>
    <row r="2187" spans="1:25" hidden="1">
      <c r="A2187" t="s">
        <v>18810</v>
      </c>
      <c r="B2187" t="s">
        <v>2082</v>
      </c>
      <c r="C2187" t="s">
        <v>2075</v>
      </c>
      <c r="D2187" t="s">
        <v>2079</v>
      </c>
      <c r="E2187" t="s">
        <v>2083</v>
      </c>
      <c r="F2187" t="s">
        <v>598</v>
      </c>
      <c r="G2187" t="s">
        <v>478</v>
      </c>
      <c r="H2187" t="s">
        <v>600</v>
      </c>
      <c r="I2187" t="s">
        <v>601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hidden="1">
      <c r="A2188" t="s">
        <v>18810</v>
      </c>
      <c r="B2188" t="s">
        <v>2084</v>
      </c>
      <c r="C2188" t="s">
        <v>2075</v>
      </c>
      <c r="D2188" t="s">
        <v>2079</v>
      </c>
      <c r="E2188" t="s">
        <v>2022</v>
      </c>
      <c r="F2188" t="s">
        <v>598</v>
      </c>
      <c r="G2188" t="s">
        <v>478</v>
      </c>
      <c r="H2188" t="s">
        <v>600</v>
      </c>
      <c r="I2188" t="s">
        <v>601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hidden="1">
      <c r="A2189" t="s">
        <v>18810</v>
      </c>
      <c r="B2189" t="s">
        <v>2087</v>
      </c>
      <c r="C2189" t="s">
        <v>2075</v>
      </c>
      <c r="D2189" t="s">
        <v>2079</v>
      </c>
      <c r="E2189" t="s">
        <v>2088</v>
      </c>
      <c r="F2189" t="s">
        <v>598</v>
      </c>
      <c r="G2189" t="s">
        <v>478</v>
      </c>
      <c r="H2189" t="s">
        <v>600</v>
      </c>
      <c r="I2189" t="s">
        <v>601</v>
      </c>
      <c r="J2189">
        <v>8.9999999999999998E-4</v>
      </c>
      <c r="K2189">
        <v>8.9999999999999998E-4</v>
      </c>
      <c r="L2189">
        <v>8.9999999999999998E-4</v>
      </c>
      <c r="M2189">
        <v>8.9999999999999998E-4</v>
      </c>
      <c r="N2189">
        <v>8.9999999999999998E-4</v>
      </c>
      <c r="O2189">
        <v>8.9999999999999998E-4</v>
      </c>
      <c r="P2189">
        <v>8.9999999999999998E-4</v>
      </c>
      <c r="Q2189">
        <v>8.9999999999999998E-4</v>
      </c>
      <c r="R2189">
        <v>8.9999999999999998E-4</v>
      </c>
      <c r="S2189">
        <v>8.9999999999999998E-4</v>
      </c>
      <c r="T2189">
        <v>8.9999999999999998E-4</v>
      </c>
      <c r="U2189">
        <v>8.9999999999999998E-4</v>
      </c>
      <c r="V2189">
        <v>8.9999999999999998E-4</v>
      </c>
      <c r="W2189">
        <v>8.9999999999999998E-4</v>
      </c>
      <c r="X2189">
        <v>8.9999999999999998E-4</v>
      </c>
      <c r="Y2189">
        <v>8.9999999999999998E-4</v>
      </c>
    </row>
    <row r="2190" spans="1:25" hidden="1">
      <c r="A2190" t="s">
        <v>18810</v>
      </c>
      <c r="B2190" t="s">
        <v>2092</v>
      </c>
      <c r="C2190" t="s">
        <v>2075</v>
      </c>
      <c r="D2190" t="s">
        <v>2090</v>
      </c>
      <c r="E2190" t="s">
        <v>1378</v>
      </c>
      <c r="F2190" t="s">
        <v>598</v>
      </c>
      <c r="G2190" t="s">
        <v>478</v>
      </c>
      <c r="H2190" t="s">
        <v>600</v>
      </c>
      <c r="I2190" t="s">
        <v>601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hidden="1">
      <c r="A2191" t="s">
        <v>18810</v>
      </c>
      <c r="B2191" t="s">
        <v>2098</v>
      </c>
      <c r="C2191" t="s">
        <v>2075</v>
      </c>
      <c r="D2191" t="s">
        <v>2090</v>
      </c>
      <c r="E2191" t="s">
        <v>2099</v>
      </c>
      <c r="F2191" t="s">
        <v>598</v>
      </c>
      <c r="G2191" t="s">
        <v>478</v>
      </c>
      <c r="H2191" t="s">
        <v>600</v>
      </c>
      <c r="I2191" t="s">
        <v>601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hidden="1">
      <c r="A2192" t="s">
        <v>18810</v>
      </c>
      <c r="B2192" t="s">
        <v>2106</v>
      </c>
      <c r="C2192" t="s">
        <v>2075</v>
      </c>
      <c r="D2192" t="s">
        <v>648</v>
      </c>
      <c r="E2192" t="s">
        <v>1378</v>
      </c>
      <c r="F2192" t="s">
        <v>598</v>
      </c>
      <c r="G2192" t="s">
        <v>478</v>
      </c>
      <c r="H2192" t="s">
        <v>600</v>
      </c>
      <c r="I2192" t="s">
        <v>601</v>
      </c>
      <c r="J2192">
        <v>0.1628</v>
      </c>
      <c r="K2192">
        <v>0.16420000000000001</v>
      </c>
      <c r="L2192">
        <v>0.1653</v>
      </c>
      <c r="M2192">
        <v>0.16650000000000001</v>
      </c>
      <c r="N2192">
        <v>0.1678</v>
      </c>
      <c r="O2192">
        <v>0.16919999999999999</v>
      </c>
      <c r="P2192">
        <v>0.17080000000000001</v>
      </c>
      <c r="Q2192">
        <v>0.17199999999999999</v>
      </c>
      <c r="R2192">
        <v>0.1736</v>
      </c>
      <c r="S2192">
        <v>0.17480000000000001</v>
      </c>
      <c r="T2192">
        <v>0.17610000000000001</v>
      </c>
      <c r="U2192">
        <v>0.1777</v>
      </c>
      <c r="V2192">
        <v>0.17910000000000001</v>
      </c>
      <c r="W2192">
        <v>0.1804</v>
      </c>
      <c r="X2192">
        <v>0.1822</v>
      </c>
      <c r="Y2192">
        <v>0.18360000000000001</v>
      </c>
    </row>
    <row r="2193" spans="1:25" hidden="1">
      <c r="A2193" t="s">
        <v>18810</v>
      </c>
      <c r="B2193" t="s">
        <v>2107</v>
      </c>
      <c r="C2193" t="s">
        <v>2075</v>
      </c>
      <c r="D2193" t="s">
        <v>648</v>
      </c>
      <c r="E2193" t="s">
        <v>2081</v>
      </c>
      <c r="F2193" t="s">
        <v>598</v>
      </c>
      <c r="G2193" t="s">
        <v>478</v>
      </c>
      <c r="H2193" t="s">
        <v>600</v>
      </c>
      <c r="I2193" t="s">
        <v>601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</row>
    <row r="2194" spans="1:25" hidden="1">
      <c r="A2194" t="s">
        <v>18810</v>
      </c>
      <c r="B2194" t="s">
        <v>2109</v>
      </c>
      <c r="C2194" t="s">
        <v>2075</v>
      </c>
      <c r="D2194" t="s">
        <v>648</v>
      </c>
      <c r="E2194" t="s">
        <v>2022</v>
      </c>
      <c r="F2194" t="s">
        <v>598</v>
      </c>
      <c r="G2194" t="s">
        <v>478</v>
      </c>
      <c r="H2194" t="s">
        <v>600</v>
      </c>
      <c r="I2194" t="s">
        <v>601</v>
      </c>
      <c r="J2194">
        <v>4.3E-3</v>
      </c>
      <c r="K2194">
        <v>4.4000000000000003E-3</v>
      </c>
      <c r="L2194">
        <v>4.4000000000000003E-3</v>
      </c>
      <c r="M2194">
        <v>4.4999999999999997E-3</v>
      </c>
      <c r="N2194">
        <v>4.4999999999999997E-3</v>
      </c>
      <c r="O2194">
        <v>4.5999999999999999E-3</v>
      </c>
      <c r="P2194">
        <v>4.5999999999999999E-3</v>
      </c>
      <c r="Q2194">
        <v>4.7000000000000002E-3</v>
      </c>
      <c r="R2194">
        <v>4.7000000000000002E-3</v>
      </c>
      <c r="S2194">
        <v>4.7999999999999996E-3</v>
      </c>
      <c r="T2194">
        <v>4.8999999999999998E-3</v>
      </c>
      <c r="U2194">
        <v>4.8999999999999998E-3</v>
      </c>
      <c r="V2194">
        <v>5.0000000000000001E-3</v>
      </c>
      <c r="W2194">
        <v>5.0000000000000001E-3</v>
      </c>
      <c r="X2194">
        <v>5.1000000000000004E-3</v>
      </c>
      <c r="Y2194">
        <v>5.1000000000000004E-3</v>
      </c>
    </row>
    <row r="2195" spans="1:25" hidden="1">
      <c r="A2195" t="s">
        <v>18810</v>
      </c>
      <c r="B2195" t="s">
        <v>2110</v>
      </c>
      <c r="C2195" t="s">
        <v>2075</v>
      </c>
      <c r="D2195" t="s">
        <v>648</v>
      </c>
      <c r="E2195" t="s">
        <v>1966</v>
      </c>
      <c r="F2195" t="s">
        <v>598</v>
      </c>
      <c r="G2195" t="s">
        <v>478</v>
      </c>
      <c r="H2195" t="s">
        <v>600</v>
      </c>
      <c r="I2195" t="s">
        <v>601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</row>
    <row r="2196" spans="1:25" hidden="1">
      <c r="A2196" t="s">
        <v>18810</v>
      </c>
      <c r="B2196" t="s">
        <v>2111</v>
      </c>
      <c r="C2196" t="s">
        <v>2075</v>
      </c>
      <c r="D2196" t="s">
        <v>648</v>
      </c>
      <c r="E2196" t="s">
        <v>2099</v>
      </c>
      <c r="F2196" t="s">
        <v>598</v>
      </c>
      <c r="G2196" t="s">
        <v>478</v>
      </c>
      <c r="H2196" t="s">
        <v>600</v>
      </c>
      <c r="I2196" t="s">
        <v>601</v>
      </c>
      <c r="J2196">
        <v>2.0899999999999998E-2</v>
      </c>
      <c r="K2196">
        <v>2.12E-2</v>
      </c>
      <c r="L2196">
        <v>2.1600000000000001E-2</v>
      </c>
      <c r="M2196">
        <v>2.1899999999999999E-2</v>
      </c>
      <c r="N2196">
        <v>2.2200000000000001E-2</v>
      </c>
      <c r="O2196">
        <v>2.2499999999999999E-2</v>
      </c>
      <c r="P2196">
        <v>2.2800000000000001E-2</v>
      </c>
      <c r="Q2196">
        <v>2.3E-2</v>
      </c>
      <c r="R2196">
        <v>2.3300000000000001E-2</v>
      </c>
      <c r="S2196">
        <v>2.3599999999999999E-2</v>
      </c>
      <c r="T2196">
        <v>2.3900000000000001E-2</v>
      </c>
      <c r="U2196">
        <v>2.4199999999999999E-2</v>
      </c>
      <c r="V2196">
        <v>2.4500000000000001E-2</v>
      </c>
      <c r="W2196">
        <v>2.4799999999999999E-2</v>
      </c>
      <c r="X2196">
        <v>2.52E-2</v>
      </c>
      <c r="Y2196">
        <v>2.5399999999999999E-2</v>
      </c>
    </row>
    <row r="2197" spans="1:25" hidden="1">
      <c r="A2197" t="s">
        <v>18810</v>
      </c>
      <c r="B2197" t="s">
        <v>2117</v>
      </c>
      <c r="C2197" t="s">
        <v>2116</v>
      </c>
      <c r="D2197" t="s">
        <v>2118</v>
      </c>
      <c r="E2197" t="s">
        <v>2119</v>
      </c>
      <c r="F2197" t="s">
        <v>598</v>
      </c>
      <c r="G2197" t="s">
        <v>478</v>
      </c>
      <c r="H2197" t="s">
        <v>600</v>
      </c>
      <c r="I2197" t="s">
        <v>601</v>
      </c>
      <c r="J2197">
        <v>2.8999999999999998E-3</v>
      </c>
      <c r="K2197">
        <v>3.0000000000000001E-3</v>
      </c>
      <c r="L2197">
        <v>3.0000000000000001E-3</v>
      </c>
      <c r="M2197">
        <v>3.0000000000000001E-3</v>
      </c>
      <c r="N2197">
        <v>3.0000000000000001E-3</v>
      </c>
      <c r="O2197">
        <v>3.0000000000000001E-3</v>
      </c>
      <c r="P2197">
        <v>3.0000000000000001E-3</v>
      </c>
      <c r="Q2197">
        <v>3.0000000000000001E-3</v>
      </c>
      <c r="R2197">
        <v>3.0000000000000001E-3</v>
      </c>
      <c r="S2197">
        <v>3.0000000000000001E-3</v>
      </c>
      <c r="T2197">
        <v>3.0000000000000001E-3</v>
      </c>
      <c r="U2197">
        <v>3.0999999999999999E-3</v>
      </c>
      <c r="V2197">
        <v>3.0999999999999999E-3</v>
      </c>
      <c r="W2197">
        <v>3.2000000000000002E-3</v>
      </c>
      <c r="X2197">
        <v>3.2000000000000002E-3</v>
      </c>
      <c r="Y2197">
        <v>3.2000000000000002E-3</v>
      </c>
    </row>
    <row r="2198" spans="1:25" hidden="1">
      <c r="A2198" t="s">
        <v>18810</v>
      </c>
      <c r="B2198" t="s">
        <v>2120</v>
      </c>
      <c r="C2198" t="s">
        <v>2116</v>
      </c>
      <c r="D2198" t="s">
        <v>2121</v>
      </c>
      <c r="E2198" t="s">
        <v>2119</v>
      </c>
      <c r="F2198" t="s">
        <v>598</v>
      </c>
      <c r="G2198" t="s">
        <v>478</v>
      </c>
      <c r="H2198" t="s">
        <v>600</v>
      </c>
      <c r="I2198" t="s">
        <v>601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hidden="1">
      <c r="A2199" t="s">
        <v>18810</v>
      </c>
      <c r="B2199" t="s">
        <v>2122</v>
      </c>
      <c r="C2199" t="s">
        <v>2116</v>
      </c>
      <c r="D2199" t="s">
        <v>2121</v>
      </c>
      <c r="E2199" t="s">
        <v>1910</v>
      </c>
      <c r="F2199" t="s">
        <v>598</v>
      </c>
      <c r="G2199" t="s">
        <v>478</v>
      </c>
      <c r="H2199" t="s">
        <v>600</v>
      </c>
      <c r="I2199" t="s">
        <v>601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hidden="1">
      <c r="A2200" t="s">
        <v>18810</v>
      </c>
      <c r="B2200" t="s">
        <v>2126</v>
      </c>
      <c r="C2200" t="s">
        <v>2116</v>
      </c>
      <c r="D2200" t="s">
        <v>2127</v>
      </c>
      <c r="E2200" t="s">
        <v>656</v>
      </c>
      <c r="F2200" t="s">
        <v>598</v>
      </c>
      <c r="G2200" t="s">
        <v>478</v>
      </c>
      <c r="H2200" t="s">
        <v>600</v>
      </c>
      <c r="I2200" t="s">
        <v>601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hidden="1">
      <c r="A2201" t="s">
        <v>18810</v>
      </c>
      <c r="B2201" t="s">
        <v>2128</v>
      </c>
      <c r="C2201" t="s">
        <v>2116</v>
      </c>
      <c r="D2201" t="s">
        <v>648</v>
      </c>
      <c r="E2201" t="s">
        <v>656</v>
      </c>
      <c r="F2201" t="s">
        <v>598</v>
      </c>
      <c r="G2201" t="s">
        <v>478</v>
      </c>
      <c r="H2201" t="s">
        <v>600</v>
      </c>
      <c r="I2201" t="s">
        <v>601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hidden="1">
      <c r="A2202" t="s">
        <v>18810</v>
      </c>
      <c r="B2202" t="s">
        <v>2138</v>
      </c>
      <c r="C2202" t="s">
        <v>2131</v>
      </c>
      <c r="D2202" t="s">
        <v>2134</v>
      </c>
      <c r="E2202" t="s">
        <v>2139</v>
      </c>
      <c r="F2202" t="s">
        <v>598</v>
      </c>
      <c r="G2202" t="s">
        <v>478</v>
      </c>
      <c r="H2202" t="s">
        <v>600</v>
      </c>
      <c r="I2202" t="s">
        <v>601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hidden="1">
      <c r="A2203" t="s">
        <v>18810</v>
      </c>
      <c r="B2203" t="s">
        <v>2142</v>
      </c>
      <c r="C2203" t="s">
        <v>2131</v>
      </c>
      <c r="D2203" t="s">
        <v>2134</v>
      </c>
      <c r="E2203" t="s">
        <v>2057</v>
      </c>
      <c r="F2203" t="s">
        <v>598</v>
      </c>
      <c r="G2203" t="s">
        <v>478</v>
      </c>
      <c r="H2203" t="s">
        <v>600</v>
      </c>
      <c r="I2203" t="s">
        <v>601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hidden="1">
      <c r="A2204" t="s">
        <v>18810</v>
      </c>
      <c r="B2204" t="s">
        <v>2143</v>
      </c>
      <c r="C2204" t="s">
        <v>2144</v>
      </c>
      <c r="D2204" t="s">
        <v>1324</v>
      </c>
      <c r="E2204" t="s">
        <v>954</v>
      </c>
      <c r="F2204" t="s">
        <v>598</v>
      </c>
      <c r="G2204" t="s">
        <v>478</v>
      </c>
      <c r="H2204" t="s">
        <v>600</v>
      </c>
      <c r="I2204" t="s">
        <v>601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</row>
    <row r="2205" spans="1:25" hidden="1">
      <c r="A2205" t="s">
        <v>18810</v>
      </c>
      <c r="B2205" t="s">
        <v>2148</v>
      </c>
      <c r="C2205" t="s">
        <v>2144</v>
      </c>
      <c r="D2205" t="s">
        <v>2147</v>
      </c>
      <c r="E2205" t="s">
        <v>1393</v>
      </c>
      <c r="F2205" t="s">
        <v>598</v>
      </c>
      <c r="G2205" t="s">
        <v>478</v>
      </c>
      <c r="H2205" t="s">
        <v>600</v>
      </c>
      <c r="I2205" t="s">
        <v>601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hidden="1">
      <c r="A2206" t="s">
        <v>18810</v>
      </c>
      <c r="B2206" t="s">
        <v>2149</v>
      </c>
      <c r="C2206" t="s">
        <v>2144</v>
      </c>
      <c r="D2206" t="s">
        <v>2147</v>
      </c>
      <c r="E2206" t="s">
        <v>1004</v>
      </c>
      <c r="F2206" t="s">
        <v>598</v>
      </c>
      <c r="G2206" t="s">
        <v>478</v>
      </c>
      <c r="H2206" t="s">
        <v>600</v>
      </c>
      <c r="I2206" t="s">
        <v>601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hidden="1">
      <c r="A2207" t="s">
        <v>18810</v>
      </c>
      <c r="B2207" t="s">
        <v>2150</v>
      </c>
      <c r="C2207" t="s">
        <v>2144</v>
      </c>
      <c r="D2207" t="s">
        <v>648</v>
      </c>
      <c r="E2207" t="s">
        <v>1393</v>
      </c>
      <c r="F2207" t="s">
        <v>598</v>
      </c>
      <c r="G2207" t="s">
        <v>478</v>
      </c>
      <c r="H2207" t="s">
        <v>600</v>
      </c>
      <c r="I2207" t="s">
        <v>601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hidden="1">
      <c r="A2208" t="s">
        <v>18810</v>
      </c>
      <c r="B2208" t="s">
        <v>2151</v>
      </c>
      <c r="C2208" t="s">
        <v>2144</v>
      </c>
      <c r="D2208" t="s">
        <v>648</v>
      </c>
      <c r="E2208" t="s">
        <v>1799</v>
      </c>
      <c r="F2208" t="s">
        <v>598</v>
      </c>
      <c r="G2208" t="s">
        <v>478</v>
      </c>
      <c r="H2208" t="s">
        <v>600</v>
      </c>
      <c r="I2208" t="s">
        <v>601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hidden="1">
      <c r="A2209" t="s">
        <v>18810</v>
      </c>
      <c r="B2209" t="s">
        <v>2152</v>
      </c>
      <c r="C2209" t="s">
        <v>2144</v>
      </c>
      <c r="D2209" t="s">
        <v>648</v>
      </c>
      <c r="E2209" t="s">
        <v>1378</v>
      </c>
      <c r="F2209" t="s">
        <v>598</v>
      </c>
      <c r="G2209" t="s">
        <v>478</v>
      </c>
      <c r="H2209" t="s">
        <v>600</v>
      </c>
      <c r="I2209" t="s">
        <v>601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hidden="1">
      <c r="A2210" t="s">
        <v>18810</v>
      </c>
      <c r="B2210" t="s">
        <v>2153</v>
      </c>
      <c r="C2210" t="s">
        <v>2154</v>
      </c>
      <c r="D2210" t="s">
        <v>1392</v>
      </c>
      <c r="E2210" t="s">
        <v>1393</v>
      </c>
      <c r="F2210" t="s">
        <v>598</v>
      </c>
      <c r="G2210" t="s">
        <v>478</v>
      </c>
      <c r="H2210" t="s">
        <v>600</v>
      </c>
      <c r="I2210" t="s">
        <v>601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hidden="1">
      <c r="A2211" t="s">
        <v>18810</v>
      </c>
      <c r="B2211" t="s">
        <v>2155</v>
      </c>
      <c r="C2211" t="s">
        <v>2154</v>
      </c>
      <c r="D2211" t="s">
        <v>1316</v>
      </c>
      <c r="E2211" t="s">
        <v>1393</v>
      </c>
      <c r="F2211" t="s">
        <v>598</v>
      </c>
      <c r="G2211" t="s">
        <v>478</v>
      </c>
      <c r="H2211" t="s">
        <v>600</v>
      </c>
      <c r="I2211" t="s">
        <v>601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hidden="1">
      <c r="A2212" t="s">
        <v>18810</v>
      </c>
      <c r="B2212" t="s">
        <v>2163</v>
      </c>
      <c r="C2212" t="s">
        <v>2154</v>
      </c>
      <c r="D2212" t="s">
        <v>1324</v>
      </c>
      <c r="E2212" t="s">
        <v>954</v>
      </c>
      <c r="F2212" t="s">
        <v>598</v>
      </c>
      <c r="G2212" t="s">
        <v>478</v>
      </c>
      <c r="H2212" t="s">
        <v>600</v>
      </c>
      <c r="I2212" t="s">
        <v>601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hidden="1">
      <c r="A2213" t="s">
        <v>18810</v>
      </c>
      <c r="B2213" t="s">
        <v>2164</v>
      </c>
      <c r="C2213" t="s">
        <v>2154</v>
      </c>
      <c r="D2213" t="s">
        <v>1324</v>
      </c>
      <c r="E2213" t="s">
        <v>1020</v>
      </c>
      <c r="F2213" t="s">
        <v>598</v>
      </c>
      <c r="G2213" t="s">
        <v>478</v>
      </c>
      <c r="H2213" t="s">
        <v>600</v>
      </c>
      <c r="I2213" t="s">
        <v>601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hidden="1">
      <c r="A2214" t="s">
        <v>18810</v>
      </c>
      <c r="B2214" t="s">
        <v>2173</v>
      </c>
      <c r="C2214" t="s">
        <v>2154</v>
      </c>
      <c r="D2214" t="s">
        <v>1354</v>
      </c>
      <c r="E2214" t="s">
        <v>973</v>
      </c>
      <c r="F2214" t="s">
        <v>598</v>
      </c>
      <c r="G2214" t="s">
        <v>478</v>
      </c>
      <c r="H2214" t="s">
        <v>600</v>
      </c>
      <c r="I2214" t="s">
        <v>601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hidden="1">
      <c r="A2215" t="s">
        <v>18810</v>
      </c>
      <c r="B2215" t="s">
        <v>2174</v>
      </c>
      <c r="C2215" t="s">
        <v>2154</v>
      </c>
      <c r="D2215" t="s">
        <v>1354</v>
      </c>
      <c r="E2215" t="s">
        <v>927</v>
      </c>
      <c r="F2215" t="s">
        <v>598</v>
      </c>
      <c r="G2215" t="s">
        <v>478</v>
      </c>
      <c r="H2215" t="s">
        <v>600</v>
      </c>
      <c r="I2215" t="s">
        <v>601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hidden="1">
      <c r="A2216" t="s">
        <v>18810</v>
      </c>
      <c r="B2216" t="s">
        <v>2175</v>
      </c>
      <c r="C2216" t="s">
        <v>2154</v>
      </c>
      <c r="D2216" t="s">
        <v>1354</v>
      </c>
      <c r="E2216" t="s">
        <v>954</v>
      </c>
      <c r="F2216" t="s">
        <v>598</v>
      </c>
      <c r="G2216" t="s">
        <v>478</v>
      </c>
      <c r="H2216" t="s">
        <v>600</v>
      </c>
      <c r="I2216" t="s">
        <v>601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hidden="1">
      <c r="A2217" t="s">
        <v>18810</v>
      </c>
      <c r="B2217" t="s">
        <v>2176</v>
      </c>
      <c r="C2217" t="s">
        <v>2154</v>
      </c>
      <c r="D2217" t="s">
        <v>1365</v>
      </c>
      <c r="E2217" t="s">
        <v>1393</v>
      </c>
      <c r="F2217" t="s">
        <v>598</v>
      </c>
      <c r="G2217" t="s">
        <v>478</v>
      </c>
      <c r="H2217" t="s">
        <v>600</v>
      </c>
      <c r="I2217" t="s">
        <v>601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hidden="1">
      <c r="A2218" t="s">
        <v>18810</v>
      </c>
      <c r="B2218" t="s">
        <v>2177</v>
      </c>
      <c r="C2218" t="s">
        <v>2154</v>
      </c>
      <c r="D2218" t="s">
        <v>1817</v>
      </c>
      <c r="E2218" t="s">
        <v>611</v>
      </c>
      <c r="F2218" t="s">
        <v>598</v>
      </c>
      <c r="G2218" t="s">
        <v>478</v>
      </c>
      <c r="H2218" t="s">
        <v>600</v>
      </c>
      <c r="I2218" t="s">
        <v>601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hidden="1">
      <c r="A2219" t="s">
        <v>18810</v>
      </c>
      <c r="B2219" t="s">
        <v>2181</v>
      </c>
      <c r="C2219" t="s">
        <v>2154</v>
      </c>
      <c r="D2219" t="s">
        <v>2179</v>
      </c>
      <c r="E2219" t="s">
        <v>2139</v>
      </c>
      <c r="F2219" t="s">
        <v>598</v>
      </c>
      <c r="G2219" t="s">
        <v>478</v>
      </c>
      <c r="H2219" t="s">
        <v>600</v>
      </c>
      <c r="I2219" t="s">
        <v>601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hidden="1">
      <c r="A2220" t="s">
        <v>18810</v>
      </c>
      <c r="B2220" t="s">
        <v>2187</v>
      </c>
      <c r="C2220" t="s">
        <v>2154</v>
      </c>
      <c r="D2220" t="s">
        <v>648</v>
      </c>
      <c r="E2220" t="s">
        <v>920</v>
      </c>
      <c r="F2220" t="s">
        <v>598</v>
      </c>
      <c r="G2220" t="s">
        <v>478</v>
      </c>
      <c r="H2220" t="s">
        <v>600</v>
      </c>
      <c r="I2220" t="s">
        <v>601</v>
      </c>
      <c r="J2220">
        <v>1.0200000000000001E-2</v>
      </c>
      <c r="K2220">
        <v>1.03E-2</v>
      </c>
      <c r="L2220">
        <v>1.04E-2</v>
      </c>
      <c r="M2220">
        <v>1.06E-2</v>
      </c>
      <c r="N2220">
        <v>1.0800000000000001E-2</v>
      </c>
      <c r="O2220">
        <v>1.09E-2</v>
      </c>
      <c r="P2220">
        <v>1.12E-2</v>
      </c>
      <c r="Q2220">
        <v>1.15E-2</v>
      </c>
      <c r="R2220">
        <v>1.17E-2</v>
      </c>
      <c r="S2220">
        <v>1.2E-2</v>
      </c>
      <c r="T2220">
        <v>1.2200000000000001E-2</v>
      </c>
      <c r="U2220">
        <v>1.24E-2</v>
      </c>
      <c r="V2220">
        <v>1.26E-2</v>
      </c>
      <c r="W2220">
        <v>1.2800000000000001E-2</v>
      </c>
      <c r="X2220">
        <v>1.2999999999999999E-2</v>
      </c>
      <c r="Y2220">
        <v>1.3299999999999999E-2</v>
      </c>
    </row>
    <row r="2221" spans="1:25" hidden="1">
      <c r="A2221" t="s">
        <v>18810</v>
      </c>
      <c r="B2221" t="s">
        <v>2188</v>
      </c>
      <c r="C2221" t="s">
        <v>2154</v>
      </c>
      <c r="D2221" t="s">
        <v>648</v>
      </c>
      <c r="E2221" t="s">
        <v>973</v>
      </c>
      <c r="F2221" t="s">
        <v>598</v>
      </c>
      <c r="G2221" t="s">
        <v>478</v>
      </c>
      <c r="H2221" t="s">
        <v>600</v>
      </c>
      <c r="I2221" t="s">
        <v>601</v>
      </c>
      <c r="J2221">
        <v>3.5000000000000001E-3</v>
      </c>
      <c r="K2221">
        <v>3.5999999999999999E-3</v>
      </c>
      <c r="L2221">
        <v>3.5999999999999999E-3</v>
      </c>
      <c r="M2221">
        <v>3.5999999999999999E-3</v>
      </c>
      <c r="N2221">
        <v>3.5999999999999999E-3</v>
      </c>
      <c r="O2221">
        <v>3.5999999999999999E-3</v>
      </c>
      <c r="P2221">
        <v>3.7000000000000002E-3</v>
      </c>
      <c r="Q2221">
        <v>3.7000000000000002E-3</v>
      </c>
      <c r="R2221">
        <v>3.8E-3</v>
      </c>
      <c r="S2221">
        <v>3.8E-3</v>
      </c>
      <c r="T2221">
        <v>3.8E-3</v>
      </c>
      <c r="U2221">
        <v>3.8E-3</v>
      </c>
      <c r="V2221">
        <v>4.0000000000000001E-3</v>
      </c>
      <c r="W2221">
        <v>4.0000000000000001E-3</v>
      </c>
      <c r="X2221">
        <v>4.0000000000000001E-3</v>
      </c>
      <c r="Y2221">
        <v>4.0000000000000001E-3</v>
      </c>
    </row>
    <row r="2222" spans="1:25" hidden="1">
      <c r="A2222" t="s">
        <v>18810</v>
      </c>
      <c r="B2222" t="s">
        <v>2196</v>
      </c>
      <c r="C2222" t="s">
        <v>2154</v>
      </c>
      <c r="D2222" t="s">
        <v>648</v>
      </c>
      <c r="E2222" t="s">
        <v>1393</v>
      </c>
      <c r="F2222" t="s">
        <v>598</v>
      </c>
      <c r="G2222" t="s">
        <v>478</v>
      </c>
      <c r="H2222" t="s">
        <v>600</v>
      </c>
      <c r="I2222" t="s">
        <v>601</v>
      </c>
      <c r="J2222">
        <v>1.1999999999999999E-3</v>
      </c>
      <c r="K2222">
        <v>1.2999999999999999E-3</v>
      </c>
      <c r="L2222">
        <v>1.2999999999999999E-3</v>
      </c>
      <c r="M2222">
        <v>1.4E-3</v>
      </c>
      <c r="N2222">
        <v>1.4E-3</v>
      </c>
      <c r="O2222">
        <v>1.4E-3</v>
      </c>
      <c r="P2222">
        <v>1.4E-3</v>
      </c>
      <c r="Q2222">
        <v>1.5E-3</v>
      </c>
      <c r="R2222">
        <v>1.5E-3</v>
      </c>
      <c r="S2222">
        <v>1.5E-3</v>
      </c>
      <c r="T2222">
        <v>1.5E-3</v>
      </c>
      <c r="U2222">
        <v>1.6000000000000001E-3</v>
      </c>
      <c r="V2222">
        <v>1.6000000000000001E-3</v>
      </c>
      <c r="W2222">
        <v>1.6000000000000001E-3</v>
      </c>
      <c r="X2222">
        <v>1.6999999999999999E-3</v>
      </c>
      <c r="Y2222">
        <v>1.6999999999999999E-3</v>
      </c>
    </row>
    <row r="2223" spans="1:25" hidden="1">
      <c r="A2223" t="s">
        <v>18810</v>
      </c>
      <c r="B2223" t="s">
        <v>2198</v>
      </c>
      <c r="C2223" t="s">
        <v>2154</v>
      </c>
      <c r="D2223" t="s">
        <v>648</v>
      </c>
      <c r="E2223" t="s">
        <v>2119</v>
      </c>
      <c r="F2223" t="s">
        <v>598</v>
      </c>
      <c r="G2223" t="s">
        <v>478</v>
      </c>
      <c r="H2223" t="s">
        <v>600</v>
      </c>
      <c r="I2223" t="s">
        <v>601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hidden="1">
      <c r="A2224" t="s">
        <v>18810</v>
      </c>
      <c r="B2224" t="s">
        <v>2199</v>
      </c>
      <c r="C2224" t="s">
        <v>2154</v>
      </c>
      <c r="D2224" t="s">
        <v>648</v>
      </c>
      <c r="E2224" t="s">
        <v>1014</v>
      </c>
      <c r="F2224" t="s">
        <v>598</v>
      </c>
      <c r="G2224" t="s">
        <v>478</v>
      </c>
      <c r="H2224" t="s">
        <v>600</v>
      </c>
      <c r="I2224" t="s">
        <v>601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hidden="1">
      <c r="A2225" t="s">
        <v>18810</v>
      </c>
      <c r="B2225" t="s">
        <v>2206</v>
      </c>
      <c r="C2225" t="s">
        <v>2154</v>
      </c>
      <c r="D2225" t="s">
        <v>648</v>
      </c>
      <c r="E2225" t="s">
        <v>1910</v>
      </c>
      <c r="F2225" t="s">
        <v>598</v>
      </c>
      <c r="G2225" t="s">
        <v>478</v>
      </c>
      <c r="H2225" t="s">
        <v>600</v>
      </c>
      <c r="I2225" t="s">
        <v>601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25" hidden="1">
      <c r="A2226" t="s">
        <v>18810</v>
      </c>
      <c r="B2226" t="s">
        <v>2207</v>
      </c>
      <c r="C2226" t="s">
        <v>2154</v>
      </c>
      <c r="D2226" t="s">
        <v>648</v>
      </c>
      <c r="E2226" t="s">
        <v>1378</v>
      </c>
      <c r="F2226" t="s">
        <v>598</v>
      </c>
      <c r="G2226" t="s">
        <v>478</v>
      </c>
      <c r="H2226" t="s">
        <v>600</v>
      </c>
      <c r="I2226" t="s">
        <v>601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hidden="1">
      <c r="A2227" t="s">
        <v>18810</v>
      </c>
      <c r="B2227" t="s">
        <v>2209</v>
      </c>
      <c r="C2227" t="s">
        <v>2154</v>
      </c>
      <c r="D2227" t="s">
        <v>648</v>
      </c>
      <c r="E2227" t="s">
        <v>1004</v>
      </c>
      <c r="F2227" t="s">
        <v>598</v>
      </c>
      <c r="G2227" t="s">
        <v>478</v>
      </c>
      <c r="H2227" t="s">
        <v>600</v>
      </c>
      <c r="I2227" t="s">
        <v>601</v>
      </c>
      <c r="J2227">
        <v>0.55149999999999999</v>
      </c>
      <c r="K2227">
        <v>0.55810000000000004</v>
      </c>
      <c r="L2227">
        <v>0.56440000000000001</v>
      </c>
      <c r="M2227">
        <v>0.5716</v>
      </c>
      <c r="N2227">
        <v>0.57750000000000001</v>
      </c>
      <c r="O2227">
        <v>0.58309999999999995</v>
      </c>
      <c r="P2227">
        <v>0.58940000000000003</v>
      </c>
      <c r="Q2227">
        <v>0.5958</v>
      </c>
      <c r="R2227">
        <v>0.60170000000000001</v>
      </c>
      <c r="S2227">
        <v>0.60870000000000002</v>
      </c>
      <c r="T2227">
        <v>0.61499999999999999</v>
      </c>
      <c r="U2227">
        <v>0.62119999999999997</v>
      </c>
      <c r="V2227">
        <v>0.62819999999999998</v>
      </c>
      <c r="W2227">
        <v>0.6351</v>
      </c>
      <c r="X2227">
        <v>0.64139999999999997</v>
      </c>
      <c r="Y2227">
        <v>0.64859999999999995</v>
      </c>
    </row>
    <row r="2228" spans="1:25">
      <c r="J2228">
        <f t="shared" ref="J2228:Y2228" si="9">SUBTOTAL(109,J1714:J2227)</f>
        <v>2.4542999999999999</v>
      </c>
      <c r="K2228">
        <f t="shared" si="9"/>
        <v>2.4822000000000002</v>
      </c>
      <c r="L2228">
        <f t="shared" si="9"/>
        <v>2.5061000000000004</v>
      </c>
      <c r="M2228">
        <f t="shared" si="9"/>
        <v>2.5322</v>
      </c>
      <c r="N2228">
        <f t="shared" si="9"/>
        <v>2.5569999999999999</v>
      </c>
      <c r="O2228">
        <f t="shared" si="9"/>
        <v>2.5836999999999999</v>
      </c>
      <c r="P2228">
        <f t="shared" si="9"/>
        <v>2.6153999999999997</v>
      </c>
      <c r="Q2228">
        <f t="shared" si="9"/>
        <v>2.6482000000000001</v>
      </c>
      <c r="R2228">
        <f t="shared" si="9"/>
        <v>2.6809000000000003</v>
      </c>
      <c r="S2228">
        <f t="shared" si="9"/>
        <v>2.7158999999999995</v>
      </c>
      <c r="T2228">
        <f t="shared" si="9"/>
        <v>2.7526000000000002</v>
      </c>
      <c r="U2228">
        <f t="shared" si="9"/>
        <v>2.7876000000000003</v>
      </c>
      <c r="V2228">
        <f t="shared" si="9"/>
        <v>2.8213000000000004</v>
      </c>
      <c r="W2228">
        <f t="shared" si="9"/>
        <v>2.8579999999999997</v>
      </c>
      <c r="X2228">
        <f t="shared" si="9"/>
        <v>2.8950999999999998</v>
      </c>
      <c r="Y2228">
        <f t="shared" si="9"/>
        <v>2.9309000000000003</v>
      </c>
    </row>
    <row r="2230" spans="1:25">
      <c r="A2230" t="s">
        <v>569</v>
      </c>
      <c r="B2230" t="s">
        <v>570</v>
      </c>
      <c r="C2230" t="s">
        <v>571</v>
      </c>
      <c r="D2230" t="s">
        <v>572</v>
      </c>
      <c r="E2230" t="s">
        <v>573</v>
      </c>
      <c r="F2230" t="s">
        <v>574</v>
      </c>
      <c r="G2230" t="s">
        <v>575</v>
      </c>
      <c r="H2230" t="s">
        <v>576</v>
      </c>
      <c r="I2230" t="s">
        <v>577</v>
      </c>
      <c r="J2230" t="s">
        <v>578</v>
      </c>
      <c r="K2230" t="s">
        <v>579</v>
      </c>
      <c r="L2230" t="s">
        <v>580</v>
      </c>
      <c r="M2230" t="s">
        <v>581</v>
      </c>
      <c r="N2230" t="s">
        <v>582</v>
      </c>
      <c r="O2230" t="s">
        <v>583</v>
      </c>
      <c r="P2230" t="s">
        <v>584</v>
      </c>
      <c r="Q2230" t="s">
        <v>585</v>
      </c>
      <c r="R2230" t="s">
        <v>586</v>
      </c>
      <c r="S2230" t="s">
        <v>587</v>
      </c>
      <c r="T2230" t="s">
        <v>588</v>
      </c>
      <c r="U2230" t="s">
        <v>589</v>
      </c>
      <c r="V2230" t="s">
        <v>590</v>
      </c>
      <c r="W2230" t="s">
        <v>591</v>
      </c>
      <c r="X2230" t="s">
        <v>592</v>
      </c>
      <c r="Y2230" t="s">
        <v>593</v>
      </c>
    </row>
    <row r="2231" spans="1:25">
      <c r="A2231" t="s">
        <v>18811</v>
      </c>
      <c r="B2231" t="s">
        <v>594</v>
      </c>
      <c r="C2231" t="s">
        <v>595</v>
      </c>
      <c r="D2231" t="s">
        <v>596</v>
      </c>
      <c r="E2231" t="s">
        <v>597</v>
      </c>
      <c r="F2231" t="s">
        <v>598</v>
      </c>
      <c r="G2231" t="s">
        <v>478</v>
      </c>
      <c r="H2231" t="s">
        <v>600</v>
      </c>
      <c r="I2231" t="s">
        <v>601</v>
      </c>
      <c r="J2231">
        <v>1.29E-2</v>
      </c>
      <c r="K2231">
        <v>1.3100000000000001E-2</v>
      </c>
      <c r="L2231">
        <v>1.3100000000000001E-2</v>
      </c>
      <c r="M2231">
        <v>1.29E-2</v>
      </c>
      <c r="N2231">
        <v>1.26E-2</v>
      </c>
      <c r="O2231">
        <v>1.14E-2</v>
      </c>
      <c r="P2231">
        <v>1.12E-2</v>
      </c>
      <c r="Q2231">
        <v>1.11E-2</v>
      </c>
      <c r="R2231">
        <v>1.0999999999999999E-2</v>
      </c>
      <c r="S2231">
        <v>1.0699999999999999E-2</v>
      </c>
      <c r="T2231">
        <v>1.0500000000000001E-2</v>
      </c>
      <c r="U2231">
        <v>1.04E-2</v>
      </c>
      <c r="V2231">
        <v>1.01E-2</v>
      </c>
      <c r="W2231">
        <v>9.7000000000000003E-3</v>
      </c>
      <c r="X2231">
        <v>9.4999999999999998E-3</v>
      </c>
      <c r="Y2231">
        <v>9.2999999999999992E-3</v>
      </c>
    </row>
    <row r="2232" spans="1:25">
      <c r="A2232" t="s">
        <v>18811</v>
      </c>
      <c r="B2232" t="s">
        <v>602</v>
      </c>
      <c r="C2232" t="s">
        <v>595</v>
      </c>
      <c r="D2232" t="s">
        <v>596</v>
      </c>
      <c r="E2232" t="s">
        <v>603</v>
      </c>
      <c r="F2232" t="s">
        <v>598</v>
      </c>
      <c r="G2232" t="s">
        <v>478</v>
      </c>
      <c r="H2232" t="s">
        <v>600</v>
      </c>
      <c r="I2232" t="s">
        <v>601</v>
      </c>
      <c r="J2232">
        <v>1E-3</v>
      </c>
      <c r="K2232">
        <v>1E-3</v>
      </c>
      <c r="L2232">
        <v>1E-3</v>
      </c>
      <c r="M2232">
        <v>8.9999999999999998E-4</v>
      </c>
      <c r="N2232">
        <v>8.0000000000000004E-4</v>
      </c>
      <c r="O2232">
        <v>8.0000000000000004E-4</v>
      </c>
      <c r="P2232">
        <v>8.0000000000000004E-4</v>
      </c>
      <c r="Q2232">
        <v>8.0000000000000004E-4</v>
      </c>
      <c r="R2232">
        <v>8.0000000000000004E-4</v>
      </c>
      <c r="S2232">
        <v>8.0000000000000004E-4</v>
      </c>
      <c r="T2232">
        <v>8.0000000000000004E-4</v>
      </c>
      <c r="U2232">
        <v>8.0000000000000004E-4</v>
      </c>
      <c r="V2232">
        <v>8.0000000000000004E-4</v>
      </c>
      <c r="W2232">
        <v>8.0000000000000004E-4</v>
      </c>
      <c r="X2232">
        <v>5.9999999999999995E-4</v>
      </c>
      <c r="Y2232">
        <v>5.9999999999999995E-4</v>
      </c>
    </row>
    <row r="2233" spans="1:25">
      <c r="A2233" t="s">
        <v>18811</v>
      </c>
      <c r="B2233" t="s">
        <v>604</v>
      </c>
      <c r="C2233" t="s">
        <v>595</v>
      </c>
      <c r="D2233" t="s">
        <v>596</v>
      </c>
      <c r="E2233" t="s">
        <v>605</v>
      </c>
      <c r="F2233" t="s">
        <v>598</v>
      </c>
      <c r="G2233" t="s">
        <v>478</v>
      </c>
      <c r="H2233" t="s">
        <v>600</v>
      </c>
      <c r="I2233" t="s">
        <v>601</v>
      </c>
      <c r="J2233">
        <v>5.0000000000000001E-4</v>
      </c>
      <c r="K2233">
        <v>5.0000000000000001E-4</v>
      </c>
      <c r="L2233">
        <v>5.0000000000000001E-4</v>
      </c>
      <c r="M2233">
        <v>5.0000000000000001E-4</v>
      </c>
      <c r="N2233">
        <v>5.0000000000000001E-4</v>
      </c>
      <c r="O2233">
        <v>5.0000000000000001E-4</v>
      </c>
      <c r="P2233">
        <v>5.0000000000000001E-4</v>
      </c>
      <c r="Q2233">
        <v>5.0000000000000001E-4</v>
      </c>
      <c r="R2233">
        <v>4.0000000000000002E-4</v>
      </c>
      <c r="S2233">
        <v>4.0000000000000002E-4</v>
      </c>
      <c r="T2233">
        <v>4.0000000000000002E-4</v>
      </c>
      <c r="U2233">
        <v>4.0000000000000002E-4</v>
      </c>
      <c r="V2233">
        <v>4.0000000000000002E-4</v>
      </c>
      <c r="W2233">
        <v>4.0000000000000002E-4</v>
      </c>
      <c r="X2233">
        <v>4.0000000000000002E-4</v>
      </c>
      <c r="Y2233">
        <v>4.0000000000000002E-4</v>
      </c>
    </row>
    <row r="2234" spans="1:25">
      <c r="A2234" t="s">
        <v>18811</v>
      </c>
      <c r="B2234" t="s">
        <v>606</v>
      </c>
      <c r="C2234" t="s">
        <v>595</v>
      </c>
      <c r="D2234" t="s">
        <v>596</v>
      </c>
      <c r="E2234" t="s">
        <v>607</v>
      </c>
      <c r="F2234" t="s">
        <v>598</v>
      </c>
      <c r="G2234" t="s">
        <v>478</v>
      </c>
      <c r="H2234" t="s">
        <v>600</v>
      </c>
      <c r="I2234" t="s">
        <v>601</v>
      </c>
      <c r="J2234">
        <v>0.255</v>
      </c>
      <c r="K2234">
        <v>0.26119999999999999</v>
      </c>
      <c r="L2234">
        <v>0.26939999999999997</v>
      </c>
      <c r="M2234">
        <v>0.27060000000000001</v>
      </c>
      <c r="N2234">
        <v>0.27139999999999997</v>
      </c>
      <c r="O2234">
        <v>0.27139999999999997</v>
      </c>
      <c r="P2234">
        <v>0.27139999999999997</v>
      </c>
      <c r="Q2234">
        <v>0.27139999999999997</v>
      </c>
      <c r="R2234">
        <v>0.27139999999999997</v>
      </c>
      <c r="S2234">
        <v>0.27139999999999997</v>
      </c>
      <c r="T2234">
        <v>0.27139999999999997</v>
      </c>
      <c r="U2234">
        <v>0.27139999999999997</v>
      </c>
      <c r="V2234">
        <v>0.27139999999999997</v>
      </c>
      <c r="W2234">
        <v>0.27139999999999997</v>
      </c>
      <c r="X2234">
        <v>0.27600000000000002</v>
      </c>
      <c r="Y2234">
        <v>0.27600000000000002</v>
      </c>
    </row>
    <row r="2235" spans="1:25">
      <c r="A2235" t="s">
        <v>18811</v>
      </c>
      <c r="B2235" t="s">
        <v>608</v>
      </c>
      <c r="C2235" t="s">
        <v>595</v>
      </c>
      <c r="D2235" t="s">
        <v>596</v>
      </c>
      <c r="E2235" t="s">
        <v>609</v>
      </c>
      <c r="F2235" t="s">
        <v>598</v>
      </c>
      <c r="G2235" t="s">
        <v>478</v>
      </c>
      <c r="H2235" t="s">
        <v>600</v>
      </c>
      <c r="I2235" t="s">
        <v>601</v>
      </c>
      <c r="J2235">
        <v>0.22170000000000001</v>
      </c>
      <c r="K2235">
        <v>0.2271</v>
      </c>
      <c r="L2235">
        <v>0.23419999999999999</v>
      </c>
      <c r="M2235">
        <v>0.23519999999999999</v>
      </c>
      <c r="N2235">
        <v>0.2359</v>
      </c>
      <c r="O2235">
        <v>0.2359</v>
      </c>
      <c r="P2235">
        <v>0.2359</v>
      </c>
      <c r="Q2235">
        <v>0.2359</v>
      </c>
      <c r="R2235">
        <v>0.2359</v>
      </c>
      <c r="S2235">
        <v>0.2359</v>
      </c>
      <c r="T2235">
        <v>0.2359</v>
      </c>
      <c r="U2235">
        <v>0.2359</v>
      </c>
      <c r="V2235">
        <v>0.2359</v>
      </c>
      <c r="W2235">
        <v>0.2359</v>
      </c>
      <c r="X2235">
        <v>0.23980000000000001</v>
      </c>
      <c r="Y2235">
        <v>0.23980000000000001</v>
      </c>
    </row>
    <row r="2236" spans="1:25">
      <c r="A2236" t="s">
        <v>18811</v>
      </c>
      <c r="B2236" t="s">
        <v>610</v>
      </c>
      <c r="C2236" t="s">
        <v>595</v>
      </c>
      <c r="D2236" t="s">
        <v>596</v>
      </c>
      <c r="E2236" t="s">
        <v>611</v>
      </c>
      <c r="F2236" t="s">
        <v>598</v>
      </c>
      <c r="G2236" t="s">
        <v>478</v>
      </c>
      <c r="H2236" t="s">
        <v>600</v>
      </c>
      <c r="I2236" t="s">
        <v>601</v>
      </c>
      <c r="J2236">
        <v>1.15E-2</v>
      </c>
      <c r="K2236">
        <v>1.15E-2</v>
      </c>
      <c r="L2236">
        <v>1.15E-2</v>
      </c>
      <c r="M2236">
        <v>1.15E-2</v>
      </c>
      <c r="N2236">
        <v>1.15E-2</v>
      </c>
      <c r="O2236">
        <v>1.15E-2</v>
      </c>
      <c r="P2236">
        <v>1.15E-2</v>
      </c>
      <c r="Q2236">
        <v>1.15E-2</v>
      </c>
      <c r="R2236">
        <v>1.15E-2</v>
      </c>
      <c r="S2236">
        <v>1.15E-2</v>
      </c>
      <c r="T2236">
        <v>1.15E-2</v>
      </c>
      <c r="U2236">
        <v>1.15E-2</v>
      </c>
      <c r="V2236">
        <v>1.15E-2</v>
      </c>
      <c r="W2236">
        <v>1.15E-2</v>
      </c>
      <c r="X2236">
        <v>1.15E-2</v>
      </c>
      <c r="Y2236">
        <v>1.15E-2</v>
      </c>
    </row>
    <row r="2237" spans="1:25">
      <c r="A2237" t="s">
        <v>18811</v>
      </c>
      <c r="B2237" t="s">
        <v>612</v>
      </c>
      <c r="C2237" t="s">
        <v>595</v>
      </c>
      <c r="D2237" t="s">
        <v>596</v>
      </c>
      <c r="E2237" t="s">
        <v>613</v>
      </c>
      <c r="F2237" t="s">
        <v>598</v>
      </c>
      <c r="G2237" t="s">
        <v>478</v>
      </c>
      <c r="H2237" t="s">
        <v>600</v>
      </c>
      <c r="I2237" t="s">
        <v>601</v>
      </c>
      <c r="J2237">
        <v>1.8499999999999999E-2</v>
      </c>
      <c r="K2237">
        <v>1.9099999999999999E-2</v>
      </c>
      <c r="L2237">
        <v>1.9199999999999998E-2</v>
      </c>
      <c r="M2237">
        <v>1.9599999999999999E-2</v>
      </c>
      <c r="N2237">
        <v>1.9800000000000002E-2</v>
      </c>
      <c r="O2237">
        <v>2.06E-2</v>
      </c>
      <c r="P2237">
        <v>2.07E-2</v>
      </c>
      <c r="Q2237">
        <v>2.1100000000000001E-2</v>
      </c>
      <c r="R2237">
        <v>2.1299999999999999E-2</v>
      </c>
      <c r="S2237">
        <v>2.18E-2</v>
      </c>
      <c r="T2237">
        <v>2.2499999999999999E-2</v>
      </c>
      <c r="U2237">
        <v>2.29E-2</v>
      </c>
      <c r="V2237">
        <v>2.3099999999999999E-2</v>
      </c>
      <c r="W2237">
        <v>2.3599999999999999E-2</v>
      </c>
      <c r="X2237">
        <v>2.41E-2</v>
      </c>
      <c r="Y2237">
        <v>2.4400000000000002E-2</v>
      </c>
    </row>
    <row r="2238" spans="1:25">
      <c r="A2238" t="s">
        <v>18811</v>
      </c>
      <c r="B2238" t="s">
        <v>616</v>
      </c>
      <c r="C2238" t="s">
        <v>595</v>
      </c>
      <c r="D2238" t="s">
        <v>596</v>
      </c>
      <c r="E2238" t="s">
        <v>617</v>
      </c>
      <c r="F2238" t="s">
        <v>598</v>
      </c>
      <c r="G2238" t="s">
        <v>478</v>
      </c>
      <c r="H2238" t="s">
        <v>600</v>
      </c>
      <c r="I2238" t="s">
        <v>601</v>
      </c>
      <c r="J2238">
        <v>1.8512999999999999</v>
      </c>
      <c r="K2238">
        <v>1.9135</v>
      </c>
      <c r="L2238">
        <v>1.9232</v>
      </c>
      <c r="M2238">
        <v>1.96</v>
      </c>
      <c r="N2238">
        <v>1.9830000000000001</v>
      </c>
      <c r="O2238">
        <v>2.0604</v>
      </c>
      <c r="P2238">
        <v>2.0735999999999999</v>
      </c>
      <c r="Q2238">
        <v>2.1070000000000002</v>
      </c>
      <c r="R2238">
        <v>2.1297000000000001</v>
      </c>
      <c r="S2238">
        <v>2.1848000000000001</v>
      </c>
      <c r="T2238">
        <v>2.2465999999999999</v>
      </c>
      <c r="U2238">
        <v>2.2915999999999999</v>
      </c>
      <c r="V2238">
        <v>2.3113000000000001</v>
      </c>
      <c r="W2238">
        <v>2.3603000000000001</v>
      </c>
      <c r="X2238">
        <v>2.41</v>
      </c>
      <c r="Y2238">
        <v>2.4407999999999999</v>
      </c>
    </row>
    <row r="2239" spans="1:25">
      <c r="A2239" t="s">
        <v>18811</v>
      </c>
      <c r="B2239" t="s">
        <v>620</v>
      </c>
      <c r="C2239" t="s">
        <v>595</v>
      </c>
      <c r="D2239" t="s">
        <v>621</v>
      </c>
      <c r="E2239" t="s">
        <v>597</v>
      </c>
      <c r="F2239" t="s">
        <v>598</v>
      </c>
      <c r="G2239" t="s">
        <v>478</v>
      </c>
      <c r="H2239" t="s">
        <v>600</v>
      </c>
      <c r="I2239" t="s">
        <v>601</v>
      </c>
      <c r="J2239">
        <v>1.7399999999999999E-2</v>
      </c>
      <c r="K2239">
        <v>1.7899999999999999E-2</v>
      </c>
      <c r="L2239">
        <v>1.84E-2</v>
      </c>
      <c r="M2239">
        <v>1.84E-2</v>
      </c>
      <c r="N2239">
        <v>1.83E-2</v>
      </c>
      <c r="O2239">
        <v>1.7100000000000001E-2</v>
      </c>
      <c r="P2239">
        <v>1.72E-2</v>
      </c>
      <c r="Q2239">
        <v>1.72E-2</v>
      </c>
      <c r="R2239">
        <v>1.72E-2</v>
      </c>
      <c r="S2239">
        <v>1.72E-2</v>
      </c>
      <c r="T2239">
        <v>1.7299999999999999E-2</v>
      </c>
      <c r="U2239">
        <v>1.7299999999999999E-2</v>
      </c>
      <c r="V2239">
        <v>1.7399999999999999E-2</v>
      </c>
      <c r="W2239">
        <v>1.7399999999999999E-2</v>
      </c>
      <c r="X2239">
        <v>1.7399999999999999E-2</v>
      </c>
      <c r="Y2239">
        <v>1.7399999999999999E-2</v>
      </c>
    </row>
    <row r="2240" spans="1:25">
      <c r="A2240" t="s">
        <v>18811</v>
      </c>
      <c r="B2240" t="s">
        <v>623</v>
      </c>
      <c r="C2240" t="s">
        <v>595</v>
      </c>
      <c r="D2240" t="s">
        <v>621</v>
      </c>
      <c r="E2240" t="s">
        <v>624</v>
      </c>
      <c r="F2240" t="s">
        <v>598</v>
      </c>
      <c r="G2240" t="s">
        <v>478</v>
      </c>
      <c r="H2240" t="s">
        <v>600</v>
      </c>
      <c r="I2240" t="s">
        <v>601</v>
      </c>
      <c r="J2240">
        <v>4.5999999999999999E-3</v>
      </c>
      <c r="K2240">
        <v>4.7999999999999996E-3</v>
      </c>
      <c r="L2240">
        <v>4.7999999999999996E-3</v>
      </c>
      <c r="M2240">
        <v>4.8999999999999998E-3</v>
      </c>
      <c r="N2240">
        <v>5.0000000000000001E-3</v>
      </c>
      <c r="O2240">
        <v>5.1999999999999998E-3</v>
      </c>
      <c r="P2240">
        <v>5.1999999999999998E-3</v>
      </c>
      <c r="Q2240">
        <v>5.3E-3</v>
      </c>
      <c r="R2240">
        <v>5.3E-3</v>
      </c>
      <c r="S2240">
        <v>5.4999999999999997E-3</v>
      </c>
      <c r="T2240">
        <v>5.5999999999999999E-3</v>
      </c>
      <c r="U2240">
        <v>5.7000000000000002E-3</v>
      </c>
      <c r="V2240">
        <v>5.7999999999999996E-3</v>
      </c>
      <c r="W2240">
        <v>5.8999999999999999E-3</v>
      </c>
      <c r="X2240">
        <v>6.0000000000000001E-3</v>
      </c>
      <c r="Y2240">
        <v>6.1000000000000004E-3</v>
      </c>
    </row>
    <row r="2241" spans="1:25">
      <c r="A2241" t="s">
        <v>18811</v>
      </c>
      <c r="B2241" t="s">
        <v>627</v>
      </c>
      <c r="C2241" t="s">
        <v>595</v>
      </c>
      <c r="D2241" t="s">
        <v>621</v>
      </c>
      <c r="E2241" t="s">
        <v>628</v>
      </c>
      <c r="F2241" t="s">
        <v>598</v>
      </c>
      <c r="G2241" t="s">
        <v>478</v>
      </c>
      <c r="H2241" t="s">
        <v>600</v>
      </c>
      <c r="I2241" t="s">
        <v>601</v>
      </c>
      <c r="J2241">
        <v>4.8800000000000003E-2</v>
      </c>
      <c r="K2241">
        <v>4.8800000000000003E-2</v>
      </c>
      <c r="L2241">
        <v>4.8800000000000003E-2</v>
      </c>
      <c r="M2241">
        <v>4.8800000000000003E-2</v>
      </c>
      <c r="N2241">
        <v>4.8800000000000003E-2</v>
      </c>
      <c r="O2241">
        <v>4.8800000000000003E-2</v>
      </c>
      <c r="P2241">
        <v>4.8800000000000003E-2</v>
      </c>
      <c r="Q2241">
        <v>4.8800000000000003E-2</v>
      </c>
      <c r="R2241">
        <v>4.8800000000000003E-2</v>
      </c>
      <c r="S2241">
        <v>4.8800000000000003E-2</v>
      </c>
      <c r="T2241">
        <v>4.8800000000000003E-2</v>
      </c>
      <c r="U2241">
        <v>4.8800000000000003E-2</v>
      </c>
      <c r="V2241">
        <v>4.8800000000000003E-2</v>
      </c>
      <c r="W2241">
        <v>4.8800000000000003E-2</v>
      </c>
      <c r="X2241">
        <v>4.8800000000000003E-2</v>
      </c>
      <c r="Y2241">
        <v>4.8800000000000003E-2</v>
      </c>
    </row>
    <row r="2242" spans="1:25">
      <c r="A2242" t="s">
        <v>18811</v>
      </c>
      <c r="B2242" t="s">
        <v>631</v>
      </c>
      <c r="C2242" t="s">
        <v>595</v>
      </c>
      <c r="D2242" t="s">
        <v>632</v>
      </c>
      <c r="E2242" t="s">
        <v>597</v>
      </c>
      <c r="F2242" t="s">
        <v>598</v>
      </c>
      <c r="G2242" t="s">
        <v>478</v>
      </c>
      <c r="H2242" t="s">
        <v>600</v>
      </c>
      <c r="I2242" t="s">
        <v>601</v>
      </c>
      <c r="J2242">
        <v>1.5895999999999999</v>
      </c>
      <c r="K2242">
        <v>1.6359999999999999</v>
      </c>
      <c r="L2242">
        <v>1.6859999999999999</v>
      </c>
      <c r="M2242">
        <v>1.6852</v>
      </c>
      <c r="N2242">
        <v>1.6833</v>
      </c>
      <c r="O2242">
        <v>1.5645</v>
      </c>
      <c r="P2242">
        <v>1.5674999999999999</v>
      </c>
      <c r="Q2242">
        <v>1.5708</v>
      </c>
      <c r="R2242">
        <v>1.5724</v>
      </c>
      <c r="S2242">
        <v>1.5754999999999999</v>
      </c>
      <c r="T2242">
        <v>1.5785</v>
      </c>
      <c r="U2242">
        <v>1.5815999999999999</v>
      </c>
      <c r="V2242">
        <v>1.5848</v>
      </c>
      <c r="W2242">
        <v>1.5864</v>
      </c>
      <c r="X2242">
        <v>1.5894999999999999</v>
      </c>
      <c r="Y2242">
        <v>1.5927</v>
      </c>
    </row>
    <row r="2243" spans="1:25">
      <c r="A2243" t="s">
        <v>18811</v>
      </c>
      <c r="B2243" t="s">
        <v>636</v>
      </c>
      <c r="C2243" t="s">
        <v>595</v>
      </c>
      <c r="D2243" t="s">
        <v>632</v>
      </c>
      <c r="E2243" t="s">
        <v>628</v>
      </c>
      <c r="F2243" t="s">
        <v>598</v>
      </c>
      <c r="G2243" t="s">
        <v>478</v>
      </c>
      <c r="H2243" t="s">
        <v>600</v>
      </c>
      <c r="I2243" t="s">
        <v>601</v>
      </c>
      <c r="J2243">
        <v>6.4999999999999997E-3</v>
      </c>
      <c r="K2243">
        <v>6.4999999999999997E-3</v>
      </c>
      <c r="L2243">
        <v>6.4999999999999997E-3</v>
      </c>
      <c r="M2243">
        <v>6.4999999999999997E-3</v>
      </c>
      <c r="N2243">
        <v>6.4999999999999997E-3</v>
      </c>
      <c r="O2243">
        <v>6.4999999999999997E-3</v>
      </c>
      <c r="P2243">
        <v>6.4999999999999997E-3</v>
      </c>
      <c r="Q2243">
        <v>6.4999999999999997E-3</v>
      </c>
      <c r="R2243">
        <v>6.4999999999999997E-3</v>
      </c>
      <c r="S2243">
        <v>6.4999999999999997E-3</v>
      </c>
      <c r="T2243">
        <v>6.4999999999999997E-3</v>
      </c>
      <c r="U2243">
        <v>6.4999999999999997E-3</v>
      </c>
      <c r="V2243">
        <v>6.4999999999999997E-3</v>
      </c>
      <c r="W2243">
        <v>6.4999999999999997E-3</v>
      </c>
      <c r="X2243">
        <v>6.4999999999999997E-3</v>
      </c>
      <c r="Y2243">
        <v>6.4999999999999997E-3</v>
      </c>
    </row>
    <row r="2244" spans="1:25">
      <c r="A2244" t="s">
        <v>18811</v>
      </c>
      <c r="B2244" t="s">
        <v>647</v>
      </c>
      <c r="C2244" t="s">
        <v>595</v>
      </c>
      <c r="D2244" t="s">
        <v>648</v>
      </c>
      <c r="E2244" t="s">
        <v>649</v>
      </c>
      <c r="F2244" t="s">
        <v>598</v>
      </c>
      <c r="G2244" t="s">
        <v>478</v>
      </c>
      <c r="H2244" t="s">
        <v>600</v>
      </c>
      <c r="I2244" t="s">
        <v>601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hidden="1">
      <c r="A2245" t="s">
        <v>18811</v>
      </c>
      <c r="B2245" t="s">
        <v>650</v>
      </c>
      <c r="C2245" t="s">
        <v>651</v>
      </c>
      <c r="D2245" t="s">
        <v>596</v>
      </c>
      <c r="E2245" t="s">
        <v>597</v>
      </c>
      <c r="F2245" t="s">
        <v>598</v>
      </c>
      <c r="G2245" t="s">
        <v>478</v>
      </c>
      <c r="H2245" t="s">
        <v>600</v>
      </c>
      <c r="I2245" t="s">
        <v>601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hidden="1">
      <c r="A2246" t="s">
        <v>18811</v>
      </c>
      <c r="B2246" t="s">
        <v>653</v>
      </c>
      <c r="C2246" t="s">
        <v>651</v>
      </c>
      <c r="D2246" t="s">
        <v>596</v>
      </c>
      <c r="E2246" t="s">
        <v>607</v>
      </c>
      <c r="F2246" t="s">
        <v>598</v>
      </c>
      <c r="G2246" t="s">
        <v>478</v>
      </c>
      <c r="H2246" t="s">
        <v>600</v>
      </c>
      <c r="I2246" t="s">
        <v>601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hidden="1">
      <c r="A2247" t="s">
        <v>18811</v>
      </c>
      <c r="B2247" t="s">
        <v>654</v>
      </c>
      <c r="C2247" t="s">
        <v>651</v>
      </c>
      <c r="D2247" t="s">
        <v>596</v>
      </c>
      <c r="E2247" t="s">
        <v>609</v>
      </c>
      <c r="F2247" t="s">
        <v>598</v>
      </c>
      <c r="G2247" t="s">
        <v>478</v>
      </c>
      <c r="H2247" t="s">
        <v>600</v>
      </c>
      <c r="I2247" t="s">
        <v>601</v>
      </c>
      <c r="J2247">
        <v>0.1244</v>
      </c>
      <c r="K2247">
        <v>0.1244</v>
      </c>
      <c r="L2247">
        <v>0.1244</v>
      </c>
      <c r="M2247">
        <v>0.1244</v>
      </c>
      <c r="N2247">
        <v>0.1244</v>
      </c>
      <c r="O2247">
        <v>0.1244</v>
      </c>
      <c r="P2247">
        <v>0.1244</v>
      </c>
      <c r="Q2247">
        <v>0.12839999999999999</v>
      </c>
      <c r="R2247">
        <v>0.1305</v>
      </c>
      <c r="S2247">
        <v>0.1305</v>
      </c>
      <c r="T2247">
        <v>0.13250000000000001</v>
      </c>
      <c r="U2247">
        <v>0.13450000000000001</v>
      </c>
      <c r="V2247">
        <v>0.13450000000000001</v>
      </c>
      <c r="W2247">
        <v>0.13450000000000001</v>
      </c>
      <c r="X2247">
        <v>0.13450000000000001</v>
      </c>
      <c r="Y2247">
        <v>0.13450000000000001</v>
      </c>
    </row>
    <row r="2248" spans="1:25" hidden="1">
      <c r="A2248" t="s">
        <v>18811</v>
      </c>
      <c r="B2248" t="s">
        <v>655</v>
      </c>
      <c r="C2248" t="s">
        <v>651</v>
      </c>
      <c r="D2248" t="s">
        <v>596</v>
      </c>
      <c r="E2248" t="s">
        <v>656</v>
      </c>
      <c r="F2248" t="s">
        <v>598</v>
      </c>
      <c r="G2248" t="s">
        <v>478</v>
      </c>
      <c r="H2248" t="s">
        <v>600</v>
      </c>
      <c r="I2248" t="s">
        <v>601</v>
      </c>
      <c r="J2248">
        <v>0.50629999999999997</v>
      </c>
      <c r="K2248">
        <v>0.57940000000000003</v>
      </c>
      <c r="L2248">
        <v>0.622</v>
      </c>
      <c r="M2248">
        <v>0.67679999999999996</v>
      </c>
      <c r="N2248">
        <v>0.71579999999999999</v>
      </c>
      <c r="O2248">
        <v>0.74370000000000003</v>
      </c>
      <c r="P2248">
        <v>0.75219999999999998</v>
      </c>
      <c r="Q2248">
        <v>0.76080000000000003</v>
      </c>
      <c r="R2248">
        <v>0.7802</v>
      </c>
      <c r="S2248">
        <v>0.79359999999999997</v>
      </c>
      <c r="T2248">
        <v>0.80700000000000005</v>
      </c>
      <c r="U2248">
        <v>0.82040000000000002</v>
      </c>
      <c r="V2248">
        <v>0.83499999999999996</v>
      </c>
      <c r="W2248">
        <v>0.83260000000000001</v>
      </c>
      <c r="X2248">
        <v>0.8387</v>
      </c>
      <c r="Y2248">
        <v>0.83620000000000005</v>
      </c>
    </row>
    <row r="2249" spans="1:25" hidden="1">
      <c r="A2249" t="s">
        <v>18811</v>
      </c>
      <c r="B2249" t="s">
        <v>657</v>
      </c>
      <c r="C2249" t="s">
        <v>651</v>
      </c>
      <c r="D2249" t="s">
        <v>621</v>
      </c>
      <c r="E2249" t="s">
        <v>597</v>
      </c>
      <c r="F2249" t="s">
        <v>598</v>
      </c>
      <c r="G2249" t="s">
        <v>478</v>
      </c>
      <c r="H2249" t="s">
        <v>600</v>
      </c>
      <c r="I2249" t="s">
        <v>601</v>
      </c>
      <c r="J2249">
        <v>2.0999999999999999E-3</v>
      </c>
      <c r="K2249">
        <v>2.0999999999999999E-3</v>
      </c>
      <c r="L2249">
        <v>2.0999999999999999E-3</v>
      </c>
      <c r="M2249">
        <v>2.0999999999999999E-3</v>
      </c>
      <c r="N2249">
        <v>2.0999999999999999E-3</v>
      </c>
      <c r="O2249">
        <v>2.0999999999999999E-3</v>
      </c>
      <c r="P2249">
        <v>2.0999999999999999E-3</v>
      </c>
      <c r="Q2249">
        <v>2.0999999999999999E-3</v>
      </c>
      <c r="R2249">
        <v>2.0999999999999999E-3</v>
      </c>
      <c r="S2249">
        <v>2.0999999999999999E-3</v>
      </c>
      <c r="T2249">
        <v>2.0999999999999999E-3</v>
      </c>
      <c r="U2249">
        <v>2.0999999999999999E-3</v>
      </c>
      <c r="V2249">
        <v>2.0999999999999999E-3</v>
      </c>
      <c r="W2249">
        <v>2.0999999999999999E-3</v>
      </c>
      <c r="X2249">
        <v>2.0999999999999999E-3</v>
      </c>
      <c r="Y2249">
        <v>2.0999999999999999E-3</v>
      </c>
    </row>
    <row r="2250" spans="1:25" hidden="1">
      <c r="A2250" t="s">
        <v>18811</v>
      </c>
      <c r="B2250" t="s">
        <v>659</v>
      </c>
      <c r="C2250" t="s">
        <v>651</v>
      </c>
      <c r="D2250" t="s">
        <v>621</v>
      </c>
      <c r="E2250" t="s">
        <v>628</v>
      </c>
      <c r="F2250" t="s">
        <v>598</v>
      </c>
      <c r="G2250" t="s">
        <v>478</v>
      </c>
      <c r="H2250" t="s">
        <v>600</v>
      </c>
      <c r="I2250" t="s">
        <v>601</v>
      </c>
      <c r="J2250">
        <v>1.8E-3</v>
      </c>
      <c r="K2250">
        <v>1.8E-3</v>
      </c>
      <c r="L2250">
        <v>1.8E-3</v>
      </c>
      <c r="M2250">
        <v>1.8E-3</v>
      </c>
      <c r="N2250">
        <v>1.8E-3</v>
      </c>
      <c r="O2250">
        <v>1.8E-3</v>
      </c>
      <c r="P2250">
        <v>1.8E-3</v>
      </c>
      <c r="Q2250">
        <v>1.8E-3</v>
      </c>
      <c r="R2250">
        <v>1.8E-3</v>
      </c>
      <c r="S2250">
        <v>1.8E-3</v>
      </c>
      <c r="T2250">
        <v>1.8E-3</v>
      </c>
      <c r="U2250">
        <v>1.8E-3</v>
      </c>
      <c r="V2250">
        <v>1.8E-3</v>
      </c>
      <c r="W2250">
        <v>1.8E-3</v>
      </c>
      <c r="X2250">
        <v>1.8E-3</v>
      </c>
      <c r="Y2250">
        <v>1.8E-3</v>
      </c>
    </row>
    <row r="2251" spans="1:25" hidden="1">
      <c r="A2251" t="s">
        <v>18811</v>
      </c>
      <c r="B2251" t="s">
        <v>660</v>
      </c>
      <c r="C2251" t="s">
        <v>651</v>
      </c>
      <c r="D2251" t="s">
        <v>632</v>
      </c>
      <c r="E2251" t="s">
        <v>597</v>
      </c>
      <c r="F2251" t="s">
        <v>598</v>
      </c>
      <c r="G2251" t="s">
        <v>478</v>
      </c>
      <c r="H2251" t="s">
        <v>600</v>
      </c>
      <c r="I2251" t="s">
        <v>601</v>
      </c>
      <c r="J2251">
        <v>1.0789</v>
      </c>
      <c r="K2251">
        <v>1.0909</v>
      </c>
      <c r="L2251">
        <v>1.1034999999999999</v>
      </c>
      <c r="M2251">
        <v>1.1153999999999999</v>
      </c>
      <c r="N2251">
        <v>1.1274999999999999</v>
      </c>
      <c r="O2251">
        <v>1.1403000000000001</v>
      </c>
      <c r="P2251">
        <v>1.1532</v>
      </c>
      <c r="Q2251">
        <v>1.1659999999999999</v>
      </c>
      <c r="R2251">
        <v>1.1788000000000001</v>
      </c>
      <c r="S2251">
        <v>1.1919</v>
      </c>
      <c r="T2251">
        <v>1.2049000000000001</v>
      </c>
      <c r="U2251">
        <v>1.2181999999999999</v>
      </c>
      <c r="V2251">
        <v>1.2318</v>
      </c>
      <c r="W2251">
        <v>1.2453000000000001</v>
      </c>
      <c r="X2251">
        <v>1.2591000000000001</v>
      </c>
      <c r="Y2251">
        <v>1.2729999999999999</v>
      </c>
    </row>
    <row r="2252" spans="1:25" hidden="1">
      <c r="A2252" t="s">
        <v>18811</v>
      </c>
      <c r="B2252" t="s">
        <v>663</v>
      </c>
      <c r="C2252" t="s">
        <v>664</v>
      </c>
      <c r="D2252" t="s">
        <v>596</v>
      </c>
      <c r="E2252" t="s">
        <v>597</v>
      </c>
      <c r="F2252" t="s">
        <v>598</v>
      </c>
      <c r="G2252" t="s">
        <v>478</v>
      </c>
      <c r="H2252" t="s">
        <v>600</v>
      </c>
      <c r="I2252" t="s">
        <v>601</v>
      </c>
      <c r="J2252">
        <v>6.6500000000000004E-2</v>
      </c>
      <c r="K2252">
        <v>6.3899999999999998E-2</v>
      </c>
      <c r="L2252">
        <v>6.1400000000000003E-2</v>
      </c>
      <c r="M2252">
        <v>5.8599999999999999E-2</v>
      </c>
      <c r="N2252">
        <v>5.6300000000000003E-2</v>
      </c>
      <c r="O2252">
        <v>5.3999999999999999E-2</v>
      </c>
      <c r="P2252">
        <v>5.1700000000000003E-2</v>
      </c>
      <c r="Q2252">
        <v>4.9500000000000002E-2</v>
      </c>
      <c r="R2252">
        <v>4.7500000000000001E-2</v>
      </c>
      <c r="S2252">
        <v>4.5499999999999999E-2</v>
      </c>
      <c r="T2252">
        <v>4.3400000000000001E-2</v>
      </c>
      <c r="U2252">
        <v>4.1500000000000002E-2</v>
      </c>
      <c r="V2252">
        <v>3.9699999999999999E-2</v>
      </c>
      <c r="W2252">
        <v>3.78E-2</v>
      </c>
      <c r="X2252">
        <v>3.6200000000000003E-2</v>
      </c>
      <c r="Y2252">
        <v>3.44E-2</v>
      </c>
    </row>
    <row r="2253" spans="1:25" hidden="1">
      <c r="A2253" t="s">
        <v>18811</v>
      </c>
      <c r="B2253" t="s">
        <v>665</v>
      </c>
      <c r="C2253" t="s">
        <v>664</v>
      </c>
      <c r="D2253" t="s">
        <v>596</v>
      </c>
      <c r="E2253" t="s">
        <v>603</v>
      </c>
      <c r="F2253" t="s">
        <v>598</v>
      </c>
      <c r="G2253" t="s">
        <v>478</v>
      </c>
      <c r="H2253" t="s">
        <v>600</v>
      </c>
      <c r="I2253" t="s">
        <v>601</v>
      </c>
      <c r="J2253">
        <v>5.0000000000000001E-4</v>
      </c>
      <c r="K2253">
        <v>4.0000000000000002E-4</v>
      </c>
      <c r="L2253">
        <v>4.0000000000000002E-4</v>
      </c>
      <c r="M2253">
        <v>4.0000000000000002E-4</v>
      </c>
      <c r="N2253">
        <v>4.0000000000000002E-4</v>
      </c>
      <c r="O2253">
        <v>4.0000000000000002E-4</v>
      </c>
      <c r="P2253">
        <v>4.0000000000000002E-4</v>
      </c>
      <c r="Q2253">
        <v>2.9999999999999997E-4</v>
      </c>
      <c r="R2253">
        <v>2.9999999999999997E-4</v>
      </c>
      <c r="S2253">
        <v>2.9999999999999997E-4</v>
      </c>
      <c r="T2253">
        <v>2.9999999999999997E-4</v>
      </c>
      <c r="U2253">
        <v>2.9999999999999997E-4</v>
      </c>
      <c r="V2253">
        <v>2.9999999999999997E-4</v>
      </c>
      <c r="W2253">
        <v>2.9999999999999997E-4</v>
      </c>
      <c r="X2253">
        <v>2.0000000000000001E-4</v>
      </c>
      <c r="Y2253">
        <v>2.0000000000000001E-4</v>
      </c>
    </row>
    <row r="2254" spans="1:25" hidden="1">
      <c r="A2254" t="s">
        <v>18811</v>
      </c>
      <c r="B2254" t="s">
        <v>666</v>
      </c>
      <c r="C2254" t="s">
        <v>664</v>
      </c>
      <c r="D2254" t="s">
        <v>596</v>
      </c>
      <c r="E2254" t="s">
        <v>605</v>
      </c>
      <c r="F2254" t="s">
        <v>598</v>
      </c>
      <c r="G2254" t="s">
        <v>478</v>
      </c>
      <c r="H2254" t="s">
        <v>600</v>
      </c>
      <c r="I2254" t="s">
        <v>601</v>
      </c>
      <c r="J2254">
        <v>1.5E-3</v>
      </c>
      <c r="K2254">
        <v>1.5E-3</v>
      </c>
      <c r="L2254">
        <v>1.4E-3</v>
      </c>
      <c r="M2254">
        <v>1.2999999999999999E-3</v>
      </c>
      <c r="N2254">
        <v>1.2999999999999999E-3</v>
      </c>
      <c r="O2254">
        <v>1.1999999999999999E-3</v>
      </c>
      <c r="P2254">
        <v>1.1999999999999999E-3</v>
      </c>
      <c r="Q2254">
        <v>1.1000000000000001E-3</v>
      </c>
      <c r="R2254">
        <v>1.1000000000000001E-3</v>
      </c>
      <c r="S2254">
        <v>1E-3</v>
      </c>
      <c r="T2254">
        <v>1E-3</v>
      </c>
      <c r="U2254">
        <v>8.9999999999999998E-4</v>
      </c>
      <c r="V2254">
        <v>8.9999999999999998E-4</v>
      </c>
      <c r="W2254">
        <v>8.9999999999999998E-4</v>
      </c>
      <c r="X2254">
        <v>8.0000000000000004E-4</v>
      </c>
      <c r="Y2254">
        <v>8.0000000000000004E-4</v>
      </c>
    </row>
    <row r="2255" spans="1:25" hidden="1">
      <c r="A2255" t="s">
        <v>18811</v>
      </c>
      <c r="B2255" t="s">
        <v>667</v>
      </c>
      <c r="C2255" t="s">
        <v>664</v>
      </c>
      <c r="D2255" t="s">
        <v>596</v>
      </c>
      <c r="E2255" t="s">
        <v>619</v>
      </c>
      <c r="F2255" t="s">
        <v>598</v>
      </c>
      <c r="G2255" t="s">
        <v>478</v>
      </c>
      <c r="H2255" t="s">
        <v>600</v>
      </c>
      <c r="I2255" t="s">
        <v>601</v>
      </c>
      <c r="J2255">
        <v>2.9999999999999997E-4</v>
      </c>
      <c r="K2255">
        <v>2.9999999999999997E-4</v>
      </c>
      <c r="L2255">
        <v>2.9999999999999997E-4</v>
      </c>
      <c r="M2255">
        <v>2.9999999999999997E-4</v>
      </c>
      <c r="N2255">
        <v>2.9999999999999997E-4</v>
      </c>
      <c r="O2255">
        <v>2.9999999999999997E-4</v>
      </c>
      <c r="P2255">
        <v>2.9999999999999997E-4</v>
      </c>
      <c r="Q2255">
        <v>2.0000000000000001E-4</v>
      </c>
      <c r="R2255">
        <v>2.0000000000000001E-4</v>
      </c>
      <c r="S2255">
        <v>2.0000000000000001E-4</v>
      </c>
      <c r="T2255">
        <v>2.0000000000000001E-4</v>
      </c>
      <c r="U2255">
        <v>2.0000000000000001E-4</v>
      </c>
      <c r="V2255">
        <v>2.0000000000000001E-4</v>
      </c>
      <c r="W2255">
        <v>2.0000000000000001E-4</v>
      </c>
      <c r="X2255">
        <v>2.0000000000000001E-4</v>
      </c>
      <c r="Y2255">
        <v>2.0000000000000001E-4</v>
      </c>
    </row>
    <row r="2256" spans="1:25" hidden="1">
      <c r="A2256" t="s">
        <v>18811</v>
      </c>
      <c r="B2256" t="s">
        <v>668</v>
      </c>
      <c r="C2256" t="s">
        <v>664</v>
      </c>
      <c r="D2256" t="s">
        <v>596</v>
      </c>
      <c r="E2256" t="s">
        <v>669</v>
      </c>
      <c r="F2256" t="s">
        <v>598</v>
      </c>
      <c r="G2256" t="s">
        <v>478</v>
      </c>
      <c r="H2256" t="s">
        <v>600</v>
      </c>
      <c r="I2256" t="s">
        <v>601</v>
      </c>
      <c r="J2256">
        <v>5.0000000000000001E-4</v>
      </c>
      <c r="K2256">
        <v>5.0000000000000001E-4</v>
      </c>
      <c r="L2256">
        <v>5.0000000000000001E-4</v>
      </c>
      <c r="M2256">
        <v>4.0000000000000002E-4</v>
      </c>
      <c r="N2256">
        <v>4.0000000000000002E-4</v>
      </c>
      <c r="O2256">
        <v>4.0000000000000002E-4</v>
      </c>
      <c r="P2256">
        <v>4.0000000000000002E-4</v>
      </c>
      <c r="Q2256">
        <v>4.0000000000000002E-4</v>
      </c>
      <c r="R2256">
        <v>4.0000000000000002E-4</v>
      </c>
      <c r="S2256">
        <v>2.9999999999999997E-4</v>
      </c>
      <c r="T2256">
        <v>2.9999999999999997E-4</v>
      </c>
      <c r="U2256">
        <v>2.9999999999999997E-4</v>
      </c>
      <c r="V2256">
        <v>2.9999999999999997E-4</v>
      </c>
      <c r="W2256">
        <v>2.9999999999999997E-4</v>
      </c>
      <c r="X2256">
        <v>2.9999999999999997E-4</v>
      </c>
      <c r="Y2256">
        <v>2.9999999999999997E-4</v>
      </c>
    </row>
    <row r="2257" spans="1:25" hidden="1">
      <c r="A2257" t="s">
        <v>18811</v>
      </c>
      <c r="B2257" t="s">
        <v>670</v>
      </c>
      <c r="C2257" t="s">
        <v>664</v>
      </c>
      <c r="D2257" t="s">
        <v>671</v>
      </c>
      <c r="E2257" t="s">
        <v>672</v>
      </c>
      <c r="F2257" t="s">
        <v>598</v>
      </c>
      <c r="G2257" t="s">
        <v>478</v>
      </c>
      <c r="H2257" t="s">
        <v>600</v>
      </c>
      <c r="I2257" t="s">
        <v>601</v>
      </c>
      <c r="J2257">
        <v>5.0000000000000001E-4</v>
      </c>
      <c r="K2257">
        <v>5.0000000000000001E-4</v>
      </c>
      <c r="L2257">
        <v>5.0000000000000001E-4</v>
      </c>
      <c r="M2257">
        <v>4.0000000000000002E-4</v>
      </c>
      <c r="N2257">
        <v>4.0000000000000002E-4</v>
      </c>
      <c r="O2257">
        <v>4.0000000000000002E-4</v>
      </c>
      <c r="P2257">
        <v>4.0000000000000002E-4</v>
      </c>
      <c r="Q2257">
        <v>4.0000000000000002E-4</v>
      </c>
      <c r="R2257">
        <v>4.0000000000000002E-4</v>
      </c>
      <c r="S2257">
        <v>4.0000000000000002E-4</v>
      </c>
      <c r="T2257">
        <v>4.0000000000000002E-4</v>
      </c>
      <c r="U2257">
        <v>2.9999999999999997E-4</v>
      </c>
      <c r="V2257">
        <v>2.9999999999999997E-4</v>
      </c>
      <c r="W2257">
        <v>2.9999999999999997E-4</v>
      </c>
      <c r="X2257">
        <v>2.9999999999999997E-4</v>
      </c>
      <c r="Y2257">
        <v>2.9999999999999997E-4</v>
      </c>
    </row>
    <row r="2258" spans="1:25" hidden="1">
      <c r="A2258" t="s">
        <v>18811</v>
      </c>
      <c r="B2258" t="s">
        <v>673</v>
      </c>
      <c r="C2258" t="s">
        <v>664</v>
      </c>
      <c r="D2258" t="s">
        <v>671</v>
      </c>
      <c r="E2258" t="s">
        <v>597</v>
      </c>
      <c r="F2258" t="s">
        <v>598</v>
      </c>
      <c r="G2258" t="s">
        <v>478</v>
      </c>
      <c r="H2258" t="s">
        <v>600</v>
      </c>
      <c r="I2258" t="s">
        <v>601</v>
      </c>
      <c r="J2258">
        <v>1.49E-2</v>
      </c>
      <c r="K2258">
        <v>1.43E-2</v>
      </c>
      <c r="L2258">
        <v>1.3899999999999999E-2</v>
      </c>
      <c r="M2258">
        <v>1.32E-2</v>
      </c>
      <c r="N2258">
        <v>1.2699999999999999E-2</v>
      </c>
      <c r="O2258">
        <v>1.2200000000000001E-2</v>
      </c>
      <c r="P2258">
        <v>1.1599999999999999E-2</v>
      </c>
      <c r="Q2258">
        <v>1.12E-2</v>
      </c>
      <c r="R2258">
        <v>1.0699999999999999E-2</v>
      </c>
      <c r="S2258">
        <v>1.0200000000000001E-2</v>
      </c>
      <c r="T2258">
        <v>9.7999999999999997E-3</v>
      </c>
      <c r="U2258">
        <v>9.2999999999999992E-3</v>
      </c>
      <c r="V2258">
        <v>8.9999999999999993E-3</v>
      </c>
      <c r="W2258">
        <v>8.5000000000000006E-3</v>
      </c>
      <c r="X2258">
        <v>8.0999999999999996E-3</v>
      </c>
      <c r="Y2258">
        <v>7.7999999999999996E-3</v>
      </c>
    </row>
    <row r="2259" spans="1:25" hidden="1">
      <c r="A2259" t="s">
        <v>18811</v>
      </c>
      <c r="B2259" t="s">
        <v>674</v>
      </c>
      <c r="C2259" t="s">
        <v>664</v>
      </c>
      <c r="D2259" t="s">
        <v>671</v>
      </c>
      <c r="E2259" t="s">
        <v>605</v>
      </c>
      <c r="F2259" t="s">
        <v>598</v>
      </c>
      <c r="G2259" t="s">
        <v>478</v>
      </c>
      <c r="H2259" t="s">
        <v>600</v>
      </c>
      <c r="I2259" t="s">
        <v>601</v>
      </c>
      <c r="J2259">
        <v>4.0000000000000002E-4</v>
      </c>
      <c r="K2259">
        <v>4.0000000000000002E-4</v>
      </c>
      <c r="L2259">
        <v>4.0000000000000002E-4</v>
      </c>
      <c r="M2259">
        <v>2.9999999999999997E-4</v>
      </c>
      <c r="N2259">
        <v>2.9999999999999997E-4</v>
      </c>
      <c r="O2259">
        <v>2.9999999999999997E-4</v>
      </c>
      <c r="P2259">
        <v>2.9999999999999997E-4</v>
      </c>
      <c r="Q2259">
        <v>2.9999999999999997E-4</v>
      </c>
      <c r="R2259">
        <v>2.9999999999999997E-4</v>
      </c>
      <c r="S2259">
        <v>2.9999999999999997E-4</v>
      </c>
      <c r="T2259">
        <v>2.9999999999999997E-4</v>
      </c>
      <c r="U2259">
        <v>2.0000000000000001E-4</v>
      </c>
      <c r="V2259">
        <v>2.0000000000000001E-4</v>
      </c>
      <c r="W2259">
        <v>2.0000000000000001E-4</v>
      </c>
      <c r="X2259">
        <v>2.0000000000000001E-4</v>
      </c>
      <c r="Y2259">
        <v>2.0000000000000001E-4</v>
      </c>
    </row>
    <row r="2260" spans="1:25" hidden="1">
      <c r="A2260" t="s">
        <v>18811</v>
      </c>
      <c r="B2260" t="s">
        <v>675</v>
      </c>
      <c r="C2260" t="s">
        <v>664</v>
      </c>
      <c r="D2260" t="s">
        <v>671</v>
      </c>
      <c r="E2260" t="s">
        <v>676</v>
      </c>
      <c r="F2260" t="s">
        <v>598</v>
      </c>
      <c r="G2260" t="s">
        <v>478</v>
      </c>
      <c r="H2260" t="s">
        <v>600</v>
      </c>
      <c r="I2260" t="s">
        <v>601</v>
      </c>
      <c r="J2260">
        <v>5.0000000000000001E-4</v>
      </c>
      <c r="K2260">
        <v>5.0000000000000001E-4</v>
      </c>
      <c r="L2260">
        <v>5.0000000000000001E-4</v>
      </c>
      <c r="M2260">
        <v>5.0000000000000001E-4</v>
      </c>
      <c r="N2260">
        <v>5.0000000000000001E-4</v>
      </c>
      <c r="O2260">
        <v>5.0000000000000001E-4</v>
      </c>
      <c r="P2260">
        <v>4.0000000000000002E-4</v>
      </c>
      <c r="Q2260">
        <v>4.0000000000000002E-4</v>
      </c>
      <c r="R2260">
        <v>4.0000000000000002E-4</v>
      </c>
      <c r="S2260">
        <v>4.0000000000000002E-4</v>
      </c>
      <c r="T2260">
        <v>4.0000000000000002E-4</v>
      </c>
      <c r="U2260">
        <v>4.0000000000000002E-4</v>
      </c>
      <c r="V2260">
        <v>4.0000000000000002E-4</v>
      </c>
      <c r="W2260">
        <v>4.0000000000000002E-4</v>
      </c>
      <c r="X2260">
        <v>4.0000000000000002E-4</v>
      </c>
      <c r="Y2260">
        <v>4.0000000000000002E-4</v>
      </c>
    </row>
    <row r="2261" spans="1:25" hidden="1">
      <c r="A2261" t="s">
        <v>18811</v>
      </c>
      <c r="B2261" t="s">
        <v>677</v>
      </c>
      <c r="C2261" t="s">
        <v>664</v>
      </c>
      <c r="D2261" t="s">
        <v>671</v>
      </c>
      <c r="E2261" t="s">
        <v>678</v>
      </c>
      <c r="F2261" t="s">
        <v>598</v>
      </c>
      <c r="G2261" t="s">
        <v>478</v>
      </c>
      <c r="H2261" t="s">
        <v>600</v>
      </c>
      <c r="I2261" t="s">
        <v>601</v>
      </c>
      <c r="J2261">
        <v>5.0000000000000001E-4</v>
      </c>
      <c r="K2261">
        <v>5.0000000000000001E-4</v>
      </c>
      <c r="L2261">
        <v>5.0000000000000001E-4</v>
      </c>
      <c r="M2261">
        <v>4.0000000000000002E-4</v>
      </c>
      <c r="N2261">
        <v>4.0000000000000002E-4</v>
      </c>
      <c r="O2261">
        <v>4.0000000000000002E-4</v>
      </c>
      <c r="P2261">
        <v>2.9999999999999997E-4</v>
      </c>
      <c r="Q2261">
        <v>2.9999999999999997E-4</v>
      </c>
      <c r="R2261">
        <v>2.9999999999999997E-4</v>
      </c>
      <c r="S2261">
        <v>2.9999999999999997E-4</v>
      </c>
      <c r="T2261">
        <v>2.9999999999999997E-4</v>
      </c>
      <c r="U2261">
        <v>2.9999999999999997E-4</v>
      </c>
      <c r="V2261">
        <v>2.9999999999999997E-4</v>
      </c>
      <c r="W2261">
        <v>2.9999999999999997E-4</v>
      </c>
      <c r="X2261">
        <v>2.9999999999999997E-4</v>
      </c>
      <c r="Y2261">
        <v>2.9999999999999997E-4</v>
      </c>
    </row>
    <row r="2262" spans="1:25" hidden="1">
      <c r="A2262" t="s">
        <v>18811</v>
      </c>
      <c r="B2262" t="s">
        <v>679</v>
      </c>
      <c r="C2262" t="s">
        <v>664</v>
      </c>
      <c r="D2262" t="s">
        <v>680</v>
      </c>
      <c r="E2262" t="s">
        <v>597</v>
      </c>
      <c r="F2262" t="s">
        <v>598</v>
      </c>
      <c r="G2262" t="s">
        <v>478</v>
      </c>
      <c r="H2262" t="s">
        <v>600</v>
      </c>
      <c r="I2262" t="s">
        <v>601</v>
      </c>
      <c r="J2262">
        <v>1.3103</v>
      </c>
      <c r="K2262">
        <v>1.2569999999999999</v>
      </c>
      <c r="L2262">
        <v>1.2075</v>
      </c>
      <c r="M2262">
        <v>1.1575</v>
      </c>
      <c r="N2262">
        <v>1.1112</v>
      </c>
      <c r="O2262">
        <v>1.0643</v>
      </c>
      <c r="P2262">
        <v>1.0209999999999999</v>
      </c>
      <c r="Q2262">
        <v>0.97699999999999998</v>
      </c>
      <c r="R2262">
        <v>0.9365</v>
      </c>
      <c r="S2262">
        <v>0.89539999999999997</v>
      </c>
      <c r="T2262">
        <v>0.85750000000000004</v>
      </c>
      <c r="U2262">
        <v>0.81899999999999995</v>
      </c>
      <c r="V2262">
        <v>0.78349999999999997</v>
      </c>
      <c r="W2262">
        <v>0.74760000000000004</v>
      </c>
      <c r="X2262">
        <v>0.71440000000000003</v>
      </c>
      <c r="Y2262">
        <v>0.68069999999999997</v>
      </c>
    </row>
    <row r="2263" spans="1:25" hidden="1">
      <c r="A2263" t="s">
        <v>18811</v>
      </c>
      <c r="B2263" t="s">
        <v>681</v>
      </c>
      <c r="C2263" t="s">
        <v>664</v>
      </c>
      <c r="D2263" t="s">
        <v>680</v>
      </c>
      <c r="E2263" t="s">
        <v>605</v>
      </c>
      <c r="F2263" t="s">
        <v>598</v>
      </c>
      <c r="G2263" t="s">
        <v>478</v>
      </c>
      <c r="H2263" t="s">
        <v>600</v>
      </c>
      <c r="I2263" t="s">
        <v>601</v>
      </c>
      <c r="J2263">
        <v>7.7799999999999994E-2</v>
      </c>
      <c r="K2263">
        <v>7.6100000000000001E-2</v>
      </c>
      <c r="L2263">
        <v>7.4499999999999997E-2</v>
      </c>
      <c r="M2263">
        <v>7.2900000000000006E-2</v>
      </c>
      <c r="N2263">
        <v>7.1199999999999999E-2</v>
      </c>
      <c r="O2263">
        <v>6.9699999999999998E-2</v>
      </c>
      <c r="P2263">
        <v>6.8099999999999994E-2</v>
      </c>
      <c r="Q2263">
        <v>6.6600000000000006E-2</v>
      </c>
      <c r="R2263">
        <v>6.5199999999999994E-2</v>
      </c>
      <c r="S2263">
        <v>6.3799999999999996E-2</v>
      </c>
      <c r="T2263">
        <v>6.2300000000000001E-2</v>
      </c>
      <c r="U2263">
        <v>6.0900000000000003E-2</v>
      </c>
      <c r="V2263">
        <v>5.9700000000000003E-2</v>
      </c>
      <c r="W2263">
        <v>5.8299999999999998E-2</v>
      </c>
      <c r="X2263">
        <v>5.7000000000000002E-2</v>
      </c>
      <c r="Y2263">
        <v>5.5800000000000002E-2</v>
      </c>
    </row>
    <row r="2264" spans="1:25" hidden="1">
      <c r="A2264" t="s">
        <v>18811</v>
      </c>
      <c r="B2264" t="s">
        <v>684</v>
      </c>
      <c r="C2264" t="s">
        <v>664</v>
      </c>
      <c r="D2264" t="s">
        <v>621</v>
      </c>
      <c r="E2264" t="s">
        <v>597</v>
      </c>
      <c r="F2264" t="s">
        <v>598</v>
      </c>
      <c r="G2264" t="s">
        <v>478</v>
      </c>
      <c r="H2264" t="s">
        <v>600</v>
      </c>
      <c r="I2264" t="s">
        <v>601</v>
      </c>
      <c r="J2264">
        <v>0.86539999999999995</v>
      </c>
      <c r="K2264">
        <v>0.84640000000000004</v>
      </c>
      <c r="L2264">
        <v>0.82779999999999998</v>
      </c>
      <c r="M2264">
        <v>0.80969999999999998</v>
      </c>
      <c r="N2264">
        <v>0.79200000000000004</v>
      </c>
      <c r="O2264">
        <v>0.77449999999999997</v>
      </c>
      <c r="P2264">
        <v>0.75729999999999997</v>
      </c>
      <c r="Q2264">
        <v>0.74060000000000004</v>
      </c>
      <c r="R2264">
        <v>0.72440000000000004</v>
      </c>
      <c r="S2264">
        <v>0.70840000000000003</v>
      </c>
      <c r="T2264">
        <v>0.69289999999999996</v>
      </c>
      <c r="U2264">
        <v>0.67759999999999998</v>
      </c>
      <c r="V2264">
        <v>0.66269999999999996</v>
      </c>
      <c r="W2264">
        <v>0.64810000000000001</v>
      </c>
      <c r="X2264">
        <v>0.63380000000000003</v>
      </c>
      <c r="Y2264">
        <v>0.62</v>
      </c>
    </row>
    <row r="2265" spans="1:25" hidden="1">
      <c r="A2265" t="s">
        <v>18811</v>
      </c>
      <c r="B2265" t="s">
        <v>685</v>
      </c>
      <c r="C2265" t="s">
        <v>664</v>
      </c>
      <c r="D2265" t="s">
        <v>621</v>
      </c>
      <c r="E2265" t="s">
        <v>603</v>
      </c>
      <c r="F2265" t="s">
        <v>598</v>
      </c>
      <c r="G2265" t="s">
        <v>478</v>
      </c>
      <c r="H2265" t="s">
        <v>600</v>
      </c>
      <c r="I2265" t="s">
        <v>601</v>
      </c>
      <c r="J2265">
        <v>1E-4</v>
      </c>
      <c r="K2265">
        <v>1E-4</v>
      </c>
      <c r="L2265">
        <v>1E-4</v>
      </c>
      <c r="M2265">
        <v>1E-4</v>
      </c>
      <c r="N2265">
        <v>1E-4</v>
      </c>
      <c r="O2265">
        <v>1E-4</v>
      </c>
      <c r="P2265">
        <v>1E-4</v>
      </c>
      <c r="Q2265">
        <v>1E-4</v>
      </c>
      <c r="R2265">
        <v>1E-4</v>
      </c>
      <c r="S2265">
        <v>1E-4</v>
      </c>
      <c r="T2265">
        <v>1E-4</v>
      </c>
      <c r="U2265">
        <v>1E-4</v>
      </c>
      <c r="V2265">
        <v>1E-4</v>
      </c>
      <c r="W2265">
        <v>1E-4</v>
      </c>
      <c r="X2265">
        <v>1E-4</v>
      </c>
      <c r="Y2265">
        <v>1E-4</v>
      </c>
    </row>
    <row r="2266" spans="1:25" hidden="1">
      <c r="A2266" t="s">
        <v>18811</v>
      </c>
      <c r="B2266" t="s">
        <v>686</v>
      </c>
      <c r="C2266" t="s">
        <v>664</v>
      </c>
      <c r="D2266" t="s">
        <v>621</v>
      </c>
      <c r="E2266" t="s">
        <v>605</v>
      </c>
      <c r="F2266" t="s">
        <v>598</v>
      </c>
      <c r="G2266" t="s">
        <v>478</v>
      </c>
      <c r="H2266" t="s">
        <v>600</v>
      </c>
      <c r="I2266" t="s">
        <v>601</v>
      </c>
      <c r="J2266">
        <v>6.4000000000000003E-3</v>
      </c>
      <c r="K2266">
        <v>6.1999999999999998E-3</v>
      </c>
      <c r="L2266">
        <v>6.1000000000000004E-3</v>
      </c>
      <c r="M2266">
        <v>6.0000000000000001E-3</v>
      </c>
      <c r="N2266">
        <v>5.7999999999999996E-3</v>
      </c>
      <c r="O2266">
        <v>5.7000000000000002E-3</v>
      </c>
      <c r="P2266">
        <v>5.5999999999999999E-3</v>
      </c>
      <c r="Q2266">
        <v>5.4999999999999997E-3</v>
      </c>
      <c r="R2266">
        <v>5.3E-3</v>
      </c>
      <c r="S2266">
        <v>5.1999999999999998E-3</v>
      </c>
      <c r="T2266">
        <v>5.1000000000000004E-3</v>
      </c>
      <c r="U2266">
        <v>5.0000000000000001E-3</v>
      </c>
      <c r="V2266">
        <v>4.8999999999999998E-3</v>
      </c>
      <c r="W2266">
        <v>4.7999999999999996E-3</v>
      </c>
      <c r="X2266">
        <v>4.7000000000000002E-3</v>
      </c>
      <c r="Y2266">
        <v>4.5999999999999999E-3</v>
      </c>
    </row>
    <row r="2267" spans="1:25" hidden="1">
      <c r="A2267" t="s">
        <v>18811</v>
      </c>
      <c r="B2267" t="s">
        <v>689</v>
      </c>
      <c r="C2267" t="s">
        <v>664</v>
      </c>
      <c r="D2267" t="s">
        <v>621</v>
      </c>
      <c r="E2267" t="s">
        <v>626</v>
      </c>
      <c r="F2267" t="s">
        <v>598</v>
      </c>
      <c r="G2267" t="s">
        <v>478</v>
      </c>
      <c r="H2267" t="s">
        <v>600</v>
      </c>
      <c r="I2267" t="s">
        <v>601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hidden="1">
      <c r="A2268" t="s">
        <v>18811</v>
      </c>
      <c r="B2268" t="s">
        <v>690</v>
      </c>
      <c r="C2268" t="s">
        <v>664</v>
      </c>
      <c r="D2268" t="s">
        <v>621</v>
      </c>
      <c r="E2268" t="s">
        <v>628</v>
      </c>
      <c r="F2268" t="s">
        <v>598</v>
      </c>
      <c r="G2268" t="s">
        <v>478</v>
      </c>
      <c r="H2268" t="s">
        <v>600</v>
      </c>
      <c r="I2268" t="s">
        <v>601</v>
      </c>
      <c r="J2268">
        <v>5.4000000000000003E-3</v>
      </c>
      <c r="K2268">
        <v>5.3E-3</v>
      </c>
      <c r="L2268">
        <v>5.1999999999999998E-3</v>
      </c>
      <c r="M2268">
        <v>5.1000000000000004E-3</v>
      </c>
      <c r="N2268">
        <v>4.8999999999999998E-3</v>
      </c>
      <c r="O2268">
        <v>4.7999999999999996E-3</v>
      </c>
      <c r="P2268">
        <v>4.7000000000000002E-3</v>
      </c>
      <c r="Q2268">
        <v>4.7000000000000002E-3</v>
      </c>
      <c r="R2268">
        <v>4.4999999999999997E-3</v>
      </c>
      <c r="S2268">
        <v>4.4999999999999997E-3</v>
      </c>
      <c r="T2268">
        <v>4.4000000000000003E-3</v>
      </c>
      <c r="U2268">
        <v>4.3E-3</v>
      </c>
      <c r="V2268">
        <v>4.1000000000000003E-3</v>
      </c>
      <c r="W2268">
        <v>4.1000000000000003E-3</v>
      </c>
      <c r="X2268">
        <v>3.8999999999999998E-3</v>
      </c>
      <c r="Y2268">
        <v>3.8999999999999998E-3</v>
      </c>
    </row>
    <row r="2269" spans="1:25" hidden="1">
      <c r="A2269" t="s">
        <v>18811</v>
      </c>
      <c r="B2269" t="s">
        <v>693</v>
      </c>
      <c r="C2269" t="s">
        <v>664</v>
      </c>
      <c r="D2269" t="s">
        <v>621</v>
      </c>
      <c r="E2269" t="s">
        <v>678</v>
      </c>
      <c r="F2269" t="s">
        <v>598</v>
      </c>
      <c r="G2269" t="s">
        <v>478</v>
      </c>
      <c r="H2269" t="s">
        <v>600</v>
      </c>
      <c r="I2269" t="s">
        <v>601</v>
      </c>
      <c r="J2269">
        <v>0.3982</v>
      </c>
      <c r="K2269">
        <v>0.38940000000000002</v>
      </c>
      <c r="L2269">
        <v>0.38090000000000002</v>
      </c>
      <c r="M2269">
        <v>0.37240000000000001</v>
      </c>
      <c r="N2269">
        <v>0.36430000000000001</v>
      </c>
      <c r="O2269">
        <v>0.35620000000000002</v>
      </c>
      <c r="P2269">
        <v>0.34839999999999999</v>
      </c>
      <c r="Q2269">
        <v>0.34079999999999999</v>
      </c>
      <c r="R2269">
        <v>0.33329999999999999</v>
      </c>
      <c r="S2269">
        <v>0.32600000000000001</v>
      </c>
      <c r="T2269">
        <v>0.31879999999999997</v>
      </c>
      <c r="U2269">
        <v>0.31180000000000002</v>
      </c>
      <c r="V2269">
        <v>0.30480000000000002</v>
      </c>
      <c r="W2269">
        <v>0.29820000000000002</v>
      </c>
      <c r="X2269">
        <v>0.29160000000000003</v>
      </c>
      <c r="Y2269">
        <v>0.28520000000000001</v>
      </c>
    </row>
    <row r="2270" spans="1:25" hidden="1">
      <c r="A2270" t="s">
        <v>18811</v>
      </c>
      <c r="B2270" t="s">
        <v>694</v>
      </c>
      <c r="C2270" t="s">
        <v>664</v>
      </c>
      <c r="D2270" t="s">
        <v>695</v>
      </c>
      <c r="E2270" t="s">
        <v>678</v>
      </c>
      <c r="F2270" t="s">
        <v>598</v>
      </c>
      <c r="G2270" t="s">
        <v>478</v>
      </c>
      <c r="H2270" t="s">
        <v>600</v>
      </c>
      <c r="I2270" t="s">
        <v>601</v>
      </c>
      <c r="J2270">
        <v>8.0999999999999996E-3</v>
      </c>
      <c r="K2270">
        <v>7.9000000000000008E-3</v>
      </c>
      <c r="L2270">
        <v>7.7999999999999996E-3</v>
      </c>
      <c r="M2270">
        <v>7.4999999999999997E-3</v>
      </c>
      <c r="N2270">
        <v>7.4000000000000003E-3</v>
      </c>
      <c r="O2270">
        <v>7.1999999999999998E-3</v>
      </c>
      <c r="P2270">
        <v>7.1000000000000004E-3</v>
      </c>
      <c r="Q2270">
        <v>6.8999999999999999E-3</v>
      </c>
      <c r="R2270">
        <v>6.7999999999999996E-3</v>
      </c>
      <c r="S2270">
        <v>6.6E-3</v>
      </c>
      <c r="T2270">
        <v>6.4999999999999997E-3</v>
      </c>
      <c r="U2270">
        <v>6.3E-3</v>
      </c>
      <c r="V2270">
        <v>6.1999999999999998E-3</v>
      </c>
      <c r="W2270">
        <v>6.0000000000000001E-3</v>
      </c>
      <c r="X2270">
        <v>5.8999999999999999E-3</v>
      </c>
      <c r="Y2270">
        <v>5.7999999999999996E-3</v>
      </c>
    </row>
    <row r="2271" spans="1:25" hidden="1">
      <c r="A2271" t="s">
        <v>18811</v>
      </c>
      <c r="B2271" t="s">
        <v>700</v>
      </c>
      <c r="C2271" t="s">
        <v>664</v>
      </c>
      <c r="D2271" t="s">
        <v>701</v>
      </c>
      <c r="E2271" t="s">
        <v>672</v>
      </c>
      <c r="F2271" t="s">
        <v>598</v>
      </c>
      <c r="G2271" t="s">
        <v>478</v>
      </c>
      <c r="H2271" t="s">
        <v>600</v>
      </c>
      <c r="I2271" t="s">
        <v>601</v>
      </c>
      <c r="J2271">
        <v>3.2000000000000002E-3</v>
      </c>
      <c r="K2271">
        <v>3.0999999999999999E-3</v>
      </c>
      <c r="L2271">
        <v>3.0999999999999999E-3</v>
      </c>
      <c r="M2271">
        <v>3.0000000000000001E-3</v>
      </c>
      <c r="N2271">
        <v>3.0000000000000001E-3</v>
      </c>
      <c r="O2271">
        <v>2.8E-3</v>
      </c>
      <c r="P2271">
        <v>2.8E-3</v>
      </c>
      <c r="Q2271">
        <v>2.8E-3</v>
      </c>
      <c r="R2271">
        <v>2.7000000000000001E-3</v>
      </c>
      <c r="S2271">
        <v>2.7000000000000001E-3</v>
      </c>
      <c r="T2271">
        <v>2.5000000000000001E-3</v>
      </c>
      <c r="U2271">
        <v>2.5000000000000001E-3</v>
      </c>
      <c r="V2271">
        <v>2.3999999999999998E-3</v>
      </c>
      <c r="W2271">
        <v>2.3E-3</v>
      </c>
      <c r="X2271">
        <v>2.3E-3</v>
      </c>
      <c r="Y2271">
        <v>2.3E-3</v>
      </c>
    </row>
    <row r="2272" spans="1:25" hidden="1">
      <c r="A2272" t="s">
        <v>18811</v>
      </c>
      <c r="B2272" t="s">
        <v>702</v>
      </c>
      <c r="C2272" t="s">
        <v>664</v>
      </c>
      <c r="D2272" t="s">
        <v>701</v>
      </c>
      <c r="E2272" t="s">
        <v>597</v>
      </c>
      <c r="F2272" t="s">
        <v>598</v>
      </c>
      <c r="G2272" t="s">
        <v>478</v>
      </c>
      <c r="H2272" t="s">
        <v>600</v>
      </c>
      <c r="I2272" t="s">
        <v>601</v>
      </c>
      <c r="J2272">
        <v>1.6000000000000001E-3</v>
      </c>
      <c r="K2272">
        <v>1.6000000000000001E-3</v>
      </c>
      <c r="L2272">
        <v>1.5E-3</v>
      </c>
      <c r="M2272">
        <v>1.5E-3</v>
      </c>
      <c r="N2272">
        <v>1.5E-3</v>
      </c>
      <c r="O2272">
        <v>1.5E-3</v>
      </c>
      <c r="P2272">
        <v>1.5E-3</v>
      </c>
      <c r="Q2272">
        <v>1.4E-3</v>
      </c>
      <c r="R2272">
        <v>1.2999999999999999E-3</v>
      </c>
      <c r="S2272">
        <v>1.2999999999999999E-3</v>
      </c>
      <c r="T2272">
        <v>1.2999999999999999E-3</v>
      </c>
      <c r="U2272">
        <v>1.2999999999999999E-3</v>
      </c>
      <c r="V2272">
        <v>1.1999999999999999E-3</v>
      </c>
      <c r="W2272">
        <v>1.1999999999999999E-3</v>
      </c>
      <c r="X2272">
        <v>1.1999999999999999E-3</v>
      </c>
      <c r="Y2272">
        <v>1.1999999999999999E-3</v>
      </c>
    </row>
    <row r="2273" spans="1:25" hidden="1">
      <c r="A2273" t="s">
        <v>18811</v>
      </c>
      <c r="B2273" t="s">
        <v>703</v>
      </c>
      <c r="C2273" t="s">
        <v>664</v>
      </c>
      <c r="D2273" t="s">
        <v>704</v>
      </c>
      <c r="E2273" t="s">
        <v>672</v>
      </c>
      <c r="F2273" t="s">
        <v>598</v>
      </c>
      <c r="G2273" t="s">
        <v>478</v>
      </c>
      <c r="H2273" t="s">
        <v>600</v>
      </c>
      <c r="I2273" t="s">
        <v>601</v>
      </c>
      <c r="J2273">
        <v>2.52E-2</v>
      </c>
      <c r="K2273">
        <v>2.46E-2</v>
      </c>
      <c r="L2273">
        <v>2.4199999999999999E-2</v>
      </c>
      <c r="M2273">
        <v>2.3599999999999999E-2</v>
      </c>
      <c r="N2273">
        <v>2.3099999999999999E-2</v>
      </c>
      <c r="O2273">
        <v>2.2599999999999999E-2</v>
      </c>
      <c r="P2273">
        <v>2.2200000000000001E-2</v>
      </c>
      <c r="Q2273">
        <v>2.1600000000000001E-2</v>
      </c>
      <c r="R2273">
        <v>2.1100000000000001E-2</v>
      </c>
      <c r="S2273">
        <v>2.07E-2</v>
      </c>
      <c r="T2273">
        <v>2.0299999999999999E-2</v>
      </c>
      <c r="U2273">
        <v>1.9800000000000002E-2</v>
      </c>
      <c r="V2273">
        <v>1.9400000000000001E-2</v>
      </c>
      <c r="W2273">
        <v>1.9E-2</v>
      </c>
      <c r="X2273">
        <v>1.8599999999999998E-2</v>
      </c>
      <c r="Y2273">
        <v>1.8100000000000002E-2</v>
      </c>
    </row>
    <row r="2274" spans="1:25" hidden="1">
      <c r="A2274" t="s">
        <v>18811</v>
      </c>
      <c r="B2274" t="s">
        <v>705</v>
      </c>
      <c r="C2274" t="s">
        <v>664</v>
      </c>
      <c r="D2274" t="s">
        <v>704</v>
      </c>
      <c r="E2274" t="s">
        <v>597</v>
      </c>
      <c r="F2274" t="s">
        <v>598</v>
      </c>
      <c r="G2274" t="s">
        <v>478</v>
      </c>
      <c r="H2274" t="s">
        <v>600</v>
      </c>
      <c r="I2274" t="s">
        <v>601</v>
      </c>
      <c r="J2274">
        <v>7.1000000000000004E-3</v>
      </c>
      <c r="K2274">
        <v>7.0000000000000001E-3</v>
      </c>
      <c r="L2274">
        <v>6.8999999999999999E-3</v>
      </c>
      <c r="M2274">
        <v>6.7000000000000002E-3</v>
      </c>
      <c r="N2274">
        <v>6.6E-3</v>
      </c>
      <c r="O2274">
        <v>6.4000000000000003E-3</v>
      </c>
      <c r="P2274">
        <v>6.3E-3</v>
      </c>
      <c r="Q2274">
        <v>6.1999999999999998E-3</v>
      </c>
      <c r="R2274">
        <v>5.8999999999999999E-3</v>
      </c>
      <c r="S2274">
        <v>5.7999999999999996E-3</v>
      </c>
      <c r="T2274">
        <v>5.7000000000000002E-3</v>
      </c>
      <c r="U2274">
        <v>5.5999999999999999E-3</v>
      </c>
      <c r="V2274">
        <v>5.4999999999999997E-3</v>
      </c>
      <c r="W2274">
        <v>5.4000000000000003E-3</v>
      </c>
      <c r="X2274">
        <v>5.1000000000000004E-3</v>
      </c>
      <c r="Y2274">
        <v>5.0000000000000001E-3</v>
      </c>
    </row>
    <row r="2275" spans="1:25" hidden="1">
      <c r="A2275" t="s">
        <v>18811</v>
      </c>
      <c r="B2275" t="s">
        <v>707</v>
      </c>
      <c r="C2275" t="s">
        <v>664</v>
      </c>
      <c r="D2275" t="s">
        <v>648</v>
      </c>
      <c r="E2275" t="s">
        <v>672</v>
      </c>
      <c r="F2275" t="s">
        <v>598</v>
      </c>
      <c r="G2275" t="s">
        <v>478</v>
      </c>
      <c r="H2275" t="s">
        <v>600</v>
      </c>
      <c r="I2275" t="s">
        <v>601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hidden="1">
      <c r="A2276" t="s">
        <v>18811</v>
      </c>
      <c r="B2276" t="s">
        <v>708</v>
      </c>
      <c r="C2276" t="s">
        <v>664</v>
      </c>
      <c r="D2276" t="s">
        <v>648</v>
      </c>
      <c r="E2276" t="s">
        <v>597</v>
      </c>
      <c r="F2276" t="s">
        <v>598</v>
      </c>
      <c r="G2276" t="s">
        <v>478</v>
      </c>
      <c r="H2276" t="s">
        <v>600</v>
      </c>
      <c r="I2276" t="s">
        <v>601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25" hidden="1">
      <c r="A2277" t="s">
        <v>18811</v>
      </c>
      <c r="B2277" t="s">
        <v>709</v>
      </c>
      <c r="C2277" t="s">
        <v>710</v>
      </c>
      <c r="D2277" t="s">
        <v>596</v>
      </c>
      <c r="E2277" t="s">
        <v>597</v>
      </c>
      <c r="F2277" t="s">
        <v>598</v>
      </c>
      <c r="G2277" t="s">
        <v>478</v>
      </c>
      <c r="H2277" t="s">
        <v>600</v>
      </c>
      <c r="I2277" t="s">
        <v>601</v>
      </c>
      <c r="J2277">
        <v>1.7899999999999999E-2</v>
      </c>
      <c r="K2277">
        <v>1.7500000000000002E-2</v>
      </c>
      <c r="L2277">
        <v>1.72E-2</v>
      </c>
      <c r="M2277">
        <v>1.6899999999999998E-2</v>
      </c>
      <c r="N2277">
        <v>1.66E-2</v>
      </c>
      <c r="O2277">
        <v>1.6199999999999999E-2</v>
      </c>
      <c r="P2277">
        <v>1.5900000000000001E-2</v>
      </c>
      <c r="Q2277">
        <v>1.5599999999999999E-2</v>
      </c>
      <c r="R2277">
        <v>1.5299999999999999E-2</v>
      </c>
      <c r="S2277">
        <v>1.49E-2</v>
      </c>
      <c r="T2277">
        <v>1.46E-2</v>
      </c>
      <c r="U2277">
        <v>1.43E-2</v>
      </c>
      <c r="V2277">
        <v>1.4E-2</v>
      </c>
      <c r="W2277">
        <v>1.3599999999999999E-2</v>
      </c>
      <c r="X2277">
        <v>1.3299999999999999E-2</v>
      </c>
      <c r="Y2277">
        <v>1.2999999999999999E-2</v>
      </c>
    </row>
    <row r="2278" spans="1:25" hidden="1">
      <c r="A2278" t="s">
        <v>18811</v>
      </c>
      <c r="B2278" t="s">
        <v>714</v>
      </c>
      <c r="C2278" t="s">
        <v>710</v>
      </c>
      <c r="D2278" t="s">
        <v>671</v>
      </c>
      <c r="E2278" t="s">
        <v>672</v>
      </c>
      <c r="F2278" t="s">
        <v>598</v>
      </c>
      <c r="G2278" t="s">
        <v>478</v>
      </c>
      <c r="H2278" t="s">
        <v>600</v>
      </c>
      <c r="I2278" t="s">
        <v>601</v>
      </c>
      <c r="J2278">
        <v>1.6999999999999999E-3</v>
      </c>
      <c r="K2278">
        <v>1.6999999999999999E-3</v>
      </c>
      <c r="L2278">
        <v>1.6999999999999999E-3</v>
      </c>
      <c r="M2278">
        <v>1.6000000000000001E-3</v>
      </c>
      <c r="N2278">
        <v>1.6000000000000001E-3</v>
      </c>
      <c r="O2278">
        <v>1.6000000000000001E-3</v>
      </c>
      <c r="P2278">
        <v>1.6000000000000001E-3</v>
      </c>
      <c r="Q2278">
        <v>1.5E-3</v>
      </c>
      <c r="R2278">
        <v>1.5E-3</v>
      </c>
      <c r="S2278">
        <v>1.5E-3</v>
      </c>
      <c r="T2278">
        <v>1.4E-3</v>
      </c>
      <c r="U2278">
        <v>1.4E-3</v>
      </c>
      <c r="V2278">
        <v>1.4E-3</v>
      </c>
      <c r="W2278">
        <v>1.2999999999999999E-3</v>
      </c>
      <c r="X2278">
        <v>1.2999999999999999E-3</v>
      </c>
      <c r="Y2278">
        <v>1.2999999999999999E-3</v>
      </c>
    </row>
    <row r="2279" spans="1:25" hidden="1">
      <c r="A2279" t="s">
        <v>18811</v>
      </c>
      <c r="B2279" t="s">
        <v>715</v>
      </c>
      <c r="C2279" t="s">
        <v>710</v>
      </c>
      <c r="D2279" t="s">
        <v>671</v>
      </c>
      <c r="E2279" t="s">
        <v>597</v>
      </c>
      <c r="F2279" t="s">
        <v>598</v>
      </c>
      <c r="G2279" t="s">
        <v>478</v>
      </c>
      <c r="H2279" t="s">
        <v>600</v>
      </c>
      <c r="I2279" t="s">
        <v>601</v>
      </c>
      <c r="J2279">
        <v>5.1999999999999998E-2</v>
      </c>
      <c r="K2279">
        <v>5.0999999999999997E-2</v>
      </c>
      <c r="L2279">
        <v>5.0099999999999999E-2</v>
      </c>
      <c r="M2279">
        <v>4.9099999999999998E-2</v>
      </c>
      <c r="N2279">
        <v>4.82E-2</v>
      </c>
      <c r="O2279">
        <v>4.7199999999999999E-2</v>
      </c>
      <c r="P2279">
        <v>4.6300000000000001E-2</v>
      </c>
      <c r="Q2279">
        <v>4.53E-2</v>
      </c>
      <c r="R2279">
        <v>4.4400000000000002E-2</v>
      </c>
      <c r="S2279">
        <v>4.3400000000000001E-2</v>
      </c>
      <c r="T2279">
        <v>4.2500000000000003E-2</v>
      </c>
      <c r="U2279">
        <v>4.1500000000000002E-2</v>
      </c>
      <c r="V2279">
        <v>4.0599999999999997E-2</v>
      </c>
      <c r="W2279">
        <v>3.9600000000000003E-2</v>
      </c>
      <c r="X2279">
        <v>3.8699999999999998E-2</v>
      </c>
      <c r="Y2279">
        <v>3.7699999999999997E-2</v>
      </c>
    </row>
    <row r="2280" spans="1:25" hidden="1">
      <c r="A2280" t="s">
        <v>18811</v>
      </c>
      <c r="B2280" t="s">
        <v>716</v>
      </c>
      <c r="C2280" t="s">
        <v>710</v>
      </c>
      <c r="D2280" t="s">
        <v>671</v>
      </c>
      <c r="E2280" t="s">
        <v>605</v>
      </c>
      <c r="F2280" t="s">
        <v>598</v>
      </c>
      <c r="G2280" t="s">
        <v>478</v>
      </c>
      <c r="H2280" t="s">
        <v>600</v>
      </c>
      <c r="I2280" t="s">
        <v>601</v>
      </c>
      <c r="J2280">
        <v>3.9100000000000003E-2</v>
      </c>
      <c r="K2280">
        <v>3.8300000000000001E-2</v>
      </c>
      <c r="L2280">
        <v>3.7600000000000001E-2</v>
      </c>
      <c r="M2280">
        <v>3.6900000000000002E-2</v>
      </c>
      <c r="N2280">
        <v>3.6200000000000003E-2</v>
      </c>
      <c r="O2280">
        <v>3.5499999999999997E-2</v>
      </c>
      <c r="P2280">
        <v>3.4799999999999998E-2</v>
      </c>
      <c r="Q2280">
        <v>3.4000000000000002E-2</v>
      </c>
      <c r="R2280">
        <v>3.3300000000000003E-2</v>
      </c>
      <c r="S2280">
        <v>3.2599999999999997E-2</v>
      </c>
      <c r="T2280">
        <v>3.1899999999999998E-2</v>
      </c>
      <c r="U2280">
        <v>3.1199999999999999E-2</v>
      </c>
      <c r="V2280">
        <v>3.0499999999999999E-2</v>
      </c>
      <c r="W2280">
        <v>2.9700000000000001E-2</v>
      </c>
      <c r="X2280">
        <v>2.9100000000000001E-2</v>
      </c>
      <c r="Y2280">
        <v>2.8299999999999999E-2</v>
      </c>
    </row>
    <row r="2281" spans="1:25" hidden="1">
      <c r="A2281" t="s">
        <v>18811</v>
      </c>
      <c r="B2281" t="s">
        <v>718</v>
      </c>
      <c r="C2281" t="s">
        <v>710</v>
      </c>
      <c r="D2281" t="s">
        <v>621</v>
      </c>
      <c r="E2281" t="s">
        <v>597</v>
      </c>
      <c r="F2281" t="s">
        <v>598</v>
      </c>
      <c r="G2281" t="s">
        <v>478</v>
      </c>
      <c r="H2281" t="s">
        <v>600</v>
      </c>
      <c r="I2281" t="s">
        <v>601</v>
      </c>
      <c r="J2281">
        <v>2.3999999999999998E-3</v>
      </c>
      <c r="K2281">
        <v>2.3999999999999998E-3</v>
      </c>
      <c r="L2281">
        <v>2.3999999999999998E-3</v>
      </c>
      <c r="M2281">
        <v>2.3999999999999998E-3</v>
      </c>
      <c r="N2281">
        <v>2.3999999999999998E-3</v>
      </c>
      <c r="O2281">
        <v>2.3999999999999998E-3</v>
      </c>
      <c r="P2281">
        <v>2.3999999999999998E-3</v>
      </c>
      <c r="Q2281">
        <v>2.3999999999999998E-3</v>
      </c>
      <c r="R2281">
        <v>2.3999999999999998E-3</v>
      </c>
      <c r="S2281">
        <v>2.3999999999999998E-3</v>
      </c>
      <c r="T2281">
        <v>2.3999999999999998E-3</v>
      </c>
      <c r="U2281">
        <v>2.3999999999999998E-3</v>
      </c>
      <c r="V2281">
        <v>2.3999999999999998E-3</v>
      </c>
      <c r="W2281">
        <v>2.3999999999999998E-3</v>
      </c>
      <c r="X2281">
        <v>2.3999999999999998E-3</v>
      </c>
      <c r="Y2281">
        <v>2.3999999999999998E-3</v>
      </c>
    </row>
    <row r="2282" spans="1:25" hidden="1">
      <c r="A2282" t="s">
        <v>18811</v>
      </c>
      <c r="B2282" t="s">
        <v>722</v>
      </c>
      <c r="C2282" t="s">
        <v>710</v>
      </c>
      <c r="D2282" t="s">
        <v>632</v>
      </c>
      <c r="E2282" t="s">
        <v>723</v>
      </c>
      <c r="F2282" t="s">
        <v>598</v>
      </c>
      <c r="G2282" t="s">
        <v>478</v>
      </c>
      <c r="H2282" t="s">
        <v>600</v>
      </c>
      <c r="I2282" t="s">
        <v>601</v>
      </c>
      <c r="J2282">
        <v>6.0900000000000003E-2</v>
      </c>
      <c r="K2282">
        <v>6.0900000000000003E-2</v>
      </c>
      <c r="L2282">
        <v>6.0900000000000003E-2</v>
      </c>
      <c r="M2282">
        <v>6.0900000000000003E-2</v>
      </c>
      <c r="N2282">
        <v>6.0900000000000003E-2</v>
      </c>
      <c r="O2282">
        <v>6.0900000000000003E-2</v>
      </c>
      <c r="P2282">
        <v>6.0900000000000003E-2</v>
      </c>
      <c r="Q2282">
        <v>6.0900000000000003E-2</v>
      </c>
      <c r="R2282">
        <v>6.0900000000000003E-2</v>
      </c>
      <c r="S2282">
        <v>6.0900000000000003E-2</v>
      </c>
      <c r="T2282">
        <v>6.0900000000000003E-2</v>
      </c>
      <c r="U2282">
        <v>6.0900000000000003E-2</v>
      </c>
      <c r="V2282">
        <v>6.0900000000000003E-2</v>
      </c>
      <c r="W2282">
        <v>6.0900000000000003E-2</v>
      </c>
      <c r="X2282">
        <v>6.0900000000000003E-2</v>
      </c>
      <c r="Y2282">
        <v>6.0900000000000003E-2</v>
      </c>
    </row>
    <row r="2283" spans="1:25" hidden="1">
      <c r="A2283" t="s">
        <v>18811</v>
      </c>
      <c r="B2283" t="s">
        <v>728</v>
      </c>
      <c r="C2283" t="s">
        <v>729</v>
      </c>
      <c r="D2283" t="s">
        <v>596</v>
      </c>
      <c r="E2283" t="s">
        <v>597</v>
      </c>
      <c r="F2283" t="s">
        <v>598</v>
      </c>
      <c r="G2283" t="s">
        <v>478</v>
      </c>
      <c r="H2283" t="s">
        <v>600</v>
      </c>
      <c r="I2283" t="s">
        <v>601</v>
      </c>
      <c r="J2283">
        <v>6.4000000000000001E-2</v>
      </c>
      <c r="K2283">
        <v>6.2199999999999998E-2</v>
      </c>
      <c r="L2283">
        <v>6.0400000000000002E-2</v>
      </c>
      <c r="M2283">
        <v>6.0100000000000001E-2</v>
      </c>
      <c r="N2283">
        <v>5.8999999999999997E-2</v>
      </c>
      <c r="O2283">
        <v>5.8000000000000003E-2</v>
      </c>
      <c r="P2283">
        <v>5.7500000000000002E-2</v>
      </c>
      <c r="Q2283">
        <v>5.6300000000000003E-2</v>
      </c>
      <c r="R2283">
        <v>5.4300000000000001E-2</v>
      </c>
      <c r="S2283">
        <v>5.2999999999999999E-2</v>
      </c>
      <c r="T2283">
        <v>5.2200000000000003E-2</v>
      </c>
      <c r="U2283">
        <v>5.1200000000000002E-2</v>
      </c>
      <c r="V2283">
        <v>5.0900000000000001E-2</v>
      </c>
      <c r="W2283">
        <v>5.04E-2</v>
      </c>
      <c r="X2283">
        <v>4.9200000000000001E-2</v>
      </c>
      <c r="Y2283">
        <v>4.8300000000000003E-2</v>
      </c>
    </row>
    <row r="2284" spans="1:25" hidden="1">
      <c r="A2284" t="s">
        <v>18811</v>
      </c>
      <c r="B2284" t="s">
        <v>730</v>
      </c>
      <c r="C2284" t="s">
        <v>729</v>
      </c>
      <c r="D2284" t="s">
        <v>596</v>
      </c>
      <c r="E2284" t="s">
        <v>731</v>
      </c>
      <c r="F2284" t="s">
        <v>598</v>
      </c>
      <c r="G2284" t="s">
        <v>478</v>
      </c>
      <c r="H2284" t="s">
        <v>600</v>
      </c>
      <c r="I2284" t="s">
        <v>601</v>
      </c>
      <c r="J2284">
        <v>2.2000000000000001E-3</v>
      </c>
      <c r="K2284">
        <v>2.0999999999999999E-3</v>
      </c>
      <c r="L2284">
        <v>2E-3</v>
      </c>
      <c r="M2284">
        <v>1.9E-3</v>
      </c>
      <c r="N2284">
        <v>1.9E-3</v>
      </c>
      <c r="O2284">
        <v>1.9E-3</v>
      </c>
      <c r="P2284">
        <v>1.8E-3</v>
      </c>
      <c r="Q2284">
        <v>1.8E-3</v>
      </c>
      <c r="R2284">
        <v>1.8E-3</v>
      </c>
      <c r="S2284">
        <v>1.6999999999999999E-3</v>
      </c>
      <c r="T2284">
        <v>1.6999999999999999E-3</v>
      </c>
      <c r="U2284">
        <v>1.6000000000000001E-3</v>
      </c>
      <c r="V2284">
        <v>1.6000000000000001E-3</v>
      </c>
      <c r="W2284">
        <v>1.6000000000000001E-3</v>
      </c>
      <c r="X2284">
        <v>1.5E-3</v>
      </c>
      <c r="Y2284">
        <v>1.5E-3</v>
      </c>
    </row>
    <row r="2285" spans="1:25" hidden="1">
      <c r="A2285" t="s">
        <v>18811</v>
      </c>
      <c r="B2285" t="s">
        <v>732</v>
      </c>
      <c r="C2285" t="s">
        <v>729</v>
      </c>
      <c r="D2285" t="s">
        <v>596</v>
      </c>
      <c r="E2285" t="s">
        <v>603</v>
      </c>
      <c r="F2285" t="s">
        <v>598</v>
      </c>
      <c r="G2285" t="s">
        <v>478</v>
      </c>
      <c r="H2285" t="s">
        <v>600</v>
      </c>
      <c r="I2285" t="s">
        <v>601</v>
      </c>
      <c r="J2285">
        <v>4.0000000000000002E-4</v>
      </c>
      <c r="K2285">
        <v>4.0000000000000002E-4</v>
      </c>
      <c r="L2285">
        <v>4.0000000000000002E-4</v>
      </c>
      <c r="M2285">
        <v>4.0000000000000002E-4</v>
      </c>
      <c r="N2285">
        <v>4.0000000000000002E-4</v>
      </c>
      <c r="O2285">
        <v>4.0000000000000002E-4</v>
      </c>
      <c r="P2285">
        <v>4.0000000000000002E-4</v>
      </c>
      <c r="Q2285">
        <v>4.0000000000000002E-4</v>
      </c>
      <c r="R2285">
        <v>4.0000000000000002E-4</v>
      </c>
      <c r="S2285">
        <v>2.9999999999999997E-4</v>
      </c>
      <c r="T2285">
        <v>2.9999999999999997E-4</v>
      </c>
      <c r="U2285">
        <v>2.9999999999999997E-4</v>
      </c>
      <c r="V2285">
        <v>2.9999999999999997E-4</v>
      </c>
      <c r="W2285">
        <v>2.9999999999999997E-4</v>
      </c>
      <c r="X2285">
        <v>2.9999999999999997E-4</v>
      </c>
      <c r="Y2285">
        <v>2.0000000000000001E-4</v>
      </c>
    </row>
    <row r="2286" spans="1:25" hidden="1">
      <c r="A2286" t="s">
        <v>18811</v>
      </c>
      <c r="B2286" t="s">
        <v>733</v>
      </c>
      <c r="C2286" t="s">
        <v>729</v>
      </c>
      <c r="D2286" t="s">
        <v>596</v>
      </c>
      <c r="E2286" t="s">
        <v>605</v>
      </c>
      <c r="F2286" t="s">
        <v>598</v>
      </c>
      <c r="G2286" t="s">
        <v>478</v>
      </c>
      <c r="H2286" t="s">
        <v>600</v>
      </c>
      <c r="I2286" t="s">
        <v>601</v>
      </c>
      <c r="J2286">
        <v>1.6999999999999999E-3</v>
      </c>
      <c r="K2286">
        <v>1.6999999999999999E-3</v>
      </c>
      <c r="L2286">
        <v>1.6000000000000001E-3</v>
      </c>
      <c r="M2286">
        <v>1.6000000000000001E-3</v>
      </c>
      <c r="N2286">
        <v>1.6000000000000001E-3</v>
      </c>
      <c r="O2286">
        <v>1.5E-3</v>
      </c>
      <c r="P2286">
        <v>1.5E-3</v>
      </c>
      <c r="Q2286">
        <v>1.5E-3</v>
      </c>
      <c r="R2286">
        <v>1.4E-3</v>
      </c>
      <c r="S2286">
        <v>1.4E-3</v>
      </c>
      <c r="T2286">
        <v>1.4E-3</v>
      </c>
      <c r="U2286">
        <v>1.2999999999999999E-3</v>
      </c>
      <c r="V2286">
        <v>1.2999999999999999E-3</v>
      </c>
      <c r="W2286">
        <v>1.2999999999999999E-3</v>
      </c>
      <c r="X2286">
        <v>1.2999999999999999E-3</v>
      </c>
      <c r="Y2286">
        <v>1.1999999999999999E-3</v>
      </c>
    </row>
    <row r="2287" spans="1:25" hidden="1">
      <c r="A2287" t="s">
        <v>18811</v>
      </c>
      <c r="B2287" t="s">
        <v>738</v>
      </c>
      <c r="C2287" t="s">
        <v>729</v>
      </c>
      <c r="D2287" t="s">
        <v>596</v>
      </c>
      <c r="E2287" t="s">
        <v>617</v>
      </c>
      <c r="F2287" t="s">
        <v>598</v>
      </c>
      <c r="G2287" t="s">
        <v>478</v>
      </c>
      <c r="H2287" t="s">
        <v>600</v>
      </c>
      <c r="I2287" t="s">
        <v>601</v>
      </c>
      <c r="J2287">
        <v>2.9999999999999997E-4</v>
      </c>
      <c r="K2287">
        <v>2.9999999999999997E-4</v>
      </c>
      <c r="L2287">
        <v>2.9999999999999997E-4</v>
      </c>
      <c r="M2287">
        <v>2.9999999999999997E-4</v>
      </c>
      <c r="N2287">
        <v>2.9999999999999997E-4</v>
      </c>
      <c r="O2287">
        <v>2.9999999999999997E-4</v>
      </c>
      <c r="P2287">
        <v>2.9999999999999997E-4</v>
      </c>
      <c r="Q2287">
        <v>2.9999999999999997E-4</v>
      </c>
      <c r="R2287">
        <v>2.9999999999999997E-4</v>
      </c>
      <c r="S2287">
        <v>2.9999999999999997E-4</v>
      </c>
      <c r="T2287">
        <v>2.9999999999999997E-4</v>
      </c>
      <c r="U2287">
        <v>2.9999999999999997E-4</v>
      </c>
      <c r="V2287">
        <v>2.9999999999999997E-4</v>
      </c>
      <c r="W2287">
        <v>2.9999999999999997E-4</v>
      </c>
      <c r="X2287">
        <v>2.9999999999999997E-4</v>
      </c>
      <c r="Y2287">
        <v>2.9999999999999997E-4</v>
      </c>
    </row>
    <row r="2288" spans="1:25" hidden="1">
      <c r="A2288" t="s">
        <v>18811</v>
      </c>
      <c r="B2288" t="s">
        <v>740</v>
      </c>
      <c r="C2288" t="s">
        <v>729</v>
      </c>
      <c r="D2288" t="s">
        <v>596</v>
      </c>
      <c r="E2288" t="s">
        <v>619</v>
      </c>
      <c r="F2288" t="s">
        <v>598</v>
      </c>
      <c r="G2288" t="s">
        <v>478</v>
      </c>
      <c r="H2288" t="s">
        <v>600</v>
      </c>
      <c r="I2288" t="s">
        <v>601</v>
      </c>
      <c r="J2288">
        <v>5.9999999999999995E-4</v>
      </c>
      <c r="K2288">
        <v>5.9999999999999995E-4</v>
      </c>
      <c r="L2288">
        <v>5.9999999999999995E-4</v>
      </c>
      <c r="M2288">
        <v>5.9999999999999995E-4</v>
      </c>
      <c r="N2288">
        <v>5.0000000000000001E-4</v>
      </c>
      <c r="O2288">
        <v>5.0000000000000001E-4</v>
      </c>
      <c r="P2288">
        <v>5.0000000000000001E-4</v>
      </c>
      <c r="Q2288">
        <v>5.0000000000000001E-4</v>
      </c>
      <c r="R2288">
        <v>5.0000000000000001E-4</v>
      </c>
      <c r="S2288">
        <v>5.0000000000000001E-4</v>
      </c>
      <c r="T2288">
        <v>5.0000000000000001E-4</v>
      </c>
      <c r="U2288">
        <v>5.0000000000000001E-4</v>
      </c>
      <c r="V2288">
        <v>5.0000000000000001E-4</v>
      </c>
      <c r="W2288">
        <v>4.0000000000000002E-4</v>
      </c>
      <c r="X2288">
        <v>4.0000000000000002E-4</v>
      </c>
      <c r="Y2288">
        <v>4.0000000000000002E-4</v>
      </c>
    </row>
    <row r="2289" spans="1:25" hidden="1">
      <c r="A2289" t="s">
        <v>18811</v>
      </c>
      <c r="B2289" t="s">
        <v>741</v>
      </c>
      <c r="C2289" t="s">
        <v>729</v>
      </c>
      <c r="D2289" t="s">
        <v>596</v>
      </c>
      <c r="E2289" t="s">
        <v>742</v>
      </c>
      <c r="F2289" t="s">
        <v>598</v>
      </c>
      <c r="G2289" t="s">
        <v>478</v>
      </c>
      <c r="H2289" t="s">
        <v>600</v>
      </c>
      <c r="I2289" t="s">
        <v>601</v>
      </c>
      <c r="J2289">
        <v>2.0000000000000001E-4</v>
      </c>
      <c r="K2289">
        <v>2.0000000000000001E-4</v>
      </c>
      <c r="L2289">
        <v>2.0000000000000001E-4</v>
      </c>
      <c r="M2289">
        <v>1E-4</v>
      </c>
      <c r="N2289">
        <v>1E-4</v>
      </c>
      <c r="O2289">
        <v>1E-4</v>
      </c>
      <c r="P2289">
        <v>1E-4</v>
      </c>
      <c r="Q2289">
        <v>1E-4</v>
      </c>
      <c r="R2289">
        <v>1E-4</v>
      </c>
      <c r="S2289">
        <v>1E-4</v>
      </c>
      <c r="T2289">
        <v>1E-4</v>
      </c>
      <c r="U2289">
        <v>1E-4</v>
      </c>
      <c r="V2289">
        <v>1E-4</v>
      </c>
      <c r="W2289">
        <v>1E-4</v>
      </c>
      <c r="X2289">
        <v>1E-4</v>
      </c>
      <c r="Y2289">
        <v>1E-4</v>
      </c>
    </row>
    <row r="2290" spans="1:25" hidden="1">
      <c r="A2290" t="s">
        <v>18811</v>
      </c>
      <c r="B2290" t="s">
        <v>743</v>
      </c>
      <c r="C2290" t="s">
        <v>729</v>
      </c>
      <c r="D2290" t="s">
        <v>596</v>
      </c>
      <c r="E2290" t="s">
        <v>744</v>
      </c>
      <c r="F2290" t="s">
        <v>598</v>
      </c>
      <c r="G2290" t="s">
        <v>478</v>
      </c>
      <c r="H2290" t="s">
        <v>600</v>
      </c>
      <c r="I2290" t="s">
        <v>601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hidden="1">
      <c r="A2291" t="s">
        <v>18811</v>
      </c>
      <c r="B2291" t="s">
        <v>745</v>
      </c>
      <c r="C2291" t="s">
        <v>729</v>
      </c>
      <c r="D2291" t="s">
        <v>671</v>
      </c>
      <c r="E2291" t="s">
        <v>597</v>
      </c>
      <c r="F2291" t="s">
        <v>598</v>
      </c>
      <c r="G2291" t="s">
        <v>478</v>
      </c>
      <c r="H2291" t="s">
        <v>600</v>
      </c>
      <c r="I2291" t="s">
        <v>601</v>
      </c>
      <c r="J2291">
        <v>6.0100000000000001E-2</v>
      </c>
      <c r="K2291">
        <v>5.79E-2</v>
      </c>
      <c r="L2291">
        <v>5.5899999999999998E-2</v>
      </c>
      <c r="M2291">
        <v>5.6399999999999999E-2</v>
      </c>
      <c r="N2291">
        <v>5.4600000000000003E-2</v>
      </c>
      <c r="O2291">
        <v>5.3400000000000003E-2</v>
      </c>
      <c r="P2291">
        <v>5.3499999999999999E-2</v>
      </c>
      <c r="Q2291">
        <v>5.1999999999999998E-2</v>
      </c>
      <c r="R2291">
        <v>5.11E-2</v>
      </c>
      <c r="S2291">
        <v>4.9700000000000001E-2</v>
      </c>
      <c r="T2291">
        <v>4.8800000000000003E-2</v>
      </c>
      <c r="U2291">
        <v>4.8099999999999997E-2</v>
      </c>
      <c r="V2291">
        <v>4.7399999999999998E-2</v>
      </c>
      <c r="W2291">
        <v>4.6899999999999997E-2</v>
      </c>
      <c r="X2291">
        <v>4.6199999999999998E-2</v>
      </c>
      <c r="Y2291">
        <v>4.5100000000000001E-2</v>
      </c>
    </row>
    <row r="2292" spans="1:25" hidden="1">
      <c r="A2292" t="s">
        <v>18811</v>
      </c>
      <c r="B2292" t="s">
        <v>746</v>
      </c>
      <c r="C2292" t="s">
        <v>729</v>
      </c>
      <c r="D2292" t="s">
        <v>671</v>
      </c>
      <c r="E2292" t="s">
        <v>642</v>
      </c>
      <c r="F2292" t="s">
        <v>598</v>
      </c>
      <c r="G2292" t="s">
        <v>478</v>
      </c>
      <c r="H2292" t="s">
        <v>600</v>
      </c>
      <c r="I2292" t="s">
        <v>601</v>
      </c>
      <c r="J2292">
        <v>0.02</v>
      </c>
      <c r="K2292">
        <v>1.9699999999999999E-2</v>
      </c>
      <c r="L2292">
        <v>1.9300000000000001E-2</v>
      </c>
      <c r="M2292">
        <v>1.89E-2</v>
      </c>
      <c r="N2292">
        <v>1.8700000000000001E-2</v>
      </c>
      <c r="O2292">
        <v>1.83E-2</v>
      </c>
      <c r="P2292">
        <v>1.78E-2</v>
      </c>
      <c r="Q2292">
        <v>1.7399999999999999E-2</v>
      </c>
      <c r="R2292">
        <v>1.7100000000000001E-2</v>
      </c>
      <c r="S2292">
        <v>1.67E-2</v>
      </c>
      <c r="T2292">
        <v>1.6400000000000001E-2</v>
      </c>
      <c r="U2292">
        <v>1.6E-2</v>
      </c>
      <c r="V2292">
        <v>1.5699999999999999E-2</v>
      </c>
      <c r="W2292">
        <v>1.5299999999999999E-2</v>
      </c>
      <c r="X2292">
        <v>1.49E-2</v>
      </c>
      <c r="Y2292">
        <v>1.46E-2</v>
      </c>
    </row>
    <row r="2293" spans="1:25" hidden="1">
      <c r="A2293" t="s">
        <v>18811</v>
      </c>
      <c r="B2293" t="s">
        <v>748</v>
      </c>
      <c r="C2293" t="s">
        <v>729</v>
      </c>
      <c r="D2293" t="s">
        <v>671</v>
      </c>
      <c r="E2293" t="s">
        <v>619</v>
      </c>
      <c r="F2293" t="s">
        <v>598</v>
      </c>
      <c r="G2293" t="s">
        <v>478</v>
      </c>
      <c r="H2293" t="s">
        <v>600</v>
      </c>
      <c r="I2293" t="s">
        <v>601</v>
      </c>
      <c r="J2293">
        <v>3.0000000000000001E-3</v>
      </c>
      <c r="K2293">
        <v>3.2000000000000002E-3</v>
      </c>
      <c r="L2293">
        <v>3.2000000000000002E-3</v>
      </c>
      <c r="M2293">
        <v>3.0999999999999999E-3</v>
      </c>
      <c r="N2293">
        <v>3.0999999999999999E-3</v>
      </c>
      <c r="O2293">
        <v>3.0000000000000001E-3</v>
      </c>
      <c r="P2293">
        <v>3.0000000000000001E-3</v>
      </c>
      <c r="Q2293">
        <v>2.8E-3</v>
      </c>
      <c r="R2293">
        <v>2.8E-3</v>
      </c>
      <c r="S2293">
        <v>2.8E-3</v>
      </c>
      <c r="T2293">
        <v>2.7000000000000001E-3</v>
      </c>
      <c r="U2293">
        <v>2.7000000000000001E-3</v>
      </c>
      <c r="V2293">
        <v>2.5999999999999999E-3</v>
      </c>
      <c r="W2293">
        <v>2.3E-3</v>
      </c>
      <c r="X2293">
        <v>2.3E-3</v>
      </c>
      <c r="Y2293">
        <v>2.2000000000000001E-3</v>
      </c>
    </row>
    <row r="2294" spans="1:25" hidden="1">
      <c r="A2294" t="s">
        <v>18811</v>
      </c>
      <c r="B2294" t="s">
        <v>749</v>
      </c>
      <c r="C2294" t="s">
        <v>729</v>
      </c>
      <c r="D2294" t="s">
        <v>671</v>
      </c>
      <c r="E2294" t="s">
        <v>750</v>
      </c>
      <c r="F2294" t="s">
        <v>598</v>
      </c>
      <c r="G2294" t="s">
        <v>478</v>
      </c>
      <c r="H2294" t="s">
        <v>600</v>
      </c>
      <c r="I2294" t="s">
        <v>601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hidden="1">
      <c r="A2295" t="s">
        <v>18811</v>
      </c>
      <c r="B2295" t="s">
        <v>752</v>
      </c>
      <c r="C2295" t="s">
        <v>729</v>
      </c>
      <c r="D2295" t="s">
        <v>753</v>
      </c>
      <c r="E2295" t="s">
        <v>597</v>
      </c>
      <c r="F2295" t="s">
        <v>598</v>
      </c>
      <c r="G2295" t="s">
        <v>478</v>
      </c>
      <c r="H2295" t="s">
        <v>600</v>
      </c>
      <c r="I2295" t="s">
        <v>601</v>
      </c>
      <c r="J2295">
        <v>3.5999999999999997E-2</v>
      </c>
      <c r="K2295">
        <v>3.5999999999999997E-2</v>
      </c>
      <c r="L2295">
        <v>3.5999999999999997E-2</v>
      </c>
      <c r="M2295">
        <v>3.5999999999999997E-2</v>
      </c>
      <c r="N2295">
        <v>3.5999999999999997E-2</v>
      </c>
      <c r="O2295">
        <v>3.5999999999999997E-2</v>
      </c>
      <c r="P2295">
        <v>3.5999999999999997E-2</v>
      </c>
      <c r="Q2295">
        <v>3.5999999999999997E-2</v>
      </c>
      <c r="R2295">
        <v>3.5999999999999997E-2</v>
      </c>
      <c r="S2295">
        <v>3.5999999999999997E-2</v>
      </c>
      <c r="T2295">
        <v>3.5999999999999997E-2</v>
      </c>
      <c r="U2295">
        <v>3.5999999999999997E-2</v>
      </c>
      <c r="V2295">
        <v>3.5999999999999997E-2</v>
      </c>
      <c r="W2295">
        <v>3.5999999999999997E-2</v>
      </c>
      <c r="X2295">
        <v>3.5999999999999997E-2</v>
      </c>
      <c r="Y2295">
        <v>3.5999999999999997E-2</v>
      </c>
    </row>
    <row r="2296" spans="1:25" hidden="1">
      <c r="A2296" t="s">
        <v>18811</v>
      </c>
      <c r="B2296" t="s">
        <v>754</v>
      </c>
      <c r="C2296" t="s">
        <v>729</v>
      </c>
      <c r="D2296" t="s">
        <v>753</v>
      </c>
      <c r="E2296" t="s">
        <v>642</v>
      </c>
      <c r="F2296" t="s">
        <v>598</v>
      </c>
      <c r="G2296" t="s">
        <v>478</v>
      </c>
      <c r="H2296" t="s">
        <v>600</v>
      </c>
      <c r="I2296" t="s">
        <v>601</v>
      </c>
      <c r="J2296">
        <v>1.6000000000000001E-3</v>
      </c>
      <c r="K2296">
        <v>1.6000000000000001E-3</v>
      </c>
      <c r="L2296">
        <v>1.6000000000000001E-3</v>
      </c>
      <c r="M2296">
        <v>1.6000000000000001E-3</v>
      </c>
      <c r="N2296">
        <v>1.6000000000000001E-3</v>
      </c>
      <c r="O2296">
        <v>1.6000000000000001E-3</v>
      </c>
      <c r="P2296">
        <v>1.6000000000000001E-3</v>
      </c>
      <c r="Q2296">
        <v>1.6000000000000001E-3</v>
      </c>
      <c r="R2296">
        <v>1.6000000000000001E-3</v>
      </c>
      <c r="S2296">
        <v>1.6000000000000001E-3</v>
      </c>
      <c r="T2296">
        <v>1.6000000000000001E-3</v>
      </c>
      <c r="U2296">
        <v>1.6000000000000001E-3</v>
      </c>
      <c r="V2296">
        <v>1.6000000000000001E-3</v>
      </c>
      <c r="W2296">
        <v>1.6000000000000001E-3</v>
      </c>
      <c r="X2296">
        <v>1.6000000000000001E-3</v>
      </c>
      <c r="Y2296">
        <v>1.6000000000000001E-3</v>
      </c>
    </row>
    <row r="2297" spans="1:25" hidden="1">
      <c r="A2297" t="s">
        <v>18811</v>
      </c>
      <c r="B2297" t="s">
        <v>755</v>
      </c>
      <c r="C2297" t="s">
        <v>729</v>
      </c>
      <c r="D2297" t="s">
        <v>756</v>
      </c>
      <c r="E2297" t="s">
        <v>597</v>
      </c>
      <c r="F2297" t="s">
        <v>598</v>
      </c>
      <c r="G2297" t="s">
        <v>478</v>
      </c>
      <c r="H2297" t="s">
        <v>600</v>
      </c>
      <c r="I2297" t="s">
        <v>601</v>
      </c>
      <c r="J2297">
        <v>5.0000000000000001E-4</v>
      </c>
      <c r="K2297">
        <v>5.0000000000000001E-4</v>
      </c>
      <c r="L2297">
        <v>5.0000000000000001E-4</v>
      </c>
      <c r="M2297">
        <v>5.0000000000000001E-4</v>
      </c>
      <c r="N2297">
        <v>5.0000000000000001E-4</v>
      </c>
      <c r="O2297">
        <v>5.0000000000000001E-4</v>
      </c>
      <c r="P2297">
        <v>5.0000000000000001E-4</v>
      </c>
      <c r="Q2297">
        <v>5.0000000000000001E-4</v>
      </c>
      <c r="R2297">
        <v>5.0000000000000001E-4</v>
      </c>
      <c r="S2297">
        <v>5.0000000000000001E-4</v>
      </c>
      <c r="T2297">
        <v>5.0000000000000001E-4</v>
      </c>
      <c r="U2297">
        <v>5.0000000000000001E-4</v>
      </c>
      <c r="V2297">
        <v>5.0000000000000001E-4</v>
      </c>
      <c r="W2297">
        <v>5.0000000000000001E-4</v>
      </c>
      <c r="X2297">
        <v>5.0000000000000001E-4</v>
      </c>
      <c r="Y2297">
        <v>5.0000000000000001E-4</v>
      </c>
    </row>
    <row r="2298" spans="1:25" hidden="1">
      <c r="A2298" t="s">
        <v>18811</v>
      </c>
      <c r="B2298" t="s">
        <v>757</v>
      </c>
      <c r="C2298" t="s">
        <v>729</v>
      </c>
      <c r="D2298" t="s">
        <v>756</v>
      </c>
      <c r="E2298" t="s">
        <v>642</v>
      </c>
      <c r="F2298" t="s">
        <v>598</v>
      </c>
      <c r="G2298" t="s">
        <v>478</v>
      </c>
      <c r="H2298" t="s">
        <v>600</v>
      </c>
      <c r="I2298" t="s">
        <v>601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hidden="1">
      <c r="A2299" t="s">
        <v>18811</v>
      </c>
      <c r="B2299" t="s">
        <v>761</v>
      </c>
      <c r="C2299" t="s">
        <v>729</v>
      </c>
      <c r="D2299" t="s">
        <v>621</v>
      </c>
      <c r="E2299" t="s">
        <v>597</v>
      </c>
      <c r="F2299" t="s">
        <v>598</v>
      </c>
      <c r="G2299" t="s">
        <v>478</v>
      </c>
      <c r="H2299" t="s">
        <v>600</v>
      </c>
      <c r="I2299" t="s">
        <v>601</v>
      </c>
      <c r="J2299">
        <v>0.10009999999999999</v>
      </c>
      <c r="K2299">
        <v>9.7900000000000001E-2</v>
      </c>
      <c r="L2299">
        <v>9.5399999999999999E-2</v>
      </c>
      <c r="M2299">
        <v>0.10009999999999999</v>
      </c>
      <c r="N2299">
        <v>9.9099999999999994E-2</v>
      </c>
      <c r="O2299">
        <v>9.8100000000000007E-2</v>
      </c>
      <c r="P2299">
        <v>0.1026</v>
      </c>
      <c r="Q2299">
        <v>0.1018</v>
      </c>
      <c r="R2299">
        <v>0.1014</v>
      </c>
      <c r="S2299">
        <v>0.1004</v>
      </c>
      <c r="T2299">
        <v>0.1011</v>
      </c>
      <c r="U2299">
        <v>0.1017</v>
      </c>
      <c r="V2299">
        <v>0.1031</v>
      </c>
      <c r="W2299">
        <v>0.1045</v>
      </c>
      <c r="X2299">
        <v>0.10489999999999999</v>
      </c>
      <c r="Y2299">
        <v>0.1062</v>
      </c>
    </row>
    <row r="2300" spans="1:25" hidden="1">
      <c r="A2300" t="s">
        <v>18811</v>
      </c>
      <c r="B2300" t="s">
        <v>762</v>
      </c>
      <c r="C2300" t="s">
        <v>729</v>
      </c>
      <c r="D2300" t="s">
        <v>621</v>
      </c>
      <c r="E2300" t="s">
        <v>642</v>
      </c>
      <c r="F2300" t="s">
        <v>598</v>
      </c>
      <c r="G2300" t="s">
        <v>478</v>
      </c>
      <c r="H2300" t="s">
        <v>600</v>
      </c>
      <c r="I2300" t="s">
        <v>601</v>
      </c>
      <c r="J2300">
        <v>4.4000000000000003E-3</v>
      </c>
      <c r="K2300">
        <v>4.4000000000000003E-3</v>
      </c>
      <c r="L2300">
        <v>4.4000000000000003E-3</v>
      </c>
      <c r="M2300">
        <v>4.4000000000000003E-3</v>
      </c>
      <c r="N2300">
        <v>4.4000000000000003E-3</v>
      </c>
      <c r="O2300">
        <v>4.4000000000000003E-3</v>
      </c>
      <c r="P2300">
        <v>4.4000000000000003E-3</v>
      </c>
      <c r="Q2300">
        <v>4.4000000000000003E-3</v>
      </c>
      <c r="R2300">
        <v>4.4000000000000003E-3</v>
      </c>
      <c r="S2300">
        <v>4.4000000000000003E-3</v>
      </c>
      <c r="T2300">
        <v>4.4000000000000003E-3</v>
      </c>
      <c r="U2300">
        <v>4.4000000000000003E-3</v>
      </c>
      <c r="V2300">
        <v>4.4000000000000003E-3</v>
      </c>
      <c r="W2300">
        <v>4.4000000000000003E-3</v>
      </c>
      <c r="X2300">
        <v>4.4000000000000003E-3</v>
      </c>
      <c r="Y2300">
        <v>4.4000000000000003E-3</v>
      </c>
    </row>
    <row r="2301" spans="1:25" hidden="1">
      <c r="A2301" t="s">
        <v>18811</v>
      </c>
      <c r="B2301" t="s">
        <v>763</v>
      </c>
      <c r="C2301" t="s">
        <v>729</v>
      </c>
      <c r="D2301" t="s">
        <v>621</v>
      </c>
      <c r="E2301" t="s">
        <v>731</v>
      </c>
      <c r="F2301" t="s">
        <v>598</v>
      </c>
      <c r="G2301" t="s">
        <v>478</v>
      </c>
      <c r="H2301" t="s">
        <v>600</v>
      </c>
      <c r="I2301" t="s">
        <v>601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hidden="1">
      <c r="A2302" t="s">
        <v>18811</v>
      </c>
      <c r="B2302" t="s">
        <v>764</v>
      </c>
      <c r="C2302" t="s">
        <v>729</v>
      </c>
      <c r="D2302" t="s">
        <v>621</v>
      </c>
      <c r="E2302" t="s">
        <v>603</v>
      </c>
      <c r="F2302" t="s">
        <v>598</v>
      </c>
      <c r="G2302" t="s">
        <v>478</v>
      </c>
      <c r="H2302" t="s">
        <v>600</v>
      </c>
      <c r="I2302" t="s">
        <v>601</v>
      </c>
      <c r="J2302">
        <v>8.9999999999999998E-4</v>
      </c>
      <c r="K2302">
        <v>8.9999999999999998E-4</v>
      </c>
      <c r="L2302">
        <v>8.9999999999999998E-4</v>
      </c>
      <c r="M2302">
        <v>8.9999999999999998E-4</v>
      </c>
      <c r="N2302">
        <v>8.9999999999999998E-4</v>
      </c>
      <c r="O2302">
        <v>8.9999999999999998E-4</v>
      </c>
      <c r="P2302">
        <v>8.9999999999999998E-4</v>
      </c>
      <c r="Q2302">
        <v>8.9999999999999998E-4</v>
      </c>
      <c r="R2302">
        <v>8.9999999999999998E-4</v>
      </c>
      <c r="S2302">
        <v>8.9999999999999998E-4</v>
      </c>
      <c r="T2302">
        <v>8.9999999999999998E-4</v>
      </c>
      <c r="U2302">
        <v>8.9999999999999998E-4</v>
      </c>
      <c r="V2302">
        <v>8.9999999999999998E-4</v>
      </c>
      <c r="W2302">
        <v>8.9999999999999998E-4</v>
      </c>
      <c r="X2302">
        <v>8.9999999999999998E-4</v>
      </c>
      <c r="Y2302">
        <v>8.9999999999999998E-4</v>
      </c>
    </row>
    <row r="2303" spans="1:25" hidden="1">
      <c r="A2303" t="s">
        <v>18811</v>
      </c>
      <c r="B2303" t="s">
        <v>767</v>
      </c>
      <c r="C2303" t="s">
        <v>729</v>
      </c>
      <c r="D2303" t="s">
        <v>621</v>
      </c>
      <c r="E2303" t="s">
        <v>768</v>
      </c>
      <c r="F2303" t="s">
        <v>598</v>
      </c>
      <c r="G2303" t="s">
        <v>478</v>
      </c>
      <c r="H2303" t="s">
        <v>600</v>
      </c>
      <c r="I2303" t="s">
        <v>601</v>
      </c>
      <c r="J2303">
        <v>8.9999999999999998E-4</v>
      </c>
      <c r="K2303">
        <v>8.9999999999999998E-4</v>
      </c>
      <c r="L2303">
        <v>8.9999999999999998E-4</v>
      </c>
      <c r="M2303">
        <v>8.9999999999999998E-4</v>
      </c>
      <c r="N2303">
        <v>8.9999999999999998E-4</v>
      </c>
      <c r="O2303">
        <v>8.9999999999999998E-4</v>
      </c>
      <c r="P2303">
        <v>8.9999999999999998E-4</v>
      </c>
      <c r="Q2303">
        <v>8.9999999999999998E-4</v>
      </c>
      <c r="R2303">
        <v>8.9999999999999998E-4</v>
      </c>
      <c r="S2303">
        <v>8.9999999999999998E-4</v>
      </c>
      <c r="T2303">
        <v>8.9999999999999998E-4</v>
      </c>
      <c r="U2303">
        <v>8.9999999999999998E-4</v>
      </c>
      <c r="V2303">
        <v>8.9999999999999998E-4</v>
      </c>
      <c r="W2303">
        <v>8.9999999999999998E-4</v>
      </c>
      <c r="X2303">
        <v>8.9999999999999998E-4</v>
      </c>
      <c r="Y2303">
        <v>8.9999999999999998E-4</v>
      </c>
    </row>
    <row r="2304" spans="1:25" hidden="1">
      <c r="A2304" t="s">
        <v>18811</v>
      </c>
      <c r="B2304" t="s">
        <v>769</v>
      </c>
      <c r="C2304" t="s">
        <v>729</v>
      </c>
      <c r="D2304" t="s">
        <v>621</v>
      </c>
      <c r="E2304" t="s">
        <v>626</v>
      </c>
      <c r="F2304" t="s">
        <v>598</v>
      </c>
      <c r="G2304" t="s">
        <v>478</v>
      </c>
      <c r="H2304" t="s">
        <v>600</v>
      </c>
      <c r="I2304" t="s">
        <v>601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</row>
    <row r="2305" spans="1:25" hidden="1">
      <c r="A2305" t="s">
        <v>18811</v>
      </c>
      <c r="B2305" t="s">
        <v>770</v>
      </c>
      <c r="C2305" t="s">
        <v>729</v>
      </c>
      <c r="D2305" t="s">
        <v>621</v>
      </c>
      <c r="E2305" t="s">
        <v>628</v>
      </c>
      <c r="F2305" t="s">
        <v>598</v>
      </c>
      <c r="G2305" t="s">
        <v>478</v>
      </c>
      <c r="H2305" t="s">
        <v>600</v>
      </c>
      <c r="I2305" t="s">
        <v>601</v>
      </c>
      <c r="J2305">
        <v>4.2500000000000003E-2</v>
      </c>
      <c r="K2305">
        <v>4.2500000000000003E-2</v>
      </c>
      <c r="L2305">
        <v>4.2500000000000003E-2</v>
      </c>
      <c r="M2305">
        <v>4.2500000000000003E-2</v>
      </c>
      <c r="N2305">
        <v>4.2500000000000003E-2</v>
      </c>
      <c r="O2305">
        <v>4.2500000000000003E-2</v>
      </c>
      <c r="P2305">
        <v>4.2500000000000003E-2</v>
      </c>
      <c r="Q2305">
        <v>4.2500000000000003E-2</v>
      </c>
      <c r="R2305">
        <v>4.2500000000000003E-2</v>
      </c>
      <c r="S2305">
        <v>4.2500000000000003E-2</v>
      </c>
      <c r="T2305">
        <v>4.2500000000000003E-2</v>
      </c>
      <c r="U2305">
        <v>4.2500000000000003E-2</v>
      </c>
      <c r="V2305">
        <v>4.2500000000000003E-2</v>
      </c>
      <c r="W2305">
        <v>4.2500000000000003E-2</v>
      </c>
      <c r="X2305">
        <v>4.2500000000000003E-2</v>
      </c>
      <c r="Y2305">
        <v>4.2500000000000003E-2</v>
      </c>
    </row>
    <row r="2306" spans="1:25" hidden="1">
      <c r="A2306" t="s">
        <v>18811</v>
      </c>
      <c r="B2306" t="s">
        <v>775</v>
      </c>
      <c r="C2306" t="s">
        <v>729</v>
      </c>
      <c r="D2306" t="s">
        <v>621</v>
      </c>
      <c r="E2306" t="s">
        <v>630</v>
      </c>
      <c r="F2306" t="s">
        <v>598</v>
      </c>
      <c r="G2306" t="s">
        <v>478</v>
      </c>
      <c r="H2306" t="s">
        <v>600</v>
      </c>
      <c r="I2306" t="s">
        <v>601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</row>
    <row r="2307" spans="1:25" hidden="1">
      <c r="A2307" t="s">
        <v>18811</v>
      </c>
      <c r="B2307" t="s">
        <v>776</v>
      </c>
      <c r="C2307" t="s">
        <v>729</v>
      </c>
      <c r="D2307" t="s">
        <v>632</v>
      </c>
      <c r="E2307" t="s">
        <v>597</v>
      </c>
      <c r="F2307" t="s">
        <v>598</v>
      </c>
      <c r="G2307" t="s">
        <v>478</v>
      </c>
      <c r="H2307" t="s">
        <v>600</v>
      </c>
      <c r="I2307" t="s">
        <v>601</v>
      </c>
      <c r="J2307">
        <v>9.4999999999999998E-3</v>
      </c>
      <c r="K2307">
        <v>9.4999999999999998E-3</v>
      </c>
      <c r="L2307">
        <v>9.4999999999999998E-3</v>
      </c>
      <c r="M2307">
        <v>9.4999999999999998E-3</v>
      </c>
      <c r="N2307">
        <v>9.4999999999999998E-3</v>
      </c>
      <c r="O2307">
        <v>9.4999999999999998E-3</v>
      </c>
      <c r="P2307">
        <v>9.4999999999999998E-3</v>
      </c>
      <c r="Q2307">
        <v>9.4999999999999998E-3</v>
      </c>
      <c r="R2307">
        <v>9.4999999999999998E-3</v>
      </c>
      <c r="S2307">
        <v>9.4999999999999998E-3</v>
      </c>
      <c r="T2307">
        <v>9.4999999999999998E-3</v>
      </c>
      <c r="U2307">
        <v>9.4999999999999998E-3</v>
      </c>
      <c r="V2307">
        <v>9.4999999999999998E-3</v>
      </c>
      <c r="W2307">
        <v>9.4999999999999998E-3</v>
      </c>
      <c r="X2307">
        <v>9.4999999999999998E-3</v>
      </c>
      <c r="Y2307">
        <v>9.4999999999999998E-3</v>
      </c>
    </row>
    <row r="2308" spans="1:25" hidden="1">
      <c r="A2308" t="s">
        <v>18811</v>
      </c>
      <c r="B2308" t="s">
        <v>785</v>
      </c>
      <c r="C2308" t="s">
        <v>729</v>
      </c>
      <c r="D2308" t="s">
        <v>640</v>
      </c>
      <c r="E2308" t="s">
        <v>597</v>
      </c>
      <c r="F2308" t="s">
        <v>598</v>
      </c>
      <c r="G2308" t="s">
        <v>478</v>
      </c>
      <c r="H2308" t="s">
        <v>600</v>
      </c>
      <c r="I2308" t="s">
        <v>601</v>
      </c>
      <c r="J2308">
        <v>4.0800000000000003E-2</v>
      </c>
      <c r="K2308">
        <v>4.1399999999999999E-2</v>
      </c>
      <c r="L2308">
        <v>4.0899999999999999E-2</v>
      </c>
      <c r="M2308">
        <v>4.1300000000000003E-2</v>
      </c>
      <c r="N2308">
        <v>4.24E-2</v>
      </c>
      <c r="O2308">
        <v>4.24E-2</v>
      </c>
      <c r="P2308">
        <v>4.2599999999999999E-2</v>
      </c>
      <c r="Q2308">
        <v>4.3900000000000002E-2</v>
      </c>
      <c r="R2308">
        <v>4.3900000000000002E-2</v>
      </c>
      <c r="S2308">
        <v>4.36E-2</v>
      </c>
      <c r="T2308">
        <v>4.3900000000000002E-2</v>
      </c>
      <c r="U2308">
        <v>4.41E-2</v>
      </c>
      <c r="V2308">
        <v>4.4699999999999997E-2</v>
      </c>
      <c r="W2308">
        <v>4.5199999999999997E-2</v>
      </c>
      <c r="X2308">
        <v>4.53E-2</v>
      </c>
      <c r="Y2308">
        <v>4.58E-2</v>
      </c>
    </row>
    <row r="2309" spans="1:25" hidden="1">
      <c r="A2309" t="s">
        <v>18811</v>
      </c>
      <c r="B2309" t="s">
        <v>787</v>
      </c>
      <c r="C2309" t="s">
        <v>729</v>
      </c>
      <c r="D2309" t="s">
        <v>640</v>
      </c>
      <c r="E2309" t="s">
        <v>605</v>
      </c>
      <c r="F2309" t="s">
        <v>598</v>
      </c>
      <c r="G2309" t="s">
        <v>478</v>
      </c>
      <c r="H2309" t="s">
        <v>600</v>
      </c>
      <c r="I2309" t="s">
        <v>601</v>
      </c>
      <c r="J2309">
        <v>2.5999999999999999E-3</v>
      </c>
      <c r="K2309">
        <v>2.5999999999999999E-3</v>
      </c>
      <c r="L2309">
        <v>2.5999999999999999E-3</v>
      </c>
      <c r="M2309">
        <v>2.5999999999999999E-3</v>
      </c>
      <c r="N2309">
        <v>2.5999999999999999E-3</v>
      </c>
      <c r="O2309">
        <v>2.5999999999999999E-3</v>
      </c>
      <c r="P2309">
        <v>2.5999999999999999E-3</v>
      </c>
      <c r="Q2309">
        <v>2.5999999999999999E-3</v>
      </c>
      <c r="R2309">
        <v>2.5999999999999999E-3</v>
      </c>
      <c r="S2309">
        <v>2.5999999999999999E-3</v>
      </c>
      <c r="T2309">
        <v>2.5999999999999999E-3</v>
      </c>
      <c r="U2309">
        <v>2.5999999999999999E-3</v>
      </c>
      <c r="V2309">
        <v>2.5999999999999999E-3</v>
      </c>
      <c r="W2309">
        <v>2.5999999999999999E-3</v>
      </c>
      <c r="X2309">
        <v>2.5999999999999999E-3</v>
      </c>
      <c r="Y2309">
        <v>2.5999999999999999E-3</v>
      </c>
    </row>
    <row r="2310" spans="1:25" hidden="1">
      <c r="A2310" t="s">
        <v>18811</v>
      </c>
      <c r="B2310" t="s">
        <v>795</v>
      </c>
      <c r="C2310" t="s">
        <v>729</v>
      </c>
      <c r="D2310" t="s">
        <v>648</v>
      </c>
      <c r="E2310" t="s">
        <v>597</v>
      </c>
      <c r="F2310" t="s">
        <v>598</v>
      </c>
      <c r="G2310" t="s">
        <v>478</v>
      </c>
      <c r="H2310" t="s">
        <v>600</v>
      </c>
      <c r="I2310" t="s">
        <v>601</v>
      </c>
      <c r="J2310">
        <v>4.8350999999999997</v>
      </c>
      <c r="K2310">
        <v>4.7798999999999996</v>
      </c>
      <c r="L2310">
        <v>4.7268999999999997</v>
      </c>
      <c r="M2310">
        <v>4.8003999999999998</v>
      </c>
      <c r="N2310">
        <v>4.8006000000000002</v>
      </c>
      <c r="O2310">
        <v>4.8216000000000001</v>
      </c>
      <c r="P2310">
        <v>4.8451000000000004</v>
      </c>
      <c r="Q2310">
        <v>4.8684000000000003</v>
      </c>
      <c r="R2310">
        <v>4.8893000000000004</v>
      </c>
      <c r="S2310">
        <v>4.8567999999999998</v>
      </c>
      <c r="T2310">
        <v>4.8826000000000001</v>
      </c>
      <c r="U2310">
        <v>4.9058000000000002</v>
      </c>
      <c r="V2310">
        <v>4.9644000000000004</v>
      </c>
      <c r="W2310">
        <v>5.0224000000000002</v>
      </c>
      <c r="X2310">
        <v>5.0345000000000004</v>
      </c>
      <c r="Y2310">
        <v>5.0864000000000003</v>
      </c>
    </row>
    <row r="2311" spans="1:25" hidden="1">
      <c r="A2311" t="s">
        <v>18811</v>
      </c>
      <c r="B2311" t="s">
        <v>796</v>
      </c>
      <c r="C2311" t="s">
        <v>729</v>
      </c>
      <c r="D2311" t="s">
        <v>648</v>
      </c>
      <c r="E2311" t="s">
        <v>642</v>
      </c>
      <c r="F2311" t="s">
        <v>598</v>
      </c>
      <c r="G2311" t="s">
        <v>478</v>
      </c>
      <c r="H2311" t="s">
        <v>600</v>
      </c>
      <c r="I2311" t="s">
        <v>601</v>
      </c>
      <c r="J2311">
        <v>6.1999999999999998E-3</v>
      </c>
      <c r="K2311">
        <v>6.3E-3</v>
      </c>
      <c r="L2311">
        <v>6.4000000000000003E-3</v>
      </c>
      <c r="M2311">
        <v>6.6E-3</v>
      </c>
      <c r="N2311">
        <v>6.7000000000000002E-3</v>
      </c>
      <c r="O2311">
        <v>6.7999999999999996E-3</v>
      </c>
      <c r="P2311">
        <v>6.7999999999999996E-3</v>
      </c>
      <c r="Q2311">
        <v>6.8999999999999999E-3</v>
      </c>
      <c r="R2311">
        <v>7.0000000000000001E-3</v>
      </c>
      <c r="S2311">
        <v>7.1000000000000004E-3</v>
      </c>
      <c r="T2311">
        <v>7.1999999999999998E-3</v>
      </c>
      <c r="U2311">
        <v>7.3000000000000001E-3</v>
      </c>
      <c r="V2311">
        <v>7.4000000000000003E-3</v>
      </c>
      <c r="W2311">
        <v>7.4999999999999997E-3</v>
      </c>
      <c r="X2311">
        <v>7.6E-3</v>
      </c>
      <c r="Y2311">
        <v>7.7000000000000002E-3</v>
      </c>
    </row>
    <row r="2312" spans="1:25" hidden="1">
      <c r="A2312" t="s">
        <v>18811</v>
      </c>
      <c r="B2312" t="s">
        <v>803</v>
      </c>
      <c r="C2312" t="s">
        <v>804</v>
      </c>
      <c r="D2312" t="s">
        <v>596</v>
      </c>
      <c r="E2312" t="s">
        <v>597</v>
      </c>
      <c r="F2312" t="s">
        <v>598</v>
      </c>
      <c r="G2312" t="s">
        <v>478</v>
      </c>
      <c r="H2312" t="s">
        <v>600</v>
      </c>
      <c r="I2312" t="s">
        <v>601</v>
      </c>
      <c r="J2312">
        <v>0.37580000000000002</v>
      </c>
      <c r="K2312">
        <v>0.36470000000000002</v>
      </c>
      <c r="L2312">
        <v>0.35120000000000001</v>
      </c>
      <c r="M2312">
        <v>0.34810000000000002</v>
      </c>
      <c r="N2312">
        <v>0.3392</v>
      </c>
      <c r="O2312">
        <v>0.32969999999999999</v>
      </c>
      <c r="P2312">
        <v>0.3236</v>
      </c>
      <c r="Q2312">
        <v>0.31440000000000001</v>
      </c>
      <c r="R2312">
        <v>0.30349999999999999</v>
      </c>
      <c r="S2312">
        <v>0.29249999999999998</v>
      </c>
      <c r="T2312">
        <v>0.2853</v>
      </c>
      <c r="U2312">
        <v>0.27710000000000001</v>
      </c>
      <c r="V2312">
        <v>0.27229999999999999</v>
      </c>
      <c r="W2312">
        <v>0.26619999999999999</v>
      </c>
      <c r="X2312">
        <v>0.25800000000000001</v>
      </c>
      <c r="Y2312">
        <v>0.251</v>
      </c>
    </row>
    <row r="2313" spans="1:25" hidden="1">
      <c r="A2313" t="s">
        <v>18811</v>
      </c>
      <c r="B2313" t="s">
        <v>805</v>
      </c>
      <c r="C2313" t="s">
        <v>804</v>
      </c>
      <c r="D2313" t="s">
        <v>596</v>
      </c>
      <c r="E2313" t="s">
        <v>603</v>
      </c>
      <c r="F2313" t="s">
        <v>598</v>
      </c>
      <c r="G2313" t="s">
        <v>478</v>
      </c>
      <c r="H2313" t="s">
        <v>600</v>
      </c>
      <c r="I2313" t="s">
        <v>601</v>
      </c>
      <c r="J2313">
        <v>8.0000000000000004E-4</v>
      </c>
      <c r="K2313">
        <v>8.0000000000000004E-4</v>
      </c>
      <c r="L2313">
        <v>8.0000000000000004E-4</v>
      </c>
      <c r="M2313">
        <v>6.9999999999999999E-4</v>
      </c>
      <c r="N2313">
        <v>6.9999999999999999E-4</v>
      </c>
      <c r="O2313">
        <v>6.9999999999999999E-4</v>
      </c>
      <c r="P2313">
        <v>6.9999999999999999E-4</v>
      </c>
      <c r="Q2313">
        <v>6.9999999999999999E-4</v>
      </c>
      <c r="R2313">
        <v>6.9999999999999999E-4</v>
      </c>
      <c r="S2313">
        <v>6.9999999999999999E-4</v>
      </c>
      <c r="T2313">
        <v>6.9999999999999999E-4</v>
      </c>
      <c r="U2313">
        <v>6.9999999999999999E-4</v>
      </c>
      <c r="V2313">
        <v>6.9999999999999999E-4</v>
      </c>
      <c r="W2313">
        <v>6.9999999999999999E-4</v>
      </c>
      <c r="X2313">
        <v>6.9999999999999999E-4</v>
      </c>
      <c r="Y2313">
        <v>6.9999999999999999E-4</v>
      </c>
    </row>
    <row r="2314" spans="1:25" hidden="1">
      <c r="A2314" t="s">
        <v>18811</v>
      </c>
      <c r="B2314" t="s">
        <v>806</v>
      </c>
      <c r="C2314" t="s">
        <v>804</v>
      </c>
      <c r="D2314" t="s">
        <v>596</v>
      </c>
      <c r="E2314" t="s">
        <v>605</v>
      </c>
      <c r="F2314" t="s">
        <v>598</v>
      </c>
      <c r="G2314" t="s">
        <v>478</v>
      </c>
      <c r="H2314" t="s">
        <v>600</v>
      </c>
      <c r="I2314" t="s">
        <v>601</v>
      </c>
      <c r="J2314">
        <v>1.1000000000000001E-3</v>
      </c>
      <c r="K2314">
        <v>1.1000000000000001E-3</v>
      </c>
      <c r="L2314">
        <v>1.1000000000000001E-3</v>
      </c>
      <c r="M2314">
        <v>1.1000000000000001E-3</v>
      </c>
      <c r="N2314">
        <v>1.1000000000000001E-3</v>
      </c>
      <c r="O2314">
        <v>1.1000000000000001E-3</v>
      </c>
      <c r="P2314">
        <v>1.1000000000000001E-3</v>
      </c>
      <c r="Q2314">
        <v>1.1000000000000001E-3</v>
      </c>
      <c r="R2314">
        <v>1.1000000000000001E-3</v>
      </c>
      <c r="S2314">
        <v>1.1000000000000001E-3</v>
      </c>
      <c r="T2314">
        <v>1.1000000000000001E-3</v>
      </c>
      <c r="U2314">
        <v>1.1000000000000001E-3</v>
      </c>
      <c r="V2314">
        <v>1.1000000000000001E-3</v>
      </c>
      <c r="W2314">
        <v>1.1000000000000001E-3</v>
      </c>
      <c r="X2314">
        <v>1.1000000000000001E-3</v>
      </c>
      <c r="Y2314">
        <v>1.1000000000000001E-3</v>
      </c>
    </row>
    <row r="2315" spans="1:25" hidden="1">
      <c r="A2315" t="s">
        <v>18811</v>
      </c>
      <c r="B2315" t="s">
        <v>809</v>
      </c>
      <c r="C2315" t="s">
        <v>804</v>
      </c>
      <c r="D2315" t="s">
        <v>596</v>
      </c>
      <c r="E2315" t="s">
        <v>735</v>
      </c>
      <c r="F2315" t="s">
        <v>598</v>
      </c>
      <c r="G2315" t="s">
        <v>478</v>
      </c>
      <c r="H2315" t="s">
        <v>600</v>
      </c>
      <c r="I2315" t="s">
        <v>601</v>
      </c>
      <c r="J2315">
        <v>2.0000000000000001E-4</v>
      </c>
      <c r="K2315">
        <v>2.0000000000000001E-4</v>
      </c>
      <c r="L2315">
        <v>2.0000000000000001E-4</v>
      </c>
      <c r="M2315">
        <v>2.0000000000000001E-4</v>
      </c>
      <c r="N2315">
        <v>2.0000000000000001E-4</v>
      </c>
      <c r="O2315">
        <v>2.0000000000000001E-4</v>
      </c>
      <c r="P2315">
        <v>2.0000000000000001E-4</v>
      </c>
      <c r="Q2315">
        <v>2.0000000000000001E-4</v>
      </c>
      <c r="R2315">
        <v>2.0000000000000001E-4</v>
      </c>
      <c r="S2315">
        <v>2.0000000000000001E-4</v>
      </c>
      <c r="T2315">
        <v>2.0000000000000001E-4</v>
      </c>
      <c r="U2315">
        <v>2.0000000000000001E-4</v>
      </c>
      <c r="V2315">
        <v>2.0000000000000001E-4</v>
      </c>
      <c r="W2315">
        <v>2.0000000000000001E-4</v>
      </c>
      <c r="X2315">
        <v>2.0000000000000001E-4</v>
      </c>
      <c r="Y2315">
        <v>2.0000000000000001E-4</v>
      </c>
    </row>
    <row r="2316" spans="1:25" hidden="1">
      <c r="A2316" t="s">
        <v>18811</v>
      </c>
      <c r="B2316" t="s">
        <v>810</v>
      </c>
      <c r="C2316" t="s">
        <v>804</v>
      </c>
      <c r="D2316" t="s">
        <v>596</v>
      </c>
      <c r="E2316" t="s">
        <v>613</v>
      </c>
      <c r="F2316" t="s">
        <v>598</v>
      </c>
      <c r="G2316" t="s">
        <v>478</v>
      </c>
      <c r="H2316" t="s">
        <v>600</v>
      </c>
      <c r="I2316" t="s">
        <v>601</v>
      </c>
      <c r="J2316">
        <v>1.9E-3</v>
      </c>
      <c r="K2316">
        <v>2E-3</v>
      </c>
      <c r="L2316">
        <v>2E-3</v>
      </c>
      <c r="M2316">
        <v>2E-3</v>
      </c>
      <c r="N2316">
        <v>2.0999999999999999E-3</v>
      </c>
      <c r="O2316">
        <v>2.0999999999999999E-3</v>
      </c>
      <c r="P2316">
        <v>2.2000000000000001E-3</v>
      </c>
      <c r="Q2316">
        <v>2.2000000000000001E-3</v>
      </c>
      <c r="R2316">
        <v>2.2000000000000001E-3</v>
      </c>
      <c r="S2316">
        <v>2.3E-3</v>
      </c>
      <c r="T2316">
        <v>2.3E-3</v>
      </c>
      <c r="U2316">
        <v>2.3999999999999998E-3</v>
      </c>
      <c r="V2316">
        <v>2.3999999999999998E-3</v>
      </c>
      <c r="W2316">
        <v>2.5000000000000001E-3</v>
      </c>
      <c r="X2316">
        <v>2.5000000000000001E-3</v>
      </c>
      <c r="Y2316">
        <v>2.5000000000000001E-3</v>
      </c>
    </row>
    <row r="2317" spans="1:25" hidden="1">
      <c r="A2317" t="s">
        <v>18811</v>
      </c>
      <c r="B2317" t="s">
        <v>812</v>
      </c>
      <c r="C2317" t="s">
        <v>804</v>
      </c>
      <c r="D2317" t="s">
        <v>596</v>
      </c>
      <c r="E2317" t="s">
        <v>619</v>
      </c>
      <c r="F2317" t="s">
        <v>598</v>
      </c>
      <c r="G2317" t="s">
        <v>478</v>
      </c>
      <c r="H2317" t="s">
        <v>600</v>
      </c>
      <c r="I2317" t="s">
        <v>601</v>
      </c>
      <c r="J2317">
        <v>1E-4</v>
      </c>
      <c r="K2317">
        <v>1E-4</v>
      </c>
      <c r="L2317">
        <v>1E-4</v>
      </c>
      <c r="M2317">
        <v>1E-4</v>
      </c>
      <c r="N2317">
        <v>1E-4</v>
      </c>
      <c r="O2317">
        <v>1E-4</v>
      </c>
      <c r="P2317">
        <v>1E-4</v>
      </c>
      <c r="Q2317">
        <v>1E-4</v>
      </c>
      <c r="R2317">
        <v>1E-4</v>
      </c>
      <c r="S2317">
        <v>1E-4</v>
      </c>
      <c r="T2317">
        <v>1E-4</v>
      </c>
      <c r="U2317">
        <v>1E-4</v>
      </c>
      <c r="V2317">
        <v>1E-4</v>
      </c>
      <c r="W2317">
        <v>1E-4</v>
      </c>
      <c r="X2317">
        <v>1E-4</v>
      </c>
      <c r="Y2317">
        <v>1E-4</v>
      </c>
    </row>
    <row r="2318" spans="1:25" hidden="1">
      <c r="A2318" t="s">
        <v>18811</v>
      </c>
      <c r="B2318" t="s">
        <v>815</v>
      </c>
      <c r="C2318" t="s">
        <v>804</v>
      </c>
      <c r="D2318" t="s">
        <v>671</v>
      </c>
      <c r="E2318" t="s">
        <v>597</v>
      </c>
      <c r="F2318" t="s">
        <v>598</v>
      </c>
      <c r="G2318" t="s">
        <v>478</v>
      </c>
      <c r="H2318" t="s">
        <v>600</v>
      </c>
      <c r="I2318" t="s">
        <v>601</v>
      </c>
      <c r="J2318">
        <v>0.43630000000000002</v>
      </c>
      <c r="K2318">
        <v>0.42270000000000002</v>
      </c>
      <c r="L2318">
        <v>0.40870000000000001</v>
      </c>
      <c r="M2318">
        <v>0.4052</v>
      </c>
      <c r="N2318">
        <v>0.39410000000000001</v>
      </c>
      <c r="O2318">
        <v>0.38350000000000001</v>
      </c>
      <c r="P2318">
        <v>0.37619999999999998</v>
      </c>
      <c r="Q2318">
        <v>0.3654</v>
      </c>
      <c r="R2318">
        <v>0.35299999999999998</v>
      </c>
      <c r="S2318">
        <v>0.33989999999999998</v>
      </c>
      <c r="T2318">
        <v>0.33150000000000002</v>
      </c>
      <c r="U2318">
        <v>0.3221</v>
      </c>
      <c r="V2318">
        <v>0.3155</v>
      </c>
      <c r="W2318">
        <v>0.30840000000000001</v>
      </c>
      <c r="X2318">
        <v>0.29859999999999998</v>
      </c>
      <c r="Y2318">
        <v>0.29089999999999999</v>
      </c>
    </row>
    <row r="2319" spans="1:25" hidden="1">
      <c r="A2319" t="s">
        <v>18811</v>
      </c>
      <c r="B2319" t="s">
        <v>816</v>
      </c>
      <c r="C2319" t="s">
        <v>804</v>
      </c>
      <c r="D2319" t="s">
        <v>671</v>
      </c>
      <c r="E2319" t="s">
        <v>642</v>
      </c>
      <c r="F2319" t="s">
        <v>598</v>
      </c>
      <c r="G2319" t="s">
        <v>478</v>
      </c>
      <c r="H2319" t="s">
        <v>600</v>
      </c>
      <c r="I2319" t="s">
        <v>601</v>
      </c>
      <c r="J2319">
        <v>2.29E-2</v>
      </c>
      <c r="K2319">
        <v>2.23E-2</v>
      </c>
      <c r="L2319">
        <v>2.18E-2</v>
      </c>
      <c r="M2319">
        <v>2.1299999999999999E-2</v>
      </c>
      <c r="N2319">
        <v>2.1100000000000001E-2</v>
      </c>
      <c r="O2319">
        <v>2.06E-2</v>
      </c>
      <c r="P2319">
        <v>0.02</v>
      </c>
      <c r="Q2319">
        <v>1.9599999999999999E-2</v>
      </c>
      <c r="R2319">
        <v>1.9099999999999999E-2</v>
      </c>
      <c r="S2319">
        <v>1.9199999999999998E-2</v>
      </c>
      <c r="T2319">
        <v>1.89E-2</v>
      </c>
      <c r="U2319">
        <v>1.83E-2</v>
      </c>
      <c r="V2319">
        <v>1.7899999999999999E-2</v>
      </c>
      <c r="W2319">
        <v>1.7299999999999999E-2</v>
      </c>
      <c r="X2319">
        <v>1.6899999999999998E-2</v>
      </c>
      <c r="Y2319">
        <v>1.6400000000000001E-2</v>
      </c>
    </row>
    <row r="2320" spans="1:25" hidden="1">
      <c r="A2320" t="s">
        <v>18811</v>
      </c>
      <c r="B2320" t="s">
        <v>818</v>
      </c>
      <c r="C2320" t="s">
        <v>804</v>
      </c>
      <c r="D2320" t="s">
        <v>753</v>
      </c>
      <c r="E2320" t="s">
        <v>597</v>
      </c>
      <c r="F2320" t="s">
        <v>598</v>
      </c>
      <c r="G2320" t="s">
        <v>478</v>
      </c>
      <c r="H2320" t="s">
        <v>600</v>
      </c>
      <c r="I2320" t="s">
        <v>601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hidden="1">
      <c r="A2321" t="s">
        <v>18811</v>
      </c>
      <c r="B2321" t="s">
        <v>820</v>
      </c>
      <c r="C2321" t="s">
        <v>804</v>
      </c>
      <c r="D2321" t="s">
        <v>621</v>
      </c>
      <c r="E2321" t="s">
        <v>597</v>
      </c>
      <c r="F2321" t="s">
        <v>598</v>
      </c>
      <c r="G2321" t="s">
        <v>478</v>
      </c>
      <c r="H2321" t="s">
        <v>600</v>
      </c>
      <c r="I2321" t="s">
        <v>601</v>
      </c>
      <c r="J2321">
        <v>0.33360000000000001</v>
      </c>
      <c r="K2321">
        <v>0.33100000000000002</v>
      </c>
      <c r="L2321">
        <v>0.32590000000000002</v>
      </c>
      <c r="M2321">
        <v>0.3301</v>
      </c>
      <c r="N2321">
        <v>0.32850000000000001</v>
      </c>
      <c r="O2321">
        <v>0.32590000000000002</v>
      </c>
      <c r="P2321">
        <v>0.32769999999999999</v>
      </c>
      <c r="Q2321">
        <v>0.32379999999999998</v>
      </c>
      <c r="R2321">
        <v>0.3206</v>
      </c>
      <c r="S2321">
        <v>0.316</v>
      </c>
      <c r="T2321">
        <v>0.315</v>
      </c>
      <c r="U2321">
        <v>0.31409999999999999</v>
      </c>
      <c r="V2321">
        <v>0.31519999999999998</v>
      </c>
      <c r="W2321">
        <v>0.31619999999999998</v>
      </c>
      <c r="X2321">
        <v>0.31380000000000002</v>
      </c>
      <c r="Y2321">
        <v>0.31380000000000002</v>
      </c>
    </row>
    <row r="2322" spans="1:25" hidden="1">
      <c r="A2322" t="s">
        <v>18811</v>
      </c>
      <c r="B2322" t="s">
        <v>822</v>
      </c>
      <c r="C2322" t="s">
        <v>804</v>
      </c>
      <c r="D2322" t="s">
        <v>621</v>
      </c>
      <c r="E2322" t="s">
        <v>603</v>
      </c>
      <c r="F2322" t="s">
        <v>598</v>
      </c>
      <c r="G2322" t="s">
        <v>478</v>
      </c>
      <c r="H2322" t="s">
        <v>600</v>
      </c>
      <c r="I2322" t="s">
        <v>601</v>
      </c>
      <c r="J2322">
        <v>1E-4</v>
      </c>
      <c r="K2322">
        <v>1E-4</v>
      </c>
      <c r="L2322">
        <v>1E-4</v>
      </c>
      <c r="M2322">
        <v>1E-4</v>
      </c>
      <c r="N2322">
        <v>1E-4</v>
      </c>
      <c r="O2322">
        <v>1E-4</v>
      </c>
      <c r="P2322">
        <v>1E-4</v>
      </c>
      <c r="Q2322">
        <v>1E-4</v>
      </c>
      <c r="R2322">
        <v>1E-4</v>
      </c>
      <c r="S2322">
        <v>1E-4</v>
      </c>
      <c r="T2322">
        <v>1E-4</v>
      </c>
      <c r="U2322">
        <v>1E-4</v>
      </c>
      <c r="V2322">
        <v>1E-4</v>
      </c>
      <c r="W2322">
        <v>1E-4</v>
      </c>
      <c r="X2322">
        <v>1E-4</v>
      </c>
      <c r="Y2322">
        <v>1E-4</v>
      </c>
    </row>
    <row r="2323" spans="1:25" hidden="1">
      <c r="A2323" t="s">
        <v>18811</v>
      </c>
      <c r="B2323" t="s">
        <v>823</v>
      </c>
      <c r="C2323" t="s">
        <v>804</v>
      </c>
      <c r="D2323" t="s">
        <v>621</v>
      </c>
      <c r="E2323" t="s">
        <v>768</v>
      </c>
      <c r="F2323" t="s">
        <v>598</v>
      </c>
      <c r="G2323" t="s">
        <v>478</v>
      </c>
      <c r="H2323" t="s">
        <v>600</v>
      </c>
      <c r="I2323" t="s">
        <v>601</v>
      </c>
      <c r="J2323">
        <v>6.9999999999999999E-4</v>
      </c>
      <c r="K2323">
        <v>6.9999999999999999E-4</v>
      </c>
      <c r="L2323">
        <v>6.9999999999999999E-4</v>
      </c>
      <c r="M2323">
        <v>6.9999999999999999E-4</v>
      </c>
      <c r="N2323">
        <v>6.9999999999999999E-4</v>
      </c>
      <c r="O2323">
        <v>6.9999999999999999E-4</v>
      </c>
      <c r="P2323">
        <v>6.9999999999999999E-4</v>
      </c>
      <c r="Q2323">
        <v>6.9999999999999999E-4</v>
      </c>
      <c r="R2323">
        <v>6.9999999999999999E-4</v>
      </c>
      <c r="S2323">
        <v>6.9999999999999999E-4</v>
      </c>
      <c r="T2323">
        <v>6.9999999999999999E-4</v>
      </c>
      <c r="U2323">
        <v>6.9999999999999999E-4</v>
      </c>
      <c r="V2323">
        <v>6.9999999999999999E-4</v>
      </c>
      <c r="W2323">
        <v>6.9999999999999999E-4</v>
      </c>
      <c r="X2323">
        <v>6.9999999999999999E-4</v>
      </c>
      <c r="Y2323">
        <v>6.9999999999999999E-4</v>
      </c>
    </row>
    <row r="2324" spans="1:25" hidden="1">
      <c r="A2324" t="s">
        <v>18811</v>
      </c>
      <c r="B2324" t="s">
        <v>825</v>
      </c>
      <c r="C2324" t="s">
        <v>804</v>
      </c>
      <c r="D2324" t="s">
        <v>621</v>
      </c>
      <c r="E2324" t="s">
        <v>628</v>
      </c>
      <c r="F2324" t="s">
        <v>598</v>
      </c>
      <c r="G2324" t="s">
        <v>478</v>
      </c>
      <c r="H2324" t="s">
        <v>600</v>
      </c>
      <c r="I2324" t="s">
        <v>601</v>
      </c>
      <c r="J2324">
        <v>9.1999999999999998E-3</v>
      </c>
      <c r="K2324">
        <v>9.2999999999999992E-3</v>
      </c>
      <c r="L2324">
        <v>9.2999999999999992E-3</v>
      </c>
      <c r="M2324">
        <v>9.4000000000000004E-3</v>
      </c>
      <c r="N2324">
        <v>9.4000000000000004E-3</v>
      </c>
      <c r="O2324">
        <v>9.4000000000000004E-3</v>
      </c>
      <c r="P2324">
        <v>9.4000000000000004E-3</v>
      </c>
      <c r="Q2324">
        <v>9.4999999999999998E-3</v>
      </c>
      <c r="R2324">
        <v>9.5999999999999992E-3</v>
      </c>
      <c r="S2324">
        <v>9.5999999999999992E-3</v>
      </c>
      <c r="T2324">
        <v>9.5999999999999992E-3</v>
      </c>
      <c r="U2324">
        <v>9.7000000000000003E-3</v>
      </c>
      <c r="V2324">
        <v>9.7000000000000003E-3</v>
      </c>
      <c r="W2324">
        <v>9.7000000000000003E-3</v>
      </c>
      <c r="X2324">
        <v>9.7999999999999997E-3</v>
      </c>
      <c r="Y2324">
        <v>9.7999999999999997E-3</v>
      </c>
    </row>
    <row r="2325" spans="1:25" hidden="1">
      <c r="A2325" t="s">
        <v>18811</v>
      </c>
      <c r="B2325" t="s">
        <v>827</v>
      </c>
      <c r="C2325" t="s">
        <v>804</v>
      </c>
      <c r="D2325" t="s">
        <v>828</v>
      </c>
      <c r="E2325" t="s">
        <v>597</v>
      </c>
      <c r="F2325" t="s">
        <v>598</v>
      </c>
      <c r="G2325" t="s">
        <v>478</v>
      </c>
      <c r="H2325" t="s">
        <v>600</v>
      </c>
      <c r="I2325" t="s">
        <v>601</v>
      </c>
      <c r="J2325">
        <v>1E-4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</row>
    <row r="2326" spans="1:25" hidden="1">
      <c r="A2326" t="s">
        <v>18811</v>
      </c>
      <c r="B2326" t="s">
        <v>829</v>
      </c>
      <c r="C2326" t="s">
        <v>804</v>
      </c>
      <c r="D2326" t="s">
        <v>828</v>
      </c>
      <c r="E2326" t="s">
        <v>628</v>
      </c>
      <c r="F2326" t="s">
        <v>598</v>
      </c>
      <c r="G2326" t="s">
        <v>478</v>
      </c>
      <c r="H2326" t="s">
        <v>600</v>
      </c>
      <c r="I2326" t="s">
        <v>601</v>
      </c>
      <c r="J2326">
        <v>1.55E-2</v>
      </c>
      <c r="K2326">
        <v>1.5699999999999999E-2</v>
      </c>
      <c r="L2326">
        <v>1.5699999999999999E-2</v>
      </c>
      <c r="M2326">
        <v>1.5599999999999999E-2</v>
      </c>
      <c r="N2326">
        <v>1.5800000000000002E-2</v>
      </c>
      <c r="O2326">
        <v>1.5800000000000002E-2</v>
      </c>
      <c r="P2326">
        <v>1.5900000000000001E-2</v>
      </c>
      <c r="Q2326">
        <v>1.5900000000000001E-2</v>
      </c>
      <c r="R2326">
        <v>1.6E-2</v>
      </c>
      <c r="S2326">
        <v>1.6E-2</v>
      </c>
      <c r="T2326">
        <v>1.61E-2</v>
      </c>
      <c r="U2326">
        <v>1.6E-2</v>
      </c>
      <c r="V2326">
        <v>1.61E-2</v>
      </c>
      <c r="W2326">
        <v>1.6199999999999999E-2</v>
      </c>
      <c r="X2326">
        <v>1.6299999999999999E-2</v>
      </c>
      <c r="Y2326">
        <v>1.6400000000000001E-2</v>
      </c>
    </row>
    <row r="2327" spans="1:25" hidden="1">
      <c r="A2327" t="s">
        <v>18811</v>
      </c>
      <c r="B2327" t="s">
        <v>830</v>
      </c>
      <c r="C2327" t="s">
        <v>804</v>
      </c>
      <c r="D2327" t="s">
        <v>828</v>
      </c>
      <c r="E2327" t="s">
        <v>628</v>
      </c>
      <c r="F2327" t="s">
        <v>831</v>
      </c>
      <c r="G2327" t="s">
        <v>478</v>
      </c>
      <c r="H2327" t="s">
        <v>600</v>
      </c>
      <c r="I2327" t="s">
        <v>601</v>
      </c>
      <c r="J2327">
        <v>3.8546</v>
      </c>
      <c r="K2327">
        <v>2.0373000000000001</v>
      </c>
      <c r="L2327">
        <v>1.8096000000000001</v>
      </c>
      <c r="M2327">
        <v>1.7256</v>
      </c>
      <c r="N2327">
        <v>1.7033</v>
      </c>
      <c r="O2327">
        <v>1.6838</v>
      </c>
      <c r="P2327">
        <v>1.6658999999999999</v>
      </c>
      <c r="Q2327">
        <v>1.6377999999999999</v>
      </c>
      <c r="R2327">
        <v>1.6147</v>
      </c>
      <c r="S2327">
        <v>1.5872999999999999</v>
      </c>
      <c r="T2327">
        <v>1.5456000000000001</v>
      </c>
      <c r="U2327">
        <v>1.5086999999999999</v>
      </c>
      <c r="V2327">
        <v>1.4628000000000001</v>
      </c>
      <c r="W2327">
        <v>1.4084000000000001</v>
      </c>
      <c r="X2327">
        <v>1.3454999999999999</v>
      </c>
      <c r="Y2327">
        <v>1.2827</v>
      </c>
    </row>
    <row r="2328" spans="1:25" hidden="1">
      <c r="A2328" t="s">
        <v>18811</v>
      </c>
      <c r="B2328" t="s">
        <v>832</v>
      </c>
      <c r="C2328" t="s">
        <v>804</v>
      </c>
      <c r="D2328" t="s">
        <v>828</v>
      </c>
      <c r="E2328" t="s">
        <v>628</v>
      </c>
      <c r="F2328" t="s">
        <v>833</v>
      </c>
      <c r="G2328" t="s">
        <v>478</v>
      </c>
      <c r="H2328" t="s">
        <v>600</v>
      </c>
      <c r="I2328" t="s">
        <v>601</v>
      </c>
      <c r="J2328">
        <v>2.972</v>
      </c>
      <c r="K2328">
        <v>2.8147000000000002</v>
      </c>
      <c r="L2328">
        <v>2.6623000000000001</v>
      </c>
      <c r="M2328">
        <v>2.5089999999999999</v>
      </c>
      <c r="N2328">
        <v>2.3536999999999999</v>
      </c>
      <c r="O2328">
        <v>2.1930000000000001</v>
      </c>
      <c r="P2328">
        <v>2.0259999999999998</v>
      </c>
      <c r="Q2328">
        <v>1.8666</v>
      </c>
      <c r="R2328">
        <v>1.714</v>
      </c>
      <c r="S2328">
        <v>1.5778000000000001</v>
      </c>
      <c r="T2328">
        <v>1.4576</v>
      </c>
      <c r="U2328">
        <v>1.3431999999999999</v>
      </c>
      <c r="V2328">
        <v>1.2362</v>
      </c>
      <c r="W2328">
        <v>1.141</v>
      </c>
      <c r="X2328">
        <v>1.0509999999999999</v>
      </c>
      <c r="Y2328">
        <v>0.96640000000000004</v>
      </c>
    </row>
    <row r="2329" spans="1:25" hidden="1">
      <c r="A2329" t="s">
        <v>18811</v>
      </c>
      <c r="B2329" t="s">
        <v>834</v>
      </c>
      <c r="C2329" t="s">
        <v>804</v>
      </c>
      <c r="D2329" t="s">
        <v>632</v>
      </c>
      <c r="E2329" t="s">
        <v>597</v>
      </c>
      <c r="F2329" t="s">
        <v>598</v>
      </c>
      <c r="G2329" t="s">
        <v>478</v>
      </c>
      <c r="H2329" t="s">
        <v>600</v>
      </c>
      <c r="I2329" t="s">
        <v>601</v>
      </c>
      <c r="J2329">
        <v>2.2000000000000001E-3</v>
      </c>
      <c r="K2329">
        <v>2.2000000000000001E-3</v>
      </c>
      <c r="L2329">
        <v>2.0999999999999999E-3</v>
      </c>
      <c r="M2329">
        <v>2.2000000000000001E-3</v>
      </c>
      <c r="N2329">
        <v>2.0999999999999999E-3</v>
      </c>
      <c r="O2329">
        <v>2.0999999999999999E-3</v>
      </c>
      <c r="P2329">
        <v>2.0999999999999999E-3</v>
      </c>
      <c r="Q2329">
        <v>2.0999999999999999E-3</v>
      </c>
      <c r="R2329">
        <v>2E-3</v>
      </c>
      <c r="S2329">
        <v>2E-3</v>
      </c>
      <c r="T2329">
        <v>2E-3</v>
      </c>
      <c r="U2329">
        <v>2E-3</v>
      </c>
      <c r="V2329">
        <v>1.9E-3</v>
      </c>
      <c r="W2329">
        <v>1.9E-3</v>
      </c>
      <c r="X2329">
        <v>1.9E-3</v>
      </c>
      <c r="Y2329">
        <v>1.9E-3</v>
      </c>
    </row>
    <row r="2330" spans="1:25" hidden="1">
      <c r="A2330" t="s">
        <v>18811</v>
      </c>
      <c r="B2330" t="s">
        <v>835</v>
      </c>
      <c r="C2330" t="s">
        <v>804</v>
      </c>
      <c r="D2330" t="s">
        <v>632</v>
      </c>
      <c r="E2330" t="s">
        <v>768</v>
      </c>
      <c r="F2330" t="s">
        <v>598</v>
      </c>
      <c r="G2330" t="s">
        <v>478</v>
      </c>
      <c r="H2330" t="s">
        <v>600</v>
      </c>
      <c r="I2330" t="s">
        <v>601</v>
      </c>
      <c r="J2330">
        <v>1E-4</v>
      </c>
      <c r="K2330">
        <v>1E-4</v>
      </c>
      <c r="L2330">
        <v>1E-4</v>
      </c>
      <c r="M2330">
        <v>1E-4</v>
      </c>
      <c r="N2330">
        <v>1E-4</v>
      </c>
      <c r="O2330">
        <v>1E-4</v>
      </c>
      <c r="P2330">
        <v>1E-4</v>
      </c>
      <c r="Q2330">
        <v>1E-4</v>
      </c>
      <c r="R2330">
        <v>1E-4</v>
      </c>
      <c r="S2330">
        <v>1E-4</v>
      </c>
      <c r="T2330">
        <v>1E-4</v>
      </c>
      <c r="U2330">
        <v>1E-4</v>
      </c>
      <c r="V2330">
        <v>1E-4</v>
      </c>
      <c r="W2330">
        <v>1E-4</v>
      </c>
      <c r="X2330">
        <v>1E-4</v>
      </c>
      <c r="Y2330">
        <v>1E-4</v>
      </c>
    </row>
    <row r="2331" spans="1:25" hidden="1">
      <c r="A2331" t="s">
        <v>18811</v>
      </c>
      <c r="B2331" t="s">
        <v>836</v>
      </c>
      <c r="C2331" t="s">
        <v>804</v>
      </c>
      <c r="D2331" t="s">
        <v>640</v>
      </c>
      <c r="E2331" t="s">
        <v>597</v>
      </c>
      <c r="F2331" t="s">
        <v>598</v>
      </c>
      <c r="G2331" t="s">
        <v>478</v>
      </c>
      <c r="H2331" t="s">
        <v>600</v>
      </c>
      <c r="I2331" t="s">
        <v>601</v>
      </c>
      <c r="J2331">
        <v>3.5000000000000001E-3</v>
      </c>
      <c r="K2331">
        <v>3.3999999999999998E-3</v>
      </c>
      <c r="L2331">
        <v>3.3999999999999998E-3</v>
      </c>
      <c r="M2331">
        <v>3.3999999999999998E-3</v>
      </c>
      <c r="N2331">
        <v>3.3999999999999998E-3</v>
      </c>
      <c r="O2331">
        <v>3.3999999999999998E-3</v>
      </c>
      <c r="P2331">
        <v>3.3999999999999998E-3</v>
      </c>
      <c r="Q2331">
        <v>3.3999999999999998E-3</v>
      </c>
      <c r="R2331">
        <v>3.3E-3</v>
      </c>
      <c r="S2331">
        <v>3.3E-3</v>
      </c>
      <c r="T2331">
        <v>3.3E-3</v>
      </c>
      <c r="U2331">
        <v>3.3E-3</v>
      </c>
      <c r="V2331">
        <v>3.3E-3</v>
      </c>
      <c r="W2331">
        <v>3.3E-3</v>
      </c>
      <c r="X2331">
        <v>3.3E-3</v>
      </c>
      <c r="Y2331">
        <v>3.3E-3</v>
      </c>
    </row>
    <row r="2332" spans="1:25" hidden="1">
      <c r="A2332" t="s">
        <v>18811</v>
      </c>
      <c r="B2332" t="s">
        <v>839</v>
      </c>
      <c r="C2332" t="s">
        <v>804</v>
      </c>
      <c r="D2332" t="s">
        <v>648</v>
      </c>
      <c r="E2332" t="s">
        <v>688</v>
      </c>
      <c r="F2332" t="s">
        <v>598</v>
      </c>
      <c r="G2332" t="s">
        <v>478</v>
      </c>
      <c r="H2332" t="s">
        <v>600</v>
      </c>
      <c r="I2332" t="s">
        <v>601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</row>
    <row r="2333" spans="1:25" hidden="1">
      <c r="A2333" t="s">
        <v>18811</v>
      </c>
      <c r="B2333" t="s">
        <v>842</v>
      </c>
      <c r="C2333" t="s">
        <v>841</v>
      </c>
      <c r="D2333" t="s">
        <v>596</v>
      </c>
      <c r="E2333" t="s">
        <v>597</v>
      </c>
      <c r="F2333" t="s">
        <v>598</v>
      </c>
      <c r="G2333" t="s">
        <v>478</v>
      </c>
      <c r="H2333" t="s">
        <v>600</v>
      </c>
      <c r="I2333" t="s">
        <v>601</v>
      </c>
      <c r="J2333">
        <v>9.5799999999999996E-2</v>
      </c>
      <c r="K2333">
        <v>9.5500000000000002E-2</v>
      </c>
      <c r="L2333">
        <v>9.5200000000000007E-2</v>
      </c>
      <c r="M2333">
        <v>9.6600000000000005E-2</v>
      </c>
      <c r="N2333">
        <v>9.6000000000000002E-2</v>
      </c>
      <c r="O2333">
        <v>9.5000000000000001E-2</v>
      </c>
      <c r="P2333">
        <v>9.4600000000000004E-2</v>
      </c>
      <c r="Q2333">
        <v>9.3299999999999994E-2</v>
      </c>
      <c r="R2333">
        <v>9.2600000000000002E-2</v>
      </c>
      <c r="S2333">
        <v>9.0399999999999994E-2</v>
      </c>
      <c r="T2333">
        <v>8.8400000000000006E-2</v>
      </c>
      <c r="U2333">
        <v>8.6400000000000005E-2</v>
      </c>
      <c r="V2333">
        <v>8.4900000000000003E-2</v>
      </c>
      <c r="W2333">
        <v>8.3199999999999996E-2</v>
      </c>
      <c r="X2333">
        <v>8.2199999999999995E-2</v>
      </c>
      <c r="Y2333">
        <v>8.1000000000000003E-2</v>
      </c>
    </row>
    <row r="2334" spans="1:25" hidden="1">
      <c r="A2334" t="s">
        <v>18811</v>
      </c>
      <c r="B2334" t="s">
        <v>844</v>
      </c>
      <c r="C2334" t="s">
        <v>841</v>
      </c>
      <c r="D2334" t="s">
        <v>596</v>
      </c>
      <c r="E2334" t="s">
        <v>603</v>
      </c>
      <c r="F2334" t="s">
        <v>598</v>
      </c>
      <c r="G2334" t="s">
        <v>478</v>
      </c>
      <c r="H2334" t="s">
        <v>600</v>
      </c>
      <c r="I2334" t="s">
        <v>601</v>
      </c>
      <c r="J2334">
        <v>9.7999999999999997E-3</v>
      </c>
      <c r="K2334">
        <v>9.5999999999999992E-3</v>
      </c>
      <c r="L2334">
        <v>9.4000000000000004E-3</v>
      </c>
      <c r="M2334">
        <v>9.1000000000000004E-3</v>
      </c>
      <c r="N2334">
        <v>9.1000000000000004E-3</v>
      </c>
      <c r="O2334">
        <v>8.8999999999999999E-3</v>
      </c>
      <c r="P2334">
        <v>8.6999999999999994E-3</v>
      </c>
      <c r="Q2334">
        <v>8.5000000000000006E-3</v>
      </c>
      <c r="R2334">
        <v>8.3999999999999995E-3</v>
      </c>
      <c r="S2334">
        <v>8.2000000000000007E-3</v>
      </c>
      <c r="T2334">
        <v>7.7999999999999996E-3</v>
      </c>
      <c r="U2334">
        <v>7.7999999999999996E-3</v>
      </c>
      <c r="V2334">
        <v>7.6E-3</v>
      </c>
      <c r="W2334">
        <v>7.4999999999999997E-3</v>
      </c>
      <c r="X2334">
        <v>7.1999999999999998E-3</v>
      </c>
      <c r="Y2334">
        <v>7.1999999999999998E-3</v>
      </c>
    </row>
    <row r="2335" spans="1:25" hidden="1">
      <c r="A2335" t="s">
        <v>18811</v>
      </c>
      <c r="B2335" t="s">
        <v>845</v>
      </c>
      <c r="C2335" t="s">
        <v>841</v>
      </c>
      <c r="D2335" t="s">
        <v>596</v>
      </c>
      <c r="E2335" t="s">
        <v>605</v>
      </c>
      <c r="F2335" t="s">
        <v>598</v>
      </c>
      <c r="G2335" t="s">
        <v>478</v>
      </c>
      <c r="H2335" t="s">
        <v>600</v>
      </c>
      <c r="I2335" t="s">
        <v>601</v>
      </c>
      <c r="J2335">
        <v>5.0000000000000001E-4</v>
      </c>
      <c r="K2335">
        <v>5.0000000000000001E-4</v>
      </c>
      <c r="L2335">
        <v>5.0000000000000001E-4</v>
      </c>
      <c r="M2335">
        <v>5.0000000000000001E-4</v>
      </c>
      <c r="N2335">
        <v>4.0000000000000002E-4</v>
      </c>
      <c r="O2335">
        <v>4.0000000000000002E-4</v>
      </c>
      <c r="P2335">
        <v>4.0000000000000002E-4</v>
      </c>
      <c r="Q2335">
        <v>4.0000000000000002E-4</v>
      </c>
      <c r="R2335">
        <v>4.0000000000000002E-4</v>
      </c>
      <c r="S2335">
        <v>4.0000000000000002E-4</v>
      </c>
      <c r="T2335">
        <v>4.0000000000000002E-4</v>
      </c>
      <c r="U2335">
        <v>4.0000000000000002E-4</v>
      </c>
      <c r="V2335">
        <v>4.0000000000000002E-4</v>
      </c>
      <c r="W2335">
        <v>4.0000000000000002E-4</v>
      </c>
      <c r="X2335">
        <v>4.0000000000000002E-4</v>
      </c>
      <c r="Y2335">
        <v>4.0000000000000002E-4</v>
      </c>
    </row>
    <row r="2336" spans="1:25" hidden="1">
      <c r="A2336" t="s">
        <v>18811</v>
      </c>
      <c r="B2336" t="s">
        <v>847</v>
      </c>
      <c r="C2336" t="s">
        <v>841</v>
      </c>
      <c r="D2336" t="s">
        <v>596</v>
      </c>
      <c r="E2336" t="s">
        <v>808</v>
      </c>
      <c r="F2336" t="s">
        <v>598</v>
      </c>
      <c r="G2336" t="s">
        <v>478</v>
      </c>
      <c r="H2336" t="s">
        <v>600</v>
      </c>
      <c r="I2336" t="s">
        <v>601</v>
      </c>
      <c r="J2336">
        <v>2.7000000000000001E-3</v>
      </c>
      <c r="K2336">
        <v>2.7000000000000001E-3</v>
      </c>
      <c r="L2336">
        <v>2.7000000000000001E-3</v>
      </c>
      <c r="M2336">
        <v>2.5999999999999999E-3</v>
      </c>
      <c r="N2336">
        <v>2.5999999999999999E-3</v>
      </c>
      <c r="O2336">
        <v>2.5999999999999999E-3</v>
      </c>
      <c r="P2336">
        <v>2.3E-3</v>
      </c>
      <c r="Q2336">
        <v>2.2000000000000001E-3</v>
      </c>
      <c r="R2336">
        <v>2.2000000000000001E-3</v>
      </c>
      <c r="S2336">
        <v>2.2000000000000001E-3</v>
      </c>
      <c r="T2336">
        <v>2.2000000000000001E-3</v>
      </c>
      <c r="U2336">
        <v>2.0999999999999999E-3</v>
      </c>
      <c r="V2336">
        <v>2E-3</v>
      </c>
      <c r="W2336">
        <v>2E-3</v>
      </c>
      <c r="X2336">
        <v>2E-3</v>
      </c>
      <c r="Y2336">
        <v>1.9E-3</v>
      </c>
    </row>
    <row r="2337" spans="1:25" hidden="1">
      <c r="A2337" t="s">
        <v>18811</v>
      </c>
      <c r="B2337" t="s">
        <v>850</v>
      </c>
      <c r="C2337" t="s">
        <v>841</v>
      </c>
      <c r="D2337" t="s">
        <v>596</v>
      </c>
      <c r="E2337" t="s">
        <v>613</v>
      </c>
      <c r="F2337" t="s">
        <v>598</v>
      </c>
      <c r="G2337" t="s">
        <v>478</v>
      </c>
      <c r="H2337" t="s">
        <v>600</v>
      </c>
      <c r="I2337" t="s">
        <v>601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</row>
    <row r="2338" spans="1:25" hidden="1">
      <c r="A2338" t="s">
        <v>18811</v>
      </c>
      <c r="B2338" t="s">
        <v>851</v>
      </c>
      <c r="C2338" t="s">
        <v>841</v>
      </c>
      <c r="D2338" t="s">
        <v>596</v>
      </c>
      <c r="E2338" t="s">
        <v>615</v>
      </c>
      <c r="F2338" t="s">
        <v>598</v>
      </c>
      <c r="G2338" t="s">
        <v>478</v>
      </c>
      <c r="H2338" t="s">
        <v>600</v>
      </c>
      <c r="I2338" t="s">
        <v>601</v>
      </c>
      <c r="J2338">
        <v>0.84340000000000004</v>
      </c>
      <c r="K2338">
        <v>0.84340000000000004</v>
      </c>
      <c r="L2338">
        <v>0.84340000000000004</v>
      </c>
      <c r="M2338">
        <v>0.84340000000000004</v>
      </c>
      <c r="N2338">
        <v>0.84340000000000004</v>
      </c>
      <c r="O2338">
        <v>0.84340000000000004</v>
      </c>
      <c r="P2338">
        <v>0.84340000000000004</v>
      </c>
      <c r="Q2338">
        <v>0.84340000000000004</v>
      </c>
      <c r="R2338">
        <v>0.84340000000000004</v>
      </c>
      <c r="S2338">
        <v>0.84340000000000004</v>
      </c>
      <c r="T2338">
        <v>0.84340000000000004</v>
      </c>
      <c r="U2338">
        <v>0.84340000000000004</v>
      </c>
      <c r="V2338">
        <v>0.84340000000000004</v>
      </c>
      <c r="W2338">
        <v>0.84340000000000004</v>
      </c>
      <c r="X2338">
        <v>0.84340000000000004</v>
      </c>
      <c r="Y2338">
        <v>0.84340000000000004</v>
      </c>
    </row>
    <row r="2339" spans="1:25" hidden="1">
      <c r="A2339" t="s">
        <v>18811</v>
      </c>
      <c r="B2339" t="s">
        <v>852</v>
      </c>
      <c r="C2339" t="s">
        <v>841</v>
      </c>
      <c r="D2339" t="s">
        <v>596</v>
      </c>
      <c r="E2339" t="s">
        <v>619</v>
      </c>
      <c r="F2339" t="s">
        <v>598</v>
      </c>
      <c r="G2339" t="s">
        <v>478</v>
      </c>
      <c r="H2339" t="s">
        <v>600</v>
      </c>
      <c r="I2339" t="s">
        <v>601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hidden="1">
      <c r="A2340" t="s">
        <v>18811</v>
      </c>
      <c r="B2340" t="s">
        <v>855</v>
      </c>
      <c r="C2340" t="s">
        <v>841</v>
      </c>
      <c r="D2340" t="s">
        <v>671</v>
      </c>
      <c r="E2340" t="s">
        <v>597</v>
      </c>
      <c r="F2340" t="s">
        <v>598</v>
      </c>
      <c r="G2340" t="s">
        <v>478</v>
      </c>
      <c r="H2340" t="s">
        <v>600</v>
      </c>
      <c r="I2340" t="s">
        <v>601</v>
      </c>
      <c r="J2340">
        <v>2.1600000000000001E-2</v>
      </c>
      <c r="K2340">
        <v>2.1600000000000001E-2</v>
      </c>
      <c r="L2340">
        <v>2.1600000000000001E-2</v>
      </c>
      <c r="M2340">
        <v>2.2200000000000001E-2</v>
      </c>
      <c r="N2340">
        <v>2.1999999999999999E-2</v>
      </c>
      <c r="O2340">
        <v>2.1700000000000001E-2</v>
      </c>
      <c r="P2340">
        <v>2.1600000000000001E-2</v>
      </c>
      <c r="Q2340">
        <v>2.1600000000000001E-2</v>
      </c>
      <c r="R2340">
        <v>2.12E-2</v>
      </c>
      <c r="S2340">
        <v>2.0799999999999999E-2</v>
      </c>
      <c r="T2340">
        <v>2.0299999999999999E-2</v>
      </c>
      <c r="U2340">
        <v>1.9900000000000001E-2</v>
      </c>
      <c r="V2340">
        <v>1.9400000000000001E-2</v>
      </c>
      <c r="W2340">
        <v>1.9199999999999998E-2</v>
      </c>
      <c r="X2340">
        <v>1.9E-2</v>
      </c>
      <c r="Y2340">
        <v>1.8599999999999998E-2</v>
      </c>
    </row>
    <row r="2341" spans="1:25" hidden="1">
      <c r="A2341" t="s">
        <v>18811</v>
      </c>
      <c r="B2341" t="s">
        <v>856</v>
      </c>
      <c r="C2341" t="s">
        <v>841</v>
      </c>
      <c r="D2341" t="s">
        <v>671</v>
      </c>
      <c r="E2341" t="s">
        <v>642</v>
      </c>
      <c r="F2341" t="s">
        <v>598</v>
      </c>
      <c r="G2341" t="s">
        <v>478</v>
      </c>
      <c r="H2341" t="s">
        <v>600</v>
      </c>
      <c r="I2341" t="s">
        <v>601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hidden="1">
      <c r="A2342" t="s">
        <v>18811</v>
      </c>
      <c r="B2342" t="s">
        <v>857</v>
      </c>
      <c r="C2342" t="s">
        <v>841</v>
      </c>
      <c r="D2342" t="s">
        <v>671</v>
      </c>
      <c r="E2342" t="s">
        <v>605</v>
      </c>
      <c r="F2342" t="s">
        <v>598</v>
      </c>
      <c r="G2342" t="s">
        <v>478</v>
      </c>
      <c r="H2342" t="s">
        <v>600</v>
      </c>
      <c r="I2342" t="s">
        <v>601</v>
      </c>
      <c r="J2342">
        <v>4.3E-3</v>
      </c>
      <c r="K2342">
        <v>4.3E-3</v>
      </c>
      <c r="L2342">
        <v>4.3E-3</v>
      </c>
      <c r="M2342">
        <v>4.3E-3</v>
      </c>
      <c r="N2342">
        <v>4.3E-3</v>
      </c>
      <c r="O2342">
        <v>4.3E-3</v>
      </c>
      <c r="P2342">
        <v>4.3E-3</v>
      </c>
      <c r="Q2342">
        <v>4.3E-3</v>
      </c>
      <c r="R2342">
        <v>4.3E-3</v>
      </c>
      <c r="S2342">
        <v>4.3E-3</v>
      </c>
      <c r="T2342">
        <v>4.3E-3</v>
      </c>
      <c r="U2342">
        <v>4.3E-3</v>
      </c>
      <c r="V2342">
        <v>4.3E-3</v>
      </c>
      <c r="W2342">
        <v>4.3E-3</v>
      </c>
      <c r="X2342">
        <v>4.3E-3</v>
      </c>
      <c r="Y2342">
        <v>4.3E-3</v>
      </c>
    </row>
    <row r="2343" spans="1:25" hidden="1">
      <c r="A2343" t="s">
        <v>18811</v>
      </c>
      <c r="B2343" t="s">
        <v>858</v>
      </c>
      <c r="C2343" t="s">
        <v>841</v>
      </c>
      <c r="D2343" t="s">
        <v>671</v>
      </c>
      <c r="E2343" t="s">
        <v>624</v>
      </c>
      <c r="F2343" t="s">
        <v>598</v>
      </c>
      <c r="G2343" t="s">
        <v>478</v>
      </c>
      <c r="H2343" t="s">
        <v>600</v>
      </c>
      <c r="I2343" t="s">
        <v>601</v>
      </c>
      <c r="J2343">
        <v>1.3599999999999999E-2</v>
      </c>
      <c r="K2343">
        <v>1.32E-2</v>
      </c>
      <c r="L2343">
        <v>1.2999999999999999E-2</v>
      </c>
      <c r="M2343">
        <v>1.2800000000000001E-2</v>
      </c>
      <c r="N2343">
        <v>1.2500000000000001E-2</v>
      </c>
      <c r="O2343">
        <v>1.23E-2</v>
      </c>
      <c r="P2343">
        <v>1.2E-2</v>
      </c>
      <c r="Q2343">
        <v>1.18E-2</v>
      </c>
      <c r="R2343">
        <v>1.1599999999999999E-2</v>
      </c>
      <c r="S2343">
        <v>1.1299999999999999E-2</v>
      </c>
      <c r="T2343">
        <v>1.11E-2</v>
      </c>
      <c r="U2343">
        <v>1.0800000000000001E-2</v>
      </c>
      <c r="V2343">
        <v>1.06E-2</v>
      </c>
      <c r="W2343">
        <v>1.03E-2</v>
      </c>
      <c r="X2343">
        <v>1.01E-2</v>
      </c>
      <c r="Y2343">
        <v>9.9000000000000008E-3</v>
      </c>
    </row>
    <row r="2344" spans="1:25" hidden="1">
      <c r="A2344" t="s">
        <v>18811</v>
      </c>
      <c r="B2344" t="s">
        <v>860</v>
      </c>
      <c r="C2344" t="s">
        <v>841</v>
      </c>
      <c r="D2344" t="s">
        <v>753</v>
      </c>
      <c r="E2344" t="s">
        <v>597</v>
      </c>
      <c r="F2344" t="s">
        <v>598</v>
      </c>
      <c r="G2344" t="s">
        <v>478</v>
      </c>
      <c r="H2344" t="s">
        <v>600</v>
      </c>
      <c r="I2344" t="s">
        <v>601</v>
      </c>
      <c r="J2344">
        <v>1.89E-2</v>
      </c>
      <c r="K2344">
        <v>1.89E-2</v>
      </c>
      <c r="L2344">
        <v>1.89E-2</v>
      </c>
      <c r="M2344">
        <v>1.89E-2</v>
      </c>
      <c r="N2344">
        <v>1.89E-2</v>
      </c>
      <c r="O2344">
        <v>1.89E-2</v>
      </c>
      <c r="P2344">
        <v>1.89E-2</v>
      </c>
      <c r="Q2344">
        <v>1.89E-2</v>
      </c>
      <c r="R2344">
        <v>1.89E-2</v>
      </c>
      <c r="S2344">
        <v>1.89E-2</v>
      </c>
      <c r="T2344">
        <v>1.89E-2</v>
      </c>
      <c r="U2344">
        <v>1.89E-2</v>
      </c>
      <c r="V2344">
        <v>1.89E-2</v>
      </c>
      <c r="W2344">
        <v>1.89E-2</v>
      </c>
      <c r="X2344">
        <v>1.89E-2</v>
      </c>
      <c r="Y2344">
        <v>1.89E-2</v>
      </c>
    </row>
    <row r="2345" spans="1:25" hidden="1">
      <c r="A2345" t="s">
        <v>18811</v>
      </c>
      <c r="B2345" t="s">
        <v>861</v>
      </c>
      <c r="C2345" t="s">
        <v>841</v>
      </c>
      <c r="D2345" t="s">
        <v>753</v>
      </c>
      <c r="E2345" t="s">
        <v>642</v>
      </c>
      <c r="F2345" t="s">
        <v>598</v>
      </c>
      <c r="G2345" t="s">
        <v>478</v>
      </c>
      <c r="H2345" t="s">
        <v>600</v>
      </c>
      <c r="I2345" t="s">
        <v>601</v>
      </c>
      <c r="J2345">
        <v>1E-4</v>
      </c>
      <c r="K2345">
        <v>1E-4</v>
      </c>
      <c r="L2345">
        <v>1E-4</v>
      </c>
      <c r="M2345">
        <v>1E-4</v>
      </c>
      <c r="N2345">
        <v>1E-4</v>
      </c>
      <c r="O2345">
        <v>1E-4</v>
      </c>
      <c r="P2345">
        <v>1E-4</v>
      </c>
      <c r="Q2345">
        <v>1E-4</v>
      </c>
      <c r="R2345">
        <v>1E-4</v>
      </c>
      <c r="S2345">
        <v>1E-4</v>
      </c>
      <c r="T2345">
        <v>1E-4</v>
      </c>
      <c r="U2345">
        <v>1E-4</v>
      </c>
      <c r="V2345">
        <v>1E-4</v>
      </c>
      <c r="W2345">
        <v>1E-4</v>
      </c>
      <c r="X2345">
        <v>1E-4</v>
      </c>
      <c r="Y2345">
        <v>1E-4</v>
      </c>
    </row>
    <row r="2346" spans="1:25" hidden="1">
      <c r="A2346" t="s">
        <v>18811</v>
      </c>
      <c r="B2346" t="s">
        <v>862</v>
      </c>
      <c r="C2346" t="s">
        <v>841</v>
      </c>
      <c r="D2346" t="s">
        <v>756</v>
      </c>
      <c r="E2346" t="s">
        <v>597</v>
      </c>
      <c r="F2346" t="s">
        <v>598</v>
      </c>
      <c r="G2346" t="s">
        <v>478</v>
      </c>
      <c r="H2346" t="s">
        <v>600</v>
      </c>
      <c r="I2346" t="s">
        <v>601</v>
      </c>
      <c r="J2346">
        <v>1.1451</v>
      </c>
      <c r="K2346">
        <v>1.1633</v>
      </c>
      <c r="L2346">
        <v>1.1531</v>
      </c>
      <c r="M2346">
        <v>1.1569</v>
      </c>
      <c r="N2346">
        <v>1.1431</v>
      </c>
      <c r="O2346">
        <v>1.1249</v>
      </c>
      <c r="P2346">
        <v>1.1060000000000001</v>
      </c>
      <c r="Q2346">
        <v>1.0834999999999999</v>
      </c>
      <c r="R2346">
        <v>1.0575000000000001</v>
      </c>
      <c r="S2346">
        <v>1.0321</v>
      </c>
      <c r="T2346">
        <v>0.99960000000000004</v>
      </c>
      <c r="U2346">
        <v>0.96660000000000001</v>
      </c>
      <c r="V2346">
        <v>0.93879999999999997</v>
      </c>
      <c r="W2346">
        <v>0.91379999999999995</v>
      </c>
      <c r="X2346">
        <v>0.8881</v>
      </c>
      <c r="Y2346">
        <v>0.86360000000000003</v>
      </c>
    </row>
    <row r="2347" spans="1:25" hidden="1">
      <c r="A2347" t="s">
        <v>18811</v>
      </c>
      <c r="B2347" t="s">
        <v>863</v>
      </c>
      <c r="C2347" t="s">
        <v>841</v>
      </c>
      <c r="D2347" t="s">
        <v>756</v>
      </c>
      <c r="E2347" t="s">
        <v>642</v>
      </c>
      <c r="F2347" t="s">
        <v>598</v>
      </c>
      <c r="G2347" t="s">
        <v>478</v>
      </c>
      <c r="H2347" t="s">
        <v>600</v>
      </c>
      <c r="I2347" t="s">
        <v>601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hidden="1">
      <c r="A2348" t="s">
        <v>18811</v>
      </c>
      <c r="B2348" t="s">
        <v>864</v>
      </c>
      <c r="C2348" t="s">
        <v>841</v>
      </c>
      <c r="D2348" t="s">
        <v>756</v>
      </c>
      <c r="E2348" t="s">
        <v>619</v>
      </c>
      <c r="F2348" t="s">
        <v>598</v>
      </c>
      <c r="G2348" t="s">
        <v>478</v>
      </c>
      <c r="H2348" t="s">
        <v>600</v>
      </c>
      <c r="I2348" t="s">
        <v>601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</row>
    <row r="2349" spans="1:25" hidden="1">
      <c r="A2349" t="s">
        <v>18811</v>
      </c>
      <c r="B2349" t="s">
        <v>865</v>
      </c>
      <c r="C2349" t="s">
        <v>841</v>
      </c>
      <c r="D2349" t="s">
        <v>866</v>
      </c>
      <c r="E2349" t="s">
        <v>597</v>
      </c>
      <c r="F2349" t="s">
        <v>598</v>
      </c>
      <c r="G2349" t="s">
        <v>478</v>
      </c>
      <c r="H2349" t="s">
        <v>600</v>
      </c>
      <c r="I2349" t="s">
        <v>601</v>
      </c>
      <c r="J2349">
        <v>0.71579999999999999</v>
      </c>
      <c r="K2349">
        <v>0.72709999999999997</v>
      </c>
      <c r="L2349">
        <v>0.73939999999999995</v>
      </c>
      <c r="M2349">
        <v>0.76100000000000001</v>
      </c>
      <c r="N2349">
        <v>0.77210000000000001</v>
      </c>
      <c r="O2349">
        <v>0.78029999999999999</v>
      </c>
      <c r="P2349">
        <v>0.78859999999999997</v>
      </c>
      <c r="Q2349">
        <v>0.7954</v>
      </c>
      <c r="R2349">
        <v>0.80059999999999998</v>
      </c>
      <c r="S2349">
        <v>0.80410000000000004</v>
      </c>
      <c r="T2349">
        <v>0.80349999999999999</v>
      </c>
      <c r="U2349">
        <v>0.80300000000000005</v>
      </c>
      <c r="V2349">
        <v>0.80589999999999995</v>
      </c>
      <c r="W2349">
        <v>0.81189999999999996</v>
      </c>
      <c r="X2349">
        <v>0.81850000000000001</v>
      </c>
      <c r="Y2349">
        <v>0.8256</v>
      </c>
    </row>
    <row r="2350" spans="1:25" hidden="1">
      <c r="A2350" t="s">
        <v>18811</v>
      </c>
      <c r="B2350" t="s">
        <v>868</v>
      </c>
      <c r="C2350" t="s">
        <v>841</v>
      </c>
      <c r="D2350" t="s">
        <v>621</v>
      </c>
      <c r="E2350" t="s">
        <v>597</v>
      </c>
      <c r="F2350" t="s">
        <v>598</v>
      </c>
      <c r="G2350" t="s">
        <v>478</v>
      </c>
      <c r="H2350" t="s">
        <v>600</v>
      </c>
      <c r="I2350" t="s">
        <v>601</v>
      </c>
      <c r="J2350">
        <v>0.23350000000000001</v>
      </c>
      <c r="K2350">
        <v>0.23719999999999999</v>
      </c>
      <c r="L2350">
        <v>0.24149999999999999</v>
      </c>
      <c r="M2350">
        <v>0.249</v>
      </c>
      <c r="N2350">
        <v>0.25240000000000001</v>
      </c>
      <c r="O2350">
        <v>0.2555</v>
      </c>
      <c r="P2350">
        <v>0.25829999999999997</v>
      </c>
      <c r="Q2350">
        <v>0.26050000000000001</v>
      </c>
      <c r="R2350">
        <v>0.2621</v>
      </c>
      <c r="S2350">
        <v>0.26340000000000002</v>
      </c>
      <c r="T2350">
        <v>0.26329999999999998</v>
      </c>
      <c r="U2350">
        <v>0.26319999999999999</v>
      </c>
      <c r="V2350">
        <v>0.26440000000000002</v>
      </c>
      <c r="W2350">
        <v>0.26679999999999998</v>
      </c>
      <c r="X2350">
        <v>0.26929999999999998</v>
      </c>
      <c r="Y2350">
        <v>0.27179999999999999</v>
      </c>
    </row>
    <row r="2351" spans="1:25" hidden="1">
      <c r="A2351" t="s">
        <v>18811</v>
      </c>
      <c r="B2351" t="s">
        <v>870</v>
      </c>
      <c r="C2351" t="s">
        <v>841</v>
      </c>
      <c r="D2351" t="s">
        <v>621</v>
      </c>
      <c r="E2351" t="s">
        <v>603</v>
      </c>
      <c r="F2351" t="s">
        <v>598</v>
      </c>
      <c r="G2351" t="s">
        <v>478</v>
      </c>
      <c r="H2351" t="s">
        <v>600</v>
      </c>
      <c r="I2351" t="s">
        <v>601</v>
      </c>
      <c r="J2351">
        <v>6.7000000000000002E-3</v>
      </c>
      <c r="K2351">
        <v>6.7000000000000002E-3</v>
      </c>
      <c r="L2351">
        <v>6.7000000000000002E-3</v>
      </c>
      <c r="M2351">
        <v>6.7000000000000002E-3</v>
      </c>
      <c r="N2351">
        <v>6.7000000000000002E-3</v>
      </c>
      <c r="O2351">
        <v>6.7000000000000002E-3</v>
      </c>
      <c r="P2351">
        <v>6.7000000000000002E-3</v>
      </c>
      <c r="Q2351">
        <v>6.7000000000000002E-3</v>
      </c>
      <c r="R2351">
        <v>6.7000000000000002E-3</v>
      </c>
      <c r="S2351">
        <v>6.7000000000000002E-3</v>
      </c>
      <c r="T2351">
        <v>6.7000000000000002E-3</v>
      </c>
      <c r="U2351">
        <v>6.7000000000000002E-3</v>
      </c>
      <c r="V2351">
        <v>6.7000000000000002E-3</v>
      </c>
      <c r="W2351">
        <v>6.7000000000000002E-3</v>
      </c>
      <c r="X2351">
        <v>6.7000000000000002E-3</v>
      </c>
      <c r="Y2351">
        <v>6.7000000000000002E-3</v>
      </c>
    </row>
    <row r="2352" spans="1:25" hidden="1">
      <c r="A2352" t="s">
        <v>18811</v>
      </c>
      <c r="B2352" t="s">
        <v>871</v>
      </c>
      <c r="C2352" t="s">
        <v>841</v>
      </c>
      <c r="D2352" t="s">
        <v>621</v>
      </c>
      <c r="E2352" t="s">
        <v>605</v>
      </c>
      <c r="F2352" t="s">
        <v>598</v>
      </c>
      <c r="G2352" t="s">
        <v>478</v>
      </c>
      <c r="H2352" t="s">
        <v>600</v>
      </c>
      <c r="I2352" t="s">
        <v>601</v>
      </c>
      <c r="J2352">
        <v>2.0000000000000001E-4</v>
      </c>
      <c r="K2352">
        <v>2.0000000000000001E-4</v>
      </c>
      <c r="L2352">
        <v>2.0000000000000001E-4</v>
      </c>
      <c r="M2352">
        <v>2.0000000000000001E-4</v>
      </c>
      <c r="N2352">
        <v>2.0000000000000001E-4</v>
      </c>
      <c r="O2352">
        <v>2.0000000000000001E-4</v>
      </c>
      <c r="P2352">
        <v>2.0000000000000001E-4</v>
      </c>
      <c r="Q2352">
        <v>2.0000000000000001E-4</v>
      </c>
      <c r="R2352">
        <v>2.0000000000000001E-4</v>
      </c>
      <c r="S2352">
        <v>2.0000000000000001E-4</v>
      </c>
      <c r="T2352">
        <v>2.0000000000000001E-4</v>
      </c>
      <c r="U2352">
        <v>2.0000000000000001E-4</v>
      </c>
      <c r="V2352">
        <v>2.0000000000000001E-4</v>
      </c>
      <c r="W2352">
        <v>2.0000000000000001E-4</v>
      </c>
      <c r="X2352">
        <v>2.0000000000000001E-4</v>
      </c>
      <c r="Y2352">
        <v>2.0000000000000001E-4</v>
      </c>
    </row>
    <row r="2353" spans="1:25" hidden="1">
      <c r="A2353" t="s">
        <v>18811</v>
      </c>
      <c r="B2353" t="s">
        <v>873</v>
      </c>
      <c r="C2353" t="s">
        <v>841</v>
      </c>
      <c r="D2353" t="s">
        <v>621</v>
      </c>
      <c r="E2353" t="s">
        <v>768</v>
      </c>
      <c r="F2353" t="s">
        <v>598</v>
      </c>
      <c r="G2353" t="s">
        <v>478</v>
      </c>
      <c r="H2353" t="s">
        <v>600</v>
      </c>
      <c r="I2353" t="s">
        <v>601</v>
      </c>
      <c r="J2353">
        <v>2.81E-2</v>
      </c>
      <c r="K2353">
        <v>2.81E-2</v>
      </c>
      <c r="L2353">
        <v>2.81E-2</v>
      </c>
      <c r="M2353">
        <v>2.81E-2</v>
      </c>
      <c r="N2353">
        <v>2.81E-2</v>
      </c>
      <c r="O2353">
        <v>2.81E-2</v>
      </c>
      <c r="P2353">
        <v>2.81E-2</v>
      </c>
      <c r="Q2353">
        <v>2.81E-2</v>
      </c>
      <c r="R2353">
        <v>2.81E-2</v>
      </c>
      <c r="S2353">
        <v>2.81E-2</v>
      </c>
      <c r="T2353">
        <v>2.81E-2</v>
      </c>
      <c r="U2353">
        <v>2.81E-2</v>
      </c>
      <c r="V2353">
        <v>2.81E-2</v>
      </c>
      <c r="W2353">
        <v>2.81E-2</v>
      </c>
      <c r="X2353">
        <v>2.81E-2</v>
      </c>
      <c r="Y2353">
        <v>2.81E-2</v>
      </c>
    </row>
    <row r="2354" spans="1:25" hidden="1">
      <c r="A2354" t="s">
        <v>18811</v>
      </c>
      <c r="B2354" t="s">
        <v>875</v>
      </c>
      <c r="C2354" t="s">
        <v>841</v>
      </c>
      <c r="D2354" t="s">
        <v>621</v>
      </c>
      <c r="E2354" t="s">
        <v>626</v>
      </c>
      <c r="F2354" t="s">
        <v>598</v>
      </c>
      <c r="G2354" t="s">
        <v>478</v>
      </c>
      <c r="H2354" t="s">
        <v>600</v>
      </c>
      <c r="I2354" t="s">
        <v>601</v>
      </c>
      <c r="J2354">
        <v>4.0000000000000002E-4</v>
      </c>
      <c r="K2354">
        <v>4.0000000000000002E-4</v>
      </c>
      <c r="L2354">
        <v>4.0000000000000002E-4</v>
      </c>
      <c r="M2354">
        <v>4.0000000000000002E-4</v>
      </c>
      <c r="N2354">
        <v>4.0000000000000002E-4</v>
      </c>
      <c r="O2354">
        <v>4.0000000000000002E-4</v>
      </c>
      <c r="P2354">
        <v>4.0000000000000002E-4</v>
      </c>
      <c r="Q2354">
        <v>4.0000000000000002E-4</v>
      </c>
      <c r="R2354">
        <v>4.0000000000000002E-4</v>
      </c>
      <c r="S2354">
        <v>4.0000000000000002E-4</v>
      </c>
      <c r="T2354">
        <v>4.0000000000000002E-4</v>
      </c>
      <c r="U2354">
        <v>4.0000000000000002E-4</v>
      </c>
      <c r="V2354">
        <v>4.0000000000000002E-4</v>
      </c>
      <c r="W2354">
        <v>4.0000000000000002E-4</v>
      </c>
      <c r="X2354">
        <v>4.0000000000000002E-4</v>
      </c>
      <c r="Y2354">
        <v>4.0000000000000002E-4</v>
      </c>
    </row>
    <row r="2355" spans="1:25" hidden="1">
      <c r="A2355" t="s">
        <v>18811</v>
      </c>
      <c r="B2355" t="s">
        <v>876</v>
      </c>
      <c r="C2355" t="s">
        <v>841</v>
      </c>
      <c r="D2355" t="s">
        <v>621</v>
      </c>
      <c r="E2355" t="s">
        <v>628</v>
      </c>
      <c r="F2355" t="s">
        <v>598</v>
      </c>
      <c r="G2355" t="s">
        <v>478</v>
      </c>
      <c r="H2355" t="s">
        <v>600</v>
      </c>
      <c r="I2355" t="s">
        <v>601</v>
      </c>
      <c r="J2355">
        <v>0.18970000000000001</v>
      </c>
      <c r="K2355">
        <v>0.18970000000000001</v>
      </c>
      <c r="L2355">
        <v>0.18970000000000001</v>
      </c>
      <c r="M2355">
        <v>0.18970000000000001</v>
      </c>
      <c r="N2355">
        <v>0.18970000000000001</v>
      </c>
      <c r="O2355">
        <v>0.18970000000000001</v>
      </c>
      <c r="P2355">
        <v>0.18970000000000001</v>
      </c>
      <c r="Q2355">
        <v>0.126</v>
      </c>
      <c r="R2355">
        <v>0.126</v>
      </c>
      <c r="S2355">
        <v>0.126</v>
      </c>
      <c r="T2355">
        <v>0.126</v>
      </c>
      <c r="U2355">
        <v>0.126</v>
      </c>
      <c r="V2355">
        <v>0.126</v>
      </c>
      <c r="W2355">
        <v>0.126</v>
      </c>
      <c r="X2355">
        <v>0.126</v>
      </c>
      <c r="Y2355">
        <v>0.126</v>
      </c>
    </row>
    <row r="2356" spans="1:25" hidden="1">
      <c r="A2356" t="s">
        <v>18811</v>
      </c>
      <c r="B2356" t="s">
        <v>877</v>
      </c>
      <c r="C2356" t="s">
        <v>841</v>
      </c>
      <c r="D2356" t="s">
        <v>621</v>
      </c>
      <c r="E2356" t="s">
        <v>692</v>
      </c>
      <c r="F2356" t="s">
        <v>598</v>
      </c>
      <c r="G2356" t="s">
        <v>478</v>
      </c>
      <c r="H2356" t="s">
        <v>600</v>
      </c>
      <c r="I2356" t="s">
        <v>601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hidden="1">
      <c r="A2357" t="s">
        <v>18811</v>
      </c>
      <c r="B2357" t="s">
        <v>882</v>
      </c>
      <c r="C2357" t="s">
        <v>841</v>
      </c>
      <c r="D2357" t="s">
        <v>632</v>
      </c>
      <c r="E2357" t="s">
        <v>597</v>
      </c>
      <c r="F2357" t="s">
        <v>598</v>
      </c>
      <c r="G2357" t="s">
        <v>478</v>
      </c>
      <c r="H2357" t="s">
        <v>600</v>
      </c>
      <c r="I2357" t="s">
        <v>601</v>
      </c>
      <c r="J2357">
        <v>3.44E-2</v>
      </c>
      <c r="K2357">
        <v>3.4799999999999998E-2</v>
      </c>
      <c r="L2357">
        <v>3.5499999999999997E-2</v>
      </c>
      <c r="M2357">
        <v>3.6999999999999998E-2</v>
      </c>
      <c r="N2357">
        <v>3.7600000000000001E-2</v>
      </c>
      <c r="O2357">
        <v>3.8100000000000002E-2</v>
      </c>
      <c r="P2357">
        <v>3.8600000000000002E-2</v>
      </c>
      <c r="Q2357">
        <v>3.9100000000000003E-2</v>
      </c>
      <c r="R2357">
        <v>3.9600000000000003E-2</v>
      </c>
      <c r="S2357">
        <v>3.9899999999999998E-2</v>
      </c>
      <c r="T2357">
        <v>3.9899999999999998E-2</v>
      </c>
      <c r="U2357">
        <v>3.9600000000000003E-2</v>
      </c>
      <c r="V2357">
        <v>3.9899999999999998E-2</v>
      </c>
      <c r="W2357">
        <v>4.0099999999999997E-2</v>
      </c>
      <c r="X2357">
        <v>4.0399999999999998E-2</v>
      </c>
      <c r="Y2357">
        <v>4.0800000000000003E-2</v>
      </c>
    </row>
    <row r="2358" spans="1:25" hidden="1">
      <c r="A2358" t="s">
        <v>18811</v>
      </c>
      <c r="B2358" t="s">
        <v>884</v>
      </c>
      <c r="C2358" t="s">
        <v>841</v>
      </c>
      <c r="D2358" t="s">
        <v>632</v>
      </c>
      <c r="E2358" t="s">
        <v>768</v>
      </c>
      <c r="F2358" t="s">
        <v>598</v>
      </c>
      <c r="G2358" t="s">
        <v>478</v>
      </c>
      <c r="H2358" t="s">
        <v>600</v>
      </c>
      <c r="I2358" t="s">
        <v>601</v>
      </c>
      <c r="J2358">
        <v>1.2999999999999999E-3</v>
      </c>
      <c r="K2358">
        <v>1.2999999999999999E-3</v>
      </c>
      <c r="L2358">
        <v>1.2999999999999999E-3</v>
      </c>
      <c r="M2358">
        <v>1.2999999999999999E-3</v>
      </c>
      <c r="N2358">
        <v>1.2999999999999999E-3</v>
      </c>
      <c r="O2358">
        <v>1.2999999999999999E-3</v>
      </c>
      <c r="P2358">
        <v>1.2999999999999999E-3</v>
      </c>
      <c r="Q2358">
        <v>1.2999999999999999E-3</v>
      </c>
      <c r="R2358">
        <v>1.2999999999999999E-3</v>
      </c>
      <c r="S2358">
        <v>1.2999999999999999E-3</v>
      </c>
      <c r="T2358">
        <v>1.2999999999999999E-3</v>
      </c>
      <c r="U2358">
        <v>1.2999999999999999E-3</v>
      </c>
      <c r="V2358">
        <v>1.2999999999999999E-3</v>
      </c>
      <c r="W2358">
        <v>1.2999999999999999E-3</v>
      </c>
      <c r="X2358">
        <v>1.2999999999999999E-3</v>
      </c>
      <c r="Y2358">
        <v>1.2999999999999999E-3</v>
      </c>
    </row>
    <row r="2359" spans="1:25" hidden="1">
      <c r="A2359" t="s">
        <v>18811</v>
      </c>
      <c r="B2359" t="s">
        <v>890</v>
      </c>
      <c r="C2359" t="s">
        <v>841</v>
      </c>
      <c r="D2359" t="s">
        <v>632</v>
      </c>
      <c r="E2359" t="s">
        <v>638</v>
      </c>
      <c r="F2359" t="s">
        <v>598</v>
      </c>
      <c r="G2359" t="s">
        <v>478</v>
      </c>
      <c r="H2359" t="s">
        <v>600</v>
      </c>
      <c r="I2359" t="s">
        <v>601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hidden="1">
      <c r="A2360" t="s">
        <v>18811</v>
      </c>
      <c r="B2360" t="s">
        <v>891</v>
      </c>
      <c r="C2360" t="s">
        <v>841</v>
      </c>
      <c r="D2360" t="s">
        <v>632</v>
      </c>
      <c r="E2360" t="s">
        <v>892</v>
      </c>
      <c r="F2360" t="s">
        <v>598</v>
      </c>
      <c r="G2360" t="s">
        <v>478</v>
      </c>
      <c r="H2360" t="s">
        <v>600</v>
      </c>
      <c r="I2360" t="s">
        <v>601</v>
      </c>
      <c r="J2360">
        <v>0.20610000000000001</v>
      </c>
      <c r="K2360">
        <v>0.16489999999999999</v>
      </c>
      <c r="L2360">
        <v>0.16489999999999999</v>
      </c>
      <c r="M2360">
        <v>0.16489999999999999</v>
      </c>
      <c r="N2360">
        <v>0.16489999999999999</v>
      </c>
      <c r="O2360">
        <v>0.16489999999999999</v>
      </c>
      <c r="P2360">
        <v>0.16489999999999999</v>
      </c>
      <c r="Q2360">
        <v>0.16489999999999999</v>
      </c>
      <c r="R2360">
        <v>0.16489999999999999</v>
      </c>
      <c r="S2360">
        <v>0.16489999999999999</v>
      </c>
      <c r="T2360">
        <v>0.16489999999999999</v>
      </c>
      <c r="U2360">
        <v>0.16489999999999999</v>
      </c>
      <c r="V2360">
        <v>0.16489999999999999</v>
      </c>
      <c r="W2360">
        <v>0.16489999999999999</v>
      </c>
      <c r="X2360">
        <v>0.16489999999999999</v>
      </c>
      <c r="Y2360">
        <v>0.16489999999999999</v>
      </c>
    </row>
    <row r="2361" spans="1:25" hidden="1">
      <c r="A2361" t="s">
        <v>18811</v>
      </c>
      <c r="B2361" t="s">
        <v>895</v>
      </c>
      <c r="C2361" t="s">
        <v>841</v>
      </c>
      <c r="D2361" t="s">
        <v>632</v>
      </c>
      <c r="E2361" t="s">
        <v>784</v>
      </c>
      <c r="F2361" t="s">
        <v>598</v>
      </c>
      <c r="G2361" t="s">
        <v>478</v>
      </c>
      <c r="H2361" t="s">
        <v>600</v>
      </c>
      <c r="I2361" t="s">
        <v>601</v>
      </c>
      <c r="J2361">
        <v>6.9999999999999999E-4</v>
      </c>
      <c r="K2361">
        <v>6.9999999999999999E-4</v>
      </c>
      <c r="L2361">
        <v>6.9999999999999999E-4</v>
      </c>
      <c r="M2361">
        <v>6.9999999999999999E-4</v>
      </c>
      <c r="N2361">
        <v>6.9999999999999999E-4</v>
      </c>
      <c r="O2361">
        <v>6.9999999999999999E-4</v>
      </c>
      <c r="P2361">
        <v>6.9999999999999999E-4</v>
      </c>
      <c r="Q2361">
        <v>6.9999999999999999E-4</v>
      </c>
      <c r="R2361">
        <v>6.9999999999999999E-4</v>
      </c>
      <c r="S2361">
        <v>6.9999999999999999E-4</v>
      </c>
      <c r="T2361">
        <v>6.9999999999999999E-4</v>
      </c>
      <c r="U2361">
        <v>6.9999999999999999E-4</v>
      </c>
      <c r="V2361">
        <v>6.9999999999999999E-4</v>
      </c>
      <c r="W2361">
        <v>6.9999999999999999E-4</v>
      </c>
      <c r="X2361">
        <v>6.9999999999999999E-4</v>
      </c>
      <c r="Y2361">
        <v>6.9999999999999999E-4</v>
      </c>
    </row>
    <row r="2362" spans="1:25" hidden="1">
      <c r="A2362" t="s">
        <v>18811</v>
      </c>
      <c r="B2362" t="s">
        <v>897</v>
      </c>
      <c r="C2362" t="s">
        <v>841</v>
      </c>
      <c r="D2362" t="s">
        <v>640</v>
      </c>
      <c r="E2362" t="s">
        <v>642</v>
      </c>
      <c r="F2362" t="s">
        <v>598</v>
      </c>
      <c r="G2362" t="s">
        <v>478</v>
      </c>
      <c r="H2362" t="s">
        <v>600</v>
      </c>
      <c r="I2362" t="s">
        <v>601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hidden="1">
      <c r="A2363" t="s">
        <v>18811</v>
      </c>
      <c r="B2363" t="s">
        <v>902</v>
      </c>
      <c r="C2363" t="s">
        <v>841</v>
      </c>
      <c r="D2363" t="s">
        <v>648</v>
      </c>
      <c r="E2363" t="s">
        <v>597</v>
      </c>
      <c r="F2363" t="s">
        <v>598</v>
      </c>
      <c r="G2363" t="s">
        <v>478</v>
      </c>
      <c r="H2363" t="s">
        <v>600</v>
      </c>
      <c r="I2363" t="s">
        <v>601</v>
      </c>
      <c r="J2363">
        <v>0.89319999999999999</v>
      </c>
      <c r="K2363">
        <v>0.90669999999999995</v>
      </c>
      <c r="L2363">
        <v>0.92049999999999998</v>
      </c>
      <c r="M2363">
        <v>0.94210000000000005</v>
      </c>
      <c r="N2363">
        <v>0.9536</v>
      </c>
      <c r="O2363">
        <v>0.96299999999999997</v>
      </c>
      <c r="P2363">
        <v>0.97150000000000003</v>
      </c>
      <c r="Q2363">
        <v>0.97819999999999996</v>
      </c>
      <c r="R2363">
        <v>0.98299999999999998</v>
      </c>
      <c r="S2363">
        <v>0.98640000000000005</v>
      </c>
      <c r="T2363">
        <v>0.98609999999999998</v>
      </c>
      <c r="U2363">
        <v>0.98619999999999997</v>
      </c>
      <c r="V2363">
        <v>0.99</v>
      </c>
      <c r="W2363">
        <v>0.99709999999999999</v>
      </c>
      <c r="X2363">
        <v>1.0049999999999999</v>
      </c>
      <c r="Y2363">
        <v>1.0136000000000001</v>
      </c>
    </row>
    <row r="2364" spans="1:25" hidden="1">
      <c r="A2364" t="s">
        <v>18811</v>
      </c>
      <c r="B2364" t="s">
        <v>909</v>
      </c>
      <c r="C2364" t="s">
        <v>841</v>
      </c>
      <c r="D2364" t="s">
        <v>648</v>
      </c>
      <c r="E2364" t="s">
        <v>642</v>
      </c>
      <c r="F2364" t="s">
        <v>598</v>
      </c>
      <c r="G2364" t="s">
        <v>478</v>
      </c>
      <c r="H2364" t="s">
        <v>600</v>
      </c>
      <c r="I2364" t="s">
        <v>601</v>
      </c>
      <c r="J2364">
        <v>2.3699999999999999E-2</v>
      </c>
      <c r="K2364">
        <v>2.3699999999999999E-2</v>
      </c>
      <c r="L2364">
        <v>2.3699999999999999E-2</v>
      </c>
      <c r="M2364">
        <v>2.3699999999999999E-2</v>
      </c>
      <c r="N2364">
        <v>2.3699999999999999E-2</v>
      </c>
      <c r="O2364">
        <v>2.3699999999999999E-2</v>
      </c>
      <c r="P2364">
        <v>2.3699999999999999E-2</v>
      </c>
      <c r="Q2364">
        <v>2.3699999999999999E-2</v>
      </c>
      <c r="R2364">
        <v>2.3699999999999999E-2</v>
      </c>
      <c r="S2364">
        <v>2.3699999999999999E-2</v>
      </c>
      <c r="T2364">
        <v>2.3699999999999999E-2</v>
      </c>
      <c r="U2364">
        <v>2.3699999999999999E-2</v>
      </c>
      <c r="V2364">
        <v>2.3699999999999999E-2</v>
      </c>
      <c r="W2364">
        <v>4.6899999999999997E-2</v>
      </c>
      <c r="X2364">
        <v>4.6899999999999997E-2</v>
      </c>
      <c r="Y2364">
        <v>4.6899999999999997E-2</v>
      </c>
    </row>
    <row r="2365" spans="1:25" hidden="1">
      <c r="A2365" t="s">
        <v>18811</v>
      </c>
      <c r="B2365" t="s">
        <v>911</v>
      </c>
      <c r="C2365" t="s">
        <v>841</v>
      </c>
      <c r="D2365" t="s">
        <v>648</v>
      </c>
      <c r="E2365" t="s">
        <v>619</v>
      </c>
      <c r="F2365" t="s">
        <v>598</v>
      </c>
      <c r="G2365" t="s">
        <v>478</v>
      </c>
      <c r="H2365" t="s">
        <v>600</v>
      </c>
      <c r="I2365" t="s">
        <v>601</v>
      </c>
      <c r="J2365">
        <v>6.0600000000000001E-2</v>
      </c>
      <c r="K2365">
        <v>6.0600000000000001E-2</v>
      </c>
      <c r="L2365">
        <v>6.0600000000000001E-2</v>
      </c>
      <c r="M2365">
        <v>6.0600000000000001E-2</v>
      </c>
      <c r="N2365">
        <v>6.0600000000000001E-2</v>
      </c>
      <c r="O2365">
        <v>6.0600000000000001E-2</v>
      </c>
      <c r="P2365">
        <v>6.0600000000000001E-2</v>
      </c>
      <c r="Q2365">
        <v>6.0600000000000001E-2</v>
      </c>
      <c r="R2365">
        <v>6.0600000000000001E-2</v>
      </c>
      <c r="S2365">
        <v>6.0600000000000001E-2</v>
      </c>
      <c r="T2365">
        <v>6.0600000000000001E-2</v>
      </c>
      <c r="U2365">
        <v>6.0600000000000001E-2</v>
      </c>
      <c r="V2365">
        <v>6.0600000000000001E-2</v>
      </c>
      <c r="W2365">
        <v>6.0600000000000001E-2</v>
      </c>
      <c r="X2365">
        <v>6.0600000000000001E-2</v>
      </c>
      <c r="Y2365">
        <v>6.0600000000000001E-2</v>
      </c>
    </row>
    <row r="2366" spans="1:25" hidden="1">
      <c r="A2366" t="s">
        <v>18811</v>
      </c>
      <c r="B2366" t="s">
        <v>915</v>
      </c>
      <c r="C2366" t="s">
        <v>914</v>
      </c>
      <c r="D2366" t="s">
        <v>671</v>
      </c>
      <c r="E2366" t="s">
        <v>642</v>
      </c>
      <c r="F2366" t="s">
        <v>598</v>
      </c>
      <c r="G2366" t="s">
        <v>478</v>
      </c>
      <c r="H2366" t="s">
        <v>600</v>
      </c>
      <c r="I2366" t="s">
        <v>601</v>
      </c>
      <c r="J2366">
        <v>2.5000000000000001E-3</v>
      </c>
      <c r="K2366">
        <v>2.5000000000000001E-3</v>
      </c>
      <c r="L2366">
        <v>2.5000000000000001E-3</v>
      </c>
      <c r="M2366">
        <v>2.5000000000000001E-3</v>
      </c>
      <c r="N2366">
        <v>2.5000000000000001E-3</v>
      </c>
      <c r="O2366">
        <v>2.5000000000000001E-3</v>
      </c>
      <c r="P2366">
        <v>2.5000000000000001E-3</v>
      </c>
      <c r="Q2366">
        <v>2.5000000000000001E-3</v>
      </c>
      <c r="R2366">
        <v>2.5000000000000001E-3</v>
      </c>
      <c r="S2366">
        <v>2.5000000000000001E-3</v>
      </c>
      <c r="T2366">
        <v>2.5000000000000001E-3</v>
      </c>
      <c r="U2366">
        <v>2.5000000000000001E-3</v>
      </c>
      <c r="V2366">
        <v>2.5000000000000001E-3</v>
      </c>
      <c r="W2366">
        <v>2.5000000000000001E-3</v>
      </c>
      <c r="X2366">
        <v>2.5000000000000001E-3</v>
      </c>
      <c r="Y2366">
        <v>2.5000000000000001E-3</v>
      </c>
    </row>
    <row r="2367" spans="1:25" hidden="1">
      <c r="A2367" t="s">
        <v>18811</v>
      </c>
      <c r="B2367" t="s">
        <v>916</v>
      </c>
      <c r="C2367" t="s">
        <v>914</v>
      </c>
      <c r="D2367" t="s">
        <v>621</v>
      </c>
      <c r="E2367" t="s">
        <v>628</v>
      </c>
      <c r="F2367" t="s">
        <v>598</v>
      </c>
      <c r="G2367" t="s">
        <v>478</v>
      </c>
      <c r="H2367" t="s">
        <v>600</v>
      </c>
      <c r="I2367" t="s">
        <v>601</v>
      </c>
      <c r="J2367">
        <v>0.49516559999999998</v>
      </c>
      <c r="K2367">
        <v>0.49578640000000002</v>
      </c>
      <c r="L2367">
        <v>0.4964848</v>
      </c>
      <c r="M2367">
        <v>0.49772640000000001</v>
      </c>
      <c r="N2367">
        <v>0.49834719999999999</v>
      </c>
      <c r="O2367">
        <v>0.41593599999999997</v>
      </c>
      <c r="P2367">
        <v>0.4165568</v>
      </c>
      <c r="Q2367">
        <v>0.41702240000000002</v>
      </c>
      <c r="R2367">
        <v>0.4177208</v>
      </c>
      <c r="S2367">
        <v>0.41841919999999999</v>
      </c>
      <c r="T2367">
        <v>0.41904000000000002</v>
      </c>
      <c r="U2367">
        <v>0.41958319999999999</v>
      </c>
      <c r="V2367">
        <v>0.42012640000000001</v>
      </c>
      <c r="W2367">
        <v>0.42059200000000002</v>
      </c>
      <c r="X2367">
        <v>0.42105759999999998</v>
      </c>
      <c r="Y2367">
        <v>0.42152319999999999</v>
      </c>
    </row>
    <row r="2368" spans="1:25" hidden="1">
      <c r="A2368" t="s">
        <v>18811</v>
      </c>
      <c r="B2368" t="s">
        <v>919</v>
      </c>
      <c r="C2368" t="s">
        <v>914</v>
      </c>
      <c r="D2368" t="s">
        <v>648</v>
      </c>
      <c r="E2368" t="s">
        <v>920</v>
      </c>
      <c r="F2368" t="s">
        <v>598</v>
      </c>
      <c r="G2368" t="s">
        <v>478</v>
      </c>
      <c r="H2368" t="s">
        <v>600</v>
      </c>
      <c r="I2368" t="s">
        <v>601</v>
      </c>
      <c r="J2368">
        <v>7.1999999999999998E-3</v>
      </c>
      <c r="K2368">
        <v>7.4000000000000003E-3</v>
      </c>
      <c r="L2368">
        <v>7.4000000000000003E-3</v>
      </c>
      <c r="M2368">
        <v>7.4999999999999997E-3</v>
      </c>
      <c r="N2368">
        <v>7.4999999999999997E-3</v>
      </c>
      <c r="O2368">
        <v>7.4999999999999997E-3</v>
      </c>
      <c r="P2368">
        <v>7.4999999999999997E-3</v>
      </c>
      <c r="Q2368">
        <v>7.4999999999999997E-3</v>
      </c>
      <c r="R2368">
        <v>7.4999999999999997E-3</v>
      </c>
      <c r="S2368">
        <v>7.4999999999999997E-3</v>
      </c>
      <c r="T2368">
        <v>7.7000000000000002E-3</v>
      </c>
      <c r="U2368">
        <v>7.7000000000000002E-3</v>
      </c>
      <c r="V2368">
        <v>7.7000000000000002E-3</v>
      </c>
      <c r="W2368">
        <v>7.7000000000000002E-3</v>
      </c>
      <c r="X2368">
        <v>7.7999999999999996E-3</v>
      </c>
      <c r="Y2368">
        <v>7.7999999999999996E-3</v>
      </c>
    </row>
    <row r="2369" spans="1:25" hidden="1">
      <c r="A2369" t="s">
        <v>18811</v>
      </c>
      <c r="B2369" t="s">
        <v>922</v>
      </c>
      <c r="C2369" t="s">
        <v>914</v>
      </c>
      <c r="D2369" t="s">
        <v>648</v>
      </c>
      <c r="E2369" t="s">
        <v>888</v>
      </c>
      <c r="F2369" t="s">
        <v>598</v>
      </c>
      <c r="G2369" t="s">
        <v>478</v>
      </c>
      <c r="H2369" t="s">
        <v>600</v>
      </c>
      <c r="I2369" t="s">
        <v>601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hidden="1">
      <c r="A2370" t="s">
        <v>18811</v>
      </c>
      <c r="B2370" t="s">
        <v>924</v>
      </c>
      <c r="C2370" t="s">
        <v>925</v>
      </c>
      <c r="D2370" t="s">
        <v>926</v>
      </c>
      <c r="E2370" t="s">
        <v>927</v>
      </c>
      <c r="F2370" t="s">
        <v>598</v>
      </c>
      <c r="G2370" t="s">
        <v>478</v>
      </c>
      <c r="H2370" t="s">
        <v>600</v>
      </c>
      <c r="I2370" t="s">
        <v>601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</row>
    <row r="2371" spans="1:25" hidden="1">
      <c r="A2371" t="s">
        <v>18811</v>
      </c>
      <c r="B2371" t="s">
        <v>935</v>
      </c>
      <c r="C2371" t="s">
        <v>925</v>
      </c>
      <c r="D2371" t="s">
        <v>934</v>
      </c>
      <c r="E2371" t="s">
        <v>605</v>
      </c>
      <c r="F2371" t="s">
        <v>598</v>
      </c>
      <c r="G2371" t="s">
        <v>478</v>
      </c>
      <c r="H2371" t="s">
        <v>600</v>
      </c>
      <c r="I2371" t="s">
        <v>601</v>
      </c>
      <c r="J2371">
        <v>7.9000000000000008E-3</v>
      </c>
      <c r="K2371">
        <v>8.0999999999999996E-3</v>
      </c>
      <c r="L2371">
        <v>8.3000000000000001E-3</v>
      </c>
      <c r="M2371">
        <v>8.3000000000000001E-3</v>
      </c>
      <c r="N2371">
        <v>8.3999999999999995E-3</v>
      </c>
      <c r="O2371">
        <v>8.6E-3</v>
      </c>
      <c r="P2371">
        <v>8.8000000000000005E-3</v>
      </c>
      <c r="Q2371">
        <v>8.8999999999999999E-3</v>
      </c>
      <c r="R2371">
        <v>8.9999999999999993E-3</v>
      </c>
      <c r="S2371">
        <v>9.1999999999999998E-3</v>
      </c>
      <c r="T2371">
        <v>9.4000000000000004E-3</v>
      </c>
      <c r="U2371">
        <v>9.4999999999999998E-3</v>
      </c>
      <c r="V2371">
        <v>9.7000000000000003E-3</v>
      </c>
      <c r="W2371">
        <v>9.7999999999999997E-3</v>
      </c>
      <c r="X2371">
        <v>0.01</v>
      </c>
      <c r="Y2371">
        <v>1.0200000000000001E-2</v>
      </c>
    </row>
    <row r="2372" spans="1:25" hidden="1">
      <c r="A2372" t="s">
        <v>18811</v>
      </c>
      <c r="B2372" t="s">
        <v>938</v>
      </c>
      <c r="C2372" t="s">
        <v>925</v>
      </c>
      <c r="D2372" t="s">
        <v>934</v>
      </c>
      <c r="E2372" t="s">
        <v>768</v>
      </c>
      <c r="F2372" t="s">
        <v>598</v>
      </c>
      <c r="G2372" t="s">
        <v>478</v>
      </c>
      <c r="H2372" t="s">
        <v>600</v>
      </c>
      <c r="I2372" t="s">
        <v>601</v>
      </c>
      <c r="J2372">
        <v>2.5600000000000001E-2</v>
      </c>
      <c r="K2372">
        <v>2.5899999999999999E-2</v>
      </c>
      <c r="L2372">
        <v>2.6100000000000002E-2</v>
      </c>
      <c r="M2372">
        <v>2.6499999999999999E-2</v>
      </c>
      <c r="N2372">
        <v>2.7E-2</v>
      </c>
      <c r="O2372">
        <v>2.7400000000000001E-2</v>
      </c>
      <c r="P2372">
        <v>2.7699999999999999E-2</v>
      </c>
      <c r="Q2372">
        <v>2.81E-2</v>
      </c>
      <c r="R2372">
        <v>2.86E-2</v>
      </c>
      <c r="S2372">
        <v>2.9000000000000001E-2</v>
      </c>
      <c r="T2372">
        <v>2.9399999999999999E-2</v>
      </c>
      <c r="U2372">
        <v>2.98E-2</v>
      </c>
      <c r="V2372">
        <v>3.0200000000000001E-2</v>
      </c>
      <c r="W2372">
        <v>3.0700000000000002E-2</v>
      </c>
      <c r="X2372">
        <v>3.1099999999999999E-2</v>
      </c>
      <c r="Y2372">
        <v>3.15E-2</v>
      </c>
    </row>
    <row r="2373" spans="1:25" hidden="1">
      <c r="A2373" t="s">
        <v>18811</v>
      </c>
      <c r="B2373" t="s">
        <v>942</v>
      </c>
      <c r="C2373" t="s">
        <v>943</v>
      </c>
      <c r="D2373" t="s">
        <v>944</v>
      </c>
      <c r="E2373" t="s">
        <v>613</v>
      </c>
      <c r="F2373" t="s">
        <v>598</v>
      </c>
      <c r="G2373" t="s">
        <v>478</v>
      </c>
      <c r="H2373" t="s">
        <v>600</v>
      </c>
      <c r="I2373" t="s">
        <v>601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hidden="1">
      <c r="A2374" t="s">
        <v>18811</v>
      </c>
      <c r="B2374" t="s">
        <v>945</v>
      </c>
      <c r="C2374" t="s">
        <v>943</v>
      </c>
      <c r="D2374" t="s">
        <v>946</v>
      </c>
      <c r="E2374" t="s">
        <v>613</v>
      </c>
      <c r="F2374" t="s">
        <v>598</v>
      </c>
      <c r="G2374" t="s">
        <v>478</v>
      </c>
      <c r="H2374" t="s">
        <v>600</v>
      </c>
      <c r="I2374" t="s">
        <v>601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hidden="1">
      <c r="A2375" t="s">
        <v>18811</v>
      </c>
      <c r="B2375" t="s">
        <v>947</v>
      </c>
      <c r="C2375" t="s">
        <v>943</v>
      </c>
      <c r="D2375" t="s">
        <v>946</v>
      </c>
      <c r="E2375" t="s">
        <v>948</v>
      </c>
      <c r="F2375" t="s">
        <v>598</v>
      </c>
      <c r="G2375" t="s">
        <v>478</v>
      </c>
      <c r="H2375" t="s">
        <v>600</v>
      </c>
      <c r="I2375" t="s">
        <v>601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</row>
    <row r="2376" spans="1:25" hidden="1">
      <c r="A2376" t="s">
        <v>18811</v>
      </c>
      <c r="B2376" t="s">
        <v>951</v>
      </c>
      <c r="C2376" t="s">
        <v>943</v>
      </c>
      <c r="D2376" t="s">
        <v>934</v>
      </c>
      <c r="E2376" t="s">
        <v>937</v>
      </c>
      <c r="F2376" t="s">
        <v>598</v>
      </c>
      <c r="G2376" t="s">
        <v>478</v>
      </c>
      <c r="H2376" t="s">
        <v>600</v>
      </c>
      <c r="I2376" t="s">
        <v>601</v>
      </c>
      <c r="J2376">
        <v>0.1716</v>
      </c>
      <c r="K2376">
        <v>0.17399999999999999</v>
      </c>
      <c r="L2376">
        <v>0.17630000000000001</v>
      </c>
      <c r="M2376">
        <v>0.17899999999999999</v>
      </c>
      <c r="N2376">
        <v>0.18149999999999999</v>
      </c>
      <c r="O2376">
        <v>0.1842</v>
      </c>
      <c r="P2376">
        <v>0.1867</v>
      </c>
      <c r="Q2376">
        <v>0.1893</v>
      </c>
      <c r="R2376">
        <v>0.19220000000000001</v>
      </c>
      <c r="S2376">
        <v>0.1953</v>
      </c>
      <c r="T2376">
        <v>0.19839999999999999</v>
      </c>
      <c r="U2376">
        <v>0.2014</v>
      </c>
      <c r="V2376">
        <v>0.20449999999999999</v>
      </c>
      <c r="W2376">
        <v>0.20749999999999999</v>
      </c>
      <c r="X2376">
        <v>0.21060000000000001</v>
      </c>
      <c r="Y2376">
        <v>0.21390000000000001</v>
      </c>
    </row>
    <row r="2377" spans="1:25" hidden="1">
      <c r="A2377" t="s">
        <v>18811</v>
      </c>
      <c r="B2377" t="s">
        <v>955</v>
      </c>
      <c r="C2377" t="s">
        <v>956</v>
      </c>
      <c r="D2377" t="s">
        <v>931</v>
      </c>
      <c r="E2377" t="s">
        <v>597</v>
      </c>
      <c r="F2377" t="s">
        <v>598</v>
      </c>
      <c r="G2377" t="s">
        <v>478</v>
      </c>
      <c r="H2377" t="s">
        <v>600</v>
      </c>
      <c r="I2377" t="s">
        <v>601</v>
      </c>
      <c r="J2377">
        <v>2.2700000000000001E-2</v>
      </c>
      <c r="K2377">
        <v>2.29E-2</v>
      </c>
      <c r="L2377">
        <v>2.3199999999999998E-2</v>
      </c>
      <c r="M2377">
        <v>2.3400000000000001E-2</v>
      </c>
      <c r="N2377">
        <v>2.3599999999999999E-2</v>
      </c>
      <c r="O2377">
        <v>2.3900000000000001E-2</v>
      </c>
      <c r="P2377">
        <v>2.4199999999999999E-2</v>
      </c>
      <c r="Q2377">
        <v>2.4500000000000001E-2</v>
      </c>
      <c r="R2377">
        <v>2.4799999999999999E-2</v>
      </c>
      <c r="S2377">
        <v>2.52E-2</v>
      </c>
      <c r="T2377">
        <v>2.5700000000000001E-2</v>
      </c>
      <c r="U2377">
        <v>2.5899999999999999E-2</v>
      </c>
      <c r="V2377">
        <v>2.63E-2</v>
      </c>
      <c r="W2377">
        <v>2.6499999999999999E-2</v>
      </c>
      <c r="X2377">
        <v>2.6800000000000001E-2</v>
      </c>
      <c r="Y2377">
        <v>2.7199999999999998E-2</v>
      </c>
    </row>
    <row r="2378" spans="1:25" hidden="1">
      <c r="A2378" t="s">
        <v>18811</v>
      </c>
      <c r="B2378" t="s">
        <v>959</v>
      </c>
      <c r="C2378" t="s">
        <v>956</v>
      </c>
      <c r="D2378" t="s">
        <v>931</v>
      </c>
      <c r="E2378" t="s">
        <v>613</v>
      </c>
      <c r="F2378" t="s">
        <v>598</v>
      </c>
      <c r="G2378" t="s">
        <v>478</v>
      </c>
      <c r="H2378" t="s">
        <v>600</v>
      </c>
      <c r="I2378" t="s">
        <v>601</v>
      </c>
      <c r="J2378">
        <v>5.1999999999999998E-3</v>
      </c>
      <c r="K2378">
        <v>5.1999999999999998E-3</v>
      </c>
      <c r="L2378">
        <v>5.4000000000000003E-3</v>
      </c>
      <c r="M2378">
        <v>5.4000000000000003E-3</v>
      </c>
      <c r="N2378">
        <v>5.4000000000000003E-3</v>
      </c>
      <c r="O2378">
        <v>5.4000000000000003E-3</v>
      </c>
      <c r="P2378">
        <v>5.4000000000000003E-3</v>
      </c>
      <c r="Q2378">
        <v>5.7000000000000002E-3</v>
      </c>
      <c r="R2378">
        <v>5.7000000000000002E-3</v>
      </c>
      <c r="S2378">
        <v>5.7999999999999996E-3</v>
      </c>
      <c r="T2378">
        <v>5.7999999999999996E-3</v>
      </c>
      <c r="U2378">
        <v>5.8999999999999999E-3</v>
      </c>
      <c r="V2378">
        <v>6.0000000000000001E-3</v>
      </c>
      <c r="W2378">
        <v>6.1000000000000004E-3</v>
      </c>
      <c r="X2378">
        <v>6.1999999999999998E-3</v>
      </c>
      <c r="Y2378">
        <v>6.3E-3</v>
      </c>
    </row>
    <row r="2379" spans="1:25" hidden="1">
      <c r="A2379" t="s">
        <v>18811</v>
      </c>
      <c r="B2379" t="s">
        <v>960</v>
      </c>
      <c r="C2379" t="s">
        <v>956</v>
      </c>
      <c r="D2379" t="s">
        <v>931</v>
      </c>
      <c r="E2379" t="s">
        <v>961</v>
      </c>
      <c r="F2379" t="s">
        <v>598</v>
      </c>
      <c r="G2379" t="s">
        <v>478</v>
      </c>
      <c r="H2379" t="s">
        <v>600</v>
      </c>
      <c r="I2379" t="s">
        <v>601</v>
      </c>
      <c r="J2379">
        <v>1.9E-3</v>
      </c>
      <c r="K2379">
        <v>2E-3</v>
      </c>
      <c r="L2379">
        <v>2E-3</v>
      </c>
      <c r="M2379">
        <v>2E-3</v>
      </c>
      <c r="N2379">
        <v>2.0999999999999999E-3</v>
      </c>
      <c r="O2379">
        <v>2.0999999999999999E-3</v>
      </c>
      <c r="P2379">
        <v>2.0999999999999999E-3</v>
      </c>
      <c r="Q2379">
        <v>2.2000000000000001E-3</v>
      </c>
      <c r="R2379">
        <v>2.2000000000000001E-3</v>
      </c>
      <c r="S2379">
        <v>2.2000000000000001E-3</v>
      </c>
      <c r="T2379">
        <v>2.2000000000000001E-3</v>
      </c>
      <c r="U2379">
        <v>2.2000000000000001E-3</v>
      </c>
      <c r="V2379">
        <v>2.2000000000000001E-3</v>
      </c>
      <c r="W2379">
        <v>2.2000000000000001E-3</v>
      </c>
      <c r="X2379">
        <v>2.3E-3</v>
      </c>
      <c r="Y2379">
        <v>2.3999999999999998E-3</v>
      </c>
    </row>
    <row r="2380" spans="1:25" hidden="1">
      <c r="A2380" t="s">
        <v>18811</v>
      </c>
      <c r="B2380" t="s">
        <v>962</v>
      </c>
      <c r="C2380" t="s">
        <v>956</v>
      </c>
      <c r="D2380" t="s">
        <v>931</v>
      </c>
      <c r="E2380" t="s">
        <v>676</v>
      </c>
      <c r="F2380" t="s">
        <v>598</v>
      </c>
      <c r="G2380" t="s">
        <v>478</v>
      </c>
      <c r="H2380" t="s">
        <v>600</v>
      </c>
      <c r="I2380" t="s">
        <v>601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</row>
    <row r="2381" spans="1:25" hidden="1">
      <c r="A2381" t="s">
        <v>18811</v>
      </c>
      <c r="B2381" t="s">
        <v>963</v>
      </c>
      <c r="C2381" t="s">
        <v>956</v>
      </c>
      <c r="D2381" t="s">
        <v>934</v>
      </c>
      <c r="E2381" t="s">
        <v>597</v>
      </c>
      <c r="F2381" t="s">
        <v>598</v>
      </c>
      <c r="G2381" t="s">
        <v>478</v>
      </c>
      <c r="H2381" t="s">
        <v>600</v>
      </c>
      <c r="I2381" t="s">
        <v>601</v>
      </c>
      <c r="J2381">
        <v>1.6000000000000001E-3</v>
      </c>
      <c r="K2381">
        <v>1.6999999999999999E-3</v>
      </c>
      <c r="L2381">
        <v>1.6999999999999999E-3</v>
      </c>
      <c r="M2381">
        <v>1.6999999999999999E-3</v>
      </c>
      <c r="N2381">
        <v>1.8E-3</v>
      </c>
      <c r="O2381">
        <v>1.8E-3</v>
      </c>
      <c r="P2381">
        <v>1.8E-3</v>
      </c>
      <c r="Q2381">
        <v>1.8E-3</v>
      </c>
      <c r="R2381">
        <v>1.9E-3</v>
      </c>
      <c r="S2381">
        <v>1.9E-3</v>
      </c>
      <c r="T2381">
        <v>1.9E-3</v>
      </c>
      <c r="U2381">
        <v>1.9E-3</v>
      </c>
      <c r="V2381">
        <v>2E-3</v>
      </c>
      <c r="W2381">
        <v>2E-3</v>
      </c>
      <c r="X2381">
        <v>2E-3</v>
      </c>
      <c r="Y2381">
        <v>2E-3</v>
      </c>
    </row>
    <row r="2382" spans="1:25" hidden="1">
      <c r="A2382" t="s">
        <v>18811</v>
      </c>
      <c r="B2382" t="s">
        <v>964</v>
      </c>
      <c r="C2382" t="s">
        <v>956</v>
      </c>
      <c r="D2382" t="s">
        <v>934</v>
      </c>
      <c r="E2382" t="s">
        <v>605</v>
      </c>
      <c r="F2382" t="s">
        <v>598</v>
      </c>
      <c r="G2382" t="s">
        <v>478</v>
      </c>
      <c r="H2382" t="s">
        <v>600</v>
      </c>
      <c r="I2382" t="s">
        <v>601</v>
      </c>
      <c r="J2382">
        <v>3.0000000000000001E-3</v>
      </c>
      <c r="K2382">
        <v>3.0000000000000001E-3</v>
      </c>
      <c r="L2382">
        <v>3.0000000000000001E-3</v>
      </c>
      <c r="M2382">
        <v>3.0000000000000001E-3</v>
      </c>
      <c r="N2382">
        <v>3.0000000000000001E-3</v>
      </c>
      <c r="O2382">
        <v>3.0000000000000001E-3</v>
      </c>
      <c r="P2382">
        <v>3.0000000000000001E-3</v>
      </c>
      <c r="Q2382">
        <v>3.0000000000000001E-3</v>
      </c>
      <c r="R2382">
        <v>3.0000000000000001E-3</v>
      </c>
      <c r="S2382">
        <v>3.0000000000000001E-3</v>
      </c>
      <c r="T2382">
        <v>3.0000000000000001E-3</v>
      </c>
      <c r="U2382">
        <v>3.0000000000000001E-3</v>
      </c>
      <c r="V2382">
        <v>3.0000000000000001E-3</v>
      </c>
      <c r="W2382">
        <v>3.0000000000000001E-3</v>
      </c>
      <c r="X2382">
        <v>3.0000000000000001E-3</v>
      </c>
      <c r="Y2382">
        <v>3.0000000000000001E-3</v>
      </c>
    </row>
    <row r="2383" spans="1:25" hidden="1">
      <c r="A2383" t="s">
        <v>18811</v>
      </c>
      <c r="B2383" t="s">
        <v>965</v>
      </c>
      <c r="C2383" t="s">
        <v>956</v>
      </c>
      <c r="D2383" t="s">
        <v>934</v>
      </c>
      <c r="E2383" t="s">
        <v>937</v>
      </c>
      <c r="F2383" t="s">
        <v>598</v>
      </c>
      <c r="G2383" t="s">
        <v>478</v>
      </c>
      <c r="H2383" t="s">
        <v>600</v>
      </c>
      <c r="I2383" t="s">
        <v>601</v>
      </c>
      <c r="J2383">
        <v>6.4999999999999997E-3</v>
      </c>
      <c r="K2383">
        <v>6.6E-3</v>
      </c>
      <c r="L2383">
        <v>6.6E-3</v>
      </c>
      <c r="M2383">
        <v>6.7000000000000002E-3</v>
      </c>
      <c r="N2383">
        <v>6.7999999999999996E-3</v>
      </c>
      <c r="O2383">
        <v>6.7999999999999996E-3</v>
      </c>
      <c r="P2383">
        <v>6.8999999999999999E-3</v>
      </c>
      <c r="Q2383">
        <v>7.0000000000000001E-3</v>
      </c>
      <c r="R2383">
        <v>7.1000000000000004E-3</v>
      </c>
      <c r="S2383">
        <v>7.1999999999999998E-3</v>
      </c>
      <c r="T2383">
        <v>7.3000000000000001E-3</v>
      </c>
      <c r="U2383">
        <v>7.4000000000000003E-3</v>
      </c>
      <c r="V2383">
        <v>7.4999999999999997E-3</v>
      </c>
      <c r="W2383">
        <v>7.6E-3</v>
      </c>
      <c r="X2383">
        <v>7.7999999999999996E-3</v>
      </c>
      <c r="Y2383">
        <v>7.9000000000000008E-3</v>
      </c>
    </row>
    <row r="2384" spans="1:25" hidden="1">
      <c r="A2384" t="s">
        <v>18811</v>
      </c>
      <c r="B2384" t="s">
        <v>974</v>
      </c>
      <c r="C2384" t="s">
        <v>971</v>
      </c>
      <c r="D2384" t="s">
        <v>648</v>
      </c>
      <c r="E2384" t="s">
        <v>973</v>
      </c>
      <c r="F2384" t="s">
        <v>598</v>
      </c>
      <c r="G2384" t="s">
        <v>478</v>
      </c>
      <c r="H2384" t="s">
        <v>600</v>
      </c>
      <c r="I2384" t="s">
        <v>601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hidden="1">
      <c r="A2385" t="s">
        <v>18811</v>
      </c>
      <c r="B2385" t="s">
        <v>975</v>
      </c>
      <c r="C2385" t="s">
        <v>971</v>
      </c>
      <c r="D2385" t="s">
        <v>648</v>
      </c>
      <c r="E2385" t="s">
        <v>597</v>
      </c>
      <c r="F2385" t="s">
        <v>598</v>
      </c>
      <c r="G2385" t="s">
        <v>478</v>
      </c>
      <c r="H2385" t="s">
        <v>600</v>
      </c>
      <c r="I2385" t="s">
        <v>601</v>
      </c>
      <c r="J2385">
        <v>1.1000000000000001E-3</v>
      </c>
      <c r="K2385">
        <v>1.1000000000000001E-3</v>
      </c>
      <c r="L2385">
        <v>1.1999999999999999E-3</v>
      </c>
      <c r="M2385">
        <v>1.1999999999999999E-3</v>
      </c>
      <c r="N2385">
        <v>1.1999999999999999E-3</v>
      </c>
      <c r="O2385">
        <v>1.1999999999999999E-3</v>
      </c>
      <c r="P2385">
        <v>1.1999999999999999E-3</v>
      </c>
      <c r="Q2385">
        <v>1.2999999999999999E-3</v>
      </c>
      <c r="R2385">
        <v>1.2999999999999999E-3</v>
      </c>
      <c r="S2385">
        <v>1.2999999999999999E-3</v>
      </c>
      <c r="T2385">
        <v>1.2999999999999999E-3</v>
      </c>
      <c r="U2385">
        <v>1.2999999999999999E-3</v>
      </c>
      <c r="V2385">
        <v>1.4E-3</v>
      </c>
      <c r="W2385">
        <v>1.4E-3</v>
      </c>
      <c r="X2385">
        <v>1.4E-3</v>
      </c>
      <c r="Y2385">
        <v>1.4E-3</v>
      </c>
    </row>
    <row r="2386" spans="1:25" hidden="1">
      <c r="A2386" t="s">
        <v>18811</v>
      </c>
      <c r="B2386" t="s">
        <v>976</v>
      </c>
      <c r="C2386" t="s">
        <v>971</v>
      </c>
      <c r="D2386" t="s">
        <v>648</v>
      </c>
      <c r="E2386" t="s">
        <v>642</v>
      </c>
      <c r="F2386" t="s">
        <v>598</v>
      </c>
      <c r="G2386" t="s">
        <v>478</v>
      </c>
      <c r="H2386" t="s">
        <v>600</v>
      </c>
      <c r="I2386" t="s">
        <v>601</v>
      </c>
      <c r="J2386">
        <v>3.7000000000000002E-3</v>
      </c>
      <c r="K2386">
        <v>3.7000000000000002E-3</v>
      </c>
      <c r="L2386">
        <v>3.5999999999999999E-3</v>
      </c>
      <c r="M2386">
        <v>3.5999999999999999E-3</v>
      </c>
      <c r="N2386">
        <v>3.5999999999999999E-3</v>
      </c>
      <c r="O2386">
        <v>3.5999999999999999E-3</v>
      </c>
      <c r="P2386">
        <v>3.5999999999999999E-3</v>
      </c>
      <c r="Q2386">
        <v>3.5000000000000001E-3</v>
      </c>
      <c r="R2386">
        <v>3.5000000000000001E-3</v>
      </c>
      <c r="S2386">
        <v>3.5999999999999999E-3</v>
      </c>
      <c r="T2386">
        <v>3.5999999999999999E-3</v>
      </c>
      <c r="U2386">
        <v>3.5999999999999999E-3</v>
      </c>
      <c r="V2386">
        <v>3.5000000000000001E-3</v>
      </c>
      <c r="W2386">
        <v>3.5000000000000001E-3</v>
      </c>
      <c r="X2386">
        <v>3.5999999999999999E-3</v>
      </c>
      <c r="Y2386">
        <v>3.5000000000000001E-3</v>
      </c>
    </row>
    <row r="2387" spans="1:25" hidden="1">
      <c r="A2387" t="s">
        <v>18811</v>
      </c>
      <c r="B2387" t="s">
        <v>977</v>
      </c>
      <c r="C2387" t="s">
        <v>971</v>
      </c>
      <c r="D2387" t="s">
        <v>648</v>
      </c>
      <c r="E2387" t="s">
        <v>613</v>
      </c>
      <c r="F2387" t="s">
        <v>598</v>
      </c>
      <c r="G2387" t="s">
        <v>478</v>
      </c>
      <c r="H2387" t="s">
        <v>600</v>
      </c>
      <c r="I2387" t="s">
        <v>601</v>
      </c>
      <c r="J2387">
        <v>2.9999999999999997E-4</v>
      </c>
      <c r="K2387">
        <v>2.9999999999999997E-4</v>
      </c>
      <c r="L2387">
        <v>2.9999999999999997E-4</v>
      </c>
      <c r="M2387">
        <v>2.9999999999999997E-4</v>
      </c>
      <c r="N2387">
        <v>2.9999999999999997E-4</v>
      </c>
      <c r="O2387">
        <v>2.9999999999999997E-4</v>
      </c>
      <c r="P2387">
        <v>2.9999999999999997E-4</v>
      </c>
      <c r="Q2387">
        <v>2.9999999999999997E-4</v>
      </c>
      <c r="R2387">
        <v>2.9999999999999997E-4</v>
      </c>
      <c r="S2387">
        <v>4.0000000000000002E-4</v>
      </c>
      <c r="T2387">
        <v>4.0000000000000002E-4</v>
      </c>
      <c r="U2387">
        <v>4.0000000000000002E-4</v>
      </c>
      <c r="V2387">
        <v>4.0000000000000002E-4</v>
      </c>
      <c r="W2387">
        <v>4.0000000000000002E-4</v>
      </c>
      <c r="X2387">
        <v>4.0000000000000002E-4</v>
      </c>
      <c r="Y2387">
        <v>4.0000000000000002E-4</v>
      </c>
    </row>
    <row r="2388" spans="1:25" hidden="1">
      <c r="A2388" t="s">
        <v>18811</v>
      </c>
      <c r="B2388" t="s">
        <v>981</v>
      </c>
      <c r="C2388" t="s">
        <v>980</v>
      </c>
      <c r="D2388" t="s">
        <v>982</v>
      </c>
      <c r="E2388" t="s">
        <v>613</v>
      </c>
      <c r="F2388" t="s">
        <v>598</v>
      </c>
      <c r="G2388" t="s">
        <v>478</v>
      </c>
      <c r="H2388" t="s">
        <v>600</v>
      </c>
      <c r="I2388" t="s">
        <v>601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 hidden="1">
      <c r="A2389" t="s">
        <v>18811</v>
      </c>
      <c r="B2389" t="s">
        <v>983</v>
      </c>
      <c r="C2389" t="s">
        <v>980</v>
      </c>
      <c r="D2389" t="s">
        <v>982</v>
      </c>
      <c r="E2389" t="s">
        <v>984</v>
      </c>
      <c r="F2389" t="s">
        <v>598</v>
      </c>
      <c r="G2389" t="s">
        <v>478</v>
      </c>
      <c r="H2389" t="s">
        <v>600</v>
      </c>
      <c r="I2389" t="s">
        <v>601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hidden="1">
      <c r="A2390" t="s">
        <v>18811</v>
      </c>
      <c r="B2390" t="s">
        <v>985</v>
      </c>
      <c r="C2390" t="s">
        <v>980</v>
      </c>
      <c r="D2390" t="s">
        <v>986</v>
      </c>
      <c r="E2390" t="s">
        <v>973</v>
      </c>
      <c r="F2390" t="s">
        <v>598</v>
      </c>
      <c r="G2390" t="s">
        <v>478</v>
      </c>
      <c r="H2390" t="s">
        <v>600</v>
      </c>
      <c r="I2390" t="s">
        <v>601</v>
      </c>
      <c r="J2390">
        <v>2.0000000000000001E-4</v>
      </c>
      <c r="K2390">
        <v>2.0000000000000001E-4</v>
      </c>
      <c r="L2390">
        <v>2.0000000000000001E-4</v>
      </c>
      <c r="M2390">
        <v>2.0000000000000001E-4</v>
      </c>
      <c r="N2390">
        <v>2.0000000000000001E-4</v>
      </c>
      <c r="O2390">
        <v>2.0000000000000001E-4</v>
      </c>
      <c r="P2390">
        <v>2.0000000000000001E-4</v>
      </c>
      <c r="Q2390">
        <v>2.0000000000000001E-4</v>
      </c>
      <c r="R2390">
        <v>2.0000000000000001E-4</v>
      </c>
      <c r="S2390">
        <v>2.0000000000000001E-4</v>
      </c>
      <c r="T2390">
        <v>2.0000000000000001E-4</v>
      </c>
      <c r="U2390">
        <v>2.0000000000000001E-4</v>
      </c>
      <c r="V2390">
        <v>2.0000000000000001E-4</v>
      </c>
      <c r="W2390">
        <v>2.0000000000000001E-4</v>
      </c>
      <c r="X2390">
        <v>2.0000000000000001E-4</v>
      </c>
      <c r="Y2390">
        <v>2.0000000000000001E-4</v>
      </c>
    </row>
    <row r="2391" spans="1:25" hidden="1">
      <c r="A2391" t="s">
        <v>18811</v>
      </c>
      <c r="B2391" t="s">
        <v>987</v>
      </c>
      <c r="C2391" t="s">
        <v>980</v>
      </c>
      <c r="D2391" t="s">
        <v>986</v>
      </c>
      <c r="E2391" t="s">
        <v>927</v>
      </c>
      <c r="F2391" t="s">
        <v>598</v>
      </c>
      <c r="G2391" t="s">
        <v>478</v>
      </c>
      <c r="H2391" t="s">
        <v>600</v>
      </c>
      <c r="I2391" t="s">
        <v>601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hidden="1">
      <c r="A2392" t="s">
        <v>18811</v>
      </c>
      <c r="B2392" t="s">
        <v>988</v>
      </c>
      <c r="C2392" t="s">
        <v>980</v>
      </c>
      <c r="D2392" t="s">
        <v>648</v>
      </c>
      <c r="E2392" t="s">
        <v>920</v>
      </c>
      <c r="F2392" t="s">
        <v>598</v>
      </c>
      <c r="G2392" t="s">
        <v>478</v>
      </c>
      <c r="H2392" t="s">
        <v>600</v>
      </c>
      <c r="I2392" t="s">
        <v>601</v>
      </c>
      <c r="J2392">
        <v>1.1000000000000001E-3</v>
      </c>
      <c r="K2392">
        <v>1.1000000000000001E-3</v>
      </c>
      <c r="L2392">
        <v>1.1000000000000001E-3</v>
      </c>
      <c r="M2392">
        <v>1.1000000000000001E-3</v>
      </c>
      <c r="N2392">
        <v>1.1000000000000001E-3</v>
      </c>
      <c r="O2392">
        <v>1.1000000000000001E-3</v>
      </c>
      <c r="P2392">
        <v>1.1000000000000001E-3</v>
      </c>
      <c r="Q2392">
        <v>1.1999999999999999E-3</v>
      </c>
      <c r="R2392">
        <v>1.1999999999999999E-3</v>
      </c>
      <c r="S2392">
        <v>1.1999999999999999E-3</v>
      </c>
      <c r="T2392">
        <v>1.1999999999999999E-3</v>
      </c>
      <c r="U2392">
        <v>1.1999999999999999E-3</v>
      </c>
      <c r="V2392">
        <v>1.1999999999999999E-3</v>
      </c>
      <c r="W2392">
        <v>1.2999999999999999E-3</v>
      </c>
      <c r="X2392">
        <v>1.2999999999999999E-3</v>
      </c>
      <c r="Y2392">
        <v>1.2999999999999999E-3</v>
      </c>
    </row>
    <row r="2393" spans="1:25" hidden="1">
      <c r="A2393" t="s">
        <v>18811</v>
      </c>
      <c r="B2393" t="s">
        <v>989</v>
      </c>
      <c r="C2393" t="s">
        <v>980</v>
      </c>
      <c r="D2393" t="s">
        <v>648</v>
      </c>
      <c r="E2393" t="s">
        <v>613</v>
      </c>
      <c r="F2393" t="s">
        <v>598</v>
      </c>
      <c r="G2393" t="s">
        <v>478</v>
      </c>
      <c r="H2393" t="s">
        <v>600</v>
      </c>
      <c r="I2393" t="s">
        <v>601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hidden="1">
      <c r="A2394" t="s">
        <v>18811</v>
      </c>
      <c r="B2394" t="s">
        <v>990</v>
      </c>
      <c r="C2394" t="s">
        <v>980</v>
      </c>
      <c r="D2394" t="s">
        <v>648</v>
      </c>
      <c r="E2394" t="s">
        <v>984</v>
      </c>
      <c r="F2394" t="s">
        <v>598</v>
      </c>
      <c r="G2394" t="s">
        <v>478</v>
      </c>
      <c r="H2394" t="s">
        <v>600</v>
      </c>
      <c r="I2394" t="s">
        <v>601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hidden="1">
      <c r="A2395" t="s">
        <v>18811</v>
      </c>
      <c r="B2395" t="s">
        <v>991</v>
      </c>
      <c r="C2395" t="s">
        <v>980</v>
      </c>
      <c r="D2395" t="s">
        <v>648</v>
      </c>
      <c r="E2395" t="s">
        <v>927</v>
      </c>
      <c r="F2395" t="s">
        <v>598</v>
      </c>
      <c r="G2395" t="s">
        <v>478</v>
      </c>
      <c r="H2395" t="s">
        <v>600</v>
      </c>
      <c r="I2395" t="s">
        <v>601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hidden="1">
      <c r="A2396" t="s">
        <v>18811</v>
      </c>
      <c r="B2396" t="s">
        <v>992</v>
      </c>
      <c r="C2396" t="s">
        <v>980</v>
      </c>
      <c r="D2396" t="s">
        <v>648</v>
      </c>
      <c r="E2396" t="s">
        <v>929</v>
      </c>
      <c r="F2396" t="s">
        <v>598</v>
      </c>
      <c r="G2396" t="s">
        <v>478</v>
      </c>
      <c r="H2396" t="s">
        <v>600</v>
      </c>
      <c r="I2396" t="s">
        <v>601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hidden="1">
      <c r="A2397" t="s">
        <v>18811</v>
      </c>
      <c r="B2397" t="s">
        <v>997</v>
      </c>
      <c r="C2397" t="s">
        <v>998</v>
      </c>
      <c r="D2397" t="s">
        <v>999</v>
      </c>
      <c r="E2397" t="s">
        <v>1000</v>
      </c>
      <c r="F2397" t="s">
        <v>598</v>
      </c>
      <c r="G2397" t="s">
        <v>478</v>
      </c>
      <c r="H2397" t="s">
        <v>600</v>
      </c>
      <c r="I2397" t="s">
        <v>601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hidden="1">
      <c r="A2398" t="s">
        <v>18811</v>
      </c>
      <c r="B2398" t="s">
        <v>1001</v>
      </c>
      <c r="C2398" t="s">
        <v>998</v>
      </c>
      <c r="D2398" t="s">
        <v>999</v>
      </c>
      <c r="E2398" t="s">
        <v>1002</v>
      </c>
      <c r="F2398" t="s">
        <v>598</v>
      </c>
      <c r="G2398" t="s">
        <v>478</v>
      </c>
      <c r="H2398" t="s">
        <v>600</v>
      </c>
      <c r="I2398" t="s">
        <v>601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hidden="1">
      <c r="A2399" t="s">
        <v>18811</v>
      </c>
      <c r="B2399" t="s">
        <v>1003</v>
      </c>
      <c r="C2399" t="s">
        <v>998</v>
      </c>
      <c r="D2399" t="s">
        <v>999</v>
      </c>
      <c r="E2399" t="s">
        <v>1004</v>
      </c>
      <c r="F2399" t="s">
        <v>598</v>
      </c>
      <c r="G2399" t="s">
        <v>478</v>
      </c>
      <c r="H2399" t="s">
        <v>600</v>
      </c>
      <c r="I2399" t="s">
        <v>601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hidden="1">
      <c r="A2400" t="s">
        <v>18811</v>
      </c>
      <c r="B2400" t="s">
        <v>1009</v>
      </c>
      <c r="C2400" t="s">
        <v>998</v>
      </c>
      <c r="D2400" t="s">
        <v>999</v>
      </c>
      <c r="E2400" t="s">
        <v>1010</v>
      </c>
      <c r="F2400" t="s">
        <v>598</v>
      </c>
      <c r="G2400" t="s">
        <v>478</v>
      </c>
      <c r="H2400" t="s">
        <v>600</v>
      </c>
      <c r="I2400" t="s">
        <v>601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hidden="1">
      <c r="A2401" t="s">
        <v>18811</v>
      </c>
      <c r="B2401" t="s">
        <v>1015</v>
      </c>
      <c r="C2401" t="s">
        <v>1016</v>
      </c>
      <c r="D2401" t="s">
        <v>1017</v>
      </c>
      <c r="E2401" t="s">
        <v>1018</v>
      </c>
      <c r="F2401" t="s">
        <v>598</v>
      </c>
      <c r="G2401" t="s">
        <v>478</v>
      </c>
      <c r="H2401" t="s">
        <v>600</v>
      </c>
      <c r="I2401" t="s">
        <v>601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hidden="1">
      <c r="A2402" t="s">
        <v>18811</v>
      </c>
      <c r="B2402" t="s">
        <v>1021</v>
      </c>
      <c r="C2402" t="s">
        <v>1016</v>
      </c>
      <c r="D2402" t="s">
        <v>1017</v>
      </c>
      <c r="E2402" t="s">
        <v>1022</v>
      </c>
      <c r="F2402" t="s">
        <v>598</v>
      </c>
      <c r="G2402" t="s">
        <v>478</v>
      </c>
      <c r="H2402" t="s">
        <v>600</v>
      </c>
      <c r="I2402" t="s">
        <v>601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hidden="1">
      <c r="A2403" t="s">
        <v>18811</v>
      </c>
      <c r="B2403" t="s">
        <v>1023</v>
      </c>
      <c r="C2403" t="s">
        <v>1016</v>
      </c>
      <c r="D2403" t="s">
        <v>1017</v>
      </c>
      <c r="E2403" t="s">
        <v>1024</v>
      </c>
      <c r="F2403" t="s">
        <v>598</v>
      </c>
      <c r="G2403" t="s">
        <v>478</v>
      </c>
      <c r="H2403" t="s">
        <v>600</v>
      </c>
      <c r="I2403" t="s">
        <v>601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hidden="1">
      <c r="A2404" t="s">
        <v>18811</v>
      </c>
      <c r="B2404" t="s">
        <v>1025</v>
      </c>
      <c r="C2404" t="s">
        <v>1016</v>
      </c>
      <c r="D2404" t="s">
        <v>1017</v>
      </c>
      <c r="E2404" t="s">
        <v>1026</v>
      </c>
      <c r="F2404" t="s">
        <v>598</v>
      </c>
      <c r="G2404" t="s">
        <v>478</v>
      </c>
      <c r="H2404" t="s">
        <v>600</v>
      </c>
      <c r="I2404" t="s">
        <v>601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hidden="1">
      <c r="A2405" t="s">
        <v>18811</v>
      </c>
      <c r="B2405" t="s">
        <v>1029</v>
      </c>
      <c r="C2405" t="s">
        <v>1016</v>
      </c>
      <c r="D2405" t="s">
        <v>1017</v>
      </c>
      <c r="E2405" t="s">
        <v>1030</v>
      </c>
      <c r="F2405" t="s">
        <v>598</v>
      </c>
      <c r="G2405" t="s">
        <v>478</v>
      </c>
      <c r="H2405" t="s">
        <v>600</v>
      </c>
      <c r="I2405" t="s">
        <v>601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hidden="1">
      <c r="A2406" t="s">
        <v>18811</v>
      </c>
      <c r="B2406" t="s">
        <v>1034</v>
      </c>
      <c r="C2406" t="s">
        <v>1016</v>
      </c>
      <c r="D2406" t="s">
        <v>1017</v>
      </c>
      <c r="E2406" t="s">
        <v>1035</v>
      </c>
      <c r="F2406" t="s">
        <v>598</v>
      </c>
      <c r="G2406" t="s">
        <v>478</v>
      </c>
      <c r="H2406" t="s">
        <v>600</v>
      </c>
      <c r="I2406" t="s">
        <v>601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hidden="1">
      <c r="A2407" t="s">
        <v>18811</v>
      </c>
      <c r="B2407" t="s">
        <v>1037</v>
      </c>
      <c r="C2407" t="s">
        <v>1016</v>
      </c>
      <c r="D2407" t="s">
        <v>1017</v>
      </c>
      <c r="E2407" t="s">
        <v>1038</v>
      </c>
      <c r="F2407" t="s">
        <v>598</v>
      </c>
      <c r="G2407" t="s">
        <v>478</v>
      </c>
      <c r="H2407" t="s">
        <v>600</v>
      </c>
      <c r="I2407" t="s">
        <v>601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25" hidden="1">
      <c r="A2408" t="s">
        <v>18811</v>
      </c>
      <c r="B2408" t="s">
        <v>1039</v>
      </c>
      <c r="C2408" t="s">
        <v>1016</v>
      </c>
      <c r="D2408" t="s">
        <v>1017</v>
      </c>
      <c r="E2408" t="s">
        <v>1040</v>
      </c>
      <c r="F2408" t="s">
        <v>598</v>
      </c>
      <c r="G2408" t="s">
        <v>478</v>
      </c>
      <c r="H2408" t="s">
        <v>600</v>
      </c>
      <c r="I2408" t="s">
        <v>601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hidden="1">
      <c r="A2409" t="s">
        <v>18811</v>
      </c>
      <c r="B2409" t="s">
        <v>1041</v>
      </c>
      <c r="C2409" t="s">
        <v>1016</v>
      </c>
      <c r="D2409" t="s">
        <v>1017</v>
      </c>
      <c r="E2409" t="s">
        <v>1042</v>
      </c>
      <c r="F2409" t="s">
        <v>598</v>
      </c>
      <c r="G2409" t="s">
        <v>478</v>
      </c>
      <c r="H2409" t="s">
        <v>600</v>
      </c>
      <c r="I2409" t="s">
        <v>601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hidden="1">
      <c r="A2410" t="s">
        <v>18811</v>
      </c>
      <c r="B2410" t="s">
        <v>1045</v>
      </c>
      <c r="C2410" t="s">
        <v>1016</v>
      </c>
      <c r="D2410" t="s">
        <v>1017</v>
      </c>
      <c r="E2410" t="s">
        <v>1046</v>
      </c>
      <c r="F2410" t="s">
        <v>598</v>
      </c>
      <c r="G2410" t="s">
        <v>478</v>
      </c>
      <c r="H2410" t="s">
        <v>600</v>
      </c>
      <c r="I2410" t="s">
        <v>601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</row>
    <row r="2411" spans="1:25" hidden="1">
      <c r="A2411" t="s">
        <v>18811</v>
      </c>
      <c r="B2411" t="s">
        <v>1047</v>
      </c>
      <c r="C2411" t="s">
        <v>1016</v>
      </c>
      <c r="D2411" t="s">
        <v>1017</v>
      </c>
      <c r="E2411" t="s">
        <v>1048</v>
      </c>
      <c r="F2411" t="s">
        <v>598</v>
      </c>
      <c r="G2411" t="s">
        <v>478</v>
      </c>
      <c r="H2411" t="s">
        <v>600</v>
      </c>
      <c r="I2411" t="s">
        <v>601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hidden="1">
      <c r="A2412" t="s">
        <v>18811</v>
      </c>
      <c r="B2412" t="s">
        <v>1049</v>
      </c>
      <c r="C2412" t="s">
        <v>1016</v>
      </c>
      <c r="D2412" t="s">
        <v>1050</v>
      </c>
      <c r="E2412" t="s">
        <v>1024</v>
      </c>
      <c r="F2412" t="s">
        <v>598</v>
      </c>
      <c r="G2412" t="s">
        <v>478</v>
      </c>
      <c r="H2412" t="s">
        <v>600</v>
      </c>
      <c r="I2412" t="s">
        <v>601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hidden="1">
      <c r="A2413" t="s">
        <v>18811</v>
      </c>
      <c r="B2413" t="s">
        <v>1051</v>
      </c>
      <c r="C2413" t="s">
        <v>1016</v>
      </c>
      <c r="D2413" t="s">
        <v>1050</v>
      </c>
      <c r="E2413" t="s">
        <v>1052</v>
      </c>
      <c r="F2413" t="s">
        <v>598</v>
      </c>
      <c r="G2413" t="s">
        <v>478</v>
      </c>
      <c r="H2413" t="s">
        <v>600</v>
      </c>
      <c r="I2413" t="s">
        <v>601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hidden="1">
      <c r="A2414" t="s">
        <v>18811</v>
      </c>
      <c r="B2414" t="s">
        <v>1053</v>
      </c>
      <c r="C2414" t="s">
        <v>1016</v>
      </c>
      <c r="D2414" t="s">
        <v>1050</v>
      </c>
      <c r="E2414" t="s">
        <v>1000</v>
      </c>
      <c r="F2414" t="s">
        <v>598</v>
      </c>
      <c r="G2414" t="s">
        <v>478</v>
      </c>
      <c r="H2414" t="s">
        <v>600</v>
      </c>
      <c r="I2414" t="s">
        <v>601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hidden="1">
      <c r="A2415" t="s">
        <v>18811</v>
      </c>
      <c r="B2415" t="s">
        <v>1054</v>
      </c>
      <c r="C2415" t="s">
        <v>1016</v>
      </c>
      <c r="D2415" t="s">
        <v>1050</v>
      </c>
      <c r="E2415" t="s">
        <v>1055</v>
      </c>
      <c r="F2415" t="s">
        <v>598</v>
      </c>
      <c r="G2415" t="s">
        <v>478</v>
      </c>
      <c r="H2415" t="s">
        <v>600</v>
      </c>
      <c r="I2415" t="s">
        <v>601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hidden="1">
      <c r="A2416" t="s">
        <v>18811</v>
      </c>
      <c r="B2416" t="s">
        <v>1056</v>
      </c>
      <c r="C2416" t="s">
        <v>1016</v>
      </c>
      <c r="D2416" t="s">
        <v>1050</v>
      </c>
      <c r="E2416" t="s">
        <v>1002</v>
      </c>
      <c r="F2416" t="s">
        <v>598</v>
      </c>
      <c r="G2416" t="s">
        <v>478</v>
      </c>
      <c r="H2416" t="s">
        <v>600</v>
      </c>
      <c r="I2416" t="s">
        <v>601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hidden="1">
      <c r="A2417" t="s">
        <v>18811</v>
      </c>
      <c r="B2417" t="s">
        <v>1059</v>
      </c>
      <c r="C2417" t="s">
        <v>1016</v>
      </c>
      <c r="D2417" t="s">
        <v>1050</v>
      </c>
      <c r="E2417" t="s">
        <v>1042</v>
      </c>
      <c r="F2417" t="s">
        <v>598</v>
      </c>
      <c r="G2417" t="s">
        <v>478</v>
      </c>
      <c r="H2417" t="s">
        <v>600</v>
      </c>
      <c r="I2417" t="s">
        <v>601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hidden="1">
      <c r="A2418" t="s">
        <v>18811</v>
      </c>
      <c r="B2418" t="s">
        <v>1060</v>
      </c>
      <c r="C2418" t="s">
        <v>1016</v>
      </c>
      <c r="D2418" t="s">
        <v>1050</v>
      </c>
      <c r="E2418" t="s">
        <v>1044</v>
      </c>
      <c r="F2418" t="s">
        <v>598</v>
      </c>
      <c r="G2418" t="s">
        <v>478</v>
      </c>
      <c r="H2418" t="s">
        <v>600</v>
      </c>
      <c r="I2418" t="s">
        <v>601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hidden="1">
      <c r="A2419" t="s">
        <v>18811</v>
      </c>
      <c r="B2419" t="s">
        <v>1061</v>
      </c>
      <c r="C2419" t="s">
        <v>1016</v>
      </c>
      <c r="D2419" t="s">
        <v>1050</v>
      </c>
      <c r="E2419" t="s">
        <v>1048</v>
      </c>
      <c r="F2419" t="s">
        <v>598</v>
      </c>
      <c r="G2419" t="s">
        <v>478</v>
      </c>
      <c r="H2419" t="s">
        <v>600</v>
      </c>
      <c r="I2419" t="s">
        <v>601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hidden="1">
      <c r="A2420" t="s">
        <v>18811</v>
      </c>
      <c r="B2420" t="s">
        <v>1062</v>
      </c>
      <c r="C2420" t="s">
        <v>1016</v>
      </c>
      <c r="D2420" t="s">
        <v>1063</v>
      </c>
      <c r="E2420" t="s">
        <v>1018</v>
      </c>
      <c r="F2420" t="s">
        <v>598</v>
      </c>
      <c r="G2420" t="s">
        <v>478</v>
      </c>
      <c r="H2420" t="s">
        <v>600</v>
      </c>
      <c r="I2420" t="s">
        <v>601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hidden="1">
      <c r="A2421" t="s">
        <v>18811</v>
      </c>
      <c r="B2421" t="s">
        <v>1064</v>
      </c>
      <c r="C2421" t="s">
        <v>1016</v>
      </c>
      <c r="D2421" t="s">
        <v>1063</v>
      </c>
      <c r="E2421" t="s">
        <v>1022</v>
      </c>
      <c r="F2421" t="s">
        <v>598</v>
      </c>
      <c r="G2421" t="s">
        <v>478</v>
      </c>
      <c r="H2421" t="s">
        <v>600</v>
      </c>
      <c r="I2421" t="s">
        <v>601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hidden="1">
      <c r="A2422" t="s">
        <v>18811</v>
      </c>
      <c r="B2422" t="s">
        <v>1065</v>
      </c>
      <c r="C2422" t="s">
        <v>1016</v>
      </c>
      <c r="D2422" t="s">
        <v>1063</v>
      </c>
      <c r="E2422" t="s">
        <v>1024</v>
      </c>
      <c r="F2422" t="s">
        <v>598</v>
      </c>
      <c r="G2422" t="s">
        <v>478</v>
      </c>
      <c r="H2422" t="s">
        <v>600</v>
      </c>
      <c r="I2422" t="s">
        <v>601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hidden="1">
      <c r="A2423" t="s">
        <v>18811</v>
      </c>
      <c r="B2423" t="s">
        <v>1067</v>
      </c>
      <c r="C2423" t="s">
        <v>1016</v>
      </c>
      <c r="D2423" t="s">
        <v>1063</v>
      </c>
      <c r="E2423" t="s">
        <v>1026</v>
      </c>
      <c r="F2423" t="s">
        <v>598</v>
      </c>
      <c r="G2423" t="s">
        <v>478</v>
      </c>
      <c r="H2423" t="s">
        <v>600</v>
      </c>
      <c r="I2423" t="s">
        <v>601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hidden="1">
      <c r="A2424" t="s">
        <v>18811</v>
      </c>
      <c r="B2424" t="s">
        <v>1068</v>
      </c>
      <c r="C2424" t="s">
        <v>1016</v>
      </c>
      <c r="D2424" t="s">
        <v>1063</v>
      </c>
      <c r="E2424" t="s">
        <v>1030</v>
      </c>
      <c r="F2424" t="s">
        <v>598</v>
      </c>
      <c r="G2424" t="s">
        <v>478</v>
      </c>
      <c r="H2424" t="s">
        <v>600</v>
      </c>
      <c r="I2424" t="s">
        <v>601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hidden="1">
      <c r="A2425" t="s">
        <v>18811</v>
      </c>
      <c r="B2425" t="s">
        <v>1069</v>
      </c>
      <c r="C2425" t="s">
        <v>1016</v>
      </c>
      <c r="D2425" t="s">
        <v>1063</v>
      </c>
      <c r="E2425" t="s">
        <v>1035</v>
      </c>
      <c r="F2425" t="s">
        <v>598</v>
      </c>
      <c r="G2425" t="s">
        <v>478</v>
      </c>
      <c r="H2425" t="s">
        <v>600</v>
      </c>
      <c r="I2425" t="s">
        <v>601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hidden="1">
      <c r="A2426" t="s">
        <v>18811</v>
      </c>
      <c r="B2426" t="s">
        <v>1071</v>
      </c>
      <c r="C2426" t="s">
        <v>1016</v>
      </c>
      <c r="D2426" t="s">
        <v>1063</v>
      </c>
      <c r="E2426" t="s">
        <v>1038</v>
      </c>
      <c r="F2426" t="s">
        <v>598</v>
      </c>
      <c r="G2426" t="s">
        <v>478</v>
      </c>
      <c r="H2426" t="s">
        <v>600</v>
      </c>
      <c r="I2426" t="s">
        <v>601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hidden="1">
      <c r="A2427" t="s">
        <v>18811</v>
      </c>
      <c r="B2427" t="s">
        <v>1072</v>
      </c>
      <c r="C2427" t="s">
        <v>1016</v>
      </c>
      <c r="D2427" t="s">
        <v>1063</v>
      </c>
      <c r="E2427" t="s">
        <v>1040</v>
      </c>
      <c r="F2427" t="s">
        <v>598</v>
      </c>
      <c r="G2427" t="s">
        <v>478</v>
      </c>
      <c r="H2427" t="s">
        <v>600</v>
      </c>
      <c r="I2427" t="s">
        <v>601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hidden="1">
      <c r="A2428" t="s">
        <v>18811</v>
      </c>
      <c r="B2428" t="s">
        <v>1073</v>
      </c>
      <c r="C2428" t="s">
        <v>1016</v>
      </c>
      <c r="D2428" t="s">
        <v>1063</v>
      </c>
      <c r="E2428" t="s">
        <v>1042</v>
      </c>
      <c r="F2428" t="s">
        <v>598</v>
      </c>
      <c r="G2428" t="s">
        <v>478</v>
      </c>
      <c r="H2428" t="s">
        <v>600</v>
      </c>
      <c r="I2428" t="s">
        <v>601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hidden="1">
      <c r="A2429" t="s">
        <v>18811</v>
      </c>
      <c r="B2429" t="s">
        <v>1074</v>
      </c>
      <c r="C2429" t="s">
        <v>1016</v>
      </c>
      <c r="D2429" t="s">
        <v>1063</v>
      </c>
      <c r="E2429" t="s">
        <v>1044</v>
      </c>
      <c r="F2429" t="s">
        <v>598</v>
      </c>
      <c r="G2429" t="s">
        <v>478</v>
      </c>
      <c r="H2429" t="s">
        <v>600</v>
      </c>
      <c r="I2429" t="s">
        <v>601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hidden="1">
      <c r="A2430" t="s">
        <v>18811</v>
      </c>
      <c r="B2430" t="s">
        <v>1075</v>
      </c>
      <c r="C2430" t="s">
        <v>1016</v>
      </c>
      <c r="D2430" t="s">
        <v>1063</v>
      </c>
      <c r="E2430" t="s">
        <v>1046</v>
      </c>
      <c r="F2430" t="s">
        <v>598</v>
      </c>
      <c r="G2430" t="s">
        <v>478</v>
      </c>
      <c r="H2430" t="s">
        <v>600</v>
      </c>
      <c r="I2430" t="s">
        <v>601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hidden="1">
      <c r="A2431" t="s">
        <v>18811</v>
      </c>
      <c r="B2431" t="s">
        <v>1076</v>
      </c>
      <c r="C2431" t="s">
        <v>1016</v>
      </c>
      <c r="D2431" t="s">
        <v>1063</v>
      </c>
      <c r="E2431" t="s">
        <v>1048</v>
      </c>
      <c r="F2431" t="s">
        <v>598</v>
      </c>
      <c r="G2431" t="s">
        <v>478</v>
      </c>
      <c r="H2431" t="s">
        <v>600</v>
      </c>
      <c r="I2431" t="s">
        <v>601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hidden="1">
      <c r="A2432" t="s">
        <v>18811</v>
      </c>
      <c r="B2432" t="s">
        <v>1087</v>
      </c>
      <c r="C2432" t="s">
        <v>1079</v>
      </c>
      <c r="D2432" t="s">
        <v>1086</v>
      </c>
      <c r="E2432" t="s">
        <v>1081</v>
      </c>
      <c r="F2432" t="s">
        <v>598</v>
      </c>
      <c r="G2432" t="s">
        <v>478</v>
      </c>
      <c r="H2432" t="s">
        <v>600</v>
      </c>
      <c r="I2432" t="s">
        <v>601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hidden="1">
      <c r="A2433" t="s">
        <v>18811</v>
      </c>
      <c r="B2433" t="s">
        <v>1088</v>
      </c>
      <c r="C2433" t="s">
        <v>1079</v>
      </c>
      <c r="D2433" t="s">
        <v>1086</v>
      </c>
      <c r="E2433" t="s">
        <v>1089</v>
      </c>
      <c r="F2433" t="s">
        <v>598</v>
      </c>
      <c r="G2433" t="s">
        <v>478</v>
      </c>
      <c r="H2433" t="s">
        <v>600</v>
      </c>
      <c r="I2433" t="s">
        <v>601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</row>
    <row r="2434" spans="1:25" hidden="1">
      <c r="A2434" t="s">
        <v>18811</v>
      </c>
      <c r="B2434" t="s">
        <v>1090</v>
      </c>
      <c r="C2434" t="s">
        <v>1079</v>
      </c>
      <c r="D2434" t="s">
        <v>1086</v>
      </c>
      <c r="E2434" t="s">
        <v>1091</v>
      </c>
      <c r="F2434" t="s">
        <v>598</v>
      </c>
      <c r="G2434" t="s">
        <v>478</v>
      </c>
      <c r="H2434" t="s">
        <v>600</v>
      </c>
      <c r="I2434" t="s">
        <v>601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hidden="1">
      <c r="A2435" t="s">
        <v>18811</v>
      </c>
      <c r="B2435" t="s">
        <v>1096</v>
      </c>
      <c r="C2435" t="s">
        <v>1079</v>
      </c>
      <c r="D2435" t="s">
        <v>1086</v>
      </c>
      <c r="E2435" t="s">
        <v>1097</v>
      </c>
      <c r="F2435" t="s">
        <v>598</v>
      </c>
      <c r="G2435" t="s">
        <v>478</v>
      </c>
      <c r="H2435" t="s">
        <v>600</v>
      </c>
      <c r="I2435" t="s">
        <v>601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hidden="1">
      <c r="A2436" t="s">
        <v>18811</v>
      </c>
      <c r="B2436" t="s">
        <v>1098</v>
      </c>
      <c r="C2436" t="s">
        <v>1079</v>
      </c>
      <c r="D2436" t="s">
        <v>1086</v>
      </c>
      <c r="E2436" t="s">
        <v>1099</v>
      </c>
      <c r="F2436" t="s">
        <v>598</v>
      </c>
      <c r="G2436" t="s">
        <v>478</v>
      </c>
      <c r="H2436" t="s">
        <v>600</v>
      </c>
      <c r="I2436" t="s">
        <v>601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25" hidden="1">
      <c r="A2437" t="s">
        <v>18811</v>
      </c>
      <c r="B2437" t="s">
        <v>1100</v>
      </c>
      <c r="C2437" t="s">
        <v>1079</v>
      </c>
      <c r="D2437" t="s">
        <v>1086</v>
      </c>
      <c r="E2437" t="s">
        <v>1101</v>
      </c>
      <c r="F2437" t="s">
        <v>598</v>
      </c>
      <c r="G2437" t="s">
        <v>478</v>
      </c>
      <c r="H2437" t="s">
        <v>600</v>
      </c>
      <c r="I2437" t="s">
        <v>601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hidden="1">
      <c r="A2438" t="s">
        <v>18811</v>
      </c>
      <c r="B2438" t="s">
        <v>1102</v>
      </c>
      <c r="C2438" t="s">
        <v>1079</v>
      </c>
      <c r="D2438" t="s">
        <v>1086</v>
      </c>
      <c r="E2438" t="s">
        <v>1103</v>
      </c>
      <c r="F2438" t="s">
        <v>598</v>
      </c>
      <c r="G2438" t="s">
        <v>478</v>
      </c>
      <c r="H2438" t="s">
        <v>600</v>
      </c>
      <c r="I2438" t="s">
        <v>601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hidden="1">
      <c r="A2439" t="s">
        <v>18811</v>
      </c>
      <c r="B2439" t="s">
        <v>1107</v>
      </c>
      <c r="C2439" t="s">
        <v>1079</v>
      </c>
      <c r="D2439" t="s">
        <v>1108</v>
      </c>
      <c r="E2439" t="s">
        <v>1081</v>
      </c>
      <c r="F2439" t="s">
        <v>598</v>
      </c>
      <c r="G2439" t="s">
        <v>478</v>
      </c>
      <c r="H2439" t="s">
        <v>600</v>
      </c>
      <c r="I2439" t="s">
        <v>601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hidden="1">
      <c r="A2440" t="s">
        <v>18811</v>
      </c>
      <c r="B2440" t="s">
        <v>1109</v>
      </c>
      <c r="C2440" t="s">
        <v>1079</v>
      </c>
      <c r="D2440" t="s">
        <v>1108</v>
      </c>
      <c r="E2440" t="s">
        <v>1091</v>
      </c>
      <c r="F2440" t="s">
        <v>598</v>
      </c>
      <c r="G2440" t="s">
        <v>478</v>
      </c>
      <c r="H2440" t="s">
        <v>600</v>
      </c>
      <c r="I2440" t="s">
        <v>601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hidden="1">
      <c r="A2441" t="s">
        <v>18811</v>
      </c>
      <c r="B2441" t="s">
        <v>1110</v>
      </c>
      <c r="C2441" t="s">
        <v>1079</v>
      </c>
      <c r="D2441" t="s">
        <v>1108</v>
      </c>
      <c r="E2441" t="s">
        <v>1093</v>
      </c>
      <c r="F2441" t="s">
        <v>598</v>
      </c>
      <c r="G2441" t="s">
        <v>478</v>
      </c>
      <c r="H2441" t="s">
        <v>600</v>
      </c>
      <c r="I2441" t="s">
        <v>601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hidden="1">
      <c r="A2442" t="s">
        <v>18811</v>
      </c>
      <c r="B2442" t="s">
        <v>1112</v>
      </c>
      <c r="C2442" t="s">
        <v>1079</v>
      </c>
      <c r="D2442" t="s">
        <v>1108</v>
      </c>
      <c r="E2442" t="s">
        <v>1097</v>
      </c>
      <c r="F2442" t="s">
        <v>598</v>
      </c>
      <c r="G2442" t="s">
        <v>478</v>
      </c>
      <c r="H2442" t="s">
        <v>600</v>
      </c>
      <c r="I2442" t="s">
        <v>601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</row>
    <row r="2443" spans="1:25" hidden="1">
      <c r="A2443" t="s">
        <v>18811</v>
      </c>
      <c r="B2443" t="s">
        <v>1113</v>
      </c>
      <c r="C2443" t="s">
        <v>1079</v>
      </c>
      <c r="D2443" t="s">
        <v>1108</v>
      </c>
      <c r="E2443" t="s">
        <v>1101</v>
      </c>
      <c r="F2443" t="s">
        <v>598</v>
      </c>
      <c r="G2443" t="s">
        <v>478</v>
      </c>
      <c r="H2443" t="s">
        <v>600</v>
      </c>
      <c r="I2443" t="s">
        <v>601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hidden="1">
      <c r="A2444" t="s">
        <v>18811</v>
      </c>
      <c r="B2444" t="s">
        <v>1114</v>
      </c>
      <c r="C2444" t="s">
        <v>1079</v>
      </c>
      <c r="D2444" t="s">
        <v>1115</v>
      </c>
      <c r="E2444" t="s">
        <v>1081</v>
      </c>
      <c r="F2444" t="s">
        <v>598</v>
      </c>
      <c r="G2444" t="s">
        <v>478</v>
      </c>
      <c r="H2444" t="s">
        <v>600</v>
      </c>
      <c r="I2444" t="s">
        <v>601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25" hidden="1">
      <c r="A2445" t="s">
        <v>18811</v>
      </c>
      <c r="B2445" t="s">
        <v>1117</v>
      </c>
      <c r="C2445" t="s">
        <v>1079</v>
      </c>
      <c r="D2445" t="s">
        <v>1115</v>
      </c>
      <c r="E2445" t="s">
        <v>1093</v>
      </c>
      <c r="F2445" t="s">
        <v>598</v>
      </c>
      <c r="G2445" t="s">
        <v>478</v>
      </c>
      <c r="H2445" t="s">
        <v>600</v>
      </c>
      <c r="I2445" t="s">
        <v>601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25" hidden="1">
      <c r="A2446" t="s">
        <v>18811</v>
      </c>
      <c r="B2446" t="s">
        <v>1119</v>
      </c>
      <c r="C2446" t="s">
        <v>1079</v>
      </c>
      <c r="D2446" t="s">
        <v>1115</v>
      </c>
      <c r="E2446" t="s">
        <v>1101</v>
      </c>
      <c r="F2446" t="s">
        <v>598</v>
      </c>
      <c r="G2446" t="s">
        <v>478</v>
      </c>
      <c r="H2446" t="s">
        <v>600</v>
      </c>
      <c r="I2446" t="s">
        <v>601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hidden="1">
      <c r="A2447" t="s">
        <v>18811</v>
      </c>
      <c r="B2447" t="s">
        <v>1124</v>
      </c>
      <c r="C2447" t="s">
        <v>1079</v>
      </c>
      <c r="D2447" t="s">
        <v>1121</v>
      </c>
      <c r="E2447" t="s">
        <v>1103</v>
      </c>
      <c r="F2447" t="s">
        <v>598</v>
      </c>
      <c r="G2447" t="s">
        <v>478</v>
      </c>
      <c r="H2447" t="s">
        <v>600</v>
      </c>
      <c r="I2447" t="s">
        <v>601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hidden="1">
      <c r="A2448" t="s">
        <v>18811</v>
      </c>
      <c r="B2448" t="s">
        <v>1125</v>
      </c>
      <c r="C2448" t="s">
        <v>1079</v>
      </c>
      <c r="D2448" t="s">
        <v>1126</v>
      </c>
      <c r="E2448" t="s">
        <v>1081</v>
      </c>
      <c r="F2448" t="s">
        <v>598</v>
      </c>
      <c r="G2448" t="s">
        <v>478</v>
      </c>
      <c r="H2448" t="s">
        <v>600</v>
      </c>
      <c r="I2448" t="s">
        <v>601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hidden="1">
      <c r="A2449" t="s">
        <v>18811</v>
      </c>
      <c r="B2449" t="s">
        <v>1132</v>
      </c>
      <c r="C2449" t="s">
        <v>1079</v>
      </c>
      <c r="D2449" t="s">
        <v>1126</v>
      </c>
      <c r="E2449" t="s">
        <v>1103</v>
      </c>
      <c r="F2449" t="s">
        <v>598</v>
      </c>
      <c r="G2449" t="s">
        <v>478</v>
      </c>
      <c r="H2449" t="s">
        <v>600</v>
      </c>
      <c r="I2449" t="s">
        <v>601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hidden="1">
      <c r="A2450" t="s">
        <v>18811</v>
      </c>
      <c r="B2450" t="s">
        <v>1133</v>
      </c>
      <c r="C2450" t="s">
        <v>1079</v>
      </c>
      <c r="D2450" t="s">
        <v>1134</v>
      </c>
      <c r="E2450" t="s">
        <v>1081</v>
      </c>
      <c r="F2450" t="s">
        <v>598</v>
      </c>
      <c r="G2450" t="s">
        <v>478</v>
      </c>
      <c r="H2450" t="s">
        <v>600</v>
      </c>
      <c r="I2450" t="s">
        <v>601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hidden="1">
      <c r="A2451" t="s">
        <v>18811</v>
      </c>
      <c r="B2451" t="s">
        <v>1135</v>
      </c>
      <c r="C2451" t="s">
        <v>1079</v>
      </c>
      <c r="D2451" t="s">
        <v>1134</v>
      </c>
      <c r="E2451" t="s">
        <v>1091</v>
      </c>
      <c r="F2451" t="s">
        <v>598</v>
      </c>
      <c r="G2451" t="s">
        <v>478</v>
      </c>
      <c r="H2451" t="s">
        <v>600</v>
      </c>
      <c r="I2451" t="s">
        <v>601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hidden="1">
      <c r="A2452" t="s">
        <v>18811</v>
      </c>
      <c r="B2452" t="s">
        <v>1139</v>
      </c>
      <c r="C2452" t="s">
        <v>1079</v>
      </c>
      <c r="D2452" t="s">
        <v>1134</v>
      </c>
      <c r="E2452" t="s">
        <v>1099</v>
      </c>
      <c r="F2452" t="s">
        <v>598</v>
      </c>
      <c r="G2452" t="s">
        <v>478</v>
      </c>
      <c r="H2452" t="s">
        <v>600</v>
      </c>
      <c r="I2452" t="s">
        <v>601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hidden="1">
      <c r="A2453" t="s">
        <v>18811</v>
      </c>
      <c r="B2453" t="s">
        <v>1140</v>
      </c>
      <c r="C2453" t="s">
        <v>1079</v>
      </c>
      <c r="D2453" t="s">
        <v>1134</v>
      </c>
      <c r="E2453" t="s">
        <v>1141</v>
      </c>
      <c r="F2453" t="s">
        <v>598</v>
      </c>
      <c r="G2453" t="s">
        <v>478</v>
      </c>
      <c r="H2453" t="s">
        <v>600</v>
      </c>
      <c r="I2453" t="s">
        <v>601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</row>
    <row r="2454" spans="1:25" hidden="1">
      <c r="A2454" t="s">
        <v>18811</v>
      </c>
      <c r="B2454" t="s">
        <v>1142</v>
      </c>
      <c r="C2454" t="s">
        <v>1079</v>
      </c>
      <c r="D2454" t="s">
        <v>1134</v>
      </c>
      <c r="E2454" t="s">
        <v>1101</v>
      </c>
      <c r="F2454" t="s">
        <v>598</v>
      </c>
      <c r="G2454" t="s">
        <v>478</v>
      </c>
      <c r="H2454" t="s">
        <v>600</v>
      </c>
      <c r="I2454" t="s">
        <v>601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</row>
    <row r="2455" spans="1:25" hidden="1">
      <c r="A2455" t="s">
        <v>18811</v>
      </c>
      <c r="B2455" t="s">
        <v>1143</v>
      </c>
      <c r="C2455" t="s">
        <v>1079</v>
      </c>
      <c r="D2455" t="s">
        <v>1134</v>
      </c>
      <c r="E2455" t="s">
        <v>1103</v>
      </c>
      <c r="F2455" t="s">
        <v>598</v>
      </c>
      <c r="G2455" t="s">
        <v>478</v>
      </c>
      <c r="H2455" t="s">
        <v>600</v>
      </c>
      <c r="I2455" t="s">
        <v>601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hidden="1">
      <c r="A2456" t="s">
        <v>18811</v>
      </c>
      <c r="B2456" t="s">
        <v>1144</v>
      </c>
      <c r="C2456" t="s">
        <v>1079</v>
      </c>
      <c r="D2456" t="s">
        <v>1145</v>
      </c>
      <c r="E2456" t="s">
        <v>1081</v>
      </c>
      <c r="F2456" t="s">
        <v>598</v>
      </c>
      <c r="G2456" t="s">
        <v>478</v>
      </c>
      <c r="H2456" t="s">
        <v>600</v>
      </c>
      <c r="I2456" t="s">
        <v>601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</row>
    <row r="2457" spans="1:25" hidden="1">
      <c r="A2457" t="s">
        <v>18811</v>
      </c>
      <c r="B2457" t="s">
        <v>1146</v>
      </c>
      <c r="C2457" t="s">
        <v>1079</v>
      </c>
      <c r="D2457" t="s">
        <v>1145</v>
      </c>
      <c r="E2457" t="s">
        <v>1091</v>
      </c>
      <c r="F2457" t="s">
        <v>598</v>
      </c>
      <c r="G2457" t="s">
        <v>478</v>
      </c>
      <c r="H2457" t="s">
        <v>600</v>
      </c>
      <c r="I2457" t="s">
        <v>601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hidden="1">
      <c r="A2458" t="s">
        <v>18811</v>
      </c>
      <c r="B2458" t="s">
        <v>1147</v>
      </c>
      <c r="C2458" t="s">
        <v>1079</v>
      </c>
      <c r="D2458" t="s">
        <v>1145</v>
      </c>
      <c r="E2458" t="s">
        <v>1093</v>
      </c>
      <c r="F2458" t="s">
        <v>598</v>
      </c>
      <c r="G2458" t="s">
        <v>478</v>
      </c>
      <c r="H2458" t="s">
        <v>600</v>
      </c>
      <c r="I2458" t="s">
        <v>601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</row>
    <row r="2459" spans="1:25" hidden="1">
      <c r="A2459" t="s">
        <v>18811</v>
      </c>
      <c r="B2459" t="s">
        <v>1148</v>
      </c>
      <c r="C2459" t="s">
        <v>1079</v>
      </c>
      <c r="D2459" t="s">
        <v>1145</v>
      </c>
      <c r="E2459" t="s">
        <v>1095</v>
      </c>
      <c r="F2459" t="s">
        <v>598</v>
      </c>
      <c r="G2459" t="s">
        <v>478</v>
      </c>
      <c r="H2459" t="s">
        <v>600</v>
      </c>
      <c r="I2459" t="s">
        <v>601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</row>
    <row r="2460" spans="1:25" hidden="1">
      <c r="A2460" t="s">
        <v>18811</v>
      </c>
      <c r="B2460" t="s">
        <v>1149</v>
      </c>
      <c r="C2460" t="s">
        <v>1079</v>
      </c>
      <c r="D2460" t="s">
        <v>1145</v>
      </c>
      <c r="E2460" t="s">
        <v>1097</v>
      </c>
      <c r="F2460" t="s">
        <v>598</v>
      </c>
      <c r="G2460" t="s">
        <v>478</v>
      </c>
      <c r="H2460" t="s">
        <v>600</v>
      </c>
      <c r="I2460" t="s">
        <v>601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</row>
    <row r="2461" spans="1:25" hidden="1">
      <c r="A2461" t="s">
        <v>18811</v>
      </c>
      <c r="B2461" t="s">
        <v>1151</v>
      </c>
      <c r="C2461" t="s">
        <v>1079</v>
      </c>
      <c r="D2461" t="s">
        <v>1145</v>
      </c>
      <c r="E2461" t="s">
        <v>1101</v>
      </c>
      <c r="F2461" t="s">
        <v>598</v>
      </c>
      <c r="G2461" t="s">
        <v>478</v>
      </c>
      <c r="H2461" t="s">
        <v>600</v>
      </c>
      <c r="I2461" t="s">
        <v>601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</row>
    <row r="2462" spans="1:25" hidden="1">
      <c r="A2462" t="s">
        <v>18811</v>
      </c>
      <c r="B2462" t="s">
        <v>1154</v>
      </c>
      <c r="C2462" t="s">
        <v>1079</v>
      </c>
      <c r="D2462" t="s">
        <v>1145</v>
      </c>
      <c r="E2462" t="s">
        <v>1103</v>
      </c>
      <c r="F2462" t="s">
        <v>598</v>
      </c>
      <c r="G2462" t="s">
        <v>478</v>
      </c>
      <c r="H2462" t="s">
        <v>600</v>
      </c>
      <c r="I2462" t="s">
        <v>601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25" hidden="1">
      <c r="A2463" t="s">
        <v>18811</v>
      </c>
      <c r="B2463" t="s">
        <v>1155</v>
      </c>
      <c r="C2463" t="s">
        <v>1079</v>
      </c>
      <c r="D2463" t="s">
        <v>1156</v>
      </c>
      <c r="E2463" t="s">
        <v>1081</v>
      </c>
      <c r="F2463" t="s">
        <v>598</v>
      </c>
      <c r="G2463" t="s">
        <v>478</v>
      </c>
      <c r="H2463" t="s">
        <v>600</v>
      </c>
      <c r="I2463" t="s">
        <v>601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hidden="1">
      <c r="A2464" t="s">
        <v>18811</v>
      </c>
      <c r="B2464" t="s">
        <v>1157</v>
      </c>
      <c r="C2464" t="s">
        <v>1079</v>
      </c>
      <c r="D2464" t="s">
        <v>1156</v>
      </c>
      <c r="E2464" t="s">
        <v>1091</v>
      </c>
      <c r="F2464" t="s">
        <v>598</v>
      </c>
      <c r="G2464" t="s">
        <v>478</v>
      </c>
      <c r="H2464" t="s">
        <v>600</v>
      </c>
      <c r="I2464" t="s">
        <v>601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</row>
    <row r="2465" spans="1:25" hidden="1">
      <c r="A2465" t="s">
        <v>18811</v>
      </c>
      <c r="B2465" t="s">
        <v>1158</v>
      </c>
      <c r="C2465" t="s">
        <v>1079</v>
      </c>
      <c r="D2465" t="s">
        <v>1156</v>
      </c>
      <c r="E2465" t="s">
        <v>1093</v>
      </c>
      <c r="F2465" t="s">
        <v>598</v>
      </c>
      <c r="G2465" t="s">
        <v>478</v>
      </c>
      <c r="H2465" t="s">
        <v>600</v>
      </c>
      <c r="I2465" t="s">
        <v>601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hidden="1">
      <c r="A2466" t="s">
        <v>18811</v>
      </c>
      <c r="B2466" t="s">
        <v>1159</v>
      </c>
      <c r="C2466" t="s">
        <v>1079</v>
      </c>
      <c r="D2466" t="s">
        <v>1156</v>
      </c>
      <c r="E2466" t="s">
        <v>1097</v>
      </c>
      <c r="F2466" t="s">
        <v>598</v>
      </c>
      <c r="G2466" t="s">
        <v>478</v>
      </c>
      <c r="H2466" t="s">
        <v>600</v>
      </c>
      <c r="I2466" t="s">
        <v>601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</row>
    <row r="2467" spans="1:25" hidden="1">
      <c r="A2467" t="s">
        <v>18811</v>
      </c>
      <c r="B2467" t="s">
        <v>1160</v>
      </c>
      <c r="C2467" t="s">
        <v>1079</v>
      </c>
      <c r="D2467" t="s">
        <v>1156</v>
      </c>
      <c r="E2467" t="s">
        <v>1099</v>
      </c>
      <c r="F2467" t="s">
        <v>598</v>
      </c>
      <c r="G2467" t="s">
        <v>478</v>
      </c>
      <c r="H2467" t="s">
        <v>600</v>
      </c>
      <c r="I2467" t="s">
        <v>601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</row>
    <row r="2468" spans="1:25" hidden="1">
      <c r="A2468" t="s">
        <v>18811</v>
      </c>
      <c r="B2468" t="s">
        <v>1161</v>
      </c>
      <c r="C2468" t="s">
        <v>1079</v>
      </c>
      <c r="D2468" t="s">
        <v>1156</v>
      </c>
      <c r="E2468" t="s">
        <v>1101</v>
      </c>
      <c r="F2468" t="s">
        <v>598</v>
      </c>
      <c r="G2468" t="s">
        <v>478</v>
      </c>
      <c r="H2468" t="s">
        <v>600</v>
      </c>
      <c r="I2468" t="s">
        <v>601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hidden="1">
      <c r="A2469" t="s">
        <v>18811</v>
      </c>
      <c r="B2469" t="s">
        <v>1162</v>
      </c>
      <c r="C2469" t="s">
        <v>1079</v>
      </c>
      <c r="D2469" t="s">
        <v>1156</v>
      </c>
      <c r="E2469" t="s">
        <v>1103</v>
      </c>
      <c r="F2469" t="s">
        <v>598</v>
      </c>
      <c r="G2469" t="s">
        <v>478</v>
      </c>
      <c r="H2469" t="s">
        <v>600</v>
      </c>
      <c r="I2469" t="s">
        <v>601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hidden="1">
      <c r="A2470" t="s">
        <v>18811</v>
      </c>
      <c r="B2470" t="s">
        <v>1171</v>
      </c>
      <c r="C2470" t="s">
        <v>1079</v>
      </c>
      <c r="D2470" t="s">
        <v>1172</v>
      </c>
      <c r="E2470" t="s">
        <v>1081</v>
      </c>
      <c r="F2470" t="s">
        <v>598</v>
      </c>
      <c r="G2470" t="s">
        <v>478</v>
      </c>
      <c r="H2470" t="s">
        <v>600</v>
      </c>
      <c r="I2470" t="s">
        <v>601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</row>
    <row r="2471" spans="1:25" hidden="1">
      <c r="A2471" t="s">
        <v>18811</v>
      </c>
      <c r="B2471" t="s">
        <v>1175</v>
      </c>
      <c r="C2471" t="s">
        <v>1079</v>
      </c>
      <c r="D2471" t="s">
        <v>1172</v>
      </c>
      <c r="E2471" t="s">
        <v>1101</v>
      </c>
      <c r="F2471" t="s">
        <v>598</v>
      </c>
      <c r="G2471" t="s">
        <v>478</v>
      </c>
      <c r="H2471" t="s">
        <v>600</v>
      </c>
      <c r="I2471" t="s">
        <v>601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hidden="1">
      <c r="A2472" t="s">
        <v>18811</v>
      </c>
      <c r="B2472" t="s">
        <v>1179</v>
      </c>
      <c r="C2472" t="s">
        <v>1079</v>
      </c>
      <c r="D2472" t="s">
        <v>1180</v>
      </c>
      <c r="E2472" t="s">
        <v>1081</v>
      </c>
      <c r="F2472" t="s">
        <v>598</v>
      </c>
      <c r="G2472" t="s">
        <v>478</v>
      </c>
      <c r="H2472" t="s">
        <v>600</v>
      </c>
      <c r="I2472" t="s">
        <v>601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hidden="1">
      <c r="A2473" t="s">
        <v>18811</v>
      </c>
      <c r="B2473" t="s">
        <v>1181</v>
      </c>
      <c r="C2473" t="s">
        <v>1079</v>
      </c>
      <c r="D2473" t="s">
        <v>1180</v>
      </c>
      <c r="E2473" t="s">
        <v>1091</v>
      </c>
      <c r="F2473" t="s">
        <v>598</v>
      </c>
      <c r="G2473" t="s">
        <v>478</v>
      </c>
      <c r="H2473" t="s">
        <v>600</v>
      </c>
      <c r="I2473" t="s">
        <v>601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hidden="1">
      <c r="A2474" t="s">
        <v>18811</v>
      </c>
      <c r="B2474" t="s">
        <v>1185</v>
      </c>
      <c r="C2474" t="s">
        <v>1079</v>
      </c>
      <c r="D2474" t="s">
        <v>1180</v>
      </c>
      <c r="E2474" t="s">
        <v>1101</v>
      </c>
      <c r="F2474" t="s">
        <v>598</v>
      </c>
      <c r="G2474" t="s">
        <v>478</v>
      </c>
      <c r="H2474" t="s">
        <v>600</v>
      </c>
      <c r="I2474" t="s">
        <v>601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hidden="1">
      <c r="A2475" t="s">
        <v>18811</v>
      </c>
      <c r="B2475" t="s">
        <v>1186</v>
      </c>
      <c r="C2475" t="s">
        <v>1079</v>
      </c>
      <c r="D2475" t="s">
        <v>1180</v>
      </c>
      <c r="E2475" t="s">
        <v>1103</v>
      </c>
      <c r="F2475" t="s">
        <v>598</v>
      </c>
      <c r="G2475" t="s">
        <v>478</v>
      </c>
      <c r="H2475" t="s">
        <v>600</v>
      </c>
      <c r="I2475" t="s">
        <v>601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hidden="1">
      <c r="A2476" t="s">
        <v>18811</v>
      </c>
      <c r="B2476" t="s">
        <v>1190</v>
      </c>
      <c r="C2476" t="s">
        <v>1079</v>
      </c>
      <c r="D2476" t="s">
        <v>1188</v>
      </c>
      <c r="E2476" t="s">
        <v>1020</v>
      </c>
      <c r="F2476" t="s">
        <v>598</v>
      </c>
      <c r="G2476" t="s">
        <v>478</v>
      </c>
      <c r="H2476" t="s">
        <v>600</v>
      </c>
      <c r="I2476" t="s">
        <v>601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hidden="1">
      <c r="A2477" t="s">
        <v>18811</v>
      </c>
      <c r="B2477" t="s">
        <v>1203</v>
      </c>
      <c r="C2477" t="s">
        <v>1079</v>
      </c>
      <c r="D2477" t="s">
        <v>1188</v>
      </c>
      <c r="E2477" t="s">
        <v>1028</v>
      </c>
      <c r="F2477" t="s">
        <v>598</v>
      </c>
      <c r="G2477" t="s">
        <v>478</v>
      </c>
      <c r="H2477" t="s">
        <v>600</v>
      </c>
      <c r="I2477" t="s">
        <v>601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hidden="1">
      <c r="A2478" t="s">
        <v>18811</v>
      </c>
      <c r="B2478" t="s">
        <v>1215</v>
      </c>
      <c r="C2478" t="s">
        <v>1079</v>
      </c>
      <c r="D2478" t="s">
        <v>1188</v>
      </c>
      <c r="E2478" t="s">
        <v>1216</v>
      </c>
      <c r="F2478" t="s">
        <v>598</v>
      </c>
      <c r="G2478" t="s">
        <v>478</v>
      </c>
      <c r="H2478" t="s">
        <v>600</v>
      </c>
      <c r="I2478" t="s">
        <v>601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hidden="1">
      <c r="A2479" t="s">
        <v>18811</v>
      </c>
      <c r="B2479" t="s">
        <v>1217</v>
      </c>
      <c r="C2479" t="s">
        <v>1079</v>
      </c>
      <c r="D2479" t="s">
        <v>1188</v>
      </c>
      <c r="E2479" t="s">
        <v>1106</v>
      </c>
      <c r="F2479" t="s">
        <v>598</v>
      </c>
      <c r="G2479" t="s">
        <v>478</v>
      </c>
      <c r="H2479" t="s">
        <v>600</v>
      </c>
      <c r="I2479" t="s">
        <v>601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</row>
    <row r="2480" spans="1:25" hidden="1">
      <c r="A2480" t="s">
        <v>18811</v>
      </c>
      <c r="B2480" t="s">
        <v>1218</v>
      </c>
      <c r="C2480" t="s">
        <v>1079</v>
      </c>
      <c r="D2480" t="s">
        <v>1188</v>
      </c>
      <c r="E2480" t="s">
        <v>1219</v>
      </c>
      <c r="F2480" t="s">
        <v>598</v>
      </c>
      <c r="G2480" t="s">
        <v>478</v>
      </c>
      <c r="H2480" t="s">
        <v>600</v>
      </c>
      <c r="I2480" t="s">
        <v>601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hidden="1">
      <c r="A2481" t="s">
        <v>18811</v>
      </c>
      <c r="B2481" t="s">
        <v>1220</v>
      </c>
      <c r="C2481" t="s">
        <v>1079</v>
      </c>
      <c r="D2481" t="s">
        <v>1188</v>
      </c>
      <c r="E2481" t="s">
        <v>1084</v>
      </c>
      <c r="F2481" t="s">
        <v>598</v>
      </c>
      <c r="G2481" t="s">
        <v>478</v>
      </c>
      <c r="H2481" t="s">
        <v>600</v>
      </c>
      <c r="I2481" t="s">
        <v>601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</row>
    <row r="2482" spans="1:25" hidden="1">
      <c r="A2482" t="s">
        <v>18811</v>
      </c>
      <c r="B2482" t="s">
        <v>1221</v>
      </c>
      <c r="C2482" t="s">
        <v>1079</v>
      </c>
      <c r="D2482" t="s">
        <v>648</v>
      </c>
      <c r="E2482" t="s">
        <v>1081</v>
      </c>
      <c r="F2482" t="s">
        <v>598</v>
      </c>
      <c r="G2482" t="s">
        <v>478</v>
      </c>
      <c r="H2482" t="s">
        <v>600</v>
      </c>
      <c r="I2482" t="s">
        <v>601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hidden="1">
      <c r="A2483" t="s">
        <v>18811</v>
      </c>
      <c r="B2483" t="s">
        <v>1222</v>
      </c>
      <c r="C2483" t="s">
        <v>1079</v>
      </c>
      <c r="D2483" t="s">
        <v>648</v>
      </c>
      <c r="E2483" t="s">
        <v>1091</v>
      </c>
      <c r="F2483" t="s">
        <v>598</v>
      </c>
      <c r="G2483" t="s">
        <v>478</v>
      </c>
      <c r="H2483" t="s">
        <v>600</v>
      </c>
      <c r="I2483" t="s">
        <v>601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hidden="1">
      <c r="A2484" t="s">
        <v>18811</v>
      </c>
      <c r="B2484" t="s">
        <v>1223</v>
      </c>
      <c r="C2484" t="s">
        <v>1079</v>
      </c>
      <c r="D2484" t="s">
        <v>648</v>
      </c>
      <c r="E2484" t="s">
        <v>1093</v>
      </c>
      <c r="F2484" t="s">
        <v>598</v>
      </c>
      <c r="G2484" t="s">
        <v>478</v>
      </c>
      <c r="H2484" t="s">
        <v>600</v>
      </c>
      <c r="I2484" t="s">
        <v>601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hidden="1">
      <c r="A2485" t="s">
        <v>18811</v>
      </c>
      <c r="B2485" t="s">
        <v>1224</v>
      </c>
      <c r="C2485" t="s">
        <v>1079</v>
      </c>
      <c r="D2485" t="s">
        <v>648</v>
      </c>
      <c r="E2485" t="s">
        <v>1095</v>
      </c>
      <c r="F2485" t="s">
        <v>598</v>
      </c>
      <c r="G2485" t="s">
        <v>478</v>
      </c>
      <c r="H2485" t="s">
        <v>600</v>
      </c>
      <c r="I2485" t="s">
        <v>601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25" hidden="1">
      <c r="A2486" t="s">
        <v>18811</v>
      </c>
      <c r="B2486" t="s">
        <v>1225</v>
      </c>
      <c r="C2486" t="s">
        <v>1079</v>
      </c>
      <c r="D2486" t="s">
        <v>648</v>
      </c>
      <c r="E2486" t="s">
        <v>1097</v>
      </c>
      <c r="F2486" t="s">
        <v>598</v>
      </c>
      <c r="G2486" t="s">
        <v>478</v>
      </c>
      <c r="H2486" t="s">
        <v>600</v>
      </c>
      <c r="I2486" t="s">
        <v>601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</row>
    <row r="2487" spans="1:25" hidden="1">
      <c r="A2487" t="s">
        <v>18811</v>
      </c>
      <c r="B2487" t="s">
        <v>1226</v>
      </c>
      <c r="C2487" t="s">
        <v>1079</v>
      </c>
      <c r="D2487" t="s">
        <v>648</v>
      </c>
      <c r="E2487" t="s">
        <v>1099</v>
      </c>
      <c r="F2487" t="s">
        <v>598</v>
      </c>
      <c r="G2487" t="s">
        <v>478</v>
      </c>
      <c r="H2487" t="s">
        <v>600</v>
      </c>
      <c r="I2487" t="s">
        <v>601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hidden="1">
      <c r="A2488" t="s">
        <v>18811</v>
      </c>
      <c r="B2488" t="s">
        <v>1227</v>
      </c>
      <c r="C2488" t="s">
        <v>1079</v>
      </c>
      <c r="D2488" t="s">
        <v>648</v>
      </c>
      <c r="E2488" t="s">
        <v>1101</v>
      </c>
      <c r="F2488" t="s">
        <v>598</v>
      </c>
      <c r="G2488" t="s">
        <v>478</v>
      </c>
      <c r="H2488" t="s">
        <v>600</v>
      </c>
      <c r="I2488" t="s">
        <v>601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hidden="1">
      <c r="A2489" t="s">
        <v>18811</v>
      </c>
      <c r="B2489" t="s">
        <v>1228</v>
      </c>
      <c r="C2489" t="s">
        <v>1079</v>
      </c>
      <c r="D2489" t="s">
        <v>648</v>
      </c>
      <c r="E2489" t="s">
        <v>1103</v>
      </c>
      <c r="F2489" t="s">
        <v>598</v>
      </c>
      <c r="G2489" t="s">
        <v>478</v>
      </c>
      <c r="H2489" t="s">
        <v>600</v>
      </c>
      <c r="I2489" t="s">
        <v>601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hidden="1">
      <c r="A2490" t="s">
        <v>18811</v>
      </c>
      <c r="B2490" t="s">
        <v>1232</v>
      </c>
      <c r="C2490" t="s">
        <v>1230</v>
      </c>
      <c r="D2490" t="s">
        <v>1188</v>
      </c>
      <c r="E2490" t="s">
        <v>1233</v>
      </c>
      <c r="F2490" t="s">
        <v>598</v>
      </c>
      <c r="G2490" t="s">
        <v>478</v>
      </c>
      <c r="H2490" t="s">
        <v>600</v>
      </c>
      <c r="I2490" t="s">
        <v>601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hidden="1">
      <c r="A2491" t="s">
        <v>18811</v>
      </c>
      <c r="B2491" t="s">
        <v>1235</v>
      </c>
      <c r="C2491" t="s">
        <v>1230</v>
      </c>
      <c r="D2491" t="s">
        <v>1188</v>
      </c>
      <c r="E2491" t="s">
        <v>1219</v>
      </c>
      <c r="F2491" t="s">
        <v>598</v>
      </c>
      <c r="G2491" t="s">
        <v>478</v>
      </c>
      <c r="H2491" t="s">
        <v>600</v>
      </c>
      <c r="I2491" t="s">
        <v>601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hidden="1">
      <c r="A2492" t="s">
        <v>18811</v>
      </c>
      <c r="B2492" t="s">
        <v>1237</v>
      </c>
      <c r="C2492" t="s">
        <v>1230</v>
      </c>
      <c r="D2492" t="s">
        <v>1238</v>
      </c>
      <c r="E2492" t="s">
        <v>1239</v>
      </c>
      <c r="F2492" t="s">
        <v>598</v>
      </c>
      <c r="G2492" t="s">
        <v>478</v>
      </c>
      <c r="H2492" t="s">
        <v>600</v>
      </c>
      <c r="I2492" t="s">
        <v>601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</row>
    <row r="2493" spans="1:25" hidden="1">
      <c r="A2493" t="s">
        <v>18811</v>
      </c>
      <c r="B2493" t="s">
        <v>1240</v>
      </c>
      <c r="C2493" t="s">
        <v>1230</v>
      </c>
      <c r="D2493" t="s">
        <v>1241</v>
      </c>
      <c r="E2493" t="s">
        <v>1239</v>
      </c>
      <c r="F2493" t="s">
        <v>598</v>
      </c>
      <c r="G2493" t="s">
        <v>478</v>
      </c>
      <c r="H2493" t="s">
        <v>600</v>
      </c>
      <c r="I2493" t="s">
        <v>601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hidden="1">
      <c r="A2494" t="s">
        <v>18811</v>
      </c>
      <c r="B2494" t="s">
        <v>1244</v>
      </c>
      <c r="C2494" t="s">
        <v>1230</v>
      </c>
      <c r="D2494" t="s">
        <v>1243</v>
      </c>
      <c r="E2494" t="s">
        <v>1239</v>
      </c>
      <c r="F2494" t="s">
        <v>598</v>
      </c>
      <c r="G2494" t="s">
        <v>478</v>
      </c>
      <c r="H2494" t="s">
        <v>600</v>
      </c>
      <c r="I2494" t="s">
        <v>601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hidden="1">
      <c r="A2495" t="s">
        <v>18811</v>
      </c>
      <c r="B2495" t="s">
        <v>1245</v>
      </c>
      <c r="C2495" t="s">
        <v>1230</v>
      </c>
      <c r="D2495" t="s">
        <v>1246</v>
      </c>
      <c r="E2495" t="s">
        <v>1084</v>
      </c>
      <c r="F2495" t="s">
        <v>598</v>
      </c>
      <c r="G2495" t="s">
        <v>478</v>
      </c>
      <c r="H2495" t="s">
        <v>600</v>
      </c>
      <c r="I2495" t="s">
        <v>601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hidden="1">
      <c r="A2496" t="s">
        <v>18811</v>
      </c>
      <c r="B2496" t="s">
        <v>1247</v>
      </c>
      <c r="C2496" t="s">
        <v>1230</v>
      </c>
      <c r="D2496" t="s">
        <v>1246</v>
      </c>
      <c r="E2496" t="s">
        <v>1239</v>
      </c>
      <c r="F2496" t="s">
        <v>598</v>
      </c>
      <c r="G2496" t="s">
        <v>478</v>
      </c>
      <c r="H2496" t="s">
        <v>600</v>
      </c>
      <c r="I2496" t="s">
        <v>601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hidden="1">
      <c r="A2497" t="s">
        <v>18811</v>
      </c>
      <c r="B2497" t="s">
        <v>1248</v>
      </c>
      <c r="C2497" t="s">
        <v>1230</v>
      </c>
      <c r="D2497" t="s">
        <v>1249</v>
      </c>
      <c r="E2497" t="s">
        <v>1239</v>
      </c>
      <c r="F2497" t="s">
        <v>598</v>
      </c>
      <c r="G2497" t="s">
        <v>478</v>
      </c>
      <c r="H2497" t="s">
        <v>600</v>
      </c>
      <c r="I2497" t="s">
        <v>601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</row>
    <row r="2498" spans="1:25" hidden="1">
      <c r="A2498" t="s">
        <v>18811</v>
      </c>
      <c r="B2498" t="s">
        <v>1250</v>
      </c>
      <c r="C2498" t="s">
        <v>1230</v>
      </c>
      <c r="D2498" t="s">
        <v>648</v>
      </c>
      <c r="E2498" t="s">
        <v>1004</v>
      </c>
      <c r="F2498" t="s">
        <v>598</v>
      </c>
      <c r="G2498" t="s">
        <v>478</v>
      </c>
      <c r="H2498" t="s">
        <v>600</v>
      </c>
      <c r="I2498" t="s">
        <v>601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hidden="1">
      <c r="A2499" t="s">
        <v>18811</v>
      </c>
      <c r="B2499" t="s">
        <v>1251</v>
      </c>
      <c r="C2499" t="s">
        <v>1230</v>
      </c>
      <c r="D2499" t="s">
        <v>648</v>
      </c>
      <c r="E2499" t="s">
        <v>1239</v>
      </c>
      <c r="F2499" t="s">
        <v>598</v>
      </c>
      <c r="G2499" t="s">
        <v>478</v>
      </c>
      <c r="H2499" t="s">
        <v>600</v>
      </c>
      <c r="I2499" t="s">
        <v>601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hidden="1">
      <c r="A2500" t="s">
        <v>18811</v>
      </c>
      <c r="B2500" t="s">
        <v>1252</v>
      </c>
      <c r="C2500" t="s">
        <v>1253</v>
      </c>
      <c r="D2500" t="s">
        <v>1254</v>
      </c>
      <c r="E2500" t="s">
        <v>1255</v>
      </c>
      <c r="F2500" t="s">
        <v>598</v>
      </c>
      <c r="G2500" t="s">
        <v>478</v>
      </c>
      <c r="H2500" t="s">
        <v>600</v>
      </c>
      <c r="I2500" t="s">
        <v>601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hidden="1">
      <c r="A2501" t="s">
        <v>18811</v>
      </c>
      <c r="B2501" t="s">
        <v>1256</v>
      </c>
      <c r="C2501" t="s">
        <v>1253</v>
      </c>
      <c r="D2501" t="s">
        <v>1254</v>
      </c>
      <c r="E2501" t="s">
        <v>1257</v>
      </c>
      <c r="F2501" t="s">
        <v>598</v>
      </c>
      <c r="G2501" t="s">
        <v>478</v>
      </c>
      <c r="H2501" t="s">
        <v>600</v>
      </c>
      <c r="I2501" t="s">
        <v>601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hidden="1">
      <c r="A2502" t="s">
        <v>18811</v>
      </c>
      <c r="B2502" t="s">
        <v>1258</v>
      </c>
      <c r="C2502" t="s">
        <v>1253</v>
      </c>
      <c r="D2502" t="s">
        <v>1254</v>
      </c>
      <c r="E2502" t="s">
        <v>1259</v>
      </c>
      <c r="F2502" t="s">
        <v>598</v>
      </c>
      <c r="G2502" t="s">
        <v>478</v>
      </c>
      <c r="H2502" t="s">
        <v>600</v>
      </c>
      <c r="I2502" t="s">
        <v>601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 hidden="1">
      <c r="A2503" t="s">
        <v>18811</v>
      </c>
      <c r="B2503" t="s">
        <v>1260</v>
      </c>
      <c r="C2503" t="s">
        <v>1261</v>
      </c>
      <c r="D2503" t="s">
        <v>648</v>
      </c>
      <c r="E2503" t="s">
        <v>920</v>
      </c>
      <c r="F2503" t="s">
        <v>598</v>
      </c>
      <c r="G2503" t="s">
        <v>478</v>
      </c>
      <c r="H2503" t="s">
        <v>600</v>
      </c>
      <c r="I2503" t="s">
        <v>601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hidden="1">
      <c r="A2504" t="s">
        <v>18811</v>
      </c>
      <c r="B2504" t="s">
        <v>1263</v>
      </c>
      <c r="C2504" t="s">
        <v>1261</v>
      </c>
      <c r="D2504" t="s">
        <v>648</v>
      </c>
      <c r="E2504" t="s">
        <v>1264</v>
      </c>
      <c r="F2504" t="s">
        <v>598</v>
      </c>
      <c r="G2504" t="s">
        <v>478</v>
      </c>
      <c r="H2504" t="s">
        <v>600</v>
      </c>
      <c r="I2504" t="s">
        <v>601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hidden="1">
      <c r="A2505" t="s">
        <v>18811</v>
      </c>
      <c r="B2505" t="s">
        <v>1265</v>
      </c>
      <c r="C2505" t="s">
        <v>1261</v>
      </c>
      <c r="D2505" t="s">
        <v>648</v>
      </c>
      <c r="E2505" t="s">
        <v>1004</v>
      </c>
      <c r="F2505" t="s">
        <v>598</v>
      </c>
      <c r="G2505" t="s">
        <v>478</v>
      </c>
      <c r="H2505" t="s">
        <v>600</v>
      </c>
      <c r="I2505" t="s">
        <v>601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hidden="1">
      <c r="A2506" t="s">
        <v>18811</v>
      </c>
      <c r="B2506" t="s">
        <v>1266</v>
      </c>
      <c r="C2506" t="s">
        <v>1267</v>
      </c>
      <c r="D2506" t="s">
        <v>1268</v>
      </c>
      <c r="E2506" t="s">
        <v>597</v>
      </c>
      <c r="F2506" t="s">
        <v>598</v>
      </c>
      <c r="G2506" t="s">
        <v>478</v>
      </c>
      <c r="H2506" t="s">
        <v>600</v>
      </c>
      <c r="I2506" t="s">
        <v>601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hidden="1">
      <c r="A2507" t="s">
        <v>18811</v>
      </c>
      <c r="B2507" t="s">
        <v>1269</v>
      </c>
      <c r="C2507" t="s">
        <v>1267</v>
      </c>
      <c r="D2507" t="s">
        <v>1268</v>
      </c>
      <c r="E2507" t="s">
        <v>678</v>
      </c>
      <c r="F2507" t="s">
        <v>598</v>
      </c>
      <c r="G2507" t="s">
        <v>478</v>
      </c>
      <c r="H2507" t="s">
        <v>600</v>
      </c>
      <c r="I2507" t="s">
        <v>601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hidden="1">
      <c r="A2508" t="s">
        <v>18811</v>
      </c>
      <c r="B2508" t="s">
        <v>1270</v>
      </c>
      <c r="C2508" t="s">
        <v>1267</v>
      </c>
      <c r="D2508" t="s">
        <v>1271</v>
      </c>
      <c r="E2508" t="s">
        <v>672</v>
      </c>
      <c r="F2508" t="s">
        <v>598</v>
      </c>
      <c r="G2508" t="s">
        <v>478</v>
      </c>
      <c r="H2508" t="s">
        <v>600</v>
      </c>
      <c r="I2508" t="s">
        <v>601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hidden="1">
      <c r="A2509" t="s">
        <v>18811</v>
      </c>
      <c r="B2509" t="s">
        <v>1272</v>
      </c>
      <c r="C2509" t="s">
        <v>1267</v>
      </c>
      <c r="D2509" t="s">
        <v>1271</v>
      </c>
      <c r="E2509" t="s">
        <v>678</v>
      </c>
      <c r="F2509" t="s">
        <v>598</v>
      </c>
      <c r="G2509" t="s">
        <v>478</v>
      </c>
      <c r="H2509" t="s">
        <v>600</v>
      </c>
      <c r="I2509" t="s">
        <v>601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hidden="1">
      <c r="A2510" t="s">
        <v>18811</v>
      </c>
      <c r="B2510" t="s">
        <v>1273</v>
      </c>
      <c r="C2510" t="s">
        <v>1267</v>
      </c>
      <c r="D2510" t="s">
        <v>1274</v>
      </c>
      <c r="E2510" t="s">
        <v>672</v>
      </c>
      <c r="F2510" t="s">
        <v>598</v>
      </c>
      <c r="G2510" t="s">
        <v>478</v>
      </c>
      <c r="H2510" t="s">
        <v>600</v>
      </c>
      <c r="I2510" t="s">
        <v>601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hidden="1">
      <c r="A2511" t="s">
        <v>18811</v>
      </c>
      <c r="B2511" t="s">
        <v>1275</v>
      </c>
      <c r="C2511" t="s">
        <v>1267</v>
      </c>
      <c r="D2511" t="s">
        <v>1274</v>
      </c>
      <c r="E2511" t="s">
        <v>597</v>
      </c>
      <c r="F2511" t="s">
        <v>598</v>
      </c>
      <c r="G2511" t="s">
        <v>478</v>
      </c>
      <c r="H2511" t="s">
        <v>600</v>
      </c>
      <c r="I2511" t="s">
        <v>601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hidden="1">
      <c r="A2512" t="s">
        <v>18811</v>
      </c>
      <c r="B2512" t="s">
        <v>1276</v>
      </c>
      <c r="C2512" t="s">
        <v>1267</v>
      </c>
      <c r="D2512" t="s">
        <v>1274</v>
      </c>
      <c r="E2512" t="s">
        <v>678</v>
      </c>
      <c r="F2512" t="s">
        <v>598</v>
      </c>
      <c r="G2512" t="s">
        <v>478</v>
      </c>
      <c r="H2512" t="s">
        <v>600</v>
      </c>
      <c r="I2512" t="s">
        <v>601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hidden="1">
      <c r="A2513" t="s">
        <v>18811</v>
      </c>
      <c r="B2513" t="s">
        <v>1277</v>
      </c>
      <c r="C2513" t="s">
        <v>1267</v>
      </c>
      <c r="D2513" t="s">
        <v>1278</v>
      </c>
      <c r="E2513" t="s">
        <v>672</v>
      </c>
      <c r="F2513" t="s">
        <v>598</v>
      </c>
      <c r="G2513" t="s">
        <v>478</v>
      </c>
      <c r="H2513" t="s">
        <v>600</v>
      </c>
      <c r="I2513" t="s">
        <v>601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hidden="1">
      <c r="A2514" t="s">
        <v>18811</v>
      </c>
      <c r="B2514" t="s">
        <v>1279</v>
      </c>
      <c r="C2514" t="s">
        <v>1267</v>
      </c>
      <c r="D2514" t="s">
        <v>1278</v>
      </c>
      <c r="E2514" t="s">
        <v>678</v>
      </c>
      <c r="F2514" t="s">
        <v>598</v>
      </c>
      <c r="G2514" t="s">
        <v>478</v>
      </c>
      <c r="H2514" t="s">
        <v>600</v>
      </c>
      <c r="I2514" t="s">
        <v>601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hidden="1">
      <c r="A2515" t="s">
        <v>18811</v>
      </c>
      <c r="B2515" t="s">
        <v>1280</v>
      </c>
      <c r="C2515" t="s">
        <v>1267</v>
      </c>
      <c r="D2515" t="s">
        <v>1281</v>
      </c>
      <c r="E2515" t="s">
        <v>672</v>
      </c>
      <c r="F2515" t="s">
        <v>598</v>
      </c>
      <c r="G2515" t="s">
        <v>478</v>
      </c>
      <c r="H2515" t="s">
        <v>600</v>
      </c>
      <c r="I2515" t="s">
        <v>601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hidden="1">
      <c r="A2516" t="s">
        <v>18811</v>
      </c>
      <c r="B2516" t="s">
        <v>1283</v>
      </c>
      <c r="C2516" t="s">
        <v>1267</v>
      </c>
      <c r="D2516" t="s">
        <v>1281</v>
      </c>
      <c r="E2516" t="s">
        <v>678</v>
      </c>
      <c r="F2516" t="s">
        <v>598</v>
      </c>
      <c r="G2516" t="s">
        <v>478</v>
      </c>
      <c r="H2516" t="s">
        <v>600</v>
      </c>
      <c r="I2516" t="s">
        <v>601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hidden="1">
      <c r="A2517" t="s">
        <v>18811</v>
      </c>
      <c r="B2517" t="s">
        <v>1284</v>
      </c>
      <c r="C2517" t="s">
        <v>1267</v>
      </c>
      <c r="D2517" t="s">
        <v>1285</v>
      </c>
      <c r="E2517" t="s">
        <v>678</v>
      </c>
      <c r="F2517" t="s">
        <v>598</v>
      </c>
      <c r="G2517" t="s">
        <v>478</v>
      </c>
      <c r="H2517" t="s">
        <v>600</v>
      </c>
      <c r="I2517" t="s">
        <v>601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hidden="1">
      <c r="A2518" t="s">
        <v>18811</v>
      </c>
      <c r="B2518" t="s">
        <v>1286</v>
      </c>
      <c r="C2518" t="s">
        <v>1267</v>
      </c>
      <c r="D2518" t="s">
        <v>1287</v>
      </c>
      <c r="E2518" t="s">
        <v>597</v>
      </c>
      <c r="F2518" t="s">
        <v>598</v>
      </c>
      <c r="G2518" t="s">
        <v>478</v>
      </c>
      <c r="H2518" t="s">
        <v>600</v>
      </c>
      <c r="I2518" t="s">
        <v>601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hidden="1">
      <c r="A2519" t="s">
        <v>18811</v>
      </c>
      <c r="B2519" t="s">
        <v>1288</v>
      </c>
      <c r="C2519" t="s">
        <v>1267</v>
      </c>
      <c r="D2519" t="s">
        <v>1287</v>
      </c>
      <c r="E2519" t="s">
        <v>678</v>
      </c>
      <c r="F2519" t="s">
        <v>598</v>
      </c>
      <c r="G2519" t="s">
        <v>478</v>
      </c>
      <c r="H2519" t="s">
        <v>600</v>
      </c>
      <c r="I2519" t="s">
        <v>601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hidden="1">
      <c r="A2520" t="s">
        <v>18811</v>
      </c>
      <c r="B2520" t="s">
        <v>1291</v>
      </c>
      <c r="C2520" t="s">
        <v>1267</v>
      </c>
      <c r="D2520" t="s">
        <v>1290</v>
      </c>
      <c r="E2520" t="s">
        <v>678</v>
      </c>
      <c r="F2520" t="s">
        <v>598</v>
      </c>
      <c r="G2520" t="s">
        <v>478</v>
      </c>
      <c r="H2520" t="s">
        <v>600</v>
      </c>
      <c r="I2520" t="s">
        <v>601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hidden="1">
      <c r="A2521" t="s">
        <v>18811</v>
      </c>
      <c r="B2521" t="s">
        <v>1292</v>
      </c>
      <c r="C2521" t="s">
        <v>1267</v>
      </c>
      <c r="D2521" t="s">
        <v>1293</v>
      </c>
      <c r="E2521" t="s">
        <v>672</v>
      </c>
      <c r="F2521" t="s">
        <v>598</v>
      </c>
      <c r="G2521" t="s">
        <v>478</v>
      </c>
      <c r="H2521" t="s">
        <v>600</v>
      </c>
      <c r="I2521" t="s">
        <v>601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hidden="1">
      <c r="A2522" t="s">
        <v>18811</v>
      </c>
      <c r="B2522" t="s">
        <v>1294</v>
      </c>
      <c r="C2522" t="s">
        <v>1267</v>
      </c>
      <c r="D2522" t="s">
        <v>1293</v>
      </c>
      <c r="E2522" t="s">
        <v>678</v>
      </c>
      <c r="F2522" t="s">
        <v>598</v>
      </c>
      <c r="G2522" t="s">
        <v>478</v>
      </c>
      <c r="H2522" t="s">
        <v>600</v>
      </c>
      <c r="I2522" t="s">
        <v>601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hidden="1">
      <c r="A2523" t="s">
        <v>18811</v>
      </c>
      <c r="B2523" t="s">
        <v>1295</v>
      </c>
      <c r="C2523" t="s">
        <v>1267</v>
      </c>
      <c r="D2523" t="s">
        <v>1296</v>
      </c>
      <c r="E2523" t="s">
        <v>678</v>
      </c>
      <c r="F2523" t="s">
        <v>598</v>
      </c>
      <c r="G2523" t="s">
        <v>478</v>
      </c>
      <c r="H2523" t="s">
        <v>600</v>
      </c>
      <c r="I2523" t="s">
        <v>601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hidden="1">
      <c r="A2524" t="s">
        <v>18811</v>
      </c>
      <c r="B2524" t="s">
        <v>1297</v>
      </c>
      <c r="C2524" t="s">
        <v>1267</v>
      </c>
      <c r="D2524" t="s">
        <v>1298</v>
      </c>
      <c r="E2524" t="s">
        <v>672</v>
      </c>
      <c r="F2524" t="s">
        <v>598</v>
      </c>
      <c r="G2524" t="s">
        <v>478</v>
      </c>
      <c r="H2524" t="s">
        <v>600</v>
      </c>
      <c r="I2524" t="s">
        <v>601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hidden="1">
      <c r="A2525" t="s">
        <v>18811</v>
      </c>
      <c r="B2525" t="s">
        <v>1301</v>
      </c>
      <c r="C2525" t="s">
        <v>1267</v>
      </c>
      <c r="D2525" t="s">
        <v>1302</v>
      </c>
      <c r="E2525" t="s">
        <v>672</v>
      </c>
      <c r="F2525" t="s">
        <v>598</v>
      </c>
      <c r="G2525" t="s">
        <v>478</v>
      </c>
      <c r="H2525" t="s">
        <v>600</v>
      </c>
      <c r="I2525" t="s">
        <v>601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hidden="1">
      <c r="A2526" t="s">
        <v>18811</v>
      </c>
      <c r="B2526" t="s">
        <v>1303</v>
      </c>
      <c r="C2526" t="s">
        <v>1267</v>
      </c>
      <c r="D2526" t="s">
        <v>1302</v>
      </c>
      <c r="E2526" t="s">
        <v>678</v>
      </c>
      <c r="F2526" t="s">
        <v>598</v>
      </c>
      <c r="G2526" t="s">
        <v>478</v>
      </c>
      <c r="H2526" t="s">
        <v>600</v>
      </c>
      <c r="I2526" t="s">
        <v>601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hidden="1">
      <c r="A2527" t="s">
        <v>18811</v>
      </c>
      <c r="B2527" t="s">
        <v>1304</v>
      </c>
      <c r="C2527" t="s">
        <v>1267</v>
      </c>
      <c r="D2527" t="s">
        <v>1305</v>
      </c>
      <c r="E2527" t="s">
        <v>672</v>
      </c>
      <c r="F2527" t="s">
        <v>598</v>
      </c>
      <c r="G2527" t="s">
        <v>478</v>
      </c>
      <c r="H2527" t="s">
        <v>600</v>
      </c>
      <c r="I2527" t="s">
        <v>601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hidden="1">
      <c r="A2528" t="s">
        <v>18811</v>
      </c>
      <c r="B2528" t="s">
        <v>1306</v>
      </c>
      <c r="C2528" t="s">
        <v>1267</v>
      </c>
      <c r="D2528" t="s">
        <v>1305</v>
      </c>
      <c r="E2528" t="s">
        <v>597</v>
      </c>
      <c r="F2528" t="s">
        <v>598</v>
      </c>
      <c r="G2528" t="s">
        <v>478</v>
      </c>
      <c r="H2528" t="s">
        <v>600</v>
      </c>
      <c r="I2528" t="s">
        <v>601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hidden="1">
      <c r="A2529" t="s">
        <v>18811</v>
      </c>
      <c r="B2529" t="s">
        <v>1307</v>
      </c>
      <c r="C2529" t="s">
        <v>1267</v>
      </c>
      <c r="D2529" t="s">
        <v>1305</v>
      </c>
      <c r="E2529" t="s">
        <v>678</v>
      </c>
      <c r="F2529" t="s">
        <v>598</v>
      </c>
      <c r="G2529" t="s">
        <v>478</v>
      </c>
      <c r="H2529" t="s">
        <v>600</v>
      </c>
      <c r="I2529" t="s">
        <v>601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hidden="1">
      <c r="A2530" t="s">
        <v>18811</v>
      </c>
      <c r="B2530" t="s">
        <v>1308</v>
      </c>
      <c r="C2530" t="s">
        <v>1267</v>
      </c>
      <c r="D2530" t="s">
        <v>1309</v>
      </c>
      <c r="E2530" t="s">
        <v>672</v>
      </c>
      <c r="F2530" t="s">
        <v>598</v>
      </c>
      <c r="G2530" t="s">
        <v>478</v>
      </c>
      <c r="H2530" t="s">
        <v>600</v>
      </c>
      <c r="I2530" t="s">
        <v>601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hidden="1">
      <c r="A2531" t="s">
        <v>18811</v>
      </c>
      <c r="B2531" t="s">
        <v>1310</v>
      </c>
      <c r="C2531" t="s">
        <v>1267</v>
      </c>
      <c r="D2531" t="s">
        <v>1311</v>
      </c>
      <c r="E2531" t="s">
        <v>597</v>
      </c>
      <c r="F2531" t="s">
        <v>598</v>
      </c>
      <c r="G2531" t="s">
        <v>478</v>
      </c>
      <c r="H2531" t="s">
        <v>600</v>
      </c>
      <c r="I2531" t="s">
        <v>601</v>
      </c>
      <c r="J2531">
        <v>0.2316</v>
      </c>
      <c r="K2531">
        <v>0.2266</v>
      </c>
      <c r="L2531">
        <v>0.2215</v>
      </c>
      <c r="M2531">
        <v>0.21659999999999999</v>
      </c>
      <c r="N2531">
        <v>0.2117</v>
      </c>
      <c r="O2531">
        <v>0.20699999999999999</v>
      </c>
      <c r="P2531">
        <v>0.2026</v>
      </c>
      <c r="Q2531">
        <v>0.1981</v>
      </c>
      <c r="R2531">
        <v>0.1938</v>
      </c>
      <c r="S2531">
        <v>0.18959999999999999</v>
      </c>
      <c r="T2531">
        <v>0.18540000000000001</v>
      </c>
      <c r="U2531">
        <v>0.18129999999999999</v>
      </c>
      <c r="V2531">
        <v>0.17730000000000001</v>
      </c>
      <c r="W2531">
        <v>0.17349999999999999</v>
      </c>
      <c r="X2531">
        <v>0.1696</v>
      </c>
      <c r="Y2531">
        <v>0.16589999999999999</v>
      </c>
    </row>
    <row r="2532" spans="1:25" hidden="1">
      <c r="A2532" t="s">
        <v>18811</v>
      </c>
      <c r="B2532" t="s">
        <v>1312</v>
      </c>
      <c r="C2532" t="s">
        <v>1267</v>
      </c>
      <c r="D2532" t="s">
        <v>1311</v>
      </c>
      <c r="E2532" t="s">
        <v>642</v>
      </c>
      <c r="F2532" t="s">
        <v>598</v>
      </c>
      <c r="G2532" t="s">
        <v>478</v>
      </c>
      <c r="H2532" t="s">
        <v>600</v>
      </c>
      <c r="I2532" t="s">
        <v>601</v>
      </c>
      <c r="J2532">
        <v>6.9999999999999999E-4</v>
      </c>
      <c r="K2532">
        <v>5.9999999999999995E-4</v>
      </c>
      <c r="L2532">
        <v>5.9999999999999995E-4</v>
      </c>
      <c r="M2532">
        <v>5.9999999999999995E-4</v>
      </c>
      <c r="N2532">
        <v>5.9999999999999995E-4</v>
      </c>
      <c r="O2532">
        <v>5.9999999999999995E-4</v>
      </c>
      <c r="P2532">
        <v>5.9999999999999995E-4</v>
      </c>
      <c r="Q2532">
        <v>5.9999999999999995E-4</v>
      </c>
      <c r="R2532">
        <v>5.9999999999999995E-4</v>
      </c>
      <c r="S2532">
        <v>5.9999999999999995E-4</v>
      </c>
      <c r="T2532">
        <v>5.9999999999999995E-4</v>
      </c>
      <c r="U2532">
        <v>5.0000000000000001E-4</v>
      </c>
      <c r="V2532">
        <v>5.0000000000000001E-4</v>
      </c>
      <c r="W2532">
        <v>5.0000000000000001E-4</v>
      </c>
      <c r="X2532">
        <v>5.0000000000000001E-4</v>
      </c>
      <c r="Y2532">
        <v>5.0000000000000001E-4</v>
      </c>
    </row>
    <row r="2533" spans="1:25" hidden="1">
      <c r="A2533" t="s">
        <v>18811</v>
      </c>
      <c r="B2533" t="s">
        <v>1313</v>
      </c>
      <c r="C2533" t="s">
        <v>1267</v>
      </c>
      <c r="D2533" t="s">
        <v>1311</v>
      </c>
      <c r="E2533" t="s">
        <v>605</v>
      </c>
      <c r="F2533" t="s">
        <v>598</v>
      </c>
      <c r="G2533" t="s">
        <v>478</v>
      </c>
      <c r="H2533" t="s">
        <v>600</v>
      </c>
      <c r="I2533" t="s">
        <v>601</v>
      </c>
      <c r="J2533">
        <v>9.4100000000000003E-2</v>
      </c>
      <c r="K2533">
        <v>9.2100000000000001E-2</v>
      </c>
      <c r="L2533">
        <v>0.09</v>
      </c>
      <c r="M2533">
        <v>8.7999999999999995E-2</v>
      </c>
      <c r="N2533">
        <v>8.5999999999999993E-2</v>
      </c>
      <c r="O2533">
        <v>8.4199999999999997E-2</v>
      </c>
      <c r="P2533">
        <v>8.2400000000000001E-2</v>
      </c>
      <c r="Q2533">
        <v>8.0500000000000002E-2</v>
      </c>
      <c r="R2533">
        <v>7.8799999999999995E-2</v>
      </c>
      <c r="S2533">
        <v>7.6999999999999999E-2</v>
      </c>
      <c r="T2533">
        <v>7.5300000000000006E-2</v>
      </c>
      <c r="U2533">
        <v>7.3700000000000002E-2</v>
      </c>
      <c r="V2533">
        <v>7.2099999999999997E-2</v>
      </c>
      <c r="W2533">
        <v>7.0499999999999993E-2</v>
      </c>
      <c r="X2533">
        <v>6.8900000000000003E-2</v>
      </c>
      <c r="Y2533">
        <v>6.7500000000000004E-2</v>
      </c>
    </row>
    <row r="2534" spans="1:25" hidden="1">
      <c r="A2534" t="s">
        <v>18811</v>
      </c>
      <c r="B2534" t="s">
        <v>1314</v>
      </c>
      <c r="C2534" t="s">
        <v>1267</v>
      </c>
      <c r="D2534" t="s">
        <v>1311</v>
      </c>
      <c r="E2534" t="s">
        <v>678</v>
      </c>
      <c r="F2534" t="s">
        <v>598</v>
      </c>
      <c r="G2534" t="s">
        <v>478</v>
      </c>
      <c r="H2534" t="s">
        <v>600</v>
      </c>
      <c r="I2534" t="s">
        <v>601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hidden="1">
      <c r="A2535" t="s">
        <v>18811</v>
      </c>
      <c r="B2535" t="s">
        <v>1315</v>
      </c>
      <c r="C2535" t="s">
        <v>1267</v>
      </c>
      <c r="D2535" t="s">
        <v>1316</v>
      </c>
      <c r="E2535" t="s">
        <v>678</v>
      </c>
      <c r="F2535" t="s">
        <v>598</v>
      </c>
      <c r="G2535" t="s">
        <v>478</v>
      </c>
      <c r="H2535" t="s">
        <v>600</v>
      </c>
      <c r="I2535" t="s">
        <v>601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hidden="1">
      <c r="A2536" t="s">
        <v>18811</v>
      </c>
      <c r="B2536" t="s">
        <v>1319</v>
      </c>
      <c r="C2536" t="s">
        <v>1267</v>
      </c>
      <c r="D2536" t="s">
        <v>1320</v>
      </c>
      <c r="E2536" t="s">
        <v>678</v>
      </c>
      <c r="F2536" t="s">
        <v>598</v>
      </c>
      <c r="G2536" t="s">
        <v>478</v>
      </c>
      <c r="H2536" t="s">
        <v>600</v>
      </c>
      <c r="I2536" t="s">
        <v>601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hidden="1">
      <c r="A2537" t="s">
        <v>18811</v>
      </c>
      <c r="B2537" t="s">
        <v>1321</v>
      </c>
      <c r="C2537" t="s">
        <v>1267</v>
      </c>
      <c r="D2537" t="s">
        <v>1322</v>
      </c>
      <c r="E2537" t="s">
        <v>672</v>
      </c>
      <c r="F2537" t="s">
        <v>598</v>
      </c>
      <c r="G2537" t="s">
        <v>478</v>
      </c>
      <c r="H2537" t="s">
        <v>600</v>
      </c>
      <c r="I2537" t="s">
        <v>601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hidden="1">
      <c r="A2538" t="s">
        <v>18811</v>
      </c>
      <c r="B2538" t="s">
        <v>1327</v>
      </c>
      <c r="C2538" t="s">
        <v>1267</v>
      </c>
      <c r="D2538" t="s">
        <v>1324</v>
      </c>
      <c r="E2538" t="s">
        <v>892</v>
      </c>
      <c r="F2538" t="s">
        <v>598</v>
      </c>
      <c r="G2538" t="s">
        <v>478</v>
      </c>
      <c r="H2538" t="s">
        <v>600</v>
      </c>
      <c r="I2538" t="s">
        <v>601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hidden="1">
      <c r="A2539" t="s">
        <v>18811</v>
      </c>
      <c r="B2539" t="s">
        <v>1328</v>
      </c>
      <c r="C2539" t="s">
        <v>1267</v>
      </c>
      <c r="D2539" t="s">
        <v>1324</v>
      </c>
      <c r="E2539" t="s">
        <v>678</v>
      </c>
      <c r="F2539" t="s">
        <v>598</v>
      </c>
      <c r="G2539" t="s">
        <v>478</v>
      </c>
      <c r="H2539" t="s">
        <v>600</v>
      </c>
      <c r="I2539" t="s">
        <v>601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hidden="1">
      <c r="A2540" t="s">
        <v>18811</v>
      </c>
      <c r="B2540" t="s">
        <v>1329</v>
      </c>
      <c r="C2540" t="s">
        <v>1267</v>
      </c>
      <c r="D2540" t="s">
        <v>1324</v>
      </c>
      <c r="E2540" t="s">
        <v>1318</v>
      </c>
      <c r="F2540" t="s">
        <v>598</v>
      </c>
      <c r="G2540" t="s">
        <v>478</v>
      </c>
      <c r="H2540" t="s">
        <v>600</v>
      </c>
      <c r="I2540" t="s">
        <v>601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hidden="1">
      <c r="A2541" t="s">
        <v>18811</v>
      </c>
      <c r="B2541" t="s">
        <v>1331</v>
      </c>
      <c r="C2541" t="s">
        <v>1267</v>
      </c>
      <c r="D2541" t="s">
        <v>1332</v>
      </c>
      <c r="E2541" t="s">
        <v>688</v>
      </c>
      <c r="F2541" t="s">
        <v>598</v>
      </c>
      <c r="G2541" t="s">
        <v>478</v>
      </c>
      <c r="H2541" t="s">
        <v>600</v>
      </c>
      <c r="I2541" t="s">
        <v>601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hidden="1">
      <c r="A2542" t="s">
        <v>18811</v>
      </c>
      <c r="B2542" t="s">
        <v>1333</v>
      </c>
      <c r="C2542" t="s">
        <v>1267</v>
      </c>
      <c r="D2542" t="s">
        <v>1332</v>
      </c>
      <c r="E2542" t="s">
        <v>1334</v>
      </c>
      <c r="F2542" t="s">
        <v>598</v>
      </c>
      <c r="G2542" t="s">
        <v>478</v>
      </c>
      <c r="H2542" t="s">
        <v>600</v>
      </c>
      <c r="I2542" t="s">
        <v>601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hidden="1">
      <c r="A2543" t="s">
        <v>18811</v>
      </c>
      <c r="B2543" t="s">
        <v>1336</v>
      </c>
      <c r="C2543" t="s">
        <v>1267</v>
      </c>
      <c r="D2543" t="s">
        <v>1332</v>
      </c>
      <c r="E2543" t="s">
        <v>892</v>
      </c>
      <c r="F2543" t="s">
        <v>598</v>
      </c>
      <c r="G2543" t="s">
        <v>478</v>
      </c>
      <c r="H2543" t="s">
        <v>600</v>
      </c>
      <c r="I2543" t="s">
        <v>601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hidden="1">
      <c r="A2544" t="s">
        <v>18811</v>
      </c>
      <c r="B2544" t="s">
        <v>1337</v>
      </c>
      <c r="C2544" t="s">
        <v>1267</v>
      </c>
      <c r="D2544" t="s">
        <v>1332</v>
      </c>
      <c r="E2544" t="s">
        <v>678</v>
      </c>
      <c r="F2544" t="s">
        <v>598</v>
      </c>
      <c r="G2544" t="s">
        <v>478</v>
      </c>
      <c r="H2544" t="s">
        <v>600</v>
      </c>
      <c r="I2544" t="s">
        <v>601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hidden="1">
      <c r="A2545" t="s">
        <v>18811</v>
      </c>
      <c r="B2545" t="s">
        <v>1338</v>
      </c>
      <c r="C2545" t="s">
        <v>1267</v>
      </c>
      <c r="D2545" t="s">
        <v>1332</v>
      </c>
      <c r="E2545" t="s">
        <v>1318</v>
      </c>
      <c r="F2545" t="s">
        <v>598</v>
      </c>
      <c r="G2545" t="s">
        <v>478</v>
      </c>
      <c r="H2545" t="s">
        <v>600</v>
      </c>
      <c r="I2545" t="s">
        <v>601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hidden="1">
      <c r="A2546" t="s">
        <v>18811</v>
      </c>
      <c r="B2546" t="s">
        <v>1339</v>
      </c>
      <c r="C2546" t="s">
        <v>1267</v>
      </c>
      <c r="D2546" t="s">
        <v>1332</v>
      </c>
      <c r="E2546" t="s">
        <v>1340</v>
      </c>
      <c r="F2546" t="s">
        <v>598</v>
      </c>
      <c r="G2546" t="s">
        <v>478</v>
      </c>
      <c r="H2546" t="s">
        <v>600</v>
      </c>
      <c r="I2546" t="s">
        <v>601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hidden="1">
      <c r="A2547" t="s">
        <v>18811</v>
      </c>
      <c r="B2547" t="s">
        <v>1342</v>
      </c>
      <c r="C2547" t="s">
        <v>1267</v>
      </c>
      <c r="D2547" t="s">
        <v>1332</v>
      </c>
      <c r="E2547" t="s">
        <v>1343</v>
      </c>
      <c r="F2547" t="s">
        <v>598</v>
      </c>
      <c r="G2547" t="s">
        <v>478</v>
      </c>
      <c r="H2547" t="s">
        <v>600</v>
      </c>
      <c r="I2547" t="s">
        <v>601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hidden="1">
      <c r="A2548" t="s">
        <v>18811</v>
      </c>
      <c r="B2548" t="s">
        <v>1344</v>
      </c>
      <c r="C2548" t="s">
        <v>1267</v>
      </c>
      <c r="D2548" t="s">
        <v>1332</v>
      </c>
      <c r="E2548" t="s">
        <v>1216</v>
      </c>
      <c r="F2548" t="s">
        <v>598</v>
      </c>
      <c r="G2548" t="s">
        <v>478</v>
      </c>
      <c r="H2548" t="s">
        <v>600</v>
      </c>
      <c r="I2548" t="s">
        <v>601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hidden="1">
      <c r="A2549" t="s">
        <v>18811</v>
      </c>
      <c r="B2549" t="s">
        <v>1345</v>
      </c>
      <c r="C2549" t="s">
        <v>1267</v>
      </c>
      <c r="D2549" t="s">
        <v>1332</v>
      </c>
      <c r="E2549" t="s">
        <v>1346</v>
      </c>
      <c r="F2549" t="s">
        <v>598</v>
      </c>
      <c r="G2549" t="s">
        <v>478</v>
      </c>
      <c r="H2549" t="s">
        <v>600</v>
      </c>
      <c r="I2549" t="s">
        <v>601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hidden="1">
      <c r="A2550" t="s">
        <v>18811</v>
      </c>
      <c r="B2550" t="s">
        <v>1349</v>
      </c>
      <c r="C2550" t="s">
        <v>1267</v>
      </c>
      <c r="D2550" t="s">
        <v>1350</v>
      </c>
      <c r="E2550" t="s">
        <v>603</v>
      </c>
      <c r="F2550" t="s">
        <v>598</v>
      </c>
      <c r="G2550" t="s">
        <v>478</v>
      </c>
      <c r="H2550" t="s">
        <v>600</v>
      </c>
      <c r="I2550" t="s">
        <v>601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hidden="1">
      <c r="A2551" t="s">
        <v>18811</v>
      </c>
      <c r="B2551" t="s">
        <v>1351</v>
      </c>
      <c r="C2551" t="s">
        <v>1267</v>
      </c>
      <c r="D2551" t="s">
        <v>1352</v>
      </c>
      <c r="E2551" t="s">
        <v>672</v>
      </c>
      <c r="F2551" t="s">
        <v>598</v>
      </c>
      <c r="G2551" t="s">
        <v>478</v>
      </c>
      <c r="H2551" t="s">
        <v>600</v>
      </c>
      <c r="I2551" t="s">
        <v>601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hidden="1">
      <c r="A2552" t="s">
        <v>18811</v>
      </c>
      <c r="B2552" t="s">
        <v>1360</v>
      </c>
      <c r="C2552" t="s">
        <v>1267</v>
      </c>
      <c r="D2552" t="s">
        <v>1361</v>
      </c>
      <c r="E2552" t="s">
        <v>672</v>
      </c>
      <c r="F2552" t="s">
        <v>598</v>
      </c>
      <c r="G2552" t="s">
        <v>478</v>
      </c>
      <c r="H2552" t="s">
        <v>600</v>
      </c>
      <c r="I2552" t="s">
        <v>601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hidden="1">
      <c r="A2553" t="s">
        <v>18811</v>
      </c>
      <c r="B2553" t="s">
        <v>1362</v>
      </c>
      <c r="C2553" t="s">
        <v>1267</v>
      </c>
      <c r="D2553" t="s">
        <v>1363</v>
      </c>
      <c r="E2553" t="s">
        <v>597</v>
      </c>
      <c r="F2553" t="s">
        <v>598</v>
      </c>
      <c r="G2553" t="s">
        <v>478</v>
      </c>
      <c r="H2553" t="s">
        <v>600</v>
      </c>
      <c r="I2553" t="s">
        <v>601</v>
      </c>
      <c r="J2553">
        <v>4.8999999999999998E-3</v>
      </c>
      <c r="K2553">
        <v>4.7999999999999996E-3</v>
      </c>
      <c r="L2553">
        <v>4.7999999999999996E-3</v>
      </c>
      <c r="M2553">
        <v>4.5999999999999999E-3</v>
      </c>
      <c r="N2553">
        <v>4.4999999999999997E-3</v>
      </c>
      <c r="O2553">
        <v>4.4999999999999997E-3</v>
      </c>
      <c r="P2553">
        <v>4.4000000000000003E-3</v>
      </c>
      <c r="Q2553">
        <v>4.3E-3</v>
      </c>
      <c r="R2553">
        <v>4.0000000000000001E-3</v>
      </c>
      <c r="S2553">
        <v>3.8999999999999998E-3</v>
      </c>
      <c r="T2553">
        <v>3.8999999999999998E-3</v>
      </c>
      <c r="U2553">
        <v>3.8E-3</v>
      </c>
      <c r="V2553">
        <v>3.7000000000000002E-3</v>
      </c>
      <c r="W2553">
        <v>3.5999999999999999E-3</v>
      </c>
      <c r="X2553">
        <v>3.5999999999999999E-3</v>
      </c>
      <c r="Y2553">
        <v>3.5000000000000001E-3</v>
      </c>
    </row>
    <row r="2554" spans="1:25" hidden="1">
      <c r="A2554" t="s">
        <v>18811</v>
      </c>
      <c r="B2554" t="s">
        <v>1368</v>
      </c>
      <c r="C2554" t="s">
        <v>1267</v>
      </c>
      <c r="D2554" t="s">
        <v>1365</v>
      </c>
      <c r="E2554" t="s">
        <v>678</v>
      </c>
      <c r="F2554" t="s">
        <v>598</v>
      </c>
      <c r="G2554" t="s">
        <v>478</v>
      </c>
      <c r="H2554" t="s">
        <v>600</v>
      </c>
      <c r="I2554" t="s">
        <v>601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hidden="1">
      <c r="A2555" t="s">
        <v>18811</v>
      </c>
      <c r="B2555" t="s">
        <v>1369</v>
      </c>
      <c r="C2555" t="s">
        <v>1267</v>
      </c>
      <c r="D2555" t="s">
        <v>1370</v>
      </c>
      <c r="E2555" t="s">
        <v>672</v>
      </c>
      <c r="F2555" t="s">
        <v>598</v>
      </c>
      <c r="G2555" t="s">
        <v>478</v>
      </c>
      <c r="H2555" t="s">
        <v>600</v>
      </c>
      <c r="I2555" t="s">
        <v>601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hidden="1">
      <c r="A2556" t="s">
        <v>18811</v>
      </c>
      <c r="B2556" t="s">
        <v>1371</v>
      </c>
      <c r="C2556" t="s">
        <v>1267</v>
      </c>
      <c r="D2556" t="s">
        <v>1370</v>
      </c>
      <c r="E2556" t="s">
        <v>678</v>
      </c>
      <c r="F2556" t="s">
        <v>598</v>
      </c>
      <c r="G2556" t="s">
        <v>478</v>
      </c>
      <c r="H2556" t="s">
        <v>600</v>
      </c>
      <c r="I2556" t="s">
        <v>601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hidden="1">
      <c r="A2557" t="s">
        <v>18811</v>
      </c>
      <c r="B2557" t="s">
        <v>1372</v>
      </c>
      <c r="C2557" t="s">
        <v>1267</v>
      </c>
      <c r="D2557" t="s">
        <v>648</v>
      </c>
      <c r="E2557" t="s">
        <v>920</v>
      </c>
      <c r="F2557" t="s">
        <v>598</v>
      </c>
      <c r="G2557" t="s">
        <v>478</v>
      </c>
      <c r="H2557" t="s">
        <v>600</v>
      </c>
      <c r="I2557" t="s">
        <v>601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hidden="1">
      <c r="A2558" t="s">
        <v>18811</v>
      </c>
      <c r="B2558" t="s">
        <v>1374</v>
      </c>
      <c r="C2558" t="s">
        <v>1267</v>
      </c>
      <c r="D2558" t="s">
        <v>648</v>
      </c>
      <c r="E2558" t="s">
        <v>597</v>
      </c>
      <c r="F2558" t="s">
        <v>598</v>
      </c>
      <c r="G2558" t="s">
        <v>478</v>
      </c>
      <c r="H2558" t="s">
        <v>600</v>
      </c>
      <c r="I2558" t="s">
        <v>601</v>
      </c>
      <c r="J2558">
        <v>1E-4</v>
      </c>
      <c r="K2558">
        <v>1E-4</v>
      </c>
      <c r="L2558">
        <v>1E-4</v>
      </c>
      <c r="M2558">
        <v>1E-4</v>
      </c>
      <c r="N2558">
        <v>1E-4</v>
      </c>
      <c r="O2558">
        <v>1E-4</v>
      </c>
      <c r="P2558">
        <v>1E-4</v>
      </c>
      <c r="Q2558">
        <v>1E-4</v>
      </c>
      <c r="R2558">
        <v>1E-4</v>
      </c>
      <c r="S2558">
        <v>1E-4</v>
      </c>
      <c r="T2558">
        <v>1E-4</v>
      </c>
      <c r="U2558">
        <v>1E-4</v>
      </c>
      <c r="V2558">
        <v>1E-4</v>
      </c>
      <c r="W2558">
        <v>1E-4</v>
      </c>
      <c r="X2558">
        <v>1E-4</v>
      </c>
      <c r="Y2558">
        <v>1E-4</v>
      </c>
    </row>
    <row r="2559" spans="1:25" hidden="1">
      <c r="A2559" t="s">
        <v>18811</v>
      </c>
      <c r="B2559" t="s">
        <v>1376</v>
      </c>
      <c r="C2559" t="s">
        <v>1267</v>
      </c>
      <c r="D2559" t="s">
        <v>648</v>
      </c>
      <c r="E2559" t="s">
        <v>678</v>
      </c>
      <c r="F2559" t="s">
        <v>598</v>
      </c>
      <c r="G2559" t="s">
        <v>478</v>
      </c>
      <c r="H2559" t="s">
        <v>600</v>
      </c>
      <c r="I2559" t="s">
        <v>601</v>
      </c>
      <c r="J2559">
        <v>1.37E-2</v>
      </c>
      <c r="K2559">
        <v>1.32E-2</v>
      </c>
      <c r="L2559">
        <v>1.2999999999999999E-2</v>
      </c>
      <c r="M2559">
        <v>1.2699999999999999E-2</v>
      </c>
      <c r="N2559">
        <v>1.24E-2</v>
      </c>
      <c r="O2559">
        <v>1.2200000000000001E-2</v>
      </c>
      <c r="P2559">
        <v>1.1900000000000001E-2</v>
      </c>
      <c r="Q2559">
        <v>1.17E-2</v>
      </c>
      <c r="R2559">
        <v>1.14E-2</v>
      </c>
      <c r="S2559">
        <v>1.12E-2</v>
      </c>
      <c r="T2559">
        <v>1.09E-2</v>
      </c>
      <c r="U2559">
        <v>1.06E-2</v>
      </c>
      <c r="V2559">
        <v>1.04E-2</v>
      </c>
      <c r="W2559">
        <v>1.0200000000000001E-2</v>
      </c>
      <c r="X2559">
        <v>0.01</v>
      </c>
      <c r="Y2559">
        <v>9.7999999999999997E-3</v>
      </c>
    </row>
    <row r="2560" spans="1:25" hidden="1">
      <c r="A2560" t="s">
        <v>18811</v>
      </c>
      <c r="B2560" t="s">
        <v>1377</v>
      </c>
      <c r="C2560" t="s">
        <v>1267</v>
      </c>
      <c r="D2560" t="s">
        <v>648</v>
      </c>
      <c r="E2560" t="s">
        <v>1378</v>
      </c>
      <c r="F2560" t="s">
        <v>598</v>
      </c>
      <c r="G2560" t="s">
        <v>478</v>
      </c>
      <c r="H2560" t="s">
        <v>600</v>
      </c>
      <c r="I2560" t="s">
        <v>601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hidden="1">
      <c r="A2561" t="s">
        <v>18811</v>
      </c>
      <c r="B2561" t="s">
        <v>1381</v>
      </c>
      <c r="C2561" t="s">
        <v>1382</v>
      </c>
      <c r="D2561" t="s">
        <v>1274</v>
      </c>
      <c r="E2561" t="s">
        <v>973</v>
      </c>
      <c r="F2561" t="s">
        <v>598</v>
      </c>
      <c r="G2561" t="s">
        <v>478</v>
      </c>
      <c r="H2561" t="s">
        <v>600</v>
      </c>
      <c r="I2561" t="s">
        <v>601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hidden="1">
      <c r="A2562" t="s">
        <v>18811</v>
      </c>
      <c r="B2562" t="s">
        <v>1383</v>
      </c>
      <c r="C2562" t="s">
        <v>1382</v>
      </c>
      <c r="D2562" t="s">
        <v>1281</v>
      </c>
      <c r="E2562" t="s">
        <v>973</v>
      </c>
      <c r="F2562" t="s">
        <v>598</v>
      </c>
      <c r="G2562" t="s">
        <v>478</v>
      </c>
      <c r="H2562" t="s">
        <v>600</v>
      </c>
      <c r="I2562" t="s">
        <v>601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hidden="1">
      <c r="A2563" t="s">
        <v>18811</v>
      </c>
      <c r="B2563" t="s">
        <v>1384</v>
      </c>
      <c r="C2563" t="s">
        <v>1382</v>
      </c>
      <c r="D2563" t="s">
        <v>1285</v>
      </c>
      <c r="E2563" t="s">
        <v>973</v>
      </c>
      <c r="F2563" t="s">
        <v>598</v>
      </c>
      <c r="G2563" t="s">
        <v>478</v>
      </c>
      <c r="H2563" t="s">
        <v>600</v>
      </c>
      <c r="I2563" t="s">
        <v>601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hidden="1">
      <c r="A2564" t="s">
        <v>18811</v>
      </c>
      <c r="B2564" t="s">
        <v>1385</v>
      </c>
      <c r="C2564" t="s">
        <v>1382</v>
      </c>
      <c r="D2564" t="s">
        <v>1287</v>
      </c>
      <c r="E2564" t="s">
        <v>973</v>
      </c>
      <c r="F2564" t="s">
        <v>598</v>
      </c>
      <c r="G2564" t="s">
        <v>478</v>
      </c>
      <c r="H2564" t="s">
        <v>600</v>
      </c>
      <c r="I2564" t="s">
        <v>601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hidden="1">
      <c r="A2565" t="s">
        <v>18811</v>
      </c>
      <c r="B2565" t="s">
        <v>1386</v>
      </c>
      <c r="C2565" t="s">
        <v>1382</v>
      </c>
      <c r="D2565" t="s">
        <v>1305</v>
      </c>
      <c r="E2565" t="s">
        <v>973</v>
      </c>
      <c r="F2565" t="s">
        <v>598</v>
      </c>
      <c r="G2565" t="s">
        <v>478</v>
      </c>
      <c r="H2565" t="s">
        <v>600</v>
      </c>
      <c r="I2565" t="s">
        <v>601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hidden="1">
      <c r="A2566" t="s">
        <v>18811</v>
      </c>
      <c r="B2566" t="s">
        <v>1387</v>
      </c>
      <c r="C2566" t="s">
        <v>1382</v>
      </c>
      <c r="D2566" t="s">
        <v>1311</v>
      </c>
      <c r="E2566" t="s">
        <v>973</v>
      </c>
      <c r="F2566" t="s">
        <v>598</v>
      </c>
      <c r="G2566" t="s">
        <v>478</v>
      </c>
      <c r="H2566" t="s">
        <v>600</v>
      </c>
      <c r="I2566" t="s">
        <v>601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hidden="1">
      <c r="A2567" t="s">
        <v>18811</v>
      </c>
      <c r="B2567" t="s">
        <v>1388</v>
      </c>
      <c r="C2567" t="s">
        <v>1382</v>
      </c>
      <c r="D2567" t="s">
        <v>1311</v>
      </c>
      <c r="E2567" t="s">
        <v>597</v>
      </c>
      <c r="F2567" t="s">
        <v>598</v>
      </c>
      <c r="G2567" t="s">
        <v>478</v>
      </c>
      <c r="H2567" t="s">
        <v>600</v>
      </c>
      <c r="I2567" t="s">
        <v>601</v>
      </c>
      <c r="J2567">
        <v>1E-4</v>
      </c>
      <c r="K2567">
        <v>1E-4</v>
      </c>
      <c r="L2567">
        <v>1E-4</v>
      </c>
      <c r="M2567">
        <v>1E-4</v>
      </c>
      <c r="N2567">
        <v>1E-4</v>
      </c>
      <c r="O2567">
        <v>1E-4</v>
      </c>
      <c r="P2567">
        <v>1E-4</v>
      </c>
      <c r="Q2567">
        <v>1E-4</v>
      </c>
      <c r="R2567">
        <v>1E-4</v>
      </c>
      <c r="S2567">
        <v>1E-4</v>
      </c>
      <c r="T2567">
        <v>1E-4</v>
      </c>
      <c r="U2567">
        <v>1E-4</v>
      </c>
      <c r="V2567">
        <v>1E-4</v>
      </c>
      <c r="W2567">
        <v>1E-4</v>
      </c>
      <c r="X2567">
        <v>1E-4</v>
      </c>
      <c r="Y2567">
        <v>1E-4</v>
      </c>
    </row>
    <row r="2568" spans="1:25" hidden="1">
      <c r="A2568" t="s">
        <v>18811</v>
      </c>
      <c r="B2568" t="s">
        <v>1389</v>
      </c>
      <c r="C2568" t="s">
        <v>1382</v>
      </c>
      <c r="D2568" t="s">
        <v>1311</v>
      </c>
      <c r="E2568" t="s">
        <v>642</v>
      </c>
      <c r="F2568" t="s">
        <v>598</v>
      </c>
      <c r="G2568" t="s">
        <v>478</v>
      </c>
      <c r="H2568" t="s">
        <v>600</v>
      </c>
      <c r="I2568" t="s">
        <v>601</v>
      </c>
      <c r="J2568">
        <v>2.0000000000000001E-4</v>
      </c>
      <c r="K2568">
        <v>2.0000000000000001E-4</v>
      </c>
      <c r="L2568">
        <v>2.0000000000000001E-4</v>
      </c>
      <c r="M2568">
        <v>2.0000000000000001E-4</v>
      </c>
      <c r="N2568">
        <v>2.0000000000000001E-4</v>
      </c>
      <c r="O2568">
        <v>2.0000000000000001E-4</v>
      </c>
      <c r="P2568">
        <v>2.0000000000000001E-4</v>
      </c>
      <c r="Q2568">
        <v>2.0000000000000001E-4</v>
      </c>
      <c r="R2568">
        <v>2.0000000000000001E-4</v>
      </c>
      <c r="S2568">
        <v>2.0000000000000001E-4</v>
      </c>
      <c r="T2568">
        <v>2.0000000000000001E-4</v>
      </c>
      <c r="U2568">
        <v>2.0000000000000001E-4</v>
      </c>
      <c r="V2568">
        <v>2.0000000000000001E-4</v>
      </c>
      <c r="W2568">
        <v>2.0000000000000001E-4</v>
      </c>
      <c r="X2568">
        <v>2.0000000000000001E-4</v>
      </c>
      <c r="Y2568">
        <v>2.0000000000000001E-4</v>
      </c>
    </row>
    <row r="2569" spans="1:25" hidden="1">
      <c r="A2569" t="s">
        <v>18811</v>
      </c>
      <c r="B2569" t="s">
        <v>1390</v>
      </c>
      <c r="C2569" t="s">
        <v>1382</v>
      </c>
      <c r="D2569" t="s">
        <v>1311</v>
      </c>
      <c r="E2569" t="s">
        <v>605</v>
      </c>
      <c r="F2569" t="s">
        <v>598</v>
      </c>
      <c r="G2569" t="s">
        <v>478</v>
      </c>
      <c r="H2569" t="s">
        <v>600</v>
      </c>
      <c r="I2569" t="s">
        <v>601</v>
      </c>
      <c r="J2569">
        <v>9.4000000000000004E-3</v>
      </c>
      <c r="K2569">
        <v>9.4000000000000004E-3</v>
      </c>
      <c r="L2569">
        <v>9.4000000000000004E-3</v>
      </c>
      <c r="M2569">
        <v>9.4000000000000004E-3</v>
      </c>
      <c r="N2569">
        <v>9.4000000000000004E-3</v>
      </c>
      <c r="O2569">
        <v>9.4000000000000004E-3</v>
      </c>
      <c r="P2569">
        <v>9.4000000000000004E-3</v>
      </c>
      <c r="Q2569">
        <v>9.4000000000000004E-3</v>
      </c>
      <c r="R2569">
        <v>9.4000000000000004E-3</v>
      </c>
      <c r="S2569">
        <v>9.4000000000000004E-3</v>
      </c>
      <c r="T2569">
        <v>9.4000000000000004E-3</v>
      </c>
      <c r="U2569">
        <v>9.4000000000000004E-3</v>
      </c>
      <c r="V2569">
        <v>9.4000000000000004E-3</v>
      </c>
      <c r="W2569">
        <v>9.4000000000000004E-3</v>
      </c>
      <c r="X2569">
        <v>9.4000000000000004E-3</v>
      </c>
      <c r="Y2569">
        <v>9.4000000000000004E-3</v>
      </c>
    </row>
    <row r="2570" spans="1:25" hidden="1">
      <c r="A2570" t="s">
        <v>18811</v>
      </c>
      <c r="B2570" t="s">
        <v>1395</v>
      </c>
      <c r="C2570" t="s">
        <v>1382</v>
      </c>
      <c r="D2570" t="s">
        <v>1316</v>
      </c>
      <c r="E2570" t="s">
        <v>688</v>
      </c>
      <c r="F2570" t="s">
        <v>598</v>
      </c>
      <c r="G2570" t="s">
        <v>478</v>
      </c>
      <c r="H2570" t="s">
        <v>600</v>
      </c>
      <c r="I2570" t="s">
        <v>601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hidden="1">
      <c r="A2571" t="s">
        <v>18811</v>
      </c>
      <c r="B2571" t="s">
        <v>1400</v>
      </c>
      <c r="C2571" t="s">
        <v>1382</v>
      </c>
      <c r="D2571" t="s">
        <v>1316</v>
      </c>
      <c r="E2571" t="s">
        <v>1326</v>
      </c>
      <c r="F2571" t="s">
        <v>598</v>
      </c>
      <c r="G2571" t="s">
        <v>478</v>
      </c>
      <c r="H2571" t="s">
        <v>600</v>
      </c>
      <c r="I2571" t="s">
        <v>601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hidden="1">
      <c r="A2572" t="s">
        <v>18811</v>
      </c>
      <c r="B2572" t="s">
        <v>1404</v>
      </c>
      <c r="C2572" t="s">
        <v>1382</v>
      </c>
      <c r="D2572" t="s">
        <v>1316</v>
      </c>
      <c r="E2572" t="s">
        <v>1318</v>
      </c>
      <c r="F2572" t="s">
        <v>598</v>
      </c>
      <c r="G2572" t="s">
        <v>478</v>
      </c>
      <c r="H2572" t="s">
        <v>600</v>
      </c>
      <c r="I2572" t="s">
        <v>601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hidden="1">
      <c r="A2573" t="s">
        <v>18811</v>
      </c>
      <c r="B2573" t="s">
        <v>1406</v>
      </c>
      <c r="C2573" t="s">
        <v>1382</v>
      </c>
      <c r="D2573" t="s">
        <v>1320</v>
      </c>
      <c r="E2573" t="s">
        <v>688</v>
      </c>
      <c r="F2573" t="s">
        <v>598</v>
      </c>
      <c r="G2573" t="s">
        <v>478</v>
      </c>
      <c r="H2573" t="s">
        <v>600</v>
      </c>
      <c r="I2573" t="s">
        <v>601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hidden="1">
      <c r="A2574" t="s">
        <v>18811</v>
      </c>
      <c r="B2574" t="s">
        <v>1408</v>
      </c>
      <c r="C2574" t="s">
        <v>1382</v>
      </c>
      <c r="D2574" t="s">
        <v>1320</v>
      </c>
      <c r="E2574" t="s">
        <v>1334</v>
      </c>
      <c r="F2574" t="s">
        <v>598</v>
      </c>
      <c r="G2574" t="s">
        <v>478</v>
      </c>
      <c r="H2574" t="s">
        <v>600</v>
      </c>
      <c r="I2574" t="s">
        <v>601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hidden="1">
      <c r="A2575" t="s">
        <v>18811</v>
      </c>
      <c r="B2575" t="s">
        <v>1412</v>
      </c>
      <c r="C2575" t="s">
        <v>1382</v>
      </c>
      <c r="D2575" t="s">
        <v>1320</v>
      </c>
      <c r="E2575" t="s">
        <v>678</v>
      </c>
      <c r="F2575" t="s">
        <v>598</v>
      </c>
      <c r="G2575" t="s">
        <v>478</v>
      </c>
      <c r="H2575" t="s">
        <v>600</v>
      </c>
      <c r="I2575" t="s">
        <v>601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hidden="1">
      <c r="A2576" t="s">
        <v>18811</v>
      </c>
      <c r="B2576" t="s">
        <v>1414</v>
      </c>
      <c r="C2576" t="s">
        <v>1382</v>
      </c>
      <c r="D2576" t="s">
        <v>1324</v>
      </c>
      <c r="E2576" t="s">
        <v>688</v>
      </c>
      <c r="F2576" t="s">
        <v>598</v>
      </c>
      <c r="G2576" t="s">
        <v>478</v>
      </c>
      <c r="H2576" t="s">
        <v>600</v>
      </c>
      <c r="I2576" t="s">
        <v>601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hidden="1">
      <c r="A2577" t="s">
        <v>18811</v>
      </c>
      <c r="B2577" t="s">
        <v>1415</v>
      </c>
      <c r="C2577" t="s">
        <v>1382</v>
      </c>
      <c r="D2577" t="s">
        <v>1324</v>
      </c>
      <c r="E2577" t="s">
        <v>1334</v>
      </c>
      <c r="F2577" t="s">
        <v>598</v>
      </c>
      <c r="G2577" t="s">
        <v>478</v>
      </c>
      <c r="H2577" t="s">
        <v>600</v>
      </c>
      <c r="I2577" t="s">
        <v>601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hidden="1">
      <c r="A2578" t="s">
        <v>18811</v>
      </c>
      <c r="B2578" t="s">
        <v>1416</v>
      </c>
      <c r="C2578" t="s">
        <v>1382</v>
      </c>
      <c r="D2578" t="s">
        <v>1324</v>
      </c>
      <c r="E2578" t="s">
        <v>1417</v>
      </c>
      <c r="F2578" t="s">
        <v>598</v>
      </c>
      <c r="G2578" t="s">
        <v>478</v>
      </c>
      <c r="H2578" t="s">
        <v>600</v>
      </c>
      <c r="I2578" t="s">
        <v>601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hidden="1">
      <c r="A2579" t="s">
        <v>18811</v>
      </c>
      <c r="B2579" t="s">
        <v>1418</v>
      </c>
      <c r="C2579" t="s">
        <v>1382</v>
      </c>
      <c r="D2579" t="s">
        <v>1324</v>
      </c>
      <c r="E2579" t="s">
        <v>1326</v>
      </c>
      <c r="F2579" t="s">
        <v>598</v>
      </c>
      <c r="G2579" t="s">
        <v>478</v>
      </c>
      <c r="H2579" t="s">
        <v>600</v>
      </c>
      <c r="I2579" t="s">
        <v>601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hidden="1">
      <c r="A2580" t="s">
        <v>18811</v>
      </c>
      <c r="B2580" t="s">
        <v>1419</v>
      </c>
      <c r="C2580" t="s">
        <v>1382</v>
      </c>
      <c r="D2580" t="s">
        <v>1324</v>
      </c>
      <c r="E2580" t="s">
        <v>1402</v>
      </c>
      <c r="F2580" t="s">
        <v>598</v>
      </c>
      <c r="G2580" t="s">
        <v>478</v>
      </c>
      <c r="H2580" t="s">
        <v>600</v>
      </c>
      <c r="I2580" t="s">
        <v>601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hidden="1">
      <c r="A2581" t="s">
        <v>18811</v>
      </c>
      <c r="B2581" t="s">
        <v>1421</v>
      </c>
      <c r="C2581" t="s">
        <v>1382</v>
      </c>
      <c r="D2581" t="s">
        <v>1324</v>
      </c>
      <c r="E2581" t="s">
        <v>1318</v>
      </c>
      <c r="F2581" t="s">
        <v>598</v>
      </c>
      <c r="G2581" t="s">
        <v>478</v>
      </c>
      <c r="H2581" t="s">
        <v>600</v>
      </c>
      <c r="I2581" t="s">
        <v>601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hidden="1">
      <c r="A2582" t="s">
        <v>18811</v>
      </c>
      <c r="B2582" t="s">
        <v>1424</v>
      </c>
      <c r="C2582" t="s">
        <v>1382</v>
      </c>
      <c r="D2582" t="s">
        <v>1332</v>
      </c>
      <c r="E2582" t="s">
        <v>688</v>
      </c>
      <c r="F2582" t="s">
        <v>598</v>
      </c>
      <c r="G2582" t="s">
        <v>478</v>
      </c>
      <c r="H2582" t="s">
        <v>600</v>
      </c>
      <c r="I2582" t="s">
        <v>601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hidden="1">
      <c r="A2583" t="s">
        <v>18811</v>
      </c>
      <c r="B2583" t="s">
        <v>1425</v>
      </c>
      <c r="C2583" t="s">
        <v>1382</v>
      </c>
      <c r="D2583" t="s">
        <v>1332</v>
      </c>
      <c r="E2583" t="s">
        <v>1334</v>
      </c>
      <c r="F2583" t="s">
        <v>598</v>
      </c>
      <c r="G2583" t="s">
        <v>478</v>
      </c>
      <c r="H2583" t="s">
        <v>600</v>
      </c>
      <c r="I2583" t="s">
        <v>601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hidden="1">
      <c r="A2584" t="s">
        <v>18811</v>
      </c>
      <c r="B2584" t="s">
        <v>1426</v>
      </c>
      <c r="C2584" t="s">
        <v>1382</v>
      </c>
      <c r="D2584" t="s">
        <v>1332</v>
      </c>
      <c r="E2584" t="s">
        <v>1417</v>
      </c>
      <c r="F2584" t="s">
        <v>598</v>
      </c>
      <c r="G2584" t="s">
        <v>478</v>
      </c>
      <c r="H2584" t="s">
        <v>600</v>
      </c>
      <c r="I2584" t="s">
        <v>601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hidden="1">
      <c r="A2585" t="s">
        <v>18811</v>
      </c>
      <c r="B2585" t="s">
        <v>1427</v>
      </c>
      <c r="C2585" t="s">
        <v>1382</v>
      </c>
      <c r="D2585" t="s">
        <v>1332</v>
      </c>
      <c r="E2585" t="s">
        <v>1326</v>
      </c>
      <c r="F2585" t="s">
        <v>598</v>
      </c>
      <c r="G2585" t="s">
        <v>478</v>
      </c>
      <c r="H2585" t="s">
        <v>600</v>
      </c>
      <c r="I2585" t="s">
        <v>601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hidden="1">
      <c r="A2586" t="s">
        <v>18811</v>
      </c>
      <c r="B2586" t="s">
        <v>1428</v>
      </c>
      <c r="C2586" t="s">
        <v>1382</v>
      </c>
      <c r="D2586" t="s">
        <v>1332</v>
      </c>
      <c r="E2586" t="s">
        <v>1402</v>
      </c>
      <c r="F2586" t="s">
        <v>598</v>
      </c>
      <c r="G2586" t="s">
        <v>478</v>
      </c>
      <c r="H2586" t="s">
        <v>600</v>
      </c>
      <c r="I2586" t="s">
        <v>601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hidden="1">
      <c r="A2587" t="s">
        <v>18811</v>
      </c>
      <c r="B2587" t="s">
        <v>1430</v>
      </c>
      <c r="C2587" t="s">
        <v>1382</v>
      </c>
      <c r="D2587" t="s">
        <v>1332</v>
      </c>
      <c r="E2587" t="s">
        <v>1318</v>
      </c>
      <c r="F2587" t="s">
        <v>598</v>
      </c>
      <c r="G2587" t="s">
        <v>478</v>
      </c>
      <c r="H2587" t="s">
        <v>600</v>
      </c>
      <c r="I2587" t="s">
        <v>601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hidden="1">
      <c r="A2588" t="s">
        <v>18811</v>
      </c>
      <c r="B2588" t="s">
        <v>1431</v>
      </c>
      <c r="C2588" t="s">
        <v>1382</v>
      </c>
      <c r="D2588" t="s">
        <v>1332</v>
      </c>
      <c r="E2588" t="s">
        <v>1028</v>
      </c>
      <c r="F2588" t="s">
        <v>598</v>
      </c>
      <c r="G2588" t="s">
        <v>478</v>
      </c>
      <c r="H2588" t="s">
        <v>600</v>
      </c>
      <c r="I2588" t="s">
        <v>601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hidden="1">
      <c r="A2589" t="s">
        <v>18811</v>
      </c>
      <c r="B2589" t="s">
        <v>1433</v>
      </c>
      <c r="C2589" t="s">
        <v>1382</v>
      </c>
      <c r="D2589" t="s">
        <v>1350</v>
      </c>
      <c r="E2589" t="s">
        <v>672</v>
      </c>
      <c r="F2589" t="s">
        <v>598</v>
      </c>
      <c r="G2589" t="s">
        <v>478</v>
      </c>
      <c r="H2589" t="s">
        <v>600</v>
      </c>
      <c r="I2589" t="s">
        <v>601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hidden="1">
      <c r="A2590" t="s">
        <v>18811</v>
      </c>
      <c r="B2590" t="s">
        <v>1434</v>
      </c>
      <c r="C2590" t="s">
        <v>1382</v>
      </c>
      <c r="D2590" t="s">
        <v>1435</v>
      </c>
      <c r="E2590" t="s">
        <v>973</v>
      </c>
      <c r="F2590" t="s">
        <v>598</v>
      </c>
      <c r="G2590" t="s">
        <v>478</v>
      </c>
      <c r="H2590" t="s">
        <v>600</v>
      </c>
      <c r="I2590" t="s">
        <v>601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hidden="1">
      <c r="A2591" t="s">
        <v>18811</v>
      </c>
      <c r="B2591" t="s">
        <v>1436</v>
      </c>
      <c r="C2591" t="s">
        <v>1382</v>
      </c>
      <c r="D2591" t="s">
        <v>1354</v>
      </c>
      <c r="E2591" t="s">
        <v>973</v>
      </c>
      <c r="F2591" t="s">
        <v>598</v>
      </c>
      <c r="G2591" t="s">
        <v>478</v>
      </c>
      <c r="H2591" t="s">
        <v>600</v>
      </c>
      <c r="I2591" t="s">
        <v>601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hidden="1">
      <c r="A2592" t="s">
        <v>18811</v>
      </c>
      <c r="B2592" t="s">
        <v>1451</v>
      </c>
      <c r="C2592" t="s">
        <v>1382</v>
      </c>
      <c r="D2592" t="s">
        <v>1365</v>
      </c>
      <c r="E2592" t="s">
        <v>973</v>
      </c>
      <c r="F2592" t="s">
        <v>598</v>
      </c>
      <c r="G2592" t="s">
        <v>478</v>
      </c>
      <c r="H2592" t="s">
        <v>600</v>
      </c>
      <c r="I2592" t="s">
        <v>601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</row>
    <row r="2593" spans="1:25" hidden="1">
      <c r="A2593" t="s">
        <v>18811</v>
      </c>
      <c r="B2593" t="s">
        <v>1459</v>
      </c>
      <c r="C2593" t="s">
        <v>1382</v>
      </c>
      <c r="D2593" t="s">
        <v>648</v>
      </c>
      <c r="E2593" t="s">
        <v>920</v>
      </c>
      <c r="F2593" t="s">
        <v>598</v>
      </c>
      <c r="G2593" t="s">
        <v>478</v>
      </c>
      <c r="H2593" t="s">
        <v>600</v>
      </c>
      <c r="I2593" t="s">
        <v>601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hidden="1">
      <c r="A2594" t="s">
        <v>18811</v>
      </c>
      <c r="B2594" t="s">
        <v>1460</v>
      </c>
      <c r="C2594" t="s">
        <v>1382</v>
      </c>
      <c r="D2594" t="s">
        <v>648</v>
      </c>
      <c r="E2594" t="s">
        <v>973</v>
      </c>
      <c r="F2594" t="s">
        <v>598</v>
      </c>
      <c r="G2594" t="s">
        <v>478</v>
      </c>
      <c r="H2594" t="s">
        <v>600</v>
      </c>
      <c r="I2594" t="s">
        <v>601</v>
      </c>
      <c r="J2594">
        <v>1.1000000000000001E-3</v>
      </c>
      <c r="K2594">
        <v>1.1000000000000001E-3</v>
      </c>
      <c r="L2594">
        <v>1.1000000000000001E-3</v>
      </c>
      <c r="M2594">
        <v>1.1000000000000001E-3</v>
      </c>
      <c r="N2594">
        <v>1.1000000000000001E-3</v>
      </c>
      <c r="O2594">
        <v>1.1000000000000001E-3</v>
      </c>
      <c r="P2594">
        <v>1.1000000000000001E-3</v>
      </c>
      <c r="Q2594">
        <v>1.1000000000000001E-3</v>
      </c>
      <c r="R2594">
        <v>1.1000000000000001E-3</v>
      </c>
      <c r="S2594">
        <v>1.1000000000000001E-3</v>
      </c>
      <c r="T2594">
        <v>1.1000000000000001E-3</v>
      </c>
      <c r="U2594">
        <v>1.1000000000000001E-3</v>
      </c>
      <c r="V2594">
        <v>1.1000000000000001E-3</v>
      </c>
      <c r="W2594">
        <v>1.1000000000000001E-3</v>
      </c>
      <c r="X2594">
        <v>1.1000000000000001E-3</v>
      </c>
      <c r="Y2594">
        <v>1.1000000000000001E-3</v>
      </c>
    </row>
    <row r="2595" spans="1:25" hidden="1">
      <c r="A2595" t="s">
        <v>18811</v>
      </c>
      <c r="B2595" t="s">
        <v>1461</v>
      </c>
      <c r="C2595" t="s">
        <v>1382</v>
      </c>
      <c r="D2595" t="s">
        <v>648</v>
      </c>
      <c r="E2595" t="s">
        <v>642</v>
      </c>
      <c r="F2595" t="s">
        <v>598</v>
      </c>
      <c r="G2595" t="s">
        <v>478</v>
      </c>
      <c r="H2595" t="s">
        <v>600</v>
      </c>
      <c r="I2595" t="s">
        <v>601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hidden="1">
      <c r="A2596" t="s">
        <v>18811</v>
      </c>
      <c r="B2596" t="s">
        <v>1463</v>
      </c>
      <c r="C2596" t="s">
        <v>1382</v>
      </c>
      <c r="D2596" t="s">
        <v>648</v>
      </c>
      <c r="E2596" t="s">
        <v>1464</v>
      </c>
      <c r="F2596" t="s">
        <v>598</v>
      </c>
      <c r="G2596" t="s">
        <v>478</v>
      </c>
      <c r="H2596" t="s">
        <v>600</v>
      </c>
      <c r="I2596" t="s">
        <v>601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hidden="1">
      <c r="A2597" t="s">
        <v>18811</v>
      </c>
      <c r="B2597" t="s">
        <v>1466</v>
      </c>
      <c r="C2597" t="s">
        <v>1382</v>
      </c>
      <c r="D2597" t="s">
        <v>648</v>
      </c>
      <c r="E2597" t="s">
        <v>1467</v>
      </c>
      <c r="F2597" t="s">
        <v>598</v>
      </c>
      <c r="G2597" t="s">
        <v>478</v>
      </c>
      <c r="H2597" t="s">
        <v>600</v>
      </c>
      <c r="I2597" t="s">
        <v>601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hidden="1">
      <c r="A2598" t="s">
        <v>18811</v>
      </c>
      <c r="B2598" t="s">
        <v>1471</v>
      </c>
      <c r="C2598" t="s">
        <v>1472</v>
      </c>
      <c r="D2598" t="s">
        <v>1274</v>
      </c>
      <c r="E2598" t="s">
        <v>973</v>
      </c>
      <c r="F2598" t="s">
        <v>598</v>
      </c>
      <c r="G2598" t="s">
        <v>478</v>
      </c>
      <c r="H2598" t="s">
        <v>600</v>
      </c>
      <c r="I2598" t="s">
        <v>601</v>
      </c>
      <c r="J2598">
        <v>4.4999999999999997E-3</v>
      </c>
      <c r="K2598">
        <v>4.4999999999999997E-3</v>
      </c>
      <c r="L2598">
        <v>4.4999999999999997E-3</v>
      </c>
      <c r="M2598">
        <v>4.4999999999999997E-3</v>
      </c>
      <c r="N2598">
        <v>4.4000000000000003E-3</v>
      </c>
      <c r="O2598">
        <v>4.4000000000000003E-3</v>
      </c>
      <c r="P2598">
        <v>4.3E-3</v>
      </c>
      <c r="Q2598">
        <v>4.3E-3</v>
      </c>
      <c r="R2598">
        <v>4.1999999999999997E-3</v>
      </c>
      <c r="S2598">
        <v>4.1000000000000003E-3</v>
      </c>
      <c r="T2598">
        <v>4.0000000000000001E-3</v>
      </c>
      <c r="U2598">
        <v>3.8999999999999998E-3</v>
      </c>
      <c r="V2598">
        <v>3.8999999999999998E-3</v>
      </c>
      <c r="W2598">
        <v>3.8999999999999998E-3</v>
      </c>
      <c r="X2598">
        <v>3.8E-3</v>
      </c>
      <c r="Y2598">
        <v>3.8E-3</v>
      </c>
    </row>
    <row r="2599" spans="1:25" hidden="1">
      <c r="A2599" t="s">
        <v>18811</v>
      </c>
      <c r="B2599" t="s">
        <v>1474</v>
      </c>
      <c r="C2599" t="s">
        <v>1472</v>
      </c>
      <c r="D2599" t="s">
        <v>1274</v>
      </c>
      <c r="E2599" t="s">
        <v>678</v>
      </c>
      <c r="F2599" t="s">
        <v>598</v>
      </c>
      <c r="G2599" t="s">
        <v>478</v>
      </c>
      <c r="H2599" t="s">
        <v>600</v>
      </c>
      <c r="I2599" t="s">
        <v>601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hidden="1">
      <c r="A2600" t="s">
        <v>18811</v>
      </c>
      <c r="B2600" t="s">
        <v>1475</v>
      </c>
      <c r="C2600" t="s">
        <v>1472</v>
      </c>
      <c r="D2600" t="s">
        <v>1281</v>
      </c>
      <c r="E2600" t="s">
        <v>678</v>
      </c>
      <c r="F2600" t="s">
        <v>598</v>
      </c>
      <c r="G2600" t="s">
        <v>478</v>
      </c>
      <c r="H2600" t="s">
        <v>600</v>
      </c>
      <c r="I2600" t="s">
        <v>601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hidden="1">
      <c r="A2601" t="s">
        <v>18811</v>
      </c>
      <c r="B2601" t="s">
        <v>1476</v>
      </c>
      <c r="C2601" t="s">
        <v>1472</v>
      </c>
      <c r="D2601" t="s">
        <v>1285</v>
      </c>
      <c r="E2601" t="s">
        <v>678</v>
      </c>
      <c r="F2601" t="s">
        <v>598</v>
      </c>
      <c r="G2601" t="s">
        <v>478</v>
      </c>
      <c r="H2601" t="s">
        <v>600</v>
      </c>
      <c r="I2601" t="s">
        <v>601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hidden="1">
      <c r="A2602" t="s">
        <v>18811</v>
      </c>
      <c r="B2602" t="s">
        <v>1478</v>
      </c>
      <c r="C2602" t="s">
        <v>1472</v>
      </c>
      <c r="D2602" t="s">
        <v>1305</v>
      </c>
      <c r="E2602" t="s">
        <v>973</v>
      </c>
      <c r="F2602" t="s">
        <v>598</v>
      </c>
      <c r="G2602" t="s">
        <v>478</v>
      </c>
      <c r="H2602" t="s">
        <v>600</v>
      </c>
      <c r="I2602" t="s">
        <v>601</v>
      </c>
      <c r="J2602">
        <v>3.44E-2</v>
      </c>
      <c r="K2602">
        <v>3.49E-2</v>
      </c>
      <c r="L2602">
        <v>3.5200000000000002E-2</v>
      </c>
      <c r="M2602">
        <v>3.5200000000000002E-2</v>
      </c>
      <c r="N2602">
        <v>3.5200000000000002E-2</v>
      </c>
      <c r="O2602">
        <v>3.5099999999999999E-2</v>
      </c>
      <c r="P2602">
        <v>3.49E-2</v>
      </c>
      <c r="Q2602">
        <v>3.4500000000000003E-2</v>
      </c>
      <c r="R2602">
        <v>3.39E-2</v>
      </c>
      <c r="S2602">
        <v>3.3500000000000002E-2</v>
      </c>
      <c r="T2602">
        <v>3.3000000000000002E-2</v>
      </c>
      <c r="U2602">
        <v>3.27E-2</v>
      </c>
      <c r="V2602">
        <v>3.2399999999999998E-2</v>
      </c>
      <c r="W2602">
        <v>3.2199999999999999E-2</v>
      </c>
      <c r="X2602">
        <v>3.2000000000000001E-2</v>
      </c>
      <c r="Y2602">
        <v>3.1899999999999998E-2</v>
      </c>
    </row>
    <row r="2603" spans="1:25" hidden="1">
      <c r="A2603" t="s">
        <v>18811</v>
      </c>
      <c r="B2603" t="s">
        <v>1480</v>
      </c>
      <c r="C2603" t="s">
        <v>1472</v>
      </c>
      <c r="D2603" t="s">
        <v>1305</v>
      </c>
      <c r="E2603" t="s">
        <v>678</v>
      </c>
      <c r="F2603" t="s">
        <v>598</v>
      </c>
      <c r="G2603" t="s">
        <v>478</v>
      </c>
      <c r="H2603" t="s">
        <v>600</v>
      </c>
      <c r="I2603" t="s">
        <v>601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hidden="1">
      <c r="A2604" t="s">
        <v>18811</v>
      </c>
      <c r="B2604" t="s">
        <v>1482</v>
      </c>
      <c r="C2604" t="s">
        <v>1472</v>
      </c>
      <c r="D2604" t="s">
        <v>1483</v>
      </c>
      <c r="E2604" t="s">
        <v>597</v>
      </c>
      <c r="F2604" t="s">
        <v>598</v>
      </c>
      <c r="G2604" t="s">
        <v>478</v>
      </c>
      <c r="H2604" t="s">
        <v>600</v>
      </c>
      <c r="I2604" t="s">
        <v>601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</row>
    <row r="2605" spans="1:25" hidden="1">
      <c r="A2605" t="s">
        <v>18811</v>
      </c>
      <c r="B2605" t="s">
        <v>1486</v>
      </c>
      <c r="C2605" t="s">
        <v>1472</v>
      </c>
      <c r="D2605" t="s">
        <v>1311</v>
      </c>
      <c r="E2605" t="s">
        <v>973</v>
      </c>
      <c r="F2605" t="s">
        <v>598</v>
      </c>
      <c r="G2605" t="s">
        <v>478</v>
      </c>
      <c r="H2605" t="s">
        <v>600</v>
      </c>
      <c r="I2605" t="s">
        <v>601</v>
      </c>
      <c r="J2605">
        <v>2.9999999999999997E-4</v>
      </c>
      <c r="K2605">
        <v>4.0000000000000002E-4</v>
      </c>
      <c r="L2605">
        <v>4.0000000000000002E-4</v>
      </c>
      <c r="M2605">
        <v>2.9999999999999997E-4</v>
      </c>
      <c r="N2605">
        <v>2.9999999999999997E-4</v>
      </c>
      <c r="O2605">
        <v>2.9999999999999997E-4</v>
      </c>
      <c r="P2605">
        <v>2.0000000000000001E-4</v>
      </c>
      <c r="Q2605">
        <v>2.0000000000000001E-4</v>
      </c>
      <c r="R2605">
        <v>2.0000000000000001E-4</v>
      </c>
      <c r="S2605">
        <v>2.0000000000000001E-4</v>
      </c>
      <c r="T2605">
        <v>2.0000000000000001E-4</v>
      </c>
      <c r="U2605">
        <v>2.0000000000000001E-4</v>
      </c>
      <c r="V2605">
        <v>2.0000000000000001E-4</v>
      </c>
      <c r="W2605">
        <v>2.0000000000000001E-4</v>
      </c>
      <c r="X2605">
        <v>2.0000000000000001E-4</v>
      </c>
      <c r="Y2605">
        <v>2.0000000000000001E-4</v>
      </c>
    </row>
    <row r="2606" spans="1:25" hidden="1">
      <c r="A2606" t="s">
        <v>18811</v>
      </c>
      <c r="B2606" t="s">
        <v>1489</v>
      </c>
      <c r="C2606" t="s">
        <v>1472</v>
      </c>
      <c r="D2606" t="s">
        <v>1392</v>
      </c>
      <c r="E2606" t="s">
        <v>1402</v>
      </c>
      <c r="F2606" t="s">
        <v>598</v>
      </c>
      <c r="G2606" t="s">
        <v>478</v>
      </c>
      <c r="H2606" t="s">
        <v>600</v>
      </c>
      <c r="I2606" t="s">
        <v>601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hidden="1">
      <c r="A2607" t="s">
        <v>18811</v>
      </c>
      <c r="B2607" t="s">
        <v>1499</v>
      </c>
      <c r="C2607" t="s">
        <v>1472</v>
      </c>
      <c r="D2607" t="s">
        <v>1316</v>
      </c>
      <c r="E2607" t="s">
        <v>892</v>
      </c>
      <c r="F2607" t="s">
        <v>598</v>
      </c>
      <c r="G2607" t="s">
        <v>478</v>
      </c>
      <c r="H2607" t="s">
        <v>600</v>
      </c>
      <c r="I2607" t="s">
        <v>601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hidden="1">
      <c r="A2608" t="s">
        <v>18811</v>
      </c>
      <c r="B2608" t="s">
        <v>1500</v>
      </c>
      <c r="C2608" t="s">
        <v>1472</v>
      </c>
      <c r="D2608" t="s">
        <v>1316</v>
      </c>
      <c r="E2608" t="s">
        <v>678</v>
      </c>
      <c r="F2608" t="s">
        <v>598</v>
      </c>
      <c r="G2608" t="s">
        <v>478</v>
      </c>
      <c r="H2608" t="s">
        <v>600</v>
      </c>
      <c r="I2608" t="s">
        <v>601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hidden="1">
      <c r="A2609" t="s">
        <v>18811</v>
      </c>
      <c r="B2609" t="s">
        <v>1501</v>
      </c>
      <c r="C2609" t="s">
        <v>1472</v>
      </c>
      <c r="D2609" t="s">
        <v>1316</v>
      </c>
      <c r="E2609" t="s">
        <v>1318</v>
      </c>
      <c r="F2609" t="s">
        <v>598</v>
      </c>
      <c r="G2609" t="s">
        <v>478</v>
      </c>
      <c r="H2609" t="s">
        <v>600</v>
      </c>
      <c r="I2609" t="s">
        <v>601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hidden="1">
      <c r="A2610" t="s">
        <v>18811</v>
      </c>
      <c r="B2610" t="s">
        <v>1503</v>
      </c>
      <c r="C2610" t="s">
        <v>1472</v>
      </c>
      <c r="D2610" t="s">
        <v>1320</v>
      </c>
      <c r="E2610" t="s">
        <v>688</v>
      </c>
      <c r="F2610" t="s">
        <v>598</v>
      </c>
      <c r="G2610" t="s">
        <v>478</v>
      </c>
      <c r="H2610" t="s">
        <v>600</v>
      </c>
      <c r="I2610" t="s">
        <v>601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hidden="1">
      <c r="A2611" t="s">
        <v>18811</v>
      </c>
      <c r="B2611" t="s">
        <v>1507</v>
      </c>
      <c r="C2611" t="s">
        <v>1472</v>
      </c>
      <c r="D2611" t="s">
        <v>1320</v>
      </c>
      <c r="E2611" t="s">
        <v>892</v>
      </c>
      <c r="F2611" t="s">
        <v>598</v>
      </c>
      <c r="G2611" t="s">
        <v>478</v>
      </c>
      <c r="H2611" t="s">
        <v>600</v>
      </c>
      <c r="I2611" t="s">
        <v>601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hidden="1">
      <c r="A2612" t="s">
        <v>18811</v>
      </c>
      <c r="B2612" t="s">
        <v>1509</v>
      </c>
      <c r="C2612" t="s">
        <v>1472</v>
      </c>
      <c r="D2612" t="s">
        <v>1320</v>
      </c>
      <c r="E2612" t="s">
        <v>678</v>
      </c>
      <c r="F2612" t="s">
        <v>598</v>
      </c>
      <c r="G2612" t="s">
        <v>478</v>
      </c>
      <c r="H2612" t="s">
        <v>600</v>
      </c>
      <c r="I2612" t="s">
        <v>601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hidden="1">
      <c r="A2613" t="s">
        <v>18811</v>
      </c>
      <c r="B2613" t="s">
        <v>1513</v>
      </c>
      <c r="C2613" t="s">
        <v>1472</v>
      </c>
      <c r="D2613" t="s">
        <v>1324</v>
      </c>
      <c r="E2613" t="s">
        <v>688</v>
      </c>
      <c r="F2613" t="s">
        <v>598</v>
      </c>
      <c r="G2613" t="s">
        <v>478</v>
      </c>
      <c r="H2613" t="s">
        <v>600</v>
      </c>
      <c r="I2613" t="s">
        <v>601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hidden="1">
      <c r="A2614" t="s">
        <v>18811</v>
      </c>
      <c r="B2614" t="s">
        <v>1514</v>
      </c>
      <c r="C2614" t="s">
        <v>1472</v>
      </c>
      <c r="D2614" t="s">
        <v>1324</v>
      </c>
      <c r="E2614" t="s">
        <v>1334</v>
      </c>
      <c r="F2614" t="s">
        <v>598</v>
      </c>
      <c r="G2614" t="s">
        <v>478</v>
      </c>
      <c r="H2614" t="s">
        <v>600</v>
      </c>
      <c r="I2614" t="s">
        <v>601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hidden="1">
      <c r="A2615" t="s">
        <v>18811</v>
      </c>
      <c r="B2615" t="s">
        <v>1516</v>
      </c>
      <c r="C2615" t="s">
        <v>1472</v>
      </c>
      <c r="D2615" t="s">
        <v>1324</v>
      </c>
      <c r="E2615" t="s">
        <v>1417</v>
      </c>
      <c r="F2615" t="s">
        <v>598</v>
      </c>
      <c r="G2615" t="s">
        <v>478</v>
      </c>
      <c r="H2615" t="s">
        <v>600</v>
      </c>
      <c r="I2615" t="s">
        <v>601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hidden="1">
      <c r="A2616" t="s">
        <v>18811</v>
      </c>
      <c r="B2616" t="s">
        <v>1520</v>
      </c>
      <c r="C2616" t="s">
        <v>1472</v>
      </c>
      <c r="D2616" t="s">
        <v>1324</v>
      </c>
      <c r="E2616" t="s">
        <v>1402</v>
      </c>
      <c r="F2616" t="s">
        <v>598</v>
      </c>
      <c r="G2616" t="s">
        <v>478</v>
      </c>
      <c r="H2616" t="s">
        <v>600</v>
      </c>
      <c r="I2616" t="s">
        <v>601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hidden="1">
      <c r="A2617" t="s">
        <v>18811</v>
      </c>
      <c r="B2617" t="s">
        <v>1521</v>
      </c>
      <c r="C2617" t="s">
        <v>1472</v>
      </c>
      <c r="D2617" t="s">
        <v>1324</v>
      </c>
      <c r="E2617" t="s">
        <v>892</v>
      </c>
      <c r="F2617" t="s">
        <v>598</v>
      </c>
      <c r="G2617" t="s">
        <v>478</v>
      </c>
      <c r="H2617" t="s">
        <v>600</v>
      </c>
      <c r="I2617" t="s">
        <v>601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hidden="1">
      <c r="A2618" t="s">
        <v>18811</v>
      </c>
      <c r="B2618" t="s">
        <v>1523</v>
      </c>
      <c r="C2618" t="s">
        <v>1472</v>
      </c>
      <c r="D2618" t="s">
        <v>1324</v>
      </c>
      <c r="E2618" t="s">
        <v>678</v>
      </c>
      <c r="F2618" t="s">
        <v>598</v>
      </c>
      <c r="G2618" t="s">
        <v>478</v>
      </c>
      <c r="H2618" t="s">
        <v>600</v>
      </c>
      <c r="I2618" t="s">
        <v>601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hidden="1">
      <c r="A2619" t="s">
        <v>18811</v>
      </c>
      <c r="B2619" t="s">
        <v>1525</v>
      </c>
      <c r="C2619" t="s">
        <v>1472</v>
      </c>
      <c r="D2619" t="s">
        <v>1324</v>
      </c>
      <c r="E2619" t="s">
        <v>954</v>
      </c>
      <c r="F2619" t="s">
        <v>598</v>
      </c>
      <c r="G2619" t="s">
        <v>478</v>
      </c>
      <c r="H2619" t="s">
        <v>600</v>
      </c>
      <c r="I2619" t="s">
        <v>601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hidden="1">
      <c r="A2620" t="s">
        <v>18811</v>
      </c>
      <c r="B2620" t="s">
        <v>1526</v>
      </c>
      <c r="C2620" t="s">
        <v>1472</v>
      </c>
      <c r="D2620" t="s">
        <v>1332</v>
      </c>
      <c r="E2620" t="s">
        <v>688</v>
      </c>
      <c r="F2620" t="s">
        <v>598</v>
      </c>
      <c r="G2620" t="s">
        <v>478</v>
      </c>
      <c r="H2620" t="s">
        <v>600</v>
      </c>
      <c r="I2620" t="s">
        <v>601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hidden="1">
      <c r="A2621" t="s">
        <v>18811</v>
      </c>
      <c r="B2621" t="s">
        <v>1527</v>
      </c>
      <c r="C2621" t="s">
        <v>1472</v>
      </c>
      <c r="D2621" t="s">
        <v>1332</v>
      </c>
      <c r="E2621" t="s">
        <v>1334</v>
      </c>
      <c r="F2621" t="s">
        <v>598</v>
      </c>
      <c r="G2621" t="s">
        <v>478</v>
      </c>
      <c r="H2621" t="s">
        <v>600</v>
      </c>
      <c r="I2621" t="s">
        <v>601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hidden="1">
      <c r="A2622" t="s">
        <v>18811</v>
      </c>
      <c r="B2622" t="s">
        <v>1534</v>
      </c>
      <c r="C2622" t="s">
        <v>1472</v>
      </c>
      <c r="D2622" t="s">
        <v>1332</v>
      </c>
      <c r="E2622" t="s">
        <v>1402</v>
      </c>
      <c r="F2622" t="s">
        <v>598</v>
      </c>
      <c r="G2622" t="s">
        <v>478</v>
      </c>
      <c r="H2622" t="s">
        <v>600</v>
      </c>
      <c r="I2622" t="s">
        <v>601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hidden="1">
      <c r="A2623" t="s">
        <v>18811</v>
      </c>
      <c r="B2623" t="s">
        <v>1537</v>
      </c>
      <c r="C2623" t="s">
        <v>1472</v>
      </c>
      <c r="D2623" t="s">
        <v>1332</v>
      </c>
      <c r="E2623" t="s">
        <v>678</v>
      </c>
      <c r="F2623" t="s">
        <v>598</v>
      </c>
      <c r="G2623" t="s">
        <v>478</v>
      </c>
      <c r="H2623" t="s">
        <v>600</v>
      </c>
      <c r="I2623" t="s">
        <v>601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hidden="1">
      <c r="A2624" t="s">
        <v>18811</v>
      </c>
      <c r="B2624" t="s">
        <v>1538</v>
      </c>
      <c r="C2624" t="s">
        <v>1472</v>
      </c>
      <c r="D2624" t="s">
        <v>1332</v>
      </c>
      <c r="E2624" t="s">
        <v>1318</v>
      </c>
      <c r="F2624" t="s">
        <v>598</v>
      </c>
      <c r="G2624" t="s">
        <v>478</v>
      </c>
      <c r="H2624" t="s">
        <v>600</v>
      </c>
      <c r="I2624" t="s">
        <v>601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hidden="1">
      <c r="A2625" t="s">
        <v>18811</v>
      </c>
      <c r="B2625" t="s">
        <v>1539</v>
      </c>
      <c r="C2625" t="s">
        <v>1472</v>
      </c>
      <c r="D2625" t="s">
        <v>1348</v>
      </c>
      <c r="E2625" t="s">
        <v>688</v>
      </c>
      <c r="F2625" t="s">
        <v>598</v>
      </c>
      <c r="G2625" t="s">
        <v>478</v>
      </c>
      <c r="H2625" t="s">
        <v>600</v>
      </c>
      <c r="I2625" t="s">
        <v>601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hidden="1">
      <c r="A2626" t="s">
        <v>18811</v>
      </c>
      <c r="B2626" t="s">
        <v>1540</v>
      </c>
      <c r="C2626" t="s">
        <v>1472</v>
      </c>
      <c r="D2626" t="s">
        <v>1348</v>
      </c>
      <c r="E2626" t="s">
        <v>1334</v>
      </c>
      <c r="F2626" t="s">
        <v>598</v>
      </c>
      <c r="G2626" t="s">
        <v>478</v>
      </c>
      <c r="H2626" t="s">
        <v>600</v>
      </c>
      <c r="I2626" t="s">
        <v>601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hidden="1">
      <c r="A2627" t="s">
        <v>18811</v>
      </c>
      <c r="B2627" t="s">
        <v>1566</v>
      </c>
      <c r="C2627" t="s">
        <v>1472</v>
      </c>
      <c r="D2627" t="s">
        <v>1567</v>
      </c>
      <c r="E2627" t="s">
        <v>626</v>
      </c>
      <c r="F2627" t="s">
        <v>598</v>
      </c>
      <c r="G2627" t="s">
        <v>478</v>
      </c>
      <c r="H2627" t="s">
        <v>600</v>
      </c>
      <c r="I2627" t="s">
        <v>601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hidden="1">
      <c r="A2628" t="s">
        <v>18811</v>
      </c>
      <c r="B2628" t="s">
        <v>1568</v>
      </c>
      <c r="C2628" t="s">
        <v>1472</v>
      </c>
      <c r="D2628" t="s">
        <v>1569</v>
      </c>
      <c r="E2628" t="s">
        <v>626</v>
      </c>
      <c r="F2628" t="s">
        <v>598</v>
      </c>
      <c r="G2628" t="s">
        <v>478</v>
      </c>
      <c r="H2628" t="s">
        <v>600</v>
      </c>
      <c r="I2628" t="s">
        <v>601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hidden="1">
      <c r="A2629" t="s">
        <v>18811</v>
      </c>
      <c r="B2629" t="s">
        <v>1570</v>
      </c>
      <c r="C2629" t="s">
        <v>1472</v>
      </c>
      <c r="D2629" t="s">
        <v>1571</v>
      </c>
      <c r="E2629" t="s">
        <v>626</v>
      </c>
      <c r="F2629" t="s">
        <v>598</v>
      </c>
      <c r="G2629" t="s">
        <v>478</v>
      </c>
      <c r="H2629" t="s">
        <v>600</v>
      </c>
      <c r="I2629" t="s">
        <v>601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hidden="1">
      <c r="A2630" t="s">
        <v>18811</v>
      </c>
      <c r="B2630" t="s">
        <v>1573</v>
      </c>
      <c r="C2630" t="s">
        <v>1472</v>
      </c>
      <c r="D2630" t="s">
        <v>1574</v>
      </c>
      <c r="E2630" t="s">
        <v>626</v>
      </c>
      <c r="F2630" t="s">
        <v>598</v>
      </c>
      <c r="G2630" t="s">
        <v>478</v>
      </c>
      <c r="H2630" t="s">
        <v>600</v>
      </c>
      <c r="I2630" t="s">
        <v>601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</row>
    <row r="2631" spans="1:25" hidden="1">
      <c r="A2631" t="s">
        <v>18811</v>
      </c>
      <c r="B2631" t="s">
        <v>1575</v>
      </c>
      <c r="C2631" t="s">
        <v>1472</v>
      </c>
      <c r="D2631" t="s">
        <v>1576</v>
      </c>
      <c r="E2631" t="s">
        <v>626</v>
      </c>
      <c r="F2631" t="s">
        <v>598</v>
      </c>
      <c r="G2631" t="s">
        <v>478</v>
      </c>
      <c r="H2631" t="s">
        <v>600</v>
      </c>
      <c r="I2631" t="s">
        <v>601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hidden="1">
      <c r="A2632" t="s">
        <v>18811</v>
      </c>
      <c r="B2632" t="s">
        <v>1577</v>
      </c>
      <c r="C2632" t="s">
        <v>1472</v>
      </c>
      <c r="D2632" t="s">
        <v>1578</v>
      </c>
      <c r="E2632" t="s">
        <v>626</v>
      </c>
      <c r="F2632" t="s">
        <v>598</v>
      </c>
      <c r="G2632" t="s">
        <v>478</v>
      </c>
      <c r="H2632" t="s">
        <v>600</v>
      </c>
      <c r="I2632" t="s">
        <v>601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hidden="1">
      <c r="A2633" t="s">
        <v>18811</v>
      </c>
      <c r="B2633" t="s">
        <v>1579</v>
      </c>
      <c r="C2633" t="s">
        <v>1472</v>
      </c>
      <c r="D2633" t="s">
        <v>1578</v>
      </c>
      <c r="E2633" t="s">
        <v>1334</v>
      </c>
      <c r="F2633" t="s">
        <v>598</v>
      </c>
      <c r="G2633" t="s">
        <v>478</v>
      </c>
      <c r="H2633" t="s">
        <v>600</v>
      </c>
      <c r="I2633" t="s">
        <v>601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hidden="1">
      <c r="A2634" t="s">
        <v>18811</v>
      </c>
      <c r="B2634" t="s">
        <v>1580</v>
      </c>
      <c r="C2634" t="s">
        <v>1472</v>
      </c>
      <c r="D2634" t="s">
        <v>1578</v>
      </c>
      <c r="E2634" t="s">
        <v>1399</v>
      </c>
      <c r="F2634" t="s">
        <v>598</v>
      </c>
      <c r="G2634" t="s">
        <v>478</v>
      </c>
      <c r="H2634" t="s">
        <v>600</v>
      </c>
      <c r="I2634" t="s">
        <v>601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hidden="1">
      <c r="A2635" t="s">
        <v>18811</v>
      </c>
      <c r="B2635" t="s">
        <v>1582</v>
      </c>
      <c r="C2635" t="s">
        <v>1472</v>
      </c>
      <c r="D2635" t="s">
        <v>1583</v>
      </c>
      <c r="E2635" t="s">
        <v>626</v>
      </c>
      <c r="F2635" t="s">
        <v>598</v>
      </c>
      <c r="G2635" t="s">
        <v>478</v>
      </c>
      <c r="H2635" t="s">
        <v>600</v>
      </c>
      <c r="I2635" t="s">
        <v>601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hidden="1">
      <c r="A2636" t="s">
        <v>18811</v>
      </c>
      <c r="B2636" t="s">
        <v>1584</v>
      </c>
      <c r="C2636" t="s">
        <v>1472</v>
      </c>
      <c r="D2636" t="s">
        <v>1583</v>
      </c>
      <c r="E2636" t="s">
        <v>1334</v>
      </c>
      <c r="F2636" t="s">
        <v>598</v>
      </c>
      <c r="G2636" t="s">
        <v>478</v>
      </c>
      <c r="H2636" t="s">
        <v>600</v>
      </c>
      <c r="I2636" t="s">
        <v>601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hidden="1">
      <c r="A2637" t="s">
        <v>18811</v>
      </c>
      <c r="B2637" t="s">
        <v>1585</v>
      </c>
      <c r="C2637" t="s">
        <v>1472</v>
      </c>
      <c r="D2637" t="s">
        <v>1583</v>
      </c>
      <c r="E2637" t="s">
        <v>1399</v>
      </c>
      <c r="F2637" t="s">
        <v>598</v>
      </c>
      <c r="G2637" t="s">
        <v>478</v>
      </c>
      <c r="H2637" t="s">
        <v>600</v>
      </c>
      <c r="I2637" t="s">
        <v>601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hidden="1">
      <c r="A2638" t="s">
        <v>18811</v>
      </c>
      <c r="B2638" t="s">
        <v>1589</v>
      </c>
      <c r="C2638" t="s">
        <v>1472</v>
      </c>
      <c r="D2638" t="s">
        <v>1365</v>
      </c>
      <c r="E2638" t="s">
        <v>973</v>
      </c>
      <c r="F2638" t="s">
        <v>598</v>
      </c>
      <c r="G2638" t="s">
        <v>478</v>
      </c>
      <c r="H2638" t="s">
        <v>600</v>
      </c>
      <c r="I2638" t="s">
        <v>601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hidden="1">
      <c r="A2639" t="s">
        <v>18811</v>
      </c>
      <c r="B2639" t="s">
        <v>1590</v>
      </c>
      <c r="C2639" t="s">
        <v>1472</v>
      </c>
      <c r="D2639" t="s">
        <v>1365</v>
      </c>
      <c r="E2639" t="s">
        <v>626</v>
      </c>
      <c r="F2639" t="s">
        <v>598</v>
      </c>
      <c r="G2639" t="s">
        <v>478</v>
      </c>
      <c r="H2639" t="s">
        <v>600</v>
      </c>
      <c r="I2639" t="s">
        <v>601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hidden="1">
      <c r="A2640" t="s">
        <v>18811</v>
      </c>
      <c r="B2640" t="s">
        <v>1593</v>
      </c>
      <c r="C2640" t="s">
        <v>1472</v>
      </c>
      <c r="D2640" t="s">
        <v>1365</v>
      </c>
      <c r="E2640" t="s">
        <v>781</v>
      </c>
      <c r="F2640" t="s">
        <v>598</v>
      </c>
      <c r="G2640" t="s">
        <v>478</v>
      </c>
      <c r="H2640" t="s">
        <v>600</v>
      </c>
      <c r="I2640" t="s">
        <v>601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hidden="1">
      <c r="A2641" t="s">
        <v>18811</v>
      </c>
      <c r="B2641" t="s">
        <v>1594</v>
      </c>
      <c r="C2641" t="s">
        <v>1472</v>
      </c>
      <c r="D2641" t="s">
        <v>1365</v>
      </c>
      <c r="E2641" t="s">
        <v>678</v>
      </c>
      <c r="F2641" t="s">
        <v>598</v>
      </c>
      <c r="G2641" t="s">
        <v>478</v>
      </c>
      <c r="H2641" t="s">
        <v>600</v>
      </c>
      <c r="I2641" t="s">
        <v>601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hidden="1">
      <c r="A2642" t="s">
        <v>18811</v>
      </c>
      <c r="B2642" t="s">
        <v>1600</v>
      </c>
      <c r="C2642" t="s">
        <v>1472</v>
      </c>
      <c r="D2642" t="s">
        <v>1601</v>
      </c>
      <c r="E2642" t="s">
        <v>626</v>
      </c>
      <c r="F2642" t="s">
        <v>598</v>
      </c>
      <c r="G2642" t="s">
        <v>478</v>
      </c>
      <c r="H2642" t="s">
        <v>600</v>
      </c>
      <c r="I2642" t="s">
        <v>601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hidden="1">
      <c r="A2643" t="s">
        <v>18811</v>
      </c>
      <c r="B2643" t="s">
        <v>1602</v>
      </c>
      <c r="C2643" t="s">
        <v>1472</v>
      </c>
      <c r="D2643" t="s">
        <v>1603</v>
      </c>
      <c r="E2643" t="s">
        <v>626</v>
      </c>
      <c r="F2643" t="s">
        <v>598</v>
      </c>
      <c r="G2643" t="s">
        <v>478</v>
      </c>
      <c r="H2643" t="s">
        <v>600</v>
      </c>
      <c r="I2643" t="s">
        <v>601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hidden="1">
      <c r="A2644" t="s">
        <v>18811</v>
      </c>
      <c r="B2644" t="s">
        <v>1604</v>
      </c>
      <c r="C2644" t="s">
        <v>1472</v>
      </c>
      <c r="D2644" t="s">
        <v>1605</v>
      </c>
      <c r="E2644" t="s">
        <v>626</v>
      </c>
      <c r="F2644" t="s">
        <v>598</v>
      </c>
      <c r="G2644" t="s">
        <v>478</v>
      </c>
      <c r="H2644" t="s">
        <v>600</v>
      </c>
      <c r="I2644" t="s">
        <v>601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hidden="1">
      <c r="A2645" t="s">
        <v>18811</v>
      </c>
      <c r="B2645" t="s">
        <v>1606</v>
      </c>
      <c r="C2645" t="s">
        <v>1472</v>
      </c>
      <c r="D2645" t="s">
        <v>648</v>
      </c>
      <c r="E2645" t="s">
        <v>973</v>
      </c>
      <c r="F2645" t="s">
        <v>598</v>
      </c>
      <c r="G2645" t="s">
        <v>478</v>
      </c>
      <c r="H2645" t="s">
        <v>600</v>
      </c>
      <c r="I2645" t="s">
        <v>601</v>
      </c>
      <c r="J2645">
        <v>5.9999999999999995E-4</v>
      </c>
      <c r="K2645">
        <v>5.9999999999999995E-4</v>
      </c>
      <c r="L2645">
        <v>5.9999999999999995E-4</v>
      </c>
      <c r="M2645">
        <v>6.9999999999999999E-4</v>
      </c>
      <c r="N2645">
        <v>6.9999999999999999E-4</v>
      </c>
      <c r="O2645">
        <v>6.9999999999999999E-4</v>
      </c>
      <c r="P2645">
        <v>8.0000000000000004E-4</v>
      </c>
      <c r="Q2645">
        <v>8.0000000000000004E-4</v>
      </c>
      <c r="R2645">
        <v>8.0000000000000004E-4</v>
      </c>
      <c r="S2645">
        <v>8.0000000000000004E-4</v>
      </c>
      <c r="T2645">
        <v>8.9999999999999998E-4</v>
      </c>
      <c r="U2645">
        <v>8.9999999999999998E-4</v>
      </c>
      <c r="V2645">
        <v>8.9999999999999998E-4</v>
      </c>
      <c r="W2645">
        <v>8.9999999999999998E-4</v>
      </c>
      <c r="X2645">
        <v>1E-3</v>
      </c>
      <c r="Y2645">
        <v>1E-3</v>
      </c>
    </row>
    <row r="2646" spans="1:25" hidden="1">
      <c r="A2646" t="s">
        <v>18811</v>
      </c>
      <c r="B2646" t="s">
        <v>1609</v>
      </c>
      <c r="C2646" t="s">
        <v>1472</v>
      </c>
      <c r="D2646" t="s">
        <v>648</v>
      </c>
      <c r="E2646" t="s">
        <v>626</v>
      </c>
      <c r="F2646" t="s">
        <v>598</v>
      </c>
      <c r="G2646" t="s">
        <v>478</v>
      </c>
      <c r="H2646" t="s">
        <v>600</v>
      </c>
      <c r="I2646" t="s">
        <v>601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hidden="1">
      <c r="A2647" t="s">
        <v>18811</v>
      </c>
      <c r="B2647" t="s">
        <v>1610</v>
      </c>
      <c r="C2647" t="s">
        <v>1611</v>
      </c>
      <c r="D2647" t="s">
        <v>648</v>
      </c>
      <c r="E2647" t="s">
        <v>920</v>
      </c>
      <c r="F2647" t="s">
        <v>598</v>
      </c>
      <c r="G2647" t="s">
        <v>478</v>
      </c>
      <c r="H2647" t="s">
        <v>600</v>
      </c>
      <c r="I2647" t="s">
        <v>601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hidden="1">
      <c r="A2648" t="s">
        <v>18811</v>
      </c>
      <c r="B2648" t="s">
        <v>1612</v>
      </c>
      <c r="C2648" t="s">
        <v>1611</v>
      </c>
      <c r="D2648" t="s">
        <v>648</v>
      </c>
      <c r="E2648" t="s">
        <v>973</v>
      </c>
      <c r="F2648" t="s">
        <v>598</v>
      </c>
      <c r="G2648" t="s">
        <v>478</v>
      </c>
      <c r="H2648" t="s">
        <v>600</v>
      </c>
      <c r="I2648" t="s">
        <v>601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hidden="1">
      <c r="A2649" t="s">
        <v>18811</v>
      </c>
      <c r="B2649" t="s">
        <v>1613</v>
      </c>
      <c r="C2649" t="s">
        <v>1614</v>
      </c>
      <c r="D2649" t="s">
        <v>1392</v>
      </c>
      <c r="E2649" t="s">
        <v>1615</v>
      </c>
      <c r="F2649" t="s">
        <v>598</v>
      </c>
      <c r="G2649" t="s">
        <v>478</v>
      </c>
      <c r="H2649" t="s">
        <v>600</v>
      </c>
      <c r="I2649" t="s">
        <v>601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hidden="1">
      <c r="A2650" t="s">
        <v>18811</v>
      </c>
      <c r="B2650" t="s">
        <v>1616</v>
      </c>
      <c r="C2650" t="s">
        <v>1614</v>
      </c>
      <c r="D2650" t="s">
        <v>1392</v>
      </c>
      <c r="E2650" t="s">
        <v>1393</v>
      </c>
      <c r="F2650" t="s">
        <v>598</v>
      </c>
      <c r="G2650" t="s">
        <v>478</v>
      </c>
      <c r="H2650" t="s">
        <v>600</v>
      </c>
      <c r="I2650" t="s">
        <v>601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hidden="1">
      <c r="A2651" t="s">
        <v>18811</v>
      </c>
      <c r="B2651" t="s">
        <v>1622</v>
      </c>
      <c r="C2651" t="s">
        <v>1614</v>
      </c>
      <c r="D2651" t="s">
        <v>1320</v>
      </c>
      <c r="E2651" t="s">
        <v>1198</v>
      </c>
      <c r="F2651" t="s">
        <v>598</v>
      </c>
      <c r="G2651" t="s">
        <v>478</v>
      </c>
      <c r="H2651" t="s">
        <v>600</v>
      </c>
      <c r="I2651" t="s">
        <v>601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hidden="1">
      <c r="A2652" t="s">
        <v>18811</v>
      </c>
      <c r="B2652" t="s">
        <v>1624</v>
      </c>
      <c r="C2652" t="s">
        <v>1614</v>
      </c>
      <c r="D2652" t="s">
        <v>1324</v>
      </c>
      <c r="E2652" t="s">
        <v>1018</v>
      </c>
      <c r="F2652" t="s">
        <v>598</v>
      </c>
      <c r="G2652" t="s">
        <v>478</v>
      </c>
      <c r="H2652" t="s">
        <v>600</v>
      </c>
      <c r="I2652" t="s">
        <v>601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hidden="1">
      <c r="A2653" t="s">
        <v>18811</v>
      </c>
      <c r="B2653" t="s">
        <v>1625</v>
      </c>
      <c r="C2653" t="s">
        <v>1614</v>
      </c>
      <c r="D2653" t="s">
        <v>1324</v>
      </c>
      <c r="E2653" t="s">
        <v>678</v>
      </c>
      <c r="F2653" t="s">
        <v>598</v>
      </c>
      <c r="G2653" t="s">
        <v>478</v>
      </c>
      <c r="H2653" t="s">
        <v>600</v>
      </c>
      <c r="I2653" t="s">
        <v>601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hidden="1">
      <c r="A2654" t="s">
        <v>18811</v>
      </c>
      <c r="B2654" t="s">
        <v>1626</v>
      </c>
      <c r="C2654" t="s">
        <v>1614</v>
      </c>
      <c r="D2654" t="s">
        <v>1324</v>
      </c>
      <c r="E2654" t="s">
        <v>1340</v>
      </c>
      <c r="F2654" t="s">
        <v>598</v>
      </c>
      <c r="G2654" t="s">
        <v>478</v>
      </c>
      <c r="H2654" t="s">
        <v>600</v>
      </c>
      <c r="I2654" t="s">
        <v>601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hidden="1">
      <c r="A2655" t="s">
        <v>18811</v>
      </c>
      <c r="B2655" t="s">
        <v>1643</v>
      </c>
      <c r="C2655" t="s">
        <v>1614</v>
      </c>
      <c r="D2655" t="s">
        <v>1324</v>
      </c>
      <c r="E2655" t="s">
        <v>1198</v>
      </c>
      <c r="F2655" t="s">
        <v>598</v>
      </c>
      <c r="G2655" t="s">
        <v>478</v>
      </c>
      <c r="H2655" t="s">
        <v>600</v>
      </c>
      <c r="I2655" t="s">
        <v>601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hidden="1">
      <c r="A2656" t="s">
        <v>18811</v>
      </c>
      <c r="B2656" t="s">
        <v>1682</v>
      </c>
      <c r="C2656" t="s">
        <v>1614</v>
      </c>
      <c r="D2656" t="s">
        <v>1332</v>
      </c>
      <c r="E2656" t="s">
        <v>1018</v>
      </c>
      <c r="F2656" t="s">
        <v>598</v>
      </c>
      <c r="G2656" t="s">
        <v>478</v>
      </c>
      <c r="H2656" t="s">
        <v>600</v>
      </c>
      <c r="I2656" t="s">
        <v>601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hidden="1">
      <c r="A2657" t="s">
        <v>18811</v>
      </c>
      <c r="B2657" t="s">
        <v>1686</v>
      </c>
      <c r="C2657" t="s">
        <v>1614</v>
      </c>
      <c r="D2657" t="s">
        <v>1332</v>
      </c>
      <c r="E2657" t="s">
        <v>1687</v>
      </c>
      <c r="F2657" t="s">
        <v>598</v>
      </c>
      <c r="G2657" t="s">
        <v>478</v>
      </c>
      <c r="H2657" t="s">
        <v>600</v>
      </c>
      <c r="I2657" t="s">
        <v>601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hidden="1">
      <c r="A2658" t="s">
        <v>18811</v>
      </c>
      <c r="B2658" t="s">
        <v>1688</v>
      </c>
      <c r="C2658" t="s">
        <v>1614</v>
      </c>
      <c r="D2658" t="s">
        <v>1332</v>
      </c>
      <c r="E2658" t="s">
        <v>1423</v>
      </c>
      <c r="F2658" t="s">
        <v>598</v>
      </c>
      <c r="G2658" t="s">
        <v>478</v>
      </c>
      <c r="H2658" t="s">
        <v>600</v>
      </c>
      <c r="I2658" t="s">
        <v>601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hidden="1">
      <c r="A2659" t="s">
        <v>18811</v>
      </c>
      <c r="B2659" t="s">
        <v>1691</v>
      </c>
      <c r="C2659" t="s">
        <v>1614</v>
      </c>
      <c r="D2659" t="s">
        <v>1332</v>
      </c>
      <c r="E2659" t="s">
        <v>1198</v>
      </c>
      <c r="F2659" t="s">
        <v>598</v>
      </c>
      <c r="G2659" t="s">
        <v>478</v>
      </c>
      <c r="H2659" t="s">
        <v>600</v>
      </c>
      <c r="I2659" t="s">
        <v>601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hidden="1">
      <c r="A2660" t="s">
        <v>18811</v>
      </c>
      <c r="B2660" t="s">
        <v>1694</v>
      </c>
      <c r="C2660" t="s">
        <v>1614</v>
      </c>
      <c r="D2660" t="s">
        <v>1332</v>
      </c>
      <c r="E2660" t="s">
        <v>1649</v>
      </c>
      <c r="F2660" t="s">
        <v>598</v>
      </c>
      <c r="G2660" t="s">
        <v>478</v>
      </c>
      <c r="H2660" t="s">
        <v>600</v>
      </c>
      <c r="I2660" t="s">
        <v>601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hidden="1">
      <c r="A2661" t="s">
        <v>18811</v>
      </c>
      <c r="B2661" t="s">
        <v>1697</v>
      </c>
      <c r="C2661" t="s">
        <v>1614</v>
      </c>
      <c r="D2661" t="s">
        <v>1332</v>
      </c>
      <c r="E2661" t="s">
        <v>630</v>
      </c>
      <c r="F2661" t="s">
        <v>598</v>
      </c>
      <c r="G2661" t="s">
        <v>478</v>
      </c>
      <c r="H2661" t="s">
        <v>600</v>
      </c>
      <c r="I2661" t="s">
        <v>601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hidden="1">
      <c r="A2662" t="s">
        <v>18811</v>
      </c>
      <c r="B2662" t="s">
        <v>1706</v>
      </c>
      <c r="C2662" t="s">
        <v>1614</v>
      </c>
      <c r="D2662" t="s">
        <v>1332</v>
      </c>
      <c r="E2662" t="s">
        <v>1058</v>
      </c>
      <c r="F2662" t="s">
        <v>598</v>
      </c>
      <c r="G2662" t="s">
        <v>478</v>
      </c>
      <c r="H2662" t="s">
        <v>600</v>
      </c>
      <c r="I2662" t="s">
        <v>601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hidden="1">
      <c r="A2663" t="s">
        <v>18811</v>
      </c>
      <c r="B2663" t="s">
        <v>1708</v>
      </c>
      <c r="C2663" t="s">
        <v>1614</v>
      </c>
      <c r="D2663" t="s">
        <v>1332</v>
      </c>
      <c r="E2663" t="s">
        <v>1216</v>
      </c>
      <c r="F2663" t="s">
        <v>598</v>
      </c>
      <c r="G2663" t="s">
        <v>478</v>
      </c>
      <c r="H2663" t="s">
        <v>600</v>
      </c>
      <c r="I2663" t="s">
        <v>601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hidden="1">
      <c r="A2664" t="s">
        <v>18811</v>
      </c>
      <c r="B2664" t="s">
        <v>1710</v>
      </c>
      <c r="C2664" t="s">
        <v>1614</v>
      </c>
      <c r="D2664" t="s">
        <v>1332</v>
      </c>
      <c r="E2664" t="s">
        <v>1393</v>
      </c>
      <c r="F2664" t="s">
        <v>598</v>
      </c>
      <c r="G2664" t="s">
        <v>478</v>
      </c>
      <c r="H2664" t="s">
        <v>600</v>
      </c>
      <c r="I2664" t="s">
        <v>601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hidden="1">
      <c r="A2665" t="s">
        <v>18811</v>
      </c>
      <c r="B2665" t="s">
        <v>1711</v>
      </c>
      <c r="C2665" t="s">
        <v>1614</v>
      </c>
      <c r="D2665" t="s">
        <v>1350</v>
      </c>
      <c r="E2665" t="s">
        <v>597</v>
      </c>
      <c r="F2665" t="s">
        <v>598</v>
      </c>
      <c r="G2665" t="s">
        <v>478</v>
      </c>
      <c r="H2665" t="s">
        <v>600</v>
      </c>
      <c r="I2665" t="s">
        <v>601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hidden="1">
      <c r="A2666" t="s">
        <v>18811</v>
      </c>
      <c r="B2666" t="s">
        <v>1712</v>
      </c>
      <c r="C2666" t="s">
        <v>1614</v>
      </c>
      <c r="D2666" t="s">
        <v>1350</v>
      </c>
      <c r="E2666" t="s">
        <v>1340</v>
      </c>
      <c r="F2666" t="s">
        <v>598</v>
      </c>
      <c r="G2666" t="s">
        <v>478</v>
      </c>
      <c r="H2666" t="s">
        <v>600</v>
      </c>
      <c r="I2666" t="s">
        <v>601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hidden="1">
      <c r="A2667" t="s">
        <v>18811</v>
      </c>
      <c r="B2667" t="s">
        <v>1713</v>
      </c>
      <c r="C2667" t="s">
        <v>1614</v>
      </c>
      <c r="D2667" t="s">
        <v>1435</v>
      </c>
      <c r="E2667" t="s">
        <v>973</v>
      </c>
      <c r="F2667" t="s">
        <v>598</v>
      </c>
      <c r="G2667" t="s">
        <v>478</v>
      </c>
      <c r="H2667" t="s">
        <v>600</v>
      </c>
      <c r="I2667" t="s">
        <v>601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hidden="1">
      <c r="A2668" t="s">
        <v>18811</v>
      </c>
      <c r="B2668" t="s">
        <v>1714</v>
      </c>
      <c r="C2668" t="s">
        <v>1614</v>
      </c>
      <c r="D2668" t="s">
        <v>1354</v>
      </c>
      <c r="E2668" t="s">
        <v>954</v>
      </c>
      <c r="F2668" t="s">
        <v>598</v>
      </c>
      <c r="G2668" t="s">
        <v>478</v>
      </c>
      <c r="H2668" t="s">
        <v>600</v>
      </c>
      <c r="I2668" t="s">
        <v>601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hidden="1">
      <c r="A2669" t="s">
        <v>18811</v>
      </c>
      <c r="B2669" t="s">
        <v>1717</v>
      </c>
      <c r="C2669" t="s">
        <v>1614</v>
      </c>
      <c r="D2669" t="s">
        <v>1354</v>
      </c>
      <c r="E2669" t="s">
        <v>1718</v>
      </c>
      <c r="F2669" t="s">
        <v>598</v>
      </c>
      <c r="G2669" t="s">
        <v>478</v>
      </c>
      <c r="H2669" t="s">
        <v>600</v>
      </c>
      <c r="I2669" t="s">
        <v>601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hidden="1">
      <c r="A2670" t="s">
        <v>18811</v>
      </c>
      <c r="B2670" t="s">
        <v>1720</v>
      </c>
      <c r="C2670" t="s">
        <v>1614</v>
      </c>
      <c r="D2670" t="s">
        <v>1365</v>
      </c>
      <c r="E2670" t="s">
        <v>1393</v>
      </c>
      <c r="F2670" t="s">
        <v>598</v>
      </c>
      <c r="G2670" t="s">
        <v>478</v>
      </c>
      <c r="H2670" t="s">
        <v>600</v>
      </c>
      <c r="I2670" t="s">
        <v>601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hidden="1">
      <c r="A2671" t="s">
        <v>18811</v>
      </c>
      <c r="B2671" t="s">
        <v>1723</v>
      </c>
      <c r="C2671" t="s">
        <v>1614</v>
      </c>
      <c r="D2671" t="s">
        <v>1722</v>
      </c>
      <c r="E2671" t="s">
        <v>937</v>
      </c>
      <c r="F2671" t="s">
        <v>598</v>
      </c>
      <c r="G2671" t="s">
        <v>478</v>
      </c>
      <c r="H2671" t="s">
        <v>600</v>
      </c>
      <c r="I2671" t="s">
        <v>601</v>
      </c>
      <c r="J2671">
        <v>3.5000000000000001E-3</v>
      </c>
      <c r="K2671">
        <v>3.5999999999999999E-3</v>
      </c>
      <c r="L2671">
        <v>3.5999999999999999E-3</v>
      </c>
      <c r="M2671">
        <v>3.7000000000000002E-3</v>
      </c>
      <c r="N2671">
        <v>3.8E-3</v>
      </c>
      <c r="O2671">
        <v>3.8E-3</v>
      </c>
      <c r="P2671">
        <v>3.8999999999999998E-3</v>
      </c>
      <c r="Q2671">
        <v>4.0000000000000001E-3</v>
      </c>
      <c r="R2671">
        <v>4.1000000000000003E-3</v>
      </c>
      <c r="S2671">
        <v>4.1999999999999997E-3</v>
      </c>
      <c r="T2671">
        <v>4.3E-3</v>
      </c>
      <c r="U2671">
        <v>4.4000000000000003E-3</v>
      </c>
      <c r="V2671">
        <v>4.4999999999999997E-3</v>
      </c>
      <c r="W2671">
        <v>4.5999999999999999E-3</v>
      </c>
      <c r="X2671">
        <v>4.7000000000000002E-3</v>
      </c>
      <c r="Y2671">
        <v>4.7999999999999996E-3</v>
      </c>
    </row>
    <row r="2672" spans="1:25" hidden="1">
      <c r="A2672" t="s">
        <v>18811</v>
      </c>
      <c r="B2672" t="s">
        <v>1724</v>
      </c>
      <c r="C2672" t="s">
        <v>1614</v>
      </c>
      <c r="D2672" t="s">
        <v>1722</v>
      </c>
      <c r="E2672" t="s">
        <v>1340</v>
      </c>
      <c r="F2672" t="s">
        <v>598</v>
      </c>
      <c r="G2672" t="s">
        <v>478</v>
      </c>
      <c r="H2672" t="s">
        <v>600</v>
      </c>
      <c r="I2672" t="s">
        <v>601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hidden="1">
      <c r="A2673" t="s">
        <v>18811</v>
      </c>
      <c r="B2673" t="s">
        <v>1725</v>
      </c>
      <c r="C2673" t="s">
        <v>1614</v>
      </c>
      <c r="D2673" t="s">
        <v>1722</v>
      </c>
      <c r="E2673" t="s">
        <v>1684</v>
      </c>
      <c r="F2673" t="s">
        <v>598</v>
      </c>
      <c r="G2673" t="s">
        <v>478</v>
      </c>
      <c r="H2673" t="s">
        <v>600</v>
      </c>
      <c r="I2673" t="s">
        <v>601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hidden="1">
      <c r="A2674" t="s">
        <v>18811</v>
      </c>
      <c r="B2674" t="s">
        <v>1726</v>
      </c>
      <c r="C2674" t="s">
        <v>1614</v>
      </c>
      <c r="D2674" t="s">
        <v>1722</v>
      </c>
      <c r="E2674" t="s">
        <v>1727</v>
      </c>
      <c r="F2674" t="s">
        <v>598</v>
      </c>
      <c r="G2674" t="s">
        <v>478</v>
      </c>
      <c r="H2674" t="s">
        <v>600</v>
      </c>
      <c r="I2674" t="s">
        <v>601</v>
      </c>
      <c r="J2674">
        <v>1.9099999999999999E-2</v>
      </c>
      <c r="K2674">
        <v>1.9400000000000001E-2</v>
      </c>
      <c r="L2674">
        <v>1.9599999999999999E-2</v>
      </c>
      <c r="M2674">
        <v>1.9800000000000002E-2</v>
      </c>
      <c r="N2674">
        <v>2.0299999999999999E-2</v>
      </c>
      <c r="O2674">
        <v>2.07E-2</v>
      </c>
      <c r="P2674">
        <v>2.12E-2</v>
      </c>
      <c r="Q2674">
        <v>2.1700000000000001E-2</v>
      </c>
      <c r="R2674">
        <v>2.2200000000000001E-2</v>
      </c>
      <c r="S2674">
        <v>2.2700000000000001E-2</v>
      </c>
      <c r="T2674">
        <v>2.3199999999999998E-2</v>
      </c>
      <c r="U2674">
        <v>2.3699999999999999E-2</v>
      </c>
      <c r="V2674">
        <v>2.4400000000000002E-2</v>
      </c>
      <c r="W2674">
        <v>2.5000000000000001E-2</v>
      </c>
      <c r="X2674">
        <v>2.5600000000000001E-2</v>
      </c>
      <c r="Y2674">
        <v>2.6200000000000001E-2</v>
      </c>
    </row>
    <row r="2675" spans="1:25" hidden="1">
      <c r="A2675" t="s">
        <v>18811</v>
      </c>
      <c r="B2675" t="s">
        <v>1728</v>
      </c>
      <c r="C2675" t="s">
        <v>1614</v>
      </c>
      <c r="D2675" t="s">
        <v>1722</v>
      </c>
      <c r="E2675" t="s">
        <v>1729</v>
      </c>
      <c r="F2675" t="s">
        <v>598</v>
      </c>
      <c r="G2675" t="s">
        <v>478</v>
      </c>
      <c r="H2675" t="s">
        <v>600</v>
      </c>
      <c r="I2675" t="s">
        <v>601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hidden="1">
      <c r="A2676" t="s">
        <v>18811</v>
      </c>
      <c r="B2676" t="s">
        <v>1730</v>
      </c>
      <c r="C2676" t="s">
        <v>1614</v>
      </c>
      <c r="D2676" t="s">
        <v>1722</v>
      </c>
      <c r="E2676" t="s">
        <v>1731</v>
      </c>
      <c r="F2676" t="s">
        <v>598</v>
      </c>
      <c r="G2676" t="s">
        <v>478</v>
      </c>
      <c r="H2676" t="s">
        <v>600</v>
      </c>
      <c r="I2676" t="s">
        <v>601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hidden="1">
      <c r="A2677" t="s">
        <v>18811</v>
      </c>
      <c r="B2677" t="s">
        <v>1736</v>
      </c>
      <c r="C2677" t="s">
        <v>1614</v>
      </c>
      <c r="D2677" t="s">
        <v>1722</v>
      </c>
      <c r="E2677" t="s">
        <v>1737</v>
      </c>
      <c r="F2677" t="s">
        <v>598</v>
      </c>
      <c r="G2677" t="s">
        <v>478</v>
      </c>
      <c r="H2677" t="s">
        <v>600</v>
      </c>
      <c r="I2677" t="s">
        <v>601</v>
      </c>
      <c r="J2677">
        <v>2.5000000000000001E-2</v>
      </c>
      <c r="K2677">
        <v>2.53E-2</v>
      </c>
      <c r="L2677">
        <v>2.5600000000000001E-2</v>
      </c>
      <c r="M2677">
        <v>2.5899999999999999E-2</v>
      </c>
      <c r="N2677">
        <v>2.6499999999999999E-2</v>
      </c>
      <c r="O2677">
        <v>2.7099999999999999E-2</v>
      </c>
      <c r="P2677">
        <v>2.7699999999999999E-2</v>
      </c>
      <c r="Q2677">
        <v>2.8299999999999999E-2</v>
      </c>
      <c r="R2677">
        <v>2.9000000000000001E-2</v>
      </c>
      <c r="S2677">
        <v>2.9600000000000001E-2</v>
      </c>
      <c r="T2677">
        <v>3.0300000000000001E-2</v>
      </c>
      <c r="U2677">
        <v>3.1E-2</v>
      </c>
      <c r="V2677">
        <v>3.1800000000000002E-2</v>
      </c>
      <c r="W2677">
        <v>3.2599999999999997E-2</v>
      </c>
      <c r="X2677">
        <v>3.3399999999999999E-2</v>
      </c>
      <c r="Y2677">
        <v>3.4200000000000001E-2</v>
      </c>
    </row>
    <row r="2678" spans="1:25" hidden="1">
      <c r="A2678" t="s">
        <v>18811</v>
      </c>
      <c r="B2678" t="s">
        <v>1738</v>
      </c>
      <c r="C2678" t="s">
        <v>1614</v>
      </c>
      <c r="D2678" t="s">
        <v>1722</v>
      </c>
      <c r="E2678" t="s">
        <v>1739</v>
      </c>
      <c r="F2678" t="s">
        <v>598</v>
      </c>
      <c r="G2678" t="s">
        <v>478</v>
      </c>
      <c r="H2678" t="s">
        <v>600</v>
      </c>
      <c r="I2678" t="s">
        <v>601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</row>
    <row r="2679" spans="1:25" hidden="1">
      <c r="A2679" t="s">
        <v>18811</v>
      </c>
      <c r="B2679" t="s">
        <v>1744</v>
      </c>
      <c r="C2679" t="s">
        <v>1614</v>
      </c>
      <c r="D2679" t="s">
        <v>1722</v>
      </c>
      <c r="E2679" t="s">
        <v>1450</v>
      </c>
      <c r="F2679" t="s">
        <v>598</v>
      </c>
      <c r="G2679" t="s">
        <v>478</v>
      </c>
      <c r="H2679" t="s">
        <v>600</v>
      </c>
      <c r="I2679" t="s">
        <v>601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hidden="1">
      <c r="A2680" t="s">
        <v>18811</v>
      </c>
      <c r="B2680" t="s">
        <v>1745</v>
      </c>
      <c r="C2680" t="s">
        <v>1614</v>
      </c>
      <c r="D2680" t="s">
        <v>1722</v>
      </c>
      <c r="E2680" t="s">
        <v>1615</v>
      </c>
      <c r="F2680" t="s">
        <v>598</v>
      </c>
      <c r="G2680" t="s">
        <v>478</v>
      </c>
      <c r="H2680" t="s">
        <v>600</v>
      </c>
      <c r="I2680" t="s">
        <v>601</v>
      </c>
      <c r="J2680">
        <v>1.2999999999999999E-3</v>
      </c>
      <c r="K2680">
        <v>1.2999999999999999E-3</v>
      </c>
      <c r="L2680">
        <v>1.2999999999999999E-3</v>
      </c>
      <c r="M2680">
        <v>1.2999999999999999E-3</v>
      </c>
      <c r="N2680">
        <v>1.2999999999999999E-3</v>
      </c>
      <c r="O2680">
        <v>1.4E-3</v>
      </c>
      <c r="P2680">
        <v>1.4E-3</v>
      </c>
      <c r="Q2680">
        <v>1.4E-3</v>
      </c>
      <c r="R2680">
        <v>1.5E-3</v>
      </c>
      <c r="S2680">
        <v>1.5E-3</v>
      </c>
      <c r="T2680">
        <v>1.5E-3</v>
      </c>
      <c r="U2680">
        <v>1.6000000000000001E-3</v>
      </c>
      <c r="V2680">
        <v>1.6000000000000001E-3</v>
      </c>
      <c r="W2680">
        <v>1.6000000000000001E-3</v>
      </c>
      <c r="X2680">
        <v>1.6999999999999999E-3</v>
      </c>
      <c r="Y2680">
        <v>1.6999999999999999E-3</v>
      </c>
    </row>
    <row r="2681" spans="1:25" hidden="1">
      <c r="A2681" t="s">
        <v>18811</v>
      </c>
      <c r="B2681" t="s">
        <v>1746</v>
      </c>
      <c r="C2681" t="s">
        <v>1614</v>
      </c>
      <c r="D2681" t="s">
        <v>1722</v>
      </c>
      <c r="E2681" t="s">
        <v>954</v>
      </c>
      <c r="F2681" t="s">
        <v>598</v>
      </c>
      <c r="G2681" t="s">
        <v>478</v>
      </c>
      <c r="H2681" t="s">
        <v>600</v>
      </c>
      <c r="I2681" t="s">
        <v>601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hidden="1">
      <c r="A2682" t="s">
        <v>18811</v>
      </c>
      <c r="B2682" t="s">
        <v>1747</v>
      </c>
      <c r="C2682" t="s">
        <v>1614</v>
      </c>
      <c r="D2682" t="s">
        <v>1722</v>
      </c>
      <c r="E2682" t="s">
        <v>1748</v>
      </c>
      <c r="F2682" t="s">
        <v>598</v>
      </c>
      <c r="G2682" t="s">
        <v>478</v>
      </c>
      <c r="H2682" t="s">
        <v>600</v>
      </c>
      <c r="I2682" t="s">
        <v>601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hidden="1">
      <c r="A2683" t="s">
        <v>18811</v>
      </c>
      <c r="B2683" t="s">
        <v>1749</v>
      </c>
      <c r="C2683" t="s">
        <v>1614</v>
      </c>
      <c r="D2683" t="s">
        <v>1722</v>
      </c>
      <c r="E2683" t="s">
        <v>1750</v>
      </c>
      <c r="F2683" t="s">
        <v>598</v>
      </c>
      <c r="G2683" t="s">
        <v>478</v>
      </c>
      <c r="H2683" t="s">
        <v>600</v>
      </c>
      <c r="I2683" t="s">
        <v>601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hidden="1">
      <c r="A2684" t="s">
        <v>18811</v>
      </c>
      <c r="B2684" t="s">
        <v>1751</v>
      </c>
      <c r="C2684" t="s">
        <v>1614</v>
      </c>
      <c r="D2684" t="s">
        <v>1722</v>
      </c>
      <c r="E2684" t="s">
        <v>1022</v>
      </c>
      <c r="F2684" t="s">
        <v>598</v>
      </c>
      <c r="G2684" t="s">
        <v>478</v>
      </c>
      <c r="H2684" t="s">
        <v>600</v>
      </c>
      <c r="I2684" t="s">
        <v>601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hidden="1">
      <c r="A2685" t="s">
        <v>18811</v>
      </c>
      <c r="B2685" t="s">
        <v>1752</v>
      </c>
      <c r="C2685" t="s">
        <v>1614</v>
      </c>
      <c r="D2685" t="s">
        <v>1722</v>
      </c>
      <c r="E2685" t="s">
        <v>1198</v>
      </c>
      <c r="F2685" t="s">
        <v>598</v>
      </c>
      <c r="G2685" t="s">
        <v>478</v>
      </c>
      <c r="H2685" t="s">
        <v>600</v>
      </c>
      <c r="I2685" t="s">
        <v>601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hidden="1">
      <c r="A2686" t="s">
        <v>18811</v>
      </c>
      <c r="B2686" t="s">
        <v>1753</v>
      </c>
      <c r="C2686" t="s">
        <v>1614</v>
      </c>
      <c r="D2686" t="s">
        <v>1722</v>
      </c>
      <c r="E2686" t="s">
        <v>1754</v>
      </c>
      <c r="F2686" t="s">
        <v>598</v>
      </c>
      <c r="G2686" t="s">
        <v>478</v>
      </c>
      <c r="H2686" t="s">
        <v>600</v>
      </c>
      <c r="I2686" t="s">
        <v>601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hidden="1">
      <c r="A2687" t="s">
        <v>18811</v>
      </c>
      <c r="B2687" t="s">
        <v>1757</v>
      </c>
      <c r="C2687" t="s">
        <v>1614</v>
      </c>
      <c r="D2687" t="s">
        <v>1722</v>
      </c>
      <c r="E2687" t="s">
        <v>1393</v>
      </c>
      <c r="F2687" t="s">
        <v>598</v>
      </c>
      <c r="G2687" t="s">
        <v>478</v>
      </c>
      <c r="H2687" t="s">
        <v>600</v>
      </c>
      <c r="I2687" t="s">
        <v>601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hidden="1">
      <c r="A2688" t="s">
        <v>18811</v>
      </c>
      <c r="B2688" t="s">
        <v>1760</v>
      </c>
      <c r="C2688" t="s">
        <v>1614</v>
      </c>
      <c r="D2688" t="s">
        <v>1722</v>
      </c>
      <c r="E2688" t="s">
        <v>1761</v>
      </c>
      <c r="F2688" t="s">
        <v>598</v>
      </c>
      <c r="G2688" t="s">
        <v>478</v>
      </c>
      <c r="H2688" t="s">
        <v>600</v>
      </c>
      <c r="I2688" t="s">
        <v>601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hidden="1">
      <c r="A2689" t="s">
        <v>18811</v>
      </c>
      <c r="B2689" t="s">
        <v>1762</v>
      </c>
      <c r="C2689" t="s">
        <v>1614</v>
      </c>
      <c r="D2689" t="s">
        <v>1722</v>
      </c>
      <c r="E2689" t="s">
        <v>1763</v>
      </c>
      <c r="F2689" t="s">
        <v>598</v>
      </c>
      <c r="G2689" t="s">
        <v>478</v>
      </c>
      <c r="H2689" t="s">
        <v>600</v>
      </c>
      <c r="I2689" t="s">
        <v>601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hidden="1">
      <c r="A2690" t="s">
        <v>18811</v>
      </c>
      <c r="B2690" t="s">
        <v>1764</v>
      </c>
      <c r="C2690" t="s">
        <v>1614</v>
      </c>
      <c r="D2690" t="s">
        <v>1722</v>
      </c>
      <c r="E2690" t="s">
        <v>1765</v>
      </c>
      <c r="F2690" t="s">
        <v>598</v>
      </c>
      <c r="G2690" t="s">
        <v>478</v>
      </c>
      <c r="H2690" t="s">
        <v>600</v>
      </c>
      <c r="I2690" t="s">
        <v>601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hidden="1">
      <c r="A2691" t="s">
        <v>18811</v>
      </c>
      <c r="B2691" t="s">
        <v>1766</v>
      </c>
      <c r="C2691" t="s">
        <v>1614</v>
      </c>
      <c r="D2691" t="s">
        <v>1722</v>
      </c>
      <c r="E2691" t="s">
        <v>1378</v>
      </c>
      <c r="F2691" t="s">
        <v>598</v>
      </c>
      <c r="G2691" t="s">
        <v>478</v>
      </c>
      <c r="H2691" t="s">
        <v>600</v>
      </c>
      <c r="I2691" t="s">
        <v>601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hidden="1">
      <c r="A2692" t="s">
        <v>18811</v>
      </c>
      <c r="B2692" t="s">
        <v>1767</v>
      </c>
      <c r="C2692" t="s">
        <v>1614</v>
      </c>
      <c r="D2692" t="s">
        <v>1768</v>
      </c>
      <c r="E2692" t="s">
        <v>973</v>
      </c>
      <c r="F2692" t="s">
        <v>598</v>
      </c>
      <c r="G2692" t="s">
        <v>478</v>
      </c>
      <c r="H2692" t="s">
        <v>600</v>
      </c>
      <c r="I2692" t="s">
        <v>601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hidden="1">
      <c r="A2693" t="s">
        <v>18811</v>
      </c>
      <c r="B2693" t="s">
        <v>1769</v>
      </c>
      <c r="C2693" t="s">
        <v>1614</v>
      </c>
      <c r="D2693" t="s">
        <v>1768</v>
      </c>
      <c r="E2693" t="s">
        <v>1770</v>
      </c>
      <c r="F2693" t="s">
        <v>598</v>
      </c>
      <c r="G2693" t="s">
        <v>478</v>
      </c>
      <c r="H2693" t="s">
        <v>600</v>
      </c>
      <c r="I2693" t="s">
        <v>601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hidden="1">
      <c r="A2694" t="s">
        <v>18811</v>
      </c>
      <c r="B2694" t="s">
        <v>1771</v>
      </c>
      <c r="C2694" t="s">
        <v>1614</v>
      </c>
      <c r="D2694" t="s">
        <v>1768</v>
      </c>
      <c r="E2694" t="s">
        <v>1772</v>
      </c>
      <c r="F2694" t="s">
        <v>598</v>
      </c>
      <c r="G2694" t="s">
        <v>478</v>
      </c>
      <c r="H2694" t="s">
        <v>600</v>
      </c>
      <c r="I2694" t="s">
        <v>601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 hidden="1">
      <c r="A2695" t="s">
        <v>18811</v>
      </c>
      <c r="B2695" t="s">
        <v>1775</v>
      </c>
      <c r="C2695" t="s">
        <v>1614</v>
      </c>
      <c r="D2695" t="s">
        <v>1776</v>
      </c>
      <c r="E2695" t="s">
        <v>1777</v>
      </c>
      <c r="F2695" t="s">
        <v>598</v>
      </c>
      <c r="G2695" t="s">
        <v>478</v>
      </c>
      <c r="H2695" t="s">
        <v>600</v>
      </c>
      <c r="I2695" t="s">
        <v>601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hidden="1">
      <c r="A2696" t="s">
        <v>18811</v>
      </c>
      <c r="B2696" t="s">
        <v>1778</v>
      </c>
      <c r="C2696" t="s">
        <v>1614</v>
      </c>
      <c r="D2696" t="s">
        <v>1776</v>
      </c>
      <c r="E2696" t="s">
        <v>1777</v>
      </c>
      <c r="F2696" t="s">
        <v>1779</v>
      </c>
      <c r="G2696" t="s">
        <v>478</v>
      </c>
      <c r="H2696" t="s">
        <v>600</v>
      </c>
      <c r="I2696" t="s">
        <v>601</v>
      </c>
      <c r="J2696">
        <v>0.26669999999999999</v>
      </c>
      <c r="K2696">
        <v>0.27039999999999997</v>
      </c>
      <c r="L2696">
        <v>0.27350000000000002</v>
      </c>
      <c r="M2696">
        <v>0.27689999999999998</v>
      </c>
      <c r="N2696">
        <v>0.28320000000000001</v>
      </c>
      <c r="O2696">
        <v>0.28939999999999999</v>
      </c>
      <c r="P2696">
        <v>0.29570000000000002</v>
      </c>
      <c r="Q2696">
        <v>0.30230000000000001</v>
      </c>
      <c r="R2696">
        <v>0.30930000000000002</v>
      </c>
      <c r="S2696">
        <v>0.31619999999999998</v>
      </c>
      <c r="T2696">
        <v>0.32350000000000001</v>
      </c>
      <c r="U2696">
        <v>0.33110000000000001</v>
      </c>
      <c r="V2696">
        <v>0.33989999999999998</v>
      </c>
      <c r="W2696">
        <v>0.34849999999999998</v>
      </c>
      <c r="X2696">
        <v>0.35680000000000001</v>
      </c>
      <c r="Y2696">
        <v>0.36520000000000002</v>
      </c>
    </row>
    <row r="2697" spans="1:25" hidden="1">
      <c r="A2697" t="s">
        <v>18811</v>
      </c>
      <c r="B2697" t="s">
        <v>1780</v>
      </c>
      <c r="C2697" t="s">
        <v>1614</v>
      </c>
      <c r="D2697" t="s">
        <v>1781</v>
      </c>
      <c r="E2697" t="s">
        <v>1716</v>
      </c>
      <c r="F2697" t="s">
        <v>598</v>
      </c>
      <c r="G2697" t="s">
        <v>478</v>
      </c>
      <c r="H2697" t="s">
        <v>600</v>
      </c>
      <c r="I2697" t="s">
        <v>601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hidden="1">
      <c r="A2698" t="s">
        <v>18811</v>
      </c>
      <c r="B2698" t="s">
        <v>1784</v>
      </c>
      <c r="C2698" t="s">
        <v>1614</v>
      </c>
      <c r="D2698" t="s">
        <v>1781</v>
      </c>
      <c r="E2698" t="s">
        <v>1785</v>
      </c>
      <c r="F2698" t="s">
        <v>598</v>
      </c>
      <c r="G2698" t="s">
        <v>478</v>
      </c>
      <c r="H2698" t="s">
        <v>600</v>
      </c>
      <c r="I2698" t="s">
        <v>601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hidden="1">
      <c r="A2699" t="s">
        <v>18811</v>
      </c>
      <c r="B2699" t="s">
        <v>1786</v>
      </c>
      <c r="C2699" t="s">
        <v>1614</v>
      </c>
      <c r="D2699" t="s">
        <v>1781</v>
      </c>
      <c r="E2699" t="s">
        <v>1787</v>
      </c>
      <c r="F2699" t="s">
        <v>598</v>
      </c>
      <c r="G2699" t="s">
        <v>478</v>
      </c>
      <c r="H2699" t="s">
        <v>600</v>
      </c>
      <c r="I2699" t="s">
        <v>601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hidden="1">
      <c r="A2700" t="s">
        <v>18811</v>
      </c>
      <c r="B2700" t="s">
        <v>1788</v>
      </c>
      <c r="C2700" t="s">
        <v>1614</v>
      </c>
      <c r="D2700" t="s">
        <v>1781</v>
      </c>
      <c r="E2700" t="s">
        <v>1789</v>
      </c>
      <c r="F2700" t="s">
        <v>598</v>
      </c>
      <c r="G2700" t="s">
        <v>478</v>
      </c>
      <c r="H2700" t="s">
        <v>600</v>
      </c>
      <c r="I2700" t="s">
        <v>601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hidden="1">
      <c r="A2701" t="s">
        <v>18811</v>
      </c>
      <c r="B2701" t="s">
        <v>1792</v>
      </c>
      <c r="C2701" t="s">
        <v>1614</v>
      </c>
      <c r="D2701" t="s">
        <v>1781</v>
      </c>
      <c r="E2701" t="s">
        <v>1793</v>
      </c>
      <c r="F2701" t="s">
        <v>598</v>
      </c>
      <c r="G2701" t="s">
        <v>478</v>
      </c>
      <c r="H2701" t="s">
        <v>600</v>
      </c>
      <c r="I2701" t="s">
        <v>601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hidden="1">
      <c r="A2702" t="s">
        <v>18811</v>
      </c>
      <c r="B2702" t="s">
        <v>1794</v>
      </c>
      <c r="C2702" t="s">
        <v>1614</v>
      </c>
      <c r="D2702" t="s">
        <v>1781</v>
      </c>
      <c r="E2702" t="s">
        <v>1795</v>
      </c>
      <c r="F2702" t="s">
        <v>598</v>
      </c>
      <c r="G2702" t="s">
        <v>478</v>
      </c>
      <c r="H2702" t="s">
        <v>600</v>
      </c>
      <c r="I2702" t="s">
        <v>601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hidden="1">
      <c r="A2703" t="s">
        <v>18811</v>
      </c>
      <c r="B2703" t="s">
        <v>1796</v>
      </c>
      <c r="C2703" t="s">
        <v>1614</v>
      </c>
      <c r="D2703" t="s">
        <v>1781</v>
      </c>
      <c r="E2703" t="s">
        <v>1797</v>
      </c>
      <c r="F2703" t="s">
        <v>598</v>
      </c>
      <c r="G2703" t="s">
        <v>478</v>
      </c>
      <c r="H2703" t="s">
        <v>600</v>
      </c>
      <c r="I2703" t="s">
        <v>601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hidden="1">
      <c r="A2704" t="s">
        <v>18811</v>
      </c>
      <c r="B2704" t="s">
        <v>1800</v>
      </c>
      <c r="C2704" t="s">
        <v>1614</v>
      </c>
      <c r="D2704" t="s">
        <v>1781</v>
      </c>
      <c r="E2704" t="s">
        <v>1801</v>
      </c>
      <c r="F2704" t="s">
        <v>598</v>
      </c>
      <c r="G2704" t="s">
        <v>478</v>
      </c>
      <c r="H2704" t="s">
        <v>600</v>
      </c>
      <c r="I2704" t="s">
        <v>601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hidden="1">
      <c r="A2705" t="s">
        <v>18811</v>
      </c>
      <c r="B2705" t="s">
        <v>1802</v>
      </c>
      <c r="C2705" t="s">
        <v>1614</v>
      </c>
      <c r="D2705" t="s">
        <v>1781</v>
      </c>
      <c r="E2705" t="s">
        <v>1803</v>
      </c>
      <c r="F2705" t="s">
        <v>598</v>
      </c>
      <c r="G2705" t="s">
        <v>478</v>
      </c>
      <c r="H2705" t="s">
        <v>600</v>
      </c>
      <c r="I2705" t="s">
        <v>601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25" hidden="1">
      <c r="A2706" t="s">
        <v>18811</v>
      </c>
      <c r="B2706" t="s">
        <v>1804</v>
      </c>
      <c r="C2706" t="s">
        <v>1614</v>
      </c>
      <c r="D2706" t="s">
        <v>1781</v>
      </c>
      <c r="E2706" t="s">
        <v>1805</v>
      </c>
      <c r="F2706" t="s">
        <v>598</v>
      </c>
      <c r="G2706" t="s">
        <v>478</v>
      </c>
      <c r="H2706" t="s">
        <v>600</v>
      </c>
      <c r="I2706" t="s">
        <v>601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hidden="1">
      <c r="A2707" t="s">
        <v>18811</v>
      </c>
      <c r="B2707" t="s">
        <v>1808</v>
      </c>
      <c r="C2707" t="s">
        <v>1614</v>
      </c>
      <c r="D2707" t="s">
        <v>1781</v>
      </c>
      <c r="E2707" t="s">
        <v>1809</v>
      </c>
      <c r="F2707" t="s">
        <v>598</v>
      </c>
      <c r="G2707" t="s">
        <v>478</v>
      </c>
      <c r="H2707" t="s">
        <v>600</v>
      </c>
      <c r="I2707" t="s">
        <v>601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hidden="1">
      <c r="A2708" t="s">
        <v>18811</v>
      </c>
      <c r="B2708" t="s">
        <v>1814</v>
      </c>
      <c r="C2708" t="s">
        <v>1614</v>
      </c>
      <c r="D2708" t="s">
        <v>1812</v>
      </c>
      <c r="E2708" t="s">
        <v>1081</v>
      </c>
      <c r="F2708" t="s">
        <v>598</v>
      </c>
      <c r="G2708" t="s">
        <v>478</v>
      </c>
      <c r="H2708" t="s">
        <v>600</v>
      </c>
      <c r="I2708" t="s">
        <v>601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hidden="1">
      <c r="A2709" t="s">
        <v>18811</v>
      </c>
      <c r="B2709" t="s">
        <v>1816</v>
      </c>
      <c r="C2709" t="s">
        <v>1614</v>
      </c>
      <c r="D2709" t="s">
        <v>1817</v>
      </c>
      <c r="E2709" t="s">
        <v>1765</v>
      </c>
      <c r="F2709" t="s">
        <v>598</v>
      </c>
      <c r="G2709" t="s">
        <v>478</v>
      </c>
      <c r="H2709" t="s">
        <v>600</v>
      </c>
      <c r="I2709" t="s">
        <v>601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25" hidden="1">
      <c r="A2710" t="s">
        <v>18811</v>
      </c>
      <c r="B2710" t="s">
        <v>1819</v>
      </c>
      <c r="C2710" t="s">
        <v>1614</v>
      </c>
      <c r="D2710" t="s">
        <v>648</v>
      </c>
      <c r="E2710" t="s">
        <v>1340</v>
      </c>
      <c r="F2710" t="s">
        <v>598</v>
      </c>
      <c r="G2710" t="s">
        <v>478</v>
      </c>
      <c r="H2710" t="s">
        <v>600</v>
      </c>
      <c r="I2710" t="s">
        <v>601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hidden="1">
      <c r="A2711" t="s">
        <v>18811</v>
      </c>
      <c r="B2711" t="s">
        <v>1820</v>
      </c>
      <c r="C2711" t="s">
        <v>1614</v>
      </c>
      <c r="D2711" t="s">
        <v>648</v>
      </c>
      <c r="E2711" t="s">
        <v>1731</v>
      </c>
      <c r="F2711" t="s">
        <v>598</v>
      </c>
      <c r="G2711" t="s">
        <v>478</v>
      </c>
      <c r="H2711" t="s">
        <v>600</v>
      </c>
      <c r="I2711" t="s">
        <v>601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hidden="1">
      <c r="A2712" t="s">
        <v>18811</v>
      </c>
      <c r="B2712" t="s">
        <v>1825</v>
      </c>
      <c r="C2712" t="s">
        <v>1614</v>
      </c>
      <c r="D2712" t="s">
        <v>648</v>
      </c>
      <c r="E2712" t="s">
        <v>954</v>
      </c>
      <c r="F2712" t="s">
        <v>598</v>
      </c>
      <c r="G2712" t="s">
        <v>478</v>
      </c>
      <c r="H2712" t="s">
        <v>600</v>
      </c>
      <c r="I2712" t="s">
        <v>601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hidden="1">
      <c r="A2713" t="s">
        <v>18811</v>
      </c>
      <c r="B2713" t="s">
        <v>1830</v>
      </c>
      <c r="C2713" t="s">
        <v>1614</v>
      </c>
      <c r="D2713" t="s">
        <v>648</v>
      </c>
      <c r="E2713" t="s">
        <v>1831</v>
      </c>
      <c r="F2713" t="s">
        <v>598</v>
      </c>
      <c r="G2713" t="s">
        <v>478</v>
      </c>
      <c r="H2713" t="s">
        <v>600</v>
      </c>
      <c r="I2713" t="s">
        <v>601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25" hidden="1">
      <c r="A2714" t="s">
        <v>18811</v>
      </c>
      <c r="B2714" t="s">
        <v>1834</v>
      </c>
      <c r="C2714" t="s">
        <v>1614</v>
      </c>
      <c r="D2714" t="s">
        <v>648</v>
      </c>
      <c r="E2714" t="s">
        <v>1835</v>
      </c>
      <c r="F2714" t="s">
        <v>598</v>
      </c>
      <c r="G2714" t="s">
        <v>478</v>
      </c>
      <c r="H2714" t="s">
        <v>600</v>
      </c>
      <c r="I2714" t="s">
        <v>601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hidden="1">
      <c r="A2715" t="s">
        <v>18811</v>
      </c>
      <c r="B2715" t="s">
        <v>1838</v>
      </c>
      <c r="C2715" t="s">
        <v>1614</v>
      </c>
      <c r="D2715" t="s">
        <v>648</v>
      </c>
      <c r="E2715" t="s">
        <v>1718</v>
      </c>
      <c r="F2715" t="s">
        <v>598</v>
      </c>
      <c r="G2715" t="s">
        <v>478</v>
      </c>
      <c r="H2715" t="s">
        <v>600</v>
      </c>
      <c r="I2715" t="s">
        <v>601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hidden="1">
      <c r="A2716" t="s">
        <v>18811</v>
      </c>
      <c r="B2716" t="s">
        <v>1839</v>
      </c>
      <c r="C2716" t="s">
        <v>1614</v>
      </c>
      <c r="D2716" t="s">
        <v>648</v>
      </c>
      <c r="E2716" t="s">
        <v>1765</v>
      </c>
      <c r="F2716" t="s">
        <v>598</v>
      </c>
      <c r="G2716" t="s">
        <v>478</v>
      </c>
      <c r="H2716" t="s">
        <v>600</v>
      </c>
      <c r="I2716" t="s">
        <v>601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hidden="1">
      <c r="A2717" t="s">
        <v>18811</v>
      </c>
      <c r="B2717" t="s">
        <v>1842</v>
      </c>
      <c r="C2717" t="s">
        <v>1614</v>
      </c>
      <c r="D2717" t="s">
        <v>648</v>
      </c>
      <c r="E2717" t="s">
        <v>1239</v>
      </c>
      <c r="F2717" t="s">
        <v>598</v>
      </c>
      <c r="G2717" t="s">
        <v>478</v>
      </c>
      <c r="H2717" t="s">
        <v>600</v>
      </c>
      <c r="I2717" t="s">
        <v>601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hidden="1">
      <c r="A2718" t="s">
        <v>18811</v>
      </c>
      <c r="B2718" t="s">
        <v>1847</v>
      </c>
      <c r="C2718" t="s">
        <v>1845</v>
      </c>
      <c r="D2718" t="s">
        <v>1324</v>
      </c>
      <c r="E2718" t="s">
        <v>1340</v>
      </c>
      <c r="F2718" t="s">
        <v>598</v>
      </c>
      <c r="G2718" t="s">
        <v>478</v>
      </c>
      <c r="H2718" t="s">
        <v>600</v>
      </c>
      <c r="I2718" t="s">
        <v>601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hidden="1">
      <c r="A2719" t="s">
        <v>18811</v>
      </c>
      <c r="B2719" t="s">
        <v>1850</v>
      </c>
      <c r="C2719" t="s">
        <v>1845</v>
      </c>
      <c r="D2719" t="s">
        <v>1324</v>
      </c>
      <c r="E2719" t="s">
        <v>1851</v>
      </c>
      <c r="F2719" t="s">
        <v>598</v>
      </c>
      <c r="G2719" t="s">
        <v>478</v>
      </c>
      <c r="H2719" t="s">
        <v>600</v>
      </c>
      <c r="I2719" t="s">
        <v>601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hidden="1">
      <c r="A2720" t="s">
        <v>18811</v>
      </c>
      <c r="B2720" t="s">
        <v>1852</v>
      </c>
      <c r="C2720" t="s">
        <v>1845</v>
      </c>
      <c r="D2720" t="s">
        <v>1332</v>
      </c>
      <c r="E2720" t="s">
        <v>1340</v>
      </c>
      <c r="F2720" t="s">
        <v>598</v>
      </c>
      <c r="G2720" t="s">
        <v>478</v>
      </c>
      <c r="H2720" t="s">
        <v>600</v>
      </c>
      <c r="I2720" t="s">
        <v>601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hidden="1">
      <c r="A2721" t="s">
        <v>18811</v>
      </c>
      <c r="B2721" t="s">
        <v>1853</v>
      </c>
      <c r="C2721" t="s">
        <v>1845</v>
      </c>
      <c r="D2721" t="s">
        <v>1332</v>
      </c>
      <c r="E2721" t="s">
        <v>1733</v>
      </c>
      <c r="F2721" t="s">
        <v>598</v>
      </c>
      <c r="G2721" t="s">
        <v>478</v>
      </c>
      <c r="H2721" t="s">
        <v>600</v>
      </c>
      <c r="I2721" t="s">
        <v>601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hidden="1">
      <c r="A2722" t="s">
        <v>18811</v>
      </c>
      <c r="B2722" t="s">
        <v>1855</v>
      </c>
      <c r="C2722" t="s">
        <v>1845</v>
      </c>
      <c r="D2722" t="s">
        <v>1350</v>
      </c>
      <c r="E2722" t="s">
        <v>1684</v>
      </c>
      <c r="F2722" t="s">
        <v>598</v>
      </c>
      <c r="G2722" t="s">
        <v>478</v>
      </c>
      <c r="H2722" t="s">
        <v>600</v>
      </c>
      <c r="I2722" t="s">
        <v>601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hidden="1">
      <c r="A2723" t="s">
        <v>18811</v>
      </c>
      <c r="B2723" t="s">
        <v>1858</v>
      </c>
      <c r="C2723" t="s">
        <v>1845</v>
      </c>
      <c r="D2723" t="s">
        <v>1859</v>
      </c>
      <c r="E2723" t="s">
        <v>1860</v>
      </c>
      <c r="F2723" t="s">
        <v>598</v>
      </c>
      <c r="G2723" t="s">
        <v>478</v>
      </c>
      <c r="H2723" t="s">
        <v>600</v>
      </c>
      <c r="I2723" t="s">
        <v>601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hidden="1">
      <c r="A2724" t="s">
        <v>18811</v>
      </c>
      <c r="B2724" t="s">
        <v>1861</v>
      </c>
      <c r="C2724" t="s">
        <v>1845</v>
      </c>
      <c r="D2724" t="s">
        <v>1862</v>
      </c>
      <c r="E2724" t="s">
        <v>1860</v>
      </c>
      <c r="F2724" t="s">
        <v>598</v>
      </c>
      <c r="G2724" t="s">
        <v>478</v>
      </c>
      <c r="H2724" t="s">
        <v>600</v>
      </c>
      <c r="I2724" t="s">
        <v>601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hidden="1">
      <c r="A2725" t="s">
        <v>18811</v>
      </c>
      <c r="B2725" t="s">
        <v>1863</v>
      </c>
      <c r="C2725" t="s">
        <v>1845</v>
      </c>
      <c r="D2725" t="s">
        <v>1864</v>
      </c>
      <c r="E2725" t="s">
        <v>1865</v>
      </c>
      <c r="F2725" t="s">
        <v>598</v>
      </c>
      <c r="G2725" t="s">
        <v>478</v>
      </c>
      <c r="H2725" t="s">
        <v>600</v>
      </c>
      <c r="I2725" t="s">
        <v>601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hidden="1">
      <c r="A2726" t="s">
        <v>18811</v>
      </c>
      <c r="B2726" t="s">
        <v>1866</v>
      </c>
      <c r="C2726" t="s">
        <v>1845</v>
      </c>
      <c r="D2726" t="s">
        <v>1864</v>
      </c>
      <c r="E2726" t="s">
        <v>1867</v>
      </c>
      <c r="F2726" t="s">
        <v>598</v>
      </c>
      <c r="G2726" t="s">
        <v>478</v>
      </c>
      <c r="H2726" t="s">
        <v>600</v>
      </c>
      <c r="I2726" t="s">
        <v>601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hidden="1">
      <c r="A2727" t="s">
        <v>18811</v>
      </c>
      <c r="B2727" t="s">
        <v>1868</v>
      </c>
      <c r="C2727" t="s">
        <v>1845</v>
      </c>
      <c r="D2727" t="s">
        <v>1864</v>
      </c>
      <c r="E2727" t="s">
        <v>1869</v>
      </c>
      <c r="F2727" t="s">
        <v>598</v>
      </c>
      <c r="G2727" t="s">
        <v>478</v>
      </c>
      <c r="H2727" t="s">
        <v>600</v>
      </c>
      <c r="I2727" t="s">
        <v>601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hidden="1">
      <c r="A2728" t="s">
        <v>18811</v>
      </c>
      <c r="B2728" t="s">
        <v>1870</v>
      </c>
      <c r="C2728" t="s">
        <v>1845</v>
      </c>
      <c r="D2728" t="s">
        <v>1871</v>
      </c>
      <c r="E2728" t="s">
        <v>1872</v>
      </c>
      <c r="F2728" t="s">
        <v>598</v>
      </c>
      <c r="G2728" t="s">
        <v>478</v>
      </c>
      <c r="H2728" t="s">
        <v>600</v>
      </c>
      <c r="I2728" t="s">
        <v>601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hidden="1">
      <c r="A2729" t="s">
        <v>18811</v>
      </c>
      <c r="B2729" t="s">
        <v>1875</v>
      </c>
      <c r="C2729" t="s">
        <v>1845</v>
      </c>
      <c r="D2729" t="s">
        <v>1876</v>
      </c>
      <c r="E2729" t="s">
        <v>1872</v>
      </c>
      <c r="F2729" t="s">
        <v>598</v>
      </c>
      <c r="G2729" t="s">
        <v>478</v>
      </c>
      <c r="H2729" t="s">
        <v>600</v>
      </c>
      <c r="I2729" t="s">
        <v>601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hidden="1">
      <c r="A2730" t="s">
        <v>18811</v>
      </c>
      <c r="B2730" t="s">
        <v>1877</v>
      </c>
      <c r="C2730" t="s">
        <v>1845</v>
      </c>
      <c r="D2730" t="s">
        <v>1878</v>
      </c>
      <c r="E2730" t="s">
        <v>1872</v>
      </c>
      <c r="F2730" t="s">
        <v>598</v>
      </c>
      <c r="G2730" t="s">
        <v>478</v>
      </c>
      <c r="H2730" t="s">
        <v>600</v>
      </c>
      <c r="I2730" t="s">
        <v>601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 hidden="1">
      <c r="A2731" t="s">
        <v>18811</v>
      </c>
      <c r="B2731" t="s">
        <v>1879</v>
      </c>
      <c r="C2731" t="s">
        <v>1845</v>
      </c>
      <c r="D2731" t="s">
        <v>1878</v>
      </c>
      <c r="E2731" t="s">
        <v>1880</v>
      </c>
      <c r="F2731" t="s">
        <v>598</v>
      </c>
      <c r="G2731" t="s">
        <v>478</v>
      </c>
      <c r="H2731" t="s">
        <v>600</v>
      </c>
      <c r="I2731" t="s">
        <v>601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hidden="1">
      <c r="A2732" t="s">
        <v>18811</v>
      </c>
      <c r="B2732" t="s">
        <v>1881</v>
      </c>
      <c r="C2732" t="s">
        <v>1845</v>
      </c>
      <c r="D2732" t="s">
        <v>1878</v>
      </c>
      <c r="E2732" t="s">
        <v>1882</v>
      </c>
      <c r="F2732" t="s">
        <v>598</v>
      </c>
      <c r="G2732" t="s">
        <v>478</v>
      </c>
      <c r="H2732" t="s">
        <v>600</v>
      </c>
      <c r="I2732" t="s">
        <v>601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hidden="1">
      <c r="A2733" t="s">
        <v>18811</v>
      </c>
      <c r="B2733" t="s">
        <v>1883</v>
      </c>
      <c r="C2733" t="s">
        <v>1845</v>
      </c>
      <c r="D2733" t="s">
        <v>1878</v>
      </c>
      <c r="E2733" t="s">
        <v>1884</v>
      </c>
      <c r="F2733" t="s">
        <v>598</v>
      </c>
      <c r="G2733" t="s">
        <v>478</v>
      </c>
      <c r="H2733" t="s">
        <v>600</v>
      </c>
      <c r="I2733" t="s">
        <v>601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hidden="1">
      <c r="A2734" t="s">
        <v>18811</v>
      </c>
      <c r="B2734" t="s">
        <v>1885</v>
      </c>
      <c r="C2734" t="s">
        <v>1845</v>
      </c>
      <c r="D2734" t="s">
        <v>1878</v>
      </c>
      <c r="E2734" t="s">
        <v>1886</v>
      </c>
      <c r="F2734" t="s">
        <v>598</v>
      </c>
      <c r="G2734" t="s">
        <v>478</v>
      </c>
      <c r="H2734" t="s">
        <v>600</v>
      </c>
      <c r="I2734" t="s">
        <v>601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hidden="1">
      <c r="A2735" t="s">
        <v>18811</v>
      </c>
      <c r="B2735" t="s">
        <v>1887</v>
      </c>
      <c r="C2735" t="s">
        <v>1845</v>
      </c>
      <c r="D2735" t="s">
        <v>1878</v>
      </c>
      <c r="E2735" t="s">
        <v>1888</v>
      </c>
      <c r="F2735" t="s">
        <v>598</v>
      </c>
      <c r="G2735" t="s">
        <v>478</v>
      </c>
      <c r="H2735" t="s">
        <v>600</v>
      </c>
      <c r="I2735" t="s">
        <v>601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hidden="1">
      <c r="A2736" t="s">
        <v>18811</v>
      </c>
      <c r="B2736" t="s">
        <v>1889</v>
      </c>
      <c r="C2736" t="s">
        <v>1845</v>
      </c>
      <c r="D2736" t="s">
        <v>1878</v>
      </c>
      <c r="E2736" t="s">
        <v>1890</v>
      </c>
      <c r="F2736" t="s">
        <v>598</v>
      </c>
      <c r="G2736" t="s">
        <v>478</v>
      </c>
      <c r="H2736" t="s">
        <v>600</v>
      </c>
      <c r="I2736" t="s">
        <v>601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hidden="1">
      <c r="A2737" t="s">
        <v>18811</v>
      </c>
      <c r="B2737" t="s">
        <v>1891</v>
      </c>
      <c r="C2737" t="s">
        <v>1845</v>
      </c>
      <c r="D2737" t="s">
        <v>1878</v>
      </c>
      <c r="E2737" t="s">
        <v>1892</v>
      </c>
      <c r="F2737" t="s">
        <v>598</v>
      </c>
      <c r="G2737" t="s">
        <v>478</v>
      </c>
      <c r="H2737" t="s">
        <v>600</v>
      </c>
      <c r="I2737" t="s">
        <v>601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hidden="1">
      <c r="A2738" t="s">
        <v>18811</v>
      </c>
      <c r="B2738" t="s">
        <v>1893</v>
      </c>
      <c r="C2738" t="s">
        <v>1845</v>
      </c>
      <c r="D2738" t="s">
        <v>1878</v>
      </c>
      <c r="E2738" t="s">
        <v>1894</v>
      </c>
      <c r="F2738" t="s">
        <v>598</v>
      </c>
      <c r="G2738" t="s">
        <v>478</v>
      </c>
      <c r="H2738" t="s">
        <v>600</v>
      </c>
      <c r="I2738" t="s">
        <v>601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</row>
    <row r="2739" spans="1:25" hidden="1">
      <c r="A2739" t="s">
        <v>18811</v>
      </c>
      <c r="B2739" t="s">
        <v>1895</v>
      </c>
      <c r="C2739" t="s">
        <v>1845</v>
      </c>
      <c r="D2739" t="s">
        <v>1878</v>
      </c>
      <c r="E2739" t="s">
        <v>1896</v>
      </c>
      <c r="F2739" t="s">
        <v>598</v>
      </c>
      <c r="G2739" t="s">
        <v>478</v>
      </c>
      <c r="H2739" t="s">
        <v>600</v>
      </c>
      <c r="I2739" t="s">
        <v>601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hidden="1">
      <c r="A2740" t="s">
        <v>18811</v>
      </c>
      <c r="B2740" t="s">
        <v>1897</v>
      </c>
      <c r="C2740" t="s">
        <v>1845</v>
      </c>
      <c r="D2740" t="s">
        <v>1878</v>
      </c>
      <c r="E2740" t="s">
        <v>1898</v>
      </c>
      <c r="F2740" t="s">
        <v>598</v>
      </c>
      <c r="G2740" t="s">
        <v>478</v>
      </c>
      <c r="H2740" t="s">
        <v>600</v>
      </c>
      <c r="I2740" t="s">
        <v>601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hidden="1">
      <c r="A2741" t="s">
        <v>18811</v>
      </c>
      <c r="B2741" t="s">
        <v>1899</v>
      </c>
      <c r="C2741" t="s">
        <v>1845</v>
      </c>
      <c r="D2741" t="s">
        <v>1878</v>
      </c>
      <c r="E2741" t="s">
        <v>1900</v>
      </c>
      <c r="F2741" t="s">
        <v>598</v>
      </c>
      <c r="G2741" t="s">
        <v>478</v>
      </c>
      <c r="H2741" t="s">
        <v>600</v>
      </c>
      <c r="I2741" t="s">
        <v>601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</row>
    <row r="2742" spans="1:25" hidden="1">
      <c r="A2742" t="s">
        <v>18811</v>
      </c>
      <c r="B2742" t="s">
        <v>1901</v>
      </c>
      <c r="C2742" t="s">
        <v>1845</v>
      </c>
      <c r="D2742" t="s">
        <v>1878</v>
      </c>
      <c r="E2742" t="s">
        <v>1902</v>
      </c>
      <c r="F2742" t="s">
        <v>598</v>
      </c>
      <c r="G2742" t="s">
        <v>478</v>
      </c>
      <c r="H2742" t="s">
        <v>600</v>
      </c>
      <c r="I2742" t="s">
        <v>601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</row>
    <row r="2743" spans="1:25" hidden="1">
      <c r="A2743" t="s">
        <v>18811</v>
      </c>
      <c r="B2743" t="s">
        <v>1903</v>
      </c>
      <c r="C2743" t="s">
        <v>1845</v>
      </c>
      <c r="D2743" t="s">
        <v>1878</v>
      </c>
      <c r="E2743" t="s">
        <v>1904</v>
      </c>
      <c r="F2743" t="s">
        <v>598</v>
      </c>
      <c r="G2743" t="s">
        <v>478</v>
      </c>
      <c r="H2743" t="s">
        <v>600</v>
      </c>
      <c r="I2743" t="s">
        <v>601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hidden="1">
      <c r="A2744" t="s">
        <v>18811</v>
      </c>
      <c r="B2744" t="s">
        <v>1905</v>
      </c>
      <c r="C2744" t="s">
        <v>1845</v>
      </c>
      <c r="D2744" t="s">
        <v>1878</v>
      </c>
      <c r="E2744" t="s">
        <v>1906</v>
      </c>
      <c r="F2744" t="s">
        <v>598</v>
      </c>
      <c r="G2744" t="s">
        <v>478</v>
      </c>
      <c r="H2744" t="s">
        <v>600</v>
      </c>
      <c r="I2744" t="s">
        <v>601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</row>
    <row r="2745" spans="1:25" hidden="1">
      <c r="A2745" t="s">
        <v>18811</v>
      </c>
      <c r="B2745" t="s">
        <v>1907</v>
      </c>
      <c r="C2745" t="s">
        <v>1845</v>
      </c>
      <c r="D2745" t="s">
        <v>1878</v>
      </c>
      <c r="E2745" t="s">
        <v>1908</v>
      </c>
      <c r="F2745" t="s">
        <v>598</v>
      </c>
      <c r="G2745" t="s">
        <v>478</v>
      </c>
      <c r="H2745" t="s">
        <v>600</v>
      </c>
      <c r="I2745" t="s">
        <v>601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</row>
    <row r="2746" spans="1:25" hidden="1">
      <c r="A2746" t="s">
        <v>18811</v>
      </c>
      <c r="B2746" t="s">
        <v>1909</v>
      </c>
      <c r="C2746" t="s">
        <v>1845</v>
      </c>
      <c r="D2746" t="s">
        <v>1878</v>
      </c>
      <c r="E2746" t="s">
        <v>1910</v>
      </c>
      <c r="F2746" t="s">
        <v>598</v>
      </c>
      <c r="G2746" t="s">
        <v>478</v>
      </c>
      <c r="H2746" t="s">
        <v>600</v>
      </c>
      <c r="I2746" t="s">
        <v>601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hidden="1">
      <c r="A2747" t="s">
        <v>18811</v>
      </c>
      <c r="B2747" t="s">
        <v>1911</v>
      </c>
      <c r="C2747" t="s">
        <v>1845</v>
      </c>
      <c r="D2747" t="s">
        <v>1878</v>
      </c>
      <c r="E2747" t="s">
        <v>1912</v>
      </c>
      <c r="F2747" t="s">
        <v>598</v>
      </c>
      <c r="G2747" t="s">
        <v>478</v>
      </c>
      <c r="H2747" t="s">
        <v>600</v>
      </c>
      <c r="I2747" t="s">
        <v>601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hidden="1">
      <c r="A2748" t="s">
        <v>18811</v>
      </c>
      <c r="B2748" t="s">
        <v>1916</v>
      </c>
      <c r="C2748" t="s">
        <v>1845</v>
      </c>
      <c r="D2748" t="s">
        <v>1878</v>
      </c>
      <c r="E2748" t="s">
        <v>1869</v>
      </c>
      <c r="F2748" t="s">
        <v>598</v>
      </c>
      <c r="G2748" t="s">
        <v>478</v>
      </c>
      <c r="H2748" t="s">
        <v>600</v>
      </c>
      <c r="I2748" t="s">
        <v>601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</row>
    <row r="2749" spans="1:25" hidden="1">
      <c r="A2749" t="s">
        <v>18811</v>
      </c>
      <c r="B2749" t="s">
        <v>1917</v>
      </c>
      <c r="C2749" t="s">
        <v>1845</v>
      </c>
      <c r="D2749" t="s">
        <v>1918</v>
      </c>
      <c r="E2749" t="s">
        <v>1872</v>
      </c>
      <c r="F2749" t="s">
        <v>598</v>
      </c>
      <c r="G2749" t="s">
        <v>478</v>
      </c>
      <c r="H2749" t="s">
        <v>600</v>
      </c>
      <c r="I2749" t="s">
        <v>601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hidden="1">
      <c r="A2750" t="s">
        <v>18811</v>
      </c>
      <c r="B2750" t="s">
        <v>1919</v>
      </c>
      <c r="C2750" t="s">
        <v>1845</v>
      </c>
      <c r="D2750" t="s">
        <v>1918</v>
      </c>
      <c r="E2750" t="s">
        <v>1920</v>
      </c>
      <c r="F2750" t="s">
        <v>598</v>
      </c>
      <c r="G2750" t="s">
        <v>478</v>
      </c>
      <c r="H2750" t="s">
        <v>600</v>
      </c>
      <c r="I2750" t="s">
        <v>601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hidden="1">
      <c r="A2751" t="s">
        <v>18811</v>
      </c>
      <c r="B2751" t="s">
        <v>1921</v>
      </c>
      <c r="C2751" t="s">
        <v>1845</v>
      </c>
      <c r="D2751" t="s">
        <v>1918</v>
      </c>
      <c r="E2751" t="s">
        <v>1880</v>
      </c>
      <c r="F2751" t="s">
        <v>598</v>
      </c>
      <c r="G2751" t="s">
        <v>478</v>
      </c>
      <c r="H2751" t="s">
        <v>600</v>
      </c>
      <c r="I2751" t="s">
        <v>601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hidden="1">
      <c r="A2752" t="s">
        <v>18811</v>
      </c>
      <c r="B2752" t="s">
        <v>1922</v>
      </c>
      <c r="C2752" t="s">
        <v>1845</v>
      </c>
      <c r="D2752" t="s">
        <v>1918</v>
      </c>
      <c r="E2752" t="s">
        <v>1923</v>
      </c>
      <c r="F2752" t="s">
        <v>598</v>
      </c>
      <c r="G2752" t="s">
        <v>478</v>
      </c>
      <c r="H2752" t="s">
        <v>600</v>
      </c>
      <c r="I2752" t="s">
        <v>601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</row>
    <row r="2753" spans="1:25" hidden="1">
      <c r="A2753" t="s">
        <v>18811</v>
      </c>
      <c r="B2753" t="s">
        <v>1925</v>
      </c>
      <c r="C2753" t="s">
        <v>1845</v>
      </c>
      <c r="D2753" t="s">
        <v>1918</v>
      </c>
      <c r="E2753" t="s">
        <v>1888</v>
      </c>
      <c r="F2753" t="s">
        <v>598</v>
      </c>
      <c r="G2753" t="s">
        <v>478</v>
      </c>
      <c r="H2753" t="s">
        <v>600</v>
      </c>
      <c r="I2753" t="s">
        <v>601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hidden="1">
      <c r="A2754" t="s">
        <v>18811</v>
      </c>
      <c r="B2754" t="s">
        <v>1926</v>
      </c>
      <c r="C2754" t="s">
        <v>1845</v>
      </c>
      <c r="D2754" t="s">
        <v>1918</v>
      </c>
      <c r="E2754" t="s">
        <v>1890</v>
      </c>
      <c r="F2754" t="s">
        <v>598</v>
      </c>
      <c r="G2754" t="s">
        <v>478</v>
      </c>
      <c r="H2754" t="s">
        <v>600</v>
      </c>
      <c r="I2754" t="s">
        <v>601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hidden="1">
      <c r="A2755" t="s">
        <v>18811</v>
      </c>
      <c r="B2755" t="s">
        <v>1927</v>
      </c>
      <c r="C2755" t="s">
        <v>1845</v>
      </c>
      <c r="D2755" t="s">
        <v>1918</v>
      </c>
      <c r="E2755" t="s">
        <v>1892</v>
      </c>
      <c r="F2755" t="s">
        <v>598</v>
      </c>
      <c r="G2755" t="s">
        <v>478</v>
      </c>
      <c r="H2755" t="s">
        <v>600</v>
      </c>
      <c r="I2755" t="s">
        <v>601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hidden="1">
      <c r="A2756" t="s">
        <v>18811</v>
      </c>
      <c r="B2756" t="s">
        <v>1928</v>
      </c>
      <c r="C2756" t="s">
        <v>1845</v>
      </c>
      <c r="D2756" t="s">
        <v>1918</v>
      </c>
      <c r="E2756" t="s">
        <v>1929</v>
      </c>
      <c r="F2756" t="s">
        <v>598</v>
      </c>
      <c r="G2756" t="s">
        <v>478</v>
      </c>
      <c r="H2756" t="s">
        <v>600</v>
      </c>
      <c r="I2756" t="s">
        <v>601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hidden="1">
      <c r="A2757" t="s">
        <v>18811</v>
      </c>
      <c r="B2757" t="s">
        <v>1930</v>
      </c>
      <c r="C2757" t="s">
        <v>1845</v>
      </c>
      <c r="D2757" t="s">
        <v>1918</v>
      </c>
      <c r="E2757" t="s">
        <v>1894</v>
      </c>
      <c r="F2757" t="s">
        <v>598</v>
      </c>
      <c r="G2757" t="s">
        <v>478</v>
      </c>
      <c r="H2757" t="s">
        <v>600</v>
      </c>
      <c r="I2757" t="s">
        <v>601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hidden="1">
      <c r="A2758" t="s">
        <v>18811</v>
      </c>
      <c r="B2758" t="s">
        <v>1931</v>
      </c>
      <c r="C2758" t="s">
        <v>1845</v>
      </c>
      <c r="D2758" t="s">
        <v>1918</v>
      </c>
      <c r="E2758" t="s">
        <v>1896</v>
      </c>
      <c r="F2758" t="s">
        <v>598</v>
      </c>
      <c r="G2758" t="s">
        <v>478</v>
      </c>
      <c r="H2758" t="s">
        <v>600</v>
      </c>
      <c r="I2758" t="s">
        <v>601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</row>
    <row r="2759" spans="1:25" hidden="1">
      <c r="A2759" t="s">
        <v>18811</v>
      </c>
      <c r="B2759" t="s">
        <v>1934</v>
      </c>
      <c r="C2759" t="s">
        <v>1845</v>
      </c>
      <c r="D2759" t="s">
        <v>1918</v>
      </c>
      <c r="E2759" t="s">
        <v>1900</v>
      </c>
      <c r="F2759" t="s">
        <v>598</v>
      </c>
      <c r="G2759" t="s">
        <v>478</v>
      </c>
      <c r="H2759" t="s">
        <v>600</v>
      </c>
      <c r="I2759" t="s">
        <v>601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hidden="1">
      <c r="A2760" t="s">
        <v>18811</v>
      </c>
      <c r="B2760" t="s">
        <v>1935</v>
      </c>
      <c r="C2760" t="s">
        <v>1845</v>
      </c>
      <c r="D2760" t="s">
        <v>1918</v>
      </c>
      <c r="E2760" t="s">
        <v>1936</v>
      </c>
      <c r="F2760" t="s">
        <v>598</v>
      </c>
      <c r="G2760" t="s">
        <v>478</v>
      </c>
      <c r="H2760" t="s">
        <v>600</v>
      </c>
      <c r="I2760" t="s">
        <v>601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hidden="1">
      <c r="A2761" t="s">
        <v>18811</v>
      </c>
      <c r="B2761" t="s">
        <v>1937</v>
      </c>
      <c r="C2761" t="s">
        <v>1845</v>
      </c>
      <c r="D2761" t="s">
        <v>1918</v>
      </c>
      <c r="E2761" t="s">
        <v>1904</v>
      </c>
      <c r="F2761" t="s">
        <v>598</v>
      </c>
      <c r="G2761" t="s">
        <v>478</v>
      </c>
      <c r="H2761" t="s">
        <v>600</v>
      </c>
      <c r="I2761" t="s">
        <v>601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hidden="1">
      <c r="A2762" t="s">
        <v>18811</v>
      </c>
      <c r="B2762" t="s">
        <v>1938</v>
      </c>
      <c r="C2762" t="s">
        <v>1845</v>
      </c>
      <c r="D2762" t="s">
        <v>1918</v>
      </c>
      <c r="E2762" t="s">
        <v>1939</v>
      </c>
      <c r="F2762" t="s">
        <v>598</v>
      </c>
      <c r="G2762" t="s">
        <v>478</v>
      </c>
      <c r="H2762" t="s">
        <v>600</v>
      </c>
      <c r="I2762" t="s">
        <v>601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hidden="1">
      <c r="A2763" t="s">
        <v>18811</v>
      </c>
      <c r="B2763" t="s">
        <v>1940</v>
      </c>
      <c r="C2763" t="s">
        <v>1845</v>
      </c>
      <c r="D2763" t="s">
        <v>1918</v>
      </c>
      <c r="E2763" t="s">
        <v>1910</v>
      </c>
      <c r="F2763" t="s">
        <v>598</v>
      </c>
      <c r="G2763" t="s">
        <v>478</v>
      </c>
      <c r="H2763" t="s">
        <v>600</v>
      </c>
      <c r="I2763" t="s">
        <v>601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</row>
    <row r="2764" spans="1:25" hidden="1">
      <c r="A2764" t="s">
        <v>18811</v>
      </c>
      <c r="B2764" t="s">
        <v>1942</v>
      </c>
      <c r="C2764" t="s">
        <v>1845</v>
      </c>
      <c r="D2764" t="s">
        <v>1918</v>
      </c>
      <c r="E2764" t="s">
        <v>1914</v>
      </c>
      <c r="F2764" t="s">
        <v>598</v>
      </c>
      <c r="G2764" t="s">
        <v>478</v>
      </c>
      <c r="H2764" t="s">
        <v>600</v>
      </c>
      <c r="I2764" t="s">
        <v>601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hidden="1">
      <c r="A2765" t="s">
        <v>18811</v>
      </c>
      <c r="B2765" t="s">
        <v>1943</v>
      </c>
      <c r="C2765" t="s">
        <v>1845</v>
      </c>
      <c r="D2765" t="s">
        <v>1918</v>
      </c>
      <c r="E2765" t="s">
        <v>1846</v>
      </c>
      <c r="F2765" t="s">
        <v>598</v>
      </c>
      <c r="G2765" t="s">
        <v>478</v>
      </c>
      <c r="H2765" t="s">
        <v>600</v>
      </c>
      <c r="I2765" t="s">
        <v>601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hidden="1">
      <c r="A2766" t="s">
        <v>18811</v>
      </c>
      <c r="B2766" t="s">
        <v>1944</v>
      </c>
      <c r="C2766" t="s">
        <v>1845</v>
      </c>
      <c r="D2766" t="s">
        <v>1918</v>
      </c>
      <c r="E2766" t="s">
        <v>1945</v>
      </c>
      <c r="F2766" t="s">
        <v>598</v>
      </c>
      <c r="G2766" t="s">
        <v>478</v>
      </c>
      <c r="H2766" t="s">
        <v>600</v>
      </c>
      <c r="I2766" t="s">
        <v>601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</row>
    <row r="2767" spans="1:25" hidden="1">
      <c r="A2767" t="s">
        <v>18811</v>
      </c>
      <c r="B2767" t="s">
        <v>1946</v>
      </c>
      <c r="C2767" t="s">
        <v>1845</v>
      </c>
      <c r="D2767" t="s">
        <v>1918</v>
      </c>
      <c r="E2767" t="s">
        <v>1869</v>
      </c>
      <c r="F2767" t="s">
        <v>598</v>
      </c>
      <c r="G2767" t="s">
        <v>478</v>
      </c>
      <c r="H2767" t="s">
        <v>600</v>
      </c>
      <c r="I2767" t="s">
        <v>601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hidden="1">
      <c r="A2768" t="s">
        <v>18811</v>
      </c>
      <c r="B2768" t="s">
        <v>1947</v>
      </c>
      <c r="C2768" t="s">
        <v>1845</v>
      </c>
      <c r="D2768" t="s">
        <v>648</v>
      </c>
      <c r="E2768" t="s">
        <v>1684</v>
      </c>
      <c r="F2768" t="s">
        <v>598</v>
      </c>
      <c r="G2768" t="s">
        <v>478</v>
      </c>
      <c r="H2768" t="s">
        <v>600</v>
      </c>
      <c r="I2768" t="s">
        <v>601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</row>
    <row r="2769" spans="1:25" hidden="1">
      <c r="A2769" t="s">
        <v>18811</v>
      </c>
      <c r="B2769" t="s">
        <v>1948</v>
      </c>
      <c r="C2769" t="s">
        <v>1845</v>
      </c>
      <c r="D2769" t="s">
        <v>648</v>
      </c>
      <c r="E2769" t="s">
        <v>1393</v>
      </c>
      <c r="F2769" t="s">
        <v>598</v>
      </c>
      <c r="G2769" t="s">
        <v>478</v>
      </c>
      <c r="H2769" t="s">
        <v>600</v>
      </c>
      <c r="I2769" t="s">
        <v>601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hidden="1">
      <c r="A2770" t="s">
        <v>18811</v>
      </c>
      <c r="B2770" t="s">
        <v>1949</v>
      </c>
      <c r="C2770" t="s">
        <v>1845</v>
      </c>
      <c r="D2770" t="s">
        <v>648</v>
      </c>
      <c r="E2770" t="s">
        <v>1872</v>
      </c>
      <c r="F2770" t="s">
        <v>598</v>
      </c>
      <c r="G2770" t="s">
        <v>478</v>
      </c>
      <c r="H2770" t="s">
        <v>600</v>
      </c>
      <c r="I2770" t="s">
        <v>601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</row>
    <row r="2771" spans="1:25" hidden="1">
      <c r="A2771" t="s">
        <v>18811</v>
      </c>
      <c r="B2771" t="s">
        <v>1950</v>
      </c>
      <c r="C2771" t="s">
        <v>1845</v>
      </c>
      <c r="D2771" t="s">
        <v>648</v>
      </c>
      <c r="E2771" t="s">
        <v>1951</v>
      </c>
      <c r="F2771" t="s">
        <v>598</v>
      </c>
      <c r="G2771" t="s">
        <v>478</v>
      </c>
      <c r="H2771" t="s">
        <v>600</v>
      </c>
      <c r="I2771" t="s">
        <v>601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hidden="1">
      <c r="A2772" t="s">
        <v>18811</v>
      </c>
      <c r="B2772" t="s">
        <v>1952</v>
      </c>
      <c r="C2772" t="s">
        <v>1845</v>
      </c>
      <c r="D2772" t="s">
        <v>648</v>
      </c>
      <c r="E2772" t="s">
        <v>1953</v>
      </c>
      <c r="F2772" t="s">
        <v>598</v>
      </c>
      <c r="G2772" t="s">
        <v>478</v>
      </c>
      <c r="H2772" t="s">
        <v>600</v>
      </c>
      <c r="I2772" t="s">
        <v>601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hidden="1">
      <c r="A2773" t="s">
        <v>18811</v>
      </c>
      <c r="B2773" t="s">
        <v>1956</v>
      </c>
      <c r="C2773" t="s">
        <v>1845</v>
      </c>
      <c r="D2773" t="s">
        <v>648</v>
      </c>
      <c r="E2773" t="s">
        <v>1957</v>
      </c>
      <c r="F2773" t="s">
        <v>598</v>
      </c>
      <c r="G2773" t="s">
        <v>478</v>
      </c>
      <c r="H2773" t="s">
        <v>600</v>
      </c>
      <c r="I2773" t="s">
        <v>601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hidden="1">
      <c r="A2774" t="s">
        <v>18811</v>
      </c>
      <c r="B2774" t="s">
        <v>1961</v>
      </c>
      <c r="C2774" t="s">
        <v>1959</v>
      </c>
      <c r="D2774" t="s">
        <v>1332</v>
      </c>
      <c r="E2774" t="s">
        <v>1962</v>
      </c>
      <c r="F2774" t="s">
        <v>598</v>
      </c>
      <c r="G2774" t="s">
        <v>478</v>
      </c>
      <c r="H2774" t="s">
        <v>600</v>
      </c>
      <c r="I2774" t="s">
        <v>601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</row>
    <row r="2775" spans="1:25" hidden="1">
      <c r="A2775" t="s">
        <v>18811</v>
      </c>
      <c r="B2775" t="s">
        <v>1964</v>
      </c>
      <c r="C2775" t="s">
        <v>1959</v>
      </c>
      <c r="D2775" t="s">
        <v>1965</v>
      </c>
      <c r="E2775" t="s">
        <v>1966</v>
      </c>
      <c r="F2775" t="s">
        <v>598</v>
      </c>
      <c r="G2775" t="s">
        <v>478</v>
      </c>
      <c r="H2775" t="s">
        <v>600</v>
      </c>
      <c r="I2775" t="s">
        <v>601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hidden="1">
      <c r="A2776" t="s">
        <v>18811</v>
      </c>
      <c r="B2776" t="s">
        <v>1967</v>
      </c>
      <c r="C2776" t="s">
        <v>1959</v>
      </c>
      <c r="D2776" t="s">
        <v>1968</v>
      </c>
      <c r="E2776" t="s">
        <v>1962</v>
      </c>
      <c r="F2776" t="s">
        <v>598</v>
      </c>
      <c r="G2776" t="s">
        <v>478</v>
      </c>
      <c r="H2776" t="s">
        <v>600</v>
      </c>
      <c r="I2776" t="s">
        <v>601</v>
      </c>
      <c r="J2776">
        <v>0.21659999999999999</v>
      </c>
      <c r="K2776">
        <v>0.22289999999999999</v>
      </c>
      <c r="L2776">
        <v>0.2293</v>
      </c>
      <c r="M2776">
        <v>0.23599999999999999</v>
      </c>
      <c r="N2776">
        <v>0.24060000000000001</v>
      </c>
      <c r="O2776">
        <v>0.245</v>
      </c>
      <c r="P2776">
        <v>0.24890000000000001</v>
      </c>
      <c r="Q2776">
        <v>0.2535</v>
      </c>
      <c r="R2776">
        <v>0.2581</v>
      </c>
      <c r="S2776">
        <v>0.26279999999999998</v>
      </c>
      <c r="T2776">
        <v>0.26769999999999999</v>
      </c>
      <c r="U2776">
        <v>0.27310000000000001</v>
      </c>
      <c r="V2776">
        <v>0.27900000000000003</v>
      </c>
      <c r="W2776">
        <v>0.28489999999999999</v>
      </c>
      <c r="X2776">
        <v>0.2903</v>
      </c>
      <c r="Y2776">
        <v>0.2959</v>
      </c>
    </row>
    <row r="2777" spans="1:25" hidden="1">
      <c r="A2777" t="s">
        <v>18811</v>
      </c>
      <c r="B2777" t="s">
        <v>1969</v>
      </c>
      <c r="C2777" t="s">
        <v>1959</v>
      </c>
      <c r="D2777" t="s">
        <v>1968</v>
      </c>
      <c r="E2777" t="s">
        <v>1970</v>
      </c>
      <c r="F2777" t="s">
        <v>598</v>
      </c>
      <c r="G2777" t="s">
        <v>478</v>
      </c>
      <c r="H2777" t="s">
        <v>600</v>
      </c>
      <c r="I2777" t="s">
        <v>601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hidden="1">
      <c r="A2778" t="s">
        <v>18811</v>
      </c>
      <c r="B2778" t="s">
        <v>1971</v>
      </c>
      <c r="C2778" t="s">
        <v>1959</v>
      </c>
      <c r="D2778" t="s">
        <v>1972</v>
      </c>
      <c r="E2778" t="s">
        <v>1973</v>
      </c>
      <c r="F2778" t="s">
        <v>598</v>
      </c>
      <c r="G2778" t="s">
        <v>478</v>
      </c>
      <c r="H2778" t="s">
        <v>600</v>
      </c>
      <c r="I2778" t="s">
        <v>601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hidden="1">
      <c r="A2779" t="s">
        <v>18811</v>
      </c>
      <c r="B2779" t="s">
        <v>1977</v>
      </c>
      <c r="C2779" t="s">
        <v>1959</v>
      </c>
      <c r="D2779" t="s">
        <v>1972</v>
      </c>
      <c r="E2779" t="s">
        <v>1966</v>
      </c>
      <c r="F2779" t="s">
        <v>598</v>
      </c>
      <c r="G2779" t="s">
        <v>478</v>
      </c>
      <c r="H2779" t="s">
        <v>600</v>
      </c>
      <c r="I2779" t="s">
        <v>601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</row>
    <row r="2780" spans="1:25" hidden="1">
      <c r="A2780" t="s">
        <v>18811</v>
      </c>
      <c r="B2780" t="s">
        <v>1978</v>
      </c>
      <c r="C2780" t="s">
        <v>1959</v>
      </c>
      <c r="D2780" t="s">
        <v>1972</v>
      </c>
      <c r="E2780" t="s">
        <v>1979</v>
      </c>
      <c r="F2780" t="s">
        <v>598</v>
      </c>
      <c r="G2780" t="s">
        <v>478</v>
      </c>
      <c r="H2780" t="s">
        <v>600</v>
      </c>
      <c r="I2780" t="s">
        <v>601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hidden="1">
      <c r="A2781" t="s">
        <v>18811</v>
      </c>
      <c r="B2781" t="s">
        <v>1982</v>
      </c>
      <c r="C2781" t="s">
        <v>1959</v>
      </c>
      <c r="D2781" t="s">
        <v>1983</v>
      </c>
      <c r="E2781" t="s">
        <v>1984</v>
      </c>
      <c r="F2781" t="s">
        <v>598</v>
      </c>
      <c r="G2781" t="s">
        <v>478</v>
      </c>
      <c r="H2781" t="s">
        <v>600</v>
      </c>
      <c r="I2781" t="s">
        <v>601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</row>
    <row r="2782" spans="1:25" hidden="1">
      <c r="A2782" t="s">
        <v>18811</v>
      </c>
      <c r="B2782" t="s">
        <v>1985</v>
      </c>
      <c r="C2782" t="s">
        <v>1959</v>
      </c>
      <c r="D2782" t="s">
        <v>1983</v>
      </c>
      <c r="E2782" t="s">
        <v>1378</v>
      </c>
      <c r="F2782" t="s">
        <v>598</v>
      </c>
      <c r="G2782" t="s">
        <v>478</v>
      </c>
      <c r="H2782" t="s">
        <v>600</v>
      </c>
      <c r="I2782" t="s">
        <v>601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</row>
    <row r="2783" spans="1:25" hidden="1">
      <c r="A2783" t="s">
        <v>18811</v>
      </c>
      <c r="B2783" t="s">
        <v>1986</v>
      </c>
      <c r="C2783" t="s">
        <v>1959</v>
      </c>
      <c r="D2783" t="s">
        <v>1983</v>
      </c>
      <c r="E2783" t="s">
        <v>1987</v>
      </c>
      <c r="F2783" t="s">
        <v>598</v>
      </c>
      <c r="G2783" t="s">
        <v>478</v>
      </c>
      <c r="H2783" t="s">
        <v>600</v>
      </c>
      <c r="I2783" t="s">
        <v>601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hidden="1">
      <c r="A2784" t="s">
        <v>18811</v>
      </c>
      <c r="B2784" t="s">
        <v>1988</v>
      </c>
      <c r="C2784" t="s">
        <v>1959</v>
      </c>
      <c r="D2784" t="s">
        <v>1983</v>
      </c>
      <c r="E2784" t="s">
        <v>1966</v>
      </c>
      <c r="F2784" t="s">
        <v>598</v>
      </c>
      <c r="G2784" t="s">
        <v>478</v>
      </c>
      <c r="H2784" t="s">
        <v>600</v>
      </c>
      <c r="I2784" t="s">
        <v>601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</row>
    <row r="2785" spans="1:25" hidden="1">
      <c r="A2785" t="s">
        <v>18811</v>
      </c>
      <c r="B2785" t="s">
        <v>1989</v>
      </c>
      <c r="C2785" t="s">
        <v>1959</v>
      </c>
      <c r="D2785" t="s">
        <v>1983</v>
      </c>
      <c r="E2785" t="s">
        <v>1990</v>
      </c>
      <c r="F2785" t="s">
        <v>598</v>
      </c>
      <c r="G2785" t="s">
        <v>478</v>
      </c>
      <c r="H2785" t="s">
        <v>600</v>
      </c>
      <c r="I2785" t="s">
        <v>601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25" hidden="1">
      <c r="A2786" t="s">
        <v>18811</v>
      </c>
      <c r="B2786" t="s">
        <v>1991</v>
      </c>
      <c r="C2786" t="s">
        <v>1959</v>
      </c>
      <c r="D2786" t="s">
        <v>1983</v>
      </c>
      <c r="E2786" t="s">
        <v>1992</v>
      </c>
      <c r="F2786" t="s">
        <v>598</v>
      </c>
      <c r="G2786" t="s">
        <v>478</v>
      </c>
      <c r="H2786" t="s">
        <v>600</v>
      </c>
      <c r="I2786" t="s">
        <v>601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</row>
    <row r="2787" spans="1:25" hidden="1">
      <c r="A2787" t="s">
        <v>18811</v>
      </c>
      <c r="B2787" t="s">
        <v>1993</v>
      </c>
      <c r="C2787" t="s">
        <v>1959</v>
      </c>
      <c r="D2787" t="s">
        <v>1983</v>
      </c>
      <c r="E2787" t="s">
        <v>1994</v>
      </c>
      <c r="F2787" t="s">
        <v>598</v>
      </c>
      <c r="G2787" t="s">
        <v>478</v>
      </c>
      <c r="H2787" t="s">
        <v>600</v>
      </c>
      <c r="I2787" t="s">
        <v>601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hidden="1">
      <c r="A2788" t="s">
        <v>18811</v>
      </c>
      <c r="B2788" t="s">
        <v>1995</v>
      </c>
      <c r="C2788" t="s">
        <v>1959</v>
      </c>
      <c r="D2788" t="s">
        <v>1996</v>
      </c>
      <c r="E2788" t="s">
        <v>1973</v>
      </c>
      <c r="F2788" t="s">
        <v>598</v>
      </c>
      <c r="G2788" t="s">
        <v>478</v>
      </c>
      <c r="H2788" t="s">
        <v>600</v>
      </c>
      <c r="I2788" t="s">
        <v>601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hidden="1">
      <c r="A2789" t="s">
        <v>18811</v>
      </c>
      <c r="B2789" t="s">
        <v>1997</v>
      </c>
      <c r="C2789" t="s">
        <v>1959</v>
      </c>
      <c r="D2789" t="s">
        <v>1996</v>
      </c>
      <c r="E2789" t="s">
        <v>1380</v>
      </c>
      <c r="F2789" t="s">
        <v>598</v>
      </c>
      <c r="G2789" t="s">
        <v>478</v>
      </c>
      <c r="H2789" t="s">
        <v>600</v>
      </c>
      <c r="I2789" t="s">
        <v>601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hidden="1">
      <c r="A2790" t="s">
        <v>18811</v>
      </c>
      <c r="B2790" t="s">
        <v>2000</v>
      </c>
      <c r="C2790" t="s">
        <v>1959</v>
      </c>
      <c r="D2790" t="s">
        <v>2001</v>
      </c>
      <c r="E2790" t="s">
        <v>1731</v>
      </c>
      <c r="F2790" t="s">
        <v>598</v>
      </c>
      <c r="G2790" t="s">
        <v>478</v>
      </c>
      <c r="H2790" t="s">
        <v>600</v>
      </c>
      <c r="I2790" t="s">
        <v>601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</row>
    <row r="2791" spans="1:25" hidden="1">
      <c r="A2791" t="s">
        <v>18811</v>
      </c>
      <c r="B2791" t="s">
        <v>2004</v>
      </c>
      <c r="C2791" t="s">
        <v>1959</v>
      </c>
      <c r="D2791" t="s">
        <v>2001</v>
      </c>
      <c r="E2791" t="s">
        <v>1380</v>
      </c>
      <c r="F2791" t="s">
        <v>598</v>
      </c>
      <c r="G2791" t="s">
        <v>478</v>
      </c>
      <c r="H2791" t="s">
        <v>600</v>
      </c>
      <c r="I2791" t="s">
        <v>601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25" hidden="1">
      <c r="A2792" t="s">
        <v>18811</v>
      </c>
      <c r="B2792" t="s">
        <v>2005</v>
      </c>
      <c r="C2792" t="s">
        <v>1959</v>
      </c>
      <c r="D2792" t="s">
        <v>2001</v>
      </c>
      <c r="E2792" t="s">
        <v>1976</v>
      </c>
      <c r="F2792" t="s">
        <v>598</v>
      </c>
      <c r="G2792" t="s">
        <v>478</v>
      </c>
      <c r="H2792" t="s">
        <v>600</v>
      </c>
      <c r="I2792" t="s">
        <v>601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hidden="1">
      <c r="A2793" t="s">
        <v>18811</v>
      </c>
      <c r="B2793" t="s">
        <v>2006</v>
      </c>
      <c r="C2793" t="s">
        <v>1959</v>
      </c>
      <c r="D2793" t="s">
        <v>2001</v>
      </c>
      <c r="E2793" t="s">
        <v>1970</v>
      </c>
      <c r="F2793" t="s">
        <v>598</v>
      </c>
      <c r="G2793" t="s">
        <v>478</v>
      </c>
      <c r="H2793" t="s">
        <v>600</v>
      </c>
      <c r="I2793" t="s">
        <v>601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hidden="1">
      <c r="A2794" t="s">
        <v>18811</v>
      </c>
      <c r="B2794" t="s">
        <v>2007</v>
      </c>
      <c r="C2794" t="s">
        <v>1959</v>
      </c>
      <c r="D2794" t="s">
        <v>2001</v>
      </c>
      <c r="E2794" t="s">
        <v>1966</v>
      </c>
      <c r="F2794" t="s">
        <v>598</v>
      </c>
      <c r="G2794" t="s">
        <v>478</v>
      </c>
      <c r="H2794" t="s">
        <v>600</v>
      </c>
      <c r="I2794" t="s">
        <v>601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hidden="1">
      <c r="A2795" t="s">
        <v>18811</v>
      </c>
      <c r="B2795" t="s">
        <v>2014</v>
      </c>
      <c r="C2795" t="s">
        <v>1959</v>
      </c>
      <c r="D2795" t="s">
        <v>2012</v>
      </c>
      <c r="E2795" t="s">
        <v>1970</v>
      </c>
      <c r="F2795" t="s">
        <v>598</v>
      </c>
      <c r="G2795" t="s">
        <v>478</v>
      </c>
      <c r="H2795" t="s">
        <v>600</v>
      </c>
      <c r="I2795" t="s">
        <v>601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hidden="1">
      <c r="A2796" t="s">
        <v>18811</v>
      </c>
      <c r="B2796" t="s">
        <v>2017</v>
      </c>
      <c r="C2796" t="s">
        <v>1959</v>
      </c>
      <c r="D2796" t="s">
        <v>1817</v>
      </c>
      <c r="E2796" t="s">
        <v>1962</v>
      </c>
      <c r="F2796" t="s">
        <v>598</v>
      </c>
      <c r="G2796" t="s">
        <v>478</v>
      </c>
      <c r="H2796" t="s">
        <v>600</v>
      </c>
      <c r="I2796" t="s">
        <v>601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hidden="1">
      <c r="A2797" t="s">
        <v>18811</v>
      </c>
      <c r="B2797" t="s">
        <v>2018</v>
      </c>
      <c r="C2797" t="s">
        <v>1959</v>
      </c>
      <c r="D2797" t="s">
        <v>1817</v>
      </c>
      <c r="E2797" t="s">
        <v>1380</v>
      </c>
      <c r="F2797" t="s">
        <v>598</v>
      </c>
      <c r="G2797" t="s">
        <v>478</v>
      </c>
      <c r="H2797" t="s">
        <v>600</v>
      </c>
      <c r="I2797" t="s">
        <v>601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</row>
    <row r="2798" spans="1:25" hidden="1">
      <c r="A2798" t="s">
        <v>18811</v>
      </c>
      <c r="B2798" t="s">
        <v>2019</v>
      </c>
      <c r="C2798" t="s">
        <v>1959</v>
      </c>
      <c r="D2798" t="s">
        <v>1817</v>
      </c>
      <c r="E2798" t="s">
        <v>1976</v>
      </c>
      <c r="F2798" t="s">
        <v>598</v>
      </c>
      <c r="G2798" t="s">
        <v>478</v>
      </c>
      <c r="H2798" t="s">
        <v>600</v>
      </c>
      <c r="I2798" t="s">
        <v>601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25" hidden="1">
      <c r="A2799" t="s">
        <v>18811</v>
      </c>
      <c r="B2799" t="s">
        <v>2028</v>
      </c>
      <c r="C2799" t="s">
        <v>1959</v>
      </c>
      <c r="D2799" t="s">
        <v>1817</v>
      </c>
      <c r="E2799" t="s">
        <v>1966</v>
      </c>
      <c r="F2799" t="s">
        <v>598</v>
      </c>
      <c r="G2799" t="s">
        <v>478</v>
      </c>
      <c r="H2799" t="s">
        <v>600</v>
      </c>
      <c r="I2799" t="s">
        <v>601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hidden="1">
      <c r="A2800" t="s">
        <v>18811</v>
      </c>
      <c r="B2800" t="s">
        <v>2033</v>
      </c>
      <c r="C2800" t="s">
        <v>1959</v>
      </c>
      <c r="D2800" t="s">
        <v>648</v>
      </c>
      <c r="E2800" t="s">
        <v>973</v>
      </c>
      <c r="F2800" t="s">
        <v>598</v>
      </c>
      <c r="G2800" t="s">
        <v>478</v>
      </c>
      <c r="H2800" t="s">
        <v>600</v>
      </c>
      <c r="I2800" t="s">
        <v>601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hidden="1">
      <c r="A2801" t="s">
        <v>18811</v>
      </c>
      <c r="B2801" t="s">
        <v>2034</v>
      </c>
      <c r="C2801" t="s">
        <v>1959</v>
      </c>
      <c r="D2801" t="s">
        <v>648</v>
      </c>
      <c r="E2801" t="s">
        <v>1973</v>
      </c>
      <c r="F2801" t="s">
        <v>598</v>
      </c>
      <c r="G2801" t="s">
        <v>478</v>
      </c>
      <c r="H2801" t="s">
        <v>600</v>
      </c>
      <c r="I2801" t="s">
        <v>601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</row>
    <row r="2802" spans="1:25" hidden="1">
      <c r="A2802" t="s">
        <v>18811</v>
      </c>
      <c r="B2802" t="s">
        <v>2035</v>
      </c>
      <c r="C2802" t="s">
        <v>1959</v>
      </c>
      <c r="D2802" t="s">
        <v>648</v>
      </c>
      <c r="E2802" t="s">
        <v>607</v>
      </c>
      <c r="F2802" t="s">
        <v>598</v>
      </c>
      <c r="G2802" t="s">
        <v>478</v>
      </c>
      <c r="H2802" t="s">
        <v>600</v>
      </c>
      <c r="I2802" t="s">
        <v>601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hidden="1">
      <c r="A2803" t="s">
        <v>18811</v>
      </c>
      <c r="B2803" t="s">
        <v>2036</v>
      </c>
      <c r="C2803" t="s">
        <v>1959</v>
      </c>
      <c r="D2803" t="s">
        <v>648</v>
      </c>
      <c r="E2803" t="s">
        <v>611</v>
      </c>
      <c r="F2803" t="s">
        <v>598</v>
      </c>
      <c r="G2803" t="s">
        <v>478</v>
      </c>
      <c r="H2803" t="s">
        <v>600</v>
      </c>
      <c r="I2803" t="s">
        <v>601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hidden="1">
      <c r="A2804" t="s">
        <v>18811</v>
      </c>
      <c r="B2804" t="s">
        <v>2038</v>
      </c>
      <c r="C2804" t="s">
        <v>1959</v>
      </c>
      <c r="D2804" t="s">
        <v>648</v>
      </c>
      <c r="E2804" t="s">
        <v>1765</v>
      </c>
      <c r="F2804" t="s">
        <v>598</v>
      </c>
      <c r="G2804" t="s">
        <v>478</v>
      </c>
      <c r="H2804" t="s">
        <v>600</v>
      </c>
      <c r="I2804" t="s">
        <v>601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hidden="1">
      <c r="A2805" t="s">
        <v>18811</v>
      </c>
      <c r="B2805" t="s">
        <v>2039</v>
      </c>
      <c r="C2805" t="s">
        <v>1959</v>
      </c>
      <c r="D2805" t="s">
        <v>648</v>
      </c>
      <c r="E2805" t="s">
        <v>1378</v>
      </c>
      <c r="F2805" t="s">
        <v>598</v>
      </c>
      <c r="G2805" t="s">
        <v>478</v>
      </c>
      <c r="H2805" t="s">
        <v>600</v>
      </c>
      <c r="I2805" t="s">
        <v>601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hidden="1">
      <c r="A2806" t="s">
        <v>18811</v>
      </c>
      <c r="B2806" t="s">
        <v>2040</v>
      </c>
      <c r="C2806" t="s">
        <v>1959</v>
      </c>
      <c r="D2806" t="s">
        <v>648</v>
      </c>
      <c r="E2806" t="s">
        <v>1962</v>
      </c>
      <c r="F2806" t="s">
        <v>598</v>
      </c>
      <c r="G2806" t="s">
        <v>478</v>
      </c>
      <c r="H2806" t="s">
        <v>600</v>
      </c>
      <c r="I2806" t="s">
        <v>601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hidden="1">
      <c r="A2807" t="s">
        <v>18811</v>
      </c>
      <c r="B2807" t="s">
        <v>2042</v>
      </c>
      <c r="C2807" t="s">
        <v>1959</v>
      </c>
      <c r="D2807" t="s">
        <v>648</v>
      </c>
      <c r="E2807" t="s">
        <v>1380</v>
      </c>
      <c r="F2807" t="s">
        <v>598</v>
      </c>
      <c r="G2807" t="s">
        <v>478</v>
      </c>
      <c r="H2807" t="s">
        <v>600</v>
      </c>
      <c r="I2807" t="s">
        <v>601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hidden="1">
      <c r="A2808" t="s">
        <v>18811</v>
      </c>
      <c r="B2808" t="s">
        <v>2043</v>
      </c>
      <c r="C2808" t="s">
        <v>1959</v>
      </c>
      <c r="D2808" t="s">
        <v>648</v>
      </c>
      <c r="E2808" t="s">
        <v>1976</v>
      </c>
      <c r="F2808" t="s">
        <v>598</v>
      </c>
      <c r="G2808" t="s">
        <v>478</v>
      </c>
      <c r="H2808" t="s">
        <v>600</v>
      </c>
      <c r="I2808" t="s">
        <v>601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hidden="1">
      <c r="A2809" t="s">
        <v>18811</v>
      </c>
      <c r="B2809" t="s">
        <v>2044</v>
      </c>
      <c r="C2809" t="s">
        <v>1959</v>
      </c>
      <c r="D2809" t="s">
        <v>648</v>
      </c>
      <c r="E2809" t="s">
        <v>2045</v>
      </c>
      <c r="F2809" t="s">
        <v>598</v>
      </c>
      <c r="G2809" t="s">
        <v>478</v>
      </c>
      <c r="H2809" t="s">
        <v>600</v>
      </c>
      <c r="I2809" t="s">
        <v>601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</row>
    <row r="2810" spans="1:25" hidden="1">
      <c r="A2810" t="s">
        <v>18811</v>
      </c>
      <c r="B2810" t="s">
        <v>2046</v>
      </c>
      <c r="C2810" t="s">
        <v>1959</v>
      </c>
      <c r="D2810" t="s">
        <v>648</v>
      </c>
      <c r="E2810" t="s">
        <v>2047</v>
      </c>
      <c r="F2810" t="s">
        <v>598</v>
      </c>
      <c r="G2810" t="s">
        <v>478</v>
      </c>
      <c r="H2810" t="s">
        <v>600</v>
      </c>
      <c r="I2810" t="s">
        <v>601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hidden="1">
      <c r="A2811" t="s">
        <v>18811</v>
      </c>
      <c r="B2811" t="s">
        <v>2048</v>
      </c>
      <c r="C2811" t="s">
        <v>1959</v>
      </c>
      <c r="D2811" t="s">
        <v>648</v>
      </c>
      <c r="E2811" t="s">
        <v>2049</v>
      </c>
      <c r="F2811" t="s">
        <v>598</v>
      </c>
      <c r="G2811" t="s">
        <v>478</v>
      </c>
      <c r="H2811" t="s">
        <v>600</v>
      </c>
      <c r="I2811" t="s">
        <v>601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hidden="1">
      <c r="A2812" t="s">
        <v>18811</v>
      </c>
      <c r="B2812" t="s">
        <v>2054</v>
      </c>
      <c r="C2812" t="s">
        <v>1959</v>
      </c>
      <c r="D2812" t="s">
        <v>648</v>
      </c>
      <c r="E2812" t="s">
        <v>2013</v>
      </c>
      <c r="F2812" t="s">
        <v>598</v>
      </c>
      <c r="G2812" t="s">
        <v>478</v>
      </c>
      <c r="H2812" t="s">
        <v>600</v>
      </c>
      <c r="I2812" t="s">
        <v>601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hidden="1">
      <c r="A2813" t="s">
        <v>18811</v>
      </c>
      <c r="B2813" t="s">
        <v>2055</v>
      </c>
      <c r="C2813" t="s">
        <v>1959</v>
      </c>
      <c r="D2813" t="s">
        <v>648</v>
      </c>
      <c r="E2813" t="s">
        <v>1970</v>
      </c>
      <c r="F2813" t="s">
        <v>598</v>
      </c>
      <c r="G2813" t="s">
        <v>478</v>
      </c>
      <c r="H2813" t="s">
        <v>600</v>
      </c>
      <c r="I2813" t="s">
        <v>601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hidden="1">
      <c r="A2814" t="s">
        <v>18811</v>
      </c>
      <c r="B2814" t="s">
        <v>2056</v>
      </c>
      <c r="C2814" t="s">
        <v>1959</v>
      </c>
      <c r="D2814" t="s">
        <v>648</v>
      </c>
      <c r="E2814" t="s">
        <v>2057</v>
      </c>
      <c r="F2814" t="s">
        <v>598</v>
      </c>
      <c r="G2814" t="s">
        <v>478</v>
      </c>
      <c r="H2814" t="s">
        <v>600</v>
      </c>
      <c r="I2814" t="s">
        <v>601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</row>
    <row r="2815" spans="1:25" hidden="1">
      <c r="A2815" t="s">
        <v>18811</v>
      </c>
      <c r="B2815" t="s">
        <v>2058</v>
      </c>
      <c r="C2815" t="s">
        <v>1959</v>
      </c>
      <c r="D2815" t="s">
        <v>648</v>
      </c>
      <c r="E2815" t="s">
        <v>2025</v>
      </c>
      <c r="F2815" t="s">
        <v>598</v>
      </c>
      <c r="G2815" t="s">
        <v>478</v>
      </c>
      <c r="H2815" t="s">
        <v>600</v>
      </c>
      <c r="I2815" t="s">
        <v>601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hidden="1">
      <c r="A2816" t="s">
        <v>18811</v>
      </c>
      <c r="B2816" t="s">
        <v>2065</v>
      </c>
      <c r="C2816" t="s">
        <v>1959</v>
      </c>
      <c r="D2816" t="s">
        <v>648</v>
      </c>
      <c r="E2816" t="s">
        <v>2066</v>
      </c>
      <c r="F2816" t="s">
        <v>598</v>
      </c>
      <c r="G2816" t="s">
        <v>478</v>
      </c>
      <c r="H2816" t="s">
        <v>600</v>
      </c>
      <c r="I2816" t="s">
        <v>601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hidden="1">
      <c r="A2817" t="s">
        <v>18811</v>
      </c>
      <c r="B2817" t="s">
        <v>2067</v>
      </c>
      <c r="C2817" t="s">
        <v>1959</v>
      </c>
      <c r="D2817" t="s">
        <v>648</v>
      </c>
      <c r="E2817" t="s">
        <v>2027</v>
      </c>
      <c r="F2817" t="s">
        <v>598</v>
      </c>
      <c r="G2817" t="s">
        <v>478</v>
      </c>
      <c r="H2817" t="s">
        <v>600</v>
      </c>
      <c r="I2817" t="s">
        <v>601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hidden="1">
      <c r="A2818" t="s">
        <v>18811</v>
      </c>
      <c r="B2818" t="s">
        <v>2072</v>
      </c>
      <c r="C2818" t="s">
        <v>1959</v>
      </c>
      <c r="D2818" t="s">
        <v>648</v>
      </c>
      <c r="E2818" t="s">
        <v>1966</v>
      </c>
      <c r="F2818" t="s">
        <v>598</v>
      </c>
      <c r="G2818" t="s">
        <v>478</v>
      </c>
      <c r="H2818" t="s">
        <v>600</v>
      </c>
      <c r="I2818" t="s">
        <v>601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hidden="1">
      <c r="A2819" t="s">
        <v>18811</v>
      </c>
      <c r="B2819" t="s">
        <v>2078</v>
      </c>
      <c r="C2819" t="s">
        <v>2075</v>
      </c>
      <c r="D2819" t="s">
        <v>2079</v>
      </c>
      <c r="E2819" t="s">
        <v>1378</v>
      </c>
      <c r="F2819" t="s">
        <v>598</v>
      </c>
      <c r="G2819" t="s">
        <v>478</v>
      </c>
      <c r="H2819" t="s">
        <v>600</v>
      </c>
      <c r="I2819" t="s">
        <v>601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</row>
    <row r="2820" spans="1:25" hidden="1">
      <c r="A2820" t="s">
        <v>18811</v>
      </c>
      <c r="B2820" t="s">
        <v>2080</v>
      </c>
      <c r="C2820" t="s">
        <v>2075</v>
      </c>
      <c r="D2820" t="s">
        <v>2079</v>
      </c>
      <c r="E2820" t="s">
        <v>2081</v>
      </c>
      <c r="F2820" t="s">
        <v>598</v>
      </c>
      <c r="G2820" t="s">
        <v>478</v>
      </c>
      <c r="H2820" t="s">
        <v>600</v>
      </c>
      <c r="I2820" t="s">
        <v>601</v>
      </c>
      <c r="J2820">
        <v>1E-4</v>
      </c>
      <c r="K2820">
        <v>1E-4</v>
      </c>
      <c r="L2820">
        <v>1E-4</v>
      </c>
      <c r="M2820">
        <v>1E-4</v>
      </c>
      <c r="N2820">
        <v>1E-4</v>
      </c>
      <c r="O2820">
        <v>1E-4</v>
      </c>
      <c r="P2820">
        <v>1E-4</v>
      </c>
      <c r="Q2820">
        <v>1E-4</v>
      </c>
      <c r="R2820">
        <v>1E-4</v>
      </c>
      <c r="S2820">
        <v>1E-4</v>
      </c>
      <c r="T2820">
        <v>1E-4</v>
      </c>
      <c r="U2820">
        <v>1E-4</v>
      </c>
      <c r="V2820">
        <v>1E-4</v>
      </c>
      <c r="W2820">
        <v>1E-4</v>
      </c>
      <c r="X2820">
        <v>1E-4</v>
      </c>
      <c r="Y2820">
        <v>1E-4</v>
      </c>
    </row>
    <row r="2821" spans="1:25" hidden="1">
      <c r="A2821" t="s">
        <v>18811</v>
      </c>
      <c r="B2821" t="s">
        <v>2089</v>
      </c>
      <c r="C2821" t="s">
        <v>2075</v>
      </c>
      <c r="D2821" t="s">
        <v>2090</v>
      </c>
      <c r="E2821" t="s">
        <v>2091</v>
      </c>
      <c r="F2821" t="s">
        <v>598</v>
      </c>
      <c r="G2821" t="s">
        <v>478</v>
      </c>
      <c r="H2821" t="s">
        <v>600</v>
      </c>
      <c r="I2821" t="s">
        <v>601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hidden="1">
      <c r="A2822" t="s">
        <v>18811</v>
      </c>
      <c r="B2822" t="s">
        <v>2092</v>
      </c>
      <c r="C2822" t="s">
        <v>2075</v>
      </c>
      <c r="D2822" t="s">
        <v>2090</v>
      </c>
      <c r="E2822" t="s">
        <v>1378</v>
      </c>
      <c r="F2822" t="s">
        <v>598</v>
      </c>
      <c r="G2822" t="s">
        <v>478</v>
      </c>
      <c r="H2822" t="s">
        <v>600</v>
      </c>
      <c r="I2822" t="s">
        <v>601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</row>
    <row r="2823" spans="1:25" hidden="1">
      <c r="A2823" t="s">
        <v>18811</v>
      </c>
      <c r="B2823" t="s">
        <v>2101</v>
      </c>
      <c r="C2823" t="s">
        <v>2075</v>
      </c>
      <c r="D2823" t="s">
        <v>2090</v>
      </c>
      <c r="E2823" t="s">
        <v>2102</v>
      </c>
      <c r="F2823" t="s">
        <v>598</v>
      </c>
      <c r="G2823" t="s">
        <v>478</v>
      </c>
      <c r="H2823" t="s">
        <v>600</v>
      </c>
      <c r="I2823" t="s">
        <v>601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</row>
    <row r="2824" spans="1:25" hidden="1">
      <c r="A2824" t="s">
        <v>18811</v>
      </c>
      <c r="B2824" t="s">
        <v>2106</v>
      </c>
      <c r="C2824" t="s">
        <v>2075</v>
      </c>
      <c r="D2824" t="s">
        <v>648</v>
      </c>
      <c r="E2824" t="s">
        <v>1378</v>
      </c>
      <c r="F2824" t="s">
        <v>598</v>
      </c>
      <c r="G2824" t="s">
        <v>478</v>
      </c>
      <c r="H2824" t="s">
        <v>600</v>
      </c>
      <c r="I2824" t="s">
        <v>601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hidden="1">
      <c r="A2825" t="s">
        <v>18811</v>
      </c>
      <c r="B2825" t="s">
        <v>2107</v>
      </c>
      <c r="C2825" t="s">
        <v>2075</v>
      </c>
      <c r="D2825" t="s">
        <v>648</v>
      </c>
      <c r="E2825" t="s">
        <v>2081</v>
      </c>
      <c r="F2825" t="s">
        <v>598</v>
      </c>
      <c r="G2825" t="s">
        <v>478</v>
      </c>
      <c r="H2825" t="s">
        <v>600</v>
      </c>
      <c r="I2825" t="s">
        <v>601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</row>
    <row r="2826" spans="1:25" hidden="1">
      <c r="A2826" t="s">
        <v>18811</v>
      </c>
      <c r="B2826" t="s">
        <v>2109</v>
      </c>
      <c r="C2826" t="s">
        <v>2075</v>
      </c>
      <c r="D2826" t="s">
        <v>648</v>
      </c>
      <c r="E2826" t="s">
        <v>2022</v>
      </c>
      <c r="F2826" t="s">
        <v>598</v>
      </c>
      <c r="G2826" t="s">
        <v>478</v>
      </c>
      <c r="H2826" t="s">
        <v>600</v>
      </c>
      <c r="I2826" t="s">
        <v>601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hidden="1">
      <c r="A2827" t="s">
        <v>18811</v>
      </c>
      <c r="B2827" t="s">
        <v>2111</v>
      </c>
      <c r="C2827" t="s">
        <v>2075</v>
      </c>
      <c r="D2827" t="s">
        <v>648</v>
      </c>
      <c r="E2827" t="s">
        <v>2099</v>
      </c>
      <c r="F2827" t="s">
        <v>598</v>
      </c>
      <c r="G2827" t="s">
        <v>478</v>
      </c>
      <c r="H2827" t="s">
        <v>600</v>
      </c>
      <c r="I2827" t="s">
        <v>601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</row>
    <row r="2828" spans="1:25" hidden="1">
      <c r="A2828" t="s">
        <v>18811</v>
      </c>
      <c r="B2828" t="s">
        <v>2117</v>
      </c>
      <c r="C2828" t="s">
        <v>2116</v>
      </c>
      <c r="D2828" t="s">
        <v>2118</v>
      </c>
      <c r="E2828" t="s">
        <v>2119</v>
      </c>
      <c r="F2828" t="s">
        <v>598</v>
      </c>
      <c r="G2828" t="s">
        <v>478</v>
      </c>
      <c r="H2828" t="s">
        <v>600</v>
      </c>
      <c r="I2828" t="s">
        <v>601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hidden="1">
      <c r="A2829" t="s">
        <v>18811</v>
      </c>
      <c r="B2829" t="s">
        <v>2120</v>
      </c>
      <c r="C2829" t="s">
        <v>2116</v>
      </c>
      <c r="D2829" t="s">
        <v>2121</v>
      </c>
      <c r="E2829" t="s">
        <v>2119</v>
      </c>
      <c r="F2829" t="s">
        <v>598</v>
      </c>
      <c r="G2829" t="s">
        <v>478</v>
      </c>
      <c r="H2829" t="s">
        <v>600</v>
      </c>
      <c r="I2829" t="s">
        <v>601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25" hidden="1">
      <c r="A2830" t="s">
        <v>18811</v>
      </c>
      <c r="B2830" t="s">
        <v>2122</v>
      </c>
      <c r="C2830" t="s">
        <v>2116</v>
      </c>
      <c r="D2830" t="s">
        <v>2121</v>
      </c>
      <c r="E2830" t="s">
        <v>1910</v>
      </c>
      <c r="F2830" t="s">
        <v>598</v>
      </c>
      <c r="G2830" t="s">
        <v>478</v>
      </c>
      <c r="H2830" t="s">
        <v>600</v>
      </c>
      <c r="I2830" t="s">
        <v>601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hidden="1">
      <c r="A2831" t="s">
        <v>18811</v>
      </c>
      <c r="B2831" t="s">
        <v>2123</v>
      </c>
      <c r="C2831" t="s">
        <v>2116</v>
      </c>
      <c r="D2831" t="s">
        <v>2124</v>
      </c>
      <c r="E2831" t="s">
        <v>2125</v>
      </c>
      <c r="F2831" t="s">
        <v>598</v>
      </c>
      <c r="G2831" t="s">
        <v>478</v>
      </c>
      <c r="H2831" t="s">
        <v>600</v>
      </c>
      <c r="I2831" t="s">
        <v>601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hidden="1">
      <c r="A2832" t="s">
        <v>18811</v>
      </c>
      <c r="B2832" t="s">
        <v>2126</v>
      </c>
      <c r="C2832" t="s">
        <v>2116</v>
      </c>
      <c r="D2832" t="s">
        <v>2127</v>
      </c>
      <c r="E2832" t="s">
        <v>656</v>
      </c>
      <c r="F2832" t="s">
        <v>598</v>
      </c>
      <c r="G2832" t="s">
        <v>478</v>
      </c>
      <c r="H2832" t="s">
        <v>600</v>
      </c>
      <c r="I2832" t="s">
        <v>601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</row>
    <row r="2833" spans="1:25" hidden="1">
      <c r="A2833" t="s">
        <v>18811</v>
      </c>
      <c r="B2833" t="s">
        <v>2128</v>
      </c>
      <c r="C2833" t="s">
        <v>2116</v>
      </c>
      <c r="D2833" t="s">
        <v>648</v>
      </c>
      <c r="E2833" t="s">
        <v>656</v>
      </c>
      <c r="F2833" t="s">
        <v>598</v>
      </c>
      <c r="G2833" t="s">
        <v>478</v>
      </c>
      <c r="H2833" t="s">
        <v>600</v>
      </c>
      <c r="I2833" t="s">
        <v>601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25" hidden="1">
      <c r="A2834" t="s">
        <v>18811</v>
      </c>
      <c r="B2834" t="s">
        <v>2129</v>
      </c>
      <c r="C2834" t="s">
        <v>2116</v>
      </c>
      <c r="D2834" t="s">
        <v>648</v>
      </c>
      <c r="E2834" t="s">
        <v>2119</v>
      </c>
      <c r="F2834" t="s">
        <v>598</v>
      </c>
      <c r="G2834" t="s">
        <v>478</v>
      </c>
      <c r="H2834" t="s">
        <v>600</v>
      </c>
      <c r="I2834" t="s">
        <v>601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hidden="1">
      <c r="A2835" t="s">
        <v>18811</v>
      </c>
      <c r="B2835" t="s">
        <v>2130</v>
      </c>
      <c r="C2835" t="s">
        <v>2131</v>
      </c>
      <c r="D2835" t="s">
        <v>1350</v>
      </c>
      <c r="E2835" t="s">
        <v>1684</v>
      </c>
      <c r="F2835" t="s">
        <v>598</v>
      </c>
      <c r="G2835" t="s">
        <v>478</v>
      </c>
      <c r="H2835" t="s">
        <v>600</v>
      </c>
      <c r="I2835" t="s">
        <v>601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hidden="1">
      <c r="A2836" t="s">
        <v>18811</v>
      </c>
      <c r="B2836" t="s">
        <v>2133</v>
      </c>
      <c r="C2836" t="s">
        <v>2131</v>
      </c>
      <c r="D2836" t="s">
        <v>2134</v>
      </c>
      <c r="E2836" t="s">
        <v>2135</v>
      </c>
      <c r="F2836" t="s">
        <v>598</v>
      </c>
      <c r="G2836" t="s">
        <v>478</v>
      </c>
      <c r="H2836" t="s">
        <v>600</v>
      </c>
      <c r="I2836" t="s">
        <v>601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hidden="1">
      <c r="A2837" t="s">
        <v>18811</v>
      </c>
      <c r="B2837" t="s">
        <v>2136</v>
      </c>
      <c r="C2837" t="s">
        <v>2131</v>
      </c>
      <c r="D2837" t="s">
        <v>2134</v>
      </c>
      <c r="E2837" t="s">
        <v>2137</v>
      </c>
      <c r="F2837" t="s">
        <v>598</v>
      </c>
      <c r="G2837" t="s">
        <v>478</v>
      </c>
      <c r="H2837" t="s">
        <v>600</v>
      </c>
      <c r="I2837" t="s">
        <v>601</v>
      </c>
      <c r="J2837">
        <v>1.7911999999999999</v>
      </c>
      <c r="K2837">
        <v>1.7911999999999999</v>
      </c>
      <c r="L2837">
        <v>1.7911999999999999</v>
      </c>
      <c r="M2837">
        <v>1.7911999999999999</v>
      </c>
      <c r="N2837">
        <v>1.7911999999999999</v>
      </c>
      <c r="O2837">
        <v>1.7911999999999999</v>
      </c>
      <c r="P2837">
        <v>1.7911999999999999</v>
      </c>
      <c r="Q2837">
        <v>1.7911999999999999</v>
      </c>
      <c r="R2837">
        <v>1.7911999999999999</v>
      </c>
      <c r="S2837">
        <v>1.7911999999999999</v>
      </c>
      <c r="T2837">
        <v>1.7911999999999999</v>
      </c>
      <c r="U2837">
        <v>1.7911999999999999</v>
      </c>
      <c r="V2837">
        <v>1.7911999999999999</v>
      </c>
      <c r="W2837">
        <v>1.7911999999999999</v>
      </c>
      <c r="X2837">
        <v>1.7911999999999999</v>
      </c>
      <c r="Y2837">
        <v>1.7911999999999999</v>
      </c>
    </row>
    <row r="2838" spans="1:25" hidden="1">
      <c r="A2838" t="s">
        <v>18811</v>
      </c>
      <c r="B2838" t="s">
        <v>2138</v>
      </c>
      <c r="C2838" t="s">
        <v>2131</v>
      </c>
      <c r="D2838" t="s">
        <v>2134</v>
      </c>
      <c r="E2838" t="s">
        <v>2139</v>
      </c>
      <c r="F2838" t="s">
        <v>598</v>
      </c>
      <c r="G2838" t="s">
        <v>478</v>
      </c>
      <c r="H2838" t="s">
        <v>600</v>
      </c>
      <c r="I2838" t="s">
        <v>601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hidden="1">
      <c r="A2839" t="s">
        <v>18811</v>
      </c>
      <c r="B2839" t="s">
        <v>2140</v>
      </c>
      <c r="C2839" t="s">
        <v>2131</v>
      </c>
      <c r="D2839" t="s">
        <v>2134</v>
      </c>
      <c r="E2839" t="s">
        <v>2141</v>
      </c>
      <c r="F2839" t="s">
        <v>598</v>
      </c>
      <c r="G2839" t="s">
        <v>478</v>
      </c>
      <c r="H2839" t="s">
        <v>600</v>
      </c>
      <c r="I2839" t="s">
        <v>601</v>
      </c>
      <c r="J2839">
        <v>1.3531</v>
      </c>
      <c r="K2839">
        <v>1.4078999999999999</v>
      </c>
      <c r="L2839">
        <v>1.4644999999999999</v>
      </c>
      <c r="M2839">
        <v>1.4866999999999999</v>
      </c>
      <c r="N2839">
        <v>1.5089999999999999</v>
      </c>
      <c r="O2839">
        <v>1.5313000000000001</v>
      </c>
      <c r="P2839">
        <v>1.6220000000000001</v>
      </c>
      <c r="Q2839">
        <v>1.7128000000000001</v>
      </c>
      <c r="R2839">
        <v>1.7128000000000001</v>
      </c>
      <c r="S2839">
        <v>1.7128000000000001</v>
      </c>
      <c r="T2839">
        <v>1.7128000000000001</v>
      </c>
      <c r="U2839">
        <v>1.7128000000000001</v>
      </c>
      <c r="V2839">
        <v>1.7128000000000001</v>
      </c>
      <c r="W2839">
        <v>1.7128000000000001</v>
      </c>
      <c r="X2839">
        <v>1.7128000000000001</v>
      </c>
      <c r="Y2839">
        <v>1.7128000000000001</v>
      </c>
    </row>
    <row r="2840" spans="1:25" hidden="1">
      <c r="A2840" t="s">
        <v>18811</v>
      </c>
      <c r="B2840" t="s">
        <v>2145</v>
      </c>
      <c r="C2840" t="s">
        <v>2144</v>
      </c>
      <c r="D2840" t="s">
        <v>1435</v>
      </c>
      <c r="E2840" t="s">
        <v>973</v>
      </c>
      <c r="F2840" t="s">
        <v>598</v>
      </c>
      <c r="G2840" t="s">
        <v>478</v>
      </c>
      <c r="H2840" t="s">
        <v>600</v>
      </c>
      <c r="I2840" t="s">
        <v>601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hidden="1">
      <c r="A2841" t="s">
        <v>18811</v>
      </c>
      <c r="B2841" t="s">
        <v>2150</v>
      </c>
      <c r="C2841" t="s">
        <v>2144</v>
      </c>
      <c r="D2841" t="s">
        <v>648</v>
      </c>
      <c r="E2841" t="s">
        <v>1393</v>
      </c>
      <c r="F2841" t="s">
        <v>598</v>
      </c>
      <c r="G2841" t="s">
        <v>478</v>
      </c>
      <c r="H2841" t="s">
        <v>600</v>
      </c>
      <c r="I2841" t="s">
        <v>601</v>
      </c>
      <c r="J2841">
        <v>1E-4</v>
      </c>
      <c r="K2841">
        <v>1E-4</v>
      </c>
      <c r="L2841">
        <v>1E-4</v>
      </c>
      <c r="M2841">
        <v>1E-4</v>
      </c>
      <c r="N2841">
        <v>1E-4</v>
      </c>
      <c r="O2841">
        <v>1E-4</v>
      </c>
      <c r="P2841">
        <v>1E-4</v>
      </c>
      <c r="Q2841">
        <v>1E-4</v>
      </c>
      <c r="R2841">
        <v>1E-4</v>
      </c>
      <c r="S2841">
        <v>1E-4</v>
      </c>
      <c r="T2841">
        <v>1E-4</v>
      </c>
      <c r="U2841">
        <v>1E-4</v>
      </c>
      <c r="V2841">
        <v>1E-4</v>
      </c>
      <c r="W2841">
        <v>1E-4</v>
      </c>
      <c r="X2841">
        <v>1E-4</v>
      </c>
      <c r="Y2841">
        <v>1E-4</v>
      </c>
    </row>
    <row r="2842" spans="1:25" hidden="1">
      <c r="A2842" t="s">
        <v>18811</v>
      </c>
      <c r="B2842" t="s">
        <v>2153</v>
      </c>
      <c r="C2842" t="s">
        <v>2154</v>
      </c>
      <c r="D2842" t="s">
        <v>1392</v>
      </c>
      <c r="E2842" t="s">
        <v>1393</v>
      </c>
      <c r="F2842" t="s">
        <v>598</v>
      </c>
      <c r="G2842" t="s">
        <v>478</v>
      </c>
      <c r="H2842" t="s">
        <v>600</v>
      </c>
      <c r="I2842" t="s">
        <v>601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hidden="1">
      <c r="A2843" t="s">
        <v>18811</v>
      </c>
      <c r="B2843" t="s">
        <v>2157</v>
      </c>
      <c r="C2843" t="s">
        <v>2154</v>
      </c>
      <c r="D2843" t="s">
        <v>1320</v>
      </c>
      <c r="E2843" t="s">
        <v>688</v>
      </c>
      <c r="F2843" t="s">
        <v>598</v>
      </c>
      <c r="G2843" t="s">
        <v>478</v>
      </c>
      <c r="H2843" t="s">
        <v>600</v>
      </c>
      <c r="I2843" t="s">
        <v>601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hidden="1">
      <c r="A2844" t="s">
        <v>18811</v>
      </c>
      <c r="B2844" t="s">
        <v>2160</v>
      </c>
      <c r="C2844" t="s">
        <v>2154</v>
      </c>
      <c r="D2844" t="s">
        <v>1324</v>
      </c>
      <c r="E2844" t="s">
        <v>1340</v>
      </c>
      <c r="F2844" t="s">
        <v>598</v>
      </c>
      <c r="G2844" t="s">
        <v>478</v>
      </c>
      <c r="H2844" t="s">
        <v>600</v>
      </c>
      <c r="I2844" t="s">
        <v>601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hidden="1">
      <c r="A2845" t="s">
        <v>18811</v>
      </c>
      <c r="B2845" t="s">
        <v>2162</v>
      </c>
      <c r="C2845" t="s">
        <v>2154</v>
      </c>
      <c r="D2845" t="s">
        <v>1324</v>
      </c>
      <c r="E2845" t="s">
        <v>1733</v>
      </c>
      <c r="F2845" t="s">
        <v>598</v>
      </c>
      <c r="G2845" t="s">
        <v>478</v>
      </c>
      <c r="H2845" t="s">
        <v>600</v>
      </c>
      <c r="I2845" t="s">
        <v>601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 hidden="1">
      <c r="A2846" t="s">
        <v>18811</v>
      </c>
      <c r="B2846" t="s">
        <v>2166</v>
      </c>
      <c r="C2846" t="s">
        <v>2154</v>
      </c>
      <c r="D2846" t="s">
        <v>1332</v>
      </c>
      <c r="E2846" t="s">
        <v>1340</v>
      </c>
      <c r="F2846" t="s">
        <v>598</v>
      </c>
      <c r="G2846" t="s">
        <v>478</v>
      </c>
      <c r="H2846" t="s">
        <v>600</v>
      </c>
      <c r="I2846" t="s">
        <v>601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hidden="1">
      <c r="A2847" t="s">
        <v>18811</v>
      </c>
      <c r="B2847" t="s">
        <v>2168</v>
      </c>
      <c r="C2847" t="s">
        <v>2154</v>
      </c>
      <c r="D2847" t="s">
        <v>1332</v>
      </c>
      <c r="E2847" t="s">
        <v>954</v>
      </c>
      <c r="F2847" t="s">
        <v>598</v>
      </c>
      <c r="G2847" t="s">
        <v>478</v>
      </c>
      <c r="H2847" t="s">
        <v>600</v>
      </c>
      <c r="I2847" t="s">
        <v>601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hidden="1">
      <c r="A2848" t="s">
        <v>18811</v>
      </c>
      <c r="B2848" t="s">
        <v>2171</v>
      </c>
      <c r="C2848" t="s">
        <v>2154</v>
      </c>
      <c r="D2848" t="s">
        <v>1350</v>
      </c>
      <c r="E2848" t="s">
        <v>1684</v>
      </c>
      <c r="F2848" t="s">
        <v>598</v>
      </c>
      <c r="G2848" t="s">
        <v>478</v>
      </c>
      <c r="H2848" t="s">
        <v>600</v>
      </c>
      <c r="I2848" t="s">
        <v>601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hidden="1">
      <c r="A2849" t="s">
        <v>18811</v>
      </c>
      <c r="B2849" t="s">
        <v>2172</v>
      </c>
      <c r="C2849" t="s">
        <v>2154</v>
      </c>
      <c r="D2849" t="s">
        <v>1435</v>
      </c>
      <c r="E2849" t="s">
        <v>973</v>
      </c>
      <c r="F2849" t="s">
        <v>598</v>
      </c>
      <c r="G2849" t="s">
        <v>478</v>
      </c>
      <c r="H2849" t="s">
        <v>600</v>
      </c>
      <c r="I2849" t="s">
        <v>601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hidden="1">
      <c r="A2850" t="s">
        <v>18811</v>
      </c>
      <c r="B2850" t="s">
        <v>2173</v>
      </c>
      <c r="C2850" t="s">
        <v>2154</v>
      </c>
      <c r="D2850" t="s">
        <v>1354</v>
      </c>
      <c r="E2850" t="s">
        <v>973</v>
      </c>
      <c r="F2850" t="s">
        <v>598</v>
      </c>
      <c r="G2850" t="s">
        <v>478</v>
      </c>
      <c r="H2850" t="s">
        <v>600</v>
      </c>
      <c r="I2850" t="s">
        <v>601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hidden="1">
      <c r="A2851" t="s">
        <v>18811</v>
      </c>
      <c r="B2851" t="s">
        <v>2187</v>
      </c>
      <c r="C2851" t="s">
        <v>2154</v>
      </c>
      <c r="D2851" t="s">
        <v>648</v>
      </c>
      <c r="E2851" t="s">
        <v>920</v>
      </c>
      <c r="F2851" t="s">
        <v>598</v>
      </c>
      <c r="G2851" t="s">
        <v>478</v>
      </c>
      <c r="H2851" t="s">
        <v>600</v>
      </c>
      <c r="I2851" t="s">
        <v>601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 hidden="1">
      <c r="A2852" t="s">
        <v>18811</v>
      </c>
      <c r="B2852" t="s">
        <v>2188</v>
      </c>
      <c r="C2852" t="s">
        <v>2154</v>
      </c>
      <c r="D2852" t="s">
        <v>648</v>
      </c>
      <c r="E2852" t="s">
        <v>973</v>
      </c>
      <c r="F2852" t="s">
        <v>598</v>
      </c>
      <c r="G2852" t="s">
        <v>478</v>
      </c>
      <c r="H2852" t="s">
        <v>600</v>
      </c>
      <c r="I2852" t="s">
        <v>601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hidden="1">
      <c r="A2853" t="s">
        <v>18811</v>
      </c>
      <c r="B2853" t="s">
        <v>2189</v>
      </c>
      <c r="C2853" t="s">
        <v>2154</v>
      </c>
      <c r="D2853" t="s">
        <v>648</v>
      </c>
      <c r="E2853" t="s">
        <v>611</v>
      </c>
      <c r="F2853" t="s">
        <v>598</v>
      </c>
      <c r="G2853" t="s">
        <v>478</v>
      </c>
      <c r="H2853" t="s">
        <v>600</v>
      </c>
      <c r="I2853" t="s">
        <v>601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hidden="1">
      <c r="A2854" t="s">
        <v>18811</v>
      </c>
      <c r="B2854" t="s">
        <v>2190</v>
      </c>
      <c r="C2854" t="s">
        <v>2154</v>
      </c>
      <c r="D2854" t="s">
        <v>648</v>
      </c>
      <c r="E2854" t="s">
        <v>656</v>
      </c>
      <c r="F2854" t="s">
        <v>598</v>
      </c>
      <c r="G2854" t="s">
        <v>478</v>
      </c>
      <c r="H2854" t="s">
        <v>600</v>
      </c>
      <c r="I2854" t="s">
        <v>601</v>
      </c>
      <c r="J2854">
        <v>2.9999999999999997E-4</v>
      </c>
      <c r="K2854">
        <v>2.9999999999999997E-4</v>
      </c>
      <c r="L2854">
        <v>2.9999999999999997E-4</v>
      </c>
      <c r="M2854">
        <v>2.9999999999999997E-4</v>
      </c>
      <c r="N2854">
        <v>2.9999999999999997E-4</v>
      </c>
      <c r="O2854">
        <v>2.9999999999999997E-4</v>
      </c>
      <c r="P2854">
        <v>2.9999999999999997E-4</v>
      </c>
      <c r="Q2854">
        <v>2.9999999999999997E-4</v>
      </c>
      <c r="R2854">
        <v>2.9999999999999997E-4</v>
      </c>
      <c r="S2854">
        <v>2.9999999999999997E-4</v>
      </c>
      <c r="T2854">
        <v>2.9999999999999997E-4</v>
      </c>
      <c r="U2854">
        <v>2.9999999999999997E-4</v>
      </c>
      <c r="V2854">
        <v>4.0000000000000002E-4</v>
      </c>
      <c r="W2854">
        <v>4.0000000000000002E-4</v>
      </c>
      <c r="X2854">
        <v>4.0000000000000002E-4</v>
      </c>
      <c r="Y2854">
        <v>4.0000000000000002E-4</v>
      </c>
    </row>
    <row r="2855" spans="1:25" hidden="1">
      <c r="A2855" t="s">
        <v>18811</v>
      </c>
      <c r="B2855" t="s">
        <v>2191</v>
      </c>
      <c r="C2855" t="s">
        <v>2154</v>
      </c>
      <c r="D2855" t="s">
        <v>648</v>
      </c>
      <c r="E2855" t="s">
        <v>1340</v>
      </c>
      <c r="F2855" t="s">
        <v>598</v>
      </c>
      <c r="G2855" t="s">
        <v>478</v>
      </c>
      <c r="H2855" t="s">
        <v>600</v>
      </c>
      <c r="I2855" t="s">
        <v>601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hidden="1">
      <c r="A2856" t="s">
        <v>18811</v>
      </c>
      <c r="B2856" t="s">
        <v>2196</v>
      </c>
      <c r="C2856" t="s">
        <v>2154</v>
      </c>
      <c r="D2856" t="s">
        <v>648</v>
      </c>
      <c r="E2856" t="s">
        <v>1393</v>
      </c>
      <c r="F2856" t="s">
        <v>598</v>
      </c>
      <c r="G2856" t="s">
        <v>478</v>
      </c>
      <c r="H2856" t="s">
        <v>600</v>
      </c>
      <c r="I2856" t="s">
        <v>601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hidden="1">
      <c r="A2857" t="s">
        <v>18811</v>
      </c>
      <c r="B2857" t="s">
        <v>2199</v>
      </c>
      <c r="C2857" t="s">
        <v>2154</v>
      </c>
      <c r="D2857" t="s">
        <v>648</v>
      </c>
      <c r="E2857" t="s">
        <v>1014</v>
      </c>
      <c r="F2857" t="s">
        <v>598</v>
      </c>
      <c r="G2857" t="s">
        <v>478</v>
      </c>
      <c r="H2857" t="s">
        <v>600</v>
      </c>
      <c r="I2857" t="s">
        <v>601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hidden="1">
      <c r="A2858" t="s">
        <v>18811</v>
      </c>
      <c r="B2858" t="s">
        <v>2201</v>
      </c>
      <c r="C2858" t="s">
        <v>2154</v>
      </c>
      <c r="D2858" t="s">
        <v>648</v>
      </c>
      <c r="E2858" t="s">
        <v>1872</v>
      </c>
      <c r="F2858" t="s">
        <v>598</v>
      </c>
      <c r="G2858" t="s">
        <v>478</v>
      </c>
      <c r="H2858" t="s">
        <v>600</v>
      </c>
      <c r="I2858" t="s">
        <v>601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hidden="1">
      <c r="A2859" t="s">
        <v>18811</v>
      </c>
      <c r="B2859" t="s">
        <v>2202</v>
      </c>
      <c r="C2859" t="s">
        <v>2154</v>
      </c>
      <c r="D2859" t="s">
        <v>648</v>
      </c>
      <c r="E2859" t="s">
        <v>1896</v>
      </c>
      <c r="F2859" t="s">
        <v>598</v>
      </c>
      <c r="G2859" t="s">
        <v>478</v>
      </c>
      <c r="H2859" t="s">
        <v>600</v>
      </c>
      <c r="I2859" t="s">
        <v>601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</row>
    <row r="2860" spans="1:25" hidden="1">
      <c r="A2860" t="s">
        <v>18811</v>
      </c>
      <c r="B2860" t="s">
        <v>2207</v>
      </c>
      <c r="C2860" t="s">
        <v>2154</v>
      </c>
      <c r="D2860" t="s">
        <v>648</v>
      </c>
      <c r="E2860" t="s">
        <v>1378</v>
      </c>
      <c r="F2860" t="s">
        <v>598</v>
      </c>
      <c r="G2860" t="s">
        <v>478</v>
      </c>
      <c r="H2860" t="s">
        <v>600</v>
      </c>
      <c r="I2860" t="s">
        <v>601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 hidden="1">
      <c r="A2861" t="s">
        <v>18811</v>
      </c>
      <c r="B2861" t="s">
        <v>2209</v>
      </c>
      <c r="C2861" t="s">
        <v>2154</v>
      </c>
      <c r="D2861" t="s">
        <v>648</v>
      </c>
      <c r="E2861" t="s">
        <v>1004</v>
      </c>
      <c r="F2861" t="s">
        <v>598</v>
      </c>
      <c r="G2861" t="s">
        <v>478</v>
      </c>
      <c r="H2861" t="s">
        <v>600</v>
      </c>
      <c r="I2861" t="s">
        <v>601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</row>
    <row r="2862" spans="1:25">
      <c r="J2862">
        <f t="shared" ref="J2862:Y2862" si="10">SUBTOTAL(109,J2231:J2861)</f>
        <v>4.0392999999999999</v>
      </c>
      <c r="K2862">
        <f t="shared" si="10"/>
        <v>4.1609999999999996</v>
      </c>
      <c r="L2862">
        <f t="shared" si="10"/>
        <v>4.2366000000000001</v>
      </c>
      <c r="M2862">
        <f t="shared" si="10"/>
        <v>4.2749999999999995</v>
      </c>
      <c r="N2862">
        <f t="shared" si="10"/>
        <v>4.2973999999999997</v>
      </c>
      <c r="O2862">
        <f t="shared" si="10"/>
        <v>4.2545999999999999</v>
      </c>
      <c r="P2862">
        <f t="shared" si="10"/>
        <v>4.2707999999999995</v>
      </c>
      <c r="Q2862">
        <f t="shared" si="10"/>
        <v>4.3079000000000001</v>
      </c>
      <c r="R2862">
        <f t="shared" si="10"/>
        <v>4.3321999999999994</v>
      </c>
      <c r="S2862">
        <f t="shared" si="10"/>
        <v>4.3907999999999996</v>
      </c>
      <c r="T2862">
        <f t="shared" si="10"/>
        <v>4.4562999999999997</v>
      </c>
      <c r="U2862">
        <f t="shared" si="10"/>
        <v>4.5048000000000004</v>
      </c>
      <c r="V2862">
        <f t="shared" si="10"/>
        <v>4.5278</v>
      </c>
      <c r="W2862">
        <f t="shared" si="10"/>
        <v>4.5785999999999998</v>
      </c>
      <c r="X2862">
        <f t="shared" si="10"/>
        <v>4.6400999999999994</v>
      </c>
      <c r="Y2862">
        <f t="shared" si="10"/>
        <v>4.6742999999999997</v>
      </c>
    </row>
    <row r="2864" spans="1:25">
      <c r="A2864" t="s">
        <v>569</v>
      </c>
      <c r="B2864" t="s">
        <v>570</v>
      </c>
      <c r="C2864" t="s">
        <v>571</v>
      </c>
      <c r="D2864" t="s">
        <v>572</v>
      </c>
      <c r="E2864" t="s">
        <v>573</v>
      </c>
      <c r="F2864" t="s">
        <v>574</v>
      </c>
      <c r="G2864" t="s">
        <v>575</v>
      </c>
      <c r="H2864" t="s">
        <v>576</v>
      </c>
      <c r="I2864" t="s">
        <v>577</v>
      </c>
      <c r="J2864" t="s">
        <v>578</v>
      </c>
      <c r="K2864" t="s">
        <v>579</v>
      </c>
      <c r="L2864" t="s">
        <v>580</v>
      </c>
      <c r="M2864" t="s">
        <v>581</v>
      </c>
      <c r="N2864" t="s">
        <v>582</v>
      </c>
      <c r="O2864" t="s">
        <v>583</v>
      </c>
      <c r="P2864" t="s">
        <v>584</v>
      </c>
      <c r="Q2864" t="s">
        <v>585</v>
      </c>
      <c r="R2864" t="s">
        <v>586</v>
      </c>
      <c r="S2864" t="s">
        <v>587</v>
      </c>
      <c r="T2864" t="s">
        <v>588</v>
      </c>
      <c r="U2864" t="s">
        <v>589</v>
      </c>
      <c r="V2864" t="s">
        <v>590</v>
      </c>
      <c r="W2864" t="s">
        <v>591</v>
      </c>
      <c r="X2864" t="s">
        <v>592</v>
      </c>
      <c r="Y2864" t="s">
        <v>593</v>
      </c>
    </row>
    <row r="2865" spans="1:25">
      <c r="A2865" t="s">
        <v>18812</v>
      </c>
      <c r="B2865" t="s">
        <v>594</v>
      </c>
      <c r="C2865" t="s">
        <v>595</v>
      </c>
      <c r="D2865" t="s">
        <v>596</v>
      </c>
      <c r="E2865" t="s">
        <v>597</v>
      </c>
      <c r="F2865" t="s">
        <v>598</v>
      </c>
      <c r="G2865" t="s">
        <v>478</v>
      </c>
      <c r="H2865" t="s">
        <v>600</v>
      </c>
      <c r="I2865" t="s">
        <v>601</v>
      </c>
      <c r="J2865">
        <v>0.1105</v>
      </c>
      <c r="K2865">
        <v>0.1162</v>
      </c>
      <c r="L2865">
        <v>0.1169</v>
      </c>
      <c r="M2865">
        <v>0.1134</v>
      </c>
      <c r="N2865">
        <v>0.11840000000000001</v>
      </c>
      <c r="O2865">
        <v>0.1177</v>
      </c>
      <c r="P2865">
        <v>0.1179</v>
      </c>
      <c r="Q2865">
        <v>0.1182</v>
      </c>
      <c r="R2865">
        <v>0.1183</v>
      </c>
      <c r="S2865">
        <v>0.1186</v>
      </c>
      <c r="T2865">
        <v>0.1187</v>
      </c>
      <c r="U2865">
        <v>0.11890000000000001</v>
      </c>
      <c r="V2865">
        <v>0.1191</v>
      </c>
      <c r="W2865">
        <v>0.1193</v>
      </c>
      <c r="X2865">
        <v>0.1195</v>
      </c>
      <c r="Y2865">
        <v>0.1198</v>
      </c>
    </row>
    <row r="2866" spans="1:25">
      <c r="A2866" t="s">
        <v>18812</v>
      </c>
      <c r="B2866" t="s">
        <v>608</v>
      </c>
      <c r="C2866" t="s">
        <v>595</v>
      </c>
      <c r="D2866" t="s">
        <v>596</v>
      </c>
      <c r="E2866" t="s">
        <v>609</v>
      </c>
      <c r="F2866" t="s">
        <v>598</v>
      </c>
      <c r="G2866" t="s">
        <v>478</v>
      </c>
      <c r="H2866" t="s">
        <v>600</v>
      </c>
      <c r="I2866" t="s">
        <v>601</v>
      </c>
      <c r="J2866">
        <v>8.9999999999999998E-4</v>
      </c>
      <c r="K2866">
        <v>8.9999999999999998E-4</v>
      </c>
      <c r="L2866">
        <v>1E-3</v>
      </c>
      <c r="M2866">
        <v>1E-3</v>
      </c>
      <c r="N2866">
        <v>1E-3</v>
      </c>
      <c r="O2866">
        <v>1E-3</v>
      </c>
      <c r="P2866">
        <v>1E-3</v>
      </c>
      <c r="Q2866">
        <v>1E-3</v>
      </c>
      <c r="R2866">
        <v>1E-3</v>
      </c>
      <c r="S2866">
        <v>1E-3</v>
      </c>
      <c r="T2866">
        <v>1E-3</v>
      </c>
      <c r="U2866">
        <v>1E-3</v>
      </c>
      <c r="V2866">
        <v>1E-3</v>
      </c>
      <c r="W2866">
        <v>1E-3</v>
      </c>
      <c r="X2866">
        <v>1E-3</v>
      </c>
      <c r="Y2866">
        <v>1E-3</v>
      </c>
    </row>
    <row r="2867" spans="1:25">
      <c r="A2867" t="s">
        <v>18812</v>
      </c>
      <c r="B2867" t="s">
        <v>622</v>
      </c>
      <c r="C2867" t="s">
        <v>595</v>
      </c>
      <c r="D2867" t="s">
        <v>621</v>
      </c>
      <c r="E2867" t="s">
        <v>605</v>
      </c>
      <c r="F2867" t="s">
        <v>598</v>
      </c>
      <c r="G2867" t="s">
        <v>478</v>
      </c>
      <c r="H2867" t="s">
        <v>600</v>
      </c>
      <c r="I2867" t="s">
        <v>601</v>
      </c>
      <c r="J2867">
        <v>3.4599999999999999E-2</v>
      </c>
      <c r="K2867">
        <v>3.5099999999999999E-2</v>
      </c>
      <c r="L2867">
        <v>3.56E-2</v>
      </c>
      <c r="M2867">
        <v>3.6200000000000003E-2</v>
      </c>
      <c r="N2867">
        <v>3.6700000000000003E-2</v>
      </c>
      <c r="O2867">
        <v>3.7199999999999997E-2</v>
      </c>
      <c r="P2867">
        <v>3.7400000000000003E-2</v>
      </c>
      <c r="Q2867">
        <v>3.7699999999999997E-2</v>
      </c>
      <c r="R2867">
        <v>3.7900000000000003E-2</v>
      </c>
      <c r="S2867">
        <v>3.8100000000000002E-2</v>
      </c>
      <c r="T2867">
        <v>3.8399999999999997E-2</v>
      </c>
      <c r="U2867">
        <v>3.8600000000000002E-2</v>
      </c>
      <c r="V2867">
        <v>3.8800000000000001E-2</v>
      </c>
      <c r="W2867">
        <v>3.9E-2</v>
      </c>
      <c r="X2867">
        <v>3.9300000000000002E-2</v>
      </c>
      <c r="Y2867">
        <v>3.95E-2</v>
      </c>
    </row>
    <row r="2868" spans="1:25">
      <c r="A2868" t="s">
        <v>18812</v>
      </c>
      <c r="B2868" t="s">
        <v>623</v>
      </c>
      <c r="C2868" t="s">
        <v>595</v>
      </c>
      <c r="D2868" t="s">
        <v>621</v>
      </c>
      <c r="E2868" t="s">
        <v>624</v>
      </c>
      <c r="F2868" t="s">
        <v>598</v>
      </c>
      <c r="G2868" t="s">
        <v>478</v>
      </c>
      <c r="H2868" t="s">
        <v>600</v>
      </c>
      <c r="I2868" t="s">
        <v>601</v>
      </c>
      <c r="J2868">
        <v>5.4000000000000003E-3</v>
      </c>
      <c r="K2868">
        <v>5.4999999999999997E-3</v>
      </c>
      <c r="L2868">
        <v>5.5999999999999999E-3</v>
      </c>
      <c r="M2868">
        <v>5.7000000000000002E-3</v>
      </c>
      <c r="N2868">
        <v>5.7000000000000002E-3</v>
      </c>
      <c r="O2868">
        <v>6.0000000000000001E-3</v>
      </c>
      <c r="P2868">
        <v>6.0000000000000001E-3</v>
      </c>
      <c r="Q2868">
        <v>6.1000000000000004E-3</v>
      </c>
      <c r="R2868">
        <v>6.1999999999999998E-3</v>
      </c>
      <c r="S2868">
        <v>6.3E-3</v>
      </c>
      <c r="T2868">
        <v>6.4999999999999997E-3</v>
      </c>
      <c r="U2868">
        <v>6.6E-3</v>
      </c>
      <c r="V2868">
        <v>6.7000000000000002E-3</v>
      </c>
      <c r="W2868">
        <v>6.7999999999999996E-3</v>
      </c>
      <c r="X2868">
        <v>7.0000000000000001E-3</v>
      </c>
      <c r="Y2868">
        <v>7.1000000000000004E-3</v>
      </c>
    </row>
    <row r="2869" spans="1:25">
      <c r="A2869" t="s">
        <v>18812</v>
      </c>
      <c r="B2869" t="s">
        <v>627</v>
      </c>
      <c r="C2869" t="s">
        <v>595</v>
      </c>
      <c r="D2869" t="s">
        <v>621</v>
      </c>
      <c r="E2869" t="s">
        <v>628</v>
      </c>
      <c r="F2869" t="s">
        <v>598</v>
      </c>
      <c r="G2869" t="s">
        <v>478</v>
      </c>
      <c r="H2869" t="s">
        <v>600</v>
      </c>
      <c r="I2869" t="s">
        <v>601</v>
      </c>
      <c r="J2869">
        <v>1.1000000000000001E-3</v>
      </c>
      <c r="K2869">
        <v>1.1000000000000001E-3</v>
      </c>
      <c r="L2869">
        <v>1.1000000000000001E-3</v>
      </c>
      <c r="M2869">
        <v>1.1000000000000001E-3</v>
      </c>
      <c r="N2869">
        <v>1.1000000000000001E-3</v>
      </c>
      <c r="O2869">
        <v>1.1000000000000001E-3</v>
      </c>
      <c r="P2869">
        <v>1.1000000000000001E-3</v>
      </c>
      <c r="Q2869">
        <v>1.1000000000000001E-3</v>
      </c>
      <c r="R2869">
        <v>1.1000000000000001E-3</v>
      </c>
      <c r="S2869">
        <v>1.1000000000000001E-3</v>
      </c>
      <c r="T2869">
        <v>1.1000000000000001E-3</v>
      </c>
      <c r="U2869">
        <v>1.1000000000000001E-3</v>
      </c>
      <c r="V2869">
        <v>1.1000000000000001E-3</v>
      </c>
      <c r="W2869">
        <v>1.1000000000000001E-3</v>
      </c>
      <c r="X2869">
        <v>1.1000000000000001E-3</v>
      </c>
      <c r="Y2869">
        <v>1.1000000000000001E-3</v>
      </c>
    </row>
    <row r="2870" spans="1:25">
      <c r="A2870" t="s">
        <v>18812</v>
      </c>
      <c r="B2870" t="s">
        <v>631</v>
      </c>
      <c r="C2870" t="s">
        <v>595</v>
      </c>
      <c r="D2870" t="s">
        <v>632</v>
      </c>
      <c r="E2870" t="s">
        <v>597</v>
      </c>
      <c r="F2870" t="s">
        <v>598</v>
      </c>
      <c r="G2870" t="s">
        <v>478</v>
      </c>
      <c r="H2870" t="s">
        <v>600</v>
      </c>
      <c r="I2870" t="s">
        <v>601</v>
      </c>
      <c r="J2870">
        <v>0.31559999999999999</v>
      </c>
      <c r="K2870">
        <v>0.32129999999999997</v>
      </c>
      <c r="L2870">
        <v>0.32579999999999998</v>
      </c>
      <c r="M2870">
        <v>0.32950000000000002</v>
      </c>
      <c r="N2870">
        <v>0.3347</v>
      </c>
      <c r="O2870">
        <v>0.33900000000000002</v>
      </c>
      <c r="P2870">
        <v>0.34100000000000003</v>
      </c>
      <c r="Q2870">
        <v>0.34300000000000003</v>
      </c>
      <c r="R2870">
        <v>0.34489999999999998</v>
      </c>
      <c r="S2870">
        <v>0.3468</v>
      </c>
      <c r="T2870">
        <v>0.34889999999999999</v>
      </c>
      <c r="U2870">
        <v>0.3508</v>
      </c>
      <c r="V2870">
        <v>0.3528</v>
      </c>
      <c r="W2870">
        <v>0.3548</v>
      </c>
      <c r="X2870">
        <v>0.35680000000000001</v>
      </c>
      <c r="Y2870">
        <v>0.35870000000000002</v>
      </c>
    </row>
    <row r="2871" spans="1:25">
      <c r="A2871" t="s">
        <v>18812</v>
      </c>
      <c r="B2871" t="s">
        <v>636</v>
      </c>
      <c r="C2871" t="s">
        <v>595</v>
      </c>
      <c r="D2871" t="s">
        <v>632</v>
      </c>
      <c r="E2871" t="s">
        <v>628</v>
      </c>
      <c r="F2871" t="s">
        <v>598</v>
      </c>
      <c r="G2871" t="s">
        <v>478</v>
      </c>
      <c r="H2871" t="s">
        <v>600</v>
      </c>
      <c r="I2871" t="s">
        <v>601</v>
      </c>
      <c r="J2871">
        <v>2.9399999999999999E-2</v>
      </c>
      <c r="K2871">
        <v>2.9399999999999999E-2</v>
      </c>
      <c r="L2871">
        <v>2.9399999999999999E-2</v>
      </c>
      <c r="M2871">
        <v>2.9399999999999999E-2</v>
      </c>
      <c r="N2871">
        <v>2.9399999999999999E-2</v>
      </c>
      <c r="O2871">
        <v>2.9399999999999999E-2</v>
      </c>
      <c r="P2871">
        <v>2.9399999999999999E-2</v>
      </c>
      <c r="Q2871">
        <v>2.9399999999999999E-2</v>
      </c>
      <c r="R2871">
        <v>2.9399999999999999E-2</v>
      </c>
      <c r="S2871">
        <v>2.9399999999999999E-2</v>
      </c>
      <c r="T2871">
        <v>2.9399999999999999E-2</v>
      </c>
      <c r="U2871">
        <v>2.9399999999999999E-2</v>
      </c>
      <c r="V2871">
        <v>2.9399999999999999E-2</v>
      </c>
      <c r="W2871">
        <v>2.9399999999999999E-2</v>
      </c>
      <c r="X2871">
        <v>2.9399999999999999E-2</v>
      </c>
      <c r="Y2871">
        <v>2.9399999999999999E-2</v>
      </c>
    </row>
    <row r="2872" spans="1:25" hidden="1">
      <c r="A2872" t="s">
        <v>18812</v>
      </c>
      <c r="B2872" t="s">
        <v>657</v>
      </c>
      <c r="C2872" t="s">
        <v>651</v>
      </c>
      <c r="D2872" t="s">
        <v>621</v>
      </c>
      <c r="E2872" t="s">
        <v>597</v>
      </c>
      <c r="F2872" t="s">
        <v>598</v>
      </c>
      <c r="G2872" t="s">
        <v>478</v>
      </c>
      <c r="H2872" t="s">
        <v>600</v>
      </c>
      <c r="I2872" t="s">
        <v>601</v>
      </c>
      <c r="J2872">
        <v>1E-4</v>
      </c>
      <c r="K2872">
        <v>1E-4</v>
      </c>
      <c r="L2872">
        <v>1E-4</v>
      </c>
      <c r="M2872">
        <v>1E-4</v>
      </c>
      <c r="N2872">
        <v>1E-4</v>
      </c>
      <c r="O2872">
        <v>1E-4</v>
      </c>
      <c r="P2872">
        <v>1E-4</v>
      </c>
      <c r="Q2872">
        <v>1E-4</v>
      </c>
      <c r="R2872">
        <v>1E-4</v>
      </c>
      <c r="S2872">
        <v>1E-4</v>
      </c>
      <c r="T2872">
        <v>1E-4</v>
      </c>
      <c r="U2872">
        <v>1E-4</v>
      </c>
      <c r="V2872">
        <v>1E-4</v>
      </c>
      <c r="W2872">
        <v>1E-4</v>
      </c>
      <c r="X2872">
        <v>1E-4</v>
      </c>
      <c r="Y2872">
        <v>1E-4</v>
      </c>
    </row>
    <row r="2873" spans="1:25" hidden="1">
      <c r="A2873" t="s">
        <v>18812</v>
      </c>
      <c r="B2873" t="s">
        <v>659</v>
      </c>
      <c r="C2873" t="s">
        <v>651</v>
      </c>
      <c r="D2873" t="s">
        <v>621</v>
      </c>
      <c r="E2873" t="s">
        <v>628</v>
      </c>
      <c r="F2873" t="s">
        <v>598</v>
      </c>
      <c r="G2873" t="s">
        <v>478</v>
      </c>
      <c r="H2873" t="s">
        <v>600</v>
      </c>
      <c r="I2873" t="s">
        <v>601</v>
      </c>
      <c r="J2873">
        <v>6.4500000000000002E-2</v>
      </c>
      <c r="K2873">
        <v>6.4500000000000002E-2</v>
      </c>
      <c r="L2873">
        <v>6.4500000000000002E-2</v>
      </c>
      <c r="M2873">
        <v>6.4500000000000002E-2</v>
      </c>
      <c r="N2873">
        <v>6.4500000000000002E-2</v>
      </c>
      <c r="O2873">
        <v>6.4500000000000002E-2</v>
      </c>
      <c r="P2873">
        <v>6.4500000000000002E-2</v>
      </c>
      <c r="Q2873">
        <v>6.4500000000000002E-2</v>
      </c>
      <c r="R2873">
        <v>6.4500000000000002E-2</v>
      </c>
      <c r="S2873">
        <v>6.4500000000000002E-2</v>
      </c>
      <c r="T2873">
        <v>6.4500000000000002E-2</v>
      </c>
      <c r="U2873">
        <v>6.4500000000000002E-2</v>
      </c>
      <c r="V2873">
        <v>6.4500000000000002E-2</v>
      </c>
      <c r="W2873">
        <v>6.4500000000000002E-2</v>
      </c>
      <c r="X2873">
        <v>6.4500000000000002E-2</v>
      </c>
      <c r="Y2873">
        <v>6.4500000000000002E-2</v>
      </c>
    </row>
    <row r="2874" spans="1:25" hidden="1">
      <c r="A2874" t="s">
        <v>18812</v>
      </c>
      <c r="B2874" t="s">
        <v>660</v>
      </c>
      <c r="C2874" t="s">
        <v>651</v>
      </c>
      <c r="D2874" t="s">
        <v>632</v>
      </c>
      <c r="E2874" t="s">
        <v>597</v>
      </c>
      <c r="F2874" t="s">
        <v>598</v>
      </c>
      <c r="G2874" t="s">
        <v>478</v>
      </c>
      <c r="H2874" t="s">
        <v>600</v>
      </c>
      <c r="I2874" t="s">
        <v>601</v>
      </c>
      <c r="J2874">
        <v>8.3900000000000002E-2</v>
      </c>
      <c r="K2874">
        <v>8.48E-2</v>
      </c>
      <c r="L2874">
        <v>8.5699999999999998E-2</v>
      </c>
      <c r="M2874">
        <v>8.6699999999999999E-2</v>
      </c>
      <c r="N2874">
        <v>8.7599999999999997E-2</v>
      </c>
      <c r="O2874">
        <v>8.8599999999999998E-2</v>
      </c>
      <c r="P2874">
        <v>8.9599999999999999E-2</v>
      </c>
      <c r="Q2874">
        <v>9.0499999999999997E-2</v>
      </c>
      <c r="R2874">
        <v>9.1499999999999998E-2</v>
      </c>
      <c r="S2874">
        <v>9.2499999999999999E-2</v>
      </c>
      <c r="T2874">
        <v>9.3600000000000003E-2</v>
      </c>
      <c r="U2874">
        <v>9.4600000000000004E-2</v>
      </c>
      <c r="V2874">
        <v>9.5600000000000004E-2</v>
      </c>
      <c r="W2874">
        <v>9.6699999999999994E-2</v>
      </c>
      <c r="X2874">
        <v>9.7699999999999995E-2</v>
      </c>
      <c r="Y2874">
        <v>9.8799999999999999E-2</v>
      </c>
    </row>
    <row r="2875" spans="1:25" hidden="1">
      <c r="A2875" t="s">
        <v>18812</v>
      </c>
      <c r="B2875" t="s">
        <v>661</v>
      </c>
      <c r="C2875" t="s">
        <v>651</v>
      </c>
      <c r="D2875" t="s">
        <v>632</v>
      </c>
      <c r="E2875" t="s">
        <v>628</v>
      </c>
      <c r="F2875" t="s">
        <v>598</v>
      </c>
      <c r="G2875" t="s">
        <v>478</v>
      </c>
      <c r="H2875" t="s">
        <v>600</v>
      </c>
      <c r="I2875" t="s">
        <v>601</v>
      </c>
      <c r="J2875">
        <v>1E-4</v>
      </c>
      <c r="K2875">
        <v>1E-4</v>
      </c>
      <c r="L2875">
        <v>1E-4</v>
      </c>
      <c r="M2875">
        <v>1E-4</v>
      </c>
      <c r="N2875">
        <v>1E-4</v>
      </c>
      <c r="O2875">
        <v>1E-4</v>
      </c>
      <c r="P2875">
        <v>1E-4</v>
      </c>
      <c r="Q2875">
        <v>1E-4</v>
      </c>
      <c r="R2875">
        <v>1E-4</v>
      </c>
      <c r="S2875">
        <v>1E-4</v>
      </c>
      <c r="T2875">
        <v>1E-4</v>
      </c>
      <c r="U2875">
        <v>1E-4</v>
      </c>
      <c r="V2875">
        <v>1E-4</v>
      </c>
      <c r="W2875">
        <v>1E-4</v>
      </c>
      <c r="X2875">
        <v>1E-4</v>
      </c>
      <c r="Y2875">
        <v>1E-4</v>
      </c>
    </row>
    <row r="2876" spans="1:25" hidden="1">
      <c r="A2876" t="s">
        <v>18812</v>
      </c>
      <c r="B2876" t="s">
        <v>662</v>
      </c>
      <c r="C2876" t="s">
        <v>651</v>
      </c>
      <c r="D2876" t="s">
        <v>648</v>
      </c>
      <c r="E2876" t="s">
        <v>649</v>
      </c>
      <c r="F2876" t="s">
        <v>598</v>
      </c>
      <c r="G2876" t="s">
        <v>478</v>
      </c>
      <c r="H2876" t="s">
        <v>600</v>
      </c>
      <c r="I2876" t="s">
        <v>601</v>
      </c>
      <c r="J2876">
        <v>8.1299999999999997E-2</v>
      </c>
      <c r="K2876">
        <v>8.4699999999999998E-2</v>
      </c>
      <c r="L2876">
        <v>8.6499999999999994E-2</v>
      </c>
      <c r="M2876">
        <v>8.9200000000000002E-2</v>
      </c>
      <c r="N2876">
        <v>9.1600000000000001E-2</v>
      </c>
      <c r="O2876">
        <v>9.3299999999999994E-2</v>
      </c>
      <c r="P2876">
        <v>9.5699999999999993E-2</v>
      </c>
      <c r="Q2876">
        <v>9.7500000000000003E-2</v>
      </c>
      <c r="R2876">
        <v>9.9500000000000005E-2</v>
      </c>
      <c r="S2876">
        <v>0.1017</v>
      </c>
      <c r="T2876">
        <v>0.1037</v>
      </c>
      <c r="U2876">
        <v>0.106</v>
      </c>
      <c r="V2876">
        <v>0.10829999999999999</v>
      </c>
      <c r="W2876">
        <v>0.11</v>
      </c>
      <c r="X2876">
        <v>0.11210000000000001</v>
      </c>
      <c r="Y2876">
        <v>0.11409999999999999</v>
      </c>
    </row>
    <row r="2877" spans="1:25" hidden="1">
      <c r="A2877" t="s">
        <v>18812</v>
      </c>
      <c r="B2877" t="s">
        <v>663</v>
      </c>
      <c r="C2877" t="s">
        <v>664</v>
      </c>
      <c r="D2877" t="s">
        <v>596</v>
      </c>
      <c r="E2877" t="s">
        <v>597</v>
      </c>
      <c r="F2877" t="s">
        <v>598</v>
      </c>
      <c r="G2877" t="s">
        <v>478</v>
      </c>
      <c r="H2877" t="s">
        <v>600</v>
      </c>
      <c r="I2877" t="s">
        <v>601</v>
      </c>
      <c r="J2877">
        <v>8.3400000000000002E-2</v>
      </c>
      <c r="K2877">
        <v>8.1299999999999997E-2</v>
      </c>
      <c r="L2877">
        <v>7.9200000000000007E-2</v>
      </c>
      <c r="M2877">
        <v>7.7100000000000002E-2</v>
      </c>
      <c r="N2877">
        <v>7.51E-2</v>
      </c>
      <c r="O2877">
        <v>7.2999999999999995E-2</v>
      </c>
      <c r="P2877">
        <v>7.1599999999999997E-2</v>
      </c>
      <c r="Q2877">
        <v>6.9900000000000004E-2</v>
      </c>
      <c r="R2877">
        <v>6.8500000000000005E-2</v>
      </c>
      <c r="S2877">
        <v>6.7100000000000007E-2</v>
      </c>
      <c r="T2877">
        <v>6.5699999999999995E-2</v>
      </c>
      <c r="U2877">
        <v>6.4399999999999999E-2</v>
      </c>
      <c r="V2877">
        <v>6.3200000000000006E-2</v>
      </c>
      <c r="W2877">
        <v>6.1899999999999997E-2</v>
      </c>
      <c r="X2877">
        <v>6.0499999999999998E-2</v>
      </c>
      <c r="Y2877">
        <v>5.9400000000000001E-2</v>
      </c>
    </row>
    <row r="2878" spans="1:25" hidden="1">
      <c r="A2878" t="s">
        <v>18812</v>
      </c>
      <c r="B2878" t="s">
        <v>665</v>
      </c>
      <c r="C2878" t="s">
        <v>664</v>
      </c>
      <c r="D2878" t="s">
        <v>596</v>
      </c>
      <c r="E2878" t="s">
        <v>603</v>
      </c>
      <c r="F2878" t="s">
        <v>598</v>
      </c>
      <c r="G2878" t="s">
        <v>478</v>
      </c>
      <c r="H2878" t="s">
        <v>600</v>
      </c>
      <c r="I2878" t="s">
        <v>601</v>
      </c>
      <c r="J2878">
        <v>1.4E-3</v>
      </c>
      <c r="K2878">
        <v>1.2999999999999999E-3</v>
      </c>
      <c r="L2878">
        <v>1.2999999999999999E-3</v>
      </c>
      <c r="M2878">
        <v>1.2999999999999999E-3</v>
      </c>
      <c r="N2878">
        <v>1.1999999999999999E-3</v>
      </c>
      <c r="O2878">
        <v>1.1999999999999999E-3</v>
      </c>
      <c r="P2878">
        <v>1.1999999999999999E-3</v>
      </c>
      <c r="Q2878">
        <v>1.1000000000000001E-3</v>
      </c>
      <c r="R2878">
        <v>1.1000000000000001E-3</v>
      </c>
      <c r="S2878">
        <v>1.1000000000000001E-3</v>
      </c>
      <c r="T2878">
        <v>1.1000000000000001E-3</v>
      </c>
      <c r="U2878">
        <v>1E-3</v>
      </c>
      <c r="V2878">
        <v>1E-3</v>
      </c>
      <c r="W2878">
        <v>1E-3</v>
      </c>
      <c r="X2878">
        <v>1E-3</v>
      </c>
      <c r="Y2878">
        <v>8.9999999999999998E-4</v>
      </c>
    </row>
    <row r="2879" spans="1:25" hidden="1">
      <c r="A2879" t="s">
        <v>18812</v>
      </c>
      <c r="B2879" t="s">
        <v>670</v>
      </c>
      <c r="C2879" t="s">
        <v>664</v>
      </c>
      <c r="D2879" t="s">
        <v>671</v>
      </c>
      <c r="E2879" t="s">
        <v>672</v>
      </c>
      <c r="F2879" t="s">
        <v>598</v>
      </c>
      <c r="G2879" t="s">
        <v>478</v>
      </c>
      <c r="H2879" t="s">
        <v>600</v>
      </c>
      <c r="I2879" t="s">
        <v>601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hidden="1">
      <c r="A2880" t="s">
        <v>18812</v>
      </c>
      <c r="B2880" t="s">
        <v>673</v>
      </c>
      <c r="C2880" t="s">
        <v>664</v>
      </c>
      <c r="D2880" t="s">
        <v>671</v>
      </c>
      <c r="E2880" t="s">
        <v>597</v>
      </c>
      <c r="F2880" t="s">
        <v>598</v>
      </c>
      <c r="G2880" t="s">
        <v>478</v>
      </c>
      <c r="H2880" t="s">
        <v>600</v>
      </c>
      <c r="I2880" t="s">
        <v>601</v>
      </c>
      <c r="J2880">
        <v>1.9300000000000001E-2</v>
      </c>
      <c r="K2880">
        <v>1.8700000000000001E-2</v>
      </c>
      <c r="L2880">
        <v>1.7999999999999999E-2</v>
      </c>
      <c r="M2880">
        <v>1.7399999999999999E-2</v>
      </c>
      <c r="N2880">
        <v>1.66E-2</v>
      </c>
      <c r="O2880">
        <v>1.6E-2</v>
      </c>
      <c r="P2880">
        <v>1.5800000000000002E-2</v>
      </c>
      <c r="Q2880">
        <v>1.55E-2</v>
      </c>
      <c r="R2880">
        <v>1.5100000000000001E-2</v>
      </c>
      <c r="S2880">
        <v>1.49E-2</v>
      </c>
      <c r="T2880">
        <v>1.47E-2</v>
      </c>
      <c r="U2880">
        <v>1.4500000000000001E-2</v>
      </c>
      <c r="V2880">
        <v>1.43E-2</v>
      </c>
      <c r="W2880">
        <v>1.4200000000000001E-2</v>
      </c>
      <c r="X2880">
        <v>1.4E-2</v>
      </c>
      <c r="Y2880">
        <v>1.38E-2</v>
      </c>
    </row>
    <row r="2881" spans="1:25" hidden="1">
      <c r="A2881" t="s">
        <v>18812</v>
      </c>
      <c r="B2881" t="s">
        <v>674</v>
      </c>
      <c r="C2881" t="s">
        <v>664</v>
      </c>
      <c r="D2881" t="s">
        <v>671</v>
      </c>
      <c r="E2881" t="s">
        <v>605</v>
      </c>
      <c r="F2881" t="s">
        <v>598</v>
      </c>
      <c r="G2881" t="s">
        <v>478</v>
      </c>
      <c r="H2881" t="s">
        <v>600</v>
      </c>
      <c r="I2881" t="s">
        <v>601</v>
      </c>
      <c r="J2881">
        <v>3.3300000000000003E-2</v>
      </c>
      <c r="K2881">
        <v>3.2399999999999998E-2</v>
      </c>
      <c r="L2881">
        <v>3.15E-2</v>
      </c>
      <c r="M2881">
        <v>3.0599999999999999E-2</v>
      </c>
      <c r="N2881">
        <v>2.98E-2</v>
      </c>
      <c r="O2881">
        <v>2.9000000000000001E-2</v>
      </c>
      <c r="P2881">
        <v>2.8199999999999999E-2</v>
      </c>
      <c r="Q2881">
        <v>2.75E-2</v>
      </c>
      <c r="R2881">
        <v>2.6800000000000001E-2</v>
      </c>
      <c r="S2881">
        <v>2.6200000000000001E-2</v>
      </c>
      <c r="T2881">
        <v>2.5600000000000001E-2</v>
      </c>
      <c r="U2881">
        <v>2.5000000000000001E-2</v>
      </c>
      <c r="V2881">
        <v>2.4500000000000001E-2</v>
      </c>
      <c r="W2881">
        <v>2.3900000000000001E-2</v>
      </c>
      <c r="X2881">
        <v>2.3400000000000001E-2</v>
      </c>
      <c r="Y2881">
        <v>2.29E-2</v>
      </c>
    </row>
    <row r="2882" spans="1:25" hidden="1">
      <c r="A2882" t="s">
        <v>18812</v>
      </c>
      <c r="B2882" t="s">
        <v>677</v>
      </c>
      <c r="C2882" t="s">
        <v>664</v>
      </c>
      <c r="D2882" t="s">
        <v>671</v>
      </c>
      <c r="E2882" t="s">
        <v>678</v>
      </c>
      <c r="F2882" t="s">
        <v>598</v>
      </c>
      <c r="G2882" t="s">
        <v>478</v>
      </c>
      <c r="H2882" t="s">
        <v>600</v>
      </c>
      <c r="I2882" t="s">
        <v>601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</row>
    <row r="2883" spans="1:25" hidden="1">
      <c r="A2883" t="s">
        <v>18812</v>
      </c>
      <c r="B2883" t="s">
        <v>679</v>
      </c>
      <c r="C2883" t="s">
        <v>664</v>
      </c>
      <c r="D2883" t="s">
        <v>680</v>
      </c>
      <c r="E2883" t="s">
        <v>597</v>
      </c>
      <c r="F2883" t="s">
        <v>598</v>
      </c>
      <c r="G2883" t="s">
        <v>478</v>
      </c>
      <c r="H2883" t="s">
        <v>600</v>
      </c>
      <c r="I2883" t="s">
        <v>601</v>
      </c>
      <c r="J2883">
        <v>7.1000000000000004E-3</v>
      </c>
      <c r="K2883">
        <v>6.8999999999999999E-3</v>
      </c>
      <c r="L2883">
        <v>6.7000000000000002E-3</v>
      </c>
      <c r="M2883">
        <v>6.6E-3</v>
      </c>
      <c r="N2883">
        <v>6.4000000000000003E-3</v>
      </c>
      <c r="O2883">
        <v>6.1999999999999998E-3</v>
      </c>
      <c r="P2883">
        <v>6.1000000000000004E-3</v>
      </c>
      <c r="Q2883">
        <v>5.8999999999999999E-3</v>
      </c>
      <c r="R2883">
        <v>5.7000000000000002E-3</v>
      </c>
      <c r="S2883">
        <v>5.5999999999999999E-3</v>
      </c>
      <c r="T2883">
        <v>5.4999999999999997E-3</v>
      </c>
      <c r="U2883">
        <v>5.4000000000000003E-3</v>
      </c>
      <c r="V2883">
        <v>5.3E-3</v>
      </c>
      <c r="W2883">
        <v>5.1000000000000004E-3</v>
      </c>
      <c r="X2883">
        <v>5.0000000000000001E-3</v>
      </c>
      <c r="Y2883">
        <v>4.8999999999999998E-3</v>
      </c>
    </row>
    <row r="2884" spans="1:25" hidden="1">
      <c r="A2884" t="s">
        <v>18812</v>
      </c>
      <c r="B2884" t="s">
        <v>681</v>
      </c>
      <c r="C2884" t="s">
        <v>664</v>
      </c>
      <c r="D2884" t="s">
        <v>680</v>
      </c>
      <c r="E2884" t="s">
        <v>605</v>
      </c>
      <c r="F2884" t="s">
        <v>598</v>
      </c>
      <c r="G2884" t="s">
        <v>478</v>
      </c>
      <c r="H2884" t="s">
        <v>600</v>
      </c>
      <c r="I2884" t="s">
        <v>601</v>
      </c>
      <c r="J2884">
        <v>3.8999999999999998E-3</v>
      </c>
      <c r="K2884">
        <v>3.7000000000000002E-3</v>
      </c>
      <c r="L2884">
        <v>3.7000000000000002E-3</v>
      </c>
      <c r="M2884">
        <v>3.5999999999999999E-3</v>
      </c>
      <c r="N2884">
        <v>3.5000000000000001E-3</v>
      </c>
      <c r="O2884">
        <v>3.3999999999999998E-3</v>
      </c>
      <c r="P2884">
        <v>3.3E-3</v>
      </c>
      <c r="Q2884">
        <v>3.2000000000000002E-3</v>
      </c>
      <c r="R2884">
        <v>3.2000000000000002E-3</v>
      </c>
      <c r="S2884">
        <v>3.0999999999999999E-3</v>
      </c>
      <c r="T2884">
        <v>3.0000000000000001E-3</v>
      </c>
      <c r="U2884">
        <v>2.8999999999999998E-3</v>
      </c>
      <c r="V2884">
        <v>2.8999999999999998E-3</v>
      </c>
      <c r="W2884">
        <v>2.8E-3</v>
      </c>
      <c r="X2884">
        <v>2.8E-3</v>
      </c>
      <c r="Y2884">
        <v>2.7000000000000001E-3</v>
      </c>
    </row>
    <row r="2885" spans="1:25" hidden="1">
      <c r="A2885" t="s">
        <v>18812</v>
      </c>
      <c r="B2885" t="s">
        <v>682</v>
      </c>
      <c r="C2885" t="s">
        <v>664</v>
      </c>
      <c r="D2885" t="s">
        <v>680</v>
      </c>
      <c r="E2885" t="s">
        <v>619</v>
      </c>
      <c r="F2885" t="s">
        <v>598</v>
      </c>
      <c r="G2885" t="s">
        <v>478</v>
      </c>
      <c r="H2885" t="s">
        <v>600</v>
      </c>
      <c r="I2885" t="s">
        <v>601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hidden="1">
      <c r="A2886" t="s">
        <v>18812</v>
      </c>
      <c r="B2886" t="s">
        <v>683</v>
      </c>
      <c r="C2886" t="s">
        <v>664</v>
      </c>
      <c r="D2886" t="s">
        <v>621</v>
      </c>
      <c r="E2886" t="s">
        <v>672</v>
      </c>
      <c r="F2886" t="s">
        <v>598</v>
      </c>
      <c r="G2886" t="s">
        <v>478</v>
      </c>
      <c r="H2886" t="s">
        <v>600</v>
      </c>
      <c r="I2886" t="s">
        <v>601</v>
      </c>
      <c r="J2886">
        <v>3.5400000000000001E-2</v>
      </c>
      <c r="K2886">
        <v>3.4599999999999999E-2</v>
      </c>
      <c r="L2886">
        <v>3.39E-2</v>
      </c>
      <c r="M2886">
        <v>3.3099999999999997E-2</v>
      </c>
      <c r="N2886">
        <v>3.2399999999999998E-2</v>
      </c>
      <c r="O2886">
        <v>3.1699999999999999E-2</v>
      </c>
      <c r="P2886">
        <v>3.1E-2</v>
      </c>
      <c r="Q2886">
        <v>3.0300000000000001E-2</v>
      </c>
      <c r="R2886">
        <v>2.9600000000000001E-2</v>
      </c>
      <c r="S2886">
        <v>2.9000000000000001E-2</v>
      </c>
      <c r="T2886">
        <v>2.8400000000000002E-2</v>
      </c>
      <c r="U2886">
        <v>2.7699999999999999E-2</v>
      </c>
      <c r="V2886">
        <v>2.7099999999999999E-2</v>
      </c>
      <c r="W2886">
        <v>2.6499999999999999E-2</v>
      </c>
      <c r="X2886">
        <v>2.5899999999999999E-2</v>
      </c>
      <c r="Y2886">
        <v>2.5399999999999999E-2</v>
      </c>
    </row>
    <row r="2887" spans="1:25" hidden="1">
      <c r="A2887" t="s">
        <v>18812</v>
      </c>
      <c r="B2887" t="s">
        <v>684</v>
      </c>
      <c r="C2887" t="s">
        <v>664</v>
      </c>
      <c r="D2887" t="s">
        <v>621</v>
      </c>
      <c r="E2887" t="s">
        <v>597</v>
      </c>
      <c r="F2887" t="s">
        <v>598</v>
      </c>
      <c r="G2887" t="s">
        <v>478</v>
      </c>
      <c r="H2887" t="s">
        <v>600</v>
      </c>
      <c r="I2887" t="s">
        <v>601</v>
      </c>
      <c r="J2887">
        <v>1.0466</v>
      </c>
      <c r="K2887">
        <v>1.0235000000000001</v>
      </c>
      <c r="L2887">
        <v>1.0006999999999999</v>
      </c>
      <c r="M2887">
        <v>0.97850000000000004</v>
      </c>
      <c r="N2887">
        <v>0.95679999999999998</v>
      </c>
      <c r="O2887">
        <v>0.93559999999999999</v>
      </c>
      <c r="P2887">
        <v>0.91549999999999998</v>
      </c>
      <c r="Q2887">
        <v>0.89590000000000003</v>
      </c>
      <c r="R2887">
        <v>0.87639999999999996</v>
      </c>
      <c r="S2887">
        <v>0.85750000000000004</v>
      </c>
      <c r="T2887">
        <v>0.83889999999999998</v>
      </c>
      <c r="U2887">
        <v>0.82079999999999997</v>
      </c>
      <c r="V2887">
        <v>0.80300000000000005</v>
      </c>
      <c r="W2887">
        <v>0.78559999999999997</v>
      </c>
      <c r="X2887">
        <v>0.76870000000000005</v>
      </c>
      <c r="Y2887">
        <v>0.75209999999999999</v>
      </c>
    </row>
    <row r="2888" spans="1:25" hidden="1">
      <c r="A2888" t="s">
        <v>18812</v>
      </c>
      <c r="B2888" t="s">
        <v>686</v>
      </c>
      <c r="C2888" t="s">
        <v>664</v>
      </c>
      <c r="D2888" t="s">
        <v>621</v>
      </c>
      <c r="E2888" t="s">
        <v>605</v>
      </c>
      <c r="F2888" t="s">
        <v>598</v>
      </c>
      <c r="G2888" t="s">
        <v>478</v>
      </c>
      <c r="H2888" t="s">
        <v>600</v>
      </c>
      <c r="I2888" t="s">
        <v>601</v>
      </c>
      <c r="J2888">
        <v>5.8799999999999998E-2</v>
      </c>
      <c r="K2888">
        <v>5.7500000000000002E-2</v>
      </c>
      <c r="L2888">
        <v>5.62E-2</v>
      </c>
      <c r="M2888">
        <v>5.5E-2</v>
      </c>
      <c r="N2888">
        <v>5.3800000000000001E-2</v>
      </c>
      <c r="O2888">
        <v>5.2600000000000001E-2</v>
      </c>
      <c r="P2888">
        <v>5.1499999999999997E-2</v>
      </c>
      <c r="Q2888">
        <v>5.0299999999999997E-2</v>
      </c>
      <c r="R2888">
        <v>4.9200000000000001E-2</v>
      </c>
      <c r="S2888">
        <v>4.8099999999999997E-2</v>
      </c>
      <c r="T2888">
        <v>4.7100000000000003E-2</v>
      </c>
      <c r="U2888">
        <v>4.5999999999999999E-2</v>
      </c>
      <c r="V2888">
        <v>4.4999999999999998E-2</v>
      </c>
      <c r="W2888">
        <v>4.3999999999999997E-2</v>
      </c>
      <c r="X2888">
        <v>4.3099999999999999E-2</v>
      </c>
      <c r="Y2888">
        <v>4.2099999999999999E-2</v>
      </c>
    </row>
    <row r="2889" spans="1:25" hidden="1">
      <c r="A2889" t="s">
        <v>18812</v>
      </c>
      <c r="B2889" t="s">
        <v>687</v>
      </c>
      <c r="C2889" t="s">
        <v>664</v>
      </c>
      <c r="D2889" t="s">
        <v>621</v>
      </c>
      <c r="E2889" t="s">
        <v>688</v>
      </c>
      <c r="F2889" t="s">
        <v>598</v>
      </c>
      <c r="G2889" t="s">
        <v>478</v>
      </c>
      <c r="H2889" t="s">
        <v>600</v>
      </c>
      <c r="I2889" t="s">
        <v>601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hidden="1">
      <c r="A2890" t="s">
        <v>18812</v>
      </c>
      <c r="B2890" t="s">
        <v>689</v>
      </c>
      <c r="C2890" t="s">
        <v>664</v>
      </c>
      <c r="D2890" t="s">
        <v>621</v>
      </c>
      <c r="E2890" t="s">
        <v>626</v>
      </c>
      <c r="F2890" t="s">
        <v>598</v>
      </c>
      <c r="G2890" t="s">
        <v>478</v>
      </c>
      <c r="H2890" t="s">
        <v>600</v>
      </c>
      <c r="I2890" t="s">
        <v>601</v>
      </c>
      <c r="J2890">
        <v>1E-4</v>
      </c>
      <c r="K2890">
        <v>1E-4</v>
      </c>
      <c r="L2890">
        <v>1E-4</v>
      </c>
      <c r="M2890">
        <v>1E-4</v>
      </c>
      <c r="N2890">
        <v>1E-4</v>
      </c>
      <c r="O2890">
        <v>1E-4</v>
      </c>
      <c r="P2890">
        <v>1E-4</v>
      </c>
      <c r="Q2890">
        <v>1E-4</v>
      </c>
      <c r="R2890">
        <v>1E-4</v>
      </c>
      <c r="S2890">
        <v>1E-4</v>
      </c>
      <c r="T2890">
        <v>1E-4</v>
      </c>
      <c r="U2890">
        <v>1E-4</v>
      </c>
      <c r="V2890">
        <v>1E-4</v>
      </c>
      <c r="W2890">
        <v>1E-4</v>
      </c>
      <c r="X2890">
        <v>1E-4</v>
      </c>
      <c r="Y2890">
        <v>1E-4</v>
      </c>
    </row>
    <row r="2891" spans="1:25" hidden="1">
      <c r="A2891" t="s">
        <v>18812</v>
      </c>
      <c r="B2891" t="s">
        <v>690</v>
      </c>
      <c r="C2891" t="s">
        <v>664</v>
      </c>
      <c r="D2891" t="s">
        <v>621</v>
      </c>
      <c r="E2891" t="s">
        <v>628</v>
      </c>
      <c r="F2891" t="s">
        <v>598</v>
      </c>
      <c r="G2891" t="s">
        <v>478</v>
      </c>
      <c r="H2891" t="s">
        <v>600</v>
      </c>
      <c r="I2891" t="s">
        <v>601</v>
      </c>
      <c r="J2891">
        <v>5.04E-2</v>
      </c>
      <c r="K2891">
        <v>4.9299999999999997E-2</v>
      </c>
      <c r="L2891">
        <v>4.82E-2</v>
      </c>
      <c r="M2891">
        <v>4.7199999999999999E-2</v>
      </c>
      <c r="N2891">
        <v>4.6199999999999998E-2</v>
      </c>
      <c r="O2891">
        <v>4.5199999999999997E-2</v>
      </c>
      <c r="P2891">
        <v>4.4200000000000003E-2</v>
      </c>
      <c r="Q2891">
        <v>4.3299999999999998E-2</v>
      </c>
      <c r="R2891">
        <v>4.2299999999999997E-2</v>
      </c>
      <c r="S2891">
        <v>4.1399999999999999E-2</v>
      </c>
      <c r="T2891">
        <v>4.0399999999999998E-2</v>
      </c>
      <c r="U2891">
        <v>3.95E-2</v>
      </c>
      <c r="V2891">
        <v>3.8600000000000002E-2</v>
      </c>
      <c r="W2891">
        <v>3.78E-2</v>
      </c>
      <c r="X2891">
        <v>3.6999999999999998E-2</v>
      </c>
      <c r="Y2891">
        <v>3.6200000000000003E-2</v>
      </c>
    </row>
    <row r="2892" spans="1:25" hidden="1">
      <c r="A2892" t="s">
        <v>18812</v>
      </c>
      <c r="B2892" t="s">
        <v>691</v>
      </c>
      <c r="C2892" t="s">
        <v>664</v>
      </c>
      <c r="D2892" t="s">
        <v>621</v>
      </c>
      <c r="E2892" t="s">
        <v>692</v>
      </c>
      <c r="F2892" t="s">
        <v>598</v>
      </c>
      <c r="G2892" t="s">
        <v>478</v>
      </c>
      <c r="H2892" t="s">
        <v>600</v>
      </c>
      <c r="I2892" t="s">
        <v>601</v>
      </c>
      <c r="J2892">
        <v>2.2000000000000001E-3</v>
      </c>
      <c r="K2892">
        <v>2.0999999999999999E-3</v>
      </c>
      <c r="L2892">
        <v>2.0999999999999999E-3</v>
      </c>
      <c r="M2892">
        <v>2E-3</v>
      </c>
      <c r="N2892">
        <v>2E-3</v>
      </c>
      <c r="O2892">
        <v>2E-3</v>
      </c>
      <c r="P2892">
        <v>1.9E-3</v>
      </c>
      <c r="Q2892">
        <v>1.9E-3</v>
      </c>
      <c r="R2892">
        <v>1.8E-3</v>
      </c>
      <c r="S2892">
        <v>1.8E-3</v>
      </c>
      <c r="T2892">
        <v>1.6999999999999999E-3</v>
      </c>
      <c r="U2892">
        <v>1.6999999999999999E-3</v>
      </c>
      <c r="V2892">
        <v>1.6999999999999999E-3</v>
      </c>
      <c r="W2892">
        <v>1.6000000000000001E-3</v>
      </c>
      <c r="X2892">
        <v>1.6000000000000001E-3</v>
      </c>
      <c r="Y2892">
        <v>1.6000000000000001E-3</v>
      </c>
    </row>
    <row r="2893" spans="1:25" hidden="1">
      <c r="A2893" t="s">
        <v>18812</v>
      </c>
      <c r="B2893" t="s">
        <v>693</v>
      </c>
      <c r="C2893" t="s">
        <v>664</v>
      </c>
      <c r="D2893" t="s">
        <v>621</v>
      </c>
      <c r="E2893" t="s">
        <v>678</v>
      </c>
      <c r="F2893" t="s">
        <v>598</v>
      </c>
      <c r="G2893" t="s">
        <v>478</v>
      </c>
      <c r="H2893" t="s">
        <v>600</v>
      </c>
      <c r="I2893" t="s">
        <v>601</v>
      </c>
      <c r="J2893">
        <v>1.2999999999999999E-3</v>
      </c>
      <c r="K2893">
        <v>1.1999999999999999E-3</v>
      </c>
      <c r="L2893">
        <v>1.1999999999999999E-3</v>
      </c>
      <c r="M2893">
        <v>1.1999999999999999E-3</v>
      </c>
      <c r="N2893">
        <v>1.1999999999999999E-3</v>
      </c>
      <c r="O2893">
        <v>1.1000000000000001E-3</v>
      </c>
      <c r="P2893">
        <v>1.1000000000000001E-3</v>
      </c>
      <c r="Q2893">
        <v>1.1000000000000001E-3</v>
      </c>
      <c r="R2893">
        <v>1.1000000000000001E-3</v>
      </c>
      <c r="S2893">
        <v>1E-3</v>
      </c>
      <c r="T2893">
        <v>1E-3</v>
      </c>
      <c r="U2893">
        <v>1E-3</v>
      </c>
      <c r="V2893">
        <v>1E-3</v>
      </c>
      <c r="W2893">
        <v>8.9999999999999998E-4</v>
      </c>
      <c r="X2893">
        <v>8.9999999999999998E-4</v>
      </c>
      <c r="Y2893">
        <v>8.9999999999999998E-4</v>
      </c>
    </row>
    <row r="2894" spans="1:25" hidden="1">
      <c r="A2894" t="s">
        <v>18812</v>
      </c>
      <c r="B2894" t="s">
        <v>694</v>
      </c>
      <c r="C2894" t="s">
        <v>664</v>
      </c>
      <c r="D2894" t="s">
        <v>695</v>
      </c>
      <c r="E2894" t="s">
        <v>678</v>
      </c>
      <c r="F2894" t="s">
        <v>598</v>
      </c>
      <c r="G2894" t="s">
        <v>478</v>
      </c>
      <c r="H2894" t="s">
        <v>600</v>
      </c>
      <c r="I2894" t="s">
        <v>601</v>
      </c>
      <c r="J2894">
        <v>6.2799999999999995E-2</v>
      </c>
      <c r="K2894">
        <v>6.1199999999999997E-2</v>
      </c>
      <c r="L2894">
        <v>5.9499999999999997E-2</v>
      </c>
      <c r="M2894">
        <v>5.7700000000000001E-2</v>
      </c>
      <c r="N2894">
        <v>5.6000000000000001E-2</v>
      </c>
      <c r="O2894">
        <v>5.4300000000000001E-2</v>
      </c>
      <c r="P2894">
        <v>5.4300000000000001E-2</v>
      </c>
      <c r="Q2894">
        <v>5.4100000000000002E-2</v>
      </c>
      <c r="R2894">
        <v>5.3699999999999998E-2</v>
      </c>
      <c r="S2894">
        <v>5.33E-2</v>
      </c>
      <c r="T2894">
        <v>5.28E-2</v>
      </c>
      <c r="U2894">
        <v>5.2400000000000002E-2</v>
      </c>
      <c r="V2894">
        <v>5.1900000000000002E-2</v>
      </c>
      <c r="W2894">
        <v>5.1499999999999997E-2</v>
      </c>
      <c r="X2894">
        <v>5.0999999999999997E-2</v>
      </c>
      <c r="Y2894">
        <v>5.0599999999999999E-2</v>
      </c>
    </row>
    <row r="2895" spans="1:25" hidden="1">
      <c r="A2895" t="s">
        <v>18812</v>
      </c>
      <c r="B2895" t="s">
        <v>696</v>
      </c>
      <c r="C2895" t="s">
        <v>664</v>
      </c>
      <c r="D2895" t="s">
        <v>632</v>
      </c>
      <c r="E2895" t="s">
        <v>597</v>
      </c>
      <c r="F2895" t="s">
        <v>598</v>
      </c>
      <c r="G2895" t="s">
        <v>478</v>
      </c>
      <c r="H2895" t="s">
        <v>600</v>
      </c>
      <c r="I2895" t="s">
        <v>601</v>
      </c>
      <c r="J2895">
        <v>1.1999999999999999E-3</v>
      </c>
      <c r="K2895">
        <v>1.1999999999999999E-3</v>
      </c>
      <c r="L2895">
        <v>1.1999999999999999E-3</v>
      </c>
      <c r="M2895">
        <v>1.1000000000000001E-3</v>
      </c>
      <c r="N2895">
        <v>1.1000000000000001E-3</v>
      </c>
      <c r="O2895">
        <v>1.1000000000000001E-3</v>
      </c>
      <c r="P2895">
        <v>1.1000000000000001E-3</v>
      </c>
      <c r="Q2895">
        <v>1E-3</v>
      </c>
      <c r="R2895">
        <v>1E-3</v>
      </c>
      <c r="S2895">
        <v>1E-3</v>
      </c>
      <c r="T2895">
        <v>1E-3</v>
      </c>
      <c r="U2895">
        <v>8.9999999999999998E-4</v>
      </c>
      <c r="V2895">
        <v>8.9999999999999998E-4</v>
      </c>
      <c r="W2895">
        <v>8.9999999999999998E-4</v>
      </c>
      <c r="X2895">
        <v>8.9999999999999998E-4</v>
      </c>
      <c r="Y2895">
        <v>8.9999999999999998E-4</v>
      </c>
    </row>
    <row r="2896" spans="1:25" hidden="1">
      <c r="A2896" t="s">
        <v>18812</v>
      </c>
      <c r="B2896" t="s">
        <v>700</v>
      </c>
      <c r="C2896" t="s">
        <v>664</v>
      </c>
      <c r="D2896" t="s">
        <v>701</v>
      </c>
      <c r="E2896" t="s">
        <v>672</v>
      </c>
      <c r="F2896" t="s">
        <v>598</v>
      </c>
      <c r="G2896" t="s">
        <v>478</v>
      </c>
      <c r="H2896" t="s">
        <v>600</v>
      </c>
      <c r="I2896" t="s">
        <v>601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hidden="1">
      <c r="A2897" t="s">
        <v>18812</v>
      </c>
      <c r="B2897" t="s">
        <v>702</v>
      </c>
      <c r="C2897" t="s">
        <v>664</v>
      </c>
      <c r="D2897" t="s">
        <v>701</v>
      </c>
      <c r="E2897" t="s">
        <v>597</v>
      </c>
      <c r="F2897" t="s">
        <v>598</v>
      </c>
      <c r="G2897" t="s">
        <v>478</v>
      </c>
      <c r="H2897" t="s">
        <v>600</v>
      </c>
      <c r="I2897" t="s">
        <v>601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hidden="1">
      <c r="A2898" t="s">
        <v>18812</v>
      </c>
      <c r="B2898" t="s">
        <v>703</v>
      </c>
      <c r="C2898" t="s">
        <v>664</v>
      </c>
      <c r="D2898" t="s">
        <v>704</v>
      </c>
      <c r="E2898" t="s">
        <v>672</v>
      </c>
      <c r="F2898" t="s">
        <v>598</v>
      </c>
      <c r="G2898" t="s">
        <v>478</v>
      </c>
      <c r="H2898" t="s">
        <v>600</v>
      </c>
      <c r="I2898" t="s">
        <v>601</v>
      </c>
      <c r="J2898">
        <v>1E-4</v>
      </c>
      <c r="K2898">
        <v>1E-4</v>
      </c>
      <c r="L2898">
        <v>1E-4</v>
      </c>
      <c r="M2898">
        <v>1E-4</v>
      </c>
      <c r="N2898">
        <v>1E-4</v>
      </c>
      <c r="O2898">
        <v>1E-4</v>
      </c>
      <c r="P2898">
        <v>1E-4</v>
      </c>
      <c r="Q2898">
        <v>1E-4</v>
      </c>
      <c r="R2898">
        <v>1E-4</v>
      </c>
      <c r="S2898">
        <v>1E-4</v>
      </c>
      <c r="T2898">
        <v>1E-4</v>
      </c>
      <c r="U2898">
        <v>1E-4</v>
      </c>
      <c r="V2898">
        <v>1E-4</v>
      </c>
      <c r="W2898">
        <v>1E-4</v>
      </c>
      <c r="X2898">
        <v>1E-4</v>
      </c>
      <c r="Y2898">
        <v>1E-4</v>
      </c>
    </row>
    <row r="2899" spans="1:25" hidden="1">
      <c r="A2899" t="s">
        <v>18812</v>
      </c>
      <c r="B2899" t="s">
        <v>705</v>
      </c>
      <c r="C2899" t="s">
        <v>664</v>
      </c>
      <c r="D2899" t="s">
        <v>704</v>
      </c>
      <c r="E2899" t="s">
        <v>597</v>
      </c>
      <c r="F2899" t="s">
        <v>598</v>
      </c>
      <c r="G2899" t="s">
        <v>478</v>
      </c>
      <c r="H2899" t="s">
        <v>600</v>
      </c>
      <c r="I2899" t="s">
        <v>601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hidden="1">
      <c r="A2900" t="s">
        <v>18812</v>
      </c>
      <c r="B2900" t="s">
        <v>706</v>
      </c>
      <c r="C2900" t="s">
        <v>664</v>
      </c>
      <c r="D2900" t="s">
        <v>648</v>
      </c>
      <c r="E2900" t="s">
        <v>649</v>
      </c>
      <c r="F2900" t="s">
        <v>598</v>
      </c>
      <c r="G2900" t="s">
        <v>478</v>
      </c>
      <c r="H2900" t="s">
        <v>600</v>
      </c>
      <c r="I2900" t="s">
        <v>601</v>
      </c>
      <c r="J2900">
        <v>5.0000000000000001E-4</v>
      </c>
      <c r="K2900">
        <v>5.0000000000000001E-4</v>
      </c>
      <c r="L2900">
        <v>5.0000000000000001E-4</v>
      </c>
      <c r="M2900">
        <v>5.0000000000000001E-4</v>
      </c>
      <c r="N2900">
        <v>5.0000000000000001E-4</v>
      </c>
      <c r="O2900">
        <v>5.0000000000000001E-4</v>
      </c>
      <c r="P2900">
        <v>4.0000000000000002E-4</v>
      </c>
      <c r="Q2900">
        <v>4.0000000000000002E-4</v>
      </c>
      <c r="R2900">
        <v>4.0000000000000002E-4</v>
      </c>
      <c r="S2900">
        <v>4.0000000000000002E-4</v>
      </c>
      <c r="T2900">
        <v>4.0000000000000002E-4</v>
      </c>
      <c r="U2900">
        <v>4.0000000000000002E-4</v>
      </c>
      <c r="V2900">
        <v>4.0000000000000002E-4</v>
      </c>
      <c r="W2900">
        <v>4.0000000000000002E-4</v>
      </c>
      <c r="X2900">
        <v>4.0000000000000002E-4</v>
      </c>
      <c r="Y2900">
        <v>4.0000000000000002E-4</v>
      </c>
    </row>
    <row r="2901" spans="1:25" hidden="1">
      <c r="A2901" t="s">
        <v>18812</v>
      </c>
      <c r="B2901" t="s">
        <v>709</v>
      </c>
      <c r="C2901" t="s">
        <v>710</v>
      </c>
      <c r="D2901" t="s">
        <v>596</v>
      </c>
      <c r="E2901" t="s">
        <v>597</v>
      </c>
      <c r="F2901" t="s">
        <v>598</v>
      </c>
      <c r="G2901" t="s">
        <v>478</v>
      </c>
      <c r="H2901" t="s">
        <v>600</v>
      </c>
      <c r="I2901" t="s">
        <v>601</v>
      </c>
      <c r="J2901">
        <v>2E-3</v>
      </c>
      <c r="K2901">
        <v>1.9E-3</v>
      </c>
      <c r="L2901">
        <v>1.9E-3</v>
      </c>
      <c r="M2901">
        <v>1.8E-3</v>
      </c>
      <c r="N2901">
        <v>1.8E-3</v>
      </c>
      <c r="O2901">
        <v>1.8E-3</v>
      </c>
      <c r="P2901">
        <v>1.8E-3</v>
      </c>
      <c r="Q2901">
        <v>1.8E-3</v>
      </c>
      <c r="R2901">
        <v>1.6999999999999999E-3</v>
      </c>
      <c r="S2901">
        <v>1.6999999999999999E-3</v>
      </c>
      <c r="T2901">
        <v>1.6999999999999999E-3</v>
      </c>
      <c r="U2901">
        <v>1.6999999999999999E-3</v>
      </c>
      <c r="V2901">
        <v>1.6999999999999999E-3</v>
      </c>
      <c r="W2901">
        <v>1.6999999999999999E-3</v>
      </c>
      <c r="X2901">
        <v>1.6999999999999999E-3</v>
      </c>
      <c r="Y2901">
        <v>1.6999999999999999E-3</v>
      </c>
    </row>
    <row r="2902" spans="1:25" hidden="1">
      <c r="A2902" t="s">
        <v>18812</v>
      </c>
      <c r="B2902" t="s">
        <v>711</v>
      </c>
      <c r="C2902" t="s">
        <v>710</v>
      </c>
      <c r="D2902" t="s">
        <v>596</v>
      </c>
      <c r="E2902" t="s">
        <v>605</v>
      </c>
      <c r="F2902" t="s">
        <v>598</v>
      </c>
      <c r="G2902" t="s">
        <v>478</v>
      </c>
      <c r="H2902" t="s">
        <v>600</v>
      </c>
      <c r="I2902" t="s">
        <v>601</v>
      </c>
      <c r="J2902">
        <v>8.72E-2</v>
      </c>
      <c r="K2902">
        <v>8.72E-2</v>
      </c>
      <c r="L2902">
        <v>8.72E-2</v>
      </c>
      <c r="M2902">
        <v>8.72E-2</v>
      </c>
      <c r="N2902">
        <v>8.72E-2</v>
      </c>
      <c r="O2902">
        <v>8.72E-2</v>
      </c>
      <c r="P2902">
        <v>8.72E-2</v>
      </c>
      <c r="Q2902">
        <v>8.72E-2</v>
      </c>
      <c r="R2902">
        <v>8.72E-2</v>
      </c>
      <c r="S2902">
        <v>8.72E-2</v>
      </c>
      <c r="T2902">
        <v>8.72E-2</v>
      </c>
      <c r="U2902">
        <v>8.72E-2</v>
      </c>
      <c r="V2902">
        <v>8.72E-2</v>
      </c>
      <c r="W2902">
        <v>8.72E-2</v>
      </c>
      <c r="X2902">
        <v>8.72E-2</v>
      </c>
      <c r="Y2902">
        <v>8.72E-2</v>
      </c>
    </row>
    <row r="2903" spans="1:25" hidden="1">
      <c r="A2903" t="s">
        <v>18812</v>
      </c>
      <c r="B2903" t="s">
        <v>715</v>
      </c>
      <c r="C2903" t="s">
        <v>710</v>
      </c>
      <c r="D2903" t="s">
        <v>671</v>
      </c>
      <c r="E2903" t="s">
        <v>597</v>
      </c>
      <c r="F2903" t="s">
        <v>598</v>
      </c>
      <c r="G2903" t="s">
        <v>478</v>
      </c>
      <c r="H2903" t="s">
        <v>600</v>
      </c>
      <c r="I2903" t="s">
        <v>601</v>
      </c>
      <c r="J2903">
        <v>3.3999999999999998E-3</v>
      </c>
      <c r="K2903">
        <v>3.3999999999999998E-3</v>
      </c>
      <c r="L2903">
        <v>3.3999999999999998E-3</v>
      </c>
      <c r="M2903">
        <v>3.3999999999999998E-3</v>
      </c>
      <c r="N2903">
        <v>3.3999999999999998E-3</v>
      </c>
      <c r="O2903">
        <v>3.3999999999999998E-3</v>
      </c>
      <c r="P2903">
        <v>3.3999999999999998E-3</v>
      </c>
      <c r="Q2903">
        <v>3.3999999999999998E-3</v>
      </c>
      <c r="R2903">
        <v>3.3999999999999998E-3</v>
      </c>
      <c r="S2903">
        <v>3.3999999999999998E-3</v>
      </c>
      <c r="T2903">
        <v>3.3999999999999998E-3</v>
      </c>
      <c r="U2903">
        <v>3.3999999999999998E-3</v>
      </c>
      <c r="V2903">
        <v>3.3999999999999998E-3</v>
      </c>
      <c r="W2903">
        <v>3.3999999999999998E-3</v>
      </c>
      <c r="X2903">
        <v>3.3999999999999998E-3</v>
      </c>
      <c r="Y2903">
        <v>3.3999999999999998E-3</v>
      </c>
    </row>
    <row r="2904" spans="1:25" hidden="1">
      <c r="A2904" t="s">
        <v>18812</v>
      </c>
      <c r="B2904" t="s">
        <v>716</v>
      </c>
      <c r="C2904" t="s">
        <v>710</v>
      </c>
      <c r="D2904" t="s">
        <v>671</v>
      </c>
      <c r="E2904" t="s">
        <v>605</v>
      </c>
      <c r="F2904" t="s">
        <v>598</v>
      </c>
      <c r="G2904" t="s">
        <v>478</v>
      </c>
      <c r="H2904" t="s">
        <v>600</v>
      </c>
      <c r="I2904" t="s">
        <v>601</v>
      </c>
      <c r="J2904">
        <v>0.22500000000000001</v>
      </c>
      <c r="K2904">
        <v>0.22500000000000001</v>
      </c>
      <c r="L2904">
        <v>0.22500000000000001</v>
      </c>
      <c r="M2904">
        <v>0.22500000000000001</v>
      </c>
      <c r="N2904">
        <v>0.22500000000000001</v>
      </c>
      <c r="O2904">
        <v>0.22500000000000001</v>
      </c>
      <c r="P2904">
        <v>0.22500000000000001</v>
      </c>
      <c r="Q2904">
        <v>0.22500000000000001</v>
      </c>
      <c r="R2904">
        <v>0.22500000000000001</v>
      </c>
      <c r="S2904">
        <v>0.22500000000000001</v>
      </c>
      <c r="T2904">
        <v>0.22500000000000001</v>
      </c>
      <c r="U2904">
        <v>0.22500000000000001</v>
      </c>
      <c r="V2904">
        <v>0.22500000000000001</v>
      </c>
      <c r="W2904">
        <v>0.22500000000000001</v>
      </c>
      <c r="X2904">
        <v>0.22500000000000001</v>
      </c>
      <c r="Y2904">
        <v>0.22500000000000001</v>
      </c>
    </row>
    <row r="2905" spans="1:25" hidden="1">
      <c r="A2905" t="s">
        <v>18812</v>
      </c>
      <c r="B2905" t="s">
        <v>728</v>
      </c>
      <c r="C2905" t="s">
        <v>729</v>
      </c>
      <c r="D2905" t="s">
        <v>596</v>
      </c>
      <c r="E2905" t="s">
        <v>597</v>
      </c>
      <c r="F2905" t="s">
        <v>598</v>
      </c>
      <c r="G2905" t="s">
        <v>478</v>
      </c>
      <c r="H2905" t="s">
        <v>600</v>
      </c>
      <c r="I2905" t="s">
        <v>601</v>
      </c>
      <c r="J2905">
        <v>0.12720000000000001</v>
      </c>
      <c r="K2905">
        <v>0.1298</v>
      </c>
      <c r="L2905">
        <v>0.1326</v>
      </c>
      <c r="M2905">
        <v>0.1366</v>
      </c>
      <c r="N2905">
        <v>0.1406</v>
      </c>
      <c r="O2905">
        <v>0.1449</v>
      </c>
      <c r="P2905">
        <v>0.15040000000000001</v>
      </c>
      <c r="Q2905">
        <v>0.15260000000000001</v>
      </c>
      <c r="R2905">
        <v>0.15340000000000001</v>
      </c>
      <c r="S2905">
        <v>0.15409999999999999</v>
      </c>
      <c r="T2905">
        <v>0.15540000000000001</v>
      </c>
      <c r="U2905">
        <v>0.1565</v>
      </c>
      <c r="V2905">
        <v>0.15820000000000001</v>
      </c>
      <c r="W2905">
        <v>0.16</v>
      </c>
      <c r="X2905">
        <v>0.16120000000000001</v>
      </c>
      <c r="Y2905">
        <v>0.16270000000000001</v>
      </c>
    </row>
    <row r="2906" spans="1:25" hidden="1">
      <c r="A2906" t="s">
        <v>18812</v>
      </c>
      <c r="B2906" t="s">
        <v>745</v>
      </c>
      <c r="C2906" t="s">
        <v>729</v>
      </c>
      <c r="D2906" t="s">
        <v>671</v>
      </c>
      <c r="E2906" t="s">
        <v>597</v>
      </c>
      <c r="F2906" t="s">
        <v>598</v>
      </c>
      <c r="G2906" t="s">
        <v>478</v>
      </c>
      <c r="H2906" t="s">
        <v>600</v>
      </c>
      <c r="I2906" t="s">
        <v>601</v>
      </c>
      <c r="J2906">
        <v>3.1699999999999999E-2</v>
      </c>
      <c r="K2906">
        <v>3.1E-2</v>
      </c>
      <c r="L2906">
        <v>3.0300000000000001E-2</v>
      </c>
      <c r="M2906">
        <v>3.0099999999999998E-2</v>
      </c>
      <c r="N2906">
        <v>2.9899999999999999E-2</v>
      </c>
      <c r="O2906">
        <v>2.9600000000000001E-2</v>
      </c>
      <c r="P2906">
        <v>3.1699999999999999E-2</v>
      </c>
      <c r="Q2906">
        <v>3.1600000000000003E-2</v>
      </c>
      <c r="R2906">
        <v>3.1399999999999997E-2</v>
      </c>
      <c r="S2906">
        <v>3.1099999999999999E-2</v>
      </c>
      <c r="T2906">
        <v>3.1099999999999999E-2</v>
      </c>
      <c r="U2906">
        <v>3.1300000000000001E-2</v>
      </c>
      <c r="V2906">
        <v>3.1699999999999999E-2</v>
      </c>
      <c r="W2906">
        <v>3.1899999999999998E-2</v>
      </c>
      <c r="X2906">
        <v>3.1899999999999998E-2</v>
      </c>
      <c r="Y2906">
        <v>3.2300000000000002E-2</v>
      </c>
    </row>
    <row r="2907" spans="1:25" hidden="1">
      <c r="A2907" t="s">
        <v>18812</v>
      </c>
      <c r="B2907" t="s">
        <v>746</v>
      </c>
      <c r="C2907" t="s">
        <v>729</v>
      </c>
      <c r="D2907" t="s">
        <v>671</v>
      </c>
      <c r="E2907" t="s">
        <v>642</v>
      </c>
      <c r="F2907" t="s">
        <v>598</v>
      </c>
      <c r="G2907" t="s">
        <v>478</v>
      </c>
      <c r="H2907" t="s">
        <v>600</v>
      </c>
      <c r="I2907" t="s">
        <v>601</v>
      </c>
      <c r="J2907">
        <v>8.0000000000000004E-4</v>
      </c>
      <c r="K2907">
        <v>8.0000000000000004E-4</v>
      </c>
      <c r="L2907">
        <v>8.0000000000000004E-4</v>
      </c>
      <c r="M2907">
        <v>8.0000000000000004E-4</v>
      </c>
      <c r="N2907">
        <v>8.0000000000000004E-4</v>
      </c>
      <c r="O2907">
        <v>8.0000000000000004E-4</v>
      </c>
      <c r="P2907">
        <v>8.0000000000000004E-4</v>
      </c>
      <c r="Q2907">
        <v>8.0000000000000004E-4</v>
      </c>
      <c r="R2907">
        <v>8.0000000000000004E-4</v>
      </c>
      <c r="S2907">
        <v>8.0000000000000004E-4</v>
      </c>
      <c r="T2907">
        <v>8.0000000000000004E-4</v>
      </c>
      <c r="U2907">
        <v>8.0000000000000004E-4</v>
      </c>
      <c r="V2907">
        <v>8.0000000000000004E-4</v>
      </c>
      <c r="W2907">
        <v>8.0000000000000004E-4</v>
      </c>
      <c r="X2907">
        <v>8.0000000000000004E-4</v>
      </c>
      <c r="Y2907">
        <v>8.0000000000000004E-4</v>
      </c>
    </row>
    <row r="2908" spans="1:25" hidden="1">
      <c r="A2908" t="s">
        <v>18812</v>
      </c>
      <c r="B2908" t="s">
        <v>749</v>
      </c>
      <c r="C2908" t="s">
        <v>729</v>
      </c>
      <c r="D2908" t="s">
        <v>671</v>
      </c>
      <c r="E2908" t="s">
        <v>750</v>
      </c>
      <c r="F2908" t="s">
        <v>598</v>
      </c>
      <c r="G2908" t="s">
        <v>478</v>
      </c>
      <c r="H2908" t="s">
        <v>600</v>
      </c>
      <c r="I2908" t="s">
        <v>601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 hidden="1">
      <c r="A2909" t="s">
        <v>18812</v>
      </c>
      <c r="B2909" t="s">
        <v>761</v>
      </c>
      <c r="C2909" t="s">
        <v>729</v>
      </c>
      <c r="D2909" t="s">
        <v>621</v>
      </c>
      <c r="E2909" t="s">
        <v>597</v>
      </c>
      <c r="F2909" t="s">
        <v>598</v>
      </c>
      <c r="G2909" t="s">
        <v>478</v>
      </c>
      <c r="H2909" t="s">
        <v>600</v>
      </c>
      <c r="I2909" t="s">
        <v>601</v>
      </c>
      <c r="J2909">
        <v>3.0700000000000002E-2</v>
      </c>
      <c r="K2909">
        <v>0.03</v>
      </c>
      <c r="L2909">
        <v>2.92E-2</v>
      </c>
      <c r="M2909">
        <v>2.9100000000000001E-2</v>
      </c>
      <c r="N2909">
        <v>2.8799999999999999E-2</v>
      </c>
      <c r="O2909">
        <v>2.8500000000000001E-2</v>
      </c>
      <c r="P2909">
        <v>2.8400000000000002E-2</v>
      </c>
      <c r="Q2909">
        <v>2.8199999999999999E-2</v>
      </c>
      <c r="R2909">
        <v>2.8000000000000001E-2</v>
      </c>
      <c r="S2909">
        <v>2.7799999999999998E-2</v>
      </c>
      <c r="T2909">
        <v>2.7900000000000001E-2</v>
      </c>
      <c r="U2909">
        <v>2.7900000000000001E-2</v>
      </c>
      <c r="V2909">
        <v>2.8199999999999999E-2</v>
      </c>
      <c r="W2909">
        <v>2.8500000000000001E-2</v>
      </c>
      <c r="X2909">
        <v>2.8500000000000001E-2</v>
      </c>
      <c r="Y2909">
        <v>2.87E-2</v>
      </c>
    </row>
    <row r="2910" spans="1:25" hidden="1">
      <c r="A2910" t="s">
        <v>18812</v>
      </c>
      <c r="B2910" t="s">
        <v>769</v>
      </c>
      <c r="C2910" t="s">
        <v>729</v>
      </c>
      <c r="D2910" t="s">
        <v>621</v>
      </c>
      <c r="E2910" t="s">
        <v>626</v>
      </c>
      <c r="F2910" t="s">
        <v>598</v>
      </c>
      <c r="G2910" t="s">
        <v>478</v>
      </c>
      <c r="H2910" t="s">
        <v>600</v>
      </c>
      <c r="I2910" t="s">
        <v>601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hidden="1">
      <c r="A2911" t="s">
        <v>18812</v>
      </c>
      <c r="B2911" t="s">
        <v>770</v>
      </c>
      <c r="C2911" t="s">
        <v>729</v>
      </c>
      <c r="D2911" t="s">
        <v>621</v>
      </c>
      <c r="E2911" t="s">
        <v>628</v>
      </c>
      <c r="F2911" t="s">
        <v>598</v>
      </c>
      <c r="G2911" t="s">
        <v>478</v>
      </c>
      <c r="H2911" t="s">
        <v>600</v>
      </c>
      <c r="I2911" t="s">
        <v>601</v>
      </c>
      <c r="J2911">
        <v>0.99099999999999999</v>
      </c>
      <c r="K2911">
        <v>0.99209999999999998</v>
      </c>
      <c r="L2911">
        <v>0.99309999999999998</v>
      </c>
      <c r="M2911">
        <v>0.99409999999999998</v>
      </c>
      <c r="N2911">
        <v>0.99509999999999998</v>
      </c>
      <c r="O2911">
        <v>0.99609999999999999</v>
      </c>
      <c r="P2911">
        <v>0.99680000000000002</v>
      </c>
      <c r="Q2911">
        <v>0.99739999999999995</v>
      </c>
      <c r="R2911">
        <v>0.99760000000000004</v>
      </c>
      <c r="S2911">
        <v>0.99780000000000002</v>
      </c>
      <c r="T2911">
        <v>0.99809999999999999</v>
      </c>
      <c r="U2911">
        <v>0.99839999999999995</v>
      </c>
      <c r="V2911">
        <v>0.99880000000000002</v>
      </c>
      <c r="W2911">
        <v>0.999</v>
      </c>
      <c r="X2911">
        <v>0.99929999999999997</v>
      </c>
      <c r="Y2911">
        <v>0.99960000000000004</v>
      </c>
    </row>
    <row r="2912" spans="1:25" hidden="1">
      <c r="A2912" t="s">
        <v>18812</v>
      </c>
      <c r="B2912" t="s">
        <v>771</v>
      </c>
      <c r="C2912" t="s">
        <v>729</v>
      </c>
      <c r="D2912" t="s">
        <v>621</v>
      </c>
      <c r="E2912" t="s">
        <v>692</v>
      </c>
      <c r="F2912" t="s">
        <v>598</v>
      </c>
      <c r="G2912" t="s">
        <v>478</v>
      </c>
      <c r="H2912" t="s">
        <v>600</v>
      </c>
      <c r="I2912" t="s">
        <v>601</v>
      </c>
      <c r="J2912">
        <v>5.7999999999999996E-3</v>
      </c>
      <c r="K2912">
        <v>5.8999999999999999E-3</v>
      </c>
      <c r="L2912">
        <v>6.1000000000000004E-3</v>
      </c>
      <c r="M2912">
        <v>6.3E-3</v>
      </c>
      <c r="N2912">
        <v>6.4999999999999997E-3</v>
      </c>
      <c r="O2912">
        <v>6.7000000000000002E-3</v>
      </c>
      <c r="P2912">
        <v>6.7999999999999996E-3</v>
      </c>
      <c r="Q2912">
        <v>7.0000000000000001E-3</v>
      </c>
      <c r="R2912">
        <v>7.0000000000000001E-3</v>
      </c>
      <c r="S2912">
        <v>7.1999999999999998E-3</v>
      </c>
      <c r="T2912">
        <v>7.1999999999999998E-3</v>
      </c>
      <c r="U2912">
        <v>7.3000000000000001E-3</v>
      </c>
      <c r="V2912">
        <v>7.4000000000000003E-3</v>
      </c>
      <c r="W2912">
        <v>7.4000000000000003E-3</v>
      </c>
      <c r="X2912">
        <v>7.4999999999999997E-3</v>
      </c>
      <c r="Y2912">
        <v>7.6E-3</v>
      </c>
    </row>
    <row r="2913" spans="1:25" hidden="1">
      <c r="A2913" t="s">
        <v>18812</v>
      </c>
      <c r="B2913" t="s">
        <v>778</v>
      </c>
      <c r="C2913" t="s">
        <v>729</v>
      </c>
      <c r="D2913" t="s">
        <v>632</v>
      </c>
      <c r="E2913" t="s">
        <v>628</v>
      </c>
      <c r="F2913" t="s">
        <v>598</v>
      </c>
      <c r="G2913" t="s">
        <v>478</v>
      </c>
      <c r="H2913" t="s">
        <v>600</v>
      </c>
      <c r="I2913" t="s">
        <v>601</v>
      </c>
      <c r="J2913">
        <v>8.9999999999999998E-4</v>
      </c>
      <c r="K2913">
        <v>8.9999999999999998E-4</v>
      </c>
      <c r="L2913">
        <v>1E-3</v>
      </c>
      <c r="M2913">
        <v>1E-3</v>
      </c>
      <c r="N2913">
        <v>1.1000000000000001E-3</v>
      </c>
      <c r="O2913">
        <v>1.1000000000000001E-3</v>
      </c>
      <c r="P2913">
        <v>1.1000000000000001E-3</v>
      </c>
      <c r="Q2913">
        <v>1.1999999999999999E-3</v>
      </c>
      <c r="R2913">
        <v>1.1999999999999999E-3</v>
      </c>
      <c r="S2913">
        <v>1.1999999999999999E-3</v>
      </c>
      <c r="T2913">
        <v>1.2999999999999999E-3</v>
      </c>
      <c r="U2913">
        <v>1.2999999999999999E-3</v>
      </c>
      <c r="V2913">
        <v>1.2999999999999999E-3</v>
      </c>
      <c r="W2913">
        <v>1.2999999999999999E-3</v>
      </c>
      <c r="X2913">
        <v>1.4E-3</v>
      </c>
      <c r="Y2913">
        <v>1.4E-3</v>
      </c>
    </row>
    <row r="2914" spans="1:25" hidden="1">
      <c r="A2914" t="s">
        <v>18812</v>
      </c>
      <c r="B2914" t="s">
        <v>785</v>
      </c>
      <c r="C2914" t="s">
        <v>729</v>
      </c>
      <c r="D2914" t="s">
        <v>640</v>
      </c>
      <c r="E2914" t="s">
        <v>597</v>
      </c>
      <c r="F2914" t="s">
        <v>598</v>
      </c>
      <c r="G2914" t="s">
        <v>478</v>
      </c>
      <c r="H2914" t="s">
        <v>600</v>
      </c>
      <c r="I2914" t="s">
        <v>601</v>
      </c>
      <c r="J2914">
        <v>0.1028</v>
      </c>
      <c r="K2914">
        <v>0.1074</v>
      </c>
      <c r="L2914">
        <v>0.1124</v>
      </c>
      <c r="M2914">
        <v>0.1176</v>
      </c>
      <c r="N2914">
        <v>0.123</v>
      </c>
      <c r="O2914">
        <v>0.1285</v>
      </c>
      <c r="P2914">
        <v>0.13150000000000001</v>
      </c>
      <c r="Q2914">
        <v>0.13439999999999999</v>
      </c>
      <c r="R2914">
        <v>0.1356</v>
      </c>
      <c r="S2914">
        <v>0.13669999999999999</v>
      </c>
      <c r="T2914">
        <v>0.13769999999999999</v>
      </c>
      <c r="U2914">
        <v>0.1389</v>
      </c>
      <c r="V2914">
        <v>0.1401</v>
      </c>
      <c r="W2914">
        <v>0.14119999999999999</v>
      </c>
      <c r="X2914">
        <v>0.14249999999999999</v>
      </c>
      <c r="Y2914">
        <v>0.14360000000000001</v>
      </c>
    </row>
    <row r="2915" spans="1:25" hidden="1">
      <c r="A2915" t="s">
        <v>18812</v>
      </c>
      <c r="B2915" t="s">
        <v>787</v>
      </c>
      <c r="C2915" t="s">
        <v>729</v>
      </c>
      <c r="D2915" t="s">
        <v>640</v>
      </c>
      <c r="E2915" t="s">
        <v>605</v>
      </c>
      <c r="F2915" t="s">
        <v>598</v>
      </c>
      <c r="G2915" t="s">
        <v>478</v>
      </c>
      <c r="H2915" t="s">
        <v>600</v>
      </c>
      <c r="I2915" t="s">
        <v>601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hidden="1">
      <c r="A2916" t="s">
        <v>18812</v>
      </c>
      <c r="B2916" t="s">
        <v>795</v>
      </c>
      <c r="C2916" t="s">
        <v>729</v>
      </c>
      <c r="D2916" t="s">
        <v>648</v>
      </c>
      <c r="E2916" t="s">
        <v>597</v>
      </c>
      <c r="F2916" t="s">
        <v>598</v>
      </c>
      <c r="G2916" t="s">
        <v>478</v>
      </c>
      <c r="H2916" t="s">
        <v>600</v>
      </c>
      <c r="I2916" t="s">
        <v>601</v>
      </c>
      <c r="J2916">
        <v>7.0699999999999999E-2</v>
      </c>
      <c r="K2916">
        <v>6.9900000000000004E-2</v>
      </c>
      <c r="L2916">
        <v>6.8900000000000003E-2</v>
      </c>
      <c r="M2916">
        <v>6.8000000000000005E-2</v>
      </c>
      <c r="N2916">
        <v>6.7000000000000004E-2</v>
      </c>
      <c r="O2916">
        <v>6.6000000000000003E-2</v>
      </c>
      <c r="P2916">
        <v>6.5000000000000002E-2</v>
      </c>
      <c r="Q2916">
        <v>6.4000000000000001E-2</v>
      </c>
      <c r="R2916">
        <v>6.3E-2</v>
      </c>
      <c r="S2916">
        <v>6.2199999999999998E-2</v>
      </c>
      <c r="T2916">
        <v>6.1600000000000002E-2</v>
      </c>
      <c r="U2916">
        <v>6.1400000000000003E-2</v>
      </c>
      <c r="V2916">
        <v>6.1199999999999997E-2</v>
      </c>
      <c r="W2916">
        <v>6.0999999999999999E-2</v>
      </c>
      <c r="X2916">
        <v>6.08E-2</v>
      </c>
      <c r="Y2916">
        <v>6.0600000000000001E-2</v>
      </c>
    </row>
    <row r="2917" spans="1:25" hidden="1">
      <c r="A2917" t="s">
        <v>18812</v>
      </c>
      <c r="B2917" t="s">
        <v>796</v>
      </c>
      <c r="C2917" t="s">
        <v>729</v>
      </c>
      <c r="D2917" t="s">
        <v>648</v>
      </c>
      <c r="E2917" t="s">
        <v>642</v>
      </c>
      <c r="F2917" t="s">
        <v>598</v>
      </c>
      <c r="G2917" t="s">
        <v>478</v>
      </c>
      <c r="H2917" t="s">
        <v>600</v>
      </c>
      <c r="I2917" t="s">
        <v>601</v>
      </c>
      <c r="J2917">
        <v>1.66E-2</v>
      </c>
      <c r="K2917">
        <v>1.66E-2</v>
      </c>
      <c r="L2917">
        <v>1.66E-2</v>
      </c>
      <c r="M2917">
        <v>1.66E-2</v>
      </c>
      <c r="N2917">
        <v>1.66E-2</v>
      </c>
      <c r="O2917">
        <v>1.66E-2</v>
      </c>
      <c r="P2917">
        <v>1.66E-2</v>
      </c>
      <c r="Q2917">
        <v>1.66E-2</v>
      </c>
      <c r="R2917">
        <v>1.66E-2</v>
      </c>
      <c r="S2917">
        <v>1.66E-2</v>
      </c>
      <c r="T2917">
        <v>1.66E-2</v>
      </c>
      <c r="U2917">
        <v>1.66E-2</v>
      </c>
      <c r="V2917">
        <v>1.66E-2</v>
      </c>
      <c r="W2917">
        <v>1.66E-2</v>
      </c>
      <c r="X2917">
        <v>1.66E-2</v>
      </c>
      <c r="Y2917">
        <v>1.66E-2</v>
      </c>
    </row>
    <row r="2918" spans="1:25" hidden="1">
      <c r="A2918" t="s">
        <v>18812</v>
      </c>
      <c r="B2918" t="s">
        <v>801</v>
      </c>
      <c r="C2918" t="s">
        <v>729</v>
      </c>
      <c r="D2918" t="s">
        <v>648</v>
      </c>
      <c r="E2918" t="s">
        <v>619</v>
      </c>
      <c r="F2918" t="s">
        <v>598</v>
      </c>
      <c r="G2918" t="s">
        <v>478</v>
      </c>
      <c r="H2918" t="s">
        <v>600</v>
      </c>
      <c r="I2918" t="s">
        <v>601</v>
      </c>
      <c r="J2918">
        <v>5.3E-3</v>
      </c>
      <c r="K2918">
        <v>5.7000000000000002E-3</v>
      </c>
      <c r="L2918">
        <v>5.7000000000000002E-3</v>
      </c>
      <c r="M2918">
        <v>5.7000000000000002E-3</v>
      </c>
      <c r="N2918">
        <v>5.7000000000000002E-3</v>
      </c>
      <c r="O2918">
        <v>5.7000000000000002E-3</v>
      </c>
      <c r="P2918">
        <v>5.7000000000000002E-3</v>
      </c>
      <c r="Q2918">
        <v>5.7000000000000002E-3</v>
      </c>
      <c r="R2918">
        <v>5.7000000000000002E-3</v>
      </c>
      <c r="S2918">
        <v>5.7000000000000002E-3</v>
      </c>
      <c r="T2918">
        <v>5.7000000000000002E-3</v>
      </c>
      <c r="U2918">
        <v>5.7000000000000002E-3</v>
      </c>
      <c r="V2918">
        <v>5.7000000000000002E-3</v>
      </c>
      <c r="W2918">
        <v>5.3E-3</v>
      </c>
      <c r="X2918">
        <v>5.3E-3</v>
      </c>
      <c r="Y2918">
        <v>5.3E-3</v>
      </c>
    </row>
    <row r="2919" spans="1:25" hidden="1">
      <c r="A2919" t="s">
        <v>18812</v>
      </c>
      <c r="B2919" t="s">
        <v>802</v>
      </c>
      <c r="C2919" t="s">
        <v>729</v>
      </c>
      <c r="D2919" t="s">
        <v>648</v>
      </c>
      <c r="E2919" t="s">
        <v>676</v>
      </c>
      <c r="F2919" t="s">
        <v>598</v>
      </c>
      <c r="G2919" t="s">
        <v>478</v>
      </c>
      <c r="H2919" t="s">
        <v>600</v>
      </c>
      <c r="I2919" t="s">
        <v>601</v>
      </c>
      <c r="J2919">
        <v>1.8E-3</v>
      </c>
      <c r="K2919">
        <v>1.9E-3</v>
      </c>
      <c r="L2919">
        <v>1.9E-3</v>
      </c>
      <c r="M2919">
        <v>1.9E-3</v>
      </c>
      <c r="N2919">
        <v>1.9E-3</v>
      </c>
      <c r="O2919">
        <v>2E-3</v>
      </c>
      <c r="P2919">
        <v>2E-3</v>
      </c>
      <c r="Q2919">
        <v>2E-3</v>
      </c>
      <c r="R2919">
        <v>2E-3</v>
      </c>
      <c r="S2919">
        <v>2E-3</v>
      </c>
      <c r="T2919">
        <v>2E-3</v>
      </c>
      <c r="U2919">
        <v>2E-3</v>
      </c>
      <c r="V2919">
        <v>2E-3</v>
      </c>
      <c r="W2919">
        <v>2E-3</v>
      </c>
      <c r="X2919">
        <v>2.0999999999999999E-3</v>
      </c>
      <c r="Y2919">
        <v>2.0999999999999999E-3</v>
      </c>
    </row>
    <row r="2920" spans="1:25" hidden="1">
      <c r="A2920" t="s">
        <v>18812</v>
      </c>
      <c r="B2920" t="s">
        <v>803</v>
      </c>
      <c r="C2920" t="s">
        <v>804</v>
      </c>
      <c r="D2920" t="s">
        <v>596</v>
      </c>
      <c r="E2920" t="s">
        <v>597</v>
      </c>
      <c r="F2920" t="s">
        <v>598</v>
      </c>
      <c r="G2920" t="s">
        <v>478</v>
      </c>
      <c r="H2920" t="s">
        <v>600</v>
      </c>
      <c r="I2920" t="s">
        <v>601</v>
      </c>
      <c r="J2920">
        <v>2.76E-2</v>
      </c>
      <c r="K2920">
        <v>2.8299999999999999E-2</v>
      </c>
      <c r="L2920">
        <v>2.9000000000000001E-2</v>
      </c>
      <c r="M2920">
        <v>2.9899999999999999E-2</v>
      </c>
      <c r="N2920">
        <v>3.0599999999999999E-2</v>
      </c>
      <c r="O2920">
        <v>3.15E-2</v>
      </c>
      <c r="P2920">
        <v>3.1800000000000002E-2</v>
      </c>
      <c r="Q2920">
        <v>3.2000000000000001E-2</v>
      </c>
      <c r="R2920">
        <v>3.2199999999999999E-2</v>
      </c>
      <c r="S2920">
        <v>3.2199999999999999E-2</v>
      </c>
      <c r="T2920">
        <v>3.2099999999999997E-2</v>
      </c>
      <c r="U2920">
        <v>3.2300000000000002E-2</v>
      </c>
      <c r="V2920">
        <v>3.2399999999999998E-2</v>
      </c>
      <c r="W2920">
        <v>3.27E-2</v>
      </c>
      <c r="X2920">
        <v>3.27E-2</v>
      </c>
      <c r="Y2920">
        <v>3.2800000000000003E-2</v>
      </c>
    </row>
    <row r="2921" spans="1:25" hidden="1">
      <c r="A2921" t="s">
        <v>18812</v>
      </c>
      <c r="B2921" t="s">
        <v>820</v>
      </c>
      <c r="C2921" t="s">
        <v>804</v>
      </c>
      <c r="D2921" t="s">
        <v>621</v>
      </c>
      <c r="E2921" t="s">
        <v>597</v>
      </c>
      <c r="F2921" t="s">
        <v>598</v>
      </c>
      <c r="G2921" t="s">
        <v>478</v>
      </c>
      <c r="H2921" t="s">
        <v>600</v>
      </c>
      <c r="I2921" t="s">
        <v>601</v>
      </c>
      <c r="J2921">
        <v>2.0000000000000001E-4</v>
      </c>
      <c r="K2921">
        <v>2.0000000000000001E-4</v>
      </c>
      <c r="L2921">
        <v>2.0000000000000001E-4</v>
      </c>
      <c r="M2921">
        <v>2.9999999999999997E-4</v>
      </c>
      <c r="N2921">
        <v>2.9999999999999997E-4</v>
      </c>
      <c r="O2921">
        <v>2.9999999999999997E-4</v>
      </c>
      <c r="P2921">
        <v>2.9999999999999997E-4</v>
      </c>
      <c r="Q2921">
        <v>2.9999999999999997E-4</v>
      </c>
      <c r="R2921">
        <v>2.9999999999999997E-4</v>
      </c>
      <c r="S2921">
        <v>2.9999999999999997E-4</v>
      </c>
      <c r="T2921">
        <v>2.9999999999999997E-4</v>
      </c>
      <c r="U2921">
        <v>2.9999999999999997E-4</v>
      </c>
      <c r="V2921">
        <v>2.9999999999999997E-4</v>
      </c>
      <c r="W2921">
        <v>2.9999999999999997E-4</v>
      </c>
      <c r="X2921">
        <v>2.9999999999999997E-4</v>
      </c>
      <c r="Y2921">
        <v>2.9999999999999997E-4</v>
      </c>
    </row>
    <row r="2922" spans="1:25" hidden="1">
      <c r="A2922" t="s">
        <v>18812</v>
      </c>
      <c r="B2922" t="s">
        <v>825</v>
      </c>
      <c r="C2922" t="s">
        <v>804</v>
      </c>
      <c r="D2922" t="s">
        <v>621</v>
      </c>
      <c r="E2922" t="s">
        <v>628</v>
      </c>
      <c r="F2922" t="s">
        <v>598</v>
      </c>
      <c r="G2922" t="s">
        <v>478</v>
      </c>
      <c r="H2922" t="s">
        <v>600</v>
      </c>
      <c r="I2922" t="s">
        <v>601</v>
      </c>
      <c r="J2922">
        <v>9.9000000000000005E-2</v>
      </c>
      <c r="K2922">
        <v>0.10009999999999999</v>
      </c>
      <c r="L2922">
        <v>0.1003</v>
      </c>
      <c r="M2922">
        <v>0.10059999999999999</v>
      </c>
      <c r="N2922">
        <v>0.1019</v>
      </c>
      <c r="O2922">
        <v>0.1017</v>
      </c>
      <c r="P2922">
        <v>0.10249999999999999</v>
      </c>
      <c r="Q2922">
        <v>0.10299999999999999</v>
      </c>
      <c r="R2922">
        <v>0.10340000000000001</v>
      </c>
      <c r="S2922">
        <v>0.10390000000000001</v>
      </c>
      <c r="T2922">
        <v>0.1045</v>
      </c>
      <c r="U2922">
        <v>0.1041</v>
      </c>
      <c r="V2922">
        <v>0.1047</v>
      </c>
      <c r="W2922">
        <v>0.10539999999999999</v>
      </c>
      <c r="X2922">
        <v>0.10630000000000001</v>
      </c>
      <c r="Y2922">
        <v>0.1071</v>
      </c>
    </row>
    <row r="2923" spans="1:25" hidden="1">
      <c r="A2923" t="s">
        <v>18812</v>
      </c>
      <c r="B2923" t="s">
        <v>827</v>
      </c>
      <c r="C2923" t="s">
        <v>804</v>
      </c>
      <c r="D2923" t="s">
        <v>828</v>
      </c>
      <c r="E2923" t="s">
        <v>597</v>
      </c>
      <c r="F2923" t="s">
        <v>598</v>
      </c>
      <c r="G2923" t="s">
        <v>478</v>
      </c>
      <c r="H2923" t="s">
        <v>600</v>
      </c>
      <c r="I2923" t="s">
        <v>601</v>
      </c>
      <c r="J2923">
        <v>0.61829999999999996</v>
      </c>
      <c r="K2923">
        <v>0.61099999999999999</v>
      </c>
      <c r="L2923">
        <v>0.60360000000000003</v>
      </c>
      <c r="M2923">
        <v>0.60799999999999998</v>
      </c>
      <c r="N2923">
        <v>0.60370000000000001</v>
      </c>
      <c r="O2923">
        <v>0.59889999999999999</v>
      </c>
      <c r="P2923">
        <v>0.59640000000000004</v>
      </c>
      <c r="Q2923">
        <v>0.59150000000000003</v>
      </c>
      <c r="R2923">
        <v>0.58409999999999995</v>
      </c>
      <c r="S2923">
        <v>0.57640000000000002</v>
      </c>
      <c r="T2923">
        <v>0.57199999999999995</v>
      </c>
      <c r="U2923">
        <v>0.56950000000000001</v>
      </c>
      <c r="V2923">
        <v>0.56820000000000004</v>
      </c>
      <c r="W2923">
        <v>0.56830000000000003</v>
      </c>
      <c r="X2923">
        <v>0.56200000000000006</v>
      </c>
      <c r="Y2923">
        <v>0.56079999999999997</v>
      </c>
    </row>
    <row r="2924" spans="1:25" hidden="1">
      <c r="A2924" t="s">
        <v>18812</v>
      </c>
      <c r="B2924" t="s">
        <v>830</v>
      </c>
      <c r="C2924" t="s">
        <v>804</v>
      </c>
      <c r="D2924" t="s">
        <v>828</v>
      </c>
      <c r="E2924" t="s">
        <v>628</v>
      </c>
      <c r="F2924" t="s">
        <v>831</v>
      </c>
      <c r="G2924" t="s">
        <v>478</v>
      </c>
      <c r="H2924" t="s">
        <v>600</v>
      </c>
      <c r="I2924" t="s">
        <v>601</v>
      </c>
      <c r="J2924">
        <v>0.31630000000000003</v>
      </c>
      <c r="K2924">
        <v>0.13689999999999999</v>
      </c>
      <c r="L2924">
        <v>0.12239999999999999</v>
      </c>
      <c r="M2924">
        <v>0.114</v>
      </c>
      <c r="N2924">
        <v>0.113</v>
      </c>
      <c r="O2924">
        <v>0.1116</v>
      </c>
      <c r="P2924">
        <v>0.1105</v>
      </c>
      <c r="Q2924">
        <v>0.1085</v>
      </c>
      <c r="R2924">
        <v>0.1069</v>
      </c>
      <c r="S2924">
        <v>0.1045</v>
      </c>
      <c r="T2924">
        <v>0.1024</v>
      </c>
      <c r="U2924">
        <v>9.98E-2</v>
      </c>
      <c r="V2924">
        <v>9.7100000000000006E-2</v>
      </c>
      <c r="W2924">
        <v>9.3299999999999994E-2</v>
      </c>
      <c r="X2924">
        <v>8.9300000000000004E-2</v>
      </c>
      <c r="Y2924">
        <v>8.5000000000000006E-2</v>
      </c>
    </row>
    <row r="2925" spans="1:25" hidden="1">
      <c r="A2925" t="s">
        <v>18812</v>
      </c>
      <c r="B2925" t="s">
        <v>832</v>
      </c>
      <c r="C2925" t="s">
        <v>804</v>
      </c>
      <c r="D2925" t="s">
        <v>828</v>
      </c>
      <c r="E2925" t="s">
        <v>628</v>
      </c>
      <c r="F2925" t="s">
        <v>833</v>
      </c>
      <c r="G2925" t="s">
        <v>478</v>
      </c>
      <c r="H2925" t="s">
        <v>600</v>
      </c>
      <c r="I2925" t="s">
        <v>601</v>
      </c>
      <c r="J2925">
        <v>0.2142</v>
      </c>
      <c r="K2925">
        <v>0.20300000000000001</v>
      </c>
      <c r="L2925">
        <v>0.19239999999999999</v>
      </c>
      <c r="M2925">
        <v>0.18140000000000001</v>
      </c>
      <c r="N2925">
        <v>0.17030000000000001</v>
      </c>
      <c r="O2925">
        <v>0.15859999999999999</v>
      </c>
      <c r="P2925">
        <v>0.14660000000000001</v>
      </c>
      <c r="Q2925">
        <v>0.13489999999999999</v>
      </c>
      <c r="R2925">
        <v>0.1239</v>
      </c>
      <c r="S2925">
        <v>0.11409999999999999</v>
      </c>
      <c r="T2925">
        <v>0.1053</v>
      </c>
      <c r="U2925">
        <v>9.7100000000000006E-2</v>
      </c>
      <c r="V2925">
        <v>8.9399999999999993E-2</v>
      </c>
      <c r="W2925">
        <v>8.2400000000000001E-2</v>
      </c>
      <c r="X2925">
        <v>7.5999999999999998E-2</v>
      </c>
      <c r="Y2925">
        <v>6.9699999999999998E-2</v>
      </c>
    </row>
    <row r="2926" spans="1:25" hidden="1">
      <c r="A2926" t="s">
        <v>18812</v>
      </c>
      <c r="B2926" t="s">
        <v>839</v>
      </c>
      <c r="C2926" t="s">
        <v>804</v>
      </c>
      <c r="D2926" t="s">
        <v>648</v>
      </c>
      <c r="E2926" t="s">
        <v>688</v>
      </c>
      <c r="F2926" t="s">
        <v>598</v>
      </c>
      <c r="G2926" t="s">
        <v>478</v>
      </c>
      <c r="H2926" t="s">
        <v>600</v>
      </c>
      <c r="I2926" t="s">
        <v>601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 hidden="1">
      <c r="A2927" t="s">
        <v>18812</v>
      </c>
      <c r="B2927" t="s">
        <v>842</v>
      </c>
      <c r="C2927" t="s">
        <v>841</v>
      </c>
      <c r="D2927" t="s">
        <v>596</v>
      </c>
      <c r="E2927" t="s">
        <v>597</v>
      </c>
      <c r="F2927" t="s">
        <v>598</v>
      </c>
      <c r="G2927" t="s">
        <v>478</v>
      </c>
      <c r="H2927" t="s">
        <v>600</v>
      </c>
      <c r="I2927" t="s">
        <v>601</v>
      </c>
      <c r="J2927">
        <v>0.41470000000000001</v>
      </c>
      <c r="K2927">
        <v>0.42199999999999999</v>
      </c>
      <c r="L2927">
        <v>0.43230000000000002</v>
      </c>
      <c r="M2927">
        <v>0.44280000000000003</v>
      </c>
      <c r="N2927">
        <v>0.45100000000000001</v>
      </c>
      <c r="O2927">
        <v>0.45789999999999997</v>
      </c>
      <c r="P2927">
        <v>0.46550000000000002</v>
      </c>
      <c r="Q2927">
        <v>0.47199999999999998</v>
      </c>
      <c r="R2927">
        <v>0.47789999999999999</v>
      </c>
      <c r="S2927">
        <v>0.48259999999999997</v>
      </c>
      <c r="T2927">
        <v>0.48209999999999997</v>
      </c>
      <c r="U2927">
        <v>0.48130000000000001</v>
      </c>
      <c r="V2927">
        <v>0.48320000000000002</v>
      </c>
      <c r="W2927">
        <v>0.48620000000000002</v>
      </c>
      <c r="X2927">
        <v>0.4884</v>
      </c>
      <c r="Y2927">
        <v>0.4919</v>
      </c>
    </row>
    <row r="2928" spans="1:25" hidden="1">
      <c r="A2928" t="s">
        <v>18812</v>
      </c>
      <c r="B2928" t="s">
        <v>844</v>
      </c>
      <c r="C2928" t="s">
        <v>841</v>
      </c>
      <c r="D2928" t="s">
        <v>596</v>
      </c>
      <c r="E2928" t="s">
        <v>603</v>
      </c>
      <c r="F2928" t="s">
        <v>598</v>
      </c>
      <c r="G2928" t="s">
        <v>478</v>
      </c>
      <c r="H2928" t="s">
        <v>600</v>
      </c>
      <c r="I2928" t="s">
        <v>601</v>
      </c>
      <c r="J2928">
        <v>1.41E-2</v>
      </c>
      <c r="K2928">
        <v>1.41E-2</v>
      </c>
      <c r="L2928">
        <v>1.41E-2</v>
      </c>
      <c r="M2928">
        <v>1.41E-2</v>
      </c>
      <c r="N2928">
        <v>1.41E-2</v>
      </c>
      <c r="O2928">
        <v>1.41E-2</v>
      </c>
      <c r="P2928">
        <v>1.41E-2</v>
      </c>
      <c r="Q2928">
        <v>1.41E-2</v>
      </c>
      <c r="R2928">
        <v>1.41E-2</v>
      </c>
      <c r="S2928">
        <v>1.41E-2</v>
      </c>
      <c r="T2928">
        <v>1.41E-2</v>
      </c>
      <c r="U2928">
        <v>1.41E-2</v>
      </c>
      <c r="V2928">
        <v>1.41E-2</v>
      </c>
      <c r="W2928">
        <v>1.41E-2</v>
      </c>
      <c r="X2928">
        <v>1.41E-2</v>
      </c>
      <c r="Y2928">
        <v>1.41E-2</v>
      </c>
    </row>
    <row r="2929" spans="1:25" hidden="1">
      <c r="A2929" t="s">
        <v>18812</v>
      </c>
      <c r="B2929" t="s">
        <v>846</v>
      </c>
      <c r="C2929" t="s">
        <v>841</v>
      </c>
      <c r="D2929" t="s">
        <v>596</v>
      </c>
      <c r="E2929" t="s">
        <v>624</v>
      </c>
      <c r="F2929" t="s">
        <v>598</v>
      </c>
      <c r="G2929" t="s">
        <v>478</v>
      </c>
      <c r="H2929" t="s">
        <v>600</v>
      </c>
      <c r="I2929" t="s">
        <v>601</v>
      </c>
      <c r="J2929">
        <v>4.0000000000000002E-4</v>
      </c>
      <c r="K2929">
        <v>4.0000000000000002E-4</v>
      </c>
      <c r="L2929">
        <v>4.0000000000000002E-4</v>
      </c>
      <c r="M2929">
        <v>4.0000000000000002E-4</v>
      </c>
      <c r="N2929">
        <v>4.0000000000000002E-4</v>
      </c>
      <c r="O2929">
        <v>4.0000000000000002E-4</v>
      </c>
      <c r="P2929">
        <v>4.0000000000000002E-4</v>
      </c>
      <c r="Q2929">
        <v>5.0000000000000001E-4</v>
      </c>
      <c r="R2929">
        <v>5.0000000000000001E-4</v>
      </c>
      <c r="S2929">
        <v>5.0000000000000001E-4</v>
      </c>
      <c r="T2929">
        <v>5.0000000000000001E-4</v>
      </c>
      <c r="U2929">
        <v>5.0000000000000001E-4</v>
      </c>
      <c r="V2929">
        <v>5.0000000000000001E-4</v>
      </c>
      <c r="W2929">
        <v>5.0000000000000001E-4</v>
      </c>
      <c r="X2929">
        <v>5.0000000000000001E-4</v>
      </c>
      <c r="Y2929">
        <v>5.0000000000000001E-4</v>
      </c>
    </row>
    <row r="2930" spans="1:25" hidden="1">
      <c r="A2930" t="s">
        <v>18812</v>
      </c>
      <c r="B2930" t="s">
        <v>847</v>
      </c>
      <c r="C2930" t="s">
        <v>841</v>
      </c>
      <c r="D2930" t="s">
        <v>596</v>
      </c>
      <c r="E2930" t="s">
        <v>808</v>
      </c>
      <c r="F2930" t="s">
        <v>598</v>
      </c>
      <c r="G2930" t="s">
        <v>478</v>
      </c>
      <c r="H2930" t="s">
        <v>600</v>
      </c>
      <c r="I2930" t="s">
        <v>601</v>
      </c>
      <c r="J2930">
        <v>1.6999999999999999E-3</v>
      </c>
      <c r="K2930">
        <v>1.6000000000000001E-3</v>
      </c>
      <c r="L2930">
        <v>1.6000000000000001E-3</v>
      </c>
      <c r="M2930">
        <v>1.6000000000000001E-3</v>
      </c>
      <c r="N2930">
        <v>1.6000000000000001E-3</v>
      </c>
      <c r="O2930">
        <v>1.6000000000000001E-3</v>
      </c>
      <c r="P2930">
        <v>1.6000000000000001E-3</v>
      </c>
      <c r="Q2930">
        <v>1.6000000000000001E-3</v>
      </c>
      <c r="R2930">
        <v>1.6000000000000001E-3</v>
      </c>
      <c r="S2930">
        <v>1.6000000000000001E-3</v>
      </c>
      <c r="T2930">
        <v>1.6000000000000001E-3</v>
      </c>
      <c r="U2930">
        <v>1.6000000000000001E-3</v>
      </c>
      <c r="V2930">
        <v>1.6000000000000001E-3</v>
      </c>
      <c r="W2930">
        <v>1.6000000000000001E-3</v>
      </c>
      <c r="X2930">
        <v>1.6000000000000001E-3</v>
      </c>
      <c r="Y2930">
        <v>1.6000000000000001E-3</v>
      </c>
    </row>
    <row r="2931" spans="1:25" hidden="1">
      <c r="A2931" t="s">
        <v>18812</v>
      </c>
      <c r="B2931" t="s">
        <v>852</v>
      </c>
      <c r="C2931" t="s">
        <v>841</v>
      </c>
      <c r="D2931" t="s">
        <v>596</v>
      </c>
      <c r="E2931" t="s">
        <v>619</v>
      </c>
      <c r="F2931" t="s">
        <v>598</v>
      </c>
      <c r="G2931" t="s">
        <v>478</v>
      </c>
      <c r="H2931" t="s">
        <v>600</v>
      </c>
      <c r="I2931" t="s">
        <v>601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hidden="1">
      <c r="A2932" t="s">
        <v>18812</v>
      </c>
      <c r="B2932" t="s">
        <v>857</v>
      </c>
      <c r="C2932" t="s">
        <v>841</v>
      </c>
      <c r="D2932" t="s">
        <v>671</v>
      </c>
      <c r="E2932" t="s">
        <v>605</v>
      </c>
      <c r="F2932" t="s">
        <v>598</v>
      </c>
      <c r="G2932" t="s">
        <v>478</v>
      </c>
      <c r="H2932" t="s">
        <v>600</v>
      </c>
      <c r="I2932" t="s">
        <v>601</v>
      </c>
      <c r="J2932">
        <v>2.8999999999999998E-3</v>
      </c>
      <c r="K2932">
        <v>2.8999999999999998E-3</v>
      </c>
      <c r="L2932">
        <v>2.8999999999999998E-3</v>
      </c>
      <c r="M2932">
        <v>2.8999999999999998E-3</v>
      </c>
      <c r="N2932">
        <v>2.8999999999999998E-3</v>
      </c>
      <c r="O2932">
        <v>2.8999999999999998E-3</v>
      </c>
      <c r="P2932">
        <v>2.8999999999999998E-3</v>
      </c>
      <c r="Q2932">
        <v>2.8999999999999998E-3</v>
      </c>
      <c r="R2932">
        <v>2.8999999999999998E-3</v>
      </c>
      <c r="S2932">
        <v>2.8999999999999998E-3</v>
      </c>
      <c r="T2932">
        <v>2.8999999999999998E-3</v>
      </c>
      <c r="U2932">
        <v>2.8999999999999998E-3</v>
      </c>
      <c r="V2932">
        <v>2.8999999999999998E-3</v>
      </c>
      <c r="W2932">
        <v>2.8999999999999998E-3</v>
      </c>
      <c r="X2932">
        <v>2.8999999999999998E-3</v>
      </c>
      <c r="Y2932">
        <v>2.8999999999999998E-3</v>
      </c>
    </row>
    <row r="2933" spans="1:25" hidden="1">
      <c r="A2933" t="s">
        <v>18812</v>
      </c>
      <c r="B2933" t="s">
        <v>862</v>
      </c>
      <c r="C2933" t="s">
        <v>841</v>
      </c>
      <c r="D2933" t="s">
        <v>756</v>
      </c>
      <c r="E2933" t="s">
        <v>597</v>
      </c>
      <c r="F2933" t="s">
        <v>598</v>
      </c>
      <c r="G2933" t="s">
        <v>478</v>
      </c>
      <c r="H2933" t="s">
        <v>600</v>
      </c>
      <c r="I2933" t="s">
        <v>601</v>
      </c>
      <c r="J2933">
        <v>0.31850000000000001</v>
      </c>
      <c r="K2933">
        <v>0.31950000000000001</v>
      </c>
      <c r="L2933">
        <v>0.32190000000000002</v>
      </c>
      <c r="M2933">
        <v>0.32469999999999999</v>
      </c>
      <c r="N2933">
        <v>0.32600000000000001</v>
      </c>
      <c r="O2933">
        <v>0.32640000000000002</v>
      </c>
      <c r="P2933">
        <v>0.3271</v>
      </c>
      <c r="Q2933">
        <v>0.32729999999999998</v>
      </c>
      <c r="R2933">
        <v>0.32700000000000001</v>
      </c>
      <c r="S2933">
        <v>0.32940000000000003</v>
      </c>
      <c r="T2933">
        <v>0.3291</v>
      </c>
      <c r="U2933">
        <v>0.32869999999999999</v>
      </c>
      <c r="V2933">
        <v>0.32990000000000003</v>
      </c>
      <c r="W2933">
        <v>0.33169999999999999</v>
      </c>
      <c r="X2933">
        <v>0.3332</v>
      </c>
      <c r="Y2933">
        <v>0.33529999999999999</v>
      </c>
    </row>
    <row r="2934" spans="1:25" hidden="1">
      <c r="A2934" t="s">
        <v>18812</v>
      </c>
      <c r="B2934" t="s">
        <v>865</v>
      </c>
      <c r="C2934" t="s">
        <v>841</v>
      </c>
      <c r="D2934" t="s">
        <v>866</v>
      </c>
      <c r="E2934" t="s">
        <v>597</v>
      </c>
      <c r="F2934" t="s">
        <v>598</v>
      </c>
      <c r="G2934" t="s">
        <v>478</v>
      </c>
      <c r="H2934" t="s">
        <v>600</v>
      </c>
      <c r="I2934" t="s">
        <v>601</v>
      </c>
      <c r="J2934">
        <v>0.1515</v>
      </c>
      <c r="K2934">
        <v>0.14810000000000001</v>
      </c>
      <c r="L2934">
        <v>0.14510000000000001</v>
      </c>
      <c r="M2934">
        <v>0.1426</v>
      </c>
      <c r="N2934">
        <v>0.1396</v>
      </c>
      <c r="O2934">
        <v>0.1293</v>
      </c>
      <c r="P2934">
        <v>0.1278</v>
      </c>
      <c r="Q2934">
        <v>0.1263</v>
      </c>
      <c r="R2934">
        <v>0.12470000000000001</v>
      </c>
      <c r="S2934">
        <v>0.12559999999999999</v>
      </c>
      <c r="T2934">
        <v>0.12540000000000001</v>
      </c>
      <c r="U2934">
        <v>0.12520000000000001</v>
      </c>
      <c r="V2934">
        <v>0.1258</v>
      </c>
      <c r="W2934">
        <v>0.12640000000000001</v>
      </c>
      <c r="X2934">
        <v>0.127</v>
      </c>
      <c r="Y2934">
        <v>0.1278</v>
      </c>
    </row>
    <row r="2935" spans="1:25" hidden="1">
      <c r="A2935" t="s">
        <v>18812</v>
      </c>
      <c r="B2935" t="s">
        <v>868</v>
      </c>
      <c r="C2935" t="s">
        <v>841</v>
      </c>
      <c r="D2935" t="s">
        <v>621</v>
      </c>
      <c r="E2935" t="s">
        <v>597</v>
      </c>
      <c r="F2935" t="s">
        <v>598</v>
      </c>
      <c r="G2935" t="s">
        <v>478</v>
      </c>
      <c r="H2935" t="s">
        <v>600</v>
      </c>
      <c r="I2935" t="s">
        <v>601</v>
      </c>
      <c r="J2935">
        <v>3.8800000000000001E-2</v>
      </c>
      <c r="K2935">
        <v>4.02E-2</v>
      </c>
      <c r="L2935">
        <v>4.1799999999999997E-2</v>
      </c>
      <c r="M2935">
        <v>4.3499999999999997E-2</v>
      </c>
      <c r="N2935">
        <v>4.5199999999999997E-2</v>
      </c>
      <c r="O2935">
        <v>4.7E-2</v>
      </c>
      <c r="P2935">
        <v>4.8599999999999997E-2</v>
      </c>
      <c r="Q2935">
        <v>5.0299999999999997E-2</v>
      </c>
      <c r="R2935">
        <v>5.0999999999999997E-2</v>
      </c>
      <c r="S2935">
        <v>5.1799999999999999E-2</v>
      </c>
      <c r="T2935">
        <v>5.2499999999999998E-2</v>
      </c>
      <c r="U2935">
        <v>5.3199999999999997E-2</v>
      </c>
      <c r="V2935">
        <v>5.3800000000000001E-2</v>
      </c>
      <c r="W2935">
        <v>5.45E-2</v>
      </c>
      <c r="X2935">
        <v>5.5300000000000002E-2</v>
      </c>
      <c r="Y2935">
        <v>5.6099999999999997E-2</v>
      </c>
    </row>
    <row r="2936" spans="1:25" hidden="1">
      <c r="A2936" t="s">
        <v>18812</v>
      </c>
      <c r="B2936" t="s">
        <v>872</v>
      </c>
      <c r="C2936" t="s">
        <v>841</v>
      </c>
      <c r="D2936" t="s">
        <v>621</v>
      </c>
      <c r="E2936" t="s">
        <v>624</v>
      </c>
      <c r="F2936" t="s">
        <v>598</v>
      </c>
      <c r="G2936" t="s">
        <v>478</v>
      </c>
      <c r="H2936" t="s">
        <v>600</v>
      </c>
      <c r="I2936" t="s">
        <v>601</v>
      </c>
      <c r="J2936">
        <v>9.8799999999999999E-2</v>
      </c>
      <c r="K2936">
        <v>9.9199999999999997E-2</v>
      </c>
      <c r="L2936">
        <v>9.9699999999999997E-2</v>
      </c>
      <c r="M2936">
        <v>0.10009999999999999</v>
      </c>
      <c r="N2936">
        <v>0.10059999999999999</v>
      </c>
      <c r="O2936">
        <v>0.10100000000000001</v>
      </c>
      <c r="P2936">
        <v>0.1012</v>
      </c>
      <c r="Q2936">
        <v>0.1014</v>
      </c>
      <c r="R2936">
        <v>0.1016</v>
      </c>
      <c r="S2936">
        <v>0.1018</v>
      </c>
      <c r="T2936">
        <v>0.10199999999999999</v>
      </c>
      <c r="U2936">
        <v>0.1022</v>
      </c>
      <c r="V2936">
        <v>0.1024</v>
      </c>
      <c r="W2936">
        <v>0.1026</v>
      </c>
      <c r="X2936">
        <v>0.1028</v>
      </c>
      <c r="Y2936">
        <v>0.10290000000000001</v>
      </c>
    </row>
    <row r="2937" spans="1:25" hidden="1">
      <c r="A2937" t="s">
        <v>18812</v>
      </c>
      <c r="B2937" t="s">
        <v>874</v>
      </c>
      <c r="C2937" t="s">
        <v>841</v>
      </c>
      <c r="D2937" t="s">
        <v>621</v>
      </c>
      <c r="E2937" t="s">
        <v>688</v>
      </c>
      <c r="F2937" t="s">
        <v>598</v>
      </c>
      <c r="G2937" t="s">
        <v>478</v>
      </c>
      <c r="H2937" t="s">
        <v>600</v>
      </c>
      <c r="I2937" t="s">
        <v>601</v>
      </c>
      <c r="J2937">
        <v>4.0000000000000002E-4</v>
      </c>
      <c r="K2937">
        <v>4.0000000000000002E-4</v>
      </c>
      <c r="L2937">
        <v>4.0000000000000002E-4</v>
      </c>
      <c r="M2937">
        <v>4.0000000000000002E-4</v>
      </c>
      <c r="N2937">
        <v>4.0000000000000002E-4</v>
      </c>
      <c r="O2937">
        <v>4.0000000000000002E-4</v>
      </c>
      <c r="P2937">
        <v>4.0000000000000002E-4</v>
      </c>
      <c r="Q2937">
        <v>4.0000000000000002E-4</v>
      </c>
      <c r="R2937">
        <v>4.0000000000000002E-4</v>
      </c>
      <c r="S2937">
        <v>4.0000000000000002E-4</v>
      </c>
      <c r="T2937">
        <v>4.0000000000000002E-4</v>
      </c>
      <c r="U2937">
        <v>4.0000000000000002E-4</v>
      </c>
      <c r="V2937">
        <v>4.0000000000000002E-4</v>
      </c>
      <c r="W2937">
        <v>4.0000000000000002E-4</v>
      </c>
      <c r="X2937">
        <v>4.0000000000000002E-4</v>
      </c>
      <c r="Y2937">
        <v>4.0000000000000002E-4</v>
      </c>
    </row>
    <row r="2938" spans="1:25" hidden="1">
      <c r="A2938" t="s">
        <v>18812</v>
      </c>
      <c r="B2938" t="s">
        <v>875</v>
      </c>
      <c r="C2938" t="s">
        <v>841</v>
      </c>
      <c r="D2938" t="s">
        <v>621</v>
      </c>
      <c r="E2938" t="s">
        <v>626</v>
      </c>
      <c r="F2938" t="s">
        <v>598</v>
      </c>
      <c r="G2938" t="s">
        <v>478</v>
      </c>
      <c r="H2938" t="s">
        <v>600</v>
      </c>
      <c r="I2938" t="s">
        <v>601</v>
      </c>
      <c r="J2938">
        <v>2.0000000000000001E-4</v>
      </c>
      <c r="K2938">
        <v>2.0000000000000001E-4</v>
      </c>
      <c r="L2938">
        <v>2.0000000000000001E-4</v>
      </c>
      <c r="M2938">
        <v>2.0000000000000001E-4</v>
      </c>
      <c r="N2938">
        <v>2.0000000000000001E-4</v>
      </c>
      <c r="O2938">
        <v>2.0000000000000001E-4</v>
      </c>
      <c r="P2938">
        <v>2.0000000000000001E-4</v>
      </c>
      <c r="Q2938">
        <v>2.0000000000000001E-4</v>
      </c>
      <c r="R2938">
        <v>2.0000000000000001E-4</v>
      </c>
      <c r="S2938">
        <v>2.0000000000000001E-4</v>
      </c>
      <c r="T2938">
        <v>2.0000000000000001E-4</v>
      </c>
      <c r="U2938">
        <v>2.0000000000000001E-4</v>
      </c>
      <c r="V2938">
        <v>2.0000000000000001E-4</v>
      </c>
      <c r="W2938">
        <v>2.0000000000000001E-4</v>
      </c>
      <c r="X2938">
        <v>2.0000000000000001E-4</v>
      </c>
      <c r="Y2938">
        <v>2.0000000000000001E-4</v>
      </c>
    </row>
    <row r="2939" spans="1:25" hidden="1">
      <c r="A2939" t="s">
        <v>18812</v>
      </c>
      <c r="B2939" t="s">
        <v>876</v>
      </c>
      <c r="C2939" t="s">
        <v>841</v>
      </c>
      <c r="D2939" t="s">
        <v>621</v>
      </c>
      <c r="E2939" t="s">
        <v>628</v>
      </c>
      <c r="F2939" t="s">
        <v>598</v>
      </c>
      <c r="G2939" t="s">
        <v>478</v>
      </c>
      <c r="H2939" t="s">
        <v>600</v>
      </c>
      <c r="I2939" t="s">
        <v>601</v>
      </c>
      <c r="J2939">
        <v>0.17150000000000001</v>
      </c>
      <c r="K2939">
        <v>0.17119999999999999</v>
      </c>
      <c r="L2939">
        <v>0.17119999999999999</v>
      </c>
      <c r="M2939">
        <v>0.1711</v>
      </c>
      <c r="N2939">
        <v>0.1711</v>
      </c>
      <c r="O2939">
        <v>0.17100000000000001</v>
      </c>
      <c r="P2939">
        <v>0.17100000000000001</v>
      </c>
      <c r="Q2939">
        <v>0.1273</v>
      </c>
      <c r="R2939">
        <v>0.1273</v>
      </c>
      <c r="S2939">
        <v>0.12720000000000001</v>
      </c>
      <c r="T2939">
        <v>0.1273</v>
      </c>
      <c r="U2939">
        <v>0.12740000000000001</v>
      </c>
      <c r="V2939">
        <v>0.12740000000000001</v>
      </c>
      <c r="W2939">
        <v>0.1275</v>
      </c>
      <c r="X2939">
        <v>0.1275</v>
      </c>
      <c r="Y2939">
        <v>0.12759999999999999</v>
      </c>
    </row>
    <row r="2940" spans="1:25" hidden="1">
      <c r="A2940" t="s">
        <v>18812</v>
      </c>
      <c r="B2940" t="s">
        <v>877</v>
      </c>
      <c r="C2940" t="s">
        <v>841</v>
      </c>
      <c r="D2940" t="s">
        <v>621</v>
      </c>
      <c r="E2940" t="s">
        <v>692</v>
      </c>
      <c r="F2940" t="s">
        <v>598</v>
      </c>
      <c r="G2940" t="s">
        <v>478</v>
      </c>
      <c r="H2940" t="s">
        <v>600</v>
      </c>
      <c r="I2940" t="s">
        <v>601</v>
      </c>
      <c r="J2940">
        <v>1.46E-2</v>
      </c>
      <c r="K2940">
        <v>1.49E-2</v>
      </c>
      <c r="L2940">
        <v>1.52E-2</v>
      </c>
      <c r="M2940">
        <v>1.55E-2</v>
      </c>
      <c r="N2940">
        <v>1.5800000000000002E-2</v>
      </c>
      <c r="O2940">
        <v>1.61E-2</v>
      </c>
      <c r="P2940">
        <v>1.6500000000000001E-2</v>
      </c>
      <c r="Q2940">
        <v>1.6799999999999999E-2</v>
      </c>
      <c r="R2940">
        <v>1.72E-2</v>
      </c>
      <c r="S2940">
        <v>1.7500000000000002E-2</v>
      </c>
      <c r="T2940">
        <v>1.78E-2</v>
      </c>
      <c r="U2940">
        <v>1.8100000000000002E-2</v>
      </c>
      <c r="V2940">
        <v>1.83E-2</v>
      </c>
      <c r="W2940">
        <v>1.8599999999999998E-2</v>
      </c>
      <c r="X2940">
        <v>1.8800000000000001E-2</v>
      </c>
      <c r="Y2940">
        <v>1.9099999999999999E-2</v>
      </c>
    </row>
    <row r="2941" spans="1:25" hidden="1">
      <c r="A2941" t="s">
        <v>18812</v>
      </c>
      <c r="B2941" t="s">
        <v>882</v>
      </c>
      <c r="C2941" t="s">
        <v>841</v>
      </c>
      <c r="D2941" t="s">
        <v>632</v>
      </c>
      <c r="E2941" t="s">
        <v>597</v>
      </c>
      <c r="F2941" t="s">
        <v>598</v>
      </c>
      <c r="G2941" t="s">
        <v>478</v>
      </c>
      <c r="H2941" t="s">
        <v>600</v>
      </c>
      <c r="I2941" t="s">
        <v>601</v>
      </c>
      <c r="J2941">
        <v>1.0999999999999999E-2</v>
      </c>
      <c r="K2941">
        <v>1.12E-2</v>
      </c>
      <c r="L2941">
        <v>1.14E-2</v>
      </c>
      <c r="M2941">
        <v>1.17E-2</v>
      </c>
      <c r="N2941">
        <v>1.1900000000000001E-2</v>
      </c>
      <c r="O2941">
        <v>1.21E-2</v>
      </c>
      <c r="P2941">
        <v>1.24E-2</v>
      </c>
      <c r="Q2941">
        <v>1.26E-2</v>
      </c>
      <c r="R2941">
        <v>1.2699999999999999E-2</v>
      </c>
      <c r="S2941">
        <v>1.2800000000000001E-2</v>
      </c>
      <c r="T2941">
        <v>1.2800000000000001E-2</v>
      </c>
      <c r="U2941">
        <v>1.2800000000000001E-2</v>
      </c>
      <c r="V2941">
        <v>1.2800000000000001E-2</v>
      </c>
      <c r="W2941">
        <v>1.29E-2</v>
      </c>
      <c r="X2941">
        <v>1.2999999999999999E-2</v>
      </c>
      <c r="Y2941">
        <v>1.2999999999999999E-2</v>
      </c>
    </row>
    <row r="2942" spans="1:25" hidden="1">
      <c r="A2942" t="s">
        <v>18812</v>
      </c>
      <c r="B2942" t="s">
        <v>883</v>
      </c>
      <c r="C2942" t="s">
        <v>841</v>
      </c>
      <c r="D2942" t="s">
        <v>632</v>
      </c>
      <c r="E2942" t="s">
        <v>624</v>
      </c>
      <c r="F2942" t="s">
        <v>598</v>
      </c>
      <c r="G2942" t="s">
        <v>478</v>
      </c>
      <c r="H2942" t="s">
        <v>600</v>
      </c>
      <c r="I2942" t="s">
        <v>601</v>
      </c>
      <c r="J2942">
        <v>2.7900000000000001E-2</v>
      </c>
      <c r="K2942">
        <v>2.8400000000000002E-2</v>
      </c>
      <c r="L2942">
        <v>2.8799999999999999E-2</v>
      </c>
      <c r="M2942">
        <v>2.92E-2</v>
      </c>
      <c r="N2942">
        <v>2.9600000000000001E-2</v>
      </c>
      <c r="O2942">
        <v>3.0099999999999998E-2</v>
      </c>
      <c r="P2942">
        <v>3.0200000000000001E-2</v>
      </c>
      <c r="Q2942">
        <v>3.04E-2</v>
      </c>
      <c r="R2942">
        <v>3.0599999999999999E-2</v>
      </c>
      <c r="S2942">
        <v>3.0800000000000001E-2</v>
      </c>
      <c r="T2942">
        <v>3.1E-2</v>
      </c>
      <c r="U2942">
        <v>3.1199999999999999E-2</v>
      </c>
      <c r="V2942">
        <v>3.1399999999999997E-2</v>
      </c>
      <c r="W2942">
        <v>3.15E-2</v>
      </c>
      <c r="X2942">
        <v>3.1699999999999999E-2</v>
      </c>
      <c r="Y2942">
        <v>3.1899999999999998E-2</v>
      </c>
    </row>
    <row r="2943" spans="1:25" hidden="1">
      <c r="A2943" t="s">
        <v>18812</v>
      </c>
      <c r="B2943" t="s">
        <v>884</v>
      </c>
      <c r="C2943" t="s">
        <v>841</v>
      </c>
      <c r="D2943" t="s">
        <v>632</v>
      </c>
      <c r="E2943" t="s">
        <v>768</v>
      </c>
      <c r="F2943" t="s">
        <v>598</v>
      </c>
      <c r="G2943" t="s">
        <v>478</v>
      </c>
      <c r="H2943" t="s">
        <v>600</v>
      </c>
      <c r="I2943" t="s">
        <v>601</v>
      </c>
      <c r="J2943">
        <v>4.0000000000000002E-4</v>
      </c>
      <c r="K2943">
        <v>4.0000000000000002E-4</v>
      </c>
      <c r="L2943">
        <v>4.0000000000000002E-4</v>
      </c>
      <c r="M2943">
        <v>4.0000000000000002E-4</v>
      </c>
      <c r="N2943">
        <v>4.0000000000000002E-4</v>
      </c>
      <c r="O2943">
        <v>4.0000000000000002E-4</v>
      </c>
      <c r="P2943">
        <v>4.0000000000000002E-4</v>
      </c>
      <c r="Q2943">
        <v>4.0000000000000002E-4</v>
      </c>
      <c r="R2943">
        <v>4.0000000000000002E-4</v>
      </c>
      <c r="S2943">
        <v>4.0000000000000002E-4</v>
      </c>
      <c r="T2943">
        <v>4.0000000000000002E-4</v>
      </c>
      <c r="U2943">
        <v>4.0000000000000002E-4</v>
      </c>
      <c r="V2943">
        <v>4.0000000000000002E-4</v>
      </c>
      <c r="W2943">
        <v>4.0000000000000002E-4</v>
      </c>
      <c r="X2943">
        <v>4.0000000000000002E-4</v>
      </c>
      <c r="Y2943">
        <v>4.0000000000000002E-4</v>
      </c>
    </row>
    <row r="2944" spans="1:25" hidden="1">
      <c r="A2944" t="s">
        <v>18812</v>
      </c>
      <c r="B2944" t="s">
        <v>885</v>
      </c>
      <c r="C2944" t="s">
        <v>841</v>
      </c>
      <c r="D2944" t="s">
        <v>632</v>
      </c>
      <c r="E2944" t="s">
        <v>628</v>
      </c>
      <c r="F2944" t="s">
        <v>598</v>
      </c>
      <c r="G2944" t="s">
        <v>478</v>
      </c>
      <c r="H2944" t="s">
        <v>600</v>
      </c>
      <c r="I2944" t="s">
        <v>601</v>
      </c>
      <c r="J2944">
        <v>5.9999999999999995E-4</v>
      </c>
      <c r="K2944">
        <v>5.9999999999999995E-4</v>
      </c>
      <c r="L2944">
        <v>5.9999999999999995E-4</v>
      </c>
      <c r="M2944">
        <v>5.9999999999999995E-4</v>
      </c>
      <c r="N2944">
        <v>5.9999999999999995E-4</v>
      </c>
      <c r="O2944">
        <v>6.9999999999999999E-4</v>
      </c>
      <c r="P2944">
        <v>6.9999999999999999E-4</v>
      </c>
      <c r="Q2944">
        <v>6.9999999999999999E-4</v>
      </c>
      <c r="R2944">
        <v>6.9999999999999999E-4</v>
      </c>
      <c r="S2944">
        <v>6.9999999999999999E-4</v>
      </c>
      <c r="T2944">
        <v>6.9999999999999999E-4</v>
      </c>
      <c r="U2944">
        <v>6.9999999999999999E-4</v>
      </c>
      <c r="V2944">
        <v>6.9999999999999999E-4</v>
      </c>
      <c r="W2944">
        <v>8.0000000000000004E-4</v>
      </c>
      <c r="X2944">
        <v>8.0000000000000004E-4</v>
      </c>
      <c r="Y2944">
        <v>8.0000000000000004E-4</v>
      </c>
    </row>
    <row r="2945" spans="1:25" hidden="1">
      <c r="A2945" t="s">
        <v>18812</v>
      </c>
      <c r="B2945" t="s">
        <v>889</v>
      </c>
      <c r="C2945" t="s">
        <v>841</v>
      </c>
      <c r="D2945" t="s">
        <v>632</v>
      </c>
      <c r="E2945" t="s">
        <v>781</v>
      </c>
      <c r="F2945" t="s">
        <v>598</v>
      </c>
      <c r="G2945" t="s">
        <v>478</v>
      </c>
      <c r="H2945" t="s">
        <v>600</v>
      </c>
      <c r="I2945" t="s">
        <v>601</v>
      </c>
      <c r="J2945">
        <v>1E-3</v>
      </c>
      <c r="K2945">
        <v>1E-3</v>
      </c>
      <c r="L2945">
        <v>1E-3</v>
      </c>
      <c r="M2945">
        <v>1E-3</v>
      </c>
      <c r="N2945">
        <v>1E-3</v>
      </c>
      <c r="O2945">
        <v>1E-3</v>
      </c>
      <c r="P2945">
        <v>1E-3</v>
      </c>
      <c r="Q2945">
        <v>1E-3</v>
      </c>
      <c r="R2945">
        <v>1E-3</v>
      </c>
      <c r="S2945">
        <v>1E-3</v>
      </c>
      <c r="T2945">
        <v>1E-3</v>
      </c>
      <c r="U2945">
        <v>1E-3</v>
      </c>
      <c r="V2945">
        <v>1E-3</v>
      </c>
      <c r="W2945">
        <v>1E-3</v>
      </c>
      <c r="X2945">
        <v>1E-3</v>
      </c>
      <c r="Y2945">
        <v>1E-3</v>
      </c>
    </row>
    <row r="2946" spans="1:25" hidden="1">
      <c r="A2946" t="s">
        <v>18812</v>
      </c>
      <c r="B2946" t="s">
        <v>896</v>
      </c>
      <c r="C2946" t="s">
        <v>841</v>
      </c>
      <c r="D2946" t="s">
        <v>640</v>
      </c>
      <c r="E2946" t="s">
        <v>597</v>
      </c>
      <c r="F2946" t="s">
        <v>598</v>
      </c>
      <c r="G2946" t="s">
        <v>478</v>
      </c>
      <c r="H2946" t="s">
        <v>600</v>
      </c>
      <c r="I2946" t="s">
        <v>601</v>
      </c>
      <c r="J2946">
        <v>1E-4</v>
      </c>
      <c r="K2946">
        <v>1E-4</v>
      </c>
      <c r="L2946">
        <v>1E-4</v>
      </c>
      <c r="M2946">
        <v>1E-4</v>
      </c>
      <c r="N2946">
        <v>1E-4</v>
      </c>
      <c r="O2946">
        <v>1E-4</v>
      </c>
      <c r="P2946">
        <v>1E-4</v>
      </c>
      <c r="Q2946">
        <v>1E-4</v>
      </c>
      <c r="R2946">
        <v>1E-4</v>
      </c>
      <c r="S2946">
        <v>1E-4</v>
      </c>
      <c r="T2946">
        <v>1E-4</v>
      </c>
      <c r="U2946">
        <v>1E-4</v>
      </c>
      <c r="V2946">
        <v>1E-4</v>
      </c>
      <c r="W2946">
        <v>1E-4</v>
      </c>
      <c r="X2946">
        <v>1E-4</v>
      </c>
      <c r="Y2946">
        <v>1E-4</v>
      </c>
    </row>
    <row r="2947" spans="1:25" hidden="1">
      <c r="A2947" t="s">
        <v>18812</v>
      </c>
      <c r="B2947" t="s">
        <v>902</v>
      </c>
      <c r="C2947" t="s">
        <v>841</v>
      </c>
      <c r="D2947" t="s">
        <v>648</v>
      </c>
      <c r="E2947" t="s">
        <v>597</v>
      </c>
      <c r="F2947" t="s">
        <v>598</v>
      </c>
      <c r="G2947" t="s">
        <v>478</v>
      </c>
      <c r="H2947" t="s">
        <v>600</v>
      </c>
      <c r="I2947" t="s">
        <v>601</v>
      </c>
      <c r="J2947">
        <v>1.3004</v>
      </c>
      <c r="K2947">
        <v>1.3196000000000001</v>
      </c>
      <c r="L2947">
        <v>1.4061999999999999</v>
      </c>
      <c r="M2947">
        <v>1.4363999999999999</v>
      </c>
      <c r="N2947">
        <v>1.4592000000000001</v>
      </c>
      <c r="O2947">
        <v>1.4716</v>
      </c>
      <c r="P2947">
        <v>1.4927999999999999</v>
      </c>
      <c r="Q2947">
        <v>1.5114000000000001</v>
      </c>
      <c r="R2947">
        <v>1.5277000000000001</v>
      </c>
      <c r="S2947">
        <v>1.5421</v>
      </c>
      <c r="T2947">
        <v>1.5388999999999999</v>
      </c>
      <c r="U2947">
        <v>1.5345</v>
      </c>
      <c r="V2947">
        <v>1.5387</v>
      </c>
      <c r="W2947">
        <v>1.546</v>
      </c>
      <c r="X2947">
        <v>1.5517000000000001</v>
      </c>
      <c r="Y2947">
        <v>1.56</v>
      </c>
    </row>
    <row r="2948" spans="1:25" hidden="1">
      <c r="A2948" t="s">
        <v>18812</v>
      </c>
      <c r="B2948" t="s">
        <v>909</v>
      </c>
      <c r="C2948" t="s">
        <v>841</v>
      </c>
      <c r="D2948" t="s">
        <v>648</v>
      </c>
      <c r="E2948" t="s">
        <v>642</v>
      </c>
      <c r="F2948" t="s">
        <v>598</v>
      </c>
      <c r="G2948" t="s">
        <v>478</v>
      </c>
      <c r="H2948" t="s">
        <v>600</v>
      </c>
      <c r="I2948" t="s">
        <v>601</v>
      </c>
      <c r="J2948">
        <v>6.54E-2</v>
      </c>
      <c r="K2948">
        <v>6.59E-2</v>
      </c>
      <c r="L2948">
        <v>6.6400000000000001E-2</v>
      </c>
      <c r="M2948">
        <v>6.6799999999999998E-2</v>
      </c>
      <c r="N2948">
        <v>6.7299999999999999E-2</v>
      </c>
      <c r="O2948">
        <v>6.7799999999999999E-2</v>
      </c>
      <c r="P2948">
        <v>6.8000000000000005E-2</v>
      </c>
      <c r="Q2948">
        <v>6.8199999999999997E-2</v>
      </c>
      <c r="R2948">
        <v>6.8400000000000002E-2</v>
      </c>
      <c r="S2948">
        <v>6.8599999999999994E-2</v>
      </c>
      <c r="T2948">
        <v>6.88E-2</v>
      </c>
      <c r="U2948">
        <v>6.9000000000000006E-2</v>
      </c>
      <c r="V2948">
        <v>6.9199999999999998E-2</v>
      </c>
      <c r="W2948">
        <v>0.1041</v>
      </c>
      <c r="X2948">
        <v>0.1043</v>
      </c>
      <c r="Y2948">
        <v>0.1045</v>
      </c>
    </row>
    <row r="2949" spans="1:25" hidden="1">
      <c r="A2949" t="s">
        <v>18812</v>
      </c>
      <c r="B2949" t="s">
        <v>911</v>
      </c>
      <c r="C2949" t="s">
        <v>841</v>
      </c>
      <c r="D2949" t="s">
        <v>648</v>
      </c>
      <c r="E2949" t="s">
        <v>619</v>
      </c>
      <c r="F2949" t="s">
        <v>598</v>
      </c>
      <c r="G2949" t="s">
        <v>478</v>
      </c>
      <c r="H2949" t="s">
        <v>600</v>
      </c>
      <c r="I2949" t="s">
        <v>601</v>
      </c>
      <c r="J2949">
        <v>3.0000000000000001E-3</v>
      </c>
      <c r="K2949">
        <v>3.0000000000000001E-3</v>
      </c>
      <c r="L2949">
        <v>3.0000000000000001E-3</v>
      </c>
      <c r="M2949">
        <v>3.0999999999999999E-3</v>
      </c>
      <c r="N2949">
        <v>3.0999999999999999E-3</v>
      </c>
      <c r="O2949">
        <v>3.0999999999999999E-3</v>
      </c>
      <c r="P2949">
        <v>3.0999999999999999E-3</v>
      </c>
      <c r="Q2949">
        <v>3.0999999999999999E-3</v>
      </c>
      <c r="R2949">
        <v>3.0999999999999999E-3</v>
      </c>
      <c r="S2949">
        <v>3.0999999999999999E-3</v>
      </c>
      <c r="T2949">
        <v>3.0999999999999999E-3</v>
      </c>
      <c r="U2949">
        <v>3.2000000000000002E-3</v>
      </c>
      <c r="V2949">
        <v>3.2000000000000002E-3</v>
      </c>
      <c r="W2949">
        <v>3.2000000000000002E-3</v>
      </c>
      <c r="X2949">
        <v>3.2000000000000002E-3</v>
      </c>
      <c r="Y2949">
        <v>3.2000000000000002E-3</v>
      </c>
    </row>
    <row r="2950" spans="1:25" hidden="1">
      <c r="A2950" t="s">
        <v>18812</v>
      </c>
      <c r="B2950" t="s">
        <v>912</v>
      </c>
      <c r="C2950" t="s">
        <v>841</v>
      </c>
      <c r="D2950" t="s">
        <v>648</v>
      </c>
      <c r="E2950" t="s">
        <v>676</v>
      </c>
      <c r="F2950" t="s">
        <v>598</v>
      </c>
      <c r="G2950" t="s">
        <v>478</v>
      </c>
      <c r="H2950" t="s">
        <v>600</v>
      </c>
      <c r="I2950" t="s">
        <v>601</v>
      </c>
      <c r="J2950">
        <v>9.4100000000000003E-2</v>
      </c>
      <c r="K2950">
        <v>9.4100000000000003E-2</v>
      </c>
      <c r="L2950">
        <v>9.4100000000000003E-2</v>
      </c>
      <c r="M2950">
        <v>9.4100000000000003E-2</v>
      </c>
      <c r="N2950">
        <v>9.4100000000000003E-2</v>
      </c>
      <c r="O2950">
        <v>9.4100000000000003E-2</v>
      </c>
      <c r="P2950">
        <v>9.4100000000000003E-2</v>
      </c>
      <c r="Q2950">
        <v>9.4100000000000003E-2</v>
      </c>
      <c r="R2950">
        <v>9.4100000000000003E-2</v>
      </c>
      <c r="S2950">
        <v>9.4100000000000003E-2</v>
      </c>
      <c r="T2950">
        <v>9.4100000000000003E-2</v>
      </c>
      <c r="U2950">
        <v>9.4100000000000003E-2</v>
      </c>
      <c r="V2950">
        <v>9.4100000000000003E-2</v>
      </c>
      <c r="W2950">
        <v>9.4100000000000003E-2</v>
      </c>
      <c r="X2950">
        <v>9.4100000000000003E-2</v>
      </c>
      <c r="Y2950">
        <v>9.4100000000000003E-2</v>
      </c>
    </row>
    <row r="2951" spans="1:25" hidden="1">
      <c r="A2951" t="s">
        <v>18812</v>
      </c>
      <c r="B2951" t="s">
        <v>916</v>
      </c>
      <c r="C2951" t="s">
        <v>914</v>
      </c>
      <c r="D2951" t="s">
        <v>621</v>
      </c>
      <c r="E2951" t="s">
        <v>628</v>
      </c>
      <c r="F2951" t="s">
        <v>598</v>
      </c>
      <c r="G2951" t="s">
        <v>478</v>
      </c>
      <c r="H2951" t="s">
        <v>600</v>
      </c>
      <c r="I2951" t="s">
        <v>601</v>
      </c>
      <c r="J2951">
        <v>0.2470784</v>
      </c>
      <c r="K2951">
        <v>0.24793200000000001</v>
      </c>
      <c r="L2951">
        <v>0.2486304</v>
      </c>
      <c r="M2951">
        <v>0.24956159999999999</v>
      </c>
      <c r="N2951">
        <v>0.25018240000000003</v>
      </c>
      <c r="O2951">
        <v>0.21720239999999999</v>
      </c>
      <c r="P2951">
        <v>0.21797839999999999</v>
      </c>
      <c r="Q2951">
        <v>0.21852160000000001</v>
      </c>
      <c r="R2951">
        <v>0.21898719999999999</v>
      </c>
      <c r="S2951">
        <v>0.2194528</v>
      </c>
      <c r="T2951">
        <v>0.22007360000000001</v>
      </c>
      <c r="U2951">
        <v>0.220772</v>
      </c>
      <c r="V2951">
        <v>0.22131519999999999</v>
      </c>
      <c r="W2951">
        <v>0.22193599999999999</v>
      </c>
      <c r="X2951">
        <v>0.22271199999999999</v>
      </c>
      <c r="Y2951">
        <v>0.2233328</v>
      </c>
    </row>
    <row r="2952" spans="1:25" hidden="1">
      <c r="A2952" t="s">
        <v>18812</v>
      </c>
      <c r="B2952" t="s">
        <v>919</v>
      </c>
      <c r="C2952" t="s">
        <v>914</v>
      </c>
      <c r="D2952" t="s">
        <v>648</v>
      </c>
      <c r="E2952" t="s">
        <v>920</v>
      </c>
      <c r="F2952" t="s">
        <v>598</v>
      </c>
      <c r="G2952" t="s">
        <v>478</v>
      </c>
      <c r="H2952" t="s">
        <v>600</v>
      </c>
      <c r="I2952" t="s">
        <v>601</v>
      </c>
      <c r="J2952">
        <v>5.9999999999999995E-4</v>
      </c>
      <c r="K2952">
        <v>5.9999999999999995E-4</v>
      </c>
      <c r="L2952">
        <v>5.9999999999999995E-4</v>
      </c>
      <c r="M2952">
        <v>5.9999999999999995E-4</v>
      </c>
      <c r="N2952">
        <v>5.9999999999999995E-4</v>
      </c>
      <c r="O2952">
        <v>5.9999999999999995E-4</v>
      </c>
      <c r="P2952">
        <v>5.9999999999999995E-4</v>
      </c>
      <c r="Q2952">
        <v>5.9999999999999995E-4</v>
      </c>
      <c r="R2952">
        <v>5.9999999999999995E-4</v>
      </c>
      <c r="S2952">
        <v>5.9999999999999995E-4</v>
      </c>
      <c r="T2952">
        <v>6.9999999999999999E-4</v>
      </c>
      <c r="U2952">
        <v>6.9999999999999999E-4</v>
      </c>
      <c r="V2952">
        <v>6.9999999999999999E-4</v>
      </c>
      <c r="W2952">
        <v>6.9999999999999999E-4</v>
      </c>
      <c r="X2952">
        <v>6.9999999999999999E-4</v>
      </c>
      <c r="Y2952">
        <v>6.9999999999999999E-4</v>
      </c>
    </row>
    <row r="2953" spans="1:25" hidden="1">
      <c r="A2953" t="s">
        <v>18812</v>
      </c>
      <c r="B2953" t="s">
        <v>924</v>
      </c>
      <c r="C2953" t="s">
        <v>925</v>
      </c>
      <c r="D2953" t="s">
        <v>926</v>
      </c>
      <c r="E2953" t="s">
        <v>927</v>
      </c>
      <c r="F2953" t="s">
        <v>598</v>
      </c>
      <c r="G2953" t="s">
        <v>478</v>
      </c>
      <c r="H2953" t="s">
        <v>600</v>
      </c>
      <c r="I2953" t="s">
        <v>601</v>
      </c>
      <c r="J2953">
        <v>5.9999999999999995E-4</v>
      </c>
      <c r="K2953">
        <v>5.9999999999999995E-4</v>
      </c>
      <c r="L2953">
        <v>5.9999999999999995E-4</v>
      </c>
      <c r="M2953">
        <v>5.9999999999999995E-4</v>
      </c>
      <c r="N2953">
        <v>5.9999999999999995E-4</v>
      </c>
      <c r="O2953">
        <v>5.9999999999999995E-4</v>
      </c>
      <c r="P2953">
        <v>5.9999999999999995E-4</v>
      </c>
      <c r="Q2953">
        <v>5.9999999999999995E-4</v>
      </c>
      <c r="R2953">
        <v>5.9999999999999995E-4</v>
      </c>
      <c r="S2953">
        <v>5.9999999999999995E-4</v>
      </c>
      <c r="T2953">
        <v>5.9999999999999995E-4</v>
      </c>
      <c r="U2953">
        <v>5.9999999999999995E-4</v>
      </c>
      <c r="V2953">
        <v>5.9999999999999995E-4</v>
      </c>
      <c r="W2953">
        <v>5.9999999999999995E-4</v>
      </c>
      <c r="X2953">
        <v>5.9999999999999995E-4</v>
      </c>
      <c r="Y2953">
        <v>5.9999999999999995E-4</v>
      </c>
    </row>
    <row r="2954" spans="1:25" hidden="1">
      <c r="A2954" t="s">
        <v>18812</v>
      </c>
      <c r="B2954" t="s">
        <v>935</v>
      </c>
      <c r="C2954" t="s">
        <v>925</v>
      </c>
      <c r="D2954" t="s">
        <v>934</v>
      </c>
      <c r="E2954" t="s">
        <v>605</v>
      </c>
      <c r="F2954" t="s">
        <v>598</v>
      </c>
      <c r="G2954" t="s">
        <v>478</v>
      </c>
      <c r="H2954" t="s">
        <v>600</v>
      </c>
      <c r="I2954" t="s">
        <v>601</v>
      </c>
      <c r="J2954">
        <v>1.17E-2</v>
      </c>
      <c r="K2954">
        <v>1.18E-2</v>
      </c>
      <c r="L2954">
        <v>1.1900000000000001E-2</v>
      </c>
      <c r="M2954">
        <v>1.1900000000000001E-2</v>
      </c>
      <c r="N2954">
        <v>1.21E-2</v>
      </c>
      <c r="O2954">
        <v>1.21E-2</v>
      </c>
      <c r="P2954">
        <v>1.2200000000000001E-2</v>
      </c>
      <c r="Q2954">
        <v>1.23E-2</v>
      </c>
      <c r="R2954">
        <v>1.23E-2</v>
      </c>
      <c r="S2954">
        <v>1.2500000000000001E-2</v>
      </c>
      <c r="T2954">
        <v>1.2500000000000001E-2</v>
      </c>
      <c r="U2954">
        <v>1.2500000000000001E-2</v>
      </c>
      <c r="V2954">
        <v>1.2699999999999999E-2</v>
      </c>
      <c r="W2954">
        <v>1.2699999999999999E-2</v>
      </c>
      <c r="X2954">
        <v>1.2699999999999999E-2</v>
      </c>
      <c r="Y2954">
        <v>1.2800000000000001E-2</v>
      </c>
    </row>
    <row r="2955" spans="1:25" hidden="1">
      <c r="A2955" t="s">
        <v>18812</v>
      </c>
      <c r="B2955" t="s">
        <v>938</v>
      </c>
      <c r="C2955" t="s">
        <v>925</v>
      </c>
      <c r="D2955" t="s">
        <v>934</v>
      </c>
      <c r="E2955" t="s">
        <v>768</v>
      </c>
      <c r="F2955" t="s">
        <v>598</v>
      </c>
      <c r="G2955" t="s">
        <v>478</v>
      </c>
      <c r="H2955" t="s">
        <v>600</v>
      </c>
      <c r="I2955" t="s">
        <v>601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hidden="1">
      <c r="A2956" t="s">
        <v>18812</v>
      </c>
      <c r="B2956" t="s">
        <v>942</v>
      </c>
      <c r="C2956" t="s">
        <v>943</v>
      </c>
      <c r="D2956" t="s">
        <v>944</v>
      </c>
      <c r="E2956" t="s">
        <v>613</v>
      </c>
      <c r="F2956" t="s">
        <v>598</v>
      </c>
      <c r="G2956" t="s">
        <v>478</v>
      </c>
      <c r="H2956" t="s">
        <v>600</v>
      </c>
      <c r="I2956" t="s">
        <v>601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hidden="1">
      <c r="A2957" t="s">
        <v>18812</v>
      </c>
      <c r="B2957" t="s">
        <v>947</v>
      </c>
      <c r="C2957" t="s">
        <v>943</v>
      </c>
      <c r="D2957" t="s">
        <v>946</v>
      </c>
      <c r="E2957" t="s">
        <v>948</v>
      </c>
      <c r="F2957" t="s">
        <v>598</v>
      </c>
      <c r="G2957" t="s">
        <v>478</v>
      </c>
      <c r="H2957" t="s">
        <v>600</v>
      </c>
      <c r="I2957" t="s">
        <v>601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</row>
    <row r="2958" spans="1:25" hidden="1">
      <c r="A2958" t="s">
        <v>18812</v>
      </c>
      <c r="B2958" t="s">
        <v>951</v>
      </c>
      <c r="C2958" t="s">
        <v>943</v>
      </c>
      <c r="D2958" t="s">
        <v>934</v>
      </c>
      <c r="E2958" t="s">
        <v>937</v>
      </c>
      <c r="F2958" t="s">
        <v>598</v>
      </c>
      <c r="G2958" t="s">
        <v>478</v>
      </c>
      <c r="H2958" t="s">
        <v>600</v>
      </c>
      <c r="I2958" t="s">
        <v>601</v>
      </c>
      <c r="J2958">
        <v>9.9599999999999994E-2</v>
      </c>
      <c r="K2958">
        <v>0.1014</v>
      </c>
      <c r="L2958">
        <v>0.1032</v>
      </c>
      <c r="M2958">
        <v>0.105</v>
      </c>
      <c r="N2958">
        <v>0.10680000000000001</v>
      </c>
      <c r="O2958">
        <v>0.1085</v>
      </c>
      <c r="P2958">
        <v>0.1103</v>
      </c>
      <c r="Q2958">
        <v>0.11210000000000001</v>
      </c>
      <c r="R2958">
        <v>0.1138</v>
      </c>
      <c r="S2958">
        <v>0.11550000000000001</v>
      </c>
      <c r="T2958">
        <v>0.1173</v>
      </c>
      <c r="U2958">
        <v>0.1192</v>
      </c>
      <c r="V2958">
        <v>0.12089999999999999</v>
      </c>
      <c r="W2958">
        <v>0.12280000000000001</v>
      </c>
      <c r="X2958">
        <v>0.1245</v>
      </c>
      <c r="Y2958">
        <v>0.12620000000000001</v>
      </c>
    </row>
    <row r="2959" spans="1:25" hidden="1">
      <c r="A2959" t="s">
        <v>18812</v>
      </c>
      <c r="B2959" t="s">
        <v>955</v>
      </c>
      <c r="C2959" t="s">
        <v>956</v>
      </c>
      <c r="D2959" t="s">
        <v>931</v>
      </c>
      <c r="E2959" t="s">
        <v>597</v>
      </c>
      <c r="F2959" t="s">
        <v>598</v>
      </c>
      <c r="G2959" t="s">
        <v>478</v>
      </c>
      <c r="H2959" t="s">
        <v>600</v>
      </c>
      <c r="I2959" t="s">
        <v>601</v>
      </c>
      <c r="J2959">
        <v>5.9999999999999995E-4</v>
      </c>
      <c r="K2959">
        <v>5.9999999999999995E-4</v>
      </c>
      <c r="L2959">
        <v>5.9999999999999995E-4</v>
      </c>
      <c r="M2959">
        <v>5.9999999999999995E-4</v>
      </c>
      <c r="N2959">
        <v>5.9999999999999995E-4</v>
      </c>
      <c r="O2959">
        <v>5.9999999999999995E-4</v>
      </c>
      <c r="P2959">
        <v>5.9999999999999995E-4</v>
      </c>
      <c r="Q2959">
        <v>5.9999999999999995E-4</v>
      </c>
      <c r="R2959">
        <v>5.9999999999999995E-4</v>
      </c>
      <c r="S2959">
        <v>5.9999999999999995E-4</v>
      </c>
      <c r="T2959">
        <v>5.9999999999999995E-4</v>
      </c>
      <c r="U2959">
        <v>5.9999999999999995E-4</v>
      </c>
      <c r="V2959">
        <v>5.9999999999999995E-4</v>
      </c>
      <c r="W2959">
        <v>5.9999999999999995E-4</v>
      </c>
      <c r="X2959">
        <v>5.9999999999999995E-4</v>
      </c>
      <c r="Y2959">
        <v>5.9999999999999995E-4</v>
      </c>
    </row>
    <row r="2960" spans="1:25" hidden="1">
      <c r="A2960" t="s">
        <v>18812</v>
      </c>
      <c r="B2960" t="s">
        <v>960</v>
      </c>
      <c r="C2960" t="s">
        <v>956</v>
      </c>
      <c r="D2960" t="s">
        <v>931</v>
      </c>
      <c r="E2960" t="s">
        <v>961</v>
      </c>
      <c r="F2960" t="s">
        <v>598</v>
      </c>
      <c r="G2960" t="s">
        <v>478</v>
      </c>
      <c r="H2960" t="s">
        <v>600</v>
      </c>
      <c r="I2960" t="s">
        <v>601</v>
      </c>
      <c r="J2960">
        <v>1.1000000000000001E-3</v>
      </c>
      <c r="K2960">
        <v>1.1000000000000001E-3</v>
      </c>
      <c r="L2960">
        <v>1.1000000000000001E-3</v>
      </c>
      <c r="M2960">
        <v>1.1000000000000001E-3</v>
      </c>
      <c r="N2960">
        <v>1.1999999999999999E-3</v>
      </c>
      <c r="O2960">
        <v>1.1999999999999999E-3</v>
      </c>
      <c r="P2960">
        <v>1.1999999999999999E-3</v>
      </c>
      <c r="Q2960">
        <v>1.1999999999999999E-3</v>
      </c>
      <c r="R2960">
        <v>1.1999999999999999E-3</v>
      </c>
      <c r="S2960">
        <v>1.1999999999999999E-3</v>
      </c>
      <c r="T2960">
        <v>1.1999999999999999E-3</v>
      </c>
      <c r="U2960">
        <v>1.1999999999999999E-3</v>
      </c>
      <c r="V2960">
        <v>1.1999999999999999E-3</v>
      </c>
      <c r="W2960">
        <v>1.1999999999999999E-3</v>
      </c>
      <c r="X2960">
        <v>1.1999999999999999E-3</v>
      </c>
      <c r="Y2960">
        <v>1.1999999999999999E-3</v>
      </c>
    </row>
    <row r="2961" spans="1:25" hidden="1">
      <c r="A2961" t="s">
        <v>18812</v>
      </c>
      <c r="B2961" t="s">
        <v>964</v>
      </c>
      <c r="C2961" t="s">
        <v>956</v>
      </c>
      <c r="D2961" t="s">
        <v>934</v>
      </c>
      <c r="E2961" t="s">
        <v>605</v>
      </c>
      <c r="F2961" t="s">
        <v>598</v>
      </c>
      <c r="G2961" t="s">
        <v>478</v>
      </c>
      <c r="H2961" t="s">
        <v>600</v>
      </c>
      <c r="I2961" t="s">
        <v>601</v>
      </c>
      <c r="J2961">
        <v>2.5000000000000001E-3</v>
      </c>
      <c r="K2961">
        <v>2.5000000000000001E-3</v>
      </c>
      <c r="L2961">
        <v>2.5000000000000001E-3</v>
      </c>
      <c r="M2961">
        <v>2.5000000000000001E-3</v>
      </c>
      <c r="N2961">
        <v>2.5999999999999999E-3</v>
      </c>
      <c r="O2961">
        <v>2.5999999999999999E-3</v>
      </c>
      <c r="P2961">
        <v>2.5999999999999999E-3</v>
      </c>
      <c r="Q2961">
        <v>2.5999999999999999E-3</v>
      </c>
      <c r="R2961">
        <v>2.5999999999999999E-3</v>
      </c>
      <c r="S2961">
        <v>2.5999999999999999E-3</v>
      </c>
      <c r="T2961">
        <v>2.8E-3</v>
      </c>
      <c r="U2961">
        <v>2.8E-3</v>
      </c>
      <c r="V2961">
        <v>2.8E-3</v>
      </c>
      <c r="W2961">
        <v>2.8E-3</v>
      </c>
      <c r="X2961">
        <v>2.8E-3</v>
      </c>
      <c r="Y2961">
        <v>2.8E-3</v>
      </c>
    </row>
    <row r="2962" spans="1:25" hidden="1">
      <c r="A2962" t="s">
        <v>18812</v>
      </c>
      <c r="B2962" t="s">
        <v>970</v>
      </c>
      <c r="C2962" t="s">
        <v>971</v>
      </c>
      <c r="D2962" t="s">
        <v>972</v>
      </c>
      <c r="E2962" t="s">
        <v>973</v>
      </c>
      <c r="F2962" t="s">
        <v>598</v>
      </c>
      <c r="G2962" t="s">
        <v>478</v>
      </c>
      <c r="H2962" t="s">
        <v>600</v>
      </c>
      <c r="I2962" t="s">
        <v>601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hidden="1">
      <c r="A2963" t="s">
        <v>18812</v>
      </c>
      <c r="B2963" t="s">
        <v>981</v>
      </c>
      <c r="C2963" t="s">
        <v>980</v>
      </c>
      <c r="D2963" t="s">
        <v>982</v>
      </c>
      <c r="E2963" t="s">
        <v>613</v>
      </c>
      <c r="F2963" t="s">
        <v>598</v>
      </c>
      <c r="G2963" t="s">
        <v>478</v>
      </c>
      <c r="H2963" t="s">
        <v>600</v>
      </c>
      <c r="I2963" t="s">
        <v>601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hidden="1">
      <c r="A2964" t="s">
        <v>18812</v>
      </c>
      <c r="B2964" t="s">
        <v>983</v>
      </c>
      <c r="C2964" t="s">
        <v>980</v>
      </c>
      <c r="D2964" t="s">
        <v>982</v>
      </c>
      <c r="E2964" t="s">
        <v>984</v>
      </c>
      <c r="F2964" t="s">
        <v>598</v>
      </c>
      <c r="G2964" t="s">
        <v>478</v>
      </c>
      <c r="H2964" t="s">
        <v>600</v>
      </c>
      <c r="I2964" t="s">
        <v>601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hidden="1">
      <c r="A2965" t="s">
        <v>18812</v>
      </c>
      <c r="B2965" t="s">
        <v>991</v>
      </c>
      <c r="C2965" t="s">
        <v>980</v>
      </c>
      <c r="D2965" t="s">
        <v>648</v>
      </c>
      <c r="E2965" t="s">
        <v>927</v>
      </c>
      <c r="F2965" t="s">
        <v>598</v>
      </c>
      <c r="G2965" t="s">
        <v>478</v>
      </c>
      <c r="H2965" t="s">
        <v>600</v>
      </c>
      <c r="I2965" t="s">
        <v>601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hidden="1">
      <c r="A2966" t="s">
        <v>18812</v>
      </c>
      <c r="B2966" t="s">
        <v>993</v>
      </c>
      <c r="C2966" t="s">
        <v>980</v>
      </c>
      <c r="D2966" t="s">
        <v>648</v>
      </c>
      <c r="E2966" t="s">
        <v>678</v>
      </c>
      <c r="F2966" t="s">
        <v>598</v>
      </c>
      <c r="G2966" t="s">
        <v>478</v>
      </c>
      <c r="H2966" t="s">
        <v>600</v>
      </c>
      <c r="I2966" t="s">
        <v>601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hidden="1">
      <c r="A2967" t="s">
        <v>18812</v>
      </c>
      <c r="B2967" t="s">
        <v>997</v>
      </c>
      <c r="C2967" t="s">
        <v>998</v>
      </c>
      <c r="D2967" t="s">
        <v>999</v>
      </c>
      <c r="E2967" t="s">
        <v>1000</v>
      </c>
      <c r="F2967" t="s">
        <v>598</v>
      </c>
      <c r="G2967" t="s">
        <v>478</v>
      </c>
      <c r="H2967" t="s">
        <v>600</v>
      </c>
      <c r="I2967" t="s">
        <v>601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hidden="1">
      <c r="A2968" t="s">
        <v>18812</v>
      </c>
      <c r="B2968" t="s">
        <v>1001</v>
      </c>
      <c r="C2968" t="s">
        <v>998</v>
      </c>
      <c r="D2968" t="s">
        <v>999</v>
      </c>
      <c r="E2968" t="s">
        <v>1002</v>
      </c>
      <c r="F2968" t="s">
        <v>598</v>
      </c>
      <c r="G2968" t="s">
        <v>478</v>
      </c>
      <c r="H2968" t="s">
        <v>600</v>
      </c>
      <c r="I2968" t="s">
        <v>601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hidden="1">
      <c r="A2969" t="s">
        <v>18812</v>
      </c>
      <c r="B2969" t="s">
        <v>1007</v>
      </c>
      <c r="C2969" t="s">
        <v>998</v>
      </c>
      <c r="D2969" t="s">
        <v>999</v>
      </c>
      <c r="E2969" t="s">
        <v>1008</v>
      </c>
      <c r="F2969" t="s">
        <v>598</v>
      </c>
      <c r="G2969" t="s">
        <v>478</v>
      </c>
      <c r="H2969" t="s">
        <v>600</v>
      </c>
      <c r="I2969" t="s">
        <v>601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hidden="1">
      <c r="A2970" t="s">
        <v>18812</v>
      </c>
      <c r="B2970" t="s">
        <v>1009</v>
      </c>
      <c r="C2970" t="s">
        <v>998</v>
      </c>
      <c r="D2970" t="s">
        <v>999</v>
      </c>
      <c r="E2970" t="s">
        <v>1010</v>
      </c>
      <c r="F2970" t="s">
        <v>598</v>
      </c>
      <c r="G2970" t="s">
        <v>478</v>
      </c>
      <c r="H2970" t="s">
        <v>600</v>
      </c>
      <c r="I2970" t="s">
        <v>601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hidden="1">
      <c r="A2971" t="s">
        <v>18812</v>
      </c>
      <c r="B2971" t="s">
        <v>1015</v>
      </c>
      <c r="C2971" t="s">
        <v>1016</v>
      </c>
      <c r="D2971" t="s">
        <v>1017</v>
      </c>
      <c r="E2971" t="s">
        <v>1018</v>
      </c>
      <c r="F2971" t="s">
        <v>598</v>
      </c>
      <c r="G2971" t="s">
        <v>478</v>
      </c>
      <c r="H2971" t="s">
        <v>600</v>
      </c>
      <c r="I2971" t="s">
        <v>601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hidden="1">
      <c r="A2972" t="s">
        <v>18812</v>
      </c>
      <c r="B2972" t="s">
        <v>1019</v>
      </c>
      <c r="C2972" t="s">
        <v>1016</v>
      </c>
      <c r="D2972" t="s">
        <v>1017</v>
      </c>
      <c r="E2972" t="s">
        <v>1020</v>
      </c>
      <c r="F2972" t="s">
        <v>598</v>
      </c>
      <c r="G2972" t="s">
        <v>478</v>
      </c>
      <c r="H2972" t="s">
        <v>600</v>
      </c>
      <c r="I2972" t="s">
        <v>601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hidden="1">
      <c r="A2973" t="s">
        <v>18812</v>
      </c>
      <c r="B2973" t="s">
        <v>1021</v>
      </c>
      <c r="C2973" t="s">
        <v>1016</v>
      </c>
      <c r="D2973" t="s">
        <v>1017</v>
      </c>
      <c r="E2973" t="s">
        <v>1022</v>
      </c>
      <c r="F2973" t="s">
        <v>598</v>
      </c>
      <c r="G2973" t="s">
        <v>478</v>
      </c>
      <c r="H2973" t="s">
        <v>600</v>
      </c>
      <c r="I2973" t="s">
        <v>601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hidden="1">
      <c r="A2974" t="s">
        <v>18812</v>
      </c>
      <c r="B2974" t="s">
        <v>1023</v>
      </c>
      <c r="C2974" t="s">
        <v>1016</v>
      </c>
      <c r="D2974" t="s">
        <v>1017</v>
      </c>
      <c r="E2974" t="s">
        <v>1024</v>
      </c>
      <c r="F2974" t="s">
        <v>598</v>
      </c>
      <c r="G2974" t="s">
        <v>478</v>
      </c>
      <c r="H2974" t="s">
        <v>600</v>
      </c>
      <c r="I2974" t="s">
        <v>601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hidden="1">
      <c r="A2975" t="s">
        <v>18812</v>
      </c>
      <c r="B2975" t="s">
        <v>1025</v>
      </c>
      <c r="C2975" t="s">
        <v>1016</v>
      </c>
      <c r="D2975" t="s">
        <v>1017</v>
      </c>
      <c r="E2975" t="s">
        <v>1026</v>
      </c>
      <c r="F2975" t="s">
        <v>598</v>
      </c>
      <c r="G2975" t="s">
        <v>478</v>
      </c>
      <c r="H2975" t="s">
        <v>600</v>
      </c>
      <c r="I2975" t="s">
        <v>601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hidden="1">
      <c r="A2976" t="s">
        <v>18812</v>
      </c>
      <c r="B2976" t="s">
        <v>1027</v>
      </c>
      <c r="C2976" t="s">
        <v>1016</v>
      </c>
      <c r="D2976" t="s">
        <v>1017</v>
      </c>
      <c r="E2976" t="s">
        <v>1028</v>
      </c>
      <c r="F2976" t="s">
        <v>598</v>
      </c>
      <c r="G2976" t="s">
        <v>478</v>
      </c>
      <c r="H2976" t="s">
        <v>600</v>
      </c>
      <c r="I2976" t="s">
        <v>601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hidden="1">
      <c r="A2977" t="s">
        <v>18812</v>
      </c>
      <c r="B2977" t="s">
        <v>1029</v>
      </c>
      <c r="C2977" t="s">
        <v>1016</v>
      </c>
      <c r="D2977" t="s">
        <v>1017</v>
      </c>
      <c r="E2977" t="s">
        <v>1030</v>
      </c>
      <c r="F2977" t="s">
        <v>598</v>
      </c>
      <c r="G2977" t="s">
        <v>478</v>
      </c>
      <c r="H2977" t="s">
        <v>600</v>
      </c>
      <c r="I2977" t="s">
        <v>601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hidden="1">
      <c r="A2978" t="s">
        <v>18812</v>
      </c>
      <c r="B2978" t="s">
        <v>1031</v>
      </c>
      <c r="C2978" t="s">
        <v>1016</v>
      </c>
      <c r="D2978" t="s">
        <v>1017</v>
      </c>
      <c r="E2978" t="s">
        <v>630</v>
      </c>
      <c r="F2978" t="s">
        <v>598</v>
      </c>
      <c r="G2978" t="s">
        <v>478</v>
      </c>
      <c r="H2978" t="s">
        <v>600</v>
      </c>
      <c r="I2978" t="s">
        <v>601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hidden="1">
      <c r="A2979" t="s">
        <v>18812</v>
      </c>
      <c r="B2979" t="s">
        <v>1032</v>
      </c>
      <c r="C2979" t="s">
        <v>1016</v>
      </c>
      <c r="D2979" t="s">
        <v>1017</v>
      </c>
      <c r="E2979" t="s">
        <v>1033</v>
      </c>
      <c r="F2979" t="s">
        <v>598</v>
      </c>
      <c r="G2979" t="s">
        <v>478</v>
      </c>
      <c r="H2979" t="s">
        <v>600</v>
      </c>
      <c r="I2979" t="s">
        <v>601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hidden="1">
      <c r="A2980" t="s">
        <v>18812</v>
      </c>
      <c r="B2980" t="s">
        <v>1037</v>
      </c>
      <c r="C2980" t="s">
        <v>1016</v>
      </c>
      <c r="D2980" t="s">
        <v>1017</v>
      </c>
      <c r="E2980" t="s">
        <v>1038</v>
      </c>
      <c r="F2980" t="s">
        <v>598</v>
      </c>
      <c r="G2980" t="s">
        <v>478</v>
      </c>
      <c r="H2980" t="s">
        <v>600</v>
      </c>
      <c r="I2980" t="s">
        <v>601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hidden="1">
      <c r="A2981" t="s">
        <v>18812</v>
      </c>
      <c r="B2981" t="s">
        <v>1039</v>
      </c>
      <c r="C2981" t="s">
        <v>1016</v>
      </c>
      <c r="D2981" t="s">
        <v>1017</v>
      </c>
      <c r="E2981" t="s">
        <v>1040</v>
      </c>
      <c r="F2981" t="s">
        <v>598</v>
      </c>
      <c r="G2981" t="s">
        <v>478</v>
      </c>
      <c r="H2981" t="s">
        <v>600</v>
      </c>
      <c r="I2981" t="s">
        <v>601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hidden="1">
      <c r="A2982" t="s">
        <v>18812</v>
      </c>
      <c r="B2982" t="s">
        <v>1041</v>
      </c>
      <c r="C2982" t="s">
        <v>1016</v>
      </c>
      <c r="D2982" t="s">
        <v>1017</v>
      </c>
      <c r="E2982" t="s">
        <v>1042</v>
      </c>
      <c r="F2982" t="s">
        <v>598</v>
      </c>
      <c r="G2982" t="s">
        <v>478</v>
      </c>
      <c r="H2982" t="s">
        <v>600</v>
      </c>
      <c r="I2982" t="s">
        <v>601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hidden="1">
      <c r="A2983" t="s">
        <v>18812</v>
      </c>
      <c r="B2983" t="s">
        <v>1045</v>
      </c>
      <c r="C2983" t="s">
        <v>1016</v>
      </c>
      <c r="D2983" t="s">
        <v>1017</v>
      </c>
      <c r="E2983" t="s">
        <v>1046</v>
      </c>
      <c r="F2983" t="s">
        <v>598</v>
      </c>
      <c r="G2983" t="s">
        <v>478</v>
      </c>
      <c r="H2983" t="s">
        <v>600</v>
      </c>
      <c r="I2983" t="s">
        <v>601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hidden="1">
      <c r="A2984" t="s">
        <v>18812</v>
      </c>
      <c r="B2984" t="s">
        <v>1047</v>
      </c>
      <c r="C2984" t="s">
        <v>1016</v>
      </c>
      <c r="D2984" t="s">
        <v>1017</v>
      </c>
      <c r="E2984" t="s">
        <v>1048</v>
      </c>
      <c r="F2984" t="s">
        <v>598</v>
      </c>
      <c r="G2984" t="s">
        <v>478</v>
      </c>
      <c r="H2984" t="s">
        <v>600</v>
      </c>
      <c r="I2984" t="s">
        <v>601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hidden="1">
      <c r="A2985" t="s">
        <v>18812</v>
      </c>
      <c r="B2985" t="s">
        <v>1049</v>
      </c>
      <c r="C2985" t="s">
        <v>1016</v>
      </c>
      <c r="D2985" t="s">
        <v>1050</v>
      </c>
      <c r="E2985" t="s">
        <v>1024</v>
      </c>
      <c r="F2985" t="s">
        <v>598</v>
      </c>
      <c r="G2985" t="s">
        <v>478</v>
      </c>
      <c r="H2985" t="s">
        <v>600</v>
      </c>
      <c r="I2985" t="s">
        <v>601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hidden="1">
      <c r="A2986" t="s">
        <v>18812</v>
      </c>
      <c r="B2986" t="s">
        <v>1051</v>
      </c>
      <c r="C2986" t="s">
        <v>1016</v>
      </c>
      <c r="D2986" t="s">
        <v>1050</v>
      </c>
      <c r="E2986" t="s">
        <v>1052</v>
      </c>
      <c r="F2986" t="s">
        <v>598</v>
      </c>
      <c r="G2986" t="s">
        <v>478</v>
      </c>
      <c r="H2986" t="s">
        <v>600</v>
      </c>
      <c r="I2986" t="s">
        <v>601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hidden="1">
      <c r="A2987" t="s">
        <v>18812</v>
      </c>
      <c r="B2987" t="s">
        <v>1053</v>
      </c>
      <c r="C2987" t="s">
        <v>1016</v>
      </c>
      <c r="D2987" t="s">
        <v>1050</v>
      </c>
      <c r="E2987" t="s">
        <v>1000</v>
      </c>
      <c r="F2987" t="s">
        <v>598</v>
      </c>
      <c r="G2987" t="s">
        <v>478</v>
      </c>
      <c r="H2987" t="s">
        <v>600</v>
      </c>
      <c r="I2987" t="s">
        <v>601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hidden="1">
      <c r="A2988" t="s">
        <v>18812</v>
      </c>
      <c r="B2988" t="s">
        <v>1054</v>
      </c>
      <c r="C2988" t="s">
        <v>1016</v>
      </c>
      <c r="D2988" t="s">
        <v>1050</v>
      </c>
      <c r="E2988" t="s">
        <v>1055</v>
      </c>
      <c r="F2988" t="s">
        <v>598</v>
      </c>
      <c r="G2988" t="s">
        <v>478</v>
      </c>
      <c r="H2988" t="s">
        <v>600</v>
      </c>
      <c r="I2988" t="s">
        <v>601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hidden="1">
      <c r="A2989" t="s">
        <v>18812</v>
      </c>
      <c r="B2989" t="s">
        <v>1056</v>
      </c>
      <c r="C2989" t="s">
        <v>1016</v>
      </c>
      <c r="D2989" t="s">
        <v>1050</v>
      </c>
      <c r="E2989" t="s">
        <v>1002</v>
      </c>
      <c r="F2989" t="s">
        <v>598</v>
      </c>
      <c r="G2989" t="s">
        <v>478</v>
      </c>
      <c r="H2989" t="s">
        <v>600</v>
      </c>
      <c r="I2989" t="s">
        <v>601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hidden="1">
      <c r="A2990" t="s">
        <v>18812</v>
      </c>
      <c r="B2990" t="s">
        <v>1059</v>
      </c>
      <c r="C2990" t="s">
        <v>1016</v>
      </c>
      <c r="D2990" t="s">
        <v>1050</v>
      </c>
      <c r="E2990" t="s">
        <v>1042</v>
      </c>
      <c r="F2990" t="s">
        <v>598</v>
      </c>
      <c r="G2990" t="s">
        <v>478</v>
      </c>
      <c r="H2990" t="s">
        <v>600</v>
      </c>
      <c r="I2990" t="s">
        <v>601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hidden="1">
      <c r="A2991" t="s">
        <v>18812</v>
      </c>
      <c r="B2991" t="s">
        <v>1060</v>
      </c>
      <c r="C2991" t="s">
        <v>1016</v>
      </c>
      <c r="D2991" t="s">
        <v>1050</v>
      </c>
      <c r="E2991" t="s">
        <v>1044</v>
      </c>
      <c r="F2991" t="s">
        <v>598</v>
      </c>
      <c r="G2991" t="s">
        <v>478</v>
      </c>
      <c r="H2991" t="s">
        <v>600</v>
      </c>
      <c r="I2991" t="s">
        <v>601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hidden="1">
      <c r="A2992" t="s">
        <v>18812</v>
      </c>
      <c r="B2992" t="s">
        <v>1061</v>
      </c>
      <c r="C2992" t="s">
        <v>1016</v>
      </c>
      <c r="D2992" t="s">
        <v>1050</v>
      </c>
      <c r="E2992" t="s">
        <v>1048</v>
      </c>
      <c r="F2992" t="s">
        <v>598</v>
      </c>
      <c r="G2992" t="s">
        <v>478</v>
      </c>
      <c r="H2992" t="s">
        <v>600</v>
      </c>
      <c r="I2992" t="s">
        <v>601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hidden="1">
      <c r="A2993" t="s">
        <v>18812</v>
      </c>
      <c r="B2993" t="s">
        <v>1062</v>
      </c>
      <c r="C2993" t="s">
        <v>1016</v>
      </c>
      <c r="D2993" t="s">
        <v>1063</v>
      </c>
      <c r="E2993" t="s">
        <v>1018</v>
      </c>
      <c r="F2993" t="s">
        <v>598</v>
      </c>
      <c r="G2993" t="s">
        <v>478</v>
      </c>
      <c r="H2993" t="s">
        <v>600</v>
      </c>
      <c r="I2993" t="s">
        <v>601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hidden="1">
      <c r="A2994" t="s">
        <v>18812</v>
      </c>
      <c r="B2994" t="s">
        <v>1064</v>
      </c>
      <c r="C2994" t="s">
        <v>1016</v>
      </c>
      <c r="D2994" t="s">
        <v>1063</v>
      </c>
      <c r="E2994" t="s">
        <v>1022</v>
      </c>
      <c r="F2994" t="s">
        <v>598</v>
      </c>
      <c r="G2994" t="s">
        <v>478</v>
      </c>
      <c r="H2994" t="s">
        <v>600</v>
      </c>
      <c r="I2994" t="s">
        <v>601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hidden="1">
      <c r="A2995" t="s">
        <v>18812</v>
      </c>
      <c r="B2995" t="s">
        <v>1065</v>
      </c>
      <c r="C2995" t="s">
        <v>1016</v>
      </c>
      <c r="D2995" t="s">
        <v>1063</v>
      </c>
      <c r="E2995" t="s">
        <v>1024</v>
      </c>
      <c r="F2995" t="s">
        <v>598</v>
      </c>
      <c r="G2995" t="s">
        <v>478</v>
      </c>
      <c r="H2995" t="s">
        <v>600</v>
      </c>
      <c r="I2995" t="s">
        <v>601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hidden="1">
      <c r="A2996" t="s">
        <v>18812</v>
      </c>
      <c r="B2996" t="s">
        <v>1066</v>
      </c>
      <c r="C2996" t="s">
        <v>1016</v>
      </c>
      <c r="D2996" t="s">
        <v>1063</v>
      </c>
      <c r="E2996" t="s">
        <v>1052</v>
      </c>
      <c r="F2996" t="s">
        <v>598</v>
      </c>
      <c r="G2996" t="s">
        <v>478</v>
      </c>
      <c r="H2996" t="s">
        <v>600</v>
      </c>
      <c r="I2996" t="s">
        <v>601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hidden="1">
      <c r="A2997" t="s">
        <v>18812</v>
      </c>
      <c r="B2997" t="s">
        <v>1067</v>
      </c>
      <c r="C2997" t="s">
        <v>1016</v>
      </c>
      <c r="D2997" t="s">
        <v>1063</v>
      </c>
      <c r="E2997" t="s">
        <v>1026</v>
      </c>
      <c r="F2997" t="s">
        <v>598</v>
      </c>
      <c r="G2997" t="s">
        <v>478</v>
      </c>
      <c r="H2997" t="s">
        <v>600</v>
      </c>
      <c r="I2997" t="s">
        <v>601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hidden="1">
      <c r="A2998" t="s">
        <v>18812</v>
      </c>
      <c r="B2998" t="s">
        <v>1068</v>
      </c>
      <c r="C2998" t="s">
        <v>1016</v>
      </c>
      <c r="D2998" t="s">
        <v>1063</v>
      </c>
      <c r="E2998" t="s">
        <v>1030</v>
      </c>
      <c r="F2998" t="s">
        <v>598</v>
      </c>
      <c r="G2998" t="s">
        <v>478</v>
      </c>
      <c r="H2998" t="s">
        <v>600</v>
      </c>
      <c r="I2998" t="s">
        <v>601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hidden="1">
      <c r="A2999" t="s">
        <v>18812</v>
      </c>
      <c r="B2999" t="s">
        <v>1069</v>
      </c>
      <c r="C2999" t="s">
        <v>1016</v>
      </c>
      <c r="D2999" t="s">
        <v>1063</v>
      </c>
      <c r="E2999" t="s">
        <v>1035</v>
      </c>
      <c r="F2999" t="s">
        <v>598</v>
      </c>
      <c r="G2999" t="s">
        <v>478</v>
      </c>
      <c r="H2999" t="s">
        <v>600</v>
      </c>
      <c r="I2999" t="s">
        <v>601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hidden="1">
      <c r="A3000" t="s">
        <v>18812</v>
      </c>
      <c r="B3000" t="s">
        <v>1070</v>
      </c>
      <c r="C3000" t="s">
        <v>1016</v>
      </c>
      <c r="D3000" t="s">
        <v>1063</v>
      </c>
      <c r="E3000" t="s">
        <v>1000</v>
      </c>
      <c r="F3000" t="s">
        <v>598</v>
      </c>
      <c r="G3000" t="s">
        <v>478</v>
      </c>
      <c r="H3000" t="s">
        <v>600</v>
      </c>
      <c r="I3000" t="s">
        <v>601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hidden="1">
      <c r="A3001" t="s">
        <v>18812</v>
      </c>
      <c r="B3001" t="s">
        <v>1071</v>
      </c>
      <c r="C3001" t="s">
        <v>1016</v>
      </c>
      <c r="D3001" t="s">
        <v>1063</v>
      </c>
      <c r="E3001" t="s">
        <v>1038</v>
      </c>
      <c r="F3001" t="s">
        <v>598</v>
      </c>
      <c r="G3001" t="s">
        <v>478</v>
      </c>
      <c r="H3001" t="s">
        <v>600</v>
      </c>
      <c r="I3001" t="s">
        <v>601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hidden="1">
      <c r="A3002" t="s">
        <v>18812</v>
      </c>
      <c r="B3002" t="s">
        <v>1072</v>
      </c>
      <c r="C3002" t="s">
        <v>1016</v>
      </c>
      <c r="D3002" t="s">
        <v>1063</v>
      </c>
      <c r="E3002" t="s">
        <v>1040</v>
      </c>
      <c r="F3002" t="s">
        <v>598</v>
      </c>
      <c r="G3002" t="s">
        <v>478</v>
      </c>
      <c r="H3002" t="s">
        <v>600</v>
      </c>
      <c r="I3002" t="s">
        <v>601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hidden="1">
      <c r="A3003" t="s">
        <v>18812</v>
      </c>
      <c r="B3003" t="s">
        <v>1073</v>
      </c>
      <c r="C3003" t="s">
        <v>1016</v>
      </c>
      <c r="D3003" t="s">
        <v>1063</v>
      </c>
      <c r="E3003" t="s">
        <v>1042</v>
      </c>
      <c r="F3003" t="s">
        <v>598</v>
      </c>
      <c r="G3003" t="s">
        <v>478</v>
      </c>
      <c r="H3003" t="s">
        <v>600</v>
      </c>
      <c r="I3003" t="s">
        <v>601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hidden="1">
      <c r="A3004" t="s">
        <v>18812</v>
      </c>
      <c r="B3004" t="s">
        <v>1074</v>
      </c>
      <c r="C3004" t="s">
        <v>1016</v>
      </c>
      <c r="D3004" t="s">
        <v>1063</v>
      </c>
      <c r="E3004" t="s">
        <v>1044</v>
      </c>
      <c r="F3004" t="s">
        <v>598</v>
      </c>
      <c r="G3004" t="s">
        <v>478</v>
      </c>
      <c r="H3004" t="s">
        <v>600</v>
      </c>
      <c r="I3004" t="s">
        <v>601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</row>
    <row r="3005" spans="1:25" hidden="1">
      <c r="A3005" t="s">
        <v>18812</v>
      </c>
      <c r="B3005" t="s">
        <v>1075</v>
      </c>
      <c r="C3005" t="s">
        <v>1016</v>
      </c>
      <c r="D3005" t="s">
        <v>1063</v>
      </c>
      <c r="E3005" t="s">
        <v>1046</v>
      </c>
      <c r="F3005" t="s">
        <v>598</v>
      </c>
      <c r="G3005" t="s">
        <v>478</v>
      </c>
      <c r="H3005" t="s">
        <v>600</v>
      </c>
      <c r="I3005" t="s">
        <v>601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hidden="1">
      <c r="A3006" t="s">
        <v>18812</v>
      </c>
      <c r="B3006" t="s">
        <v>1076</v>
      </c>
      <c r="C3006" t="s">
        <v>1016</v>
      </c>
      <c r="D3006" t="s">
        <v>1063</v>
      </c>
      <c r="E3006" t="s">
        <v>1048</v>
      </c>
      <c r="F3006" t="s">
        <v>598</v>
      </c>
      <c r="G3006" t="s">
        <v>478</v>
      </c>
      <c r="H3006" t="s">
        <v>600</v>
      </c>
      <c r="I3006" t="s">
        <v>601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hidden="1">
      <c r="A3007" t="s">
        <v>18812</v>
      </c>
      <c r="B3007" t="s">
        <v>1078</v>
      </c>
      <c r="C3007" t="s">
        <v>1079</v>
      </c>
      <c r="D3007" t="s">
        <v>1080</v>
      </c>
      <c r="E3007" t="s">
        <v>1081</v>
      </c>
      <c r="F3007" t="s">
        <v>598</v>
      </c>
      <c r="G3007" t="s">
        <v>478</v>
      </c>
      <c r="H3007" t="s">
        <v>600</v>
      </c>
      <c r="I3007" t="s">
        <v>601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hidden="1">
      <c r="A3008" t="s">
        <v>18812</v>
      </c>
      <c r="B3008" t="s">
        <v>1087</v>
      </c>
      <c r="C3008" t="s">
        <v>1079</v>
      </c>
      <c r="D3008" t="s">
        <v>1086</v>
      </c>
      <c r="E3008" t="s">
        <v>1081</v>
      </c>
      <c r="F3008" t="s">
        <v>598</v>
      </c>
      <c r="G3008" t="s">
        <v>478</v>
      </c>
      <c r="H3008" t="s">
        <v>600</v>
      </c>
      <c r="I3008" t="s">
        <v>601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hidden="1">
      <c r="A3009" t="s">
        <v>18812</v>
      </c>
      <c r="B3009" t="s">
        <v>1090</v>
      </c>
      <c r="C3009" t="s">
        <v>1079</v>
      </c>
      <c r="D3009" t="s">
        <v>1086</v>
      </c>
      <c r="E3009" t="s">
        <v>1091</v>
      </c>
      <c r="F3009" t="s">
        <v>598</v>
      </c>
      <c r="G3009" t="s">
        <v>478</v>
      </c>
      <c r="H3009" t="s">
        <v>600</v>
      </c>
      <c r="I3009" t="s">
        <v>601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hidden="1">
      <c r="A3010" t="s">
        <v>18812</v>
      </c>
      <c r="B3010" t="s">
        <v>1094</v>
      </c>
      <c r="C3010" t="s">
        <v>1079</v>
      </c>
      <c r="D3010" t="s">
        <v>1086</v>
      </c>
      <c r="E3010" t="s">
        <v>1095</v>
      </c>
      <c r="F3010" t="s">
        <v>598</v>
      </c>
      <c r="G3010" t="s">
        <v>478</v>
      </c>
      <c r="H3010" t="s">
        <v>600</v>
      </c>
      <c r="I3010" t="s">
        <v>601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hidden="1">
      <c r="A3011" t="s">
        <v>18812</v>
      </c>
      <c r="B3011" t="s">
        <v>1100</v>
      </c>
      <c r="C3011" t="s">
        <v>1079</v>
      </c>
      <c r="D3011" t="s">
        <v>1086</v>
      </c>
      <c r="E3011" t="s">
        <v>1101</v>
      </c>
      <c r="F3011" t="s">
        <v>598</v>
      </c>
      <c r="G3011" t="s">
        <v>478</v>
      </c>
      <c r="H3011" t="s">
        <v>600</v>
      </c>
      <c r="I3011" t="s">
        <v>601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hidden="1">
      <c r="A3012" t="s">
        <v>18812</v>
      </c>
      <c r="B3012" t="s">
        <v>1107</v>
      </c>
      <c r="C3012" t="s">
        <v>1079</v>
      </c>
      <c r="D3012" t="s">
        <v>1108</v>
      </c>
      <c r="E3012" t="s">
        <v>1081</v>
      </c>
      <c r="F3012" t="s">
        <v>598</v>
      </c>
      <c r="G3012" t="s">
        <v>478</v>
      </c>
      <c r="H3012" t="s">
        <v>600</v>
      </c>
      <c r="I3012" t="s">
        <v>601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hidden="1">
      <c r="A3013" t="s">
        <v>18812</v>
      </c>
      <c r="B3013" t="s">
        <v>1109</v>
      </c>
      <c r="C3013" t="s">
        <v>1079</v>
      </c>
      <c r="D3013" t="s">
        <v>1108</v>
      </c>
      <c r="E3013" t="s">
        <v>1091</v>
      </c>
      <c r="F3013" t="s">
        <v>598</v>
      </c>
      <c r="G3013" t="s">
        <v>478</v>
      </c>
      <c r="H3013" t="s">
        <v>600</v>
      </c>
      <c r="I3013" t="s">
        <v>601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hidden="1">
      <c r="A3014" t="s">
        <v>18812</v>
      </c>
      <c r="B3014" t="s">
        <v>1113</v>
      </c>
      <c r="C3014" t="s">
        <v>1079</v>
      </c>
      <c r="D3014" t="s">
        <v>1108</v>
      </c>
      <c r="E3014" t="s">
        <v>1101</v>
      </c>
      <c r="F3014" t="s">
        <v>598</v>
      </c>
      <c r="G3014" t="s">
        <v>478</v>
      </c>
      <c r="H3014" t="s">
        <v>600</v>
      </c>
      <c r="I3014" t="s">
        <v>601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hidden="1">
      <c r="A3015" t="s">
        <v>18812</v>
      </c>
      <c r="B3015" t="s">
        <v>1119</v>
      </c>
      <c r="C3015" t="s">
        <v>1079</v>
      </c>
      <c r="D3015" t="s">
        <v>1115</v>
      </c>
      <c r="E3015" t="s">
        <v>1101</v>
      </c>
      <c r="F3015" t="s">
        <v>598</v>
      </c>
      <c r="G3015" t="s">
        <v>478</v>
      </c>
      <c r="H3015" t="s">
        <v>600</v>
      </c>
      <c r="I3015" t="s">
        <v>601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 hidden="1">
      <c r="A3016" t="s">
        <v>18812</v>
      </c>
      <c r="B3016" t="s">
        <v>1125</v>
      </c>
      <c r="C3016" t="s">
        <v>1079</v>
      </c>
      <c r="D3016" t="s">
        <v>1126</v>
      </c>
      <c r="E3016" t="s">
        <v>1081</v>
      </c>
      <c r="F3016" t="s">
        <v>598</v>
      </c>
      <c r="G3016" t="s">
        <v>478</v>
      </c>
      <c r="H3016" t="s">
        <v>600</v>
      </c>
      <c r="I3016" t="s">
        <v>601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hidden="1">
      <c r="A3017" t="s">
        <v>18812</v>
      </c>
      <c r="B3017" t="s">
        <v>1131</v>
      </c>
      <c r="C3017" t="s">
        <v>1079</v>
      </c>
      <c r="D3017" t="s">
        <v>1126</v>
      </c>
      <c r="E3017" t="s">
        <v>1101</v>
      </c>
      <c r="F3017" t="s">
        <v>598</v>
      </c>
      <c r="G3017" t="s">
        <v>478</v>
      </c>
      <c r="H3017" t="s">
        <v>600</v>
      </c>
      <c r="I3017" t="s">
        <v>601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hidden="1">
      <c r="A3018" t="s">
        <v>18812</v>
      </c>
      <c r="B3018" t="s">
        <v>1144</v>
      </c>
      <c r="C3018" t="s">
        <v>1079</v>
      </c>
      <c r="D3018" t="s">
        <v>1145</v>
      </c>
      <c r="E3018" t="s">
        <v>1081</v>
      </c>
      <c r="F3018" t="s">
        <v>598</v>
      </c>
      <c r="G3018" t="s">
        <v>478</v>
      </c>
      <c r="H3018" t="s">
        <v>600</v>
      </c>
      <c r="I3018" t="s">
        <v>601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 hidden="1">
      <c r="A3019" t="s">
        <v>18812</v>
      </c>
      <c r="B3019" t="s">
        <v>1151</v>
      </c>
      <c r="C3019" t="s">
        <v>1079</v>
      </c>
      <c r="D3019" t="s">
        <v>1145</v>
      </c>
      <c r="E3019" t="s">
        <v>1101</v>
      </c>
      <c r="F3019" t="s">
        <v>598</v>
      </c>
      <c r="G3019" t="s">
        <v>478</v>
      </c>
      <c r="H3019" t="s">
        <v>600</v>
      </c>
      <c r="I3019" t="s">
        <v>601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hidden="1">
      <c r="A3020" t="s">
        <v>18812</v>
      </c>
      <c r="B3020" t="s">
        <v>1154</v>
      </c>
      <c r="C3020" t="s">
        <v>1079</v>
      </c>
      <c r="D3020" t="s">
        <v>1145</v>
      </c>
      <c r="E3020" t="s">
        <v>1103</v>
      </c>
      <c r="F3020" t="s">
        <v>598</v>
      </c>
      <c r="G3020" t="s">
        <v>478</v>
      </c>
      <c r="H3020" t="s">
        <v>600</v>
      </c>
      <c r="I3020" t="s">
        <v>601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hidden="1">
      <c r="A3021" t="s">
        <v>18812</v>
      </c>
      <c r="B3021" t="s">
        <v>1155</v>
      </c>
      <c r="C3021" t="s">
        <v>1079</v>
      </c>
      <c r="D3021" t="s">
        <v>1156</v>
      </c>
      <c r="E3021" t="s">
        <v>1081</v>
      </c>
      <c r="F3021" t="s">
        <v>598</v>
      </c>
      <c r="G3021" t="s">
        <v>478</v>
      </c>
      <c r="H3021" t="s">
        <v>600</v>
      </c>
      <c r="I3021" t="s">
        <v>601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hidden="1">
      <c r="A3022" t="s">
        <v>18812</v>
      </c>
      <c r="B3022" t="s">
        <v>1160</v>
      </c>
      <c r="C3022" t="s">
        <v>1079</v>
      </c>
      <c r="D3022" t="s">
        <v>1156</v>
      </c>
      <c r="E3022" t="s">
        <v>1099</v>
      </c>
      <c r="F3022" t="s">
        <v>598</v>
      </c>
      <c r="G3022" t="s">
        <v>478</v>
      </c>
      <c r="H3022" t="s">
        <v>600</v>
      </c>
      <c r="I3022" t="s">
        <v>601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hidden="1">
      <c r="A3023" t="s">
        <v>18812</v>
      </c>
      <c r="B3023" t="s">
        <v>1162</v>
      </c>
      <c r="C3023" t="s">
        <v>1079</v>
      </c>
      <c r="D3023" t="s">
        <v>1156</v>
      </c>
      <c r="E3023" t="s">
        <v>1103</v>
      </c>
      <c r="F3023" t="s">
        <v>598</v>
      </c>
      <c r="G3023" t="s">
        <v>478</v>
      </c>
      <c r="H3023" t="s">
        <v>600</v>
      </c>
      <c r="I3023" t="s">
        <v>601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hidden="1">
      <c r="A3024" t="s">
        <v>18812</v>
      </c>
      <c r="B3024" t="s">
        <v>1185</v>
      </c>
      <c r="C3024" t="s">
        <v>1079</v>
      </c>
      <c r="D3024" t="s">
        <v>1180</v>
      </c>
      <c r="E3024" t="s">
        <v>1101</v>
      </c>
      <c r="F3024" t="s">
        <v>598</v>
      </c>
      <c r="G3024" t="s">
        <v>478</v>
      </c>
      <c r="H3024" t="s">
        <v>600</v>
      </c>
      <c r="I3024" t="s">
        <v>601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hidden="1">
      <c r="A3025" t="s">
        <v>18812</v>
      </c>
      <c r="B3025" t="s">
        <v>1186</v>
      </c>
      <c r="C3025" t="s">
        <v>1079</v>
      </c>
      <c r="D3025" t="s">
        <v>1180</v>
      </c>
      <c r="E3025" t="s">
        <v>1103</v>
      </c>
      <c r="F3025" t="s">
        <v>598</v>
      </c>
      <c r="G3025" t="s">
        <v>478</v>
      </c>
      <c r="H3025" t="s">
        <v>600</v>
      </c>
      <c r="I3025" t="s">
        <v>601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hidden="1">
      <c r="A3026" t="s">
        <v>18812</v>
      </c>
      <c r="B3026" t="s">
        <v>1187</v>
      </c>
      <c r="C3026" t="s">
        <v>1079</v>
      </c>
      <c r="D3026" t="s">
        <v>1188</v>
      </c>
      <c r="E3026" t="s">
        <v>1018</v>
      </c>
      <c r="F3026" t="s">
        <v>598</v>
      </c>
      <c r="G3026" t="s">
        <v>478</v>
      </c>
      <c r="H3026" t="s">
        <v>600</v>
      </c>
      <c r="I3026" t="s">
        <v>601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hidden="1">
      <c r="A3027" t="s">
        <v>18812</v>
      </c>
      <c r="B3027" t="s">
        <v>1189</v>
      </c>
      <c r="C3027" t="s">
        <v>1079</v>
      </c>
      <c r="D3027" t="s">
        <v>1188</v>
      </c>
      <c r="E3027" t="s">
        <v>888</v>
      </c>
      <c r="F3027" t="s">
        <v>598</v>
      </c>
      <c r="G3027" t="s">
        <v>478</v>
      </c>
      <c r="H3027" t="s">
        <v>600</v>
      </c>
      <c r="I3027" t="s">
        <v>601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hidden="1">
      <c r="A3028" t="s">
        <v>18812</v>
      </c>
      <c r="B3028" t="s">
        <v>1190</v>
      </c>
      <c r="C3028" t="s">
        <v>1079</v>
      </c>
      <c r="D3028" t="s">
        <v>1188</v>
      </c>
      <c r="E3028" t="s">
        <v>1020</v>
      </c>
      <c r="F3028" t="s">
        <v>598</v>
      </c>
      <c r="G3028" t="s">
        <v>478</v>
      </c>
      <c r="H3028" t="s">
        <v>600</v>
      </c>
      <c r="I3028" t="s">
        <v>601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hidden="1">
      <c r="A3029" t="s">
        <v>18812</v>
      </c>
      <c r="B3029" t="s">
        <v>1203</v>
      </c>
      <c r="C3029" t="s">
        <v>1079</v>
      </c>
      <c r="D3029" t="s">
        <v>1188</v>
      </c>
      <c r="E3029" t="s">
        <v>1028</v>
      </c>
      <c r="F3029" t="s">
        <v>598</v>
      </c>
      <c r="G3029" t="s">
        <v>478</v>
      </c>
      <c r="H3029" t="s">
        <v>600</v>
      </c>
      <c r="I3029" t="s">
        <v>601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hidden="1">
      <c r="A3030" t="s">
        <v>18812</v>
      </c>
      <c r="B3030" t="s">
        <v>1204</v>
      </c>
      <c r="C3030" t="s">
        <v>1079</v>
      </c>
      <c r="D3030" t="s">
        <v>1188</v>
      </c>
      <c r="E3030" t="s">
        <v>630</v>
      </c>
      <c r="F3030" t="s">
        <v>598</v>
      </c>
      <c r="G3030" t="s">
        <v>478</v>
      </c>
      <c r="H3030" t="s">
        <v>600</v>
      </c>
      <c r="I3030" t="s">
        <v>601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hidden="1">
      <c r="A3031" t="s">
        <v>18812</v>
      </c>
      <c r="B3031" t="s">
        <v>1205</v>
      </c>
      <c r="C3031" t="s">
        <v>1079</v>
      </c>
      <c r="D3031" t="s">
        <v>1188</v>
      </c>
      <c r="E3031" t="s">
        <v>1206</v>
      </c>
      <c r="F3031" t="s">
        <v>598</v>
      </c>
      <c r="G3031" t="s">
        <v>478</v>
      </c>
      <c r="H3031" t="s">
        <v>600</v>
      </c>
      <c r="I3031" t="s">
        <v>601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hidden="1">
      <c r="A3032" t="s">
        <v>18812</v>
      </c>
      <c r="B3032" t="s">
        <v>1207</v>
      </c>
      <c r="C3032" t="s">
        <v>1079</v>
      </c>
      <c r="D3032" t="s">
        <v>1188</v>
      </c>
      <c r="E3032" t="s">
        <v>1033</v>
      </c>
      <c r="F3032" t="s">
        <v>598</v>
      </c>
      <c r="G3032" t="s">
        <v>478</v>
      </c>
      <c r="H3032" t="s">
        <v>600</v>
      </c>
      <c r="I3032" t="s">
        <v>601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hidden="1">
      <c r="A3033" t="s">
        <v>18812</v>
      </c>
      <c r="B3033" t="s">
        <v>1215</v>
      </c>
      <c r="C3033" t="s">
        <v>1079</v>
      </c>
      <c r="D3033" t="s">
        <v>1188</v>
      </c>
      <c r="E3033" t="s">
        <v>1216</v>
      </c>
      <c r="F3033" t="s">
        <v>598</v>
      </c>
      <c r="G3033" t="s">
        <v>478</v>
      </c>
      <c r="H3033" t="s">
        <v>600</v>
      </c>
      <c r="I3033" t="s">
        <v>601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hidden="1">
      <c r="A3034" t="s">
        <v>18812</v>
      </c>
      <c r="B3034" t="s">
        <v>1217</v>
      </c>
      <c r="C3034" t="s">
        <v>1079</v>
      </c>
      <c r="D3034" t="s">
        <v>1188</v>
      </c>
      <c r="E3034" t="s">
        <v>1106</v>
      </c>
      <c r="F3034" t="s">
        <v>598</v>
      </c>
      <c r="G3034" t="s">
        <v>478</v>
      </c>
      <c r="H3034" t="s">
        <v>600</v>
      </c>
      <c r="I3034" t="s">
        <v>601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hidden="1">
      <c r="A3035" t="s">
        <v>18812</v>
      </c>
      <c r="B3035" t="s">
        <v>1218</v>
      </c>
      <c r="C3035" t="s">
        <v>1079</v>
      </c>
      <c r="D3035" t="s">
        <v>1188</v>
      </c>
      <c r="E3035" t="s">
        <v>1219</v>
      </c>
      <c r="F3035" t="s">
        <v>598</v>
      </c>
      <c r="G3035" t="s">
        <v>478</v>
      </c>
      <c r="H3035" t="s">
        <v>600</v>
      </c>
      <c r="I3035" t="s">
        <v>601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hidden="1">
      <c r="A3036" t="s">
        <v>18812</v>
      </c>
      <c r="B3036" t="s">
        <v>1221</v>
      </c>
      <c r="C3036" t="s">
        <v>1079</v>
      </c>
      <c r="D3036" t="s">
        <v>648</v>
      </c>
      <c r="E3036" t="s">
        <v>1081</v>
      </c>
      <c r="F3036" t="s">
        <v>598</v>
      </c>
      <c r="G3036" t="s">
        <v>478</v>
      </c>
      <c r="H3036" t="s">
        <v>600</v>
      </c>
      <c r="I3036" t="s">
        <v>601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hidden="1">
      <c r="A3037" t="s">
        <v>18812</v>
      </c>
      <c r="B3037" t="s">
        <v>1222</v>
      </c>
      <c r="C3037" t="s">
        <v>1079</v>
      </c>
      <c r="D3037" t="s">
        <v>648</v>
      </c>
      <c r="E3037" t="s">
        <v>1091</v>
      </c>
      <c r="F3037" t="s">
        <v>598</v>
      </c>
      <c r="G3037" t="s">
        <v>478</v>
      </c>
      <c r="H3037" t="s">
        <v>600</v>
      </c>
      <c r="I3037" t="s">
        <v>601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hidden="1">
      <c r="A3038" t="s">
        <v>18812</v>
      </c>
      <c r="B3038" t="s">
        <v>1223</v>
      </c>
      <c r="C3038" t="s">
        <v>1079</v>
      </c>
      <c r="D3038" t="s">
        <v>648</v>
      </c>
      <c r="E3038" t="s">
        <v>1093</v>
      </c>
      <c r="F3038" t="s">
        <v>598</v>
      </c>
      <c r="G3038" t="s">
        <v>478</v>
      </c>
      <c r="H3038" t="s">
        <v>600</v>
      </c>
      <c r="I3038" t="s">
        <v>601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hidden="1">
      <c r="A3039" t="s">
        <v>18812</v>
      </c>
      <c r="B3039" t="s">
        <v>1225</v>
      </c>
      <c r="C3039" t="s">
        <v>1079</v>
      </c>
      <c r="D3039" t="s">
        <v>648</v>
      </c>
      <c r="E3039" t="s">
        <v>1097</v>
      </c>
      <c r="F3039" t="s">
        <v>598</v>
      </c>
      <c r="G3039" t="s">
        <v>478</v>
      </c>
      <c r="H3039" t="s">
        <v>600</v>
      </c>
      <c r="I3039" t="s">
        <v>601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hidden="1">
      <c r="A3040" t="s">
        <v>18812</v>
      </c>
      <c r="B3040" t="s">
        <v>1227</v>
      </c>
      <c r="C3040" t="s">
        <v>1079</v>
      </c>
      <c r="D3040" t="s">
        <v>648</v>
      </c>
      <c r="E3040" t="s">
        <v>1101</v>
      </c>
      <c r="F3040" t="s">
        <v>598</v>
      </c>
      <c r="G3040" t="s">
        <v>478</v>
      </c>
      <c r="H3040" t="s">
        <v>600</v>
      </c>
      <c r="I3040" t="s">
        <v>601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hidden="1">
      <c r="A3041" t="s">
        <v>18812</v>
      </c>
      <c r="B3041" t="s">
        <v>1228</v>
      </c>
      <c r="C3041" t="s">
        <v>1079</v>
      </c>
      <c r="D3041" t="s">
        <v>648</v>
      </c>
      <c r="E3041" t="s">
        <v>1103</v>
      </c>
      <c r="F3041" t="s">
        <v>598</v>
      </c>
      <c r="G3041" t="s">
        <v>478</v>
      </c>
      <c r="H3041" t="s">
        <v>600</v>
      </c>
      <c r="I3041" t="s">
        <v>601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hidden="1">
      <c r="A3042" t="s">
        <v>18812</v>
      </c>
      <c r="B3042" t="s">
        <v>1234</v>
      </c>
      <c r="C3042" t="s">
        <v>1230</v>
      </c>
      <c r="D3042" t="s">
        <v>1188</v>
      </c>
      <c r="E3042" t="s">
        <v>1004</v>
      </c>
      <c r="F3042" t="s">
        <v>598</v>
      </c>
      <c r="G3042" t="s">
        <v>478</v>
      </c>
      <c r="H3042" t="s">
        <v>600</v>
      </c>
      <c r="I3042" t="s">
        <v>601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hidden="1">
      <c r="A3043" t="s">
        <v>18812</v>
      </c>
      <c r="B3043" t="s">
        <v>1235</v>
      </c>
      <c r="C3043" t="s">
        <v>1230</v>
      </c>
      <c r="D3043" t="s">
        <v>1188</v>
      </c>
      <c r="E3043" t="s">
        <v>1219</v>
      </c>
      <c r="F3043" t="s">
        <v>598</v>
      </c>
      <c r="G3043" t="s">
        <v>478</v>
      </c>
      <c r="H3043" t="s">
        <v>600</v>
      </c>
      <c r="I3043" t="s">
        <v>601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hidden="1">
      <c r="A3044" t="s">
        <v>18812</v>
      </c>
      <c r="B3044" t="s">
        <v>1242</v>
      </c>
      <c r="C3044" t="s">
        <v>1230</v>
      </c>
      <c r="D3044" t="s">
        <v>1243</v>
      </c>
      <c r="E3044" t="s">
        <v>1004</v>
      </c>
      <c r="F3044" t="s">
        <v>598</v>
      </c>
      <c r="G3044" t="s">
        <v>478</v>
      </c>
      <c r="H3044" t="s">
        <v>600</v>
      </c>
      <c r="I3044" t="s">
        <v>601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hidden="1">
      <c r="A3045" t="s">
        <v>18812</v>
      </c>
      <c r="B3045" t="s">
        <v>1244</v>
      </c>
      <c r="C3045" t="s">
        <v>1230</v>
      </c>
      <c r="D3045" t="s">
        <v>1243</v>
      </c>
      <c r="E3045" t="s">
        <v>1239</v>
      </c>
      <c r="F3045" t="s">
        <v>598</v>
      </c>
      <c r="G3045" t="s">
        <v>478</v>
      </c>
      <c r="H3045" t="s">
        <v>600</v>
      </c>
      <c r="I3045" t="s">
        <v>601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hidden="1">
      <c r="A3046" t="s">
        <v>18812</v>
      </c>
      <c r="B3046" t="s">
        <v>1247</v>
      </c>
      <c r="C3046" t="s">
        <v>1230</v>
      </c>
      <c r="D3046" t="s">
        <v>1246</v>
      </c>
      <c r="E3046" t="s">
        <v>1239</v>
      </c>
      <c r="F3046" t="s">
        <v>598</v>
      </c>
      <c r="G3046" t="s">
        <v>478</v>
      </c>
      <c r="H3046" t="s">
        <v>600</v>
      </c>
      <c r="I3046" t="s">
        <v>601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hidden="1">
      <c r="A3047" t="s">
        <v>18812</v>
      </c>
      <c r="B3047" t="s">
        <v>1248</v>
      </c>
      <c r="C3047" t="s">
        <v>1230</v>
      </c>
      <c r="D3047" t="s">
        <v>1249</v>
      </c>
      <c r="E3047" t="s">
        <v>1239</v>
      </c>
      <c r="F3047" t="s">
        <v>598</v>
      </c>
      <c r="G3047" t="s">
        <v>478</v>
      </c>
      <c r="H3047" t="s">
        <v>600</v>
      </c>
      <c r="I3047" t="s">
        <v>601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hidden="1">
      <c r="A3048" t="s">
        <v>18812</v>
      </c>
      <c r="B3048" t="s">
        <v>1250</v>
      </c>
      <c r="C3048" t="s">
        <v>1230</v>
      </c>
      <c r="D3048" t="s">
        <v>648</v>
      </c>
      <c r="E3048" t="s">
        <v>1004</v>
      </c>
      <c r="F3048" t="s">
        <v>598</v>
      </c>
      <c r="G3048" t="s">
        <v>478</v>
      </c>
      <c r="H3048" t="s">
        <v>600</v>
      </c>
      <c r="I3048" t="s">
        <v>601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hidden="1">
      <c r="A3049" t="s">
        <v>18812</v>
      </c>
      <c r="B3049" t="s">
        <v>1252</v>
      </c>
      <c r="C3049" t="s">
        <v>1253</v>
      </c>
      <c r="D3049" t="s">
        <v>1254</v>
      </c>
      <c r="E3049" t="s">
        <v>1255</v>
      </c>
      <c r="F3049" t="s">
        <v>598</v>
      </c>
      <c r="G3049" t="s">
        <v>478</v>
      </c>
      <c r="H3049" t="s">
        <v>600</v>
      </c>
      <c r="I3049" t="s">
        <v>601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hidden="1">
      <c r="A3050" t="s">
        <v>18812</v>
      </c>
      <c r="B3050" t="s">
        <v>1256</v>
      </c>
      <c r="C3050" t="s">
        <v>1253</v>
      </c>
      <c r="D3050" t="s">
        <v>1254</v>
      </c>
      <c r="E3050" t="s">
        <v>1257</v>
      </c>
      <c r="F3050" t="s">
        <v>598</v>
      </c>
      <c r="G3050" t="s">
        <v>478</v>
      </c>
      <c r="H3050" t="s">
        <v>600</v>
      </c>
      <c r="I3050" t="s">
        <v>601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hidden="1">
      <c r="A3051" t="s">
        <v>18812</v>
      </c>
      <c r="B3051" t="s">
        <v>1258</v>
      </c>
      <c r="C3051" t="s">
        <v>1253</v>
      </c>
      <c r="D3051" t="s">
        <v>1254</v>
      </c>
      <c r="E3051" t="s">
        <v>1259</v>
      </c>
      <c r="F3051" t="s">
        <v>598</v>
      </c>
      <c r="G3051" t="s">
        <v>478</v>
      </c>
      <c r="H3051" t="s">
        <v>600</v>
      </c>
      <c r="I3051" t="s">
        <v>601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hidden="1">
      <c r="A3052" t="s">
        <v>18812</v>
      </c>
      <c r="B3052" t="s">
        <v>1263</v>
      </c>
      <c r="C3052" t="s">
        <v>1261</v>
      </c>
      <c r="D3052" t="s">
        <v>648</v>
      </c>
      <c r="E3052" t="s">
        <v>1264</v>
      </c>
      <c r="F3052" t="s">
        <v>598</v>
      </c>
      <c r="G3052" t="s">
        <v>478</v>
      </c>
      <c r="H3052" t="s">
        <v>600</v>
      </c>
      <c r="I3052" t="s">
        <v>601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hidden="1">
      <c r="A3053" t="s">
        <v>18812</v>
      </c>
      <c r="B3053" t="s">
        <v>1265</v>
      </c>
      <c r="C3053" t="s">
        <v>1261</v>
      </c>
      <c r="D3053" t="s">
        <v>648</v>
      </c>
      <c r="E3053" t="s">
        <v>1004</v>
      </c>
      <c r="F3053" t="s">
        <v>598</v>
      </c>
      <c r="G3053" t="s">
        <v>478</v>
      </c>
      <c r="H3053" t="s">
        <v>600</v>
      </c>
      <c r="I3053" t="s">
        <v>601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hidden="1">
      <c r="A3054" t="s">
        <v>18812</v>
      </c>
      <c r="B3054" t="s">
        <v>1266</v>
      </c>
      <c r="C3054" t="s">
        <v>1267</v>
      </c>
      <c r="D3054" t="s">
        <v>1268</v>
      </c>
      <c r="E3054" t="s">
        <v>597</v>
      </c>
      <c r="F3054" t="s">
        <v>598</v>
      </c>
      <c r="G3054" t="s">
        <v>478</v>
      </c>
      <c r="H3054" t="s">
        <v>600</v>
      </c>
      <c r="I3054" t="s">
        <v>601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hidden="1">
      <c r="A3055" t="s">
        <v>18812</v>
      </c>
      <c r="B3055" t="s">
        <v>1269</v>
      </c>
      <c r="C3055" t="s">
        <v>1267</v>
      </c>
      <c r="D3055" t="s">
        <v>1268</v>
      </c>
      <c r="E3055" t="s">
        <v>678</v>
      </c>
      <c r="F3055" t="s">
        <v>598</v>
      </c>
      <c r="G3055" t="s">
        <v>478</v>
      </c>
      <c r="H3055" t="s">
        <v>600</v>
      </c>
      <c r="I3055" t="s">
        <v>601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hidden="1">
      <c r="A3056" t="s">
        <v>18812</v>
      </c>
      <c r="B3056" t="s">
        <v>1270</v>
      </c>
      <c r="C3056" t="s">
        <v>1267</v>
      </c>
      <c r="D3056" t="s">
        <v>1271</v>
      </c>
      <c r="E3056" t="s">
        <v>672</v>
      </c>
      <c r="F3056" t="s">
        <v>598</v>
      </c>
      <c r="G3056" t="s">
        <v>478</v>
      </c>
      <c r="H3056" t="s">
        <v>600</v>
      </c>
      <c r="I3056" t="s">
        <v>601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hidden="1">
      <c r="A3057" t="s">
        <v>18812</v>
      </c>
      <c r="B3057" t="s">
        <v>1272</v>
      </c>
      <c r="C3057" t="s">
        <v>1267</v>
      </c>
      <c r="D3057" t="s">
        <v>1271</v>
      </c>
      <c r="E3057" t="s">
        <v>678</v>
      </c>
      <c r="F3057" t="s">
        <v>598</v>
      </c>
      <c r="G3057" t="s">
        <v>478</v>
      </c>
      <c r="H3057" t="s">
        <v>600</v>
      </c>
      <c r="I3057" t="s">
        <v>601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hidden="1">
      <c r="A3058" t="s">
        <v>18812</v>
      </c>
      <c r="B3058" t="s">
        <v>1273</v>
      </c>
      <c r="C3058" t="s">
        <v>1267</v>
      </c>
      <c r="D3058" t="s">
        <v>1274</v>
      </c>
      <c r="E3058" t="s">
        <v>672</v>
      </c>
      <c r="F3058" t="s">
        <v>598</v>
      </c>
      <c r="G3058" t="s">
        <v>478</v>
      </c>
      <c r="H3058" t="s">
        <v>600</v>
      </c>
      <c r="I3058" t="s">
        <v>601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hidden="1">
      <c r="A3059" t="s">
        <v>18812</v>
      </c>
      <c r="B3059" t="s">
        <v>1275</v>
      </c>
      <c r="C3059" t="s">
        <v>1267</v>
      </c>
      <c r="D3059" t="s">
        <v>1274</v>
      </c>
      <c r="E3059" t="s">
        <v>597</v>
      </c>
      <c r="F3059" t="s">
        <v>598</v>
      </c>
      <c r="G3059" t="s">
        <v>478</v>
      </c>
      <c r="H3059" t="s">
        <v>600</v>
      </c>
      <c r="I3059" t="s">
        <v>601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hidden="1">
      <c r="A3060" t="s">
        <v>18812</v>
      </c>
      <c r="B3060" t="s">
        <v>1276</v>
      </c>
      <c r="C3060" t="s">
        <v>1267</v>
      </c>
      <c r="D3060" t="s">
        <v>1274</v>
      </c>
      <c r="E3060" t="s">
        <v>678</v>
      </c>
      <c r="F3060" t="s">
        <v>598</v>
      </c>
      <c r="G3060" t="s">
        <v>478</v>
      </c>
      <c r="H3060" t="s">
        <v>600</v>
      </c>
      <c r="I3060" t="s">
        <v>601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hidden="1">
      <c r="A3061" t="s">
        <v>18812</v>
      </c>
      <c r="B3061" t="s">
        <v>1277</v>
      </c>
      <c r="C3061" t="s">
        <v>1267</v>
      </c>
      <c r="D3061" t="s">
        <v>1278</v>
      </c>
      <c r="E3061" t="s">
        <v>672</v>
      </c>
      <c r="F3061" t="s">
        <v>598</v>
      </c>
      <c r="G3061" t="s">
        <v>478</v>
      </c>
      <c r="H3061" t="s">
        <v>600</v>
      </c>
      <c r="I3061" t="s">
        <v>601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hidden="1">
      <c r="A3062" t="s">
        <v>18812</v>
      </c>
      <c r="B3062" t="s">
        <v>1279</v>
      </c>
      <c r="C3062" t="s">
        <v>1267</v>
      </c>
      <c r="D3062" t="s">
        <v>1278</v>
      </c>
      <c r="E3062" t="s">
        <v>678</v>
      </c>
      <c r="F3062" t="s">
        <v>598</v>
      </c>
      <c r="G3062" t="s">
        <v>478</v>
      </c>
      <c r="H3062" t="s">
        <v>600</v>
      </c>
      <c r="I3062" t="s">
        <v>601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hidden="1">
      <c r="A3063" t="s">
        <v>18812</v>
      </c>
      <c r="B3063" t="s">
        <v>1280</v>
      </c>
      <c r="C3063" t="s">
        <v>1267</v>
      </c>
      <c r="D3063" t="s">
        <v>1281</v>
      </c>
      <c r="E3063" t="s">
        <v>672</v>
      </c>
      <c r="F3063" t="s">
        <v>598</v>
      </c>
      <c r="G3063" t="s">
        <v>478</v>
      </c>
      <c r="H3063" t="s">
        <v>600</v>
      </c>
      <c r="I3063" t="s">
        <v>601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hidden="1">
      <c r="A3064" t="s">
        <v>18812</v>
      </c>
      <c r="B3064" t="s">
        <v>1282</v>
      </c>
      <c r="C3064" t="s">
        <v>1267</v>
      </c>
      <c r="D3064" t="s">
        <v>1281</v>
      </c>
      <c r="E3064" t="s">
        <v>597</v>
      </c>
      <c r="F3064" t="s">
        <v>598</v>
      </c>
      <c r="G3064" t="s">
        <v>478</v>
      </c>
      <c r="H3064" t="s">
        <v>600</v>
      </c>
      <c r="I3064" t="s">
        <v>601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hidden="1">
      <c r="A3065" t="s">
        <v>18812</v>
      </c>
      <c r="B3065" t="s">
        <v>1283</v>
      </c>
      <c r="C3065" t="s">
        <v>1267</v>
      </c>
      <c r="D3065" t="s">
        <v>1281</v>
      </c>
      <c r="E3065" t="s">
        <v>678</v>
      </c>
      <c r="F3065" t="s">
        <v>598</v>
      </c>
      <c r="G3065" t="s">
        <v>478</v>
      </c>
      <c r="H3065" t="s">
        <v>600</v>
      </c>
      <c r="I3065" t="s">
        <v>601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hidden="1">
      <c r="A3066" t="s">
        <v>18812</v>
      </c>
      <c r="B3066" t="s">
        <v>1284</v>
      </c>
      <c r="C3066" t="s">
        <v>1267</v>
      </c>
      <c r="D3066" t="s">
        <v>1285</v>
      </c>
      <c r="E3066" t="s">
        <v>678</v>
      </c>
      <c r="F3066" t="s">
        <v>598</v>
      </c>
      <c r="G3066" t="s">
        <v>478</v>
      </c>
      <c r="H3066" t="s">
        <v>600</v>
      </c>
      <c r="I3066" t="s">
        <v>601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hidden="1">
      <c r="A3067" t="s">
        <v>18812</v>
      </c>
      <c r="B3067" t="s">
        <v>1286</v>
      </c>
      <c r="C3067" t="s">
        <v>1267</v>
      </c>
      <c r="D3067" t="s">
        <v>1287</v>
      </c>
      <c r="E3067" t="s">
        <v>597</v>
      </c>
      <c r="F3067" t="s">
        <v>598</v>
      </c>
      <c r="G3067" t="s">
        <v>478</v>
      </c>
      <c r="H3067" t="s">
        <v>600</v>
      </c>
      <c r="I3067" t="s">
        <v>601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hidden="1">
      <c r="A3068" t="s">
        <v>18812</v>
      </c>
      <c r="B3068" t="s">
        <v>1288</v>
      </c>
      <c r="C3068" t="s">
        <v>1267</v>
      </c>
      <c r="D3068" t="s">
        <v>1287</v>
      </c>
      <c r="E3068" t="s">
        <v>678</v>
      </c>
      <c r="F3068" t="s">
        <v>598</v>
      </c>
      <c r="G3068" t="s">
        <v>478</v>
      </c>
      <c r="H3068" t="s">
        <v>600</v>
      </c>
      <c r="I3068" t="s">
        <v>601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hidden="1">
      <c r="A3069" t="s">
        <v>18812</v>
      </c>
      <c r="B3069" t="s">
        <v>1291</v>
      </c>
      <c r="C3069" t="s">
        <v>1267</v>
      </c>
      <c r="D3069" t="s">
        <v>1290</v>
      </c>
      <c r="E3069" t="s">
        <v>678</v>
      </c>
      <c r="F3069" t="s">
        <v>598</v>
      </c>
      <c r="G3069" t="s">
        <v>478</v>
      </c>
      <c r="H3069" t="s">
        <v>600</v>
      </c>
      <c r="I3069" t="s">
        <v>601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hidden="1">
      <c r="A3070" t="s">
        <v>18812</v>
      </c>
      <c r="B3070" t="s">
        <v>1292</v>
      </c>
      <c r="C3070" t="s">
        <v>1267</v>
      </c>
      <c r="D3070" t="s">
        <v>1293</v>
      </c>
      <c r="E3070" t="s">
        <v>672</v>
      </c>
      <c r="F3070" t="s">
        <v>598</v>
      </c>
      <c r="G3070" t="s">
        <v>478</v>
      </c>
      <c r="H3070" t="s">
        <v>600</v>
      </c>
      <c r="I3070" t="s">
        <v>601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hidden="1">
      <c r="A3071" t="s">
        <v>18812</v>
      </c>
      <c r="B3071" t="s">
        <v>1294</v>
      </c>
      <c r="C3071" t="s">
        <v>1267</v>
      </c>
      <c r="D3071" t="s">
        <v>1293</v>
      </c>
      <c r="E3071" t="s">
        <v>678</v>
      </c>
      <c r="F3071" t="s">
        <v>598</v>
      </c>
      <c r="G3071" t="s">
        <v>478</v>
      </c>
      <c r="H3071" t="s">
        <v>600</v>
      </c>
      <c r="I3071" t="s">
        <v>601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hidden="1">
      <c r="A3072" t="s">
        <v>18812</v>
      </c>
      <c r="B3072" t="s">
        <v>1295</v>
      </c>
      <c r="C3072" t="s">
        <v>1267</v>
      </c>
      <c r="D3072" t="s">
        <v>1296</v>
      </c>
      <c r="E3072" t="s">
        <v>678</v>
      </c>
      <c r="F3072" t="s">
        <v>598</v>
      </c>
      <c r="G3072" t="s">
        <v>478</v>
      </c>
      <c r="H3072" t="s">
        <v>600</v>
      </c>
      <c r="I3072" t="s">
        <v>601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hidden="1">
      <c r="A3073" t="s">
        <v>18812</v>
      </c>
      <c r="B3073" t="s">
        <v>1297</v>
      </c>
      <c r="C3073" t="s">
        <v>1267</v>
      </c>
      <c r="D3073" t="s">
        <v>1298</v>
      </c>
      <c r="E3073" t="s">
        <v>672</v>
      </c>
      <c r="F3073" t="s">
        <v>598</v>
      </c>
      <c r="G3073" t="s">
        <v>478</v>
      </c>
      <c r="H3073" t="s">
        <v>600</v>
      </c>
      <c r="I3073" t="s">
        <v>601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hidden="1">
      <c r="A3074" t="s">
        <v>18812</v>
      </c>
      <c r="B3074" t="s">
        <v>1303</v>
      </c>
      <c r="C3074" t="s">
        <v>1267</v>
      </c>
      <c r="D3074" t="s">
        <v>1302</v>
      </c>
      <c r="E3074" t="s">
        <v>678</v>
      </c>
      <c r="F3074" t="s">
        <v>598</v>
      </c>
      <c r="G3074" t="s">
        <v>478</v>
      </c>
      <c r="H3074" t="s">
        <v>600</v>
      </c>
      <c r="I3074" t="s">
        <v>601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hidden="1">
      <c r="A3075" t="s">
        <v>18812</v>
      </c>
      <c r="B3075" t="s">
        <v>1304</v>
      </c>
      <c r="C3075" t="s">
        <v>1267</v>
      </c>
      <c r="D3075" t="s">
        <v>1305</v>
      </c>
      <c r="E3075" t="s">
        <v>672</v>
      </c>
      <c r="F3075" t="s">
        <v>598</v>
      </c>
      <c r="G3075" t="s">
        <v>478</v>
      </c>
      <c r="H3075" t="s">
        <v>600</v>
      </c>
      <c r="I3075" t="s">
        <v>601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hidden="1">
      <c r="A3076" t="s">
        <v>18812</v>
      </c>
      <c r="B3076" t="s">
        <v>1307</v>
      </c>
      <c r="C3076" t="s">
        <v>1267</v>
      </c>
      <c r="D3076" t="s">
        <v>1305</v>
      </c>
      <c r="E3076" t="s">
        <v>678</v>
      </c>
      <c r="F3076" t="s">
        <v>598</v>
      </c>
      <c r="G3076" t="s">
        <v>478</v>
      </c>
      <c r="H3076" t="s">
        <v>600</v>
      </c>
      <c r="I3076" t="s">
        <v>601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hidden="1">
      <c r="A3077" t="s">
        <v>18812</v>
      </c>
      <c r="B3077" t="s">
        <v>1308</v>
      </c>
      <c r="C3077" t="s">
        <v>1267</v>
      </c>
      <c r="D3077" t="s">
        <v>1309</v>
      </c>
      <c r="E3077" t="s">
        <v>672</v>
      </c>
      <c r="F3077" t="s">
        <v>598</v>
      </c>
      <c r="G3077" t="s">
        <v>478</v>
      </c>
      <c r="H3077" t="s">
        <v>600</v>
      </c>
      <c r="I3077" t="s">
        <v>601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hidden="1">
      <c r="A3078" t="s">
        <v>18812</v>
      </c>
      <c r="B3078" t="s">
        <v>1310</v>
      </c>
      <c r="C3078" t="s">
        <v>1267</v>
      </c>
      <c r="D3078" t="s">
        <v>1311</v>
      </c>
      <c r="E3078" t="s">
        <v>597</v>
      </c>
      <c r="F3078" t="s">
        <v>598</v>
      </c>
      <c r="G3078" t="s">
        <v>478</v>
      </c>
      <c r="H3078" t="s">
        <v>600</v>
      </c>
      <c r="I3078" t="s">
        <v>601</v>
      </c>
      <c r="J3078">
        <v>5.1999999999999998E-2</v>
      </c>
      <c r="K3078">
        <v>5.0700000000000002E-2</v>
      </c>
      <c r="L3078">
        <v>4.9500000000000002E-2</v>
      </c>
      <c r="M3078">
        <v>4.8300000000000003E-2</v>
      </c>
      <c r="N3078">
        <v>4.7E-2</v>
      </c>
      <c r="O3078">
        <v>4.58E-2</v>
      </c>
      <c r="P3078">
        <v>4.5199999999999997E-2</v>
      </c>
      <c r="Q3078">
        <v>4.4600000000000001E-2</v>
      </c>
      <c r="R3078">
        <v>4.3700000000000003E-2</v>
      </c>
      <c r="S3078">
        <v>4.3099999999999999E-2</v>
      </c>
      <c r="T3078">
        <v>4.2299999999999997E-2</v>
      </c>
      <c r="U3078">
        <v>4.1599999999999998E-2</v>
      </c>
      <c r="V3078">
        <v>4.1000000000000002E-2</v>
      </c>
      <c r="W3078">
        <v>4.02E-2</v>
      </c>
      <c r="X3078">
        <v>3.95E-2</v>
      </c>
      <c r="Y3078">
        <v>3.8899999999999997E-2</v>
      </c>
    </row>
    <row r="3079" spans="1:25" hidden="1">
      <c r="A3079" t="s">
        <v>18812</v>
      </c>
      <c r="B3079" t="s">
        <v>1313</v>
      </c>
      <c r="C3079" t="s">
        <v>1267</v>
      </c>
      <c r="D3079" t="s">
        <v>1311</v>
      </c>
      <c r="E3079" t="s">
        <v>605</v>
      </c>
      <c r="F3079" t="s">
        <v>598</v>
      </c>
      <c r="G3079" t="s">
        <v>478</v>
      </c>
      <c r="H3079" t="s">
        <v>600</v>
      </c>
      <c r="I3079" t="s">
        <v>601</v>
      </c>
      <c r="J3079">
        <v>4.8899999999999999E-2</v>
      </c>
      <c r="K3079">
        <v>4.7899999999999998E-2</v>
      </c>
      <c r="L3079">
        <v>4.6699999999999998E-2</v>
      </c>
      <c r="M3079">
        <v>4.5600000000000002E-2</v>
      </c>
      <c r="N3079">
        <v>4.4499999999999998E-2</v>
      </c>
      <c r="O3079">
        <v>4.3400000000000001E-2</v>
      </c>
      <c r="P3079">
        <v>4.2700000000000002E-2</v>
      </c>
      <c r="Q3079">
        <v>4.2000000000000003E-2</v>
      </c>
      <c r="R3079">
        <v>4.1300000000000003E-2</v>
      </c>
      <c r="S3079">
        <v>4.0599999999999997E-2</v>
      </c>
      <c r="T3079">
        <v>3.9699999999999999E-2</v>
      </c>
      <c r="U3079">
        <v>3.9100000000000003E-2</v>
      </c>
      <c r="V3079">
        <v>3.8399999999999997E-2</v>
      </c>
      <c r="W3079">
        <v>3.7699999999999997E-2</v>
      </c>
      <c r="X3079">
        <v>3.6999999999999998E-2</v>
      </c>
      <c r="Y3079">
        <v>3.6400000000000002E-2</v>
      </c>
    </row>
    <row r="3080" spans="1:25" hidden="1">
      <c r="A3080" t="s">
        <v>18812</v>
      </c>
      <c r="B3080" t="s">
        <v>1314</v>
      </c>
      <c r="C3080" t="s">
        <v>1267</v>
      </c>
      <c r="D3080" t="s">
        <v>1311</v>
      </c>
      <c r="E3080" t="s">
        <v>678</v>
      </c>
      <c r="F3080" t="s">
        <v>598</v>
      </c>
      <c r="G3080" t="s">
        <v>478</v>
      </c>
      <c r="H3080" t="s">
        <v>600</v>
      </c>
      <c r="I3080" t="s">
        <v>601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hidden="1">
      <c r="A3081" t="s">
        <v>18812</v>
      </c>
      <c r="B3081" t="s">
        <v>1317</v>
      </c>
      <c r="C3081" t="s">
        <v>1267</v>
      </c>
      <c r="D3081" t="s">
        <v>1316</v>
      </c>
      <c r="E3081" t="s">
        <v>1318</v>
      </c>
      <c r="F3081" t="s">
        <v>598</v>
      </c>
      <c r="G3081" t="s">
        <v>478</v>
      </c>
      <c r="H3081" t="s">
        <v>600</v>
      </c>
      <c r="I3081" t="s">
        <v>601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hidden="1">
      <c r="A3082" t="s">
        <v>18812</v>
      </c>
      <c r="B3082" t="s">
        <v>1319</v>
      </c>
      <c r="C3082" t="s">
        <v>1267</v>
      </c>
      <c r="D3082" t="s">
        <v>1320</v>
      </c>
      <c r="E3082" t="s">
        <v>678</v>
      </c>
      <c r="F3082" t="s">
        <v>598</v>
      </c>
      <c r="G3082" t="s">
        <v>478</v>
      </c>
      <c r="H3082" t="s">
        <v>600</v>
      </c>
      <c r="I3082" t="s">
        <v>601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hidden="1">
      <c r="A3083" t="s">
        <v>18812</v>
      </c>
      <c r="B3083" t="s">
        <v>1321</v>
      </c>
      <c r="C3083" t="s">
        <v>1267</v>
      </c>
      <c r="D3083" t="s">
        <v>1322</v>
      </c>
      <c r="E3083" t="s">
        <v>672</v>
      </c>
      <c r="F3083" t="s">
        <v>598</v>
      </c>
      <c r="G3083" t="s">
        <v>478</v>
      </c>
      <c r="H3083" t="s">
        <v>600</v>
      </c>
      <c r="I3083" t="s">
        <v>601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hidden="1">
      <c r="A3084" t="s">
        <v>18812</v>
      </c>
      <c r="B3084" t="s">
        <v>1329</v>
      </c>
      <c r="C3084" t="s">
        <v>1267</v>
      </c>
      <c r="D3084" t="s">
        <v>1324</v>
      </c>
      <c r="E3084" t="s">
        <v>1318</v>
      </c>
      <c r="F3084" t="s">
        <v>598</v>
      </c>
      <c r="G3084" t="s">
        <v>478</v>
      </c>
      <c r="H3084" t="s">
        <v>600</v>
      </c>
      <c r="I3084" t="s">
        <v>601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hidden="1">
      <c r="A3085" t="s">
        <v>18812</v>
      </c>
      <c r="B3085" t="s">
        <v>1335</v>
      </c>
      <c r="C3085" t="s">
        <v>1267</v>
      </c>
      <c r="D3085" t="s">
        <v>1332</v>
      </c>
      <c r="E3085" t="s">
        <v>1326</v>
      </c>
      <c r="F3085" t="s">
        <v>598</v>
      </c>
      <c r="G3085" t="s">
        <v>478</v>
      </c>
      <c r="H3085" t="s">
        <v>600</v>
      </c>
      <c r="I3085" t="s">
        <v>601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hidden="1">
      <c r="A3086" t="s">
        <v>18812</v>
      </c>
      <c r="B3086" t="s">
        <v>1338</v>
      </c>
      <c r="C3086" t="s">
        <v>1267</v>
      </c>
      <c r="D3086" t="s">
        <v>1332</v>
      </c>
      <c r="E3086" t="s">
        <v>1318</v>
      </c>
      <c r="F3086" t="s">
        <v>598</v>
      </c>
      <c r="G3086" t="s">
        <v>478</v>
      </c>
      <c r="H3086" t="s">
        <v>600</v>
      </c>
      <c r="I3086" t="s">
        <v>601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hidden="1">
      <c r="A3087" t="s">
        <v>18812</v>
      </c>
      <c r="B3087" t="s">
        <v>1351</v>
      </c>
      <c r="C3087" t="s">
        <v>1267</v>
      </c>
      <c r="D3087" t="s">
        <v>1352</v>
      </c>
      <c r="E3087" t="s">
        <v>672</v>
      </c>
      <c r="F3087" t="s">
        <v>598</v>
      </c>
      <c r="G3087" t="s">
        <v>478</v>
      </c>
      <c r="H3087" t="s">
        <v>600</v>
      </c>
      <c r="I3087" t="s">
        <v>601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hidden="1">
      <c r="A3088" t="s">
        <v>18812</v>
      </c>
      <c r="B3088" t="s">
        <v>1353</v>
      </c>
      <c r="C3088" t="s">
        <v>1267</v>
      </c>
      <c r="D3088" t="s">
        <v>1354</v>
      </c>
      <c r="E3088" t="s">
        <v>672</v>
      </c>
      <c r="F3088" t="s">
        <v>598</v>
      </c>
      <c r="G3088" t="s">
        <v>478</v>
      </c>
      <c r="H3088" t="s">
        <v>600</v>
      </c>
      <c r="I3088" t="s">
        <v>601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hidden="1">
      <c r="A3089" t="s">
        <v>18812</v>
      </c>
      <c r="B3089" t="s">
        <v>1355</v>
      </c>
      <c r="C3089" t="s">
        <v>1267</v>
      </c>
      <c r="D3089" t="s">
        <v>1354</v>
      </c>
      <c r="E3089" t="s">
        <v>678</v>
      </c>
      <c r="F3089" t="s">
        <v>598</v>
      </c>
      <c r="G3089" t="s">
        <v>478</v>
      </c>
      <c r="H3089" t="s">
        <v>600</v>
      </c>
      <c r="I3089" t="s">
        <v>601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hidden="1">
      <c r="A3090" t="s">
        <v>18812</v>
      </c>
      <c r="B3090" t="s">
        <v>1358</v>
      </c>
      <c r="C3090" t="s">
        <v>1267</v>
      </c>
      <c r="D3090" t="s">
        <v>1359</v>
      </c>
      <c r="E3090" t="s">
        <v>678</v>
      </c>
      <c r="F3090" t="s">
        <v>598</v>
      </c>
      <c r="G3090" t="s">
        <v>478</v>
      </c>
      <c r="H3090" t="s">
        <v>600</v>
      </c>
      <c r="I3090" t="s">
        <v>601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hidden="1">
      <c r="A3091" t="s">
        <v>18812</v>
      </c>
      <c r="B3091" t="s">
        <v>1362</v>
      </c>
      <c r="C3091" t="s">
        <v>1267</v>
      </c>
      <c r="D3091" t="s">
        <v>1363</v>
      </c>
      <c r="E3091" t="s">
        <v>597</v>
      </c>
      <c r="F3091" t="s">
        <v>598</v>
      </c>
      <c r="G3091" t="s">
        <v>478</v>
      </c>
      <c r="H3091" t="s">
        <v>600</v>
      </c>
      <c r="I3091" t="s">
        <v>601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hidden="1">
      <c r="A3092" t="s">
        <v>18812</v>
      </c>
      <c r="B3092" t="s">
        <v>1364</v>
      </c>
      <c r="C3092" t="s">
        <v>1267</v>
      </c>
      <c r="D3092" t="s">
        <v>1365</v>
      </c>
      <c r="E3092" t="s">
        <v>626</v>
      </c>
      <c r="F3092" t="s">
        <v>598</v>
      </c>
      <c r="G3092" t="s">
        <v>478</v>
      </c>
      <c r="H3092" t="s">
        <v>600</v>
      </c>
      <c r="I3092" t="s">
        <v>601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hidden="1">
      <c r="A3093" t="s">
        <v>18812</v>
      </c>
      <c r="B3093" t="s">
        <v>1366</v>
      </c>
      <c r="C3093" t="s">
        <v>1267</v>
      </c>
      <c r="D3093" t="s">
        <v>1365</v>
      </c>
      <c r="E3093" t="s">
        <v>628</v>
      </c>
      <c r="F3093" t="s">
        <v>598</v>
      </c>
      <c r="G3093" t="s">
        <v>478</v>
      </c>
      <c r="H3093" t="s">
        <v>600</v>
      </c>
      <c r="I3093" t="s">
        <v>601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hidden="1">
      <c r="A3094" t="s">
        <v>18812</v>
      </c>
      <c r="B3094" t="s">
        <v>1367</v>
      </c>
      <c r="C3094" t="s">
        <v>1267</v>
      </c>
      <c r="D3094" t="s">
        <v>1365</v>
      </c>
      <c r="E3094" t="s">
        <v>888</v>
      </c>
      <c r="F3094" t="s">
        <v>598</v>
      </c>
      <c r="G3094" t="s">
        <v>478</v>
      </c>
      <c r="H3094" t="s">
        <v>600</v>
      </c>
      <c r="I3094" t="s">
        <v>601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hidden="1">
      <c r="A3095" t="s">
        <v>18812</v>
      </c>
      <c r="B3095" t="s">
        <v>1368</v>
      </c>
      <c r="C3095" t="s">
        <v>1267</v>
      </c>
      <c r="D3095" t="s">
        <v>1365</v>
      </c>
      <c r="E3095" t="s">
        <v>678</v>
      </c>
      <c r="F3095" t="s">
        <v>598</v>
      </c>
      <c r="G3095" t="s">
        <v>478</v>
      </c>
      <c r="H3095" t="s">
        <v>600</v>
      </c>
      <c r="I3095" t="s">
        <v>601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hidden="1">
      <c r="A3096" t="s">
        <v>18812</v>
      </c>
      <c r="B3096" t="s">
        <v>1369</v>
      </c>
      <c r="C3096" t="s">
        <v>1267</v>
      </c>
      <c r="D3096" t="s">
        <v>1370</v>
      </c>
      <c r="E3096" t="s">
        <v>672</v>
      </c>
      <c r="F3096" t="s">
        <v>598</v>
      </c>
      <c r="G3096" t="s">
        <v>478</v>
      </c>
      <c r="H3096" t="s">
        <v>600</v>
      </c>
      <c r="I3096" t="s">
        <v>601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hidden="1">
      <c r="A3097" t="s">
        <v>18812</v>
      </c>
      <c r="B3097" t="s">
        <v>1371</v>
      </c>
      <c r="C3097" t="s">
        <v>1267</v>
      </c>
      <c r="D3097" t="s">
        <v>1370</v>
      </c>
      <c r="E3097" t="s">
        <v>678</v>
      </c>
      <c r="F3097" t="s">
        <v>598</v>
      </c>
      <c r="G3097" t="s">
        <v>478</v>
      </c>
      <c r="H3097" t="s">
        <v>600</v>
      </c>
      <c r="I3097" t="s">
        <v>601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hidden="1">
      <c r="A3098" t="s">
        <v>18812</v>
      </c>
      <c r="B3098" t="s">
        <v>1373</v>
      </c>
      <c r="C3098" t="s">
        <v>1267</v>
      </c>
      <c r="D3098" t="s">
        <v>648</v>
      </c>
      <c r="E3098" t="s">
        <v>672</v>
      </c>
      <c r="F3098" t="s">
        <v>598</v>
      </c>
      <c r="G3098" t="s">
        <v>478</v>
      </c>
      <c r="H3098" t="s">
        <v>600</v>
      </c>
      <c r="I3098" t="s">
        <v>601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hidden="1">
      <c r="A3099" t="s">
        <v>18812</v>
      </c>
      <c r="B3099" t="s">
        <v>1374</v>
      </c>
      <c r="C3099" t="s">
        <v>1267</v>
      </c>
      <c r="D3099" t="s">
        <v>648</v>
      </c>
      <c r="E3099" t="s">
        <v>597</v>
      </c>
      <c r="F3099" t="s">
        <v>598</v>
      </c>
      <c r="G3099" t="s">
        <v>478</v>
      </c>
      <c r="H3099" t="s">
        <v>600</v>
      </c>
      <c r="I3099" t="s">
        <v>601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hidden="1">
      <c r="A3100" t="s">
        <v>18812</v>
      </c>
      <c r="B3100" t="s">
        <v>1376</v>
      </c>
      <c r="C3100" t="s">
        <v>1267</v>
      </c>
      <c r="D3100" t="s">
        <v>648</v>
      </c>
      <c r="E3100" t="s">
        <v>678</v>
      </c>
      <c r="F3100" t="s">
        <v>598</v>
      </c>
      <c r="G3100" t="s">
        <v>478</v>
      </c>
      <c r="H3100" t="s">
        <v>600</v>
      </c>
      <c r="I3100" t="s">
        <v>601</v>
      </c>
      <c r="J3100">
        <v>2.0000000000000001E-4</v>
      </c>
      <c r="K3100">
        <v>2.0000000000000001E-4</v>
      </c>
      <c r="L3100">
        <v>2.0000000000000001E-4</v>
      </c>
      <c r="M3100">
        <v>2.0000000000000001E-4</v>
      </c>
      <c r="N3100">
        <v>2.0000000000000001E-4</v>
      </c>
      <c r="O3100">
        <v>2.0000000000000001E-4</v>
      </c>
      <c r="P3100">
        <v>2.0000000000000001E-4</v>
      </c>
      <c r="Q3100">
        <v>2.0000000000000001E-4</v>
      </c>
      <c r="R3100">
        <v>2.0000000000000001E-4</v>
      </c>
      <c r="S3100">
        <v>2.0000000000000001E-4</v>
      </c>
      <c r="T3100">
        <v>2.0000000000000001E-4</v>
      </c>
      <c r="U3100">
        <v>2.0000000000000001E-4</v>
      </c>
      <c r="V3100">
        <v>2.0000000000000001E-4</v>
      </c>
      <c r="W3100">
        <v>2.0000000000000001E-4</v>
      </c>
      <c r="X3100">
        <v>2.0000000000000001E-4</v>
      </c>
      <c r="Y3100">
        <v>2.0000000000000001E-4</v>
      </c>
    </row>
    <row r="3101" spans="1:25" hidden="1">
      <c r="A3101" t="s">
        <v>18812</v>
      </c>
      <c r="B3101" t="s">
        <v>1377</v>
      </c>
      <c r="C3101" t="s">
        <v>1267</v>
      </c>
      <c r="D3101" t="s">
        <v>648</v>
      </c>
      <c r="E3101" t="s">
        <v>1378</v>
      </c>
      <c r="F3101" t="s">
        <v>598</v>
      </c>
      <c r="G3101" t="s">
        <v>478</v>
      </c>
      <c r="H3101" t="s">
        <v>600</v>
      </c>
      <c r="I3101" t="s">
        <v>601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 hidden="1">
      <c r="A3102" t="s">
        <v>18812</v>
      </c>
      <c r="B3102" t="s">
        <v>1379</v>
      </c>
      <c r="C3102" t="s">
        <v>1267</v>
      </c>
      <c r="D3102" t="s">
        <v>648</v>
      </c>
      <c r="E3102" t="s">
        <v>1380</v>
      </c>
      <c r="F3102" t="s">
        <v>598</v>
      </c>
      <c r="G3102" t="s">
        <v>478</v>
      </c>
      <c r="H3102" t="s">
        <v>600</v>
      </c>
      <c r="I3102" t="s">
        <v>601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hidden="1">
      <c r="A3103" t="s">
        <v>18812</v>
      </c>
      <c r="B3103" t="s">
        <v>1381</v>
      </c>
      <c r="C3103" t="s">
        <v>1382</v>
      </c>
      <c r="D3103" t="s">
        <v>1274</v>
      </c>
      <c r="E3103" t="s">
        <v>973</v>
      </c>
      <c r="F3103" t="s">
        <v>598</v>
      </c>
      <c r="G3103" t="s">
        <v>478</v>
      </c>
      <c r="H3103" t="s">
        <v>600</v>
      </c>
      <c r="I3103" t="s">
        <v>601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hidden="1">
      <c r="A3104" t="s">
        <v>18812</v>
      </c>
      <c r="B3104" t="s">
        <v>1383</v>
      </c>
      <c r="C3104" t="s">
        <v>1382</v>
      </c>
      <c r="D3104" t="s">
        <v>1281</v>
      </c>
      <c r="E3104" t="s">
        <v>973</v>
      </c>
      <c r="F3104" t="s">
        <v>598</v>
      </c>
      <c r="G3104" t="s">
        <v>478</v>
      </c>
      <c r="H3104" t="s">
        <v>600</v>
      </c>
      <c r="I3104" t="s">
        <v>601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hidden="1">
      <c r="A3105" t="s">
        <v>18812</v>
      </c>
      <c r="B3105" t="s">
        <v>1384</v>
      </c>
      <c r="C3105" t="s">
        <v>1382</v>
      </c>
      <c r="D3105" t="s">
        <v>1285</v>
      </c>
      <c r="E3105" t="s">
        <v>973</v>
      </c>
      <c r="F3105" t="s">
        <v>598</v>
      </c>
      <c r="G3105" t="s">
        <v>478</v>
      </c>
      <c r="H3105" t="s">
        <v>600</v>
      </c>
      <c r="I3105" t="s">
        <v>601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hidden="1">
      <c r="A3106" t="s">
        <v>18812</v>
      </c>
      <c r="B3106" t="s">
        <v>1388</v>
      </c>
      <c r="C3106" t="s">
        <v>1382</v>
      </c>
      <c r="D3106" t="s">
        <v>1311</v>
      </c>
      <c r="E3106" t="s">
        <v>597</v>
      </c>
      <c r="F3106" t="s">
        <v>598</v>
      </c>
      <c r="G3106" t="s">
        <v>478</v>
      </c>
      <c r="H3106" t="s">
        <v>600</v>
      </c>
      <c r="I3106" t="s">
        <v>601</v>
      </c>
      <c r="J3106">
        <v>4.0000000000000002E-4</v>
      </c>
      <c r="K3106">
        <v>4.0000000000000002E-4</v>
      </c>
      <c r="L3106">
        <v>4.0000000000000002E-4</v>
      </c>
      <c r="M3106">
        <v>4.0000000000000002E-4</v>
      </c>
      <c r="N3106">
        <v>4.0000000000000002E-4</v>
      </c>
      <c r="O3106">
        <v>4.0000000000000002E-4</v>
      </c>
      <c r="P3106">
        <v>4.0000000000000002E-4</v>
      </c>
      <c r="Q3106">
        <v>4.0000000000000002E-4</v>
      </c>
      <c r="R3106">
        <v>4.0000000000000002E-4</v>
      </c>
      <c r="S3106">
        <v>4.0000000000000002E-4</v>
      </c>
      <c r="T3106">
        <v>4.0000000000000002E-4</v>
      </c>
      <c r="U3106">
        <v>4.0000000000000002E-4</v>
      </c>
      <c r="V3106">
        <v>4.0000000000000002E-4</v>
      </c>
      <c r="W3106">
        <v>4.0000000000000002E-4</v>
      </c>
      <c r="X3106">
        <v>4.0000000000000002E-4</v>
      </c>
      <c r="Y3106">
        <v>4.0000000000000002E-4</v>
      </c>
    </row>
    <row r="3107" spans="1:25" hidden="1">
      <c r="A3107" t="s">
        <v>18812</v>
      </c>
      <c r="B3107" t="s">
        <v>1390</v>
      </c>
      <c r="C3107" t="s">
        <v>1382</v>
      </c>
      <c r="D3107" t="s">
        <v>1311</v>
      </c>
      <c r="E3107" t="s">
        <v>605</v>
      </c>
      <c r="F3107" t="s">
        <v>598</v>
      </c>
      <c r="G3107" t="s">
        <v>478</v>
      </c>
      <c r="H3107" t="s">
        <v>600</v>
      </c>
      <c r="I3107" t="s">
        <v>601</v>
      </c>
      <c r="J3107">
        <v>1.2200000000000001E-2</v>
      </c>
      <c r="K3107">
        <v>1.2200000000000001E-2</v>
      </c>
      <c r="L3107">
        <v>1.2200000000000001E-2</v>
      </c>
      <c r="M3107">
        <v>1.2200000000000001E-2</v>
      </c>
      <c r="N3107">
        <v>1.2200000000000001E-2</v>
      </c>
      <c r="O3107">
        <v>1.2200000000000001E-2</v>
      </c>
      <c r="P3107">
        <v>1.2200000000000001E-2</v>
      </c>
      <c r="Q3107">
        <v>1.2200000000000001E-2</v>
      </c>
      <c r="R3107">
        <v>1.2200000000000001E-2</v>
      </c>
      <c r="S3107">
        <v>1.2200000000000001E-2</v>
      </c>
      <c r="T3107">
        <v>1.2200000000000001E-2</v>
      </c>
      <c r="U3107">
        <v>1.2200000000000001E-2</v>
      </c>
      <c r="V3107">
        <v>1.2200000000000001E-2</v>
      </c>
      <c r="W3107">
        <v>1.2200000000000001E-2</v>
      </c>
      <c r="X3107">
        <v>1.2200000000000001E-2</v>
      </c>
      <c r="Y3107">
        <v>1.2200000000000001E-2</v>
      </c>
    </row>
    <row r="3108" spans="1:25" hidden="1">
      <c r="A3108" t="s">
        <v>18812</v>
      </c>
      <c r="B3108" t="s">
        <v>1403</v>
      </c>
      <c r="C3108" t="s">
        <v>1382</v>
      </c>
      <c r="D3108" t="s">
        <v>1316</v>
      </c>
      <c r="E3108" t="s">
        <v>892</v>
      </c>
      <c r="F3108" t="s">
        <v>598</v>
      </c>
      <c r="G3108" t="s">
        <v>478</v>
      </c>
      <c r="H3108" t="s">
        <v>600</v>
      </c>
      <c r="I3108" t="s">
        <v>601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hidden="1">
      <c r="A3109" t="s">
        <v>18812</v>
      </c>
      <c r="B3109" t="s">
        <v>1404</v>
      </c>
      <c r="C3109" t="s">
        <v>1382</v>
      </c>
      <c r="D3109" t="s">
        <v>1316</v>
      </c>
      <c r="E3109" t="s">
        <v>1318</v>
      </c>
      <c r="F3109" t="s">
        <v>598</v>
      </c>
      <c r="G3109" t="s">
        <v>478</v>
      </c>
      <c r="H3109" t="s">
        <v>600</v>
      </c>
      <c r="I3109" t="s">
        <v>601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hidden="1">
      <c r="A3110" t="s">
        <v>18812</v>
      </c>
      <c r="B3110" t="s">
        <v>1406</v>
      </c>
      <c r="C3110" t="s">
        <v>1382</v>
      </c>
      <c r="D3110" t="s">
        <v>1320</v>
      </c>
      <c r="E3110" t="s">
        <v>688</v>
      </c>
      <c r="F3110" t="s">
        <v>598</v>
      </c>
      <c r="G3110" t="s">
        <v>478</v>
      </c>
      <c r="H3110" t="s">
        <v>600</v>
      </c>
      <c r="I3110" t="s">
        <v>601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hidden="1">
      <c r="A3111" t="s">
        <v>18812</v>
      </c>
      <c r="B3111" t="s">
        <v>1409</v>
      </c>
      <c r="C3111" t="s">
        <v>1382</v>
      </c>
      <c r="D3111" t="s">
        <v>1320</v>
      </c>
      <c r="E3111" t="s">
        <v>750</v>
      </c>
      <c r="F3111" t="s">
        <v>598</v>
      </c>
      <c r="G3111" t="s">
        <v>478</v>
      </c>
      <c r="H3111" t="s">
        <v>600</v>
      </c>
      <c r="I3111" t="s">
        <v>601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hidden="1">
      <c r="A3112" t="s">
        <v>18812</v>
      </c>
      <c r="B3112" t="s">
        <v>1410</v>
      </c>
      <c r="C3112" t="s">
        <v>1382</v>
      </c>
      <c r="D3112" t="s">
        <v>1320</v>
      </c>
      <c r="E3112" t="s">
        <v>1402</v>
      </c>
      <c r="F3112" t="s">
        <v>598</v>
      </c>
      <c r="G3112" t="s">
        <v>478</v>
      </c>
      <c r="H3112" t="s">
        <v>600</v>
      </c>
      <c r="I3112" t="s">
        <v>601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hidden="1">
      <c r="A3113" t="s">
        <v>18812</v>
      </c>
      <c r="B3113" t="s">
        <v>1411</v>
      </c>
      <c r="C3113" t="s">
        <v>1382</v>
      </c>
      <c r="D3113" t="s">
        <v>1320</v>
      </c>
      <c r="E3113" t="s">
        <v>892</v>
      </c>
      <c r="F3113" t="s">
        <v>598</v>
      </c>
      <c r="G3113" t="s">
        <v>478</v>
      </c>
      <c r="H3113" t="s">
        <v>600</v>
      </c>
      <c r="I3113" t="s">
        <v>601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hidden="1">
      <c r="A3114" t="s">
        <v>18812</v>
      </c>
      <c r="B3114" t="s">
        <v>1418</v>
      </c>
      <c r="C3114" t="s">
        <v>1382</v>
      </c>
      <c r="D3114" t="s">
        <v>1324</v>
      </c>
      <c r="E3114" t="s">
        <v>1326</v>
      </c>
      <c r="F3114" t="s">
        <v>598</v>
      </c>
      <c r="G3114" t="s">
        <v>478</v>
      </c>
      <c r="H3114" t="s">
        <v>600</v>
      </c>
      <c r="I3114" t="s">
        <v>601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hidden="1">
      <c r="A3115" t="s">
        <v>18812</v>
      </c>
      <c r="B3115" t="s">
        <v>1421</v>
      </c>
      <c r="C3115" t="s">
        <v>1382</v>
      </c>
      <c r="D3115" t="s">
        <v>1324</v>
      </c>
      <c r="E3115" t="s">
        <v>1318</v>
      </c>
      <c r="F3115" t="s">
        <v>598</v>
      </c>
      <c r="G3115" t="s">
        <v>478</v>
      </c>
      <c r="H3115" t="s">
        <v>600</v>
      </c>
      <c r="I3115" t="s">
        <v>601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hidden="1">
      <c r="A3116" t="s">
        <v>18812</v>
      </c>
      <c r="B3116" t="s">
        <v>1424</v>
      </c>
      <c r="C3116" t="s">
        <v>1382</v>
      </c>
      <c r="D3116" t="s">
        <v>1332</v>
      </c>
      <c r="E3116" t="s">
        <v>688</v>
      </c>
      <c r="F3116" t="s">
        <v>598</v>
      </c>
      <c r="G3116" t="s">
        <v>478</v>
      </c>
      <c r="H3116" t="s">
        <v>600</v>
      </c>
      <c r="I3116" t="s">
        <v>601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hidden="1">
      <c r="A3117" t="s">
        <v>18812</v>
      </c>
      <c r="B3117" t="s">
        <v>1427</v>
      </c>
      <c r="C3117" t="s">
        <v>1382</v>
      </c>
      <c r="D3117" t="s">
        <v>1332</v>
      </c>
      <c r="E3117" t="s">
        <v>1326</v>
      </c>
      <c r="F3117" t="s">
        <v>598</v>
      </c>
      <c r="G3117" t="s">
        <v>478</v>
      </c>
      <c r="H3117" t="s">
        <v>600</v>
      </c>
      <c r="I3117" t="s">
        <v>601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hidden="1">
      <c r="A3118" t="s">
        <v>18812</v>
      </c>
      <c r="B3118" t="s">
        <v>1429</v>
      </c>
      <c r="C3118" t="s">
        <v>1382</v>
      </c>
      <c r="D3118" t="s">
        <v>1332</v>
      </c>
      <c r="E3118" t="s">
        <v>892</v>
      </c>
      <c r="F3118" t="s">
        <v>598</v>
      </c>
      <c r="G3118" t="s">
        <v>478</v>
      </c>
      <c r="H3118" t="s">
        <v>600</v>
      </c>
      <c r="I3118" t="s">
        <v>601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hidden="1">
      <c r="A3119" t="s">
        <v>18812</v>
      </c>
      <c r="B3119" t="s">
        <v>1430</v>
      </c>
      <c r="C3119" t="s">
        <v>1382</v>
      </c>
      <c r="D3119" t="s">
        <v>1332</v>
      </c>
      <c r="E3119" t="s">
        <v>1318</v>
      </c>
      <c r="F3119" t="s">
        <v>598</v>
      </c>
      <c r="G3119" t="s">
        <v>478</v>
      </c>
      <c r="H3119" t="s">
        <v>600</v>
      </c>
      <c r="I3119" t="s">
        <v>601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hidden="1">
      <c r="A3120" t="s">
        <v>18812</v>
      </c>
      <c r="B3120" t="s">
        <v>1434</v>
      </c>
      <c r="C3120" t="s">
        <v>1382</v>
      </c>
      <c r="D3120" t="s">
        <v>1435</v>
      </c>
      <c r="E3120" t="s">
        <v>973</v>
      </c>
      <c r="F3120" t="s">
        <v>598</v>
      </c>
      <c r="G3120" t="s">
        <v>478</v>
      </c>
      <c r="H3120" t="s">
        <v>600</v>
      </c>
      <c r="I3120" t="s">
        <v>601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hidden="1">
      <c r="A3121" t="s">
        <v>18812</v>
      </c>
      <c r="B3121" t="s">
        <v>1436</v>
      </c>
      <c r="C3121" t="s">
        <v>1382</v>
      </c>
      <c r="D3121" t="s">
        <v>1354</v>
      </c>
      <c r="E3121" t="s">
        <v>973</v>
      </c>
      <c r="F3121" t="s">
        <v>598</v>
      </c>
      <c r="G3121" t="s">
        <v>478</v>
      </c>
      <c r="H3121" t="s">
        <v>600</v>
      </c>
      <c r="I3121" t="s">
        <v>601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hidden="1">
      <c r="A3122" t="s">
        <v>18812</v>
      </c>
      <c r="B3122" t="s">
        <v>1442</v>
      </c>
      <c r="C3122" t="s">
        <v>1382</v>
      </c>
      <c r="D3122" t="s">
        <v>1443</v>
      </c>
      <c r="E3122" t="s">
        <v>611</v>
      </c>
      <c r="F3122" t="s">
        <v>598</v>
      </c>
      <c r="G3122" t="s">
        <v>478</v>
      </c>
      <c r="H3122" t="s">
        <v>600</v>
      </c>
      <c r="I3122" t="s">
        <v>601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hidden="1">
      <c r="A3123" t="s">
        <v>18812</v>
      </c>
      <c r="B3123" t="s">
        <v>1455</v>
      </c>
      <c r="C3123" t="s">
        <v>1382</v>
      </c>
      <c r="D3123" t="s">
        <v>1365</v>
      </c>
      <c r="E3123" t="s">
        <v>781</v>
      </c>
      <c r="F3123" t="s">
        <v>598</v>
      </c>
      <c r="G3123" t="s">
        <v>478</v>
      </c>
      <c r="H3123" t="s">
        <v>600</v>
      </c>
      <c r="I3123" t="s">
        <v>601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hidden="1">
      <c r="A3124" t="s">
        <v>18812</v>
      </c>
      <c r="B3124" t="s">
        <v>1456</v>
      </c>
      <c r="C3124" t="s">
        <v>1382</v>
      </c>
      <c r="D3124" t="s">
        <v>1365</v>
      </c>
      <c r="E3124" t="s">
        <v>678</v>
      </c>
      <c r="F3124" t="s">
        <v>598</v>
      </c>
      <c r="G3124" t="s">
        <v>478</v>
      </c>
      <c r="H3124" t="s">
        <v>600</v>
      </c>
      <c r="I3124" t="s">
        <v>601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hidden="1">
      <c r="A3125" t="s">
        <v>18812</v>
      </c>
      <c r="B3125" t="s">
        <v>1471</v>
      </c>
      <c r="C3125" t="s">
        <v>1472</v>
      </c>
      <c r="D3125" t="s">
        <v>1274</v>
      </c>
      <c r="E3125" t="s">
        <v>973</v>
      </c>
      <c r="F3125" t="s">
        <v>598</v>
      </c>
      <c r="G3125" t="s">
        <v>478</v>
      </c>
      <c r="H3125" t="s">
        <v>600</v>
      </c>
      <c r="I3125" t="s">
        <v>601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hidden="1">
      <c r="A3126" t="s">
        <v>18812</v>
      </c>
      <c r="B3126" t="s">
        <v>1473</v>
      </c>
      <c r="C3126" t="s">
        <v>1472</v>
      </c>
      <c r="D3126" t="s">
        <v>1274</v>
      </c>
      <c r="E3126" t="s">
        <v>597</v>
      </c>
      <c r="F3126" t="s">
        <v>598</v>
      </c>
      <c r="G3126" t="s">
        <v>478</v>
      </c>
      <c r="H3126" t="s">
        <v>600</v>
      </c>
      <c r="I3126" t="s">
        <v>601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hidden="1">
      <c r="A3127" t="s">
        <v>18812</v>
      </c>
      <c r="B3127" t="s">
        <v>1474</v>
      </c>
      <c r="C3127" t="s">
        <v>1472</v>
      </c>
      <c r="D3127" t="s">
        <v>1274</v>
      </c>
      <c r="E3127" t="s">
        <v>678</v>
      </c>
      <c r="F3127" t="s">
        <v>598</v>
      </c>
      <c r="G3127" t="s">
        <v>478</v>
      </c>
      <c r="H3127" t="s">
        <v>600</v>
      </c>
      <c r="I3127" t="s">
        <v>601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hidden="1">
      <c r="A3128" t="s">
        <v>18812</v>
      </c>
      <c r="B3128" t="s">
        <v>1475</v>
      </c>
      <c r="C3128" t="s">
        <v>1472</v>
      </c>
      <c r="D3128" t="s">
        <v>1281</v>
      </c>
      <c r="E3128" t="s">
        <v>678</v>
      </c>
      <c r="F3128" t="s">
        <v>598</v>
      </c>
      <c r="G3128" t="s">
        <v>478</v>
      </c>
      <c r="H3128" t="s">
        <v>600</v>
      </c>
      <c r="I3128" t="s">
        <v>601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hidden="1">
      <c r="A3129" t="s">
        <v>18812</v>
      </c>
      <c r="B3129" t="s">
        <v>1476</v>
      </c>
      <c r="C3129" t="s">
        <v>1472</v>
      </c>
      <c r="D3129" t="s">
        <v>1285</v>
      </c>
      <c r="E3129" t="s">
        <v>678</v>
      </c>
      <c r="F3129" t="s">
        <v>598</v>
      </c>
      <c r="G3129" t="s">
        <v>478</v>
      </c>
      <c r="H3129" t="s">
        <v>600</v>
      </c>
      <c r="I3129" t="s">
        <v>601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hidden="1">
      <c r="A3130" t="s">
        <v>18812</v>
      </c>
      <c r="B3130" t="s">
        <v>1480</v>
      </c>
      <c r="C3130" t="s">
        <v>1472</v>
      </c>
      <c r="D3130" t="s">
        <v>1305</v>
      </c>
      <c r="E3130" t="s">
        <v>678</v>
      </c>
      <c r="F3130" t="s">
        <v>598</v>
      </c>
      <c r="G3130" t="s">
        <v>478</v>
      </c>
      <c r="H3130" t="s">
        <v>600</v>
      </c>
      <c r="I3130" t="s">
        <v>601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hidden="1">
      <c r="A3131" t="s">
        <v>18812</v>
      </c>
      <c r="B3131" t="s">
        <v>1482</v>
      </c>
      <c r="C3131" t="s">
        <v>1472</v>
      </c>
      <c r="D3131" t="s">
        <v>1483</v>
      </c>
      <c r="E3131" t="s">
        <v>597</v>
      </c>
      <c r="F3131" t="s">
        <v>598</v>
      </c>
      <c r="G3131" t="s">
        <v>478</v>
      </c>
      <c r="H3131" t="s">
        <v>600</v>
      </c>
      <c r="I3131" t="s">
        <v>601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hidden="1">
      <c r="A3132" t="s">
        <v>18812</v>
      </c>
      <c r="B3132" t="s">
        <v>1484</v>
      </c>
      <c r="C3132" t="s">
        <v>1472</v>
      </c>
      <c r="D3132" t="s">
        <v>1485</v>
      </c>
      <c r="E3132" t="s">
        <v>642</v>
      </c>
      <c r="F3132" t="s">
        <v>598</v>
      </c>
      <c r="G3132" t="s">
        <v>478</v>
      </c>
      <c r="H3132" t="s">
        <v>600</v>
      </c>
      <c r="I3132" t="s">
        <v>601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hidden="1">
      <c r="A3133" t="s">
        <v>18812</v>
      </c>
      <c r="B3133" t="s">
        <v>1488</v>
      </c>
      <c r="C3133" t="s">
        <v>1472</v>
      </c>
      <c r="D3133" t="s">
        <v>1392</v>
      </c>
      <c r="E3133" t="s">
        <v>688</v>
      </c>
      <c r="F3133" t="s">
        <v>598</v>
      </c>
      <c r="G3133" t="s">
        <v>478</v>
      </c>
      <c r="H3133" t="s">
        <v>600</v>
      </c>
      <c r="I3133" t="s">
        <v>601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hidden="1">
      <c r="A3134" t="s">
        <v>18812</v>
      </c>
      <c r="B3134" t="s">
        <v>1498</v>
      </c>
      <c r="C3134" t="s">
        <v>1472</v>
      </c>
      <c r="D3134" t="s">
        <v>1316</v>
      </c>
      <c r="E3134" t="s">
        <v>1402</v>
      </c>
      <c r="F3134" t="s">
        <v>598</v>
      </c>
      <c r="G3134" t="s">
        <v>478</v>
      </c>
      <c r="H3134" t="s">
        <v>600</v>
      </c>
      <c r="I3134" t="s">
        <v>601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hidden="1">
      <c r="A3135" t="s">
        <v>18812</v>
      </c>
      <c r="B3135" t="s">
        <v>1501</v>
      </c>
      <c r="C3135" t="s">
        <v>1472</v>
      </c>
      <c r="D3135" t="s">
        <v>1316</v>
      </c>
      <c r="E3135" t="s">
        <v>1318</v>
      </c>
      <c r="F3135" t="s">
        <v>598</v>
      </c>
      <c r="G3135" t="s">
        <v>478</v>
      </c>
      <c r="H3135" t="s">
        <v>600</v>
      </c>
      <c r="I3135" t="s">
        <v>601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hidden="1">
      <c r="A3136" t="s">
        <v>18812</v>
      </c>
      <c r="B3136" t="s">
        <v>1509</v>
      </c>
      <c r="C3136" t="s">
        <v>1472</v>
      </c>
      <c r="D3136" t="s">
        <v>1320</v>
      </c>
      <c r="E3136" t="s">
        <v>678</v>
      </c>
      <c r="F3136" t="s">
        <v>598</v>
      </c>
      <c r="G3136" t="s">
        <v>478</v>
      </c>
      <c r="H3136" t="s">
        <v>600</v>
      </c>
      <c r="I3136" t="s">
        <v>601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hidden="1">
      <c r="A3137" t="s">
        <v>18812</v>
      </c>
      <c r="B3137" t="s">
        <v>1513</v>
      </c>
      <c r="C3137" t="s">
        <v>1472</v>
      </c>
      <c r="D3137" t="s">
        <v>1324</v>
      </c>
      <c r="E3137" t="s">
        <v>688</v>
      </c>
      <c r="F3137" t="s">
        <v>598</v>
      </c>
      <c r="G3137" t="s">
        <v>478</v>
      </c>
      <c r="H3137" t="s">
        <v>600</v>
      </c>
      <c r="I3137" t="s">
        <v>601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hidden="1">
      <c r="A3138" t="s">
        <v>18812</v>
      </c>
      <c r="B3138" t="s">
        <v>1514</v>
      </c>
      <c r="C3138" t="s">
        <v>1472</v>
      </c>
      <c r="D3138" t="s">
        <v>1324</v>
      </c>
      <c r="E3138" t="s">
        <v>1334</v>
      </c>
      <c r="F3138" t="s">
        <v>598</v>
      </c>
      <c r="G3138" t="s">
        <v>478</v>
      </c>
      <c r="H3138" t="s">
        <v>600</v>
      </c>
      <c r="I3138" t="s">
        <v>601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hidden="1">
      <c r="A3139" t="s">
        <v>18812</v>
      </c>
      <c r="B3139" t="s">
        <v>1524</v>
      </c>
      <c r="C3139" t="s">
        <v>1472</v>
      </c>
      <c r="D3139" t="s">
        <v>1324</v>
      </c>
      <c r="E3139" t="s">
        <v>1318</v>
      </c>
      <c r="F3139" t="s">
        <v>598</v>
      </c>
      <c r="G3139" t="s">
        <v>478</v>
      </c>
      <c r="H3139" t="s">
        <v>600</v>
      </c>
      <c r="I3139" t="s">
        <v>601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hidden="1">
      <c r="A3140" t="s">
        <v>18812</v>
      </c>
      <c r="B3140" t="s">
        <v>1527</v>
      </c>
      <c r="C3140" t="s">
        <v>1472</v>
      </c>
      <c r="D3140" t="s">
        <v>1332</v>
      </c>
      <c r="E3140" t="s">
        <v>1334</v>
      </c>
      <c r="F3140" t="s">
        <v>598</v>
      </c>
      <c r="G3140" t="s">
        <v>478</v>
      </c>
      <c r="H3140" t="s">
        <v>600</v>
      </c>
      <c r="I3140" t="s">
        <v>601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hidden="1">
      <c r="A3141" t="s">
        <v>18812</v>
      </c>
      <c r="B3141" t="s">
        <v>1538</v>
      </c>
      <c r="C3141" t="s">
        <v>1472</v>
      </c>
      <c r="D3141" t="s">
        <v>1332</v>
      </c>
      <c r="E3141" t="s">
        <v>1318</v>
      </c>
      <c r="F3141" t="s">
        <v>598</v>
      </c>
      <c r="G3141" t="s">
        <v>478</v>
      </c>
      <c r="H3141" t="s">
        <v>600</v>
      </c>
      <c r="I3141" t="s">
        <v>601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hidden="1">
      <c r="A3142" t="s">
        <v>18812</v>
      </c>
      <c r="B3142" t="s">
        <v>1540</v>
      </c>
      <c r="C3142" t="s">
        <v>1472</v>
      </c>
      <c r="D3142" t="s">
        <v>1348</v>
      </c>
      <c r="E3142" t="s">
        <v>1334</v>
      </c>
      <c r="F3142" t="s">
        <v>598</v>
      </c>
      <c r="G3142" t="s">
        <v>478</v>
      </c>
      <c r="H3142" t="s">
        <v>600</v>
      </c>
      <c r="I3142" t="s">
        <v>601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hidden="1">
      <c r="A3143" t="s">
        <v>18812</v>
      </c>
      <c r="B3143" t="s">
        <v>1545</v>
      </c>
      <c r="C3143" t="s">
        <v>1472</v>
      </c>
      <c r="D3143" t="s">
        <v>1348</v>
      </c>
      <c r="E3143" t="s">
        <v>1326</v>
      </c>
      <c r="F3143" t="s">
        <v>598</v>
      </c>
      <c r="G3143" t="s">
        <v>478</v>
      </c>
      <c r="H3143" t="s">
        <v>600</v>
      </c>
      <c r="I3143" t="s">
        <v>601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hidden="1">
      <c r="A3144" t="s">
        <v>18812</v>
      </c>
      <c r="B3144" t="s">
        <v>1566</v>
      </c>
      <c r="C3144" t="s">
        <v>1472</v>
      </c>
      <c r="D3144" t="s">
        <v>1567</v>
      </c>
      <c r="E3144" t="s">
        <v>626</v>
      </c>
      <c r="F3144" t="s">
        <v>598</v>
      </c>
      <c r="G3144" t="s">
        <v>478</v>
      </c>
      <c r="H3144" t="s">
        <v>600</v>
      </c>
      <c r="I3144" t="s">
        <v>601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hidden="1">
      <c r="A3145" t="s">
        <v>18812</v>
      </c>
      <c r="B3145" t="s">
        <v>1568</v>
      </c>
      <c r="C3145" t="s">
        <v>1472</v>
      </c>
      <c r="D3145" t="s">
        <v>1569</v>
      </c>
      <c r="E3145" t="s">
        <v>626</v>
      </c>
      <c r="F3145" t="s">
        <v>598</v>
      </c>
      <c r="G3145" t="s">
        <v>478</v>
      </c>
      <c r="H3145" t="s">
        <v>600</v>
      </c>
      <c r="I3145" t="s">
        <v>601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hidden="1">
      <c r="A3146" t="s">
        <v>18812</v>
      </c>
      <c r="B3146" t="s">
        <v>1570</v>
      </c>
      <c r="C3146" t="s">
        <v>1472</v>
      </c>
      <c r="D3146" t="s">
        <v>1571</v>
      </c>
      <c r="E3146" t="s">
        <v>626</v>
      </c>
      <c r="F3146" t="s">
        <v>598</v>
      </c>
      <c r="G3146" t="s">
        <v>478</v>
      </c>
      <c r="H3146" t="s">
        <v>600</v>
      </c>
      <c r="I3146" t="s">
        <v>601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hidden="1">
      <c r="A3147" t="s">
        <v>18812</v>
      </c>
      <c r="B3147" t="s">
        <v>1573</v>
      </c>
      <c r="C3147" t="s">
        <v>1472</v>
      </c>
      <c r="D3147" t="s">
        <v>1574</v>
      </c>
      <c r="E3147" t="s">
        <v>626</v>
      </c>
      <c r="F3147" t="s">
        <v>598</v>
      </c>
      <c r="G3147" t="s">
        <v>478</v>
      </c>
      <c r="H3147" t="s">
        <v>600</v>
      </c>
      <c r="I3147" t="s">
        <v>601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hidden="1">
      <c r="A3148" t="s">
        <v>18812</v>
      </c>
      <c r="B3148" t="s">
        <v>1575</v>
      </c>
      <c r="C3148" t="s">
        <v>1472</v>
      </c>
      <c r="D3148" t="s">
        <v>1576</v>
      </c>
      <c r="E3148" t="s">
        <v>626</v>
      </c>
      <c r="F3148" t="s">
        <v>598</v>
      </c>
      <c r="G3148" t="s">
        <v>478</v>
      </c>
      <c r="H3148" t="s">
        <v>600</v>
      </c>
      <c r="I3148" t="s">
        <v>601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hidden="1">
      <c r="A3149" t="s">
        <v>18812</v>
      </c>
      <c r="B3149" t="s">
        <v>1577</v>
      </c>
      <c r="C3149" t="s">
        <v>1472</v>
      </c>
      <c r="D3149" t="s">
        <v>1578</v>
      </c>
      <c r="E3149" t="s">
        <v>626</v>
      </c>
      <c r="F3149" t="s">
        <v>598</v>
      </c>
      <c r="G3149" t="s">
        <v>478</v>
      </c>
      <c r="H3149" t="s">
        <v>600</v>
      </c>
      <c r="I3149" t="s">
        <v>601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hidden="1">
      <c r="A3150" t="s">
        <v>18812</v>
      </c>
      <c r="B3150" t="s">
        <v>1580</v>
      </c>
      <c r="C3150" t="s">
        <v>1472</v>
      </c>
      <c r="D3150" t="s">
        <v>1578</v>
      </c>
      <c r="E3150" t="s">
        <v>1399</v>
      </c>
      <c r="F3150" t="s">
        <v>598</v>
      </c>
      <c r="G3150" t="s">
        <v>478</v>
      </c>
      <c r="H3150" t="s">
        <v>600</v>
      </c>
      <c r="I3150" t="s">
        <v>601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hidden="1">
      <c r="A3151" t="s">
        <v>18812</v>
      </c>
      <c r="B3151" t="s">
        <v>1582</v>
      </c>
      <c r="C3151" t="s">
        <v>1472</v>
      </c>
      <c r="D3151" t="s">
        <v>1583</v>
      </c>
      <c r="E3151" t="s">
        <v>626</v>
      </c>
      <c r="F3151" t="s">
        <v>598</v>
      </c>
      <c r="G3151" t="s">
        <v>478</v>
      </c>
      <c r="H3151" t="s">
        <v>600</v>
      </c>
      <c r="I3151" t="s">
        <v>601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hidden="1">
      <c r="A3152" t="s">
        <v>18812</v>
      </c>
      <c r="B3152" t="s">
        <v>1584</v>
      </c>
      <c r="C3152" t="s">
        <v>1472</v>
      </c>
      <c r="D3152" t="s">
        <v>1583</v>
      </c>
      <c r="E3152" t="s">
        <v>1334</v>
      </c>
      <c r="F3152" t="s">
        <v>598</v>
      </c>
      <c r="G3152" t="s">
        <v>478</v>
      </c>
      <c r="H3152" t="s">
        <v>600</v>
      </c>
      <c r="I3152" t="s">
        <v>601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hidden="1">
      <c r="A3153" t="s">
        <v>18812</v>
      </c>
      <c r="B3153" t="s">
        <v>1590</v>
      </c>
      <c r="C3153" t="s">
        <v>1472</v>
      </c>
      <c r="D3153" t="s">
        <v>1365</v>
      </c>
      <c r="E3153" t="s">
        <v>626</v>
      </c>
      <c r="F3153" t="s">
        <v>598</v>
      </c>
      <c r="G3153" t="s">
        <v>478</v>
      </c>
      <c r="H3153" t="s">
        <v>600</v>
      </c>
      <c r="I3153" t="s">
        <v>601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hidden="1">
      <c r="A3154" t="s">
        <v>18812</v>
      </c>
      <c r="B3154" t="s">
        <v>1594</v>
      </c>
      <c r="C3154" t="s">
        <v>1472</v>
      </c>
      <c r="D3154" t="s">
        <v>1365</v>
      </c>
      <c r="E3154" t="s">
        <v>678</v>
      </c>
      <c r="F3154" t="s">
        <v>598</v>
      </c>
      <c r="G3154" t="s">
        <v>478</v>
      </c>
      <c r="H3154" t="s">
        <v>600</v>
      </c>
      <c r="I3154" t="s">
        <v>601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hidden="1">
      <c r="A3155" t="s">
        <v>18812</v>
      </c>
      <c r="B3155" t="s">
        <v>1600</v>
      </c>
      <c r="C3155" t="s">
        <v>1472</v>
      </c>
      <c r="D3155" t="s">
        <v>1601</v>
      </c>
      <c r="E3155" t="s">
        <v>626</v>
      </c>
      <c r="F3155" t="s">
        <v>598</v>
      </c>
      <c r="G3155" t="s">
        <v>478</v>
      </c>
      <c r="H3155" t="s">
        <v>600</v>
      </c>
      <c r="I3155" t="s">
        <v>601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hidden="1">
      <c r="A3156" t="s">
        <v>18812</v>
      </c>
      <c r="B3156" t="s">
        <v>1602</v>
      </c>
      <c r="C3156" t="s">
        <v>1472</v>
      </c>
      <c r="D3156" t="s">
        <v>1603</v>
      </c>
      <c r="E3156" t="s">
        <v>626</v>
      </c>
      <c r="F3156" t="s">
        <v>598</v>
      </c>
      <c r="G3156" t="s">
        <v>478</v>
      </c>
      <c r="H3156" t="s">
        <v>600</v>
      </c>
      <c r="I3156" t="s">
        <v>601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hidden="1">
      <c r="A3157" t="s">
        <v>18812</v>
      </c>
      <c r="B3157" t="s">
        <v>1604</v>
      </c>
      <c r="C3157" t="s">
        <v>1472</v>
      </c>
      <c r="D3157" t="s">
        <v>1605</v>
      </c>
      <c r="E3157" t="s">
        <v>626</v>
      </c>
      <c r="F3157" t="s">
        <v>598</v>
      </c>
      <c r="G3157" t="s">
        <v>478</v>
      </c>
      <c r="H3157" t="s">
        <v>600</v>
      </c>
      <c r="I3157" t="s">
        <v>601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hidden="1">
      <c r="A3158" t="s">
        <v>18812</v>
      </c>
      <c r="B3158" t="s">
        <v>1608</v>
      </c>
      <c r="C3158" t="s">
        <v>1472</v>
      </c>
      <c r="D3158" t="s">
        <v>648</v>
      </c>
      <c r="E3158" t="s">
        <v>611</v>
      </c>
      <c r="F3158" t="s">
        <v>598</v>
      </c>
      <c r="G3158" t="s">
        <v>478</v>
      </c>
      <c r="H3158" t="s">
        <v>600</v>
      </c>
      <c r="I3158" t="s">
        <v>601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hidden="1">
      <c r="A3159" t="s">
        <v>18812</v>
      </c>
      <c r="B3159" t="s">
        <v>1717</v>
      </c>
      <c r="C3159" t="s">
        <v>1614</v>
      </c>
      <c r="D3159" t="s">
        <v>1354</v>
      </c>
      <c r="E3159" t="s">
        <v>1718</v>
      </c>
      <c r="F3159" t="s">
        <v>598</v>
      </c>
      <c r="G3159" t="s">
        <v>478</v>
      </c>
      <c r="H3159" t="s">
        <v>600</v>
      </c>
      <c r="I3159" t="s">
        <v>601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hidden="1">
      <c r="A3160" t="s">
        <v>18812</v>
      </c>
      <c r="B3160" t="s">
        <v>1771</v>
      </c>
      <c r="C3160" t="s">
        <v>1614</v>
      </c>
      <c r="D3160" t="s">
        <v>1768</v>
      </c>
      <c r="E3160" t="s">
        <v>1772</v>
      </c>
      <c r="F3160" t="s">
        <v>598</v>
      </c>
      <c r="G3160" t="s">
        <v>478</v>
      </c>
      <c r="H3160" t="s">
        <v>600</v>
      </c>
      <c r="I3160" t="s">
        <v>601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hidden="1">
      <c r="A3161" t="s">
        <v>18812</v>
      </c>
      <c r="B3161" t="s">
        <v>1775</v>
      </c>
      <c r="C3161" t="s">
        <v>1614</v>
      </c>
      <c r="D3161" t="s">
        <v>1776</v>
      </c>
      <c r="E3161" t="s">
        <v>1777</v>
      </c>
      <c r="F3161" t="s">
        <v>598</v>
      </c>
      <c r="G3161" t="s">
        <v>478</v>
      </c>
      <c r="H3161" t="s">
        <v>600</v>
      </c>
      <c r="I3161" t="s">
        <v>601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hidden="1">
      <c r="A3162" t="s">
        <v>18812</v>
      </c>
      <c r="B3162" t="s">
        <v>1780</v>
      </c>
      <c r="C3162" t="s">
        <v>1614</v>
      </c>
      <c r="D3162" t="s">
        <v>1781</v>
      </c>
      <c r="E3162" t="s">
        <v>1716</v>
      </c>
      <c r="F3162" t="s">
        <v>598</v>
      </c>
      <c r="G3162" t="s">
        <v>478</v>
      </c>
      <c r="H3162" t="s">
        <v>600</v>
      </c>
      <c r="I3162" t="s">
        <v>601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hidden="1">
      <c r="A3163" t="s">
        <v>18812</v>
      </c>
      <c r="B3163" t="s">
        <v>1782</v>
      </c>
      <c r="C3163" t="s">
        <v>1614</v>
      </c>
      <c r="D3163" t="s">
        <v>1781</v>
      </c>
      <c r="E3163" t="s">
        <v>1783</v>
      </c>
      <c r="F3163" t="s">
        <v>598</v>
      </c>
      <c r="G3163" t="s">
        <v>478</v>
      </c>
      <c r="H3163" t="s">
        <v>600</v>
      </c>
      <c r="I3163" t="s">
        <v>601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hidden="1">
      <c r="A3164" t="s">
        <v>18812</v>
      </c>
      <c r="B3164" t="s">
        <v>1786</v>
      </c>
      <c r="C3164" t="s">
        <v>1614</v>
      </c>
      <c r="D3164" t="s">
        <v>1781</v>
      </c>
      <c r="E3164" t="s">
        <v>1787</v>
      </c>
      <c r="F3164" t="s">
        <v>598</v>
      </c>
      <c r="G3164" t="s">
        <v>478</v>
      </c>
      <c r="H3164" t="s">
        <v>600</v>
      </c>
      <c r="I3164" t="s">
        <v>601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hidden="1">
      <c r="A3165" t="s">
        <v>18812</v>
      </c>
      <c r="B3165" t="s">
        <v>1788</v>
      </c>
      <c r="C3165" t="s">
        <v>1614</v>
      </c>
      <c r="D3165" t="s">
        <v>1781</v>
      </c>
      <c r="E3165" t="s">
        <v>1789</v>
      </c>
      <c r="F3165" t="s">
        <v>598</v>
      </c>
      <c r="G3165" t="s">
        <v>478</v>
      </c>
      <c r="H3165" t="s">
        <v>600</v>
      </c>
      <c r="I3165" t="s">
        <v>601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hidden="1">
      <c r="A3166" t="s">
        <v>18812</v>
      </c>
      <c r="B3166" t="s">
        <v>1800</v>
      </c>
      <c r="C3166" t="s">
        <v>1614</v>
      </c>
      <c r="D3166" t="s">
        <v>1781</v>
      </c>
      <c r="E3166" t="s">
        <v>1801</v>
      </c>
      <c r="F3166" t="s">
        <v>598</v>
      </c>
      <c r="G3166" t="s">
        <v>478</v>
      </c>
      <c r="H3166" t="s">
        <v>600</v>
      </c>
      <c r="I3166" t="s">
        <v>601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hidden="1">
      <c r="A3167" t="s">
        <v>18812</v>
      </c>
      <c r="B3167" t="s">
        <v>1819</v>
      </c>
      <c r="C3167" t="s">
        <v>1614</v>
      </c>
      <c r="D3167" t="s">
        <v>648</v>
      </c>
      <c r="E3167" t="s">
        <v>1340</v>
      </c>
      <c r="F3167" t="s">
        <v>598</v>
      </c>
      <c r="G3167" t="s">
        <v>478</v>
      </c>
      <c r="H3167" t="s">
        <v>600</v>
      </c>
      <c r="I3167" t="s">
        <v>601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hidden="1">
      <c r="A3168" t="s">
        <v>18812</v>
      </c>
      <c r="B3168" t="s">
        <v>1842</v>
      </c>
      <c r="C3168" t="s">
        <v>1614</v>
      </c>
      <c r="D3168" t="s">
        <v>648</v>
      </c>
      <c r="E3168" t="s">
        <v>1239</v>
      </c>
      <c r="F3168" t="s">
        <v>598</v>
      </c>
      <c r="G3168" t="s">
        <v>478</v>
      </c>
      <c r="H3168" t="s">
        <v>600</v>
      </c>
      <c r="I3168" t="s">
        <v>601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hidden="1">
      <c r="A3169" t="s">
        <v>18812</v>
      </c>
      <c r="B3169" t="s">
        <v>1858</v>
      </c>
      <c r="C3169" t="s">
        <v>1845</v>
      </c>
      <c r="D3169" t="s">
        <v>1859</v>
      </c>
      <c r="E3169" t="s">
        <v>1860</v>
      </c>
      <c r="F3169" t="s">
        <v>598</v>
      </c>
      <c r="G3169" t="s">
        <v>478</v>
      </c>
      <c r="H3169" t="s">
        <v>600</v>
      </c>
      <c r="I3169" t="s">
        <v>601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hidden="1">
      <c r="A3170" t="s">
        <v>18812</v>
      </c>
      <c r="B3170" t="s">
        <v>1861</v>
      </c>
      <c r="C3170" t="s">
        <v>1845</v>
      </c>
      <c r="D3170" t="s">
        <v>1862</v>
      </c>
      <c r="E3170" t="s">
        <v>1860</v>
      </c>
      <c r="F3170" t="s">
        <v>598</v>
      </c>
      <c r="G3170" t="s">
        <v>478</v>
      </c>
      <c r="H3170" t="s">
        <v>600</v>
      </c>
      <c r="I3170" t="s">
        <v>601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hidden="1">
      <c r="A3171" t="s">
        <v>18812</v>
      </c>
      <c r="B3171" t="s">
        <v>1863</v>
      </c>
      <c r="C3171" t="s">
        <v>1845</v>
      </c>
      <c r="D3171" t="s">
        <v>1864</v>
      </c>
      <c r="E3171" t="s">
        <v>1865</v>
      </c>
      <c r="F3171" t="s">
        <v>598</v>
      </c>
      <c r="G3171" t="s">
        <v>478</v>
      </c>
      <c r="H3171" t="s">
        <v>600</v>
      </c>
      <c r="I3171" t="s">
        <v>601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hidden="1">
      <c r="A3172" t="s">
        <v>18812</v>
      </c>
      <c r="B3172" t="s">
        <v>1873</v>
      </c>
      <c r="C3172" t="s">
        <v>1845</v>
      </c>
      <c r="D3172" t="s">
        <v>1871</v>
      </c>
      <c r="E3172" t="s">
        <v>1874</v>
      </c>
      <c r="F3172" t="s">
        <v>598</v>
      </c>
      <c r="G3172" t="s">
        <v>478</v>
      </c>
      <c r="H3172" t="s">
        <v>600</v>
      </c>
      <c r="I3172" t="s">
        <v>601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hidden="1">
      <c r="A3173" t="s">
        <v>18812</v>
      </c>
      <c r="B3173" t="s">
        <v>1877</v>
      </c>
      <c r="C3173" t="s">
        <v>1845</v>
      </c>
      <c r="D3173" t="s">
        <v>1878</v>
      </c>
      <c r="E3173" t="s">
        <v>1872</v>
      </c>
      <c r="F3173" t="s">
        <v>598</v>
      </c>
      <c r="G3173" t="s">
        <v>478</v>
      </c>
      <c r="H3173" t="s">
        <v>600</v>
      </c>
      <c r="I3173" t="s">
        <v>601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hidden="1">
      <c r="A3174" t="s">
        <v>18812</v>
      </c>
      <c r="B3174" t="s">
        <v>1885</v>
      </c>
      <c r="C3174" t="s">
        <v>1845</v>
      </c>
      <c r="D3174" t="s">
        <v>1878</v>
      </c>
      <c r="E3174" t="s">
        <v>1886</v>
      </c>
      <c r="F3174" t="s">
        <v>598</v>
      </c>
      <c r="G3174" t="s">
        <v>478</v>
      </c>
      <c r="H3174" t="s">
        <v>600</v>
      </c>
      <c r="I3174" t="s">
        <v>601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hidden="1">
      <c r="A3175" t="s">
        <v>18812</v>
      </c>
      <c r="B3175" t="s">
        <v>1917</v>
      </c>
      <c r="C3175" t="s">
        <v>1845</v>
      </c>
      <c r="D3175" t="s">
        <v>1918</v>
      </c>
      <c r="E3175" t="s">
        <v>1872</v>
      </c>
      <c r="F3175" t="s">
        <v>598</v>
      </c>
      <c r="G3175" t="s">
        <v>478</v>
      </c>
      <c r="H3175" t="s">
        <v>600</v>
      </c>
      <c r="I3175" t="s">
        <v>601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hidden="1">
      <c r="A3176" t="s">
        <v>18812</v>
      </c>
      <c r="B3176" t="s">
        <v>1931</v>
      </c>
      <c r="C3176" t="s">
        <v>1845</v>
      </c>
      <c r="D3176" t="s">
        <v>1918</v>
      </c>
      <c r="E3176" t="s">
        <v>1896</v>
      </c>
      <c r="F3176" t="s">
        <v>598</v>
      </c>
      <c r="G3176" t="s">
        <v>478</v>
      </c>
      <c r="H3176" t="s">
        <v>600</v>
      </c>
      <c r="I3176" t="s">
        <v>601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25" hidden="1">
      <c r="A3177" t="s">
        <v>18812</v>
      </c>
      <c r="B3177" t="s">
        <v>1938</v>
      </c>
      <c r="C3177" t="s">
        <v>1845</v>
      </c>
      <c r="D3177" t="s">
        <v>1918</v>
      </c>
      <c r="E3177" t="s">
        <v>1939</v>
      </c>
      <c r="F3177" t="s">
        <v>598</v>
      </c>
      <c r="G3177" t="s">
        <v>478</v>
      </c>
      <c r="H3177" t="s">
        <v>600</v>
      </c>
      <c r="I3177" t="s">
        <v>601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hidden="1">
      <c r="A3178" t="s">
        <v>18812</v>
      </c>
      <c r="B3178" t="s">
        <v>1964</v>
      </c>
      <c r="C3178" t="s">
        <v>1959</v>
      </c>
      <c r="D3178" t="s">
        <v>1965</v>
      </c>
      <c r="E3178" t="s">
        <v>1966</v>
      </c>
      <c r="F3178" t="s">
        <v>598</v>
      </c>
      <c r="G3178" t="s">
        <v>478</v>
      </c>
      <c r="H3178" t="s">
        <v>600</v>
      </c>
      <c r="I3178" t="s">
        <v>601</v>
      </c>
      <c r="J3178">
        <v>1.5E-3</v>
      </c>
      <c r="K3178">
        <v>1.6000000000000001E-3</v>
      </c>
      <c r="L3178">
        <v>1.6000000000000001E-3</v>
      </c>
      <c r="M3178">
        <v>1.6000000000000001E-3</v>
      </c>
      <c r="N3178">
        <v>1.6999999999999999E-3</v>
      </c>
      <c r="O3178">
        <v>1.6999999999999999E-3</v>
      </c>
      <c r="P3178">
        <v>1.6999999999999999E-3</v>
      </c>
      <c r="Q3178">
        <v>1.6999999999999999E-3</v>
      </c>
      <c r="R3178">
        <v>1.6999999999999999E-3</v>
      </c>
      <c r="S3178">
        <v>1.8E-3</v>
      </c>
      <c r="T3178">
        <v>1.8E-3</v>
      </c>
      <c r="U3178">
        <v>1.8E-3</v>
      </c>
      <c r="V3178">
        <v>1.8E-3</v>
      </c>
      <c r="W3178">
        <v>1.9E-3</v>
      </c>
      <c r="X3178">
        <v>1.9E-3</v>
      </c>
      <c r="Y3178">
        <v>1.9E-3</v>
      </c>
    </row>
    <row r="3179" spans="1:25" hidden="1">
      <c r="A3179" t="s">
        <v>18812</v>
      </c>
      <c r="B3179" t="s">
        <v>1967</v>
      </c>
      <c r="C3179" t="s">
        <v>1959</v>
      </c>
      <c r="D3179" t="s">
        <v>1968</v>
      </c>
      <c r="E3179" t="s">
        <v>1962</v>
      </c>
      <c r="F3179" t="s">
        <v>598</v>
      </c>
      <c r="G3179" t="s">
        <v>478</v>
      </c>
      <c r="H3179" t="s">
        <v>600</v>
      </c>
      <c r="I3179" t="s">
        <v>601</v>
      </c>
      <c r="J3179">
        <v>0.05</v>
      </c>
      <c r="K3179">
        <v>5.1200000000000002E-2</v>
      </c>
      <c r="L3179">
        <v>5.2200000000000003E-2</v>
      </c>
      <c r="M3179">
        <v>5.3600000000000002E-2</v>
      </c>
      <c r="N3179">
        <v>5.4100000000000002E-2</v>
      </c>
      <c r="O3179">
        <v>5.4600000000000003E-2</v>
      </c>
      <c r="P3179">
        <v>5.5199999999999999E-2</v>
      </c>
      <c r="Q3179">
        <v>5.57E-2</v>
      </c>
      <c r="R3179">
        <v>5.6399999999999999E-2</v>
      </c>
      <c r="S3179">
        <v>5.7099999999999998E-2</v>
      </c>
      <c r="T3179">
        <v>5.79E-2</v>
      </c>
      <c r="U3179">
        <v>5.8900000000000001E-2</v>
      </c>
      <c r="V3179">
        <v>6.0100000000000001E-2</v>
      </c>
      <c r="W3179">
        <v>6.1100000000000002E-2</v>
      </c>
      <c r="X3179">
        <v>6.2100000000000002E-2</v>
      </c>
      <c r="Y3179">
        <v>6.3200000000000006E-2</v>
      </c>
    </row>
    <row r="3180" spans="1:25" hidden="1">
      <c r="A3180" t="s">
        <v>18812</v>
      </c>
      <c r="B3180" t="s">
        <v>1974</v>
      </c>
      <c r="C3180" t="s">
        <v>1959</v>
      </c>
      <c r="D3180" t="s">
        <v>1972</v>
      </c>
      <c r="E3180" t="s">
        <v>1962</v>
      </c>
      <c r="F3180" t="s">
        <v>598</v>
      </c>
      <c r="G3180" t="s">
        <v>478</v>
      </c>
      <c r="H3180" t="s">
        <v>600</v>
      </c>
      <c r="I3180" t="s">
        <v>601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 hidden="1">
      <c r="A3181" t="s">
        <v>18812</v>
      </c>
      <c r="B3181" t="s">
        <v>1977</v>
      </c>
      <c r="C3181" t="s">
        <v>1959</v>
      </c>
      <c r="D3181" t="s">
        <v>1972</v>
      </c>
      <c r="E3181" t="s">
        <v>1966</v>
      </c>
      <c r="F3181" t="s">
        <v>598</v>
      </c>
      <c r="G3181" t="s">
        <v>478</v>
      </c>
      <c r="H3181" t="s">
        <v>600</v>
      </c>
      <c r="I3181" t="s">
        <v>601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25" hidden="1">
      <c r="A3182" t="s">
        <v>18812</v>
      </c>
      <c r="B3182" t="s">
        <v>1978</v>
      </c>
      <c r="C3182" t="s">
        <v>1959</v>
      </c>
      <c r="D3182" t="s">
        <v>1972</v>
      </c>
      <c r="E3182" t="s">
        <v>1979</v>
      </c>
      <c r="F3182" t="s">
        <v>598</v>
      </c>
      <c r="G3182" t="s">
        <v>478</v>
      </c>
      <c r="H3182" t="s">
        <v>600</v>
      </c>
      <c r="I3182" t="s">
        <v>601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 hidden="1">
      <c r="A3183" t="s">
        <v>18812</v>
      </c>
      <c r="B3183" t="s">
        <v>1985</v>
      </c>
      <c r="C3183" t="s">
        <v>1959</v>
      </c>
      <c r="D3183" t="s">
        <v>1983</v>
      </c>
      <c r="E3183" t="s">
        <v>1378</v>
      </c>
      <c r="F3183" t="s">
        <v>598</v>
      </c>
      <c r="G3183" t="s">
        <v>478</v>
      </c>
      <c r="H3183" t="s">
        <v>600</v>
      </c>
      <c r="I3183" t="s">
        <v>601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hidden="1">
      <c r="A3184" t="s">
        <v>18812</v>
      </c>
      <c r="B3184" t="s">
        <v>1988</v>
      </c>
      <c r="C3184" t="s">
        <v>1959</v>
      </c>
      <c r="D3184" t="s">
        <v>1983</v>
      </c>
      <c r="E3184" t="s">
        <v>1966</v>
      </c>
      <c r="F3184" t="s">
        <v>598</v>
      </c>
      <c r="G3184" t="s">
        <v>478</v>
      </c>
      <c r="H3184" t="s">
        <v>600</v>
      </c>
      <c r="I3184" t="s">
        <v>601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hidden="1">
      <c r="A3185" t="s">
        <v>18812</v>
      </c>
      <c r="B3185" t="s">
        <v>1989</v>
      </c>
      <c r="C3185" t="s">
        <v>1959</v>
      </c>
      <c r="D3185" t="s">
        <v>1983</v>
      </c>
      <c r="E3185" t="s">
        <v>1990</v>
      </c>
      <c r="F3185" t="s">
        <v>598</v>
      </c>
      <c r="G3185" t="s">
        <v>478</v>
      </c>
      <c r="H3185" t="s">
        <v>600</v>
      </c>
      <c r="I3185" t="s">
        <v>601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hidden="1">
      <c r="A3186" t="s">
        <v>18812</v>
      </c>
      <c r="B3186" t="s">
        <v>1991</v>
      </c>
      <c r="C3186" t="s">
        <v>1959</v>
      </c>
      <c r="D3186" t="s">
        <v>1983</v>
      </c>
      <c r="E3186" t="s">
        <v>1992</v>
      </c>
      <c r="F3186" t="s">
        <v>598</v>
      </c>
      <c r="G3186" t="s">
        <v>478</v>
      </c>
      <c r="H3186" t="s">
        <v>600</v>
      </c>
      <c r="I3186" t="s">
        <v>601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hidden="1">
      <c r="A3187" t="s">
        <v>18812</v>
      </c>
      <c r="B3187" t="s">
        <v>2004</v>
      </c>
      <c r="C3187" t="s">
        <v>1959</v>
      </c>
      <c r="D3187" t="s">
        <v>2001</v>
      </c>
      <c r="E3187" t="s">
        <v>1380</v>
      </c>
      <c r="F3187" t="s">
        <v>598</v>
      </c>
      <c r="G3187" t="s">
        <v>478</v>
      </c>
      <c r="H3187" t="s">
        <v>600</v>
      </c>
      <c r="I3187" t="s">
        <v>601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hidden="1">
      <c r="A3188" t="s">
        <v>18812</v>
      </c>
      <c r="B3188" t="s">
        <v>2005</v>
      </c>
      <c r="C3188" t="s">
        <v>1959</v>
      </c>
      <c r="D3188" t="s">
        <v>2001</v>
      </c>
      <c r="E3188" t="s">
        <v>1976</v>
      </c>
      <c r="F3188" t="s">
        <v>598</v>
      </c>
      <c r="G3188" t="s">
        <v>478</v>
      </c>
      <c r="H3188" t="s">
        <v>600</v>
      </c>
      <c r="I3188" t="s">
        <v>601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hidden="1">
      <c r="A3189" t="s">
        <v>18812</v>
      </c>
      <c r="B3189" t="s">
        <v>2011</v>
      </c>
      <c r="C3189" t="s">
        <v>1959</v>
      </c>
      <c r="D3189" t="s">
        <v>2012</v>
      </c>
      <c r="E3189" t="s">
        <v>2013</v>
      </c>
      <c r="F3189" t="s">
        <v>598</v>
      </c>
      <c r="G3189" t="s">
        <v>478</v>
      </c>
      <c r="H3189" t="s">
        <v>600</v>
      </c>
      <c r="I3189" t="s">
        <v>601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</row>
    <row r="3190" spans="1:25" hidden="1">
      <c r="A3190" t="s">
        <v>18812</v>
      </c>
      <c r="B3190" t="s">
        <v>2014</v>
      </c>
      <c r="C3190" t="s">
        <v>1959</v>
      </c>
      <c r="D3190" t="s">
        <v>2012</v>
      </c>
      <c r="E3190" t="s">
        <v>1970</v>
      </c>
      <c r="F3190" t="s">
        <v>598</v>
      </c>
      <c r="G3190" t="s">
        <v>478</v>
      </c>
      <c r="H3190" t="s">
        <v>600</v>
      </c>
      <c r="I3190" t="s">
        <v>601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 hidden="1">
      <c r="A3191" t="s">
        <v>18812</v>
      </c>
      <c r="B3191" t="s">
        <v>2017</v>
      </c>
      <c r="C3191" t="s">
        <v>1959</v>
      </c>
      <c r="D3191" t="s">
        <v>1817</v>
      </c>
      <c r="E3191" t="s">
        <v>1962</v>
      </c>
      <c r="F3191" t="s">
        <v>598</v>
      </c>
      <c r="G3191" t="s">
        <v>478</v>
      </c>
      <c r="H3191" t="s">
        <v>600</v>
      </c>
      <c r="I3191" t="s">
        <v>601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 hidden="1">
      <c r="A3192" t="s">
        <v>18812</v>
      </c>
      <c r="B3192" t="s">
        <v>2019</v>
      </c>
      <c r="C3192" t="s">
        <v>1959</v>
      </c>
      <c r="D3192" t="s">
        <v>1817</v>
      </c>
      <c r="E3192" t="s">
        <v>1976</v>
      </c>
      <c r="F3192" t="s">
        <v>598</v>
      </c>
      <c r="G3192" t="s">
        <v>478</v>
      </c>
      <c r="H3192" t="s">
        <v>600</v>
      </c>
      <c r="I3192" t="s">
        <v>601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hidden="1">
      <c r="A3193" t="s">
        <v>18812</v>
      </c>
      <c r="B3193" t="s">
        <v>2028</v>
      </c>
      <c r="C3193" t="s">
        <v>1959</v>
      </c>
      <c r="D3193" t="s">
        <v>1817</v>
      </c>
      <c r="E3193" t="s">
        <v>1966</v>
      </c>
      <c r="F3193" t="s">
        <v>598</v>
      </c>
      <c r="G3193" t="s">
        <v>478</v>
      </c>
      <c r="H3193" t="s">
        <v>600</v>
      </c>
      <c r="I3193" t="s">
        <v>601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 hidden="1">
      <c r="A3194" t="s">
        <v>18812</v>
      </c>
      <c r="B3194" t="s">
        <v>2030</v>
      </c>
      <c r="C3194" t="s">
        <v>1959</v>
      </c>
      <c r="D3194" t="s">
        <v>2031</v>
      </c>
      <c r="E3194" t="s">
        <v>2032</v>
      </c>
      <c r="F3194" t="s">
        <v>598</v>
      </c>
      <c r="G3194" t="s">
        <v>478</v>
      </c>
      <c r="H3194" t="s">
        <v>600</v>
      </c>
      <c r="I3194" t="s">
        <v>601</v>
      </c>
      <c r="J3194">
        <v>3.8199999999999998E-2</v>
      </c>
      <c r="K3194">
        <v>3.9199999999999999E-2</v>
      </c>
      <c r="L3194">
        <v>0.04</v>
      </c>
      <c r="M3194">
        <v>4.1000000000000002E-2</v>
      </c>
      <c r="N3194">
        <v>4.1399999999999999E-2</v>
      </c>
      <c r="O3194">
        <v>4.1700000000000001E-2</v>
      </c>
      <c r="P3194">
        <v>4.2200000000000001E-2</v>
      </c>
      <c r="Q3194">
        <v>4.2599999999999999E-2</v>
      </c>
      <c r="R3194">
        <v>4.3099999999999999E-2</v>
      </c>
      <c r="S3194">
        <v>4.3700000000000003E-2</v>
      </c>
      <c r="T3194">
        <v>4.4299999999999999E-2</v>
      </c>
      <c r="U3194">
        <v>4.5100000000000001E-2</v>
      </c>
      <c r="V3194">
        <v>4.5900000000000003E-2</v>
      </c>
      <c r="W3194">
        <v>4.6800000000000001E-2</v>
      </c>
      <c r="X3194">
        <v>4.7500000000000001E-2</v>
      </c>
      <c r="Y3194">
        <v>4.8300000000000003E-2</v>
      </c>
    </row>
    <row r="3195" spans="1:25" hidden="1">
      <c r="A3195" t="s">
        <v>18812</v>
      </c>
      <c r="B3195" t="s">
        <v>2039</v>
      </c>
      <c r="C3195" t="s">
        <v>1959</v>
      </c>
      <c r="D3195" t="s">
        <v>648</v>
      </c>
      <c r="E3195" t="s">
        <v>1378</v>
      </c>
      <c r="F3195" t="s">
        <v>598</v>
      </c>
      <c r="G3195" t="s">
        <v>478</v>
      </c>
      <c r="H3195" t="s">
        <v>600</v>
      </c>
      <c r="I3195" t="s">
        <v>601</v>
      </c>
      <c r="J3195">
        <v>3.2000000000000002E-3</v>
      </c>
      <c r="K3195">
        <v>3.3E-3</v>
      </c>
      <c r="L3195">
        <v>3.3999999999999998E-3</v>
      </c>
      <c r="M3195">
        <v>3.5000000000000001E-3</v>
      </c>
      <c r="N3195">
        <v>3.5000000000000001E-3</v>
      </c>
      <c r="O3195">
        <v>3.5000000000000001E-3</v>
      </c>
      <c r="P3195">
        <v>3.5999999999999999E-3</v>
      </c>
      <c r="Q3195">
        <v>3.5999999999999999E-3</v>
      </c>
      <c r="R3195">
        <v>3.7000000000000002E-3</v>
      </c>
      <c r="S3195">
        <v>3.7000000000000002E-3</v>
      </c>
      <c r="T3195">
        <v>3.8E-3</v>
      </c>
      <c r="U3195">
        <v>3.8E-3</v>
      </c>
      <c r="V3195">
        <v>3.8999999999999998E-3</v>
      </c>
      <c r="W3195">
        <v>4.0000000000000001E-3</v>
      </c>
      <c r="X3195">
        <v>4.0000000000000001E-3</v>
      </c>
      <c r="Y3195">
        <v>4.1000000000000003E-3</v>
      </c>
    </row>
    <row r="3196" spans="1:25" hidden="1">
      <c r="A3196" t="s">
        <v>18812</v>
      </c>
      <c r="B3196" t="s">
        <v>2041</v>
      </c>
      <c r="C3196" t="s">
        <v>1959</v>
      </c>
      <c r="D3196" t="s">
        <v>648</v>
      </c>
      <c r="E3196" t="s">
        <v>2003</v>
      </c>
      <c r="F3196" t="s">
        <v>598</v>
      </c>
      <c r="G3196" t="s">
        <v>478</v>
      </c>
      <c r="H3196" t="s">
        <v>600</v>
      </c>
      <c r="I3196" t="s">
        <v>601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</row>
    <row r="3197" spans="1:25" hidden="1">
      <c r="A3197" t="s">
        <v>18812</v>
      </c>
      <c r="B3197" t="s">
        <v>2046</v>
      </c>
      <c r="C3197" t="s">
        <v>1959</v>
      </c>
      <c r="D3197" t="s">
        <v>648</v>
      </c>
      <c r="E3197" t="s">
        <v>2047</v>
      </c>
      <c r="F3197" t="s">
        <v>598</v>
      </c>
      <c r="G3197" t="s">
        <v>478</v>
      </c>
      <c r="H3197" t="s">
        <v>600</v>
      </c>
      <c r="I3197" t="s">
        <v>601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hidden="1">
      <c r="A3198" t="s">
        <v>18812</v>
      </c>
      <c r="B3198" t="s">
        <v>2058</v>
      </c>
      <c r="C3198" t="s">
        <v>1959</v>
      </c>
      <c r="D3198" t="s">
        <v>648</v>
      </c>
      <c r="E3198" t="s">
        <v>2025</v>
      </c>
      <c r="F3198" t="s">
        <v>598</v>
      </c>
      <c r="G3198" t="s">
        <v>478</v>
      </c>
      <c r="H3198" t="s">
        <v>600</v>
      </c>
      <c r="I3198" t="s">
        <v>601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hidden="1">
      <c r="A3199" t="s">
        <v>18812</v>
      </c>
      <c r="B3199" t="s">
        <v>2072</v>
      </c>
      <c r="C3199" t="s">
        <v>1959</v>
      </c>
      <c r="D3199" t="s">
        <v>648</v>
      </c>
      <c r="E3199" t="s">
        <v>1966</v>
      </c>
      <c r="F3199" t="s">
        <v>598</v>
      </c>
      <c r="G3199" t="s">
        <v>478</v>
      </c>
      <c r="H3199" t="s">
        <v>600</v>
      </c>
      <c r="I3199" t="s">
        <v>601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hidden="1">
      <c r="A3200" t="s">
        <v>18812</v>
      </c>
      <c r="B3200" t="s">
        <v>2078</v>
      </c>
      <c r="C3200" t="s">
        <v>2075</v>
      </c>
      <c r="D3200" t="s">
        <v>2079</v>
      </c>
      <c r="E3200" t="s">
        <v>1378</v>
      </c>
      <c r="F3200" t="s">
        <v>598</v>
      </c>
      <c r="G3200" t="s">
        <v>478</v>
      </c>
      <c r="H3200" t="s">
        <v>600</v>
      </c>
      <c r="I3200" t="s">
        <v>601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hidden="1">
      <c r="A3201" t="s">
        <v>18812</v>
      </c>
      <c r="B3201" t="s">
        <v>2094</v>
      </c>
      <c r="C3201" t="s">
        <v>2075</v>
      </c>
      <c r="D3201" t="s">
        <v>2090</v>
      </c>
      <c r="E3201" t="s">
        <v>2095</v>
      </c>
      <c r="F3201" t="s">
        <v>598</v>
      </c>
      <c r="G3201" t="s">
        <v>478</v>
      </c>
      <c r="H3201" t="s">
        <v>600</v>
      </c>
      <c r="I3201" t="s">
        <v>601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hidden="1">
      <c r="A3202" t="s">
        <v>18812</v>
      </c>
      <c r="B3202" t="s">
        <v>2106</v>
      </c>
      <c r="C3202" t="s">
        <v>2075</v>
      </c>
      <c r="D3202" t="s">
        <v>648</v>
      </c>
      <c r="E3202" t="s">
        <v>1378</v>
      </c>
      <c r="F3202" t="s">
        <v>598</v>
      </c>
      <c r="G3202" t="s">
        <v>478</v>
      </c>
      <c r="H3202" t="s">
        <v>600</v>
      </c>
      <c r="I3202" t="s">
        <v>601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hidden="1">
      <c r="A3203" t="s">
        <v>18812</v>
      </c>
      <c r="B3203" t="s">
        <v>2107</v>
      </c>
      <c r="C3203" t="s">
        <v>2075</v>
      </c>
      <c r="D3203" t="s">
        <v>648</v>
      </c>
      <c r="E3203" t="s">
        <v>2081</v>
      </c>
      <c r="F3203" t="s">
        <v>598</v>
      </c>
      <c r="G3203" t="s">
        <v>478</v>
      </c>
      <c r="H3203" t="s">
        <v>600</v>
      </c>
      <c r="I3203" t="s">
        <v>601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hidden="1">
      <c r="A3204" t="s">
        <v>18812</v>
      </c>
      <c r="B3204" t="s">
        <v>2117</v>
      </c>
      <c r="C3204" t="s">
        <v>2116</v>
      </c>
      <c r="D3204" t="s">
        <v>2118</v>
      </c>
      <c r="E3204" t="s">
        <v>2119</v>
      </c>
      <c r="F3204" t="s">
        <v>598</v>
      </c>
      <c r="G3204" t="s">
        <v>478</v>
      </c>
      <c r="H3204" t="s">
        <v>600</v>
      </c>
      <c r="I3204" t="s">
        <v>601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hidden="1">
      <c r="A3205" t="s">
        <v>18812</v>
      </c>
      <c r="B3205" t="s">
        <v>2120</v>
      </c>
      <c r="C3205" t="s">
        <v>2116</v>
      </c>
      <c r="D3205" t="s">
        <v>2121</v>
      </c>
      <c r="E3205" t="s">
        <v>2119</v>
      </c>
      <c r="F3205" t="s">
        <v>598</v>
      </c>
      <c r="G3205" t="s">
        <v>478</v>
      </c>
      <c r="H3205" t="s">
        <v>600</v>
      </c>
      <c r="I3205" t="s">
        <v>601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hidden="1">
      <c r="A3206" t="s">
        <v>18812</v>
      </c>
      <c r="B3206" t="s">
        <v>2122</v>
      </c>
      <c r="C3206" t="s">
        <v>2116</v>
      </c>
      <c r="D3206" t="s">
        <v>2121</v>
      </c>
      <c r="E3206" t="s">
        <v>1910</v>
      </c>
      <c r="F3206" t="s">
        <v>598</v>
      </c>
      <c r="G3206" t="s">
        <v>478</v>
      </c>
      <c r="H3206" t="s">
        <v>600</v>
      </c>
      <c r="I3206" t="s">
        <v>601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hidden="1">
      <c r="A3207" t="s">
        <v>18812</v>
      </c>
      <c r="B3207" t="s">
        <v>2148</v>
      </c>
      <c r="C3207" t="s">
        <v>2144</v>
      </c>
      <c r="D3207" t="s">
        <v>2147</v>
      </c>
      <c r="E3207" t="s">
        <v>1393</v>
      </c>
      <c r="F3207" t="s">
        <v>598</v>
      </c>
      <c r="G3207" t="s">
        <v>478</v>
      </c>
      <c r="H3207" t="s">
        <v>600</v>
      </c>
      <c r="I3207" t="s">
        <v>601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hidden="1">
      <c r="A3208" t="s">
        <v>18812</v>
      </c>
      <c r="B3208" t="s">
        <v>2149</v>
      </c>
      <c r="C3208" t="s">
        <v>2144</v>
      </c>
      <c r="D3208" t="s">
        <v>2147</v>
      </c>
      <c r="E3208" t="s">
        <v>1004</v>
      </c>
      <c r="F3208" t="s">
        <v>598</v>
      </c>
      <c r="G3208" t="s">
        <v>478</v>
      </c>
      <c r="H3208" t="s">
        <v>600</v>
      </c>
      <c r="I3208" t="s">
        <v>601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hidden="1">
      <c r="A3209" t="s">
        <v>18812</v>
      </c>
      <c r="B3209" t="s">
        <v>2150</v>
      </c>
      <c r="C3209" t="s">
        <v>2144</v>
      </c>
      <c r="D3209" t="s">
        <v>648</v>
      </c>
      <c r="E3209" t="s">
        <v>1393</v>
      </c>
      <c r="F3209" t="s">
        <v>598</v>
      </c>
      <c r="G3209" t="s">
        <v>478</v>
      </c>
      <c r="H3209" t="s">
        <v>600</v>
      </c>
      <c r="I3209" t="s">
        <v>601</v>
      </c>
      <c r="J3209">
        <v>4.7000000000000002E-3</v>
      </c>
      <c r="K3209">
        <v>4.7999999999999996E-3</v>
      </c>
      <c r="L3209">
        <v>4.8999999999999998E-3</v>
      </c>
      <c r="M3209">
        <v>5.1000000000000004E-3</v>
      </c>
      <c r="N3209">
        <v>5.1999999999999998E-3</v>
      </c>
      <c r="O3209">
        <v>5.3E-3</v>
      </c>
      <c r="P3209">
        <v>5.4000000000000003E-3</v>
      </c>
      <c r="Q3209">
        <v>5.4999999999999997E-3</v>
      </c>
      <c r="R3209">
        <v>5.4999999999999997E-3</v>
      </c>
      <c r="S3209">
        <v>5.5999999999999999E-3</v>
      </c>
      <c r="T3209">
        <v>5.7000000000000002E-3</v>
      </c>
      <c r="U3209">
        <v>5.7000000000000002E-3</v>
      </c>
      <c r="V3209">
        <v>5.7999999999999996E-3</v>
      </c>
      <c r="W3209">
        <v>5.8999999999999999E-3</v>
      </c>
      <c r="X3209">
        <v>6.0000000000000001E-3</v>
      </c>
      <c r="Y3209">
        <v>6.0000000000000001E-3</v>
      </c>
    </row>
    <row r="3210" spans="1:25" hidden="1">
      <c r="A3210" t="s">
        <v>18812</v>
      </c>
      <c r="B3210" t="s">
        <v>2166</v>
      </c>
      <c r="C3210" t="s">
        <v>2154</v>
      </c>
      <c r="D3210" t="s">
        <v>1332</v>
      </c>
      <c r="E3210" t="s">
        <v>1340</v>
      </c>
      <c r="F3210" t="s">
        <v>598</v>
      </c>
      <c r="G3210" t="s">
        <v>478</v>
      </c>
      <c r="H3210" t="s">
        <v>600</v>
      </c>
      <c r="I3210" t="s">
        <v>601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hidden="1">
      <c r="A3211" t="s">
        <v>18812</v>
      </c>
      <c r="B3211" t="s">
        <v>2184</v>
      </c>
      <c r="C3211" t="s">
        <v>2154</v>
      </c>
      <c r="D3211" t="s">
        <v>2185</v>
      </c>
      <c r="E3211" t="s">
        <v>2186</v>
      </c>
      <c r="F3211" t="s">
        <v>598</v>
      </c>
      <c r="G3211" t="s">
        <v>478</v>
      </c>
      <c r="H3211" t="s">
        <v>600</v>
      </c>
      <c r="I3211" t="s">
        <v>601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hidden="1">
      <c r="A3212" t="s">
        <v>18812</v>
      </c>
      <c r="B3212" t="s">
        <v>2187</v>
      </c>
      <c r="C3212" t="s">
        <v>2154</v>
      </c>
      <c r="D3212" t="s">
        <v>648</v>
      </c>
      <c r="E3212" t="s">
        <v>920</v>
      </c>
      <c r="F3212" t="s">
        <v>598</v>
      </c>
      <c r="G3212" t="s">
        <v>478</v>
      </c>
      <c r="H3212" t="s">
        <v>600</v>
      </c>
      <c r="I3212" t="s">
        <v>601</v>
      </c>
      <c r="J3212">
        <v>9.5899999999999999E-2</v>
      </c>
      <c r="K3212">
        <v>0.10100000000000001</v>
      </c>
      <c r="L3212">
        <v>0.1065</v>
      </c>
      <c r="M3212">
        <v>0.11260000000000001</v>
      </c>
      <c r="N3212">
        <v>0.11559999999999999</v>
      </c>
      <c r="O3212">
        <v>0.11890000000000001</v>
      </c>
      <c r="P3212">
        <v>0.12230000000000001</v>
      </c>
      <c r="Q3212">
        <v>0.12570000000000001</v>
      </c>
      <c r="R3212">
        <v>0.12920000000000001</v>
      </c>
      <c r="S3212">
        <v>0.13270000000000001</v>
      </c>
      <c r="T3212">
        <v>0.13639999999999999</v>
      </c>
      <c r="U3212">
        <v>0.14019999999999999</v>
      </c>
      <c r="V3212">
        <v>0.1444</v>
      </c>
      <c r="W3212">
        <v>0.14849999999999999</v>
      </c>
      <c r="X3212">
        <v>0.15260000000000001</v>
      </c>
      <c r="Y3212">
        <v>0.15690000000000001</v>
      </c>
    </row>
    <row r="3213" spans="1:25" hidden="1">
      <c r="A3213" t="s">
        <v>18812</v>
      </c>
      <c r="B3213" t="s">
        <v>2188</v>
      </c>
      <c r="C3213" t="s">
        <v>2154</v>
      </c>
      <c r="D3213" t="s">
        <v>648</v>
      </c>
      <c r="E3213" t="s">
        <v>973</v>
      </c>
      <c r="F3213" t="s">
        <v>598</v>
      </c>
      <c r="G3213" t="s">
        <v>478</v>
      </c>
      <c r="H3213" t="s">
        <v>600</v>
      </c>
      <c r="I3213" t="s">
        <v>601</v>
      </c>
      <c r="J3213">
        <v>5.6300000000000003E-2</v>
      </c>
      <c r="K3213">
        <v>5.67E-2</v>
      </c>
      <c r="L3213">
        <v>5.7099999999999998E-2</v>
      </c>
      <c r="M3213">
        <v>5.7500000000000002E-2</v>
      </c>
      <c r="N3213">
        <v>5.79E-2</v>
      </c>
      <c r="O3213">
        <v>5.8400000000000001E-2</v>
      </c>
      <c r="P3213">
        <v>5.8599999999999999E-2</v>
      </c>
      <c r="Q3213">
        <v>5.8900000000000001E-2</v>
      </c>
      <c r="R3213">
        <v>5.91E-2</v>
      </c>
      <c r="S3213">
        <v>5.9400000000000001E-2</v>
      </c>
      <c r="T3213">
        <v>5.96E-2</v>
      </c>
      <c r="U3213">
        <v>5.9900000000000002E-2</v>
      </c>
      <c r="V3213">
        <v>6.0199999999999997E-2</v>
      </c>
      <c r="W3213">
        <v>6.0400000000000002E-2</v>
      </c>
      <c r="X3213">
        <v>6.0699999999999997E-2</v>
      </c>
      <c r="Y3213">
        <v>6.0900000000000003E-2</v>
      </c>
    </row>
    <row r="3214" spans="1:25" hidden="1">
      <c r="A3214" t="s">
        <v>18812</v>
      </c>
      <c r="B3214" t="s">
        <v>2209</v>
      </c>
      <c r="C3214" t="s">
        <v>2154</v>
      </c>
      <c r="D3214" t="s">
        <v>648</v>
      </c>
      <c r="E3214" t="s">
        <v>1004</v>
      </c>
      <c r="F3214" t="s">
        <v>598</v>
      </c>
      <c r="G3214" t="s">
        <v>478</v>
      </c>
      <c r="H3214" t="s">
        <v>600</v>
      </c>
      <c r="I3214" t="s">
        <v>601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</row>
    <row r="3215" spans="1:25">
      <c r="J3215">
        <f t="shared" ref="J3215:Y3215" si="11">SUBTOTAL(109,J2865:J3214)</f>
        <v>0.49749999999999994</v>
      </c>
      <c r="K3215">
        <f t="shared" si="11"/>
        <v>0.50949999999999995</v>
      </c>
      <c r="L3215">
        <f t="shared" si="11"/>
        <v>0.51539999999999997</v>
      </c>
      <c r="M3215">
        <f t="shared" si="11"/>
        <v>0.51629999999999998</v>
      </c>
      <c r="N3215">
        <f t="shared" si="11"/>
        <v>0.52700000000000002</v>
      </c>
      <c r="O3215">
        <f t="shared" si="11"/>
        <v>0.53139999999999998</v>
      </c>
      <c r="P3215">
        <f t="shared" si="11"/>
        <v>0.53379999999999994</v>
      </c>
      <c r="Q3215">
        <f t="shared" si="11"/>
        <v>0.53649999999999998</v>
      </c>
      <c r="R3215">
        <f t="shared" si="11"/>
        <v>0.53879999999999995</v>
      </c>
      <c r="S3215">
        <f t="shared" si="11"/>
        <v>0.5413</v>
      </c>
      <c r="T3215">
        <f t="shared" si="11"/>
        <v>0.54399999999999993</v>
      </c>
      <c r="U3215">
        <f t="shared" si="11"/>
        <v>0.5464</v>
      </c>
      <c r="V3215">
        <f t="shared" si="11"/>
        <v>0.54889999999999994</v>
      </c>
      <c r="W3215">
        <f t="shared" si="11"/>
        <v>0.5514</v>
      </c>
      <c r="X3215">
        <f t="shared" si="11"/>
        <v>0.55409999999999993</v>
      </c>
      <c r="Y3215">
        <f t="shared" si="11"/>
        <v>0.55659999999999998</v>
      </c>
    </row>
    <row r="3217" spans="1:25">
      <c r="A3217" t="s">
        <v>569</v>
      </c>
      <c r="B3217" t="s">
        <v>570</v>
      </c>
      <c r="C3217" t="s">
        <v>571</v>
      </c>
      <c r="D3217" t="s">
        <v>572</v>
      </c>
      <c r="E3217" t="s">
        <v>573</v>
      </c>
      <c r="F3217" t="s">
        <v>574</v>
      </c>
      <c r="G3217" t="s">
        <v>575</v>
      </c>
      <c r="H3217" t="s">
        <v>576</v>
      </c>
      <c r="I3217" t="s">
        <v>577</v>
      </c>
      <c r="J3217" t="s">
        <v>578</v>
      </c>
      <c r="K3217" t="s">
        <v>579</v>
      </c>
      <c r="L3217" t="s">
        <v>580</v>
      </c>
      <c r="M3217" t="s">
        <v>581</v>
      </c>
      <c r="N3217" t="s">
        <v>582</v>
      </c>
      <c r="O3217" t="s">
        <v>583</v>
      </c>
      <c r="P3217" t="s">
        <v>584</v>
      </c>
      <c r="Q3217" t="s">
        <v>585</v>
      </c>
      <c r="R3217" t="s">
        <v>586</v>
      </c>
      <c r="S3217" t="s">
        <v>587</v>
      </c>
      <c r="T3217" t="s">
        <v>588</v>
      </c>
      <c r="U3217" t="s">
        <v>589</v>
      </c>
      <c r="V3217" t="s">
        <v>590</v>
      </c>
      <c r="W3217" t="s">
        <v>591</v>
      </c>
      <c r="X3217" t="s">
        <v>592</v>
      </c>
      <c r="Y3217" t="s">
        <v>593</v>
      </c>
    </row>
    <row r="3218" spans="1:25">
      <c r="A3218" t="s">
        <v>18813</v>
      </c>
      <c r="B3218" t="s">
        <v>594</v>
      </c>
      <c r="C3218" t="s">
        <v>595</v>
      </c>
      <c r="D3218" t="s">
        <v>596</v>
      </c>
      <c r="E3218" t="s">
        <v>597</v>
      </c>
      <c r="F3218" t="s">
        <v>598</v>
      </c>
      <c r="G3218" t="s">
        <v>478</v>
      </c>
      <c r="H3218" t="s">
        <v>600</v>
      </c>
      <c r="I3218" t="s">
        <v>601</v>
      </c>
      <c r="J3218">
        <v>3.8129</v>
      </c>
      <c r="K3218">
        <v>3.5280999999999998</v>
      </c>
      <c r="L3218">
        <v>3.5270000000000001</v>
      </c>
      <c r="M3218">
        <v>3.3849</v>
      </c>
      <c r="N3218">
        <v>3.2425999999999999</v>
      </c>
      <c r="O3218">
        <v>2.9577</v>
      </c>
      <c r="P3218">
        <v>2.6745000000000001</v>
      </c>
      <c r="Q3218">
        <v>2.1063999999999998</v>
      </c>
      <c r="R3218">
        <v>2.1071</v>
      </c>
      <c r="S3218">
        <v>2.1076000000000001</v>
      </c>
      <c r="T3218">
        <v>2.1080000000000001</v>
      </c>
      <c r="U3218">
        <v>2.1080000000000001</v>
      </c>
      <c r="V3218">
        <v>2.1080000000000001</v>
      </c>
      <c r="W3218">
        <v>2.1080000000000001</v>
      </c>
      <c r="X3218">
        <v>2.1080000000000001</v>
      </c>
      <c r="Y3218">
        <v>2.1080000000000001</v>
      </c>
    </row>
    <row r="3219" spans="1:25">
      <c r="A3219" t="s">
        <v>18813</v>
      </c>
      <c r="B3219" t="s">
        <v>602</v>
      </c>
      <c r="C3219" t="s">
        <v>595</v>
      </c>
      <c r="D3219" t="s">
        <v>596</v>
      </c>
      <c r="E3219" t="s">
        <v>603</v>
      </c>
      <c r="F3219" t="s">
        <v>598</v>
      </c>
      <c r="G3219" t="s">
        <v>478</v>
      </c>
      <c r="H3219" t="s">
        <v>600</v>
      </c>
      <c r="I3219" t="s">
        <v>601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</row>
    <row r="3220" spans="1:25">
      <c r="A3220" t="s">
        <v>18813</v>
      </c>
      <c r="B3220" t="s">
        <v>604</v>
      </c>
      <c r="C3220" t="s">
        <v>595</v>
      </c>
      <c r="D3220" t="s">
        <v>596</v>
      </c>
      <c r="E3220" t="s">
        <v>605</v>
      </c>
      <c r="F3220" t="s">
        <v>598</v>
      </c>
      <c r="G3220" t="s">
        <v>478</v>
      </c>
      <c r="H3220" t="s">
        <v>600</v>
      </c>
      <c r="I3220" t="s">
        <v>601</v>
      </c>
      <c r="J3220">
        <v>2.5600000000000001E-2</v>
      </c>
      <c r="K3220">
        <v>2.3699999999999999E-2</v>
      </c>
      <c r="L3220">
        <v>2.3699999999999999E-2</v>
      </c>
      <c r="M3220">
        <v>2.2700000000000001E-2</v>
      </c>
      <c r="N3220">
        <v>2.1700000000000001E-2</v>
      </c>
      <c r="O3220">
        <v>1.9800000000000002E-2</v>
      </c>
      <c r="P3220">
        <v>1.7899999999999999E-2</v>
      </c>
      <c r="Q3220">
        <v>1.4E-2</v>
      </c>
      <c r="R3220">
        <v>1.4E-2</v>
      </c>
      <c r="S3220">
        <v>1.4E-2</v>
      </c>
      <c r="T3220">
        <v>1.4E-2</v>
      </c>
      <c r="U3220">
        <v>1.4E-2</v>
      </c>
      <c r="V3220">
        <v>1.4E-2</v>
      </c>
      <c r="W3220">
        <v>1.4E-2</v>
      </c>
      <c r="X3220">
        <v>1.4E-2</v>
      </c>
      <c r="Y3220">
        <v>1.4E-2</v>
      </c>
    </row>
    <row r="3221" spans="1:25">
      <c r="A3221" t="s">
        <v>18813</v>
      </c>
      <c r="B3221" t="s">
        <v>614</v>
      </c>
      <c r="C3221" t="s">
        <v>595</v>
      </c>
      <c r="D3221" t="s">
        <v>596</v>
      </c>
      <c r="E3221" t="s">
        <v>615</v>
      </c>
      <c r="F3221" t="s">
        <v>598</v>
      </c>
      <c r="G3221" t="s">
        <v>478</v>
      </c>
      <c r="H3221" t="s">
        <v>600</v>
      </c>
      <c r="I3221" t="s">
        <v>601</v>
      </c>
      <c r="J3221">
        <v>3.7199999999999997E-2</v>
      </c>
      <c r="K3221">
        <v>3.6999999999999998E-2</v>
      </c>
      <c r="L3221">
        <v>3.5999999999999997E-2</v>
      </c>
      <c r="M3221">
        <v>3.6299999999999999E-2</v>
      </c>
      <c r="N3221">
        <v>3.6200000000000003E-2</v>
      </c>
      <c r="O3221">
        <v>3.61E-2</v>
      </c>
      <c r="P3221">
        <v>3.7499999999999999E-2</v>
      </c>
      <c r="Q3221">
        <v>3.85E-2</v>
      </c>
      <c r="R3221">
        <v>3.9199999999999999E-2</v>
      </c>
      <c r="S3221">
        <v>3.9600000000000003E-2</v>
      </c>
      <c r="T3221">
        <v>0.04</v>
      </c>
      <c r="U3221">
        <v>0.04</v>
      </c>
      <c r="V3221">
        <v>0.04</v>
      </c>
      <c r="W3221">
        <v>0.04</v>
      </c>
      <c r="X3221">
        <v>0.04</v>
      </c>
      <c r="Y3221">
        <v>0.04</v>
      </c>
    </row>
    <row r="3222" spans="1:25">
      <c r="A3222" t="s">
        <v>18813</v>
      </c>
      <c r="B3222" t="s">
        <v>620</v>
      </c>
      <c r="C3222" t="s">
        <v>595</v>
      </c>
      <c r="D3222" t="s">
        <v>621</v>
      </c>
      <c r="E3222" t="s">
        <v>597</v>
      </c>
      <c r="F3222" t="s">
        <v>598</v>
      </c>
      <c r="G3222" t="s">
        <v>478</v>
      </c>
      <c r="H3222" t="s">
        <v>600</v>
      </c>
      <c r="I3222" t="s">
        <v>601</v>
      </c>
      <c r="J3222">
        <v>3.5999999999999997E-2</v>
      </c>
      <c r="K3222">
        <v>3.3300000000000003E-2</v>
      </c>
      <c r="L3222">
        <v>3.3300000000000003E-2</v>
      </c>
      <c r="M3222">
        <v>3.2000000000000001E-2</v>
      </c>
      <c r="N3222">
        <v>3.0599999999999999E-2</v>
      </c>
      <c r="O3222">
        <v>2.7900000000000001E-2</v>
      </c>
      <c r="P3222">
        <v>2.53E-2</v>
      </c>
      <c r="Q3222">
        <v>1.9900000000000001E-2</v>
      </c>
      <c r="R3222">
        <v>1.9900000000000001E-2</v>
      </c>
      <c r="S3222">
        <v>1.9900000000000001E-2</v>
      </c>
      <c r="T3222">
        <v>1.9900000000000001E-2</v>
      </c>
      <c r="U3222">
        <v>1.9900000000000001E-2</v>
      </c>
      <c r="V3222">
        <v>1.9900000000000001E-2</v>
      </c>
      <c r="W3222">
        <v>1.9900000000000001E-2</v>
      </c>
      <c r="X3222">
        <v>1.9900000000000001E-2</v>
      </c>
      <c r="Y3222">
        <v>1.9900000000000001E-2</v>
      </c>
    </row>
    <row r="3223" spans="1:25">
      <c r="A3223" t="s">
        <v>18813</v>
      </c>
      <c r="B3223" t="s">
        <v>623</v>
      </c>
      <c r="C3223" t="s">
        <v>595</v>
      </c>
      <c r="D3223" t="s">
        <v>621</v>
      </c>
      <c r="E3223" t="s">
        <v>624</v>
      </c>
      <c r="F3223" t="s">
        <v>598</v>
      </c>
      <c r="G3223" t="s">
        <v>478</v>
      </c>
      <c r="H3223" t="s">
        <v>600</v>
      </c>
      <c r="I3223" t="s">
        <v>601</v>
      </c>
      <c r="J3223">
        <v>0.18770000000000001</v>
      </c>
      <c r="K3223">
        <v>1.7500000000000002E-2</v>
      </c>
      <c r="L3223">
        <v>1.7100000000000001E-2</v>
      </c>
      <c r="M3223">
        <v>1.72E-2</v>
      </c>
      <c r="N3223">
        <v>1.7100000000000001E-2</v>
      </c>
      <c r="O3223">
        <v>1.7100000000000001E-2</v>
      </c>
      <c r="P3223">
        <v>1.78E-2</v>
      </c>
      <c r="Q3223">
        <v>1.83E-2</v>
      </c>
      <c r="R3223">
        <v>1.8499999999999999E-2</v>
      </c>
      <c r="S3223">
        <v>1.8700000000000001E-2</v>
      </c>
      <c r="T3223">
        <v>1.89E-2</v>
      </c>
      <c r="U3223">
        <v>1.89E-2</v>
      </c>
      <c r="V3223">
        <v>1.89E-2</v>
      </c>
      <c r="W3223">
        <v>1.89E-2</v>
      </c>
      <c r="X3223">
        <v>1.89E-2</v>
      </c>
      <c r="Y3223">
        <v>1.89E-2</v>
      </c>
    </row>
    <row r="3224" spans="1:25">
      <c r="A3224" t="s">
        <v>18813</v>
      </c>
      <c r="B3224" t="s">
        <v>625</v>
      </c>
      <c r="C3224" t="s">
        <v>595</v>
      </c>
      <c r="D3224" t="s">
        <v>621</v>
      </c>
      <c r="E3224" t="s">
        <v>626</v>
      </c>
      <c r="F3224" t="s">
        <v>598</v>
      </c>
      <c r="G3224" t="s">
        <v>478</v>
      </c>
      <c r="H3224" t="s">
        <v>600</v>
      </c>
      <c r="I3224" t="s">
        <v>601</v>
      </c>
      <c r="J3224">
        <v>4.5999999999999999E-3</v>
      </c>
      <c r="K3224">
        <v>4.1000000000000003E-3</v>
      </c>
      <c r="L3224">
        <v>4.1000000000000003E-3</v>
      </c>
      <c r="M3224">
        <v>3.8999999999999998E-3</v>
      </c>
      <c r="N3224">
        <v>3.8E-3</v>
      </c>
      <c r="O3224">
        <v>3.3999999999999998E-3</v>
      </c>
      <c r="P3224">
        <v>3.0999999999999999E-3</v>
      </c>
      <c r="Q3224">
        <v>2.3999999999999998E-3</v>
      </c>
      <c r="R3224">
        <v>2.3999999999999998E-3</v>
      </c>
      <c r="S3224">
        <v>2.3999999999999998E-3</v>
      </c>
      <c r="T3224">
        <v>2.3999999999999998E-3</v>
      </c>
      <c r="U3224">
        <v>2.3999999999999998E-3</v>
      </c>
      <c r="V3224">
        <v>2.3999999999999998E-3</v>
      </c>
      <c r="W3224">
        <v>2.3999999999999998E-3</v>
      </c>
      <c r="X3224">
        <v>2.3999999999999998E-3</v>
      </c>
      <c r="Y3224">
        <v>2.3999999999999998E-3</v>
      </c>
    </row>
    <row r="3225" spans="1:25">
      <c r="A3225" t="s">
        <v>18813</v>
      </c>
      <c r="B3225" t="s">
        <v>627</v>
      </c>
      <c r="C3225" t="s">
        <v>595</v>
      </c>
      <c r="D3225" t="s">
        <v>621</v>
      </c>
      <c r="E3225" t="s">
        <v>628</v>
      </c>
      <c r="F3225" t="s">
        <v>598</v>
      </c>
      <c r="G3225" t="s">
        <v>478</v>
      </c>
      <c r="H3225" t="s">
        <v>600</v>
      </c>
      <c r="I3225" t="s">
        <v>601</v>
      </c>
      <c r="J3225">
        <v>0.1694</v>
      </c>
      <c r="K3225">
        <v>0.15670000000000001</v>
      </c>
      <c r="L3225">
        <v>0.15670000000000001</v>
      </c>
      <c r="M3225">
        <v>0.1502</v>
      </c>
      <c r="N3225">
        <v>0.14380000000000001</v>
      </c>
      <c r="O3225">
        <v>0.13109999999999999</v>
      </c>
      <c r="P3225">
        <v>0.11840000000000001</v>
      </c>
      <c r="Q3225">
        <v>9.2799999999999994E-2</v>
      </c>
      <c r="R3225">
        <v>9.2799999999999994E-2</v>
      </c>
      <c r="S3225">
        <v>9.2799999999999994E-2</v>
      </c>
      <c r="T3225">
        <v>9.2799999999999994E-2</v>
      </c>
      <c r="U3225">
        <v>9.2799999999999994E-2</v>
      </c>
      <c r="V3225">
        <v>9.2799999999999994E-2</v>
      </c>
      <c r="W3225">
        <v>9.2799999999999994E-2</v>
      </c>
      <c r="X3225">
        <v>9.2799999999999994E-2</v>
      </c>
      <c r="Y3225">
        <v>9.2799999999999994E-2</v>
      </c>
    </row>
    <row r="3226" spans="1:25">
      <c r="A3226" t="s">
        <v>18813</v>
      </c>
      <c r="B3226" t="s">
        <v>631</v>
      </c>
      <c r="C3226" t="s">
        <v>595</v>
      </c>
      <c r="D3226" t="s">
        <v>632</v>
      </c>
      <c r="E3226" t="s">
        <v>597</v>
      </c>
      <c r="F3226" t="s">
        <v>598</v>
      </c>
      <c r="G3226" t="s">
        <v>478</v>
      </c>
      <c r="H3226" t="s">
        <v>600</v>
      </c>
      <c r="I3226" t="s">
        <v>601</v>
      </c>
      <c r="J3226">
        <v>1.7154</v>
      </c>
      <c r="K3226">
        <v>1.5874999999999999</v>
      </c>
      <c r="L3226">
        <v>1.5869</v>
      </c>
      <c r="M3226">
        <v>1.5232000000000001</v>
      </c>
      <c r="N3226">
        <v>1.4592000000000001</v>
      </c>
      <c r="O3226">
        <v>1.3313999999999999</v>
      </c>
      <c r="P3226">
        <v>1.2044999999999999</v>
      </c>
      <c r="Q3226">
        <v>0.94940000000000002</v>
      </c>
      <c r="R3226">
        <v>0.94979999999999998</v>
      </c>
      <c r="S3226">
        <v>0.95009999999999994</v>
      </c>
      <c r="T3226">
        <v>0.95020000000000004</v>
      </c>
      <c r="U3226">
        <v>0.95020000000000004</v>
      </c>
      <c r="V3226">
        <v>0.95020000000000004</v>
      </c>
      <c r="W3226">
        <v>0.95020000000000004</v>
      </c>
      <c r="X3226">
        <v>0.95020000000000004</v>
      </c>
      <c r="Y3226">
        <v>0.95020000000000004</v>
      </c>
    </row>
    <row r="3227" spans="1:25">
      <c r="A3227" t="s">
        <v>18813</v>
      </c>
      <c r="B3227" t="s">
        <v>633</v>
      </c>
      <c r="C3227" t="s">
        <v>595</v>
      </c>
      <c r="D3227" t="s">
        <v>632</v>
      </c>
      <c r="E3227" t="s">
        <v>634</v>
      </c>
      <c r="F3227" t="s">
        <v>598</v>
      </c>
      <c r="G3227" t="s">
        <v>478</v>
      </c>
      <c r="H3227" t="s">
        <v>600</v>
      </c>
      <c r="I3227" t="s">
        <v>601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>
      <c r="A3228" t="s">
        <v>18813</v>
      </c>
      <c r="B3228" t="s">
        <v>635</v>
      </c>
      <c r="C3228" t="s">
        <v>595</v>
      </c>
      <c r="D3228" t="s">
        <v>632</v>
      </c>
      <c r="E3228" t="s">
        <v>624</v>
      </c>
      <c r="F3228" t="s">
        <v>598</v>
      </c>
      <c r="G3228" t="s">
        <v>478</v>
      </c>
      <c r="H3228" t="s">
        <v>600</v>
      </c>
      <c r="I3228" t="s">
        <v>601</v>
      </c>
      <c r="J3228">
        <v>7.0900000000000005E-2</v>
      </c>
      <c r="K3228">
        <v>6.7000000000000002E-3</v>
      </c>
      <c r="L3228">
        <v>6.4999999999999997E-3</v>
      </c>
      <c r="M3228">
        <v>6.4999999999999997E-3</v>
      </c>
      <c r="N3228">
        <v>6.4999999999999997E-3</v>
      </c>
      <c r="O3228">
        <v>6.4999999999999997E-3</v>
      </c>
      <c r="P3228">
        <v>6.7000000000000002E-3</v>
      </c>
      <c r="Q3228">
        <v>6.8999999999999999E-3</v>
      </c>
      <c r="R3228">
        <v>7.0000000000000001E-3</v>
      </c>
      <c r="S3228">
        <v>7.0000000000000001E-3</v>
      </c>
      <c r="T3228">
        <v>7.0000000000000001E-3</v>
      </c>
      <c r="U3228">
        <v>7.0000000000000001E-3</v>
      </c>
      <c r="V3228">
        <v>7.0000000000000001E-3</v>
      </c>
      <c r="W3228">
        <v>7.0000000000000001E-3</v>
      </c>
      <c r="X3228">
        <v>7.0000000000000001E-3</v>
      </c>
      <c r="Y3228">
        <v>7.0000000000000001E-3</v>
      </c>
    </row>
    <row r="3229" spans="1:25">
      <c r="A3229" t="s">
        <v>18813</v>
      </c>
      <c r="B3229" t="s">
        <v>636</v>
      </c>
      <c r="C3229" t="s">
        <v>595</v>
      </c>
      <c r="D3229" t="s">
        <v>632</v>
      </c>
      <c r="E3229" t="s">
        <v>628</v>
      </c>
      <c r="F3229" t="s">
        <v>598</v>
      </c>
      <c r="G3229" t="s">
        <v>478</v>
      </c>
      <c r="H3229" t="s">
        <v>600</v>
      </c>
      <c r="I3229" t="s">
        <v>601</v>
      </c>
      <c r="J3229">
        <v>1E-4</v>
      </c>
      <c r="K3229">
        <v>1E-4</v>
      </c>
      <c r="L3229">
        <v>1E-4</v>
      </c>
      <c r="M3229">
        <v>1E-4</v>
      </c>
      <c r="N3229">
        <v>1E-4</v>
      </c>
      <c r="O3229">
        <v>1E-4</v>
      </c>
      <c r="P3229">
        <v>1E-4</v>
      </c>
      <c r="Q3229">
        <v>1E-4</v>
      </c>
      <c r="R3229">
        <v>1E-4</v>
      </c>
      <c r="S3229">
        <v>1E-4</v>
      </c>
      <c r="T3229">
        <v>1E-4</v>
      </c>
      <c r="U3229">
        <v>1E-4</v>
      </c>
      <c r="V3229">
        <v>1E-4</v>
      </c>
      <c r="W3229">
        <v>1E-4</v>
      </c>
      <c r="X3229">
        <v>1E-4</v>
      </c>
      <c r="Y3229">
        <v>1E-4</v>
      </c>
    </row>
    <row r="3230" spans="1:25">
      <c r="A3230" t="s">
        <v>18813</v>
      </c>
      <c r="B3230" t="s">
        <v>639</v>
      </c>
      <c r="C3230" t="s">
        <v>595</v>
      </c>
      <c r="D3230" t="s">
        <v>640</v>
      </c>
      <c r="E3230" t="s">
        <v>597</v>
      </c>
      <c r="F3230" t="s">
        <v>598</v>
      </c>
      <c r="G3230" t="s">
        <v>478</v>
      </c>
      <c r="H3230" t="s">
        <v>600</v>
      </c>
      <c r="I3230" t="s">
        <v>601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>
      <c r="A3231" t="s">
        <v>18813</v>
      </c>
      <c r="B3231" t="s">
        <v>641</v>
      </c>
      <c r="C3231" t="s">
        <v>595</v>
      </c>
      <c r="D3231" t="s">
        <v>640</v>
      </c>
      <c r="E3231" t="s">
        <v>642</v>
      </c>
      <c r="F3231" t="s">
        <v>598</v>
      </c>
      <c r="G3231" t="s">
        <v>478</v>
      </c>
      <c r="H3231" t="s">
        <v>600</v>
      </c>
      <c r="I3231" t="s">
        <v>601</v>
      </c>
      <c r="J3231">
        <v>1E-4</v>
      </c>
      <c r="K3231">
        <v>1E-4</v>
      </c>
      <c r="L3231">
        <v>1E-4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hidden="1">
      <c r="A3232" t="s">
        <v>18813</v>
      </c>
      <c r="B3232" t="s">
        <v>660</v>
      </c>
      <c r="C3232" t="s">
        <v>651</v>
      </c>
      <c r="D3232" t="s">
        <v>632</v>
      </c>
      <c r="E3232" t="s">
        <v>597</v>
      </c>
      <c r="F3232" t="s">
        <v>598</v>
      </c>
      <c r="G3232" t="s">
        <v>478</v>
      </c>
      <c r="H3232" t="s">
        <v>600</v>
      </c>
      <c r="I3232" t="s">
        <v>601</v>
      </c>
      <c r="J3232">
        <v>0.32669999999999999</v>
      </c>
      <c r="K3232">
        <v>0.30220000000000002</v>
      </c>
      <c r="L3232">
        <v>0.30220000000000002</v>
      </c>
      <c r="M3232">
        <v>0.28989999999999999</v>
      </c>
      <c r="N3232">
        <v>0.27739999999999998</v>
      </c>
      <c r="O3232">
        <v>0.25290000000000001</v>
      </c>
      <c r="P3232">
        <v>0.22819999999999999</v>
      </c>
      <c r="Q3232">
        <v>0.1789</v>
      </c>
      <c r="R3232">
        <v>0.1789</v>
      </c>
      <c r="S3232">
        <v>0.1789</v>
      </c>
      <c r="T3232">
        <v>0.1789</v>
      </c>
      <c r="U3232">
        <v>0.1789</v>
      </c>
      <c r="V3232">
        <v>0.1789</v>
      </c>
      <c r="W3232">
        <v>0.1789</v>
      </c>
      <c r="X3232">
        <v>0.1789</v>
      </c>
      <c r="Y3232">
        <v>0.1789</v>
      </c>
    </row>
    <row r="3233" spans="1:25" hidden="1">
      <c r="A3233" t="s">
        <v>18813</v>
      </c>
      <c r="B3233" t="s">
        <v>662</v>
      </c>
      <c r="C3233" t="s">
        <v>651</v>
      </c>
      <c r="D3233" t="s">
        <v>648</v>
      </c>
      <c r="E3233" t="s">
        <v>649</v>
      </c>
      <c r="F3233" t="s">
        <v>598</v>
      </c>
      <c r="G3233" t="s">
        <v>478</v>
      </c>
      <c r="H3233" t="s">
        <v>600</v>
      </c>
      <c r="I3233" t="s">
        <v>601</v>
      </c>
      <c r="J3233">
        <v>0.1502</v>
      </c>
      <c r="K3233">
        <v>0.1396</v>
      </c>
      <c r="L3233">
        <v>0.13930000000000001</v>
      </c>
      <c r="M3233">
        <v>0.1341</v>
      </c>
      <c r="N3233">
        <v>0.12870000000000001</v>
      </c>
      <c r="O3233">
        <v>0.1182</v>
      </c>
      <c r="P3233">
        <v>0.108</v>
      </c>
      <c r="Q3233">
        <v>8.72E-2</v>
      </c>
      <c r="R3233">
        <v>8.7400000000000005E-2</v>
      </c>
      <c r="S3233">
        <v>8.7499999999999994E-2</v>
      </c>
      <c r="T3233">
        <v>8.7599999999999997E-2</v>
      </c>
      <c r="U3233">
        <v>8.7599999999999997E-2</v>
      </c>
      <c r="V3233">
        <v>8.7599999999999997E-2</v>
      </c>
      <c r="W3233">
        <v>8.7599999999999997E-2</v>
      </c>
      <c r="X3233">
        <v>8.7599999999999997E-2</v>
      </c>
      <c r="Y3233">
        <v>8.7599999999999997E-2</v>
      </c>
    </row>
    <row r="3234" spans="1:25" hidden="1">
      <c r="A3234" t="s">
        <v>18813</v>
      </c>
      <c r="B3234" t="s">
        <v>663</v>
      </c>
      <c r="C3234" t="s">
        <v>664</v>
      </c>
      <c r="D3234" t="s">
        <v>596</v>
      </c>
      <c r="E3234" t="s">
        <v>597</v>
      </c>
      <c r="F3234" t="s">
        <v>598</v>
      </c>
      <c r="G3234" t="s">
        <v>478</v>
      </c>
      <c r="H3234" t="s">
        <v>600</v>
      </c>
      <c r="I3234" t="s">
        <v>601</v>
      </c>
      <c r="J3234">
        <v>6.0699999999999997E-2</v>
      </c>
      <c r="K3234">
        <v>5.6099999999999997E-2</v>
      </c>
      <c r="L3234">
        <v>5.6099999999999997E-2</v>
      </c>
      <c r="M3234">
        <v>5.3800000000000001E-2</v>
      </c>
      <c r="N3234">
        <v>5.1499999999999997E-2</v>
      </c>
      <c r="O3234">
        <v>4.7E-2</v>
      </c>
      <c r="P3234">
        <v>4.24E-2</v>
      </c>
      <c r="Q3234">
        <v>3.3300000000000003E-2</v>
      </c>
      <c r="R3234">
        <v>3.3300000000000003E-2</v>
      </c>
      <c r="S3234">
        <v>3.3300000000000003E-2</v>
      </c>
      <c r="T3234">
        <v>3.3300000000000003E-2</v>
      </c>
      <c r="U3234">
        <v>3.3300000000000003E-2</v>
      </c>
      <c r="V3234">
        <v>3.3300000000000003E-2</v>
      </c>
      <c r="W3234">
        <v>3.3300000000000003E-2</v>
      </c>
      <c r="X3234">
        <v>3.3300000000000003E-2</v>
      </c>
      <c r="Y3234">
        <v>3.3300000000000003E-2</v>
      </c>
    </row>
    <row r="3235" spans="1:25" hidden="1">
      <c r="A3235" t="s">
        <v>18813</v>
      </c>
      <c r="B3235" t="s">
        <v>666</v>
      </c>
      <c r="C3235" t="s">
        <v>664</v>
      </c>
      <c r="D3235" t="s">
        <v>596</v>
      </c>
      <c r="E3235" t="s">
        <v>605</v>
      </c>
      <c r="F3235" t="s">
        <v>598</v>
      </c>
      <c r="G3235" t="s">
        <v>478</v>
      </c>
      <c r="H3235" t="s">
        <v>600</v>
      </c>
      <c r="I3235" t="s">
        <v>601</v>
      </c>
      <c r="J3235">
        <v>6.4000000000000001E-2</v>
      </c>
      <c r="K3235">
        <v>5.9200000000000003E-2</v>
      </c>
      <c r="L3235">
        <v>5.9200000000000003E-2</v>
      </c>
      <c r="M3235">
        <v>5.6800000000000003E-2</v>
      </c>
      <c r="N3235">
        <v>5.4399999999999997E-2</v>
      </c>
      <c r="O3235">
        <v>4.9500000000000002E-2</v>
      </c>
      <c r="P3235">
        <v>4.4699999999999997E-2</v>
      </c>
      <c r="Q3235">
        <v>3.5000000000000003E-2</v>
      </c>
      <c r="R3235">
        <v>3.5000000000000003E-2</v>
      </c>
      <c r="S3235">
        <v>3.5000000000000003E-2</v>
      </c>
      <c r="T3235">
        <v>3.5000000000000003E-2</v>
      </c>
      <c r="U3235">
        <v>3.5000000000000003E-2</v>
      </c>
      <c r="V3235">
        <v>3.5000000000000003E-2</v>
      </c>
      <c r="W3235">
        <v>3.5000000000000003E-2</v>
      </c>
      <c r="X3235">
        <v>3.5000000000000003E-2</v>
      </c>
      <c r="Y3235">
        <v>3.5000000000000003E-2</v>
      </c>
    </row>
    <row r="3236" spans="1:25" hidden="1">
      <c r="A3236" t="s">
        <v>18813</v>
      </c>
      <c r="B3236" t="s">
        <v>667</v>
      </c>
      <c r="C3236" t="s">
        <v>664</v>
      </c>
      <c r="D3236" t="s">
        <v>596</v>
      </c>
      <c r="E3236" t="s">
        <v>619</v>
      </c>
      <c r="F3236" t="s">
        <v>598</v>
      </c>
      <c r="G3236" t="s">
        <v>478</v>
      </c>
      <c r="H3236" t="s">
        <v>600</v>
      </c>
      <c r="I3236" t="s">
        <v>601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hidden="1">
      <c r="A3237" t="s">
        <v>18813</v>
      </c>
      <c r="B3237" t="s">
        <v>670</v>
      </c>
      <c r="C3237" t="s">
        <v>664</v>
      </c>
      <c r="D3237" t="s">
        <v>671</v>
      </c>
      <c r="E3237" t="s">
        <v>672</v>
      </c>
      <c r="F3237" t="s">
        <v>598</v>
      </c>
      <c r="G3237" t="s">
        <v>478</v>
      </c>
      <c r="H3237" t="s">
        <v>600</v>
      </c>
      <c r="I3237" t="s">
        <v>601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hidden="1">
      <c r="A3238" t="s">
        <v>18813</v>
      </c>
      <c r="B3238" t="s">
        <v>673</v>
      </c>
      <c r="C3238" t="s">
        <v>664</v>
      </c>
      <c r="D3238" t="s">
        <v>671</v>
      </c>
      <c r="E3238" t="s">
        <v>597</v>
      </c>
      <c r="F3238" t="s">
        <v>598</v>
      </c>
      <c r="G3238" t="s">
        <v>478</v>
      </c>
      <c r="H3238" t="s">
        <v>600</v>
      </c>
      <c r="I3238" t="s">
        <v>601</v>
      </c>
      <c r="J3238">
        <v>0.2074</v>
      </c>
      <c r="K3238">
        <v>0.19189999999999999</v>
      </c>
      <c r="L3238">
        <v>0.19189999999999999</v>
      </c>
      <c r="M3238">
        <v>0.1842</v>
      </c>
      <c r="N3238">
        <v>0.17649999999999999</v>
      </c>
      <c r="O3238">
        <v>0.161</v>
      </c>
      <c r="P3238">
        <v>0.1457</v>
      </c>
      <c r="Q3238">
        <v>0.1148</v>
      </c>
      <c r="R3238">
        <v>0.1148</v>
      </c>
      <c r="S3238">
        <v>0.1148</v>
      </c>
      <c r="T3238">
        <v>0.1148</v>
      </c>
      <c r="U3238">
        <v>0.1148</v>
      </c>
      <c r="V3238">
        <v>0.1148</v>
      </c>
      <c r="W3238">
        <v>0.1148</v>
      </c>
      <c r="X3238">
        <v>0.1148</v>
      </c>
      <c r="Y3238">
        <v>0.1149</v>
      </c>
    </row>
    <row r="3239" spans="1:25" hidden="1">
      <c r="A3239" t="s">
        <v>18813</v>
      </c>
      <c r="B3239" t="s">
        <v>677</v>
      </c>
      <c r="C3239" t="s">
        <v>664</v>
      </c>
      <c r="D3239" t="s">
        <v>671</v>
      </c>
      <c r="E3239" t="s">
        <v>678</v>
      </c>
      <c r="F3239" t="s">
        <v>598</v>
      </c>
      <c r="G3239" t="s">
        <v>478</v>
      </c>
      <c r="H3239" t="s">
        <v>600</v>
      </c>
      <c r="I3239" t="s">
        <v>601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hidden="1">
      <c r="A3240" t="s">
        <v>18813</v>
      </c>
      <c r="B3240" t="s">
        <v>683</v>
      </c>
      <c r="C3240" t="s">
        <v>664</v>
      </c>
      <c r="D3240" t="s">
        <v>621</v>
      </c>
      <c r="E3240" t="s">
        <v>672</v>
      </c>
      <c r="F3240" t="s">
        <v>598</v>
      </c>
      <c r="G3240" t="s">
        <v>478</v>
      </c>
      <c r="H3240" t="s">
        <v>600</v>
      </c>
      <c r="I3240" t="s">
        <v>601</v>
      </c>
      <c r="J3240">
        <v>0.57389999999999997</v>
      </c>
      <c r="K3240">
        <v>0.5776</v>
      </c>
      <c r="L3240">
        <v>0.57930000000000004</v>
      </c>
      <c r="M3240">
        <v>0.58560000000000001</v>
      </c>
      <c r="N3240">
        <v>0.58620000000000005</v>
      </c>
      <c r="O3240">
        <v>0.58750000000000002</v>
      </c>
      <c r="P3240">
        <v>0.59319999999999995</v>
      </c>
      <c r="Q3240">
        <v>0.59950000000000003</v>
      </c>
      <c r="R3240">
        <v>0.60119999999999996</v>
      </c>
      <c r="S3240">
        <v>0.60160000000000002</v>
      </c>
      <c r="T3240">
        <v>0.60150000000000003</v>
      </c>
      <c r="U3240">
        <v>0.60150000000000003</v>
      </c>
      <c r="V3240">
        <v>0.60219999999999996</v>
      </c>
      <c r="W3240">
        <v>0.6028</v>
      </c>
      <c r="X3240">
        <v>0.60399999999999998</v>
      </c>
      <c r="Y3240">
        <v>0.60460000000000003</v>
      </c>
    </row>
    <row r="3241" spans="1:25" hidden="1">
      <c r="A3241" t="s">
        <v>18813</v>
      </c>
      <c r="B3241" t="s">
        <v>684</v>
      </c>
      <c r="C3241" t="s">
        <v>664</v>
      </c>
      <c r="D3241" t="s">
        <v>621</v>
      </c>
      <c r="E3241" t="s">
        <v>597</v>
      </c>
      <c r="F3241" t="s">
        <v>598</v>
      </c>
      <c r="G3241" t="s">
        <v>478</v>
      </c>
      <c r="H3241" t="s">
        <v>600</v>
      </c>
      <c r="I3241" t="s">
        <v>601</v>
      </c>
      <c r="J3241">
        <v>7.7799999999999994E-2</v>
      </c>
      <c r="K3241">
        <v>7.6700000000000004E-2</v>
      </c>
      <c r="L3241">
        <v>7.6999999999999999E-2</v>
      </c>
      <c r="M3241">
        <v>7.6799999999999993E-2</v>
      </c>
      <c r="N3241">
        <v>7.6300000000000007E-2</v>
      </c>
      <c r="O3241">
        <v>7.5300000000000006E-2</v>
      </c>
      <c r="P3241">
        <v>7.46E-2</v>
      </c>
      <c r="Q3241">
        <v>7.1999999999999995E-2</v>
      </c>
      <c r="R3241">
        <v>7.22E-2</v>
      </c>
      <c r="S3241">
        <v>7.2099999999999997E-2</v>
      </c>
      <c r="T3241">
        <v>7.2099999999999997E-2</v>
      </c>
      <c r="U3241">
        <v>7.22E-2</v>
      </c>
      <c r="V3241">
        <v>7.2300000000000003E-2</v>
      </c>
      <c r="W3241">
        <v>7.2400000000000006E-2</v>
      </c>
      <c r="X3241">
        <v>7.2499999999999995E-2</v>
      </c>
      <c r="Y3241">
        <v>7.2599999999999998E-2</v>
      </c>
    </row>
    <row r="3242" spans="1:25" hidden="1">
      <c r="A3242" t="s">
        <v>18813</v>
      </c>
      <c r="B3242" t="s">
        <v>685</v>
      </c>
      <c r="C3242" t="s">
        <v>664</v>
      </c>
      <c r="D3242" t="s">
        <v>621</v>
      </c>
      <c r="E3242" t="s">
        <v>603</v>
      </c>
      <c r="F3242" t="s">
        <v>598</v>
      </c>
      <c r="G3242" t="s">
        <v>478</v>
      </c>
      <c r="H3242" t="s">
        <v>600</v>
      </c>
      <c r="I3242" t="s">
        <v>601</v>
      </c>
      <c r="J3242">
        <v>4.0000000000000002E-4</v>
      </c>
      <c r="K3242">
        <v>2.9999999999999997E-4</v>
      </c>
      <c r="L3242">
        <v>4.0000000000000002E-4</v>
      </c>
      <c r="M3242">
        <v>2.9999999999999997E-4</v>
      </c>
      <c r="N3242">
        <v>2.9999999999999997E-4</v>
      </c>
      <c r="O3242">
        <v>2.9999999999999997E-4</v>
      </c>
      <c r="P3242">
        <v>2.9999999999999997E-4</v>
      </c>
      <c r="Q3242">
        <v>2.9999999999999997E-4</v>
      </c>
      <c r="R3242">
        <v>2.9999999999999997E-4</v>
      </c>
      <c r="S3242">
        <v>2.9999999999999997E-4</v>
      </c>
      <c r="T3242">
        <v>2.9999999999999997E-4</v>
      </c>
      <c r="U3242">
        <v>2.9999999999999997E-4</v>
      </c>
      <c r="V3242">
        <v>2.9999999999999997E-4</v>
      </c>
      <c r="W3242">
        <v>2.9999999999999997E-4</v>
      </c>
      <c r="X3242">
        <v>2.9999999999999997E-4</v>
      </c>
      <c r="Y3242">
        <v>2.9999999999999997E-4</v>
      </c>
    </row>
    <row r="3243" spans="1:25" hidden="1">
      <c r="A3243" t="s">
        <v>18813</v>
      </c>
      <c r="B3243" t="s">
        <v>689</v>
      </c>
      <c r="C3243" t="s">
        <v>664</v>
      </c>
      <c r="D3243" t="s">
        <v>621</v>
      </c>
      <c r="E3243" t="s">
        <v>626</v>
      </c>
      <c r="F3243" t="s">
        <v>598</v>
      </c>
      <c r="G3243" t="s">
        <v>478</v>
      </c>
      <c r="H3243" t="s">
        <v>600</v>
      </c>
      <c r="I3243" t="s">
        <v>601</v>
      </c>
      <c r="J3243">
        <v>0.129</v>
      </c>
      <c r="K3243">
        <v>0.1192</v>
      </c>
      <c r="L3243">
        <v>0.1192</v>
      </c>
      <c r="M3243">
        <v>0.1144</v>
      </c>
      <c r="N3243">
        <v>0.1094</v>
      </c>
      <c r="O3243">
        <v>9.98E-2</v>
      </c>
      <c r="P3243">
        <v>0.09</v>
      </c>
      <c r="Q3243">
        <v>7.0599999999999996E-2</v>
      </c>
      <c r="R3243">
        <v>7.0599999999999996E-2</v>
      </c>
      <c r="S3243">
        <v>7.0599999999999996E-2</v>
      </c>
      <c r="T3243">
        <v>7.0599999999999996E-2</v>
      </c>
      <c r="U3243">
        <v>7.0599999999999996E-2</v>
      </c>
      <c r="V3243">
        <v>7.0599999999999996E-2</v>
      </c>
      <c r="W3243">
        <v>7.0599999999999996E-2</v>
      </c>
      <c r="X3243">
        <v>7.0599999999999996E-2</v>
      </c>
      <c r="Y3243">
        <v>7.0599999999999996E-2</v>
      </c>
    </row>
    <row r="3244" spans="1:25" hidden="1">
      <c r="A3244" t="s">
        <v>18813</v>
      </c>
      <c r="B3244" t="s">
        <v>690</v>
      </c>
      <c r="C3244" t="s">
        <v>664</v>
      </c>
      <c r="D3244" t="s">
        <v>621</v>
      </c>
      <c r="E3244" t="s">
        <v>628</v>
      </c>
      <c r="F3244" t="s">
        <v>598</v>
      </c>
      <c r="G3244" t="s">
        <v>478</v>
      </c>
      <c r="H3244" t="s">
        <v>600</v>
      </c>
      <c r="I3244" t="s">
        <v>601</v>
      </c>
      <c r="J3244">
        <v>0.2223</v>
      </c>
      <c r="K3244">
        <v>0.215</v>
      </c>
      <c r="L3244">
        <v>0.215</v>
      </c>
      <c r="M3244">
        <v>0.20630000000000001</v>
      </c>
      <c r="N3244">
        <v>7.5899999999999995E-2</v>
      </c>
      <c r="O3244">
        <v>6.9000000000000006E-2</v>
      </c>
      <c r="P3244">
        <v>6.2300000000000001E-2</v>
      </c>
      <c r="Q3244">
        <v>4.8899999999999999E-2</v>
      </c>
      <c r="R3244">
        <v>4.8899999999999999E-2</v>
      </c>
      <c r="S3244">
        <v>4.8899999999999999E-2</v>
      </c>
      <c r="T3244">
        <v>4.8899999999999999E-2</v>
      </c>
      <c r="U3244">
        <v>4.8899999999999999E-2</v>
      </c>
      <c r="V3244">
        <v>4.8899999999999999E-2</v>
      </c>
      <c r="W3244">
        <v>4.8899999999999999E-2</v>
      </c>
      <c r="X3244">
        <v>4.8899999999999999E-2</v>
      </c>
      <c r="Y3244">
        <v>4.8899999999999999E-2</v>
      </c>
    </row>
    <row r="3245" spans="1:25" hidden="1">
      <c r="A3245" t="s">
        <v>18813</v>
      </c>
      <c r="B3245" t="s">
        <v>693</v>
      </c>
      <c r="C3245" t="s">
        <v>664</v>
      </c>
      <c r="D3245" t="s">
        <v>621</v>
      </c>
      <c r="E3245" t="s">
        <v>678</v>
      </c>
      <c r="F3245" t="s">
        <v>598</v>
      </c>
      <c r="G3245" t="s">
        <v>478</v>
      </c>
      <c r="H3245" t="s">
        <v>600</v>
      </c>
      <c r="I3245" t="s">
        <v>601</v>
      </c>
      <c r="J3245">
        <v>4.6800000000000001E-2</v>
      </c>
      <c r="K3245">
        <v>4.7100000000000003E-2</v>
      </c>
      <c r="L3245">
        <v>4.7399999999999998E-2</v>
      </c>
      <c r="M3245">
        <v>4.7699999999999999E-2</v>
      </c>
      <c r="N3245">
        <v>4.7899999999999998E-2</v>
      </c>
      <c r="O3245">
        <v>4.8300000000000003E-2</v>
      </c>
      <c r="P3245">
        <v>4.8800000000000003E-2</v>
      </c>
      <c r="Q3245">
        <v>4.9200000000000001E-2</v>
      </c>
      <c r="R3245">
        <v>4.9299999999999997E-2</v>
      </c>
      <c r="S3245">
        <v>4.9299999999999997E-2</v>
      </c>
      <c r="T3245">
        <v>4.9200000000000001E-2</v>
      </c>
      <c r="U3245">
        <v>4.9200000000000001E-2</v>
      </c>
      <c r="V3245">
        <v>4.9299999999999997E-2</v>
      </c>
      <c r="W3245">
        <v>4.9399999999999999E-2</v>
      </c>
      <c r="X3245">
        <v>4.9599999999999998E-2</v>
      </c>
      <c r="Y3245">
        <v>4.9599999999999998E-2</v>
      </c>
    </row>
    <row r="3246" spans="1:25" hidden="1">
      <c r="A3246" t="s">
        <v>18813</v>
      </c>
      <c r="B3246" t="s">
        <v>696</v>
      </c>
      <c r="C3246" t="s">
        <v>664</v>
      </c>
      <c r="D3246" t="s">
        <v>632</v>
      </c>
      <c r="E3246" t="s">
        <v>597</v>
      </c>
      <c r="F3246" t="s">
        <v>598</v>
      </c>
      <c r="G3246" t="s">
        <v>478</v>
      </c>
      <c r="H3246" t="s">
        <v>600</v>
      </c>
      <c r="I3246" t="s">
        <v>601</v>
      </c>
      <c r="J3246">
        <v>0.43</v>
      </c>
      <c r="K3246">
        <v>0.42170000000000002</v>
      </c>
      <c r="L3246">
        <v>0.42170000000000002</v>
      </c>
      <c r="M3246">
        <v>0.4047</v>
      </c>
      <c r="N3246">
        <v>8.2000000000000003E-2</v>
      </c>
      <c r="O3246">
        <v>7.4999999999999997E-2</v>
      </c>
      <c r="P3246">
        <v>6.8099999999999994E-2</v>
      </c>
      <c r="Q3246">
        <v>5.4399999999999997E-2</v>
      </c>
      <c r="R3246">
        <v>5.4399999999999997E-2</v>
      </c>
      <c r="S3246">
        <v>5.4399999999999997E-2</v>
      </c>
      <c r="T3246">
        <v>5.4399999999999997E-2</v>
      </c>
      <c r="U3246">
        <v>5.4399999999999997E-2</v>
      </c>
      <c r="V3246">
        <v>5.4399999999999997E-2</v>
      </c>
      <c r="W3246">
        <v>5.4399999999999997E-2</v>
      </c>
      <c r="X3246">
        <v>5.4399999999999997E-2</v>
      </c>
      <c r="Y3246">
        <v>5.4399999999999997E-2</v>
      </c>
    </row>
    <row r="3247" spans="1:25" hidden="1">
      <c r="A3247" t="s">
        <v>18813</v>
      </c>
      <c r="B3247" t="s">
        <v>697</v>
      </c>
      <c r="C3247" t="s">
        <v>664</v>
      </c>
      <c r="D3247" t="s">
        <v>632</v>
      </c>
      <c r="E3247" t="s">
        <v>628</v>
      </c>
      <c r="F3247" t="s">
        <v>598</v>
      </c>
      <c r="G3247" t="s">
        <v>478</v>
      </c>
      <c r="H3247" t="s">
        <v>600</v>
      </c>
      <c r="I3247" t="s">
        <v>601</v>
      </c>
      <c r="J3247">
        <v>1.0999999999999999E-2</v>
      </c>
      <c r="K3247">
        <v>1.09E-2</v>
      </c>
      <c r="L3247">
        <v>1.09E-2</v>
      </c>
      <c r="M3247">
        <v>1.04E-2</v>
      </c>
      <c r="N3247">
        <v>1.2999999999999999E-3</v>
      </c>
      <c r="O3247">
        <v>1.1999999999999999E-3</v>
      </c>
      <c r="P3247">
        <v>1.1000000000000001E-3</v>
      </c>
      <c r="Q3247">
        <v>8.0000000000000004E-4</v>
      </c>
      <c r="R3247">
        <v>8.0000000000000004E-4</v>
      </c>
      <c r="S3247">
        <v>8.0000000000000004E-4</v>
      </c>
      <c r="T3247">
        <v>8.0000000000000004E-4</v>
      </c>
      <c r="U3247">
        <v>8.0000000000000004E-4</v>
      </c>
      <c r="V3247">
        <v>8.0000000000000004E-4</v>
      </c>
      <c r="W3247">
        <v>8.0000000000000004E-4</v>
      </c>
      <c r="X3247">
        <v>8.0000000000000004E-4</v>
      </c>
      <c r="Y3247">
        <v>8.0000000000000004E-4</v>
      </c>
    </row>
    <row r="3248" spans="1:25" hidden="1">
      <c r="A3248" t="s">
        <v>18813</v>
      </c>
      <c r="B3248" t="s">
        <v>700</v>
      </c>
      <c r="C3248" t="s">
        <v>664</v>
      </c>
      <c r="D3248" t="s">
        <v>701</v>
      </c>
      <c r="E3248" t="s">
        <v>672</v>
      </c>
      <c r="F3248" t="s">
        <v>598</v>
      </c>
      <c r="G3248" t="s">
        <v>478</v>
      </c>
      <c r="H3248" t="s">
        <v>600</v>
      </c>
      <c r="I3248" t="s">
        <v>601</v>
      </c>
      <c r="J3248">
        <v>1E-4</v>
      </c>
      <c r="K3248">
        <v>1E-4</v>
      </c>
      <c r="L3248">
        <v>1E-4</v>
      </c>
      <c r="M3248">
        <v>1E-4</v>
      </c>
      <c r="N3248">
        <v>1E-4</v>
      </c>
      <c r="O3248">
        <v>1E-4</v>
      </c>
      <c r="P3248">
        <v>1E-4</v>
      </c>
      <c r="Q3248">
        <v>1E-4</v>
      </c>
      <c r="R3248">
        <v>1E-4</v>
      </c>
      <c r="S3248">
        <v>1E-4</v>
      </c>
      <c r="T3248">
        <v>1E-4</v>
      </c>
      <c r="U3248">
        <v>1E-4</v>
      </c>
      <c r="V3248">
        <v>1E-4</v>
      </c>
      <c r="W3248">
        <v>1E-4</v>
      </c>
      <c r="X3248">
        <v>1E-4</v>
      </c>
      <c r="Y3248">
        <v>1E-4</v>
      </c>
    </row>
    <row r="3249" spans="1:25" hidden="1">
      <c r="A3249" t="s">
        <v>18813</v>
      </c>
      <c r="B3249" t="s">
        <v>702</v>
      </c>
      <c r="C3249" t="s">
        <v>664</v>
      </c>
      <c r="D3249" t="s">
        <v>701</v>
      </c>
      <c r="E3249" t="s">
        <v>597</v>
      </c>
      <c r="F3249" t="s">
        <v>598</v>
      </c>
      <c r="G3249" t="s">
        <v>478</v>
      </c>
      <c r="H3249" t="s">
        <v>600</v>
      </c>
      <c r="I3249" t="s">
        <v>601</v>
      </c>
      <c r="J3249">
        <v>1E-4</v>
      </c>
      <c r="K3249">
        <v>1E-4</v>
      </c>
      <c r="L3249">
        <v>1E-4</v>
      </c>
      <c r="M3249">
        <v>1E-4</v>
      </c>
      <c r="N3249">
        <v>1E-4</v>
      </c>
      <c r="O3249">
        <v>1E-4</v>
      </c>
      <c r="P3249">
        <v>1E-4</v>
      </c>
      <c r="Q3249">
        <v>1E-4</v>
      </c>
      <c r="R3249">
        <v>1E-4</v>
      </c>
      <c r="S3249">
        <v>1E-4</v>
      </c>
      <c r="T3249">
        <v>1E-4</v>
      </c>
      <c r="U3249">
        <v>1E-4</v>
      </c>
      <c r="V3249">
        <v>1E-4</v>
      </c>
      <c r="W3249">
        <v>1E-4</v>
      </c>
      <c r="X3249">
        <v>1E-4</v>
      </c>
      <c r="Y3249">
        <v>1E-4</v>
      </c>
    </row>
    <row r="3250" spans="1:25" hidden="1">
      <c r="A3250" t="s">
        <v>18813</v>
      </c>
      <c r="B3250" t="s">
        <v>703</v>
      </c>
      <c r="C3250" t="s">
        <v>664</v>
      </c>
      <c r="D3250" t="s">
        <v>704</v>
      </c>
      <c r="E3250" t="s">
        <v>672</v>
      </c>
      <c r="F3250" t="s">
        <v>598</v>
      </c>
      <c r="G3250" t="s">
        <v>478</v>
      </c>
      <c r="H3250" t="s">
        <v>600</v>
      </c>
      <c r="I3250" t="s">
        <v>601</v>
      </c>
      <c r="J3250">
        <v>1E-3</v>
      </c>
      <c r="K3250">
        <v>1E-3</v>
      </c>
      <c r="L3250">
        <v>1E-3</v>
      </c>
      <c r="M3250">
        <v>1E-3</v>
      </c>
      <c r="N3250">
        <v>1E-3</v>
      </c>
      <c r="O3250">
        <v>1E-3</v>
      </c>
      <c r="P3250">
        <v>1E-3</v>
      </c>
      <c r="Q3250">
        <v>1E-3</v>
      </c>
      <c r="R3250">
        <v>1E-3</v>
      </c>
      <c r="S3250">
        <v>1E-3</v>
      </c>
      <c r="T3250">
        <v>1E-3</v>
      </c>
      <c r="U3250">
        <v>1E-3</v>
      </c>
      <c r="V3250">
        <v>1E-3</v>
      </c>
      <c r="W3250">
        <v>1E-3</v>
      </c>
      <c r="X3250">
        <v>1E-3</v>
      </c>
      <c r="Y3250">
        <v>1E-3</v>
      </c>
    </row>
    <row r="3251" spans="1:25" hidden="1">
      <c r="A3251" t="s">
        <v>18813</v>
      </c>
      <c r="B3251" t="s">
        <v>705</v>
      </c>
      <c r="C3251" t="s">
        <v>664</v>
      </c>
      <c r="D3251" t="s">
        <v>704</v>
      </c>
      <c r="E3251" t="s">
        <v>597</v>
      </c>
      <c r="F3251" t="s">
        <v>598</v>
      </c>
      <c r="G3251" t="s">
        <v>478</v>
      </c>
      <c r="H3251" t="s">
        <v>600</v>
      </c>
      <c r="I3251" t="s">
        <v>601</v>
      </c>
      <c r="J3251">
        <v>2.9999999999999997E-4</v>
      </c>
      <c r="K3251">
        <v>2.9999999999999997E-4</v>
      </c>
      <c r="L3251">
        <v>2.9999999999999997E-4</v>
      </c>
      <c r="M3251">
        <v>2.9999999999999997E-4</v>
      </c>
      <c r="N3251">
        <v>2.9999999999999997E-4</v>
      </c>
      <c r="O3251">
        <v>2.9999999999999997E-4</v>
      </c>
      <c r="P3251">
        <v>2.9999999999999997E-4</v>
      </c>
      <c r="Q3251">
        <v>2.9999999999999997E-4</v>
      </c>
      <c r="R3251">
        <v>2.9999999999999997E-4</v>
      </c>
      <c r="S3251">
        <v>2.9999999999999997E-4</v>
      </c>
      <c r="T3251">
        <v>2.9999999999999997E-4</v>
      </c>
      <c r="U3251">
        <v>2.9999999999999997E-4</v>
      </c>
      <c r="V3251">
        <v>2.9999999999999997E-4</v>
      </c>
      <c r="W3251">
        <v>2.9999999999999997E-4</v>
      </c>
      <c r="X3251">
        <v>2.9999999999999997E-4</v>
      </c>
      <c r="Y3251">
        <v>2.9999999999999997E-4</v>
      </c>
    </row>
    <row r="3252" spans="1:25" hidden="1">
      <c r="A3252" t="s">
        <v>18813</v>
      </c>
      <c r="B3252" t="s">
        <v>709</v>
      </c>
      <c r="C3252" t="s">
        <v>710</v>
      </c>
      <c r="D3252" t="s">
        <v>596</v>
      </c>
      <c r="E3252" t="s">
        <v>597</v>
      </c>
      <c r="F3252" t="s">
        <v>598</v>
      </c>
      <c r="G3252" t="s">
        <v>478</v>
      </c>
      <c r="H3252" t="s">
        <v>600</v>
      </c>
      <c r="I3252" t="s">
        <v>601</v>
      </c>
      <c r="J3252">
        <v>4.0300000000000002E-2</v>
      </c>
      <c r="K3252">
        <v>3.7199999999999997E-2</v>
      </c>
      <c r="L3252">
        <v>3.7199999999999997E-2</v>
      </c>
      <c r="M3252">
        <v>3.5700000000000003E-2</v>
      </c>
      <c r="N3252">
        <v>3.4200000000000001E-2</v>
      </c>
      <c r="O3252">
        <v>3.1099999999999999E-2</v>
      </c>
      <c r="P3252">
        <v>2.81E-2</v>
      </c>
      <c r="Q3252">
        <v>2.2100000000000002E-2</v>
      </c>
      <c r="R3252">
        <v>2.2100000000000002E-2</v>
      </c>
      <c r="S3252">
        <v>2.2100000000000002E-2</v>
      </c>
      <c r="T3252">
        <v>2.2100000000000002E-2</v>
      </c>
      <c r="U3252">
        <v>2.2100000000000002E-2</v>
      </c>
      <c r="V3252">
        <v>2.2100000000000002E-2</v>
      </c>
      <c r="W3252">
        <v>2.2100000000000002E-2</v>
      </c>
      <c r="X3252">
        <v>2.2100000000000002E-2</v>
      </c>
      <c r="Y3252">
        <v>2.2100000000000002E-2</v>
      </c>
    </row>
    <row r="3253" spans="1:25" hidden="1">
      <c r="A3253" t="s">
        <v>18813</v>
      </c>
      <c r="B3253" t="s">
        <v>711</v>
      </c>
      <c r="C3253" t="s">
        <v>710</v>
      </c>
      <c r="D3253" t="s">
        <v>596</v>
      </c>
      <c r="E3253" t="s">
        <v>605</v>
      </c>
      <c r="F3253" t="s">
        <v>598</v>
      </c>
      <c r="G3253" t="s">
        <v>478</v>
      </c>
      <c r="H3253" t="s">
        <v>600</v>
      </c>
      <c r="I3253" t="s">
        <v>601</v>
      </c>
      <c r="J3253">
        <v>1.8706</v>
      </c>
      <c r="K3253">
        <v>1.7295</v>
      </c>
      <c r="L3253">
        <v>1.7295</v>
      </c>
      <c r="M3253">
        <v>1.6589</v>
      </c>
      <c r="N3253">
        <v>1.5884</v>
      </c>
      <c r="O3253">
        <v>1.4472</v>
      </c>
      <c r="P3253">
        <v>1.3061</v>
      </c>
      <c r="Q3253">
        <v>1.0239</v>
      </c>
      <c r="R3253">
        <v>1.0239</v>
      </c>
      <c r="S3253">
        <v>1.0239</v>
      </c>
      <c r="T3253">
        <v>1.0239</v>
      </c>
      <c r="U3253">
        <v>1.0239</v>
      </c>
      <c r="V3253">
        <v>1.0239</v>
      </c>
      <c r="W3253">
        <v>1.0239</v>
      </c>
      <c r="X3253">
        <v>1.0239</v>
      </c>
      <c r="Y3253">
        <v>1.0239</v>
      </c>
    </row>
    <row r="3254" spans="1:25" hidden="1">
      <c r="A3254" t="s">
        <v>18813</v>
      </c>
      <c r="B3254" t="s">
        <v>715</v>
      </c>
      <c r="C3254" t="s">
        <v>710</v>
      </c>
      <c r="D3254" t="s">
        <v>671</v>
      </c>
      <c r="E3254" t="s">
        <v>597</v>
      </c>
      <c r="F3254" t="s">
        <v>598</v>
      </c>
      <c r="G3254" t="s">
        <v>478</v>
      </c>
      <c r="H3254" t="s">
        <v>600</v>
      </c>
      <c r="I3254" t="s">
        <v>601</v>
      </c>
      <c r="J3254">
        <v>2.0750000000000002</v>
      </c>
      <c r="K3254">
        <v>1.9185000000000001</v>
      </c>
      <c r="L3254">
        <v>1.9185000000000001</v>
      </c>
      <c r="M3254">
        <v>1.8403</v>
      </c>
      <c r="N3254">
        <v>1.7621</v>
      </c>
      <c r="O3254">
        <v>1.6055999999999999</v>
      </c>
      <c r="P3254">
        <v>1.4492</v>
      </c>
      <c r="Q3254">
        <v>1.1363000000000001</v>
      </c>
      <c r="R3254">
        <v>1.1363000000000001</v>
      </c>
      <c r="S3254">
        <v>1.1363000000000001</v>
      </c>
      <c r="T3254">
        <v>1.1363000000000001</v>
      </c>
      <c r="U3254">
        <v>1.1363000000000001</v>
      </c>
      <c r="V3254">
        <v>1.1363000000000001</v>
      </c>
      <c r="W3254">
        <v>1.1363000000000001</v>
      </c>
      <c r="X3254">
        <v>1.1363000000000001</v>
      </c>
      <c r="Y3254">
        <v>1.1363000000000001</v>
      </c>
    </row>
    <row r="3255" spans="1:25" hidden="1">
      <c r="A3255" t="s">
        <v>18813</v>
      </c>
      <c r="B3255" t="s">
        <v>716</v>
      </c>
      <c r="C3255" t="s">
        <v>710</v>
      </c>
      <c r="D3255" t="s">
        <v>671</v>
      </c>
      <c r="E3255" t="s">
        <v>605</v>
      </c>
      <c r="F3255" t="s">
        <v>598</v>
      </c>
      <c r="G3255" t="s">
        <v>478</v>
      </c>
      <c r="H3255" t="s">
        <v>600</v>
      </c>
      <c r="I3255" t="s">
        <v>601</v>
      </c>
      <c r="J3255">
        <v>4.2645</v>
      </c>
      <c r="K3255">
        <v>3.9426999999999999</v>
      </c>
      <c r="L3255">
        <v>3.9426999999999999</v>
      </c>
      <c r="M3255">
        <v>3.7818999999999998</v>
      </c>
      <c r="N3255">
        <v>3.621</v>
      </c>
      <c r="O3255">
        <v>3.2993000000000001</v>
      </c>
      <c r="P3255">
        <v>2.9775</v>
      </c>
      <c r="Q3255">
        <v>2.3340999999999998</v>
      </c>
      <c r="R3255">
        <v>2.3340999999999998</v>
      </c>
      <c r="S3255">
        <v>2.3340999999999998</v>
      </c>
      <c r="T3255">
        <v>2.3340999999999998</v>
      </c>
      <c r="U3255">
        <v>2.3340999999999998</v>
      </c>
      <c r="V3255">
        <v>2.3340999999999998</v>
      </c>
      <c r="W3255">
        <v>2.3340999999999998</v>
      </c>
      <c r="X3255">
        <v>2.3340999999999998</v>
      </c>
      <c r="Y3255">
        <v>2.3340999999999998</v>
      </c>
    </row>
    <row r="3256" spans="1:25" hidden="1">
      <c r="A3256" t="s">
        <v>18813</v>
      </c>
      <c r="B3256" t="s">
        <v>717</v>
      </c>
      <c r="C3256" t="s">
        <v>710</v>
      </c>
      <c r="D3256" t="s">
        <v>671</v>
      </c>
      <c r="E3256" t="s">
        <v>688</v>
      </c>
      <c r="F3256" t="s">
        <v>598</v>
      </c>
      <c r="G3256" t="s">
        <v>478</v>
      </c>
      <c r="H3256" t="s">
        <v>600</v>
      </c>
      <c r="I3256" t="s">
        <v>601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</row>
    <row r="3257" spans="1:25" hidden="1">
      <c r="A3257" t="s">
        <v>18813</v>
      </c>
      <c r="B3257" t="s">
        <v>718</v>
      </c>
      <c r="C3257" t="s">
        <v>710</v>
      </c>
      <c r="D3257" t="s">
        <v>621</v>
      </c>
      <c r="E3257" t="s">
        <v>597</v>
      </c>
      <c r="F3257" t="s">
        <v>598</v>
      </c>
      <c r="G3257" t="s">
        <v>478</v>
      </c>
      <c r="H3257" t="s">
        <v>600</v>
      </c>
      <c r="I3257" t="s">
        <v>601</v>
      </c>
      <c r="J3257">
        <v>0.33339999999999997</v>
      </c>
      <c r="K3257">
        <v>0.30819999999999997</v>
      </c>
      <c r="L3257">
        <v>0.30819999999999997</v>
      </c>
      <c r="M3257">
        <v>0.29559999999999997</v>
      </c>
      <c r="N3257">
        <v>0.28310000000000002</v>
      </c>
      <c r="O3257">
        <v>0.25790000000000002</v>
      </c>
      <c r="P3257">
        <v>0.23280000000000001</v>
      </c>
      <c r="Q3257">
        <v>0.1825</v>
      </c>
      <c r="R3257">
        <v>0.1825</v>
      </c>
      <c r="S3257">
        <v>0.1825</v>
      </c>
      <c r="T3257">
        <v>0.1825</v>
      </c>
      <c r="U3257">
        <v>0.1825</v>
      </c>
      <c r="V3257">
        <v>0.1825</v>
      </c>
      <c r="W3257">
        <v>0.1825</v>
      </c>
      <c r="X3257">
        <v>0.1825</v>
      </c>
      <c r="Y3257">
        <v>0.1825</v>
      </c>
    </row>
    <row r="3258" spans="1:25" hidden="1">
      <c r="A3258" t="s">
        <v>18813</v>
      </c>
      <c r="B3258" t="s">
        <v>719</v>
      </c>
      <c r="C3258" t="s">
        <v>710</v>
      </c>
      <c r="D3258" t="s">
        <v>621</v>
      </c>
      <c r="E3258" t="s">
        <v>626</v>
      </c>
      <c r="F3258" t="s">
        <v>598</v>
      </c>
      <c r="G3258" t="s">
        <v>478</v>
      </c>
      <c r="H3258" t="s">
        <v>600</v>
      </c>
      <c r="I3258" t="s">
        <v>601</v>
      </c>
      <c r="J3258">
        <v>0.37190000000000001</v>
      </c>
      <c r="K3258">
        <v>0.34379999999999999</v>
      </c>
      <c r="L3258">
        <v>0.34379999999999999</v>
      </c>
      <c r="M3258">
        <v>0.32979999999999998</v>
      </c>
      <c r="N3258">
        <v>0.31580000000000003</v>
      </c>
      <c r="O3258">
        <v>0.28770000000000001</v>
      </c>
      <c r="P3258">
        <v>0.25969999999999999</v>
      </c>
      <c r="Q3258">
        <v>0.20349999999999999</v>
      </c>
      <c r="R3258">
        <v>0.20349999999999999</v>
      </c>
      <c r="S3258">
        <v>0.20349999999999999</v>
      </c>
      <c r="T3258">
        <v>0.20349999999999999</v>
      </c>
      <c r="U3258">
        <v>0.20349999999999999</v>
      </c>
      <c r="V3258">
        <v>0.20349999999999999</v>
      </c>
      <c r="W3258">
        <v>0.20349999999999999</v>
      </c>
      <c r="X3258">
        <v>0.20349999999999999</v>
      </c>
      <c r="Y3258">
        <v>0.20349999999999999</v>
      </c>
    </row>
    <row r="3259" spans="1:25" hidden="1">
      <c r="A3259" t="s">
        <v>18813</v>
      </c>
      <c r="B3259" t="s">
        <v>722</v>
      </c>
      <c r="C3259" t="s">
        <v>710</v>
      </c>
      <c r="D3259" t="s">
        <v>632</v>
      </c>
      <c r="E3259" t="s">
        <v>723</v>
      </c>
      <c r="F3259" t="s">
        <v>598</v>
      </c>
      <c r="G3259" t="s">
        <v>478</v>
      </c>
      <c r="H3259" t="s">
        <v>600</v>
      </c>
      <c r="I3259" t="s">
        <v>601</v>
      </c>
      <c r="J3259">
        <v>0.35149999999999998</v>
      </c>
      <c r="K3259">
        <v>0.32500000000000001</v>
      </c>
      <c r="L3259">
        <v>0.32500000000000001</v>
      </c>
      <c r="M3259">
        <v>0.31169999999999998</v>
      </c>
      <c r="N3259">
        <v>0.29849999999999999</v>
      </c>
      <c r="O3259">
        <v>0.27200000000000002</v>
      </c>
      <c r="P3259">
        <v>0.24540000000000001</v>
      </c>
      <c r="Q3259">
        <v>0.19239999999999999</v>
      </c>
      <c r="R3259">
        <v>0.19239999999999999</v>
      </c>
      <c r="S3259">
        <v>0.19239999999999999</v>
      </c>
      <c r="T3259">
        <v>0.19239999999999999</v>
      </c>
      <c r="U3259">
        <v>0.19239999999999999</v>
      </c>
      <c r="V3259">
        <v>0.19239999999999999</v>
      </c>
      <c r="W3259">
        <v>0.19239999999999999</v>
      </c>
      <c r="X3259">
        <v>0.19239999999999999</v>
      </c>
      <c r="Y3259">
        <v>0.19239999999999999</v>
      </c>
    </row>
    <row r="3260" spans="1:25" hidden="1">
      <c r="A3260" t="s">
        <v>18813</v>
      </c>
      <c r="B3260" t="s">
        <v>728</v>
      </c>
      <c r="C3260" t="s">
        <v>729</v>
      </c>
      <c r="D3260" t="s">
        <v>596</v>
      </c>
      <c r="E3260" t="s">
        <v>597</v>
      </c>
      <c r="F3260" t="s">
        <v>598</v>
      </c>
      <c r="G3260" t="s">
        <v>478</v>
      </c>
      <c r="H3260" t="s">
        <v>600</v>
      </c>
      <c r="I3260" t="s">
        <v>601</v>
      </c>
      <c r="J3260">
        <v>5.0900000000000001E-2</v>
      </c>
      <c r="K3260">
        <v>4.7300000000000002E-2</v>
      </c>
      <c r="L3260">
        <v>4.7300000000000002E-2</v>
      </c>
      <c r="M3260">
        <v>4.5699999999999998E-2</v>
      </c>
      <c r="N3260">
        <v>4.41E-2</v>
      </c>
      <c r="O3260">
        <v>4.0599999999999997E-2</v>
      </c>
      <c r="P3260">
        <v>3.7100000000000001E-2</v>
      </c>
      <c r="Q3260">
        <v>3.0300000000000001E-2</v>
      </c>
      <c r="R3260">
        <v>3.0300000000000001E-2</v>
      </c>
      <c r="S3260">
        <v>3.0300000000000001E-2</v>
      </c>
      <c r="T3260">
        <v>3.0300000000000001E-2</v>
      </c>
      <c r="U3260">
        <v>3.0300000000000001E-2</v>
      </c>
      <c r="V3260">
        <v>3.0300000000000001E-2</v>
      </c>
      <c r="W3260">
        <v>3.0300000000000001E-2</v>
      </c>
      <c r="X3260">
        <v>3.0300000000000001E-2</v>
      </c>
      <c r="Y3260">
        <v>3.0499999999999999E-2</v>
      </c>
    </row>
    <row r="3261" spans="1:25" hidden="1">
      <c r="A3261" t="s">
        <v>18813</v>
      </c>
      <c r="B3261" t="s">
        <v>732</v>
      </c>
      <c r="C3261" t="s">
        <v>729</v>
      </c>
      <c r="D3261" t="s">
        <v>596</v>
      </c>
      <c r="E3261" t="s">
        <v>603</v>
      </c>
      <c r="F3261" t="s">
        <v>598</v>
      </c>
      <c r="G3261" t="s">
        <v>478</v>
      </c>
      <c r="H3261" t="s">
        <v>600</v>
      </c>
      <c r="I3261" t="s">
        <v>601</v>
      </c>
      <c r="J3261">
        <v>2.5000000000000001E-3</v>
      </c>
      <c r="K3261">
        <v>2.5999999999999999E-3</v>
      </c>
      <c r="L3261">
        <v>2.7000000000000001E-3</v>
      </c>
      <c r="M3261">
        <v>2.8E-3</v>
      </c>
      <c r="N3261">
        <v>2.8999999999999998E-3</v>
      </c>
      <c r="O3261">
        <v>3.0000000000000001E-3</v>
      </c>
      <c r="P3261">
        <v>3.0999999999999999E-3</v>
      </c>
      <c r="Q3261">
        <v>3.2000000000000002E-3</v>
      </c>
      <c r="R3261">
        <v>3.3E-3</v>
      </c>
      <c r="S3261">
        <v>3.3999999999999998E-3</v>
      </c>
      <c r="T3261">
        <v>3.5000000000000001E-3</v>
      </c>
      <c r="U3261">
        <v>3.5000000000000001E-3</v>
      </c>
      <c r="V3261">
        <v>3.5999999999999999E-3</v>
      </c>
      <c r="W3261">
        <v>3.7000000000000002E-3</v>
      </c>
      <c r="X3261">
        <v>3.7000000000000002E-3</v>
      </c>
      <c r="Y3261">
        <v>3.8E-3</v>
      </c>
    </row>
    <row r="3262" spans="1:25" hidden="1">
      <c r="A3262" t="s">
        <v>18813</v>
      </c>
      <c r="B3262" t="s">
        <v>733</v>
      </c>
      <c r="C3262" t="s">
        <v>729</v>
      </c>
      <c r="D3262" t="s">
        <v>596</v>
      </c>
      <c r="E3262" t="s">
        <v>605</v>
      </c>
      <c r="F3262" t="s">
        <v>598</v>
      </c>
      <c r="G3262" t="s">
        <v>478</v>
      </c>
      <c r="H3262" t="s">
        <v>600</v>
      </c>
      <c r="I3262" t="s">
        <v>601</v>
      </c>
      <c r="J3262">
        <v>0.13930000000000001</v>
      </c>
      <c r="K3262">
        <v>0.1288</v>
      </c>
      <c r="L3262">
        <v>0.1288</v>
      </c>
      <c r="M3262">
        <v>0.1235</v>
      </c>
      <c r="N3262">
        <v>0.1183</v>
      </c>
      <c r="O3262">
        <v>0.1077</v>
      </c>
      <c r="P3262">
        <v>9.7199999999999995E-2</v>
      </c>
      <c r="Q3262">
        <v>7.6200000000000004E-2</v>
      </c>
      <c r="R3262">
        <v>7.6200000000000004E-2</v>
      </c>
      <c r="S3262">
        <v>7.6200000000000004E-2</v>
      </c>
      <c r="T3262">
        <v>7.6200000000000004E-2</v>
      </c>
      <c r="U3262">
        <v>7.6200000000000004E-2</v>
      </c>
      <c r="V3262">
        <v>7.6200000000000004E-2</v>
      </c>
      <c r="W3262">
        <v>7.6200000000000004E-2</v>
      </c>
      <c r="X3262">
        <v>7.6200000000000004E-2</v>
      </c>
      <c r="Y3262">
        <v>7.6200000000000004E-2</v>
      </c>
    </row>
    <row r="3263" spans="1:25" hidden="1">
      <c r="A3263" t="s">
        <v>18813</v>
      </c>
      <c r="B3263" t="s">
        <v>740</v>
      </c>
      <c r="C3263" t="s">
        <v>729</v>
      </c>
      <c r="D3263" t="s">
        <v>596</v>
      </c>
      <c r="E3263" t="s">
        <v>619</v>
      </c>
      <c r="F3263" t="s">
        <v>598</v>
      </c>
      <c r="G3263" t="s">
        <v>478</v>
      </c>
      <c r="H3263" t="s">
        <v>600</v>
      </c>
      <c r="I3263" t="s">
        <v>601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</row>
    <row r="3264" spans="1:25" hidden="1">
      <c r="A3264" t="s">
        <v>18813</v>
      </c>
      <c r="B3264" t="s">
        <v>745</v>
      </c>
      <c r="C3264" t="s">
        <v>729</v>
      </c>
      <c r="D3264" t="s">
        <v>671</v>
      </c>
      <c r="E3264" t="s">
        <v>597</v>
      </c>
      <c r="F3264" t="s">
        <v>598</v>
      </c>
      <c r="G3264" t="s">
        <v>478</v>
      </c>
      <c r="H3264" t="s">
        <v>600</v>
      </c>
      <c r="I3264" t="s">
        <v>601</v>
      </c>
      <c r="J3264">
        <v>1.2497</v>
      </c>
      <c r="K3264">
        <v>1.165</v>
      </c>
      <c r="L3264">
        <v>1.1677999999999999</v>
      </c>
      <c r="M3264">
        <v>1.1342000000000001</v>
      </c>
      <c r="N3264">
        <v>1.2374000000000001</v>
      </c>
      <c r="O3264">
        <v>1.1537999999999999</v>
      </c>
      <c r="P3264">
        <v>1.0701000000000001</v>
      </c>
      <c r="Q3264">
        <v>0.89770000000000005</v>
      </c>
      <c r="R3264">
        <v>0.89890000000000003</v>
      </c>
      <c r="S3264">
        <v>0.89970000000000006</v>
      </c>
      <c r="T3264">
        <v>0.90039999999999998</v>
      </c>
      <c r="U3264">
        <v>0.90149999999999997</v>
      </c>
      <c r="V3264">
        <v>0.90300000000000002</v>
      </c>
      <c r="W3264">
        <v>0.90439999999999998</v>
      </c>
      <c r="X3264">
        <v>0.9052</v>
      </c>
      <c r="Y3264">
        <v>0.90649999999999997</v>
      </c>
    </row>
    <row r="3265" spans="1:25" hidden="1">
      <c r="A3265" t="s">
        <v>18813</v>
      </c>
      <c r="B3265" t="s">
        <v>746</v>
      </c>
      <c r="C3265" t="s">
        <v>729</v>
      </c>
      <c r="D3265" t="s">
        <v>671</v>
      </c>
      <c r="E3265" t="s">
        <v>642</v>
      </c>
      <c r="F3265" t="s">
        <v>598</v>
      </c>
      <c r="G3265" t="s">
        <v>478</v>
      </c>
      <c r="H3265" t="s">
        <v>600</v>
      </c>
      <c r="I3265" t="s">
        <v>601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hidden="1">
      <c r="A3266" t="s">
        <v>18813</v>
      </c>
      <c r="B3266" t="s">
        <v>747</v>
      </c>
      <c r="C3266" t="s">
        <v>729</v>
      </c>
      <c r="D3266" t="s">
        <v>671</v>
      </c>
      <c r="E3266" t="s">
        <v>605</v>
      </c>
      <c r="F3266" t="s">
        <v>598</v>
      </c>
      <c r="G3266" t="s">
        <v>478</v>
      </c>
      <c r="H3266" t="s">
        <v>600</v>
      </c>
      <c r="I3266" t="s">
        <v>601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hidden="1">
      <c r="A3267" t="s">
        <v>18813</v>
      </c>
      <c r="B3267" t="s">
        <v>749</v>
      </c>
      <c r="C3267" t="s">
        <v>729</v>
      </c>
      <c r="D3267" t="s">
        <v>671</v>
      </c>
      <c r="E3267" t="s">
        <v>750</v>
      </c>
      <c r="F3267" t="s">
        <v>598</v>
      </c>
      <c r="G3267" t="s">
        <v>478</v>
      </c>
      <c r="H3267" t="s">
        <v>600</v>
      </c>
      <c r="I3267" t="s">
        <v>601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hidden="1">
      <c r="A3268" t="s">
        <v>18813</v>
      </c>
      <c r="B3268" t="s">
        <v>751</v>
      </c>
      <c r="C3268" t="s">
        <v>729</v>
      </c>
      <c r="D3268" t="s">
        <v>671</v>
      </c>
      <c r="E3268" t="s">
        <v>676</v>
      </c>
      <c r="F3268" t="s">
        <v>598</v>
      </c>
      <c r="G3268" t="s">
        <v>478</v>
      </c>
      <c r="H3268" t="s">
        <v>600</v>
      </c>
      <c r="I3268" t="s">
        <v>601</v>
      </c>
      <c r="J3268">
        <v>0.38929999999999998</v>
      </c>
      <c r="K3268">
        <v>0.3599</v>
      </c>
      <c r="L3268">
        <v>0.3599</v>
      </c>
      <c r="M3268">
        <v>0.34520000000000001</v>
      </c>
      <c r="N3268">
        <v>0.33050000000000002</v>
      </c>
      <c r="O3268">
        <v>0.30120000000000002</v>
      </c>
      <c r="P3268">
        <v>0.27179999999999999</v>
      </c>
      <c r="Q3268">
        <v>0.21310000000000001</v>
      </c>
      <c r="R3268">
        <v>0.21310000000000001</v>
      </c>
      <c r="S3268">
        <v>0.21310000000000001</v>
      </c>
      <c r="T3268">
        <v>0.21310000000000001</v>
      </c>
      <c r="U3268">
        <v>0.21310000000000001</v>
      </c>
      <c r="V3268">
        <v>0.21310000000000001</v>
      </c>
      <c r="W3268">
        <v>0.21310000000000001</v>
      </c>
      <c r="X3268">
        <v>0.21310000000000001</v>
      </c>
      <c r="Y3268">
        <v>0.21310000000000001</v>
      </c>
    </row>
    <row r="3269" spans="1:25" hidden="1">
      <c r="A3269" t="s">
        <v>18813</v>
      </c>
      <c r="B3269" t="s">
        <v>752</v>
      </c>
      <c r="C3269" t="s">
        <v>729</v>
      </c>
      <c r="D3269" t="s">
        <v>753</v>
      </c>
      <c r="E3269" t="s">
        <v>597</v>
      </c>
      <c r="F3269" t="s">
        <v>598</v>
      </c>
      <c r="G3269" t="s">
        <v>478</v>
      </c>
      <c r="H3269" t="s">
        <v>600</v>
      </c>
      <c r="I3269" t="s">
        <v>601</v>
      </c>
      <c r="J3269">
        <v>1.6400000000000001E-2</v>
      </c>
      <c r="K3269">
        <v>1.6E-2</v>
      </c>
      <c r="L3269">
        <v>1.6199999999999999E-2</v>
      </c>
      <c r="M3269">
        <v>1.6E-2</v>
      </c>
      <c r="N3269">
        <v>1.5900000000000001E-2</v>
      </c>
      <c r="O3269">
        <v>1.54E-2</v>
      </c>
      <c r="P3269">
        <v>1.4999999999999999E-2</v>
      </c>
      <c r="Q3269">
        <v>1.4E-2</v>
      </c>
      <c r="R3269">
        <v>1.3899999999999999E-2</v>
      </c>
      <c r="S3269">
        <v>1.4E-2</v>
      </c>
      <c r="T3269">
        <v>1.41E-2</v>
      </c>
      <c r="U3269">
        <v>1.4200000000000001E-2</v>
      </c>
      <c r="V3269">
        <v>1.43E-2</v>
      </c>
      <c r="W3269">
        <v>1.43E-2</v>
      </c>
      <c r="X3269">
        <v>1.44E-2</v>
      </c>
      <c r="Y3269">
        <v>1.44E-2</v>
      </c>
    </row>
    <row r="3270" spans="1:25" hidden="1">
      <c r="A3270" t="s">
        <v>18813</v>
      </c>
      <c r="B3270" t="s">
        <v>754</v>
      </c>
      <c r="C3270" t="s">
        <v>729</v>
      </c>
      <c r="D3270" t="s">
        <v>753</v>
      </c>
      <c r="E3270" t="s">
        <v>642</v>
      </c>
      <c r="F3270" t="s">
        <v>598</v>
      </c>
      <c r="G3270" t="s">
        <v>478</v>
      </c>
      <c r="H3270" t="s">
        <v>600</v>
      </c>
      <c r="I3270" t="s">
        <v>601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 hidden="1">
      <c r="A3271" t="s">
        <v>18813</v>
      </c>
      <c r="B3271" t="s">
        <v>760</v>
      </c>
      <c r="C3271" t="s">
        <v>729</v>
      </c>
      <c r="D3271" t="s">
        <v>621</v>
      </c>
      <c r="E3271" t="s">
        <v>649</v>
      </c>
      <c r="F3271" t="s">
        <v>598</v>
      </c>
      <c r="G3271" t="s">
        <v>478</v>
      </c>
      <c r="H3271" t="s">
        <v>600</v>
      </c>
      <c r="I3271" t="s">
        <v>601</v>
      </c>
      <c r="J3271">
        <v>0.42880000000000001</v>
      </c>
      <c r="K3271">
        <v>0.22259999999999999</v>
      </c>
      <c r="L3271">
        <v>0.22950000000000001</v>
      </c>
      <c r="M3271">
        <v>0.23630000000000001</v>
      </c>
      <c r="N3271">
        <v>0.24390000000000001</v>
      </c>
      <c r="O3271">
        <v>0.25159999999999999</v>
      </c>
      <c r="P3271">
        <v>0.25900000000000001</v>
      </c>
      <c r="Q3271">
        <v>0.26650000000000001</v>
      </c>
      <c r="R3271">
        <v>0.26979999999999998</v>
      </c>
      <c r="S3271">
        <v>0.27350000000000002</v>
      </c>
      <c r="T3271">
        <v>0.27689999999999998</v>
      </c>
      <c r="U3271">
        <v>0.28029999999999999</v>
      </c>
      <c r="V3271">
        <v>0.2838</v>
      </c>
      <c r="W3271">
        <v>0.28760000000000002</v>
      </c>
      <c r="X3271">
        <v>0.29120000000000001</v>
      </c>
      <c r="Y3271">
        <v>0.29480000000000001</v>
      </c>
    </row>
    <row r="3272" spans="1:25" hidden="1">
      <c r="A3272" t="s">
        <v>18813</v>
      </c>
      <c r="B3272" t="s">
        <v>761</v>
      </c>
      <c r="C3272" t="s">
        <v>729</v>
      </c>
      <c r="D3272" t="s">
        <v>621</v>
      </c>
      <c r="E3272" t="s">
        <v>597</v>
      </c>
      <c r="F3272" t="s">
        <v>598</v>
      </c>
      <c r="G3272" t="s">
        <v>478</v>
      </c>
      <c r="H3272" t="s">
        <v>600</v>
      </c>
      <c r="I3272" t="s">
        <v>601</v>
      </c>
      <c r="J3272">
        <v>1.4430000000000001</v>
      </c>
      <c r="K3272">
        <v>1.4458</v>
      </c>
      <c r="L3272">
        <v>1.4383999999999999</v>
      </c>
      <c r="M3272">
        <v>1.4328000000000001</v>
      </c>
      <c r="N3272">
        <v>1.4161999999999999</v>
      </c>
      <c r="O3272">
        <v>1.3673</v>
      </c>
      <c r="P3272">
        <v>1.3454999999999999</v>
      </c>
      <c r="Q3272">
        <v>1.3295999999999999</v>
      </c>
      <c r="R3272">
        <v>1.3126</v>
      </c>
      <c r="S3272">
        <v>1.3022</v>
      </c>
      <c r="T3272">
        <v>1.2888999999999999</v>
      </c>
      <c r="U3272">
        <v>1.2774000000000001</v>
      </c>
      <c r="V3272">
        <v>1.2655000000000001</v>
      </c>
      <c r="W3272">
        <v>1.2552000000000001</v>
      </c>
      <c r="X3272">
        <v>1.2476</v>
      </c>
      <c r="Y3272">
        <v>1.244</v>
      </c>
    </row>
    <row r="3273" spans="1:25" hidden="1">
      <c r="A3273" t="s">
        <v>18813</v>
      </c>
      <c r="B3273" t="s">
        <v>764</v>
      </c>
      <c r="C3273" t="s">
        <v>729</v>
      </c>
      <c r="D3273" t="s">
        <v>621</v>
      </c>
      <c r="E3273" t="s">
        <v>603</v>
      </c>
      <c r="F3273" t="s">
        <v>598</v>
      </c>
      <c r="G3273" t="s">
        <v>478</v>
      </c>
      <c r="H3273" t="s">
        <v>600</v>
      </c>
      <c r="I3273" t="s">
        <v>601</v>
      </c>
      <c r="J3273">
        <v>5.1700000000000003E-2</v>
      </c>
      <c r="K3273">
        <v>4.9200000000000001E-2</v>
      </c>
      <c r="L3273">
        <v>4.9500000000000002E-2</v>
      </c>
      <c r="M3273">
        <v>4.8099999999999997E-2</v>
      </c>
      <c r="N3273">
        <v>4.6800000000000001E-2</v>
      </c>
      <c r="O3273">
        <v>4.3999999999999997E-2</v>
      </c>
      <c r="P3273">
        <v>4.1000000000000002E-2</v>
      </c>
      <c r="Q3273">
        <v>3.5000000000000003E-2</v>
      </c>
      <c r="R3273">
        <v>3.5000000000000003E-2</v>
      </c>
      <c r="S3273">
        <v>3.5000000000000003E-2</v>
      </c>
      <c r="T3273">
        <v>3.5099999999999999E-2</v>
      </c>
      <c r="U3273">
        <v>3.5200000000000002E-2</v>
      </c>
      <c r="V3273">
        <v>3.5200000000000002E-2</v>
      </c>
      <c r="W3273">
        <v>3.5400000000000001E-2</v>
      </c>
      <c r="X3273">
        <v>3.56E-2</v>
      </c>
      <c r="Y3273">
        <v>3.5700000000000003E-2</v>
      </c>
    </row>
    <row r="3274" spans="1:25" hidden="1">
      <c r="A3274" t="s">
        <v>18813</v>
      </c>
      <c r="B3274" t="s">
        <v>769</v>
      </c>
      <c r="C3274" t="s">
        <v>729</v>
      </c>
      <c r="D3274" t="s">
        <v>621</v>
      </c>
      <c r="E3274" t="s">
        <v>626</v>
      </c>
      <c r="F3274" t="s">
        <v>598</v>
      </c>
      <c r="G3274" t="s">
        <v>478</v>
      </c>
      <c r="H3274" t="s">
        <v>600</v>
      </c>
      <c r="I3274" t="s">
        <v>601</v>
      </c>
      <c r="J3274">
        <v>0.99809999999999999</v>
      </c>
      <c r="K3274">
        <v>0.9</v>
      </c>
      <c r="L3274">
        <v>0.9</v>
      </c>
      <c r="M3274">
        <v>0.86339999999999995</v>
      </c>
      <c r="N3274">
        <v>1.1194999999999999</v>
      </c>
      <c r="O3274">
        <v>1.0202</v>
      </c>
      <c r="P3274">
        <v>0.92079999999999995</v>
      </c>
      <c r="Q3274">
        <v>0.72219999999999995</v>
      </c>
      <c r="R3274">
        <v>0.72219999999999995</v>
      </c>
      <c r="S3274">
        <v>0.72219999999999995</v>
      </c>
      <c r="T3274">
        <v>0.72219999999999995</v>
      </c>
      <c r="U3274">
        <v>0.72230000000000005</v>
      </c>
      <c r="V3274">
        <v>0.72240000000000004</v>
      </c>
      <c r="W3274">
        <v>0.72240000000000004</v>
      </c>
      <c r="X3274">
        <v>0.72250000000000003</v>
      </c>
      <c r="Y3274">
        <v>0.72250000000000003</v>
      </c>
    </row>
    <row r="3275" spans="1:25" hidden="1">
      <c r="A3275" t="s">
        <v>18813</v>
      </c>
      <c r="B3275" t="s">
        <v>770</v>
      </c>
      <c r="C3275" t="s">
        <v>729</v>
      </c>
      <c r="D3275" t="s">
        <v>621</v>
      </c>
      <c r="E3275" t="s">
        <v>628</v>
      </c>
      <c r="F3275" t="s">
        <v>598</v>
      </c>
      <c r="G3275" t="s">
        <v>478</v>
      </c>
      <c r="H3275" t="s">
        <v>600</v>
      </c>
      <c r="I3275" t="s">
        <v>601</v>
      </c>
      <c r="J3275">
        <v>0.5181</v>
      </c>
      <c r="K3275">
        <v>0.49540000000000001</v>
      </c>
      <c r="L3275">
        <v>0.4985</v>
      </c>
      <c r="M3275">
        <v>0.48899999999999999</v>
      </c>
      <c r="N3275">
        <v>0.48420000000000002</v>
      </c>
      <c r="O3275">
        <v>0.46139999999999998</v>
      </c>
      <c r="P3275">
        <v>0.43780000000000002</v>
      </c>
      <c r="Q3275">
        <v>0.38900000000000001</v>
      </c>
      <c r="R3275">
        <v>0.39</v>
      </c>
      <c r="S3275">
        <v>0.39140000000000003</v>
      </c>
      <c r="T3275">
        <v>0.39240000000000003</v>
      </c>
      <c r="U3275">
        <v>0.39389999999999997</v>
      </c>
      <c r="V3275">
        <v>0.39500000000000002</v>
      </c>
      <c r="W3275">
        <v>0.3962</v>
      </c>
      <c r="X3275">
        <v>0.3977</v>
      </c>
      <c r="Y3275">
        <v>0.39850000000000002</v>
      </c>
    </row>
    <row r="3276" spans="1:25" hidden="1">
      <c r="A3276" t="s">
        <v>18813</v>
      </c>
      <c r="B3276" t="s">
        <v>772</v>
      </c>
      <c r="C3276" t="s">
        <v>729</v>
      </c>
      <c r="D3276" t="s">
        <v>621</v>
      </c>
      <c r="E3276" t="s">
        <v>773</v>
      </c>
      <c r="F3276" t="s">
        <v>598</v>
      </c>
      <c r="G3276" t="s">
        <v>478</v>
      </c>
      <c r="H3276" t="s">
        <v>600</v>
      </c>
      <c r="I3276" t="s">
        <v>601</v>
      </c>
      <c r="J3276">
        <v>1.06E-2</v>
      </c>
      <c r="K3276">
        <v>0.01</v>
      </c>
      <c r="L3276">
        <v>1.01E-2</v>
      </c>
      <c r="M3276">
        <v>9.9000000000000008E-3</v>
      </c>
      <c r="N3276">
        <v>9.7000000000000003E-3</v>
      </c>
      <c r="O3276">
        <v>9.1999999999999998E-3</v>
      </c>
      <c r="P3276">
        <v>8.6999999999999994E-3</v>
      </c>
      <c r="Q3276">
        <v>7.3000000000000001E-3</v>
      </c>
      <c r="R3276">
        <v>7.3000000000000001E-3</v>
      </c>
      <c r="S3276">
        <v>7.3000000000000001E-3</v>
      </c>
      <c r="T3276">
        <v>7.3000000000000001E-3</v>
      </c>
      <c r="U3276">
        <v>7.4000000000000003E-3</v>
      </c>
      <c r="V3276">
        <v>7.4000000000000003E-3</v>
      </c>
      <c r="W3276">
        <v>7.4000000000000003E-3</v>
      </c>
      <c r="X3276">
        <v>7.4000000000000003E-3</v>
      </c>
      <c r="Y3276">
        <v>7.4000000000000003E-3</v>
      </c>
    </row>
    <row r="3277" spans="1:25" hidden="1">
      <c r="A3277" t="s">
        <v>18813</v>
      </c>
      <c r="B3277" t="s">
        <v>776</v>
      </c>
      <c r="C3277" t="s">
        <v>729</v>
      </c>
      <c r="D3277" t="s">
        <v>632</v>
      </c>
      <c r="E3277" t="s">
        <v>597</v>
      </c>
      <c r="F3277" t="s">
        <v>598</v>
      </c>
      <c r="G3277" t="s">
        <v>478</v>
      </c>
      <c r="H3277" t="s">
        <v>600</v>
      </c>
      <c r="I3277" t="s">
        <v>601</v>
      </c>
      <c r="J3277">
        <v>5.45E-2</v>
      </c>
      <c r="K3277">
        <v>5.0500000000000003E-2</v>
      </c>
      <c r="L3277">
        <v>5.0599999999999999E-2</v>
      </c>
      <c r="M3277">
        <v>4.8800000000000003E-2</v>
      </c>
      <c r="N3277">
        <v>4.6800000000000001E-2</v>
      </c>
      <c r="O3277">
        <v>4.2900000000000001E-2</v>
      </c>
      <c r="P3277">
        <v>3.8899999999999997E-2</v>
      </c>
      <c r="Q3277">
        <v>3.1E-2</v>
      </c>
      <c r="R3277">
        <v>3.1E-2</v>
      </c>
      <c r="S3277">
        <v>3.1E-2</v>
      </c>
      <c r="T3277">
        <v>3.1E-2</v>
      </c>
      <c r="U3277">
        <v>3.1099999999999999E-2</v>
      </c>
      <c r="V3277">
        <v>3.1099999999999999E-2</v>
      </c>
      <c r="W3277">
        <v>3.1099999999999999E-2</v>
      </c>
      <c r="X3277">
        <v>3.1099999999999999E-2</v>
      </c>
      <c r="Y3277">
        <v>3.1199999999999999E-2</v>
      </c>
    </row>
    <row r="3278" spans="1:25" hidden="1">
      <c r="A3278" t="s">
        <v>18813</v>
      </c>
      <c r="B3278" t="s">
        <v>779</v>
      </c>
      <c r="C3278" t="s">
        <v>729</v>
      </c>
      <c r="D3278" t="s">
        <v>632</v>
      </c>
      <c r="E3278" t="s">
        <v>773</v>
      </c>
      <c r="F3278" t="s">
        <v>598</v>
      </c>
      <c r="G3278" t="s">
        <v>478</v>
      </c>
      <c r="H3278" t="s">
        <v>600</v>
      </c>
      <c r="I3278" t="s">
        <v>601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 hidden="1">
      <c r="A3279" t="s">
        <v>18813</v>
      </c>
      <c r="B3279" t="s">
        <v>785</v>
      </c>
      <c r="C3279" t="s">
        <v>729</v>
      </c>
      <c r="D3279" t="s">
        <v>640</v>
      </c>
      <c r="E3279" t="s">
        <v>597</v>
      </c>
      <c r="F3279" t="s">
        <v>598</v>
      </c>
      <c r="G3279" t="s">
        <v>478</v>
      </c>
      <c r="H3279" t="s">
        <v>600</v>
      </c>
      <c r="I3279" t="s">
        <v>601</v>
      </c>
      <c r="J3279">
        <v>0.31059999999999999</v>
      </c>
      <c r="K3279">
        <v>0.29349999999999998</v>
      </c>
      <c r="L3279">
        <v>0.29449999999999998</v>
      </c>
      <c r="M3279">
        <v>0.28639999999999999</v>
      </c>
      <c r="N3279">
        <v>0.2782</v>
      </c>
      <c r="O3279">
        <v>0.26090000000000002</v>
      </c>
      <c r="P3279">
        <v>0.2432</v>
      </c>
      <c r="Q3279">
        <v>0.20799999999999999</v>
      </c>
      <c r="R3279">
        <v>0.2077</v>
      </c>
      <c r="S3279">
        <v>0.2082</v>
      </c>
      <c r="T3279">
        <v>0.2089</v>
      </c>
      <c r="U3279">
        <v>0.2097</v>
      </c>
      <c r="V3279">
        <v>0.21029999999999999</v>
      </c>
      <c r="W3279">
        <v>0.21129999999999999</v>
      </c>
      <c r="X3279">
        <v>0.21229999999999999</v>
      </c>
      <c r="Y3279">
        <v>0.21299999999999999</v>
      </c>
    </row>
    <row r="3280" spans="1:25" hidden="1">
      <c r="A3280" t="s">
        <v>18813</v>
      </c>
      <c r="B3280" t="s">
        <v>786</v>
      </c>
      <c r="C3280" t="s">
        <v>729</v>
      </c>
      <c r="D3280" t="s">
        <v>640</v>
      </c>
      <c r="E3280" t="s">
        <v>642</v>
      </c>
      <c r="F3280" t="s">
        <v>598</v>
      </c>
      <c r="G3280" t="s">
        <v>478</v>
      </c>
      <c r="H3280" t="s">
        <v>600</v>
      </c>
      <c r="I3280" t="s">
        <v>601</v>
      </c>
      <c r="J3280">
        <v>6.1999999999999998E-3</v>
      </c>
      <c r="K3280">
        <v>6.1000000000000004E-3</v>
      </c>
      <c r="L3280">
        <v>6.3E-3</v>
      </c>
      <c r="M3280">
        <v>6.1999999999999998E-3</v>
      </c>
      <c r="N3280">
        <v>6.4999999999999997E-3</v>
      </c>
      <c r="O3280">
        <v>6.4000000000000003E-3</v>
      </c>
      <c r="P3280">
        <v>6.4000000000000003E-3</v>
      </c>
      <c r="Q3280">
        <v>6.1000000000000004E-3</v>
      </c>
      <c r="R3280">
        <v>6.3E-3</v>
      </c>
      <c r="S3280">
        <v>6.3E-3</v>
      </c>
      <c r="T3280">
        <v>6.4999999999999997E-3</v>
      </c>
      <c r="U3280">
        <v>6.4999999999999997E-3</v>
      </c>
      <c r="V3280">
        <v>6.4999999999999997E-3</v>
      </c>
      <c r="W3280">
        <v>6.4999999999999997E-3</v>
      </c>
      <c r="X3280">
        <v>6.7000000000000002E-3</v>
      </c>
      <c r="Y3280">
        <v>6.7000000000000002E-3</v>
      </c>
    </row>
    <row r="3281" spans="1:25" hidden="1">
      <c r="A3281" t="s">
        <v>18813</v>
      </c>
      <c r="B3281" t="s">
        <v>791</v>
      </c>
      <c r="C3281" t="s">
        <v>729</v>
      </c>
      <c r="D3281" t="s">
        <v>640</v>
      </c>
      <c r="E3281" t="s">
        <v>619</v>
      </c>
      <c r="F3281" t="s">
        <v>598</v>
      </c>
      <c r="G3281" t="s">
        <v>478</v>
      </c>
      <c r="H3281" t="s">
        <v>600</v>
      </c>
      <c r="I3281" t="s">
        <v>601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</row>
    <row r="3282" spans="1:25" hidden="1">
      <c r="A3282" t="s">
        <v>18813</v>
      </c>
      <c r="B3282" t="s">
        <v>795</v>
      </c>
      <c r="C3282" t="s">
        <v>729</v>
      </c>
      <c r="D3282" t="s">
        <v>648</v>
      </c>
      <c r="E3282" t="s">
        <v>597</v>
      </c>
      <c r="F3282" t="s">
        <v>598</v>
      </c>
      <c r="G3282" t="s">
        <v>478</v>
      </c>
      <c r="H3282" t="s">
        <v>600</v>
      </c>
      <c r="I3282" t="s">
        <v>601</v>
      </c>
      <c r="J3282">
        <v>7.5382999999999996</v>
      </c>
      <c r="K3282">
        <v>7.3887999999999998</v>
      </c>
      <c r="L3282">
        <v>7.2984999999999998</v>
      </c>
      <c r="M3282">
        <v>7.1703999999999999</v>
      </c>
      <c r="N3282">
        <v>7.0011999999999999</v>
      </c>
      <c r="O3282">
        <v>6.6463000000000001</v>
      </c>
      <c r="P3282">
        <v>6.4608999999999996</v>
      </c>
      <c r="Q3282">
        <v>6.1978</v>
      </c>
      <c r="R3282">
        <v>6.1264000000000003</v>
      </c>
      <c r="S3282">
        <v>6.0860000000000003</v>
      </c>
      <c r="T3282">
        <v>6.0343</v>
      </c>
      <c r="U3282">
        <v>5.9878</v>
      </c>
      <c r="V3282">
        <v>5.9420000000000002</v>
      </c>
      <c r="W3282">
        <v>5.9008000000000003</v>
      </c>
      <c r="X3282">
        <v>5.8703000000000003</v>
      </c>
      <c r="Y3282">
        <v>5.8554000000000004</v>
      </c>
    </row>
    <row r="3283" spans="1:25" hidden="1">
      <c r="A3283" t="s">
        <v>18813</v>
      </c>
      <c r="B3283" t="s">
        <v>796</v>
      </c>
      <c r="C3283" t="s">
        <v>729</v>
      </c>
      <c r="D3283" t="s">
        <v>648</v>
      </c>
      <c r="E3283" t="s">
        <v>642</v>
      </c>
      <c r="F3283" t="s">
        <v>598</v>
      </c>
      <c r="G3283" t="s">
        <v>478</v>
      </c>
      <c r="H3283" t="s">
        <v>600</v>
      </c>
      <c r="I3283" t="s">
        <v>601</v>
      </c>
      <c r="J3283">
        <v>1.7568999999999999</v>
      </c>
      <c r="K3283">
        <v>1.8113999999999999</v>
      </c>
      <c r="L3283">
        <v>1.8692</v>
      </c>
      <c r="M3283">
        <v>1.9297</v>
      </c>
      <c r="N3283">
        <v>1.9937</v>
      </c>
      <c r="O3283">
        <v>2.0592000000000001</v>
      </c>
      <c r="P3283">
        <v>2.1265999999999998</v>
      </c>
      <c r="Q3283">
        <v>2.1924999999999999</v>
      </c>
      <c r="R3283">
        <v>2.2202999999999999</v>
      </c>
      <c r="S3283">
        <v>2.2519</v>
      </c>
      <c r="T3283">
        <v>2.2818999999999998</v>
      </c>
      <c r="U3283">
        <v>2.3117000000000001</v>
      </c>
      <c r="V3283">
        <v>2.343</v>
      </c>
      <c r="W3283">
        <v>2.375</v>
      </c>
      <c r="X3283">
        <v>2.4066000000000001</v>
      </c>
      <c r="Y3283">
        <v>2.4384999999999999</v>
      </c>
    </row>
    <row r="3284" spans="1:25" hidden="1">
      <c r="A3284" t="s">
        <v>18813</v>
      </c>
      <c r="B3284" t="s">
        <v>797</v>
      </c>
      <c r="C3284" t="s">
        <v>729</v>
      </c>
      <c r="D3284" t="s">
        <v>648</v>
      </c>
      <c r="E3284" t="s">
        <v>605</v>
      </c>
      <c r="F3284" t="s">
        <v>598</v>
      </c>
      <c r="G3284" t="s">
        <v>478</v>
      </c>
      <c r="H3284" t="s">
        <v>600</v>
      </c>
      <c r="I3284" t="s">
        <v>601</v>
      </c>
      <c r="J3284">
        <v>1E-4</v>
      </c>
      <c r="K3284">
        <v>1E-4</v>
      </c>
      <c r="L3284">
        <v>1E-4</v>
      </c>
      <c r="M3284">
        <v>1E-4</v>
      </c>
      <c r="N3284">
        <v>1E-4</v>
      </c>
      <c r="O3284">
        <v>1E-4</v>
      </c>
      <c r="P3284">
        <v>1E-4</v>
      </c>
      <c r="Q3284">
        <v>1E-4</v>
      </c>
      <c r="R3284">
        <v>1E-4</v>
      </c>
      <c r="S3284">
        <v>1E-4</v>
      </c>
      <c r="T3284">
        <v>1E-4</v>
      </c>
      <c r="U3284">
        <v>1E-4</v>
      </c>
      <c r="V3284">
        <v>1E-4</v>
      </c>
      <c r="W3284">
        <v>1E-4</v>
      </c>
      <c r="X3284">
        <v>1E-4</v>
      </c>
      <c r="Y3284">
        <v>1E-4</v>
      </c>
    </row>
    <row r="3285" spans="1:25" hidden="1">
      <c r="A3285" t="s">
        <v>18813</v>
      </c>
      <c r="B3285" t="s">
        <v>801</v>
      </c>
      <c r="C3285" t="s">
        <v>729</v>
      </c>
      <c r="D3285" t="s">
        <v>648</v>
      </c>
      <c r="E3285" t="s">
        <v>619</v>
      </c>
      <c r="F3285" t="s">
        <v>598</v>
      </c>
      <c r="G3285" t="s">
        <v>478</v>
      </c>
      <c r="H3285" t="s">
        <v>600</v>
      </c>
      <c r="I3285" t="s">
        <v>601</v>
      </c>
      <c r="J3285">
        <v>3.5999999999999999E-3</v>
      </c>
      <c r="K3285">
        <v>3.7000000000000002E-3</v>
      </c>
      <c r="L3285">
        <v>3.8999999999999998E-3</v>
      </c>
      <c r="M3285">
        <v>4.1000000000000003E-3</v>
      </c>
      <c r="N3285">
        <v>4.1999999999999997E-3</v>
      </c>
      <c r="O3285">
        <v>4.3E-3</v>
      </c>
      <c r="P3285">
        <v>4.4000000000000003E-3</v>
      </c>
      <c r="Q3285">
        <v>4.4999999999999997E-3</v>
      </c>
      <c r="R3285">
        <v>4.5999999999999999E-3</v>
      </c>
      <c r="S3285">
        <v>4.5999999999999999E-3</v>
      </c>
      <c r="T3285">
        <v>4.7000000000000002E-3</v>
      </c>
      <c r="U3285">
        <v>4.7999999999999996E-3</v>
      </c>
      <c r="V3285">
        <v>4.7999999999999996E-3</v>
      </c>
      <c r="W3285">
        <v>5.0000000000000001E-3</v>
      </c>
      <c r="X3285">
        <v>5.1000000000000004E-3</v>
      </c>
      <c r="Y3285">
        <v>5.1000000000000004E-3</v>
      </c>
    </row>
    <row r="3286" spans="1:25" hidden="1">
      <c r="A3286" t="s">
        <v>18813</v>
      </c>
      <c r="B3286" t="s">
        <v>803</v>
      </c>
      <c r="C3286" t="s">
        <v>804</v>
      </c>
      <c r="D3286" t="s">
        <v>596</v>
      </c>
      <c r="E3286" t="s">
        <v>597</v>
      </c>
      <c r="F3286" t="s">
        <v>598</v>
      </c>
      <c r="G3286" t="s">
        <v>478</v>
      </c>
      <c r="H3286" t="s">
        <v>600</v>
      </c>
      <c r="I3286" t="s">
        <v>601</v>
      </c>
      <c r="J3286">
        <v>7.0400000000000004E-2</v>
      </c>
      <c r="K3286">
        <v>6.5299999999999997E-2</v>
      </c>
      <c r="L3286">
        <v>6.5299999999999997E-2</v>
      </c>
      <c r="M3286">
        <v>6.2899999999999998E-2</v>
      </c>
      <c r="N3286">
        <v>6.0199999999999997E-2</v>
      </c>
      <c r="O3286">
        <v>5.5199999999999999E-2</v>
      </c>
      <c r="P3286">
        <v>5.0200000000000002E-2</v>
      </c>
      <c r="Q3286">
        <v>0.04</v>
      </c>
      <c r="R3286">
        <v>0.04</v>
      </c>
      <c r="S3286">
        <v>0.04</v>
      </c>
      <c r="T3286">
        <v>0.04</v>
      </c>
      <c r="U3286">
        <v>0.04</v>
      </c>
      <c r="V3286">
        <v>0.04</v>
      </c>
      <c r="W3286">
        <v>0.04</v>
      </c>
      <c r="X3286">
        <v>4.0099999999999997E-2</v>
      </c>
      <c r="Y3286">
        <v>4.0099999999999997E-2</v>
      </c>
    </row>
    <row r="3287" spans="1:25" hidden="1">
      <c r="A3287" t="s">
        <v>18813</v>
      </c>
      <c r="B3287" t="s">
        <v>807</v>
      </c>
      <c r="C3287" t="s">
        <v>804</v>
      </c>
      <c r="D3287" t="s">
        <v>596</v>
      </c>
      <c r="E3287" t="s">
        <v>808</v>
      </c>
      <c r="F3287" t="s">
        <v>598</v>
      </c>
      <c r="G3287" t="s">
        <v>478</v>
      </c>
      <c r="H3287" t="s">
        <v>600</v>
      </c>
      <c r="I3287" t="s">
        <v>601</v>
      </c>
      <c r="J3287">
        <v>5.8999999999999999E-3</v>
      </c>
      <c r="K3287">
        <v>5.4999999999999997E-3</v>
      </c>
      <c r="L3287">
        <v>5.4999999999999997E-3</v>
      </c>
      <c r="M3287">
        <v>5.3E-3</v>
      </c>
      <c r="N3287">
        <v>5.0000000000000001E-3</v>
      </c>
      <c r="O3287">
        <v>4.5999999999999999E-3</v>
      </c>
      <c r="P3287">
        <v>4.1000000000000003E-3</v>
      </c>
      <c r="Q3287">
        <v>3.2000000000000002E-3</v>
      </c>
      <c r="R3287">
        <v>3.2000000000000002E-3</v>
      </c>
      <c r="S3287">
        <v>3.2000000000000002E-3</v>
      </c>
      <c r="T3287">
        <v>3.2000000000000002E-3</v>
      </c>
      <c r="U3287">
        <v>3.2000000000000002E-3</v>
      </c>
      <c r="V3287">
        <v>3.2000000000000002E-3</v>
      </c>
      <c r="W3287">
        <v>3.2000000000000002E-3</v>
      </c>
      <c r="X3287">
        <v>3.2000000000000002E-3</v>
      </c>
      <c r="Y3287">
        <v>3.2000000000000002E-3</v>
      </c>
    </row>
    <row r="3288" spans="1:25" hidden="1">
      <c r="A3288" t="s">
        <v>18813</v>
      </c>
      <c r="B3288" t="s">
        <v>815</v>
      </c>
      <c r="C3288" t="s">
        <v>804</v>
      </c>
      <c r="D3288" t="s">
        <v>671</v>
      </c>
      <c r="E3288" t="s">
        <v>597</v>
      </c>
      <c r="F3288" t="s">
        <v>598</v>
      </c>
      <c r="G3288" t="s">
        <v>478</v>
      </c>
      <c r="H3288" t="s">
        <v>600</v>
      </c>
      <c r="I3288" t="s">
        <v>601</v>
      </c>
      <c r="J3288">
        <v>3.1600000000000003E-2</v>
      </c>
      <c r="K3288">
        <v>2.9499999999999998E-2</v>
      </c>
      <c r="L3288">
        <v>2.9600000000000001E-2</v>
      </c>
      <c r="M3288">
        <v>2.87E-2</v>
      </c>
      <c r="N3288">
        <v>2.7900000000000001E-2</v>
      </c>
      <c r="O3288">
        <v>2.5999999999999999E-2</v>
      </c>
      <c r="P3288">
        <v>2.3900000000000001E-2</v>
      </c>
      <c r="Q3288">
        <v>1.9900000000000001E-2</v>
      </c>
      <c r="R3288">
        <v>0.02</v>
      </c>
      <c r="S3288">
        <v>2.01E-2</v>
      </c>
      <c r="T3288">
        <v>2.0199999999999999E-2</v>
      </c>
      <c r="U3288">
        <v>2.0199999999999999E-2</v>
      </c>
      <c r="V3288">
        <v>2.0299999999999999E-2</v>
      </c>
      <c r="W3288">
        <v>2.0400000000000001E-2</v>
      </c>
      <c r="X3288">
        <v>2.0400000000000001E-2</v>
      </c>
      <c r="Y3288">
        <v>2.0400000000000001E-2</v>
      </c>
    </row>
    <row r="3289" spans="1:25" hidden="1">
      <c r="A3289" t="s">
        <v>18813</v>
      </c>
      <c r="B3289" t="s">
        <v>816</v>
      </c>
      <c r="C3289" t="s">
        <v>804</v>
      </c>
      <c r="D3289" t="s">
        <v>671</v>
      </c>
      <c r="E3289" t="s">
        <v>642</v>
      </c>
      <c r="F3289" t="s">
        <v>598</v>
      </c>
      <c r="G3289" t="s">
        <v>478</v>
      </c>
      <c r="H3289" t="s">
        <v>600</v>
      </c>
      <c r="I3289" t="s">
        <v>601</v>
      </c>
      <c r="J3289">
        <v>1E-4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hidden="1">
      <c r="A3290" t="s">
        <v>18813</v>
      </c>
      <c r="B3290" t="s">
        <v>824</v>
      </c>
      <c r="C3290" t="s">
        <v>804</v>
      </c>
      <c r="D3290" t="s">
        <v>621</v>
      </c>
      <c r="E3290" t="s">
        <v>626</v>
      </c>
      <c r="F3290" t="s">
        <v>598</v>
      </c>
      <c r="G3290" t="s">
        <v>478</v>
      </c>
      <c r="H3290" t="s">
        <v>600</v>
      </c>
      <c r="I3290" t="s">
        <v>601</v>
      </c>
      <c r="J3290">
        <v>1.18E-2</v>
      </c>
      <c r="K3290">
        <v>1.0800000000000001E-2</v>
      </c>
      <c r="L3290">
        <v>1.0800000000000001E-2</v>
      </c>
      <c r="M3290">
        <v>1.04E-2</v>
      </c>
      <c r="N3290">
        <v>9.9000000000000008E-3</v>
      </c>
      <c r="O3290">
        <v>9.1000000000000004E-3</v>
      </c>
      <c r="P3290">
        <v>8.2000000000000007E-3</v>
      </c>
      <c r="Q3290">
        <v>6.4000000000000003E-3</v>
      </c>
      <c r="R3290">
        <v>6.4000000000000003E-3</v>
      </c>
      <c r="S3290">
        <v>6.4000000000000003E-3</v>
      </c>
      <c r="T3290">
        <v>6.4000000000000003E-3</v>
      </c>
      <c r="U3290">
        <v>6.4000000000000003E-3</v>
      </c>
      <c r="V3290">
        <v>6.4000000000000003E-3</v>
      </c>
      <c r="W3290">
        <v>6.4000000000000003E-3</v>
      </c>
      <c r="X3290">
        <v>6.4000000000000003E-3</v>
      </c>
      <c r="Y3290">
        <v>6.4000000000000003E-3</v>
      </c>
    </row>
    <row r="3291" spans="1:25" hidden="1">
      <c r="A3291" t="s">
        <v>18813</v>
      </c>
      <c r="B3291" t="s">
        <v>825</v>
      </c>
      <c r="C3291" t="s">
        <v>804</v>
      </c>
      <c r="D3291" t="s">
        <v>621</v>
      </c>
      <c r="E3291" t="s">
        <v>628</v>
      </c>
      <c r="F3291" t="s">
        <v>598</v>
      </c>
      <c r="G3291" t="s">
        <v>478</v>
      </c>
      <c r="H3291" t="s">
        <v>600</v>
      </c>
      <c r="I3291" t="s">
        <v>601</v>
      </c>
      <c r="J3291">
        <v>8.5000000000000006E-3</v>
      </c>
      <c r="K3291">
        <v>8.5000000000000006E-3</v>
      </c>
      <c r="L3291">
        <v>8.6E-3</v>
      </c>
      <c r="M3291">
        <v>8.6999999999999994E-3</v>
      </c>
      <c r="N3291">
        <v>8.8000000000000005E-3</v>
      </c>
      <c r="O3291">
        <v>8.8999999999999999E-3</v>
      </c>
      <c r="P3291">
        <v>8.8999999999999999E-3</v>
      </c>
      <c r="Q3291">
        <v>9.1000000000000004E-3</v>
      </c>
      <c r="R3291">
        <v>9.1999999999999998E-3</v>
      </c>
      <c r="S3291">
        <v>9.1999999999999998E-3</v>
      </c>
      <c r="T3291">
        <v>9.1999999999999998E-3</v>
      </c>
      <c r="U3291">
        <v>9.2999999999999992E-3</v>
      </c>
      <c r="V3291">
        <v>9.2999999999999992E-3</v>
      </c>
      <c r="W3291">
        <v>9.2999999999999992E-3</v>
      </c>
      <c r="X3291">
        <v>9.4000000000000004E-3</v>
      </c>
      <c r="Y3291">
        <v>9.4999999999999998E-3</v>
      </c>
    </row>
    <row r="3292" spans="1:25" hidden="1">
      <c r="A3292" t="s">
        <v>18813</v>
      </c>
      <c r="B3292" t="s">
        <v>827</v>
      </c>
      <c r="C3292" t="s">
        <v>804</v>
      </c>
      <c r="D3292" t="s">
        <v>828</v>
      </c>
      <c r="E3292" t="s">
        <v>597</v>
      </c>
      <c r="F3292" t="s">
        <v>598</v>
      </c>
      <c r="G3292" t="s">
        <v>478</v>
      </c>
      <c r="H3292" t="s">
        <v>600</v>
      </c>
      <c r="I3292" t="s">
        <v>601</v>
      </c>
      <c r="J3292">
        <v>3.0000000000000001E-3</v>
      </c>
      <c r="K3292">
        <v>3.0999999999999999E-3</v>
      </c>
      <c r="L3292">
        <v>3.0999999999999999E-3</v>
      </c>
      <c r="M3292">
        <v>3.0999999999999999E-3</v>
      </c>
      <c r="N3292">
        <v>3.0999999999999999E-3</v>
      </c>
      <c r="O3292">
        <v>3.3E-3</v>
      </c>
      <c r="P3292">
        <v>3.3E-3</v>
      </c>
      <c r="Q3292">
        <v>3.3E-3</v>
      </c>
      <c r="R3292">
        <v>3.3E-3</v>
      </c>
      <c r="S3292">
        <v>3.3999999999999998E-3</v>
      </c>
      <c r="T3292">
        <v>3.3999999999999998E-3</v>
      </c>
      <c r="U3292">
        <v>3.3999999999999998E-3</v>
      </c>
      <c r="V3292">
        <v>3.3999999999999998E-3</v>
      </c>
      <c r="W3292">
        <v>3.3999999999999998E-3</v>
      </c>
      <c r="X3292">
        <v>3.5999999999999999E-3</v>
      </c>
      <c r="Y3292">
        <v>3.5999999999999999E-3</v>
      </c>
    </row>
    <row r="3293" spans="1:25" hidden="1">
      <c r="A3293" t="s">
        <v>18813</v>
      </c>
      <c r="B3293" t="s">
        <v>829</v>
      </c>
      <c r="C3293" t="s">
        <v>804</v>
      </c>
      <c r="D3293" t="s">
        <v>828</v>
      </c>
      <c r="E3293" t="s">
        <v>628</v>
      </c>
      <c r="F3293" t="s">
        <v>598</v>
      </c>
      <c r="G3293" t="s">
        <v>478</v>
      </c>
      <c r="H3293" t="s">
        <v>600</v>
      </c>
      <c r="I3293" t="s">
        <v>601</v>
      </c>
      <c r="J3293">
        <v>6.6000000000000003E-2</v>
      </c>
      <c r="K3293">
        <v>6.6000000000000003E-2</v>
      </c>
      <c r="L3293">
        <v>6.6000000000000003E-2</v>
      </c>
      <c r="M3293">
        <v>6.6100000000000006E-2</v>
      </c>
      <c r="N3293">
        <v>6.6100000000000006E-2</v>
      </c>
      <c r="O3293">
        <v>6.6100000000000006E-2</v>
      </c>
      <c r="P3293">
        <v>6.6100000000000006E-2</v>
      </c>
      <c r="Q3293">
        <v>6.6100000000000006E-2</v>
      </c>
      <c r="R3293">
        <v>6.6100000000000006E-2</v>
      </c>
      <c r="S3293">
        <v>6.6100000000000006E-2</v>
      </c>
      <c r="T3293">
        <v>6.6100000000000006E-2</v>
      </c>
      <c r="U3293">
        <v>6.6100000000000006E-2</v>
      </c>
      <c r="V3293">
        <v>6.6199999999999995E-2</v>
      </c>
      <c r="W3293">
        <v>6.6199999999999995E-2</v>
      </c>
      <c r="X3293">
        <v>6.6199999999999995E-2</v>
      </c>
      <c r="Y3293">
        <v>6.6199999999999995E-2</v>
      </c>
    </row>
    <row r="3294" spans="1:25" hidden="1">
      <c r="A3294" t="s">
        <v>18813</v>
      </c>
      <c r="B3294" t="s">
        <v>830</v>
      </c>
      <c r="C3294" t="s">
        <v>804</v>
      </c>
      <c r="D3294" t="s">
        <v>828</v>
      </c>
      <c r="E3294" t="s">
        <v>628</v>
      </c>
      <c r="F3294" t="s">
        <v>831</v>
      </c>
      <c r="G3294" t="s">
        <v>478</v>
      </c>
      <c r="H3294" t="s">
        <v>600</v>
      </c>
      <c r="I3294" t="s">
        <v>601</v>
      </c>
      <c r="J3294">
        <v>4.8999999999999998E-3</v>
      </c>
      <c r="K3294">
        <v>3.5000000000000001E-3</v>
      </c>
      <c r="L3294">
        <v>3.0999999999999999E-3</v>
      </c>
      <c r="M3294">
        <v>3.0999999999999999E-3</v>
      </c>
      <c r="N3294">
        <v>2.8999999999999998E-3</v>
      </c>
      <c r="O3294">
        <v>2.8999999999999998E-3</v>
      </c>
      <c r="P3294">
        <v>2.8999999999999998E-3</v>
      </c>
      <c r="Q3294">
        <v>2.8999999999999998E-3</v>
      </c>
      <c r="R3294">
        <v>2.8E-3</v>
      </c>
      <c r="S3294">
        <v>2.7000000000000001E-3</v>
      </c>
      <c r="T3294">
        <v>2.7000000000000001E-3</v>
      </c>
      <c r="U3294">
        <v>2.5999999999999999E-3</v>
      </c>
      <c r="V3294">
        <v>2.5999999999999999E-3</v>
      </c>
      <c r="W3294">
        <v>2.5000000000000001E-3</v>
      </c>
      <c r="X3294">
        <v>2.3999999999999998E-3</v>
      </c>
      <c r="Y3294">
        <v>2.3E-3</v>
      </c>
    </row>
    <row r="3295" spans="1:25" hidden="1">
      <c r="A3295" t="s">
        <v>18813</v>
      </c>
      <c r="B3295" t="s">
        <v>832</v>
      </c>
      <c r="C3295" t="s">
        <v>804</v>
      </c>
      <c r="D3295" t="s">
        <v>828</v>
      </c>
      <c r="E3295" t="s">
        <v>628</v>
      </c>
      <c r="F3295" t="s">
        <v>833</v>
      </c>
      <c r="G3295" t="s">
        <v>478</v>
      </c>
      <c r="H3295" t="s">
        <v>600</v>
      </c>
      <c r="I3295" t="s">
        <v>601</v>
      </c>
      <c r="J3295">
        <v>9.2999999999999992E-3</v>
      </c>
      <c r="K3295">
        <v>8.8999999999999999E-3</v>
      </c>
      <c r="L3295">
        <v>8.3999999999999995E-3</v>
      </c>
      <c r="M3295">
        <v>7.9000000000000008E-3</v>
      </c>
      <c r="N3295">
        <v>7.4000000000000003E-3</v>
      </c>
      <c r="O3295">
        <v>7.0000000000000001E-3</v>
      </c>
      <c r="P3295">
        <v>6.4999999999999997E-3</v>
      </c>
      <c r="Q3295">
        <v>5.8999999999999999E-3</v>
      </c>
      <c r="R3295">
        <v>5.4999999999999997E-3</v>
      </c>
      <c r="S3295">
        <v>5.1999999999999998E-3</v>
      </c>
      <c r="T3295">
        <v>4.7999999999999996E-3</v>
      </c>
      <c r="U3295">
        <v>4.4000000000000003E-3</v>
      </c>
      <c r="V3295">
        <v>4.1000000000000003E-3</v>
      </c>
      <c r="W3295">
        <v>3.8E-3</v>
      </c>
      <c r="X3295">
        <v>3.5000000000000001E-3</v>
      </c>
      <c r="Y3295">
        <v>3.3E-3</v>
      </c>
    </row>
    <row r="3296" spans="1:25" hidden="1">
      <c r="A3296" t="s">
        <v>18813</v>
      </c>
      <c r="B3296" t="s">
        <v>836</v>
      </c>
      <c r="C3296" t="s">
        <v>804</v>
      </c>
      <c r="D3296" t="s">
        <v>640</v>
      </c>
      <c r="E3296" t="s">
        <v>597</v>
      </c>
      <c r="F3296" t="s">
        <v>598</v>
      </c>
      <c r="G3296" t="s">
        <v>478</v>
      </c>
      <c r="H3296" t="s">
        <v>600</v>
      </c>
      <c r="I3296" t="s">
        <v>601</v>
      </c>
      <c r="J3296">
        <v>3.1300000000000001E-2</v>
      </c>
      <c r="K3296">
        <v>3.0700000000000002E-2</v>
      </c>
      <c r="L3296">
        <v>3.09E-2</v>
      </c>
      <c r="M3296">
        <v>3.0599999999999999E-2</v>
      </c>
      <c r="N3296">
        <v>3.04E-2</v>
      </c>
      <c r="O3296">
        <v>2.9600000000000001E-2</v>
      </c>
      <c r="P3296">
        <v>2.9000000000000001E-2</v>
      </c>
      <c r="Q3296">
        <v>2.75E-2</v>
      </c>
      <c r="R3296">
        <v>2.7400000000000001E-2</v>
      </c>
      <c r="S3296">
        <v>2.7400000000000001E-2</v>
      </c>
      <c r="T3296">
        <v>2.76E-2</v>
      </c>
      <c r="U3296">
        <v>2.76E-2</v>
      </c>
      <c r="V3296">
        <v>2.7699999999999999E-2</v>
      </c>
      <c r="W3296">
        <v>2.7900000000000001E-2</v>
      </c>
      <c r="X3296">
        <v>2.81E-2</v>
      </c>
      <c r="Y3296">
        <v>2.8199999999999999E-2</v>
      </c>
    </row>
    <row r="3297" spans="1:25" hidden="1">
      <c r="A3297" t="s">
        <v>18813</v>
      </c>
      <c r="B3297" t="s">
        <v>840</v>
      </c>
      <c r="C3297" t="s">
        <v>841</v>
      </c>
      <c r="D3297" t="s">
        <v>596</v>
      </c>
      <c r="E3297" t="s">
        <v>649</v>
      </c>
      <c r="F3297" t="s">
        <v>598</v>
      </c>
      <c r="G3297" t="s">
        <v>478</v>
      </c>
      <c r="H3297" t="s">
        <v>600</v>
      </c>
      <c r="I3297" t="s">
        <v>601</v>
      </c>
      <c r="J3297">
        <v>0.42330000000000001</v>
      </c>
      <c r="K3297">
        <v>0.42070000000000002</v>
      </c>
      <c r="L3297">
        <v>0.4093</v>
      </c>
      <c r="M3297">
        <v>0.41239999999999999</v>
      </c>
      <c r="N3297">
        <v>0.41139999999999999</v>
      </c>
      <c r="O3297">
        <v>0.4108</v>
      </c>
      <c r="P3297">
        <v>0.4269</v>
      </c>
      <c r="Q3297">
        <v>0.43780000000000002</v>
      </c>
      <c r="R3297">
        <v>0.4456</v>
      </c>
      <c r="S3297">
        <v>0.45079999999999998</v>
      </c>
      <c r="T3297">
        <v>0.45440000000000003</v>
      </c>
      <c r="U3297">
        <v>0.45440000000000003</v>
      </c>
      <c r="V3297">
        <v>0.45440000000000003</v>
      </c>
      <c r="W3297">
        <v>0.45440000000000003</v>
      </c>
      <c r="X3297">
        <v>0.45440000000000003</v>
      </c>
      <c r="Y3297">
        <v>0.45440000000000003</v>
      </c>
    </row>
    <row r="3298" spans="1:25" hidden="1">
      <c r="A3298" t="s">
        <v>18813</v>
      </c>
      <c r="B3298" t="s">
        <v>842</v>
      </c>
      <c r="C3298" t="s">
        <v>841</v>
      </c>
      <c r="D3298" t="s">
        <v>596</v>
      </c>
      <c r="E3298" t="s">
        <v>597</v>
      </c>
      <c r="F3298" t="s">
        <v>598</v>
      </c>
      <c r="G3298" t="s">
        <v>478</v>
      </c>
      <c r="H3298" t="s">
        <v>600</v>
      </c>
      <c r="I3298" t="s">
        <v>601</v>
      </c>
      <c r="J3298">
        <v>0.76770000000000005</v>
      </c>
      <c r="K3298">
        <v>0.7268</v>
      </c>
      <c r="L3298">
        <v>0.72960000000000003</v>
      </c>
      <c r="M3298">
        <v>0.71079999999999999</v>
      </c>
      <c r="N3298">
        <v>0.69240000000000002</v>
      </c>
      <c r="O3298">
        <v>0.65229999999999999</v>
      </c>
      <c r="P3298">
        <v>0.6119</v>
      </c>
      <c r="Q3298">
        <v>0.53</v>
      </c>
      <c r="R3298">
        <v>0.53210000000000002</v>
      </c>
      <c r="S3298">
        <v>0.53380000000000005</v>
      </c>
      <c r="T3298">
        <v>0.5363</v>
      </c>
      <c r="U3298">
        <v>0.53769999999999996</v>
      </c>
      <c r="V3298">
        <v>0.53990000000000005</v>
      </c>
      <c r="W3298">
        <v>0.54239999999999999</v>
      </c>
      <c r="X3298">
        <v>0.54449999999999998</v>
      </c>
      <c r="Y3298">
        <v>0.54649999999999999</v>
      </c>
    </row>
    <row r="3299" spans="1:25" hidden="1">
      <c r="A3299" t="s">
        <v>18813</v>
      </c>
      <c r="B3299" t="s">
        <v>844</v>
      </c>
      <c r="C3299" t="s">
        <v>841</v>
      </c>
      <c r="D3299" t="s">
        <v>596</v>
      </c>
      <c r="E3299" t="s">
        <v>603</v>
      </c>
      <c r="F3299" t="s">
        <v>598</v>
      </c>
      <c r="G3299" t="s">
        <v>478</v>
      </c>
      <c r="H3299" t="s">
        <v>600</v>
      </c>
      <c r="I3299" t="s">
        <v>601</v>
      </c>
      <c r="J3299">
        <v>2E-3</v>
      </c>
      <c r="K3299">
        <v>2.0999999999999999E-3</v>
      </c>
      <c r="L3299">
        <v>2.2000000000000001E-3</v>
      </c>
      <c r="M3299">
        <v>2.3E-3</v>
      </c>
      <c r="N3299">
        <v>2.3E-3</v>
      </c>
      <c r="O3299">
        <v>2.3999999999999998E-3</v>
      </c>
      <c r="P3299">
        <v>2.5000000000000001E-3</v>
      </c>
      <c r="Q3299">
        <v>2.5000000000000001E-3</v>
      </c>
      <c r="R3299">
        <v>2.5000000000000001E-3</v>
      </c>
      <c r="S3299">
        <v>2.5999999999999999E-3</v>
      </c>
      <c r="T3299">
        <v>2.5999999999999999E-3</v>
      </c>
      <c r="U3299">
        <v>2.5999999999999999E-3</v>
      </c>
      <c r="V3299">
        <v>2.7000000000000001E-3</v>
      </c>
      <c r="W3299">
        <v>2.7000000000000001E-3</v>
      </c>
      <c r="X3299">
        <v>2.7000000000000001E-3</v>
      </c>
      <c r="Y3299">
        <v>2.7000000000000001E-3</v>
      </c>
    </row>
    <row r="3300" spans="1:25" hidden="1">
      <c r="A3300" t="s">
        <v>18813</v>
      </c>
      <c r="B3300" t="s">
        <v>845</v>
      </c>
      <c r="C3300" t="s">
        <v>841</v>
      </c>
      <c r="D3300" t="s">
        <v>596</v>
      </c>
      <c r="E3300" t="s">
        <v>605</v>
      </c>
      <c r="F3300" t="s">
        <v>598</v>
      </c>
      <c r="G3300" t="s">
        <v>478</v>
      </c>
      <c r="H3300" t="s">
        <v>600</v>
      </c>
      <c r="I3300" t="s">
        <v>601</v>
      </c>
      <c r="J3300">
        <v>5.7099999999999998E-2</v>
      </c>
      <c r="K3300">
        <v>5.8200000000000002E-2</v>
      </c>
      <c r="L3300">
        <v>5.9200000000000003E-2</v>
      </c>
      <c r="M3300">
        <v>6.0299999999999999E-2</v>
      </c>
      <c r="N3300">
        <v>6.1400000000000003E-2</v>
      </c>
      <c r="O3300">
        <v>6.2399999999999997E-2</v>
      </c>
      <c r="P3300">
        <v>6.3E-2</v>
      </c>
      <c r="Q3300">
        <v>6.3500000000000001E-2</v>
      </c>
      <c r="R3300">
        <v>6.4100000000000004E-2</v>
      </c>
      <c r="S3300">
        <v>6.4500000000000002E-2</v>
      </c>
      <c r="T3300">
        <v>6.5000000000000002E-2</v>
      </c>
      <c r="U3300">
        <v>6.5500000000000003E-2</v>
      </c>
      <c r="V3300">
        <v>6.59E-2</v>
      </c>
      <c r="W3300">
        <v>6.6400000000000001E-2</v>
      </c>
      <c r="X3300">
        <v>6.6900000000000001E-2</v>
      </c>
      <c r="Y3300">
        <v>6.7400000000000002E-2</v>
      </c>
    </row>
    <row r="3301" spans="1:25" hidden="1">
      <c r="A3301" t="s">
        <v>18813</v>
      </c>
      <c r="B3301" t="s">
        <v>847</v>
      </c>
      <c r="C3301" t="s">
        <v>841</v>
      </c>
      <c r="D3301" t="s">
        <v>596</v>
      </c>
      <c r="E3301" t="s">
        <v>808</v>
      </c>
      <c r="F3301" t="s">
        <v>598</v>
      </c>
      <c r="G3301" t="s">
        <v>478</v>
      </c>
      <c r="H3301" t="s">
        <v>600</v>
      </c>
      <c r="I3301" t="s">
        <v>601</v>
      </c>
      <c r="J3301">
        <v>8.8999999999999999E-3</v>
      </c>
      <c r="K3301">
        <v>9.1000000000000004E-3</v>
      </c>
      <c r="L3301">
        <v>9.1999999999999998E-3</v>
      </c>
      <c r="M3301">
        <v>9.2999999999999992E-3</v>
      </c>
      <c r="N3301">
        <v>9.4000000000000004E-3</v>
      </c>
      <c r="O3301">
        <v>9.5999999999999992E-3</v>
      </c>
      <c r="P3301">
        <v>9.5999999999999992E-3</v>
      </c>
      <c r="Q3301">
        <v>9.5999999999999992E-3</v>
      </c>
      <c r="R3301">
        <v>9.5999999999999992E-3</v>
      </c>
      <c r="S3301">
        <v>9.7999999999999997E-3</v>
      </c>
      <c r="T3301">
        <v>9.7999999999999997E-3</v>
      </c>
      <c r="U3301">
        <v>9.7999999999999997E-3</v>
      </c>
      <c r="V3301">
        <v>9.7999999999999997E-3</v>
      </c>
      <c r="W3301">
        <v>9.9000000000000008E-3</v>
      </c>
      <c r="X3301">
        <v>0.01</v>
      </c>
      <c r="Y3301">
        <v>0.01</v>
      </c>
    </row>
    <row r="3302" spans="1:25" hidden="1">
      <c r="A3302" t="s">
        <v>18813</v>
      </c>
      <c r="B3302" t="s">
        <v>852</v>
      </c>
      <c r="C3302" t="s">
        <v>841</v>
      </c>
      <c r="D3302" t="s">
        <v>596</v>
      </c>
      <c r="E3302" t="s">
        <v>619</v>
      </c>
      <c r="F3302" t="s">
        <v>598</v>
      </c>
      <c r="G3302" t="s">
        <v>478</v>
      </c>
      <c r="H3302" t="s">
        <v>600</v>
      </c>
      <c r="I3302" t="s">
        <v>601</v>
      </c>
      <c r="J3302">
        <v>2.9999999999999997E-4</v>
      </c>
      <c r="K3302">
        <v>2.9999999999999997E-4</v>
      </c>
      <c r="L3302">
        <v>2.9999999999999997E-4</v>
      </c>
      <c r="M3302">
        <v>2.9999999999999997E-4</v>
      </c>
      <c r="N3302">
        <v>2.9999999999999997E-4</v>
      </c>
      <c r="O3302">
        <v>2.9999999999999997E-4</v>
      </c>
      <c r="P3302">
        <v>2.9999999999999997E-4</v>
      </c>
      <c r="Q3302">
        <v>2.9999999999999997E-4</v>
      </c>
      <c r="R3302">
        <v>2.9999999999999997E-4</v>
      </c>
      <c r="S3302">
        <v>2.9999999999999997E-4</v>
      </c>
      <c r="T3302">
        <v>2.9999999999999997E-4</v>
      </c>
      <c r="U3302">
        <v>2.9999999999999997E-4</v>
      </c>
      <c r="V3302">
        <v>2.9999999999999997E-4</v>
      </c>
      <c r="W3302">
        <v>2.9999999999999997E-4</v>
      </c>
      <c r="X3302">
        <v>2.9999999999999997E-4</v>
      </c>
      <c r="Y3302">
        <v>2.9999999999999997E-4</v>
      </c>
    </row>
    <row r="3303" spans="1:25" hidden="1">
      <c r="A3303" t="s">
        <v>18813</v>
      </c>
      <c r="B3303" t="s">
        <v>855</v>
      </c>
      <c r="C3303" t="s">
        <v>841</v>
      </c>
      <c r="D3303" t="s">
        <v>671</v>
      </c>
      <c r="E3303" t="s">
        <v>597</v>
      </c>
      <c r="F3303" t="s">
        <v>598</v>
      </c>
      <c r="G3303" t="s">
        <v>478</v>
      </c>
      <c r="H3303" t="s">
        <v>600</v>
      </c>
      <c r="I3303" t="s">
        <v>601</v>
      </c>
      <c r="J3303">
        <v>8.5999999999999993E-2</v>
      </c>
      <c r="K3303">
        <v>8.2799999999999999E-2</v>
      </c>
      <c r="L3303">
        <v>8.3699999999999997E-2</v>
      </c>
      <c r="M3303">
        <v>8.2799999999999999E-2</v>
      </c>
      <c r="N3303">
        <v>8.1199999999999994E-2</v>
      </c>
      <c r="O3303">
        <v>7.8299999999999995E-2</v>
      </c>
      <c r="P3303">
        <v>7.5200000000000003E-2</v>
      </c>
      <c r="Q3303">
        <v>6.8000000000000005E-2</v>
      </c>
      <c r="R3303">
        <v>6.8400000000000002E-2</v>
      </c>
      <c r="S3303">
        <v>6.9000000000000006E-2</v>
      </c>
      <c r="T3303">
        <v>6.9599999999999995E-2</v>
      </c>
      <c r="U3303">
        <v>6.9900000000000004E-2</v>
      </c>
      <c r="V3303">
        <v>7.0400000000000004E-2</v>
      </c>
      <c r="W3303">
        <v>7.0999999999999994E-2</v>
      </c>
      <c r="X3303">
        <v>7.17E-2</v>
      </c>
      <c r="Y3303">
        <v>7.2400000000000006E-2</v>
      </c>
    </row>
    <row r="3304" spans="1:25" hidden="1">
      <c r="A3304" t="s">
        <v>18813</v>
      </c>
      <c r="B3304" t="s">
        <v>857</v>
      </c>
      <c r="C3304" t="s">
        <v>841</v>
      </c>
      <c r="D3304" t="s">
        <v>671</v>
      </c>
      <c r="E3304" t="s">
        <v>605</v>
      </c>
      <c r="F3304" t="s">
        <v>598</v>
      </c>
      <c r="G3304" t="s">
        <v>478</v>
      </c>
      <c r="H3304" t="s">
        <v>600</v>
      </c>
      <c r="I3304" t="s">
        <v>601</v>
      </c>
      <c r="J3304">
        <v>4.7000000000000002E-3</v>
      </c>
      <c r="K3304">
        <v>4.7999999999999996E-3</v>
      </c>
      <c r="L3304">
        <v>4.7999999999999996E-3</v>
      </c>
      <c r="M3304">
        <v>4.8999999999999998E-3</v>
      </c>
      <c r="N3304">
        <v>4.8999999999999998E-3</v>
      </c>
      <c r="O3304">
        <v>5.0000000000000001E-3</v>
      </c>
      <c r="P3304">
        <v>5.0000000000000001E-3</v>
      </c>
      <c r="Q3304">
        <v>5.0000000000000001E-3</v>
      </c>
      <c r="R3304">
        <v>5.0000000000000001E-3</v>
      </c>
      <c r="S3304">
        <v>5.1000000000000004E-3</v>
      </c>
      <c r="T3304">
        <v>5.1000000000000004E-3</v>
      </c>
      <c r="U3304">
        <v>5.1999999999999998E-3</v>
      </c>
      <c r="V3304">
        <v>5.1999999999999998E-3</v>
      </c>
      <c r="W3304">
        <v>5.1999999999999998E-3</v>
      </c>
      <c r="X3304">
        <v>5.1999999999999998E-3</v>
      </c>
      <c r="Y3304">
        <v>5.3E-3</v>
      </c>
    </row>
    <row r="3305" spans="1:25" hidden="1">
      <c r="A3305" t="s">
        <v>18813</v>
      </c>
      <c r="B3305" t="s">
        <v>859</v>
      </c>
      <c r="C3305" t="s">
        <v>841</v>
      </c>
      <c r="D3305" t="s">
        <v>671</v>
      </c>
      <c r="E3305" t="s">
        <v>750</v>
      </c>
      <c r="F3305" t="s">
        <v>598</v>
      </c>
      <c r="G3305" t="s">
        <v>478</v>
      </c>
      <c r="H3305" t="s">
        <v>600</v>
      </c>
      <c r="I3305" t="s">
        <v>601</v>
      </c>
      <c r="J3305">
        <v>1E-4</v>
      </c>
      <c r="K3305">
        <v>1E-4</v>
      </c>
      <c r="L3305">
        <v>1E-4</v>
      </c>
      <c r="M3305">
        <v>1E-4</v>
      </c>
      <c r="N3305">
        <v>1E-4</v>
      </c>
      <c r="O3305">
        <v>1E-4</v>
      </c>
      <c r="P3305">
        <v>1E-4</v>
      </c>
      <c r="Q3305">
        <v>1E-4</v>
      </c>
      <c r="R3305">
        <v>1E-4</v>
      </c>
      <c r="S3305">
        <v>1E-4</v>
      </c>
      <c r="T3305">
        <v>1E-4</v>
      </c>
      <c r="U3305">
        <v>1E-4</v>
      </c>
      <c r="V3305">
        <v>1E-4</v>
      </c>
      <c r="W3305">
        <v>1E-4</v>
      </c>
      <c r="X3305">
        <v>1E-4</v>
      </c>
      <c r="Y3305">
        <v>1E-4</v>
      </c>
    </row>
    <row r="3306" spans="1:25" hidden="1">
      <c r="A3306" t="s">
        <v>18813</v>
      </c>
      <c r="B3306" t="s">
        <v>860</v>
      </c>
      <c r="C3306" t="s">
        <v>841</v>
      </c>
      <c r="D3306" t="s">
        <v>753</v>
      </c>
      <c r="E3306" t="s">
        <v>597</v>
      </c>
      <c r="F3306" t="s">
        <v>598</v>
      </c>
      <c r="G3306" t="s">
        <v>478</v>
      </c>
      <c r="H3306" t="s">
        <v>600</v>
      </c>
      <c r="I3306" t="s">
        <v>601</v>
      </c>
      <c r="J3306">
        <v>8.0999999999999996E-3</v>
      </c>
      <c r="K3306">
        <v>8.2000000000000007E-3</v>
      </c>
      <c r="L3306">
        <v>8.0999999999999996E-3</v>
      </c>
      <c r="M3306">
        <v>8.0000000000000002E-3</v>
      </c>
      <c r="N3306">
        <v>8.0000000000000002E-3</v>
      </c>
      <c r="O3306">
        <v>8.0000000000000002E-3</v>
      </c>
      <c r="P3306">
        <v>8.0000000000000002E-3</v>
      </c>
      <c r="Q3306">
        <v>8.0000000000000002E-3</v>
      </c>
      <c r="R3306">
        <v>7.9000000000000008E-3</v>
      </c>
      <c r="S3306">
        <v>7.9000000000000008E-3</v>
      </c>
      <c r="T3306">
        <v>8.0000000000000002E-3</v>
      </c>
      <c r="U3306">
        <v>8.0000000000000002E-3</v>
      </c>
      <c r="V3306">
        <v>8.0000000000000002E-3</v>
      </c>
      <c r="W3306">
        <v>8.2000000000000007E-3</v>
      </c>
      <c r="X3306">
        <v>8.3000000000000001E-3</v>
      </c>
      <c r="Y3306">
        <v>8.5000000000000006E-3</v>
      </c>
    </row>
    <row r="3307" spans="1:25" hidden="1">
      <c r="A3307" t="s">
        <v>18813</v>
      </c>
      <c r="B3307" t="s">
        <v>862</v>
      </c>
      <c r="C3307" t="s">
        <v>841</v>
      </c>
      <c r="D3307" t="s">
        <v>756</v>
      </c>
      <c r="E3307" t="s">
        <v>597</v>
      </c>
      <c r="F3307" t="s">
        <v>598</v>
      </c>
      <c r="G3307" t="s">
        <v>478</v>
      </c>
      <c r="H3307" t="s">
        <v>600</v>
      </c>
      <c r="I3307" t="s">
        <v>601</v>
      </c>
      <c r="J3307">
        <v>0.55269999999999997</v>
      </c>
      <c r="K3307">
        <v>0.54700000000000004</v>
      </c>
      <c r="L3307">
        <v>0.54120000000000001</v>
      </c>
      <c r="M3307">
        <v>0.53439999999999999</v>
      </c>
      <c r="N3307">
        <v>0.52529999999999999</v>
      </c>
      <c r="O3307">
        <v>0.5121</v>
      </c>
      <c r="P3307">
        <v>0.50739999999999996</v>
      </c>
      <c r="Q3307">
        <v>0.50319999999999998</v>
      </c>
      <c r="R3307">
        <v>0.499</v>
      </c>
      <c r="S3307">
        <v>0.49519999999999997</v>
      </c>
      <c r="T3307">
        <v>0.4924</v>
      </c>
      <c r="U3307">
        <v>0.4904</v>
      </c>
      <c r="V3307">
        <v>0.48859999999999998</v>
      </c>
      <c r="W3307">
        <v>0.48730000000000001</v>
      </c>
      <c r="X3307">
        <v>0.4884</v>
      </c>
      <c r="Y3307">
        <v>0.48970000000000002</v>
      </c>
    </row>
    <row r="3308" spans="1:25" hidden="1">
      <c r="A3308" t="s">
        <v>18813</v>
      </c>
      <c r="B3308" t="s">
        <v>865</v>
      </c>
      <c r="C3308" t="s">
        <v>841</v>
      </c>
      <c r="D3308" t="s">
        <v>866</v>
      </c>
      <c r="E3308" t="s">
        <v>597</v>
      </c>
      <c r="F3308" t="s">
        <v>598</v>
      </c>
      <c r="G3308" t="s">
        <v>478</v>
      </c>
      <c r="H3308" t="s">
        <v>600</v>
      </c>
      <c r="I3308" t="s">
        <v>601</v>
      </c>
      <c r="J3308">
        <v>0.20319999999999999</v>
      </c>
      <c r="K3308">
        <v>0.2011</v>
      </c>
      <c r="L3308">
        <v>0.19919999999999999</v>
      </c>
      <c r="M3308">
        <v>0.19670000000000001</v>
      </c>
      <c r="N3308">
        <v>0.19339999999999999</v>
      </c>
      <c r="O3308">
        <v>0.1883</v>
      </c>
      <c r="P3308">
        <v>0.1865</v>
      </c>
      <c r="Q3308">
        <v>0.185</v>
      </c>
      <c r="R3308">
        <v>0.18329999999999999</v>
      </c>
      <c r="S3308">
        <v>0.18190000000000001</v>
      </c>
      <c r="T3308">
        <v>0.18079999999999999</v>
      </c>
      <c r="U3308">
        <v>0.18010000000000001</v>
      </c>
      <c r="V3308">
        <v>0.1794</v>
      </c>
      <c r="W3308">
        <v>0.17899999999999999</v>
      </c>
      <c r="X3308">
        <v>0.17929999999999999</v>
      </c>
      <c r="Y3308">
        <v>0.1799</v>
      </c>
    </row>
    <row r="3309" spans="1:25" hidden="1">
      <c r="A3309" t="s">
        <v>18813</v>
      </c>
      <c r="B3309" t="s">
        <v>868</v>
      </c>
      <c r="C3309" t="s">
        <v>841</v>
      </c>
      <c r="D3309" t="s">
        <v>621</v>
      </c>
      <c r="E3309" t="s">
        <v>597</v>
      </c>
      <c r="F3309" t="s">
        <v>598</v>
      </c>
      <c r="G3309" t="s">
        <v>478</v>
      </c>
      <c r="H3309" t="s">
        <v>600</v>
      </c>
      <c r="I3309" t="s">
        <v>601</v>
      </c>
      <c r="J3309">
        <v>0.66679999999999995</v>
      </c>
      <c r="K3309">
        <v>0.62919999999999998</v>
      </c>
      <c r="L3309">
        <v>0.63200000000000001</v>
      </c>
      <c r="M3309">
        <v>0.61470000000000002</v>
      </c>
      <c r="N3309">
        <v>0.59709999999999996</v>
      </c>
      <c r="O3309">
        <v>0.55930000000000002</v>
      </c>
      <c r="P3309">
        <v>0.52070000000000005</v>
      </c>
      <c r="Q3309">
        <v>0.4415</v>
      </c>
      <c r="R3309">
        <v>0.44369999999999998</v>
      </c>
      <c r="S3309">
        <v>0.44540000000000002</v>
      </c>
      <c r="T3309">
        <v>0.4471</v>
      </c>
      <c r="U3309">
        <v>0.44900000000000001</v>
      </c>
      <c r="V3309">
        <v>0.4506</v>
      </c>
      <c r="W3309">
        <v>0.45240000000000002</v>
      </c>
      <c r="X3309">
        <v>0.45419999999999999</v>
      </c>
      <c r="Y3309">
        <v>0.45619999999999999</v>
      </c>
    </row>
    <row r="3310" spans="1:25" hidden="1">
      <c r="A3310" t="s">
        <v>18813</v>
      </c>
      <c r="B3310" t="s">
        <v>870</v>
      </c>
      <c r="C3310" t="s">
        <v>841</v>
      </c>
      <c r="D3310" t="s">
        <v>621</v>
      </c>
      <c r="E3310" t="s">
        <v>603</v>
      </c>
      <c r="F3310" t="s">
        <v>598</v>
      </c>
      <c r="G3310" t="s">
        <v>478</v>
      </c>
      <c r="H3310" t="s">
        <v>600</v>
      </c>
      <c r="I3310" t="s">
        <v>601</v>
      </c>
      <c r="J3310">
        <v>1.44E-2</v>
      </c>
      <c r="K3310">
        <v>1.41E-2</v>
      </c>
      <c r="L3310">
        <v>1.4200000000000001E-2</v>
      </c>
      <c r="M3310">
        <v>1.41E-2</v>
      </c>
      <c r="N3310">
        <v>1.38E-2</v>
      </c>
      <c r="O3310">
        <v>1.3599999999999999E-2</v>
      </c>
      <c r="P3310">
        <v>1.3100000000000001E-2</v>
      </c>
      <c r="Q3310">
        <v>1.1900000000000001E-2</v>
      </c>
      <c r="R3310">
        <v>1.21E-2</v>
      </c>
      <c r="S3310">
        <v>1.21E-2</v>
      </c>
      <c r="T3310">
        <v>1.2200000000000001E-2</v>
      </c>
      <c r="U3310">
        <v>1.2500000000000001E-2</v>
      </c>
      <c r="V3310">
        <v>1.2500000000000001E-2</v>
      </c>
      <c r="W3310">
        <v>1.2500000000000001E-2</v>
      </c>
      <c r="X3310">
        <v>1.26E-2</v>
      </c>
      <c r="Y3310">
        <v>1.2699999999999999E-2</v>
      </c>
    </row>
    <row r="3311" spans="1:25" hidden="1">
      <c r="A3311" t="s">
        <v>18813</v>
      </c>
      <c r="B3311" t="s">
        <v>872</v>
      </c>
      <c r="C3311" t="s">
        <v>841</v>
      </c>
      <c r="D3311" t="s">
        <v>621</v>
      </c>
      <c r="E3311" t="s">
        <v>624</v>
      </c>
      <c r="F3311" t="s">
        <v>598</v>
      </c>
      <c r="G3311" t="s">
        <v>478</v>
      </c>
      <c r="H3311" t="s">
        <v>600</v>
      </c>
      <c r="I3311" t="s">
        <v>601</v>
      </c>
      <c r="J3311">
        <v>0.28089999999999998</v>
      </c>
      <c r="K3311">
        <v>4.87E-2</v>
      </c>
      <c r="L3311">
        <v>4.8899999999999999E-2</v>
      </c>
      <c r="M3311">
        <v>4.8300000000000003E-2</v>
      </c>
      <c r="N3311">
        <v>4.7600000000000003E-2</v>
      </c>
      <c r="O3311">
        <v>4.5999999999999999E-2</v>
      </c>
      <c r="P3311">
        <v>4.4499999999999998E-2</v>
      </c>
      <c r="Q3311">
        <v>4.07E-2</v>
      </c>
      <c r="R3311">
        <v>4.1200000000000001E-2</v>
      </c>
      <c r="S3311">
        <v>4.1500000000000002E-2</v>
      </c>
      <c r="T3311">
        <v>4.1599999999999998E-2</v>
      </c>
      <c r="U3311">
        <v>4.1799999999999997E-2</v>
      </c>
      <c r="V3311">
        <v>4.19E-2</v>
      </c>
      <c r="W3311">
        <v>4.2299999999999997E-2</v>
      </c>
      <c r="X3311">
        <v>4.24E-2</v>
      </c>
      <c r="Y3311">
        <v>4.2500000000000003E-2</v>
      </c>
    </row>
    <row r="3312" spans="1:25" hidden="1">
      <c r="A3312" t="s">
        <v>18813</v>
      </c>
      <c r="B3312" t="s">
        <v>875</v>
      </c>
      <c r="C3312" t="s">
        <v>841</v>
      </c>
      <c r="D3312" t="s">
        <v>621</v>
      </c>
      <c r="E3312" t="s">
        <v>626</v>
      </c>
      <c r="F3312" t="s">
        <v>598</v>
      </c>
      <c r="G3312" t="s">
        <v>478</v>
      </c>
      <c r="H3312" t="s">
        <v>600</v>
      </c>
      <c r="I3312" t="s">
        <v>601</v>
      </c>
      <c r="J3312">
        <v>0.33429999999999999</v>
      </c>
      <c r="K3312">
        <v>0.30930000000000002</v>
      </c>
      <c r="L3312">
        <v>0.3095</v>
      </c>
      <c r="M3312">
        <v>0.29749999999999999</v>
      </c>
      <c r="N3312">
        <v>0.2853</v>
      </c>
      <c r="O3312">
        <v>0.2606</v>
      </c>
      <c r="P3312">
        <v>0.2361</v>
      </c>
      <c r="Q3312">
        <v>0.18629999999999999</v>
      </c>
      <c r="R3312">
        <v>0.18629999999999999</v>
      </c>
      <c r="S3312">
        <v>0.18640000000000001</v>
      </c>
      <c r="T3312">
        <v>0.18659999999999999</v>
      </c>
      <c r="U3312">
        <v>0.18659999999999999</v>
      </c>
      <c r="V3312">
        <v>0.1867</v>
      </c>
      <c r="W3312">
        <v>0.1867</v>
      </c>
      <c r="X3312">
        <v>0.18690000000000001</v>
      </c>
      <c r="Y3312">
        <v>0.187</v>
      </c>
    </row>
    <row r="3313" spans="1:25" hidden="1">
      <c r="A3313" t="s">
        <v>18813</v>
      </c>
      <c r="B3313" t="s">
        <v>876</v>
      </c>
      <c r="C3313" t="s">
        <v>841</v>
      </c>
      <c r="D3313" t="s">
        <v>621</v>
      </c>
      <c r="E3313" t="s">
        <v>628</v>
      </c>
      <c r="F3313" t="s">
        <v>598</v>
      </c>
      <c r="G3313" t="s">
        <v>478</v>
      </c>
      <c r="H3313" t="s">
        <v>600</v>
      </c>
      <c r="I3313" t="s">
        <v>601</v>
      </c>
      <c r="J3313">
        <v>0.96930000000000005</v>
      </c>
      <c r="K3313">
        <v>0.96789999999999998</v>
      </c>
      <c r="L3313">
        <v>0.97409999999999997</v>
      </c>
      <c r="M3313">
        <v>0.97750000000000004</v>
      </c>
      <c r="N3313">
        <v>0.97919999999999996</v>
      </c>
      <c r="O3313">
        <v>0.97589999999999999</v>
      </c>
      <c r="P3313">
        <v>0.97430000000000005</v>
      </c>
      <c r="Q3313">
        <v>0.96289999999999998</v>
      </c>
      <c r="R3313">
        <v>0.96930000000000005</v>
      </c>
      <c r="S3313">
        <v>0.97629999999999995</v>
      </c>
      <c r="T3313">
        <v>0.98360000000000003</v>
      </c>
      <c r="U3313">
        <v>0.98909999999999998</v>
      </c>
      <c r="V3313">
        <v>0.99529999999999996</v>
      </c>
      <c r="W3313">
        <v>1.0006999999999999</v>
      </c>
      <c r="X3313">
        <v>1.0068999999999999</v>
      </c>
      <c r="Y3313">
        <v>1.0127999999999999</v>
      </c>
    </row>
    <row r="3314" spans="1:25" hidden="1">
      <c r="A3314" t="s">
        <v>18813</v>
      </c>
      <c r="B3314" t="s">
        <v>879</v>
      </c>
      <c r="C3314" t="s">
        <v>841</v>
      </c>
      <c r="D3314" t="s">
        <v>621</v>
      </c>
      <c r="E3314" t="s">
        <v>773</v>
      </c>
      <c r="F3314" t="s">
        <v>598</v>
      </c>
      <c r="G3314" t="s">
        <v>478</v>
      </c>
      <c r="H3314" t="s">
        <v>600</v>
      </c>
      <c r="I3314" t="s">
        <v>601</v>
      </c>
      <c r="J3314">
        <v>1.1000000000000001E-3</v>
      </c>
      <c r="K3314">
        <v>1E-3</v>
      </c>
      <c r="L3314">
        <v>1E-3</v>
      </c>
      <c r="M3314">
        <v>1E-3</v>
      </c>
      <c r="N3314">
        <v>1E-3</v>
      </c>
      <c r="O3314">
        <v>8.9999999999999998E-4</v>
      </c>
      <c r="P3314">
        <v>8.0000000000000004E-4</v>
      </c>
      <c r="Q3314">
        <v>5.9999999999999995E-4</v>
      </c>
      <c r="R3314">
        <v>5.9999999999999995E-4</v>
      </c>
      <c r="S3314">
        <v>5.9999999999999995E-4</v>
      </c>
      <c r="T3314">
        <v>5.9999999999999995E-4</v>
      </c>
      <c r="U3314">
        <v>5.9999999999999995E-4</v>
      </c>
      <c r="V3314">
        <v>5.9999999999999995E-4</v>
      </c>
      <c r="W3314">
        <v>5.9999999999999995E-4</v>
      </c>
      <c r="X3314">
        <v>5.9999999999999995E-4</v>
      </c>
      <c r="Y3314">
        <v>5.9999999999999995E-4</v>
      </c>
    </row>
    <row r="3315" spans="1:25" hidden="1">
      <c r="A3315" t="s">
        <v>18813</v>
      </c>
      <c r="B3315" t="s">
        <v>880</v>
      </c>
      <c r="C3315" t="s">
        <v>841</v>
      </c>
      <c r="D3315" t="s">
        <v>621</v>
      </c>
      <c r="E3315" t="s">
        <v>638</v>
      </c>
      <c r="F3315" t="s">
        <v>598</v>
      </c>
      <c r="G3315" t="s">
        <v>478</v>
      </c>
      <c r="H3315" t="s">
        <v>600</v>
      </c>
      <c r="I3315" t="s">
        <v>601</v>
      </c>
      <c r="J3315">
        <v>1.18E-2</v>
      </c>
      <c r="K3315">
        <v>1.0999999999999999E-2</v>
      </c>
      <c r="L3315">
        <v>1.0999999999999999E-2</v>
      </c>
      <c r="M3315">
        <v>1.06E-2</v>
      </c>
      <c r="N3315">
        <v>1.01E-2</v>
      </c>
      <c r="O3315">
        <v>9.2999999999999992E-3</v>
      </c>
      <c r="P3315">
        <v>8.5000000000000006E-3</v>
      </c>
      <c r="Q3315">
        <v>6.7999999999999996E-3</v>
      </c>
      <c r="R3315">
        <v>6.7999999999999996E-3</v>
      </c>
      <c r="S3315">
        <v>6.7999999999999996E-3</v>
      </c>
      <c r="T3315">
        <v>6.7999999999999996E-3</v>
      </c>
      <c r="U3315">
        <v>6.7999999999999996E-3</v>
      </c>
      <c r="V3315">
        <v>6.7999999999999996E-3</v>
      </c>
      <c r="W3315">
        <v>6.7999999999999996E-3</v>
      </c>
      <c r="X3315">
        <v>6.7999999999999996E-3</v>
      </c>
      <c r="Y3315">
        <v>6.7999999999999996E-3</v>
      </c>
    </row>
    <row r="3316" spans="1:25" hidden="1">
      <c r="A3316" t="s">
        <v>18813</v>
      </c>
      <c r="B3316" t="s">
        <v>882</v>
      </c>
      <c r="C3316" t="s">
        <v>841</v>
      </c>
      <c r="D3316" t="s">
        <v>632</v>
      </c>
      <c r="E3316" t="s">
        <v>597</v>
      </c>
      <c r="F3316" t="s">
        <v>598</v>
      </c>
      <c r="G3316" t="s">
        <v>478</v>
      </c>
      <c r="H3316" t="s">
        <v>600</v>
      </c>
      <c r="I3316" t="s">
        <v>601</v>
      </c>
      <c r="J3316">
        <v>0.2291</v>
      </c>
      <c r="K3316">
        <v>0.21859999999999999</v>
      </c>
      <c r="L3316">
        <v>0.2185</v>
      </c>
      <c r="M3316">
        <v>0.21329999999999999</v>
      </c>
      <c r="N3316">
        <v>0.20810000000000001</v>
      </c>
      <c r="O3316">
        <v>0.19800000000000001</v>
      </c>
      <c r="P3316">
        <v>0.188</v>
      </c>
      <c r="Q3316">
        <v>0.16789999999999999</v>
      </c>
      <c r="R3316">
        <v>0.16839999999999999</v>
      </c>
      <c r="S3316">
        <v>0.16880000000000001</v>
      </c>
      <c r="T3316">
        <v>0.16930000000000001</v>
      </c>
      <c r="U3316">
        <v>0.16980000000000001</v>
      </c>
      <c r="V3316">
        <v>0.1701</v>
      </c>
      <c r="W3316">
        <v>0.17080000000000001</v>
      </c>
      <c r="X3316">
        <v>0.1711</v>
      </c>
      <c r="Y3316">
        <v>0.1716</v>
      </c>
    </row>
    <row r="3317" spans="1:25" hidden="1">
      <c r="A3317" t="s">
        <v>18813</v>
      </c>
      <c r="B3317" t="s">
        <v>883</v>
      </c>
      <c r="C3317" t="s">
        <v>841</v>
      </c>
      <c r="D3317" t="s">
        <v>632</v>
      </c>
      <c r="E3317" t="s">
        <v>624</v>
      </c>
      <c r="F3317" t="s">
        <v>598</v>
      </c>
      <c r="G3317" t="s">
        <v>478</v>
      </c>
      <c r="H3317" t="s">
        <v>600</v>
      </c>
      <c r="I3317" t="s">
        <v>601</v>
      </c>
      <c r="J3317">
        <v>1.8100000000000002E-2</v>
      </c>
      <c r="K3317">
        <v>1.6999999999999999E-3</v>
      </c>
      <c r="L3317">
        <v>1.6999999999999999E-3</v>
      </c>
      <c r="M3317">
        <v>1.8E-3</v>
      </c>
      <c r="N3317">
        <v>1.8E-3</v>
      </c>
      <c r="O3317">
        <v>1.8E-3</v>
      </c>
      <c r="P3317">
        <v>1.8E-3</v>
      </c>
      <c r="Q3317">
        <v>1.8E-3</v>
      </c>
      <c r="R3317">
        <v>1.8E-3</v>
      </c>
      <c r="S3317">
        <v>1.8E-3</v>
      </c>
      <c r="T3317">
        <v>1.8E-3</v>
      </c>
      <c r="U3317">
        <v>1.9E-3</v>
      </c>
      <c r="V3317">
        <v>1.9E-3</v>
      </c>
      <c r="W3317">
        <v>1.9E-3</v>
      </c>
      <c r="X3317">
        <v>1.9E-3</v>
      </c>
      <c r="Y3317">
        <v>1.9E-3</v>
      </c>
    </row>
    <row r="3318" spans="1:25" hidden="1">
      <c r="A3318" t="s">
        <v>18813</v>
      </c>
      <c r="B3318" t="s">
        <v>896</v>
      </c>
      <c r="C3318" t="s">
        <v>841</v>
      </c>
      <c r="D3318" t="s">
        <v>640</v>
      </c>
      <c r="E3318" t="s">
        <v>597</v>
      </c>
      <c r="F3318" t="s">
        <v>598</v>
      </c>
      <c r="G3318" t="s">
        <v>478</v>
      </c>
      <c r="H3318" t="s">
        <v>600</v>
      </c>
      <c r="I3318" t="s">
        <v>601</v>
      </c>
      <c r="J3318">
        <v>2.29E-2</v>
      </c>
      <c r="K3318">
        <v>2.1899999999999999E-2</v>
      </c>
      <c r="L3318">
        <v>2.1899999999999999E-2</v>
      </c>
      <c r="M3318">
        <v>2.1399999999999999E-2</v>
      </c>
      <c r="N3318">
        <v>2.1100000000000001E-2</v>
      </c>
      <c r="O3318">
        <v>0.02</v>
      </c>
      <c r="P3318">
        <v>1.9E-2</v>
      </c>
      <c r="Q3318">
        <v>1.6799999999999999E-2</v>
      </c>
      <c r="R3318">
        <v>1.6799999999999999E-2</v>
      </c>
      <c r="S3318">
        <v>1.6799999999999999E-2</v>
      </c>
      <c r="T3318">
        <v>1.6899999999999998E-2</v>
      </c>
      <c r="U3318">
        <v>1.6899999999999998E-2</v>
      </c>
      <c r="V3318">
        <v>1.72E-2</v>
      </c>
      <c r="W3318">
        <v>1.72E-2</v>
      </c>
      <c r="X3318">
        <v>1.7299999999999999E-2</v>
      </c>
      <c r="Y3318">
        <v>1.7500000000000002E-2</v>
      </c>
    </row>
    <row r="3319" spans="1:25" hidden="1">
      <c r="A3319" t="s">
        <v>18813</v>
      </c>
      <c r="B3319" t="s">
        <v>897</v>
      </c>
      <c r="C3319" t="s">
        <v>841</v>
      </c>
      <c r="D3319" t="s">
        <v>640</v>
      </c>
      <c r="E3319" t="s">
        <v>642</v>
      </c>
      <c r="F3319" t="s">
        <v>598</v>
      </c>
      <c r="G3319" t="s">
        <v>478</v>
      </c>
      <c r="H3319" t="s">
        <v>600</v>
      </c>
      <c r="I3319" t="s">
        <v>601</v>
      </c>
      <c r="J3319">
        <v>5.7999999999999996E-3</v>
      </c>
      <c r="K3319">
        <v>6.0000000000000001E-3</v>
      </c>
      <c r="L3319">
        <v>6.0000000000000001E-3</v>
      </c>
      <c r="M3319">
        <v>6.0000000000000001E-3</v>
      </c>
      <c r="N3319">
        <v>6.3E-3</v>
      </c>
      <c r="O3319">
        <v>6.3E-3</v>
      </c>
      <c r="P3319">
        <v>6.4999999999999997E-3</v>
      </c>
      <c r="Q3319">
        <v>6.4000000000000003E-3</v>
      </c>
      <c r="R3319">
        <v>6.4000000000000003E-3</v>
      </c>
      <c r="S3319">
        <v>6.4999999999999997E-3</v>
      </c>
      <c r="T3319">
        <v>6.7000000000000002E-3</v>
      </c>
      <c r="U3319">
        <v>6.7000000000000002E-3</v>
      </c>
      <c r="V3319">
        <v>6.7000000000000002E-3</v>
      </c>
      <c r="W3319">
        <v>6.7999999999999996E-3</v>
      </c>
      <c r="X3319">
        <v>6.8999999999999999E-3</v>
      </c>
      <c r="Y3319">
        <v>7.0000000000000001E-3</v>
      </c>
    </row>
    <row r="3320" spans="1:25" hidden="1">
      <c r="A3320" t="s">
        <v>18813</v>
      </c>
      <c r="B3320" t="s">
        <v>900</v>
      </c>
      <c r="C3320" t="s">
        <v>841</v>
      </c>
      <c r="D3320" t="s">
        <v>640</v>
      </c>
      <c r="E3320" t="s">
        <v>619</v>
      </c>
      <c r="F3320" t="s">
        <v>598</v>
      </c>
      <c r="G3320" t="s">
        <v>478</v>
      </c>
      <c r="H3320" t="s">
        <v>600</v>
      </c>
      <c r="I3320" t="s">
        <v>601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</row>
    <row r="3321" spans="1:25" hidden="1">
      <c r="A3321" t="s">
        <v>18813</v>
      </c>
      <c r="B3321" t="s">
        <v>902</v>
      </c>
      <c r="C3321" t="s">
        <v>841</v>
      </c>
      <c r="D3321" t="s">
        <v>648</v>
      </c>
      <c r="E3321" t="s">
        <v>597</v>
      </c>
      <c r="F3321" t="s">
        <v>598</v>
      </c>
      <c r="G3321" t="s">
        <v>478</v>
      </c>
      <c r="H3321" t="s">
        <v>600</v>
      </c>
      <c r="I3321" t="s">
        <v>601</v>
      </c>
      <c r="J3321">
        <v>0.56169999999999998</v>
      </c>
      <c r="K3321">
        <v>0.54610000000000003</v>
      </c>
      <c r="L3321">
        <v>0.54890000000000005</v>
      </c>
      <c r="M3321">
        <v>0.54200000000000004</v>
      </c>
      <c r="N3321">
        <v>0.5353</v>
      </c>
      <c r="O3321">
        <v>0.51919999999999999</v>
      </c>
      <c r="P3321">
        <v>0.50319999999999998</v>
      </c>
      <c r="Q3321">
        <v>0.46870000000000001</v>
      </c>
      <c r="R3321">
        <v>0.4713</v>
      </c>
      <c r="S3321">
        <v>0.47439999999999999</v>
      </c>
      <c r="T3321">
        <v>0.47760000000000002</v>
      </c>
      <c r="U3321">
        <v>0.4803</v>
      </c>
      <c r="V3321">
        <v>0.48270000000000002</v>
      </c>
      <c r="W3321">
        <v>0.48520000000000002</v>
      </c>
      <c r="X3321">
        <v>0.4879</v>
      </c>
      <c r="Y3321">
        <v>0.49049999999999999</v>
      </c>
    </row>
    <row r="3322" spans="1:25" hidden="1">
      <c r="A3322" t="s">
        <v>18813</v>
      </c>
      <c r="B3322" t="s">
        <v>905</v>
      </c>
      <c r="C3322" t="s">
        <v>841</v>
      </c>
      <c r="D3322" t="s">
        <v>648</v>
      </c>
      <c r="E3322" t="s">
        <v>597</v>
      </c>
      <c r="F3322" t="s">
        <v>906</v>
      </c>
      <c r="G3322" t="s">
        <v>478</v>
      </c>
      <c r="H3322" t="s">
        <v>600</v>
      </c>
      <c r="I3322" t="s">
        <v>601</v>
      </c>
      <c r="J3322">
        <v>3.1101000000000001</v>
      </c>
      <c r="K3322">
        <v>3.1133999999999999</v>
      </c>
      <c r="L3322">
        <v>3.1133999999999999</v>
      </c>
      <c r="M3322">
        <v>3.1065</v>
      </c>
      <c r="N3322">
        <v>3.0859999999999999</v>
      </c>
      <c r="O3322">
        <v>3.0394999999999999</v>
      </c>
      <c r="P3322">
        <v>3.0108000000000001</v>
      </c>
      <c r="Q3322">
        <v>2.9862000000000002</v>
      </c>
      <c r="R3322">
        <v>2.9611999999999998</v>
      </c>
      <c r="S3322">
        <v>2.9394</v>
      </c>
      <c r="T3322">
        <v>2.9222000000000001</v>
      </c>
      <c r="U3322">
        <v>2.9093</v>
      </c>
      <c r="V3322">
        <v>2.8986000000000001</v>
      </c>
      <c r="W3322">
        <v>2.8917000000000002</v>
      </c>
      <c r="X3322">
        <v>2.8978000000000002</v>
      </c>
      <c r="Y3322">
        <v>2.9058999999999999</v>
      </c>
    </row>
    <row r="3323" spans="1:25" hidden="1">
      <c r="A3323" t="s">
        <v>18813</v>
      </c>
      <c r="B3323" t="s">
        <v>907</v>
      </c>
      <c r="C3323" t="s">
        <v>841</v>
      </c>
      <c r="D3323" t="s">
        <v>648</v>
      </c>
      <c r="E3323" t="s">
        <v>597</v>
      </c>
      <c r="F3323" t="s">
        <v>908</v>
      </c>
      <c r="G3323" t="s">
        <v>478</v>
      </c>
      <c r="H3323" t="s">
        <v>600</v>
      </c>
      <c r="I3323" t="s">
        <v>601</v>
      </c>
      <c r="J3323">
        <v>2.3906999999999998</v>
      </c>
      <c r="K3323">
        <v>2.3662999999999998</v>
      </c>
      <c r="L3323">
        <v>2.3416000000000001</v>
      </c>
      <c r="M3323">
        <v>2.3144999999999998</v>
      </c>
      <c r="N3323">
        <v>2.2723</v>
      </c>
      <c r="O3323">
        <v>2.2189999999999999</v>
      </c>
      <c r="P3323">
        <v>2.1978</v>
      </c>
      <c r="Q3323">
        <v>2.1800999999999999</v>
      </c>
      <c r="R3323">
        <v>2.1596000000000002</v>
      </c>
      <c r="S3323">
        <v>2.1438000000000001</v>
      </c>
      <c r="T3323">
        <v>2.1312000000000002</v>
      </c>
      <c r="U3323">
        <v>2.1217000000000001</v>
      </c>
      <c r="V3323">
        <v>2.1139000000000001</v>
      </c>
      <c r="W3323">
        <v>2.1089000000000002</v>
      </c>
      <c r="X3323">
        <v>2.1133999999999999</v>
      </c>
      <c r="Y3323">
        <v>2.1192000000000002</v>
      </c>
    </row>
    <row r="3324" spans="1:25" hidden="1">
      <c r="A3324" t="s">
        <v>18813</v>
      </c>
      <c r="B3324" t="s">
        <v>909</v>
      </c>
      <c r="C3324" t="s">
        <v>841</v>
      </c>
      <c r="D3324" t="s">
        <v>648</v>
      </c>
      <c r="E3324" t="s">
        <v>642</v>
      </c>
      <c r="F3324" t="s">
        <v>598</v>
      </c>
      <c r="G3324" t="s">
        <v>478</v>
      </c>
      <c r="H3324" t="s">
        <v>600</v>
      </c>
      <c r="I3324" t="s">
        <v>601</v>
      </c>
      <c r="J3324">
        <v>0.64580000000000004</v>
      </c>
      <c r="K3324">
        <v>0.66169999999999995</v>
      </c>
      <c r="L3324">
        <v>0.68</v>
      </c>
      <c r="M3324">
        <v>0.70040000000000002</v>
      </c>
      <c r="N3324">
        <v>0.71760000000000002</v>
      </c>
      <c r="O3324">
        <v>0.73570000000000002</v>
      </c>
      <c r="P3324">
        <v>0.749</v>
      </c>
      <c r="Q3324">
        <v>0.75949999999999995</v>
      </c>
      <c r="R3324">
        <v>0.76649999999999996</v>
      </c>
      <c r="S3324">
        <v>0.78029999999999999</v>
      </c>
      <c r="T3324">
        <v>0.79339999999999999</v>
      </c>
      <c r="U3324">
        <v>0.80620000000000003</v>
      </c>
      <c r="V3324">
        <v>0.8196</v>
      </c>
      <c r="W3324">
        <v>0.83299999999999996</v>
      </c>
      <c r="X3324">
        <v>0.84650000000000003</v>
      </c>
      <c r="Y3324">
        <v>0.85980000000000001</v>
      </c>
    </row>
    <row r="3325" spans="1:25" hidden="1">
      <c r="A3325" t="s">
        <v>18813</v>
      </c>
      <c r="B3325" t="s">
        <v>911</v>
      </c>
      <c r="C3325" t="s">
        <v>841</v>
      </c>
      <c r="D3325" t="s">
        <v>648</v>
      </c>
      <c r="E3325" t="s">
        <v>619</v>
      </c>
      <c r="F3325" t="s">
        <v>598</v>
      </c>
      <c r="G3325" t="s">
        <v>478</v>
      </c>
      <c r="H3325" t="s">
        <v>600</v>
      </c>
      <c r="I3325" t="s">
        <v>601</v>
      </c>
      <c r="J3325">
        <v>5.1999999999999998E-3</v>
      </c>
      <c r="K3325">
        <v>5.3E-3</v>
      </c>
      <c r="L3325">
        <v>5.4000000000000003E-3</v>
      </c>
      <c r="M3325">
        <v>5.4999999999999997E-3</v>
      </c>
      <c r="N3325">
        <v>5.4999999999999997E-3</v>
      </c>
      <c r="O3325">
        <v>5.5999999999999999E-3</v>
      </c>
      <c r="P3325">
        <v>5.5999999999999999E-3</v>
      </c>
      <c r="Q3325">
        <v>5.5999999999999999E-3</v>
      </c>
      <c r="R3325">
        <v>5.7999999999999996E-3</v>
      </c>
      <c r="S3325">
        <v>5.7999999999999996E-3</v>
      </c>
      <c r="T3325">
        <v>5.7999999999999996E-3</v>
      </c>
      <c r="U3325">
        <v>5.8999999999999999E-3</v>
      </c>
      <c r="V3325">
        <v>6.0000000000000001E-3</v>
      </c>
      <c r="W3325">
        <v>6.1000000000000004E-3</v>
      </c>
      <c r="X3325">
        <v>6.1000000000000004E-3</v>
      </c>
      <c r="Y3325">
        <v>6.1000000000000004E-3</v>
      </c>
    </row>
    <row r="3326" spans="1:25" hidden="1">
      <c r="A3326" t="s">
        <v>18813</v>
      </c>
      <c r="B3326" t="s">
        <v>916</v>
      </c>
      <c r="C3326" t="s">
        <v>914</v>
      </c>
      <c r="D3326" t="s">
        <v>621</v>
      </c>
      <c r="E3326" t="s">
        <v>628</v>
      </c>
      <c r="F3326" t="s">
        <v>598</v>
      </c>
      <c r="G3326" t="s">
        <v>478</v>
      </c>
      <c r="H3326" t="s">
        <v>600</v>
      </c>
      <c r="I3326" t="s">
        <v>601</v>
      </c>
      <c r="J3326">
        <v>2.4576696</v>
      </c>
      <c r="K3326">
        <v>2.4578248</v>
      </c>
      <c r="L3326">
        <v>2.4592991999999998</v>
      </c>
      <c r="M3326">
        <v>2.4600751999999999</v>
      </c>
      <c r="N3326">
        <v>2.4610064</v>
      </c>
      <c r="O3326">
        <v>2.0527527999999999</v>
      </c>
      <c r="P3326">
        <v>2.0522871999999999</v>
      </c>
      <c r="Q3326">
        <v>2.0494935999999999</v>
      </c>
      <c r="R3326">
        <v>2.0503472</v>
      </c>
      <c r="S3326">
        <v>2.0512008000000002</v>
      </c>
      <c r="T3326">
        <v>2.0519767999999998</v>
      </c>
      <c r="U3326">
        <v>2.0525199999999999</v>
      </c>
      <c r="V3326">
        <v>2.053296</v>
      </c>
      <c r="W3326">
        <v>2.0538392000000001</v>
      </c>
      <c r="X3326">
        <v>2.0547704000000002</v>
      </c>
      <c r="Y3326">
        <v>2.0555463999999999</v>
      </c>
    </row>
    <row r="3327" spans="1:25" hidden="1">
      <c r="A3327" t="s">
        <v>18813</v>
      </c>
      <c r="B3327" t="s">
        <v>917</v>
      </c>
      <c r="C3327" t="s">
        <v>914</v>
      </c>
      <c r="D3327" t="s">
        <v>918</v>
      </c>
      <c r="E3327" t="s">
        <v>649</v>
      </c>
      <c r="F3327" t="s">
        <v>598</v>
      </c>
      <c r="G3327" t="s">
        <v>478</v>
      </c>
      <c r="H3327" t="s">
        <v>600</v>
      </c>
      <c r="I3327" t="s">
        <v>601</v>
      </c>
      <c r="J3327">
        <v>6.0299999999999999E-2</v>
      </c>
      <c r="K3327">
        <v>1.6899999999999998E-2</v>
      </c>
      <c r="L3327">
        <v>1.67E-2</v>
      </c>
      <c r="M3327">
        <v>1.6899999999999998E-2</v>
      </c>
      <c r="N3327">
        <v>1.7100000000000001E-2</v>
      </c>
      <c r="O3327">
        <v>1.7299999999999999E-2</v>
      </c>
      <c r="P3327">
        <v>1.7899999999999999E-2</v>
      </c>
      <c r="Q3327">
        <v>1.84E-2</v>
      </c>
      <c r="R3327">
        <v>1.8700000000000001E-2</v>
      </c>
      <c r="S3327">
        <v>1.89E-2</v>
      </c>
      <c r="T3327">
        <v>1.9300000000000001E-2</v>
      </c>
      <c r="U3327">
        <v>1.9400000000000001E-2</v>
      </c>
      <c r="V3327">
        <v>1.95E-2</v>
      </c>
      <c r="W3327">
        <v>1.9599999999999999E-2</v>
      </c>
      <c r="X3327">
        <v>1.9800000000000002E-2</v>
      </c>
      <c r="Y3327">
        <v>0.02</v>
      </c>
    </row>
    <row r="3328" spans="1:25" hidden="1">
      <c r="A3328" t="s">
        <v>18813</v>
      </c>
      <c r="B3328" t="s">
        <v>919</v>
      </c>
      <c r="C3328" t="s">
        <v>914</v>
      </c>
      <c r="D3328" t="s">
        <v>648</v>
      </c>
      <c r="E3328" t="s">
        <v>920</v>
      </c>
      <c r="F3328" t="s">
        <v>598</v>
      </c>
      <c r="G3328" t="s">
        <v>478</v>
      </c>
      <c r="H3328" t="s">
        <v>600</v>
      </c>
      <c r="I3328" t="s">
        <v>601</v>
      </c>
      <c r="J3328">
        <v>0.874</v>
      </c>
      <c r="K3328">
        <v>0.76239999999999997</v>
      </c>
      <c r="L3328">
        <v>0.76490000000000002</v>
      </c>
      <c r="M3328">
        <v>0.74199999999999999</v>
      </c>
      <c r="N3328">
        <v>0.71909999999999996</v>
      </c>
      <c r="O3328">
        <v>0.6714</v>
      </c>
      <c r="P3328">
        <v>0.62290000000000001</v>
      </c>
      <c r="Q3328">
        <v>0.52400000000000002</v>
      </c>
      <c r="R3328">
        <v>0.52529999999999999</v>
      </c>
      <c r="S3328">
        <v>0.52659999999999996</v>
      </c>
      <c r="T3328">
        <v>0.52780000000000005</v>
      </c>
      <c r="U3328">
        <v>0.52880000000000005</v>
      </c>
      <c r="V3328">
        <v>0.52980000000000005</v>
      </c>
      <c r="W3328">
        <v>0.53069999999999995</v>
      </c>
      <c r="X3328">
        <v>0.53169999999999995</v>
      </c>
      <c r="Y3328">
        <v>0.53259999999999996</v>
      </c>
    </row>
    <row r="3329" spans="1:25" hidden="1">
      <c r="A3329" t="s">
        <v>18813</v>
      </c>
      <c r="B3329" t="s">
        <v>924</v>
      </c>
      <c r="C3329" t="s">
        <v>925</v>
      </c>
      <c r="D3329" t="s">
        <v>926</v>
      </c>
      <c r="E3329" t="s">
        <v>927</v>
      </c>
      <c r="F3329" t="s">
        <v>598</v>
      </c>
      <c r="G3329" t="s">
        <v>478</v>
      </c>
      <c r="H3329" t="s">
        <v>600</v>
      </c>
      <c r="I3329" t="s">
        <v>601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</row>
    <row r="3330" spans="1:25" hidden="1">
      <c r="A3330" t="s">
        <v>18813</v>
      </c>
      <c r="B3330" t="s">
        <v>938</v>
      </c>
      <c r="C3330" t="s">
        <v>925</v>
      </c>
      <c r="D3330" t="s">
        <v>934</v>
      </c>
      <c r="E3330" t="s">
        <v>768</v>
      </c>
      <c r="F3330" t="s">
        <v>598</v>
      </c>
      <c r="G3330" t="s">
        <v>478</v>
      </c>
      <c r="H3330" t="s">
        <v>600</v>
      </c>
      <c r="I3330" t="s">
        <v>601</v>
      </c>
      <c r="J3330">
        <v>8.0000000000000004E-4</v>
      </c>
      <c r="K3330">
        <v>8.0000000000000004E-4</v>
      </c>
      <c r="L3330">
        <v>8.0000000000000004E-4</v>
      </c>
      <c r="M3330">
        <v>8.0000000000000004E-4</v>
      </c>
      <c r="N3330">
        <v>8.0000000000000004E-4</v>
      </c>
      <c r="O3330">
        <v>8.0000000000000004E-4</v>
      </c>
      <c r="P3330">
        <v>8.0000000000000004E-4</v>
      </c>
      <c r="Q3330">
        <v>8.0000000000000004E-4</v>
      </c>
      <c r="R3330">
        <v>8.0000000000000004E-4</v>
      </c>
      <c r="S3330">
        <v>8.9999999999999998E-4</v>
      </c>
      <c r="T3330">
        <v>8.9999999999999998E-4</v>
      </c>
      <c r="U3330">
        <v>8.9999999999999998E-4</v>
      </c>
      <c r="V3330">
        <v>8.9999999999999998E-4</v>
      </c>
      <c r="W3330">
        <v>8.9999999999999998E-4</v>
      </c>
      <c r="X3330">
        <v>8.9999999999999998E-4</v>
      </c>
      <c r="Y3330">
        <v>8.9999999999999998E-4</v>
      </c>
    </row>
    <row r="3331" spans="1:25" hidden="1">
      <c r="A3331" t="s">
        <v>18813</v>
      </c>
      <c r="B3331" t="s">
        <v>941</v>
      </c>
      <c r="C3331" t="s">
        <v>925</v>
      </c>
      <c r="D3331" t="s">
        <v>648</v>
      </c>
      <c r="E3331" t="s">
        <v>619</v>
      </c>
      <c r="F3331" t="s">
        <v>598</v>
      </c>
      <c r="G3331" t="s">
        <v>478</v>
      </c>
      <c r="H3331" t="s">
        <v>600</v>
      </c>
      <c r="I3331" t="s">
        <v>601</v>
      </c>
      <c r="J3331">
        <v>5.7999999999999996E-3</v>
      </c>
      <c r="K3331">
        <v>5.8999999999999999E-3</v>
      </c>
      <c r="L3331">
        <v>6.1000000000000004E-3</v>
      </c>
      <c r="M3331">
        <v>6.1999999999999998E-3</v>
      </c>
      <c r="N3331">
        <v>6.3E-3</v>
      </c>
      <c r="O3331">
        <v>6.4999999999999997E-3</v>
      </c>
      <c r="P3331">
        <v>6.4999999999999997E-3</v>
      </c>
      <c r="Q3331">
        <v>6.6E-3</v>
      </c>
      <c r="R3331">
        <v>6.7000000000000002E-3</v>
      </c>
      <c r="S3331">
        <v>6.7999999999999996E-3</v>
      </c>
      <c r="T3331">
        <v>6.7999999999999996E-3</v>
      </c>
      <c r="U3331">
        <v>6.8999999999999999E-3</v>
      </c>
      <c r="V3331">
        <v>7.0000000000000001E-3</v>
      </c>
      <c r="W3331">
        <v>7.0000000000000001E-3</v>
      </c>
      <c r="X3331">
        <v>7.1000000000000004E-3</v>
      </c>
      <c r="Y3331">
        <v>7.1000000000000004E-3</v>
      </c>
    </row>
    <row r="3332" spans="1:25" hidden="1">
      <c r="A3332" t="s">
        <v>18813</v>
      </c>
      <c r="B3332" t="s">
        <v>942</v>
      </c>
      <c r="C3332" t="s">
        <v>943</v>
      </c>
      <c r="D3332" t="s">
        <v>944</v>
      </c>
      <c r="E3332" t="s">
        <v>613</v>
      </c>
      <c r="F3332" t="s">
        <v>598</v>
      </c>
      <c r="G3332" t="s">
        <v>478</v>
      </c>
      <c r="H3332" t="s">
        <v>600</v>
      </c>
      <c r="I3332" t="s">
        <v>601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hidden="1">
      <c r="A3333" t="s">
        <v>18813</v>
      </c>
      <c r="B3333" t="s">
        <v>947</v>
      </c>
      <c r="C3333" t="s">
        <v>943</v>
      </c>
      <c r="D3333" t="s">
        <v>946</v>
      </c>
      <c r="E3333" t="s">
        <v>948</v>
      </c>
      <c r="F3333" t="s">
        <v>598</v>
      </c>
      <c r="G3333" t="s">
        <v>478</v>
      </c>
      <c r="H3333" t="s">
        <v>600</v>
      </c>
      <c r="I3333" t="s">
        <v>601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</row>
    <row r="3334" spans="1:25" hidden="1">
      <c r="A3334" t="s">
        <v>18813</v>
      </c>
      <c r="B3334" t="s">
        <v>951</v>
      </c>
      <c r="C3334" t="s">
        <v>943</v>
      </c>
      <c r="D3334" t="s">
        <v>934</v>
      </c>
      <c r="E3334" t="s">
        <v>937</v>
      </c>
      <c r="F3334" t="s">
        <v>598</v>
      </c>
      <c r="G3334" t="s">
        <v>478</v>
      </c>
      <c r="H3334" t="s">
        <v>600</v>
      </c>
      <c r="I3334" t="s">
        <v>601</v>
      </c>
      <c r="J3334">
        <v>0.61880000000000002</v>
      </c>
      <c r="K3334">
        <v>0.62929999999999997</v>
      </c>
      <c r="L3334">
        <v>0.63900000000000001</v>
      </c>
      <c r="M3334">
        <v>0.64910000000000001</v>
      </c>
      <c r="N3334">
        <v>0.65880000000000005</v>
      </c>
      <c r="O3334">
        <v>0.66849999999999998</v>
      </c>
      <c r="P3334">
        <v>0.67410000000000003</v>
      </c>
      <c r="Q3334">
        <v>0.68049999999999999</v>
      </c>
      <c r="R3334">
        <v>0.68540000000000001</v>
      </c>
      <c r="S3334">
        <v>0.6915</v>
      </c>
      <c r="T3334">
        <v>0.69730000000000003</v>
      </c>
      <c r="U3334">
        <v>0.70220000000000005</v>
      </c>
      <c r="V3334">
        <v>0.70730000000000004</v>
      </c>
      <c r="W3334">
        <v>0.71209999999999996</v>
      </c>
      <c r="X3334">
        <v>0.71699999999999997</v>
      </c>
      <c r="Y3334">
        <v>0.72199999999999998</v>
      </c>
    </row>
    <row r="3335" spans="1:25" hidden="1">
      <c r="A3335" t="s">
        <v>18813</v>
      </c>
      <c r="B3335" t="s">
        <v>952</v>
      </c>
      <c r="C3335" t="s">
        <v>943</v>
      </c>
      <c r="D3335" t="s">
        <v>648</v>
      </c>
      <c r="E3335" t="s">
        <v>613</v>
      </c>
      <c r="F3335" t="s">
        <v>598</v>
      </c>
      <c r="G3335" t="s">
        <v>478</v>
      </c>
      <c r="H3335" t="s">
        <v>600</v>
      </c>
      <c r="I3335" t="s">
        <v>601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hidden="1">
      <c r="A3336" t="s">
        <v>18813</v>
      </c>
      <c r="B3336" t="s">
        <v>955</v>
      </c>
      <c r="C3336" t="s">
        <v>956</v>
      </c>
      <c r="D3336" t="s">
        <v>931</v>
      </c>
      <c r="E3336" t="s">
        <v>597</v>
      </c>
      <c r="F3336" t="s">
        <v>598</v>
      </c>
      <c r="G3336" t="s">
        <v>478</v>
      </c>
      <c r="H3336" t="s">
        <v>600</v>
      </c>
      <c r="I3336" t="s">
        <v>601</v>
      </c>
      <c r="J3336">
        <v>0.40279999999999999</v>
      </c>
      <c r="K3336">
        <v>0.38469999999999999</v>
      </c>
      <c r="L3336">
        <v>0.38619999999999999</v>
      </c>
      <c r="M3336">
        <v>0.37840000000000001</v>
      </c>
      <c r="N3336">
        <v>0.371</v>
      </c>
      <c r="O3336">
        <v>0.35320000000000001</v>
      </c>
      <c r="P3336">
        <v>0.33529999999999999</v>
      </c>
      <c r="Q3336">
        <v>0.29809999999999998</v>
      </c>
      <c r="R3336">
        <v>0.29609999999999997</v>
      </c>
      <c r="S3336">
        <v>0.29859999999999998</v>
      </c>
      <c r="T3336">
        <v>0.30030000000000001</v>
      </c>
      <c r="U3336">
        <v>0.30199999999999999</v>
      </c>
      <c r="V3336">
        <v>0.30399999999999999</v>
      </c>
      <c r="W3336">
        <v>0.30520000000000003</v>
      </c>
      <c r="X3336">
        <v>0.30680000000000002</v>
      </c>
      <c r="Y3336">
        <v>0.30809999999999998</v>
      </c>
    </row>
    <row r="3337" spans="1:25" hidden="1">
      <c r="A3337" t="s">
        <v>18813</v>
      </c>
      <c r="B3337" t="s">
        <v>959</v>
      </c>
      <c r="C3337" t="s">
        <v>956</v>
      </c>
      <c r="D3337" t="s">
        <v>931</v>
      </c>
      <c r="E3337" t="s">
        <v>613</v>
      </c>
      <c r="F3337" t="s">
        <v>598</v>
      </c>
      <c r="G3337" t="s">
        <v>478</v>
      </c>
      <c r="H3337" t="s">
        <v>600</v>
      </c>
      <c r="I3337" t="s">
        <v>601</v>
      </c>
      <c r="J3337">
        <v>1.2235</v>
      </c>
      <c r="K3337">
        <v>1.2488999999999999</v>
      </c>
      <c r="L3337">
        <v>1.2754000000000001</v>
      </c>
      <c r="M3337">
        <v>1.3008</v>
      </c>
      <c r="N3337">
        <v>1.3261000000000001</v>
      </c>
      <c r="O3337">
        <v>1.3526</v>
      </c>
      <c r="P3337">
        <v>1.3641000000000001</v>
      </c>
      <c r="Q3337">
        <v>1.3755999999999999</v>
      </c>
      <c r="R3337">
        <v>1.3880999999999999</v>
      </c>
      <c r="S3337">
        <v>1.3996</v>
      </c>
      <c r="T3337">
        <v>1.4112</v>
      </c>
      <c r="U3337">
        <v>1.4226000000000001</v>
      </c>
      <c r="V3337">
        <v>1.4339999999999999</v>
      </c>
      <c r="W3337">
        <v>1.4466000000000001</v>
      </c>
      <c r="X3337">
        <v>1.4581999999999999</v>
      </c>
      <c r="Y3337">
        <v>1.4705999999999999</v>
      </c>
    </row>
    <row r="3338" spans="1:25" hidden="1">
      <c r="A3338" t="s">
        <v>18813</v>
      </c>
      <c r="B3338" t="s">
        <v>963</v>
      </c>
      <c r="C3338" t="s">
        <v>956</v>
      </c>
      <c r="D3338" t="s">
        <v>934</v>
      </c>
      <c r="E3338" t="s">
        <v>597</v>
      </c>
      <c r="F3338" t="s">
        <v>598</v>
      </c>
      <c r="G3338" t="s">
        <v>478</v>
      </c>
      <c r="H3338" t="s">
        <v>600</v>
      </c>
      <c r="I3338" t="s">
        <v>601</v>
      </c>
      <c r="J3338">
        <v>6.7900000000000002E-2</v>
      </c>
      <c r="K3338">
        <v>7.0199999999999999E-2</v>
      </c>
      <c r="L3338">
        <v>7.2900000000000006E-2</v>
      </c>
      <c r="M3338">
        <v>7.5399999999999995E-2</v>
      </c>
      <c r="N3338">
        <v>7.8E-2</v>
      </c>
      <c r="O3338">
        <v>8.09E-2</v>
      </c>
      <c r="P3338">
        <v>8.3799999999999999E-2</v>
      </c>
      <c r="Q3338">
        <v>8.6499999999999994E-2</v>
      </c>
      <c r="R3338">
        <v>8.7599999999999997E-2</v>
      </c>
      <c r="S3338">
        <v>8.8700000000000001E-2</v>
      </c>
      <c r="T3338">
        <v>8.9800000000000005E-2</v>
      </c>
      <c r="U3338">
        <v>9.0999999999999998E-2</v>
      </c>
      <c r="V3338">
        <v>9.2200000000000004E-2</v>
      </c>
      <c r="W3338">
        <v>9.3399999999999997E-2</v>
      </c>
      <c r="X3338">
        <v>9.4500000000000001E-2</v>
      </c>
      <c r="Y3338">
        <v>9.5699999999999993E-2</v>
      </c>
    </row>
    <row r="3339" spans="1:25" hidden="1">
      <c r="A3339" t="s">
        <v>18813</v>
      </c>
      <c r="B3339" t="s">
        <v>965</v>
      </c>
      <c r="C3339" t="s">
        <v>956</v>
      </c>
      <c r="D3339" t="s">
        <v>934</v>
      </c>
      <c r="E3339" t="s">
        <v>937</v>
      </c>
      <c r="F3339" t="s">
        <v>598</v>
      </c>
      <c r="G3339" t="s">
        <v>478</v>
      </c>
      <c r="H3339" t="s">
        <v>600</v>
      </c>
      <c r="I3339" t="s">
        <v>601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</row>
    <row r="3340" spans="1:25" hidden="1">
      <c r="A3340" t="s">
        <v>18813</v>
      </c>
      <c r="B3340" t="s">
        <v>966</v>
      </c>
      <c r="C3340" t="s">
        <v>956</v>
      </c>
      <c r="D3340" t="s">
        <v>648</v>
      </c>
      <c r="E3340" t="s">
        <v>597</v>
      </c>
      <c r="F3340" t="s">
        <v>598</v>
      </c>
      <c r="G3340" t="s">
        <v>478</v>
      </c>
      <c r="H3340" t="s">
        <v>600</v>
      </c>
      <c r="I3340" t="s">
        <v>601</v>
      </c>
      <c r="J3340">
        <v>8.6E-3</v>
      </c>
      <c r="K3340">
        <v>8.8000000000000005E-3</v>
      </c>
      <c r="L3340">
        <v>8.9999999999999993E-3</v>
      </c>
      <c r="M3340">
        <v>9.1000000000000004E-3</v>
      </c>
      <c r="N3340">
        <v>9.2999999999999992E-3</v>
      </c>
      <c r="O3340">
        <v>9.4999999999999998E-3</v>
      </c>
      <c r="P3340">
        <v>9.5999999999999992E-3</v>
      </c>
      <c r="Q3340">
        <v>9.7999999999999997E-3</v>
      </c>
      <c r="R3340">
        <v>0.01</v>
      </c>
      <c r="S3340">
        <v>1.01E-2</v>
      </c>
      <c r="T3340">
        <v>1.03E-2</v>
      </c>
      <c r="U3340">
        <v>1.04E-2</v>
      </c>
      <c r="V3340">
        <v>1.06E-2</v>
      </c>
      <c r="W3340">
        <v>1.0699999999999999E-2</v>
      </c>
      <c r="X3340">
        <v>1.09E-2</v>
      </c>
      <c r="Y3340">
        <v>1.0999999999999999E-2</v>
      </c>
    </row>
    <row r="3341" spans="1:25" hidden="1">
      <c r="A3341" t="s">
        <v>18813</v>
      </c>
      <c r="B3341" t="s">
        <v>969</v>
      </c>
      <c r="C3341" t="s">
        <v>956</v>
      </c>
      <c r="D3341" t="s">
        <v>648</v>
      </c>
      <c r="E3341" t="s">
        <v>619</v>
      </c>
      <c r="F3341" t="s">
        <v>598</v>
      </c>
      <c r="G3341" t="s">
        <v>478</v>
      </c>
      <c r="H3341" t="s">
        <v>600</v>
      </c>
      <c r="I3341" t="s">
        <v>601</v>
      </c>
      <c r="J3341">
        <v>1E-4</v>
      </c>
      <c r="K3341">
        <v>1E-4</v>
      </c>
      <c r="L3341">
        <v>1E-4</v>
      </c>
      <c r="M3341">
        <v>1E-4</v>
      </c>
      <c r="N3341">
        <v>1E-4</v>
      </c>
      <c r="O3341">
        <v>1E-4</v>
      </c>
      <c r="P3341">
        <v>1E-4</v>
      </c>
      <c r="Q3341">
        <v>1E-4</v>
      </c>
      <c r="R3341">
        <v>1E-4</v>
      </c>
      <c r="S3341">
        <v>1E-4</v>
      </c>
      <c r="T3341">
        <v>1E-4</v>
      </c>
      <c r="U3341">
        <v>1E-4</v>
      </c>
      <c r="V3341">
        <v>1E-4</v>
      </c>
      <c r="W3341">
        <v>1E-4</v>
      </c>
      <c r="X3341">
        <v>1E-4</v>
      </c>
      <c r="Y3341">
        <v>1E-4</v>
      </c>
    </row>
    <row r="3342" spans="1:25" hidden="1">
      <c r="A3342" t="s">
        <v>18813</v>
      </c>
      <c r="B3342" t="s">
        <v>970</v>
      </c>
      <c r="C3342" t="s">
        <v>971</v>
      </c>
      <c r="D3342" t="s">
        <v>972</v>
      </c>
      <c r="E3342" t="s">
        <v>973</v>
      </c>
      <c r="F3342" t="s">
        <v>598</v>
      </c>
      <c r="G3342" t="s">
        <v>478</v>
      </c>
      <c r="H3342" t="s">
        <v>600</v>
      </c>
      <c r="I3342" t="s">
        <v>601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hidden="1">
      <c r="A3343" t="s">
        <v>18813</v>
      </c>
      <c r="B3343" t="s">
        <v>981</v>
      </c>
      <c r="C3343" t="s">
        <v>980</v>
      </c>
      <c r="D3343" t="s">
        <v>982</v>
      </c>
      <c r="E3343" t="s">
        <v>613</v>
      </c>
      <c r="F3343" t="s">
        <v>598</v>
      </c>
      <c r="G3343" t="s">
        <v>478</v>
      </c>
      <c r="H3343" t="s">
        <v>600</v>
      </c>
      <c r="I3343" t="s">
        <v>601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hidden="1">
      <c r="A3344" t="s">
        <v>18813</v>
      </c>
      <c r="B3344" t="s">
        <v>983</v>
      </c>
      <c r="C3344" t="s">
        <v>980</v>
      </c>
      <c r="D3344" t="s">
        <v>982</v>
      </c>
      <c r="E3344" t="s">
        <v>984</v>
      </c>
      <c r="F3344" t="s">
        <v>598</v>
      </c>
      <c r="G3344" t="s">
        <v>478</v>
      </c>
      <c r="H3344" t="s">
        <v>600</v>
      </c>
      <c r="I3344" t="s">
        <v>601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hidden="1">
      <c r="A3345" t="s">
        <v>18813</v>
      </c>
      <c r="B3345" t="s">
        <v>988</v>
      </c>
      <c r="C3345" t="s">
        <v>980</v>
      </c>
      <c r="D3345" t="s">
        <v>648</v>
      </c>
      <c r="E3345" t="s">
        <v>920</v>
      </c>
      <c r="F3345" t="s">
        <v>598</v>
      </c>
      <c r="G3345" t="s">
        <v>478</v>
      </c>
      <c r="H3345" t="s">
        <v>600</v>
      </c>
      <c r="I3345" t="s">
        <v>601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hidden="1">
      <c r="A3346" t="s">
        <v>18813</v>
      </c>
      <c r="B3346" t="s">
        <v>989</v>
      </c>
      <c r="C3346" t="s">
        <v>980</v>
      </c>
      <c r="D3346" t="s">
        <v>648</v>
      </c>
      <c r="E3346" t="s">
        <v>613</v>
      </c>
      <c r="F3346" t="s">
        <v>598</v>
      </c>
      <c r="G3346" t="s">
        <v>478</v>
      </c>
      <c r="H3346" t="s">
        <v>600</v>
      </c>
      <c r="I3346" t="s">
        <v>601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hidden="1">
      <c r="A3347" t="s">
        <v>18813</v>
      </c>
      <c r="B3347" t="s">
        <v>991</v>
      </c>
      <c r="C3347" t="s">
        <v>980</v>
      </c>
      <c r="D3347" t="s">
        <v>648</v>
      </c>
      <c r="E3347" t="s">
        <v>927</v>
      </c>
      <c r="F3347" t="s">
        <v>598</v>
      </c>
      <c r="G3347" t="s">
        <v>478</v>
      </c>
      <c r="H3347" t="s">
        <v>600</v>
      </c>
      <c r="I3347" t="s">
        <v>601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hidden="1">
      <c r="A3348" t="s">
        <v>18813</v>
      </c>
      <c r="B3348" t="s">
        <v>993</v>
      </c>
      <c r="C3348" t="s">
        <v>980</v>
      </c>
      <c r="D3348" t="s">
        <v>648</v>
      </c>
      <c r="E3348" t="s">
        <v>678</v>
      </c>
      <c r="F3348" t="s">
        <v>598</v>
      </c>
      <c r="G3348" t="s">
        <v>478</v>
      </c>
      <c r="H3348" t="s">
        <v>600</v>
      </c>
      <c r="I3348" t="s">
        <v>601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hidden="1">
      <c r="A3349" t="s">
        <v>18813</v>
      </c>
      <c r="B3349" t="s">
        <v>995</v>
      </c>
      <c r="C3349" t="s">
        <v>980</v>
      </c>
      <c r="D3349" t="s">
        <v>648</v>
      </c>
      <c r="E3349" t="s">
        <v>996</v>
      </c>
      <c r="F3349" t="s">
        <v>598</v>
      </c>
      <c r="G3349" t="s">
        <v>478</v>
      </c>
      <c r="H3349" t="s">
        <v>600</v>
      </c>
      <c r="I3349" t="s">
        <v>601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hidden="1">
      <c r="A3350" t="s">
        <v>18813</v>
      </c>
      <c r="B3350" t="s">
        <v>997</v>
      </c>
      <c r="C3350" t="s">
        <v>998</v>
      </c>
      <c r="D3350" t="s">
        <v>999</v>
      </c>
      <c r="E3350" t="s">
        <v>1000</v>
      </c>
      <c r="F3350" t="s">
        <v>598</v>
      </c>
      <c r="G3350" t="s">
        <v>478</v>
      </c>
      <c r="H3350" t="s">
        <v>600</v>
      </c>
      <c r="I3350" t="s">
        <v>601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hidden="1">
      <c r="A3351" t="s">
        <v>18813</v>
      </c>
      <c r="B3351" t="s">
        <v>1001</v>
      </c>
      <c r="C3351" t="s">
        <v>998</v>
      </c>
      <c r="D3351" t="s">
        <v>999</v>
      </c>
      <c r="E3351" t="s">
        <v>1002</v>
      </c>
      <c r="F3351" t="s">
        <v>598</v>
      </c>
      <c r="G3351" t="s">
        <v>478</v>
      </c>
      <c r="H3351" t="s">
        <v>600</v>
      </c>
      <c r="I3351" t="s">
        <v>601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hidden="1">
      <c r="A3352" t="s">
        <v>18813</v>
      </c>
      <c r="B3352" t="s">
        <v>1005</v>
      </c>
      <c r="C3352" t="s">
        <v>998</v>
      </c>
      <c r="D3352" t="s">
        <v>999</v>
      </c>
      <c r="E3352" t="s">
        <v>1006</v>
      </c>
      <c r="F3352" t="s">
        <v>598</v>
      </c>
      <c r="G3352" t="s">
        <v>478</v>
      </c>
      <c r="H3352" t="s">
        <v>600</v>
      </c>
      <c r="I3352" t="s">
        <v>601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hidden="1">
      <c r="A3353" t="s">
        <v>18813</v>
      </c>
      <c r="B3353" t="s">
        <v>1009</v>
      </c>
      <c r="C3353" t="s">
        <v>998</v>
      </c>
      <c r="D3353" t="s">
        <v>999</v>
      </c>
      <c r="E3353" t="s">
        <v>1010</v>
      </c>
      <c r="F3353" t="s">
        <v>598</v>
      </c>
      <c r="G3353" t="s">
        <v>478</v>
      </c>
      <c r="H3353" t="s">
        <v>600</v>
      </c>
      <c r="I3353" t="s">
        <v>601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</row>
    <row r="3354" spans="1:25" hidden="1">
      <c r="A3354" t="s">
        <v>18813</v>
      </c>
      <c r="B3354" t="s">
        <v>1013</v>
      </c>
      <c r="C3354" t="s">
        <v>998</v>
      </c>
      <c r="D3354" t="s">
        <v>648</v>
      </c>
      <c r="E3354" t="s">
        <v>1014</v>
      </c>
      <c r="F3354" t="s">
        <v>598</v>
      </c>
      <c r="G3354" t="s">
        <v>478</v>
      </c>
      <c r="H3354" t="s">
        <v>600</v>
      </c>
      <c r="I3354" t="s">
        <v>601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hidden="1">
      <c r="A3355" t="s">
        <v>18813</v>
      </c>
      <c r="B3355" t="s">
        <v>1015</v>
      </c>
      <c r="C3355" t="s">
        <v>1016</v>
      </c>
      <c r="D3355" t="s">
        <v>1017</v>
      </c>
      <c r="E3355" t="s">
        <v>1018</v>
      </c>
      <c r="F3355" t="s">
        <v>598</v>
      </c>
      <c r="G3355" t="s">
        <v>478</v>
      </c>
      <c r="H3355" t="s">
        <v>600</v>
      </c>
      <c r="I3355" t="s">
        <v>601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hidden="1">
      <c r="A3356" t="s">
        <v>18813</v>
      </c>
      <c r="B3356" t="s">
        <v>1021</v>
      </c>
      <c r="C3356" t="s">
        <v>1016</v>
      </c>
      <c r="D3356" t="s">
        <v>1017</v>
      </c>
      <c r="E3356" t="s">
        <v>1022</v>
      </c>
      <c r="F3356" t="s">
        <v>598</v>
      </c>
      <c r="G3356" t="s">
        <v>478</v>
      </c>
      <c r="H3356" t="s">
        <v>600</v>
      </c>
      <c r="I3356" t="s">
        <v>601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hidden="1">
      <c r="A3357" t="s">
        <v>18813</v>
      </c>
      <c r="B3357" t="s">
        <v>1023</v>
      </c>
      <c r="C3357" t="s">
        <v>1016</v>
      </c>
      <c r="D3357" t="s">
        <v>1017</v>
      </c>
      <c r="E3357" t="s">
        <v>1024</v>
      </c>
      <c r="F3357" t="s">
        <v>598</v>
      </c>
      <c r="G3357" t="s">
        <v>478</v>
      </c>
      <c r="H3357" t="s">
        <v>600</v>
      </c>
      <c r="I3357" t="s">
        <v>601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hidden="1">
      <c r="A3358" t="s">
        <v>18813</v>
      </c>
      <c r="B3358" t="s">
        <v>1025</v>
      </c>
      <c r="C3358" t="s">
        <v>1016</v>
      </c>
      <c r="D3358" t="s">
        <v>1017</v>
      </c>
      <c r="E3358" t="s">
        <v>1026</v>
      </c>
      <c r="F3358" t="s">
        <v>598</v>
      </c>
      <c r="G3358" t="s">
        <v>478</v>
      </c>
      <c r="H3358" t="s">
        <v>600</v>
      </c>
      <c r="I3358" t="s">
        <v>601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hidden="1">
      <c r="A3359" t="s">
        <v>18813</v>
      </c>
      <c r="B3359" t="s">
        <v>1027</v>
      </c>
      <c r="C3359" t="s">
        <v>1016</v>
      </c>
      <c r="D3359" t="s">
        <v>1017</v>
      </c>
      <c r="E3359" t="s">
        <v>1028</v>
      </c>
      <c r="F3359" t="s">
        <v>598</v>
      </c>
      <c r="G3359" t="s">
        <v>478</v>
      </c>
      <c r="H3359" t="s">
        <v>600</v>
      </c>
      <c r="I3359" t="s">
        <v>601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hidden="1">
      <c r="A3360" t="s">
        <v>18813</v>
      </c>
      <c r="B3360" t="s">
        <v>1029</v>
      </c>
      <c r="C3360" t="s">
        <v>1016</v>
      </c>
      <c r="D3360" t="s">
        <v>1017</v>
      </c>
      <c r="E3360" t="s">
        <v>1030</v>
      </c>
      <c r="F3360" t="s">
        <v>598</v>
      </c>
      <c r="G3360" t="s">
        <v>478</v>
      </c>
      <c r="H3360" t="s">
        <v>600</v>
      </c>
      <c r="I3360" t="s">
        <v>601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hidden="1">
      <c r="A3361" t="s">
        <v>18813</v>
      </c>
      <c r="B3361" t="s">
        <v>1031</v>
      </c>
      <c r="C3361" t="s">
        <v>1016</v>
      </c>
      <c r="D3361" t="s">
        <v>1017</v>
      </c>
      <c r="E3361" t="s">
        <v>630</v>
      </c>
      <c r="F3361" t="s">
        <v>598</v>
      </c>
      <c r="G3361" t="s">
        <v>478</v>
      </c>
      <c r="H3361" t="s">
        <v>600</v>
      </c>
      <c r="I3361" t="s">
        <v>601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hidden="1">
      <c r="A3362" t="s">
        <v>18813</v>
      </c>
      <c r="B3362" t="s">
        <v>1032</v>
      </c>
      <c r="C3362" t="s">
        <v>1016</v>
      </c>
      <c r="D3362" t="s">
        <v>1017</v>
      </c>
      <c r="E3362" t="s">
        <v>1033</v>
      </c>
      <c r="F3362" t="s">
        <v>598</v>
      </c>
      <c r="G3362" t="s">
        <v>478</v>
      </c>
      <c r="H3362" t="s">
        <v>600</v>
      </c>
      <c r="I3362" t="s">
        <v>601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hidden="1">
      <c r="A3363" t="s">
        <v>18813</v>
      </c>
      <c r="B3363" t="s">
        <v>1034</v>
      </c>
      <c r="C3363" t="s">
        <v>1016</v>
      </c>
      <c r="D3363" t="s">
        <v>1017</v>
      </c>
      <c r="E3363" t="s">
        <v>1035</v>
      </c>
      <c r="F3363" t="s">
        <v>598</v>
      </c>
      <c r="G3363" t="s">
        <v>478</v>
      </c>
      <c r="H3363" t="s">
        <v>600</v>
      </c>
      <c r="I3363" t="s">
        <v>601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hidden="1">
      <c r="A3364" t="s">
        <v>18813</v>
      </c>
      <c r="B3364" t="s">
        <v>1037</v>
      </c>
      <c r="C3364" t="s">
        <v>1016</v>
      </c>
      <c r="D3364" t="s">
        <v>1017</v>
      </c>
      <c r="E3364" t="s">
        <v>1038</v>
      </c>
      <c r="F3364" t="s">
        <v>598</v>
      </c>
      <c r="G3364" t="s">
        <v>478</v>
      </c>
      <c r="H3364" t="s">
        <v>600</v>
      </c>
      <c r="I3364" t="s">
        <v>601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hidden="1">
      <c r="A3365" t="s">
        <v>18813</v>
      </c>
      <c r="B3365" t="s">
        <v>1039</v>
      </c>
      <c r="C3365" t="s">
        <v>1016</v>
      </c>
      <c r="D3365" t="s">
        <v>1017</v>
      </c>
      <c r="E3365" t="s">
        <v>1040</v>
      </c>
      <c r="F3365" t="s">
        <v>598</v>
      </c>
      <c r="G3365" t="s">
        <v>478</v>
      </c>
      <c r="H3365" t="s">
        <v>600</v>
      </c>
      <c r="I3365" t="s">
        <v>601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hidden="1">
      <c r="A3366" t="s">
        <v>18813</v>
      </c>
      <c r="B3366" t="s">
        <v>1041</v>
      </c>
      <c r="C3366" t="s">
        <v>1016</v>
      </c>
      <c r="D3366" t="s">
        <v>1017</v>
      </c>
      <c r="E3366" t="s">
        <v>1042</v>
      </c>
      <c r="F3366" t="s">
        <v>598</v>
      </c>
      <c r="G3366" t="s">
        <v>478</v>
      </c>
      <c r="H3366" t="s">
        <v>600</v>
      </c>
      <c r="I3366" t="s">
        <v>601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hidden="1">
      <c r="A3367" t="s">
        <v>18813</v>
      </c>
      <c r="B3367" t="s">
        <v>1045</v>
      </c>
      <c r="C3367" t="s">
        <v>1016</v>
      </c>
      <c r="D3367" t="s">
        <v>1017</v>
      </c>
      <c r="E3367" t="s">
        <v>1046</v>
      </c>
      <c r="F3367" t="s">
        <v>598</v>
      </c>
      <c r="G3367" t="s">
        <v>478</v>
      </c>
      <c r="H3367" t="s">
        <v>600</v>
      </c>
      <c r="I3367" t="s">
        <v>601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hidden="1">
      <c r="A3368" t="s">
        <v>18813</v>
      </c>
      <c r="B3368" t="s">
        <v>1047</v>
      </c>
      <c r="C3368" t="s">
        <v>1016</v>
      </c>
      <c r="D3368" t="s">
        <v>1017</v>
      </c>
      <c r="E3368" t="s">
        <v>1048</v>
      </c>
      <c r="F3368" t="s">
        <v>598</v>
      </c>
      <c r="G3368" t="s">
        <v>478</v>
      </c>
      <c r="H3368" t="s">
        <v>600</v>
      </c>
      <c r="I3368" t="s">
        <v>601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hidden="1">
      <c r="A3369" t="s">
        <v>18813</v>
      </c>
      <c r="B3369" t="s">
        <v>1049</v>
      </c>
      <c r="C3369" t="s">
        <v>1016</v>
      </c>
      <c r="D3369" t="s">
        <v>1050</v>
      </c>
      <c r="E3369" t="s">
        <v>1024</v>
      </c>
      <c r="F3369" t="s">
        <v>598</v>
      </c>
      <c r="G3369" t="s">
        <v>478</v>
      </c>
      <c r="H3369" t="s">
        <v>600</v>
      </c>
      <c r="I3369" t="s">
        <v>601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hidden="1">
      <c r="A3370" t="s">
        <v>18813</v>
      </c>
      <c r="B3370" t="s">
        <v>1051</v>
      </c>
      <c r="C3370" t="s">
        <v>1016</v>
      </c>
      <c r="D3370" t="s">
        <v>1050</v>
      </c>
      <c r="E3370" t="s">
        <v>1052</v>
      </c>
      <c r="F3370" t="s">
        <v>598</v>
      </c>
      <c r="G3370" t="s">
        <v>478</v>
      </c>
      <c r="H3370" t="s">
        <v>600</v>
      </c>
      <c r="I3370" t="s">
        <v>601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hidden="1">
      <c r="A3371" t="s">
        <v>18813</v>
      </c>
      <c r="B3371" t="s">
        <v>1053</v>
      </c>
      <c r="C3371" t="s">
        <v>1016</v>
      </c>
      <c r="D3371" t="s">
        <v>1050</v>
      </c>
      <c r="E3371" t="s">
        <v>1000</v>
      </c>
      <c r="F3371" t="s">
        <v>598</v>
      </c>
      <c r="G3371" t="s">
        <v>478</v>
      </c>
      <c r="H3371" t="s">
        <v>600</v>
      </c>
      <c r="I3371" t="s">
        <v>601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hidden="1">
      <c r="A3372" t="s">
        <v>18813</v>
      </c>
      <c r="B3372" t="s">
        <v>1054</v>
      </c>
      <c r="C3372" t="s">
        <v>1016</v>
      </c>
      <c r="D3372" t="s">
        <v>1050</v>
      </c>
      <c r="E3372" t="s">
        <v>1055</v>
      </c>
      <c r="F3372" t="s">
        <v>598</v>
      </c>
      <c r="G3372" t="s">
        <v>478</v>
      </c>
      <c r="H3372" t="s">
        <v>600</v>
      </c>
      <c r="I3372" t="s">
        <v>601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hidden="1">
      <c r="A3373" t="s">
        <v>18813</v>
      </c>
      <c r="B3373" t="s">
        <v>1056</v>
      </c>
      <c r="C3373" t="s">
        <v>1016</v>
      </c>
      <c r="D3373" t="s">
        <v>1050</v>
      </c>
      <c r="E3373" t="s">
        <v>1002</v>
      </c>
      <c r="F3373" t="s">
        <v>598</v>
      </c>
      <c r="G3373" t="s">
        <v>478</v>
      </c>
      <c r="H3373" t="s">
        <v>600</v>
      </c>
      <c r="I3373" t="s">
        <v>601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hidden="1">
      <c r="A3374" t="s">
        <v>18813</v>
      </c>
      <c r="B3374" t="s">
        <v>1057</v>
      </c>
      <c r="C3374" t="s">
        <v>1016</v>
      </c>
      <c r="D3374" t="s">
        <v>1050</v>
      </c>
      <c r="E3374" t="s">
        <v>1058</v>
      </c>
      <c r="F3374" t="s">
        <v>598</v>
      </c>
      <c r="G3374" t="s">
        <v>478</v>
      </c>
      <c r="H3374" t="s">
        <v>600</v>
      </c>
      <c r="I3374" t="s">
        <v>601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hidden="1">
      <c r="A3375" t="s">
        <v>18813</v>
      </c>
      <c r="B3375" t="s">
        <v>1059</v>
      </c>
      <c r="C3375" t="s">
        <v>1016</v>
      </c>
      <c r="D3375" t="s">
        <v>1050</v>
      </c>
      <c r="E3375" t="s">
        <v>1042</v>
      </c>
      <c r="F3375" t="s">
        <v>598</v>
      </c>
      <c r="G3375" t="s">
        <v>478</v>
      </c>
      <c r="H3375" t="s">
        <v>600</v>
      </c>
      <c r="I3375" t="s">
        <v>601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hidden="1">
      <c r="A3376" t="s">
        <v>18813</v>
      </c>
      <c r="B3376" t="s">
        <v>1060</v>
      </c>
      <c r="C3376" t="s">
        <v>1016</v>
      </c>
      <c r="D3376" t="s">
        <v>1050</v>
      </c>
      <c r="E3376" t="s">
        <v>1044</v>
      </c>
      <c r="F3376" t="s">
        <v>598</v>
      </c>
      <c r="G3376" t="s">
        <v>478</v>
      </c>
      <c r="H3376" t="s">
        <v>600</v>
      </c>
      <c r="I3376" t="s">
        <v>601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hidden="1">
      <c r="A3377" t="s">
        <v>18813</v>
      </c>
      <c r="B3377" t="s">
        <v>1061</v>
      </c>
      <c r="C3377" t="s">
        <v>1016</v>
      </c>
      <c r="D3377" t="s">
        <v>1050</v>
      </c>
      <c r="E3377" t="s">
        <v>1048</v>
      </c>
      <c r="F3377" t="s">
        <v>598</v>
      </c>
      <c r="G3377" t="s">
        <v>478</v>
      </c>
      <c r="H3377" t="s">
        <v>600</v>
      </c>
      <c r="I3377" t="s">
        <v>601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hidden="1">
      <c r="A3378" t="s">
        <v>18813</v>
      </c>
      <c r="B3378" t="s">
        <v>1062</v>
      </c>
      <c r="C3378" t="s">
        <v>1016</v>
      </c>
      <c r="D3378" t="s">
        <v>1063</v>
      </c>
      <c r="E3378" t="s">
        <v>1018</v>
      </c>
      <c r="F3378" t="s">
        <v>598</v>
      </c>
      <c r="G3378" t="s">
        <v>478</v>
      </c>
      <c r="H3378" t="s">
        <v>600</v>
      </c>
      <c r="I3378" t="s">
        <v>601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hidden="1">
      <c r="A3379" t="s">
        <v>18813</v>
      </c>
      <c r="B3379" t="s">
        <v>1064</v>
      </c>
      <c r="C3379" t="s">
        <v>1016</v>
      </c>
      <c r="D3379" t="s">
        <v>1063</v>
      </c>
      <c r="E3379" t="s">
        <v>1022</v>
      </c>
      <c r="F3379" t="s">
        <v>598</v>
      </c>
      <c r="G3379" t="s">
        <v>478</v>
      </c>
      <c r="H3379" t="s">
        <v>600</v>
      </c>
      <c r="I3379" t="s">
        <v>601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hidden="1">
      <c r="A3380" t="s">
        <v>18813</v>
      </c>
      <c r="B3380" t="s">
        <v>1065</v>
      </c>
      <c r="C3380" t="s">
        <v>1016</v>
      </c>
      <c r="D3380" t="s">
        <v>1063</v>
      </c>
      <c r="E3380" t="s">
        <v>1024</v>
      </c>
      <c r="F3380" t="s">
        <v>598</v>
      </c>
      <c r="G3380" t="s">
        <v>478</v>
      </c>
      <c r="H3380" t="s">
        <v>600</v>
      </c>
      <c r="I3380" t="s">
        <v>601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hidden="1">
      <c r="A3381" t="s">
        <v>18813</v>
      </c>
      <c r="B3381" t="s">
        <v>1066</v>
      </c>
      <c r="C3381" t="s">
        <v>1016</v>
      </c>
      <c r="D3381" t="s">
        <v>1063</v>
      </c>
      <c r="E3381" t="s">
        <v>1052</v>
      </c>
      <c r="F3381" t="s">
        <v>598</v>
      </c>
      <c r="G3381" t="s">
        <v>478</v>
      </c>
      <c r="H3381" t="s">
        <v>600</v>
      </c>
      <c r="I3381" t="s">
        <v>601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hidden="1">
      <c r="A3382" t="s">
        <v>18813</v>
      </c>
      <c r="B3382" t="s">
        <v>1067</v>
      </c>
      <c r="C3382" t="s">
        <v>1016</v>
      </c>
      <c r="D3382" t="s">
        <v>1063</v>
      </c>
      <c r="E3382" t="s">
        <v>1026</v>
      </c>
      <c r="F3382" t="s">
        <v>598</v>
      </c>
      <c r="G3382" t="s">
        <v>478</v>
      </c>
      <c r="H3382" t="s">
        <v>600</v>
      </c>
      <c r="I3382" t="s">
        <v>601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hidden="1">
      <c r="A3383" t="s">
        <v>18813</v>
      </c>
      <c r="B3383" t="s">
        <v>1068</v>
      </c>
      <c r="C3383" t="s">
        <v>1016</v>
      </c>
      <c r="D3383" t="s">
        <v>1063</v>
      </c>
      <c r="E3383" t="s">
        <v>1030</v>
      </c>
      <c r="F3383" t="s">
        <v>598</v>
      </c>
      <c r="G3383" t="s">
        <v>478</v>
      </c>
      <c r="H3383" t="s">
        <v>600</v>
      </c>
      <c r="I3383" t="s">
        <v>601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hidden="1">
      <c r="A3384" t="s">
        <v>18813</v>
      </c>
      <c r="B3384" t="s">
        <v>1069</v>
      </c>
      <c r="C3384" t="s">
        <v>1016</v>
      </c>
      <c r="D3384" t="s">
        <v>1063</v>
      </c>
      <c r="E3384" t="s">
        <v>1035</v>
      </c>
      <c r="F3384" t="s">
        <v>598</v>
      </c>
      <c r="G3384" t="s">
        <v>478</v>
      </c>
      <c r="H3384" t="s">
        <v>600</v>
      </c>
      <c r="I3384" t="s">
        <v>601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hidden="1">
      <c r="A3385" t="s">
        <v>18813</v>
      </c>
      <c r="B3385" t="s">
        <v>1070</v>
      </c>
      <c r="C3385" t="s">
        <v>1016</v>
      </c>
      <c r="D3385" t="s">
        <v>1063</v>
      </c>
      <c r="E3385" t="s">
        <v>1000</v>
      </c>
      <c r="F3385" t="s">
        <v>598</v>
      </c>
      <c r="G3385" t="s">
        <v>478</v>
      </c>
      <c r="H3385" t="s">
        <v>600</v>
      </c>
      <c r="I3385" t="s">
        <v>601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hidden="1">
      <c r="A3386" t="s">
        <v>18813</v>
      </c>
      <c r="B3386" t="s">
        <v>1071</v>
      </c>
      <c r="C3386" t="s">
        <v>1016</v>
      </c>
      <c r="D3386" t="s">
        <v>1063</v>
      </c>
      <c r="E3386" t="s">
        <v>1038</v>
      </c>
      <c r="F3386" t="s">
        <v>598</v>
      </c>
      <c r="G3386" t="s">
        <v>478</v>
      </c>
      <c r="H3386" t="s">
        <v>600</v>
      </c>
      <c r="I3386" t="s">
        <v>601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hidden="1">
      <c r="A3387" t="s">
        <v>18813</v>
      </c>
      <c r="B3387" t="s">
        <v>1072</v>
      </c>
      <c r="C3387" t="s">
        <v>1016</v>
      </c>
      <c r="D3387" t="s">
        <v>1063</v>
      </c>
      <c r="E3387" t="s">
        <v>1040</v>
      </c>
      <c r="F3387" t="s">
        <v>598</v>
      </c>
      <c r="G3387" t="s">
        <v>478</v>
      </c>
      <c r="H3387" t="s">
        <v>600</v>
      </c>
      <c r="I3387" t="s">
        <v>601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hidden="1">
      <c r="A3388" t="s">
        <v>18813</v>
      </c>
      <c r="B3388" t="s">
        <v>1073</v>
      </c>
      <c r="C3388" t="s">
        <v>1016</v>
      </c>
      <c r="D3388" t="s">
        <v>1063</v>
      </c>
      <c r="E3388" t="s">
        <v>1042</v>
      </c>
      <c r="F3388" t="s">
        <v>598</v>
      </c>
      <c r="G3388" t="s">
        <v>478</v>
      </c>
      <c r="H3388" t="s">
        <v>600</v>
      </c>
      <c r="I3388" t="s">
        <v>601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hidden="1">
      <c r="A3389" t="s">
        <v>18813</v>
      </c>
      <c r="B3389" t="s">
        <v>1074</v>
      </c>
      <c r="C3389" t="s">
        <v>1016</v>
      </c>
      <c r="D3389" t="s">
        <v>1063</v>
      </c>
      <c r="E3389" t="s">
        <v>1044</v>
      </c>
      <c r="F3389" t="s">
        <v>598</v>
      </c>
      <c r="G3389" t="s">
        <v>478</v>
      </c>
      <c r="H3389" t="s">
        <v>600</v>
      </c>
      <c r="I3389" t="s">
        <v>601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hidden="1">
      <c r="A3390" t="s">
        <v>18813</v>
      </c>
      <c r="B3390" t="s">
        <v>1075</v>
      </c>
      <c r="C3390" t="s">
        <v>1016</v>
      </c>
      <c r="D3390" t="s">
        <v>1063</v>
      </c>
      <c r="E3390" t="s">
        <v>1046</v>
      </c>
      <c r="F3390" t="s">
        <v>598</v>
      </c>
      <c r="G3390" t="s">
        <v>478</v>
      </c>
      <c r="H3390" t="s">
        <v>600</v>
      </c>
      <c r="I3390" t="s">
        <v>601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hidden="1">
      <c r="A3391" t="s">
        <v>18813</v>
      </c>
      <c r="B3391" t="s">
        <v>1076</v>
      </c>
      <c r="C3391" t="s">
        <v>1016</v>
      </c>
      <c r="D3391" t="s">
        <v>1063</v>
      </c>
      <c r="E3391" t="s">
        <v>1048</v>
      </c>
      <c r="F3391" t="s">
        <v>598</v>
      </c>
      <c r="G3391" t="s">
        <v>478</v>
      </c>
      <c r="H3391" t="s">
        <v>600</v>
      </c>
      <c r="I3391" t="s">
        <v>601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hidden="1">
      <c r="A3392" t="s">
        <v>18813</v>
      </c>
      <c r="B3392" t="s">
        <v>1082</v>
      </c>
      <c r="C3392" t="s">
        <v>1079</v>
      </c>
      <c r="D3392" t="s">
        <v>1083</v>
      </c>
      <c r="E3392" t="s">
        <v>1084</v>
      </c>
      <c r="F3392" t="s">
        <v>598</v>
      </c>
      <c r="G3392" t="s">
        <v>478</v>
      </c>
      <c r="H3392" t="s">
        <v>600</v>
      </c>
      <c r="I3392" t="s">
        <v>601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hidden="1">
      <c r="A3393" t="s">
        <v>18813</v>
      </c>
      <c r="B3393" t="s">
        <v>1087</v>
      </c>
      <c r="C3393" t="s">
        <v>1079</v>
      </c>
      <c r="D3393" t="s">
        <v>1086</v>
      </c>
      <c r="E3393" t="s">
        <v>1081</v>
      </c>
      <c r="F3393" t="s">
        <v>598</v>
      </c>
      <c r="G3393" t="s">
        <v>478</v>
      </c>
      <c r="H3393" t="s">
        <v>600</v>
      </c>
      <c r="I3393" t="s">
        <v>601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hidden="1">
      <c r="A3394" t="s">
        <v>18813</v>
      </c>
      <c r="B3394" t="s">
        <v>1090</v>
      </c>
      <c r="C3394" t="s">
        <v>1079</v>
      </c>
      <c r="D3394" t="s">
        <v>1086</v>
      </c>
      <c r="E3394" t="s">
        <v>1091</v>
      </c>
      <c r="F3394" t="s">
        <v>598</v>
      </c>
      <c r="G3394" t="s">
        <v>478</v>
      </c>
      <c r="H3394" t="s">
        <v>600</v>
      </c>
      <c r="I3394" t="s">
        <v>601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hidden="1">
      <c r="A3395" t="s">
        <v>18813</v>
      </c>
      <c r="B3395" t="s">
        <v>1092</v>
      </c>
      <c r="C3395" t="s">
        <v>1079</v>
      </c>
      <c r="D3395" t="s">
        <v>1086</v>
      </c>
      <c r="E3395" t="s">
        <v>1093</v>
      </c>
      <c r="F3395" t="s">
        <v>598</v>
      </c>
      <c r="G3395" t="s">
        <v>478</v>
      </c>
      <c r="H3395" t="s">
        <v>600</v>
      </c>
      <c r="I3395" t="s">
        <v>601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hidden="1">
      <c r="A3396" t="s">
        <v>18813</v>
      </c>
      <c r="B3396" t="s">
        <v>1094</v>
      </c>
      <c r="C3396" t="s">
        <v>1079</v>
      </c>
      <c r="D3396" t="s">
        <v>1086</v>
      </c>
      <c r="E3396" t="s">
        <v>1095</v>
      </c>
      <c r="F3396" t="s">
        <v>598</v>
      </c>
      <c r="G3396" t="s">
        <v>478</v>
      </c>
      <c r="H3396" t="s">
        <v>600</v>
      </c>
      <c r="I3396" t="s">
        <v>601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hidden="1">
      <c r="A3397" t="s">
        <v>18813</v>
      </c>
      <c r="B3397" t="s">
        <v>1096</v>
      </c>
      <c r="C3397" t="s">
        <v>1079</v>
      </c>
      <c r="D3397" t="s">
        <v>1086</v>
      </c>
      <c r="E3397" t="s">
        <v>1097</v>
      </c>
      <c r="F3397" t="s">
        <v>598</v>
      </c>
      <c r="G3397" t="s">
        <v>478</v>
      </c>
      <c r="H3397" t="s">
        <v>600</v>
      </c>
      <c r="I3397" t="s">
        <v>601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hidden="1">
      <c r="A3398" t="s">
        <v>18813</v>
      </c>
      <c r="B3398" t="s">
        <v>1098</v>
      </c>
      <c r="C3398" t="s">
        <v>1079</v>
      </c>
      <c r="D3398" t="s">
        <v>1086</v>
      </c>
      <c r="E3398" t="s">
        <v>1099</v>
      </c>
      <c r="F3398" t="s">
        <v>598</v>
      </c>
      <c r="G3398" t="s">
        <v>478</v>
      </c>
      <c r="H3398" t="s">
        <v>600</v>
      </c>
      <c r="I3398" t="s">
        <v>601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hidden="1">
      <c r="A3399" t="s">
        <v>18813</v>
      </c>
      <c r="B3399" t="s">
        <v>1100</v>
      </c>
      <c r="C3399" t="s">
        <v>1079</v>
      </c>
      <c r="D3399" t="s">
        <v>1086</v>
      </c>
      <c r="E3399" t="s">
        <v>1101</v>
      </c>
      <c r="F3399" t="s">
        <v>598</v>
      </c>
      <c r="G3399" t="s">
        <v>478</v>
      </c>
      <c r="H3399" t="s">
        <v>600</v>
      </c>
      <c r="I3399" t="s">
        <v>601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hidden="1">
      <c r="A3400" t="s">
        <v>18813</v>
      </c>
      <c r="B3400" t="s">
        <v>1102</v>
      </c>
      <c r="C3400" t="s">
        <v>1079</v>
      </c>
      <c r="D3400" t="s">
        <v>1086</v>
      </c>
      <c r="E3400" t="s">
        <v>1103</v>
      </c>
      <c r="F3400" t="s">
        <v>598</v>
      </c>
      <c r="G3400" t="s">
        <v>478</v>
      </c>
      <c r="H3400" t="s">
        <v>600</v>
      </c>
      <c r="I3400" t="s">
        <v>601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</row>
    <row r="3401" spans="1:25" hidden="1">
      <c r="A3401" t="s">
        <v>18813</v>
      </c>
      <c r="B3401" t="s">
        <v>1107</v>
      </c>
      <c r="C3401" t="s">
        <v>1079</v>
      </c>
      <c r="D3401" t="s">
        <v>1108</v>
      </c>
      <c r="E3401" t="s">
        <v>1081</v>
      </c>
      <c r="F3401" t="s">
        <v>598</v>
      </c>
      <c r="G3401" t="s">
        <v>478</v>
      </c>
      <c r="H3401" t="s">
        <v>600</v>
      </c>
      <c r="I3401" t="s">
        <v>601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hidden="1">
      <c r="A3402" t="s">
        <v>18813</v>
      </c>
      <c r="B3402" t="s">
        <v>1109</v>
      </c>
      <c r="C3402" t="s">
        <v>1079</v>
      </c>
      <c r="D3402" t="s">
        <v>1108</v>
      </c>
      <c r="E3402" t="s">
        <v>1091</v>
      </c>
      <c r="F3402" t="s">
        <v>598</v>
      </c>
      <c r="G3402" t="s">
        <v>478</v>
      </c>
      <c r="H3402" t="s">
        <v>600</v>
      </c>
      <c r="I3402" t="s">
        <v>601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hidden="1">
      <c r="A3403" t="s">
        <v>18813</v>
      </c>
      <c r="B3403" t="s">
        <v>1110</v>
      </c>
      <c r="C3403" t="s">
        <v>1079</v>
      </c>
      <c r="D3403" t="s">
        <v>1108</v>
      </c>
      <c r="E3403" t="s">
        <v>1093</v>
      </c>
      <c r="F3403" t="s">
        <v>598</v>
      </c>
      <c r="G3403" t="s">
        <v>478</v>
      </c>
      <c r="H3403" t="s">
        <v>600</v>
      </c>
      <c r="I3403" t="s">
        <v>601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hidden="1">
      <c r="A3404" t="s">
        <v>18813</v>
      </c>
      <c r="B3404" t="s">
        <v>1111</v>
      </c>
      <c r="C3404" t="s">
        <v>1079</v>
      </c>
      <c r="D3404" t="s">
        <v>1108</v>
      </c>
      <c r="E3404" t="s">
        <v>1095</v>
      </c>
      <c r="F3404" t="s">
        <v>598</v>
      </c>
      <c r="G3404" t="s">
        <v>478</v>
      </c>
      <c r="H3404" t="s">
        <v>600</v>
      </c>
      <c r="I3404" t="s">
        <v>601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</row>
    <row r="3405" spans="1:25" hidden="1">
      <c r="A3405" t="s">
        <v>18813</v>
      </c>
      <c r="B3405" t="s">
        <v>1112</v>
      </c>
      <c r="C3405" t="s">
        <v>1079</v>
      </c>
      <c r="D3405" t="s">
        <v>1108</v>
      </c>
      <c r="E3405" t="s">
        <v>1097</v>
      </c>
      <c r="F3405" t="s">
        <v>598</v>
      </c>
      <c r="G3405" t="s">
        <v>478</v>
      </c>
      <c r="H3405" t="s">
        <v>600</v>
      </c>
      <c r="I3405" t="s">
        <v>601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hidden="1">
      <c r="A3406" t="s">
        <v>18813</v>
      </c>
      <c r="B3406" t="s">
        <v>1113</v>
      </c>
      <c r="C3406" t="s">
        <v>1079</v>
      </c>
      <c r="D3406" t="s">
        <v>1108</v>
      </c>
      <c r="E3406" t="s">
        <v>1101</v>
      </c>
      <c r="F3406" t="s">
        <v>598</v>
      </c>
      <c r="G3406" t="s">
        <v>478</v>
      </c>
      <c r="H3406" t="s">
        <v>600</v>
      </c>
      <c r="I3406" t="s">
        <v>601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hidden="1">
      <c r="A3407" t="s">
        <v>18813</v>
      </c>
      <c r="B3407" t="s">
        <v>1114</v>
      </c>
      <c r="C3407" t="s">
        <v>1079</v>
      </c>
      <c r="D3407" t="s">
        <v>1115</v>
      </c>
      <c r="E3407" t="s">
        <v>1081</v>
      </c>
      <c r="F3407" t="s">
        <v>598</v>
      </c>
      <c r="G3407" t="s">
        <v>478</v>
      </c>
      <c r="H3407" t="s">
        <v>600</v>
      </c>
      <c r="I3407" t="s">
        <v>601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hidden="1">
      <c r="A3408" t="s">
        <v>18813</v>
      </c>
      <c r="B3408" t="s">
        <v>1116</v>
      </c>
      <c r="C3408" t="s">
        <v>1079</v>
      </c>
      <c r="D3408" t="s">
        <v>1115</v>
      </c>
      <c r="E3408" t="s">
        <v>1091</v>
      </c>
      <c r="F3408" t="s">
        <v>598</v>
      </c>
      <c r="G3408" t="s">
        <v>478</v>
      </c>
      <c r="H3408" t="s">
        <v>600</v>
      </c>
      <c r="I3408" t="s">
        <v>601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hidden="1">
      <c r="A3409" t="s">
        <v>18813</v>
      </c>
      <c r="B3409" t="s">
        <v>1117</v>
      </c>
      <c r="C3409" t="s">
        <v>1079</v>
      </c>
      <c r="D3409" t="s">
        <v>1115</v>
      </c>
      <c r="E3409" t="s">
        <v>1093</v>
      </c>
      <c r="F3409" t="s">
        <v>598</v>
      </c>
      <c r="G3409" t="s">
        <v>478</v>
      </c>
      <c r="H3409" t="s">
        <v>600</v>
      </c>
      <c r="I3409" t="s">
        <v>601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hidden="1">
      <c r="A3410" t="s">
        <v>18813</v>
      </c>
      <c r="B3410" t="s">
        <v>1118</v>
      </c>
      <c r="C3410" t="s">
        <v>1079</v>
      </c>
      <c r="D3410" t="s">
        <v>1115</v>
      </c>
      <c r="E3410" t="s">
        <v>1097</v>
      </c>
      <c r="F3410" t="s">
        <v>598</v>
      </c>
      <c r="G3410" t="s">
        <v>478</v>
      </c>
      <c r="H3410" t="s">
        <v>600</v>
      </c>
      <c r="I3410" t="s">
        <v>601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hidden="1">
      <c r="A3411" t="s">
        <v>18813</v>
      </c>
      <c r="B3411" t="s">
        <v>1120</v>
      </c>
      <c r="C3411" t="s">
        <v>1079</v>
      </c>
      <c r="D3411" t="s">
        <v>1121</v>
      </c>
      <c r="E3411" t="s">
        <v>1081</v>
      </c>
      <c r="F3411" t="s">
        <v>598</v>
      </c>
      <c r="G3411" t="s">
        <v>478</v>
      </c>
      <c r="H3411" t="s">
        <v>600</v>
      </c>
      <c r="I3411" t="s">
        <v>601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hidden="1">
      <c r="A3412" t="s">
        <v>18813</v>
      </c>
      <c r="B3412" t="s">
        <v>1122</v>
      </c>
      <c r="C3412" t="s">
        <v>1079</v>
      </c>
      <c r="D3412" t="s">
        <v>1121</v>
      </c>
      <c r="E3412" t="s">
        <v>1097</v>
      </c>
      <c r="F3412" t="s">
        <v>598</v>
      </c>
      <c r="G3412" t="s">
        <v>478</v>
      </c>
      <c r="H3412" t="s">
        <v>600</v>
      </c>
      <c r="I3412" t="s">
        <v>601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hidden="1">
      <c r="A3413" t="s">
        <v>18813</v>
      </c>
      <c r="B3413" t="s">
        <v>1123</v>
      </c>
      <c r="C3413" t="s">
        <v>1079</v>
      </c>
      <c r="D3413" t="s">
        <v>1121</v>
      </c>
      <c r="E3413" t="s">
        <v>1101</v>
      </c>
      <c r="F3413" t="s">
        <v>598</v>
      </c>
      <c r="G3413" t="s">
        <v>478</v>
      </c>
      <c r="H3413" t="s">
        <v>600</v>
      </c>
      <c r="I3413" t="s">
        <v>601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</row>
    <row r="3414" spans="1:25" hidden="1">
      <c r="A3414" t="s">
        <v>18813</v>
      </c>
      <c r="B3414" t="s">
        <v>1125</v>
      </c>
      <c r="C3414" t="s">
        <v>1079</v>
      </c>
      <c r="D3414" t="s">
        <v>1126</v>
      </c>
      <c r="E3414" t="s">
        <v>1081</v>
      </c>
      <c r="F3414" t="s">
        <v>598</v>
      </c>
      <c r="G3414" t="s">
        <v>478</v>
      </c>
      <c r="H3414" t="s">
        <v>600</v>
      </c>
      <c r="I3414" t="s">
        <v>601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hidden="1">
      <c r="A3415" t="s">
        <v>18813</v>
      </c>
      <c r="B3415" t="s">
        <v>1128</v>
      </c>
      <c r="C3415" t="s">
        <v>1079</v>
      </c>
      <c r="D3415" t="s">
        <v>1126</v>
      </c>
      <c r="E3415" t="s">
        <v>1093</v>
      </c>
      <c r="F3415" t="s">
        <v>598</v>
      </c>
      <c r="G3415" t="s">
        <v>478</v>
      </c>
      <c r="H3415" t="s">
        <v>600</v>
      </c>
      <c r="I3415" t="s">
        <v>601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hidden="1">
      <c r="A3416" t="s">
        <v>18813</v>
      </c>
      <c r="B3416" t="s">
        <v>1130</v>
      </c>
      <c r="C3416" t="s">
        <v>1079</v>
      </c>
      <c r="D3416" t="s">
        <v>1126</v>
      </c>
      <c r="E3416" t="s">
        <v>1099</v>
      </c>
      <c r="F3416" t="s">
        <v>598</v>
      </c>
      <c r="G3416" t="s">
        <v>478</v>
      </c>
      <c r="H3416" t="s">
        <v>600</v>
      </c>
      <c r="I3416" t="s">
        <v>601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hidden="1">
      <c r="A3417" t="s">
        <v>18813</v>
      </c>
      <c r="B3417" t="s">
        <v>1131</v>
      </c>
      <c r="C3417" t="s">
        <v>1079</v>
      </c>
      <c r="D3417" t="s">
        <v>1126</v>
      </c>
      <c r="E3417" t="s">
        <v>1101</v>
      </c>
      <c r="F3417" t="s">
        <v>598</v>
      </c>
      <c r="G3417" t="s">
        <v>478</v>
      </c>
      <c r="H3417" t="s">
        <v>600</v>
      </c>
      <c r="I3417" t="s">
        <v>601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hidden="1">
      <c r="A3418" t="s">
        <v>18813</v>
      </c>
      <c r="B3418" t="s">
        <v>1133</v>
      </c>
      <c r="C3418" t="s">
        <v>1079</v>
      </c>
      <c r="D3418" t="s">
        <v>1134</v>
      </c>
      <c r="E3418" t="s">
        <v>1081</v>
      </c>
      <c r="F3418" t="s">
        <v>598</v>
      </c>
      <c r="G3418" t="s">
        <v>478</v>
      </c>
      <c r="H3418" t="s">
        <v>600</v>
      </c>
      <c r="I3418" t="s">
        <v>601</v>
      </c>
      <c r="J3418">
        <v>1.3899999999999999E-2</v>
      </c>
      <c r="K3418">
        <v>1.3899999999999999E-2</v>
      </c>
      <c r="L3418">
        <v>1.43E-2</v>
      </c>
      <c r="M3418">
        <v>1.4800000000000001E-2</v>
      </c>
      <c r="N3418">
        <v>1.52E-2</v>
      </c>
      <c r="O3418">
        <v>1.5299999999999999E-2</v>
      </c>
      <c r="P3418">
        <v>1.5699999999999999E-2</v>
      </c>
      <c r="Q3418">
        <v>1.5900000000000001E-2</v>
      </c>
      <c r="R3418">
        <v>1.5800000000000002E-2</v>
      </c>
      <c r="S3418">
        <v>1.6E-2</v>
      </c>
      <c r="T3418">
        <v>1.6199999999999999E-2</v>
      </c>
      <c r="U3418">
        <v>1.6400000000000001E-2</v>
      </c>
      <c r="V3418">
        <v>1.66E-2</v>
      </c>
      <c r="W3418">
        <v>1.67E-2</v>
      </c>
      <c r="X3418">
        <v>1.6899999999999998E-2</v>
      </c>
      <c r="Y3418">
        <v>1.72E-2</v>
      </c>
    </row>
    <row r="3419" spans="1:25" hidden="1">
      <c r="A3419" t="s">
        <v>18813</v>
      </c>
      <c r="B3419" t="s">
        <v>1135</v>
      </c>
      <c r="C3419" t="s">
        <v>1079</v>
      </c>
      <c r="D3419" t="s">
        <v>1134</v>
      </c>
      <c r="E3419" t="s">
        <v>1091</v>
      </c>
      <c r="F3419" t="s">
        <v>598</v>
      </c>
      <c r="G3419" t="s">
        <v>478</v>
      </c>
      <c r="H3419" t="s">
        <v>600</v>
      </c>
      <c r="I3419" t="s">
        <v>601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hidden="1">
      <c r="A3420" t="s">
        <v>18813</v>
      </c>
      <c r="B3420" t="s">
        <v>1136</v>
      </c>
      <c r="C3420" t="s">
        <v>1079</v>
      </c>
      <c r="D3420" t="s">
        <v>1134</v>
      </c>
      <c r="E3420" t="s">
        <v>1093</v>
      </c>
      <c r="F3420" t="s">
        <v>598</v>
      </c>
      <c r="G3420" t="s">
        <v>478</v>
      </c>
      <c r="H3420" t="s">
        <v>600</v>
      </c>
      <c r="I3420" t="s">
        <v>601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hidden="1">
      <c r="A3421" t="s">
        <v>18813</v>
      </c>
      <c r="B3421" t="s">
        <v>1137</v>
      </c>
      <c r="C3421" t="s">
        <v>1079</v>
      </c>
      <c r="D3421" t="s">
        <v>1134</v>
      </c>
      <c r="E3421" t="s">
        <v>1095</v>
      </c>
      <c r="F3421" t="s">
        <v>598</v>
      </c>
      <c r="G3421" t="s">
        <v>478</v>
      </c>
      <c r="H3421" t="s">
        <v>600</v>
      </c>
      <c r="I3421" t="s">
        <v>601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hidden="1">
      <c r="A3422" t="s">
        <v>18813</v>
      </c>
      <c r="B3422" t="s">
        <v>1138</v>
      </c>
      <c r="C3422" t="s">
        <v>1079</v>
      </c>
      <c r="D3422" t="s">
        <v>1134</v>
      </c>
      <c r="E3422" t="s">
        <v>1097</v>
      </c>
      <c r="F3422" t="s">
        <v>598</v>
      </c>
      <c r="G3422" t="s">
        <v>478</v>
      </c>
      <c r="H3422" t="s">
        <v>600</v>
      </c>
      <c r="I3422" t="s">
        <v>601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hidden="1">
      <c r="A3423" t="s">
        <v>18813</v>
      </c>
      <c r="B3423" t="s">
        <v>1144</v>
      </c>
      <c r="C3423" t="s">
        <v>1079</v>
      </c>
      <c r="D3423" t="s">
        <v>1145</v>
      </c>
      <c r="E3423" t="s">
        <v>1081</v>
      </c>
      <c r="F3423" t="s">
        <v>598</v>
      </c>
      <c r="G3423" t="s">
        <v>478</v>
      </c>
      <c r="H3423" t="s">
        <v>600</v>
      </c>
      <c r="I3423" t="s">
        <v>601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hidden="1">
      <c r="A3424" t="s">
        <v>18813</v>
      </c>
      <c r="B3424" t="s">
        <v>1146</v>
      </c>
      <c r="C3424" t="s">
        <v>1079</v>
      </c>
      <c r="D3424" t="s">
        <v>1145</v>
      </c>
      <c r="E3424" t="s">
        <v>1091</v>
      </c>
      <c r="F3424" t="s">
        <v>598</v>
      </c>
      <c r="G3424" t="s">
        <v>478</v>
      </c>
      <c r="H3424" t="s">
        <v>600</v>
      </c>
      <c r="I3424" t="s">
        <v>601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hidden="1">
      <c r="A3425" t="s">
        <v>18813</v>
      </c>
      <c r="B3425" t="s">
        <v>1147</v>
      </c>
      <c r="C3425" t="s">
        <v>1079</v>
      </c>
      <c r="D3425" t="s">
        <v>1145</v>
      </c>
      <c r="E3425" t="s">
        <v>1093</v>
      </c>
      <c r="F3425" t="s">
        <v>598</v>
      </c>
      <c r="G3425" t="s">
        <v>478</v>
      </c>
      <c r="H3425" t="s">
        <v>600</v>
      </c>
      <c r="I3425" t="s">
        <v>601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hidden="1">
      <c r="A3426" t="s">
        <v>18813</v>
      </c>
      <c r="B3426" t="s">
        <v>1148</v>
      </c>
      <c r="C3426" t="s">
        <v>1079</v>
      </c>
      <c r="D3426" t="s">
        <v>1145</v>
      </c>
      <c r="E3426" t="s">
        <v>1095</v>
      </c>
      <c r="F3426" t="s">
        <v>598</v>
      </c>
      <c r="G3426" t="s">
        <v>478</v>
      </c>
      <c r="H3426" t="s">
        <v>600</v>
      </c>
      <c r="I3426" t="s">
        <v>601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hidden="1">
      <c r="A3427" t="s">
        <v>18813</v>
      </c>
      <c r="B3427" t="s">
        <v>1149</v>
      </c>
      <c r="C3427" t="s">
        <v>1079</v>
      </c>
      <c r="D3427" t="s">
        <v>1145</v>
      </c>
      <c r="E3427" t="s">
        <v>1097</v>
      </c>
      <c r="F3427" t="s">
        <v>598</v>
      </c>
      <c r="G3427" t="s">
        <v>478</v>
      </c>
      <c r="H3427" t="s">
        <v>600</v>
      </c>
      <c r="I3427" t="s">
        <v>601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hidden="1">
      <c r="A3428" t="s">
        <v>18813</v>
      </c>
      <c r="B3428" t="s">
        <v>1150</v>
      </c>
      <c r="C3428" t="s">
        <v>1079</v>
      </c>
      <c r="D3428" t="s">
        <v>1145</v>
      </c>
      <c r="E3428" t="s">
        <v>1099</v>
      </c>
      <c r="F3428" t="s">
        <v>598</v>
      </c>
      <c r="G3428" t="s">
        <v>478</v>
      </c>
      <c r="H3428" t="s">
        <v>600</v>
      </c>
      <c r="I3428" t="s">
        <v>601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hidden="1">
      <c r="A3429" t="s">
        <v>18813</v>
      </c>
      <c r="B3429" t="s">
        <v>1151</v>
      </c>
      <c r="C3429" t="s">
        <v>1079</v>
      </c>
      <c r="D3429" t="s">
        <v>1145</v>
      </c>
      <c r="E3429" t="s">
        <v>1101</v>
      </c>
      <c r="F3429" t="s">
        <v>598</v>
      </c>
      <c r="G3429" t="s">
        <v>478</v>
      </c>
      <c r="H3429" t="s">
        <v>600</v>
      </c>
      <c r="I3429" t="s">
        <v>601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hidden="1">
      <c r="A3430" t="s">
        <v>18813</v>
      </c>
      <c r="B3430" t="s">
        <v>1152</v>
      </c>
      <c r="C3430" t="s">
        <v>1079</v>
      </c>
      <c r="D3430" t="s">
        <v>1145</v>
      </c>
      <c r="E3430" t="s">
        <v>1153</v>
      </c>
      <c r="F3430" t="s">
        <v>598</v>
      </c>
      <c r="G3430" t="s">
        <v>478</v>
      </c>
      <c r="H3430" t="s">
        <v>600</v>
      </c>
      <c r="I3430" t="s">
        <v>601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hidden="1">
      <c r="A3431" t="s">
        <v>18813</v>
      </c>
      <c r="B3431" t="s">
        <v>1154</v>
      </c>
      <c r="C3431" t="s">
        <v>1079</v>
      </c>
      <c r="D3431" t="s">
        <v>1145</v>
      </c>
      <c r="E3431" t="s">
        <v>1103</v>
      </c>
      <c r="F3431" t="s">
        <v>598</v>
      </c>
      <c r="G3431" t="s">
        <v>478</v>
      </c>
      <c r="H3431" t="s">
        <v>600</v>
      </c>
      <c r="I3431" t="s">
        <v>601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hidden="1">
      <c r="A3432" t="s">
        <v>18813</v>
      </c>
      <c r="B3432" t="s">
        <v>1155</v>
      </c>
      <c r="C3432" t="s">
        <v>1079</v>
      </c>
      <c r="D3432" t="s">
        <v>1156</v>
      </c>
      <c r="E3432" t="s">
        <v>1081</v>
      </c>
      <c r="F3432" t="s">
        <v>598</v>
      </c>
      <c r="G3432" t="s">
        <v>478</v>
      </c>
      <c r="H3432" t="s">
        <v>600</v>
      </c>
      <c r="I3432" t="s">
        <v>601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hidden="1">
      <c r="A3433" t="s">
        <v>18813</v>
      </c>
      <c r="B3433" t="s">
        <v>1158</v>
      </c>
      <c r="C3433" t="s">
        <v>1079</v>
      </c>
      <c r="D3433" t="s">
        <v>1156</v>
      </c>
      <c r="E3433" t="s">
        <v>1093</v>
      </c>
      <c r="F3433" t="s">
        <v>598</v>
      </c>
      <c r="G3433" t="s">
        <v>478</v>
      </c>
      <c r="H3433" t="s">
        <v>600</v>
      </c>
      <c r="I3433" t="s">
        <v>601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hidden="1">
      <c r="A3434" t="s">
        <v>18813</v>
      </c>
      <c r="B3434" t="s">
        <v>1159</v>
      </c>
      <c r="C3434" t="s">
        <v>1079</v>
      </c>
      <c r="D3434" t="s">
        <v>1156</v>
      </c>
      <c r="E3434" t="s">
        <v>1097</v>
      </c>
      <c r="F3434" t="s">
        <v>598</v>
      </c>
      <c r="G3434" t="s">
        <v>478</v>
      </c>
      <c r="H3434" t="s">
        <v>600</v>
      </c>
      <c r="I3434" t="s">
        <v>601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hidden="1">
      <c r="A3435" t="s">
        <v>18813</v>
      </c>
      <c r="B3435" t="s">
        <v>1160</v>
      </c>
      <c r="C3435" t="s">
        <v>1079</v>
      </c>
      <c r="D3435" t="s">
        <v>1156</v>
      </c>
      <c r="E3435" t="s">
        <v>1099</v>
      </c>
      <c r="F3435" t="s">
        <v>598</v>
      </c>
      <c r="G3435" t="s">
        <v>478</v>
      </c>
      <c r="H3435" t="s">
        <v>600</v>
      </c>
      <c r="I3435" t="s">
        <v>601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hidden="1">
      <c r="A3436" t="s">
        <v>18813</v>
      </c>
      <c r="B3436" t="s">
        <v>1161</v>
      </c>
      <c r="C3436" t="s">
        <v>1079</v>
      </c>
      <c r="D3436" t="s">
        <v>1156</v>
      </c>
      <c r="E3436" t="s">
        <v>1101</v>
      </c>
      <c r="F3436" t="s">
        <v>598</v>
      </c>
      <c r="G3436" t="s">
        <v>478</v>
      </c>
      <c r="H3436" t="s">
        <v>600</v>
      </c>
      <c r="I3436" t="s">
        <v>601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hidden="1">
      <c r="A3437" t="s">
        <v>18813</v>
      </c>
      <c r="B3437" t="s">
        <v>1163</v>
      </c>
      <c r="C3437" t="s">
        <v>1079</v>
      </c>
      <c r="D3437" t="s">
        <v>1164</v>
      </c>
      <c r="E3437" t="s">
        <v>1081</v>
      </c>
      <c r="F3437" t="s">
        <v>598</v>
      </c>
      <c r="G3437" t="s">
        <v>478</v>
      </c>
      <c r="H3437" t="s">
        <v>600</v>
      </c>
      <c r="I3437" t="s">
        <v>601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hidden="1">
      <c r="A3438" t="s">
        <v>18813</v>
      </c>
      <c r="B3438" t="s">
        <v>1165</v>
      </c>
      <c r="C3438" t="s">
        <v>1079</v>
      </c>
      <c r="D3438" t="s">
        <v>1164</v>
      </c>
      <c r="E3438" t="s">
        <v>1089</v>
      </c>
      <c r="F3438" t="s">
        <v>598</v>
      </c>
      <c r="G3438" t="s">
        <v>478</v>
      </c>
      <c r="H3438" t="s">
        <v>600</v>
      </c>
      <c r="I3438" t="s">
        <v>601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hidden="1">
      <c r="A3439" t="s">
        <v>18813</v>
      </c>
      <c r="B3439" t="s">
        <v>1167</v>
      </c>
      <c r="C3439" t="s">
        <v>1079</v>
      </c>
      <c r="D3439" t="s">
        <v>1164</v>
      </c>
      <c r="E3439" t="s">
        <v>1095</v>
      </c>
      <c r="F3439" t="s">
        <v>598</v>
      </c>
      <c r="G3439" t="s">
        <v>478</v>
      </c>
      <c r="H3439" t="s">
        <v>600</v>
      </c>
      <c r="I3439" t="s">
        <v>601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hidden="1">
      <c r="A3440" t="s">
        <v>18813</v>
      </c>
      <c r="B3440" t="s">
        <v>1168</v>
      </c>
      <c r="C3440" t="s">
        <v>1079</v>
      </c>
      <c r="D3440" t="s">
        <v>1164</v>
      </c>
      <c r="E3440" t="s">
        <v>1141</v>
      </c>
      <c r="F3440" t="s">
        <v>598</v>
      </c>
      <c r="G3440" t="s">
        <v>478</v>
      </c>
      <c r="H3440" t="s">
        <v>600</v>
      </c>
      <c r="I3440" t="s">
        <v>601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hidden="1">
      <c r="A3441" t="s">
        <v>18813</v>
      </c>
      <c r="B3441" t="s">
        <v>1169</v>
      </c>
      <c r="C3441" t="s">
        <v>1079</v>
      </c>
      <c r="D3441" t="s">
        <v>1164</v>
      </c>
      <c r="E3441" t="s">
        <v>1101</v>
      </c>
      <c r="F3441" t="s">
        <v>598</v>
      </c>
      <c r="G3441" t="s">
        <v>478</v>
      </c>
      <c r="H3441" t="s">
        <v>600</v>
      </c>
      <c r="I3441" t="s">
        <v>601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hidden="1">
      <c r="A3442" t="s">
        <v>18813</v>
      </c>
      <c r="B3442" t="s">
        <v>1171</v>
      </c>
      <c r="C3442" t="s">
        <v>1079</v>
      </c>
      <c r="D3442" t="s">
        <v>1172</v>
      </c>
      <c r="E3442" t="s">
        <v>1081</v>
      </c>
      <c r="F3442" t="s">
        <v>598</v>
      </c>
      <c r="G3442" t="s">
        <v>478</v>
      </c>
      <c r="H3442" t="s">
        <v>600</v>
      </c>
      <c r="I3442" t="s">
        <v>601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hidden="1">
      <c r="A3443" t="s">
        <v>18813</v>
      </c>
      <c r="B3443" t="s">
        <v>1173</v>
      </c>
      <c r="C3443" t="s">
        <v>1079</v>
      </c>
      <c r="D3443" t="s">
        <v>1172</v>
      </c>
      <c r="E3443" t="s">
        <v>1091</v>
      </c>
      <c r="F3443" t="s">
        <v>598</v>
      </c>
      <c r="G3443" t="s">
        <v>478</v>
      </c>
      <c r="H3443" t="s">
        <v>600</v>
      </c>
      <c r="I3443" t="s">
        <v>601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hidden="1">
      <c r="A3444" t="s">
        <v>18813</v>
      </c>
      <c r="B3444" t="s">
        <v>1175</v>
      </c>
      <c r="C3444" t="s">
        <v>1079</v>
      </c>
      <c r="D3444" t="s">
        <v>1172</v>
      </c>
      <c r="E3444" t="s">
        <v>1101</v>
      </c>
      <c r="F3444" t="s">
        <v>598</v>
      </c>
      <c r="G3444" t="s">
        <v>478</v>
      </c>
      <c r="H3444" t="s">
        <v>600</v>
      </c>
      <c r="I3444" t="s">
        <v>601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hidden="1">
      <c r="A3445" t="s">
        <v>18813</v>
      </c>
      <c r="B3445" t="s">
        <v>1176</v>
      </c>
      <c r="C3445" t="s">
        <v>1079</v>
      </c>
      <c r="D3445" t="s">
        <v>1172</v>
      </c>
      <c r="E3445" t="s">
        <v>1103</v>
      </c>
      <c r="F3445" t="s">
        <v>598</v>
      </c>
      <c r="G3445" t="s">
        <v>478</v>
      </c>
      <c r="H3445" t="s">
        <v>600</v>
      </c>
      <c r="I3445" t="s">
        <v>601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hidden="1">
      <c r="A3446" t="s">
        <v>18813</v>
      </c>
      <c r="B3446" t="s">
        <v>1177</v>
      </c>
      <c r="C3446" t="s">
        <v>1079</v>
      </c>
      <c r="D3446" t="s">
        <v>1178</v>
      </c>
      <c r="E3446" t="s">
        <v>1081</v>
      </c>
      <c r="F3446" t="s">
        <v>598</v>
      </c>
      <c r="G3446" t="s">
        <v>478</v>
      </c>
      <c r="H3446" t="s">
        <v>600</v>
      </c>
      <c r="I3446" t="s">
        <v>601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</row>
    <row r="3447" spans="1:25" hidden="1">
      <c r="A3447" t="s">
        <v>18813</v>
      </c>
      <c r="B3447" t="s">
        <v>1179</v>
      </c>
      <c r="C3447" t="s">
        <v>1079</v>
      </c>
      <c r="D3447" t="s">
        <v>1180</v>
      </c>
      <c r="E3447" t="s">
        <v>1081</v>
      </c>
      <c r="F3447" t="s">
        <v>598</v>
      </c>
      <c r="G3447" t="s">
        <v>478</v>
      </c>
      <c r="H3447" t="s">
        <v>600</v>
      </c>
      <c r="I3447" t="s">
        <v>601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hidden="1">
      <c r="A3448" t="s">
        <v>18813</v>
      </c>
      <c r="B3448" t="s">
        <v>1181</v>
      </c>
      <c r="C3448" t="s">
        <v>1079</v>
      </c>
      <c r="D3448" t="s">
        <v>1180</v>
      </c>
      <c r="E3448" t="s">
        <v>1091</v>
      </c>
      <c r="F3448" t="s">
        <v>598</v>
      </c>
      <c r="G3448" t="s">
        <v>478</v>
      </c>
      <c r="H3448" t="s">
        <v>600</v>
      </c>
      <c r="I3448" t="s">
        <v>601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hidden="1">
      <c r="A3449" t="s">
        <v>18813</v>
      </c>
      <c r="B3449" t="s">
        <v>1182</v>
      </c>
      <c r="C3449" t="s">
        <v>1079</v>
      </c>
      <c r="D3449" t="s">
        <v>1180</v>
      </c>
      <c r="E3449" t="s">
        <v>1095</v>
      </c>
      <c r="F3449" t="s">
        <v>598</v>
      </c>
      <c r="G3449" t="s">
        <v>478</v>
      </c>
      <c r="H3449" t="s">
        <v>600</v>
      </c>
      <c r="I3449" t="s">
        <v>601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hidden="1">
      <c r="A3450" t="s">
        <v>18813</v>
      </c>
      <c r="B3450" t="s">
        <v>1183</v>
      </c>
      <c r="C3450" t="s">
        <v>1079</v>
      </c>
      <c r="D3450" t="s">
        <v>1180</v>
      </c>
      <c r="E3450" t="s">
        <v>1097</v>
      </c>
      <c r="F3450" t="s">
        <v>598</v>
      </c>
      <c r="G3450" t="s">
        <v>478</v>
      </c>
      <c r="H3450" t="s">
        <v>600</v>
      </c>
      <c r="I3450" t="s">
        <v>601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hidden="1">
      <c r="A3451" t="s">
        <v>18813</v>
      </c>
      <c r="B3451" t="s">
        <v>1185</v>
      </c>
      <c r="C3451" t="s">
        <v>1079</v>
      </c>
      <c r="D3451" t="s">
        <v>1180</v>
      </c>
      <c r="E3451" t="s">
        <v>1101</v>
      </c>
      <c r="F3451" t="s">
        <v>598</v>
      </c>
      <c r="G3451" t="s">
        <v>478</v>
      </c>
      <c r="H3451" t="s">
        <v>600</v>
      </c>
      <c r="I3451" t="s">
        <v>601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hidden="1">
      <c r="A3452" t="s">
        <v>18813</v>
      </c>
      <c r="B3452" t="s">
        <v>1186</v>
      </c>
      <c r="C3452" t="s">
        <v>1079</v>
      </c>
      <c r="D3452" t="s">
        <v>1180</v>
      </c>
      <c r="E3452" t="s">
        <v>1103</v>
      </c>
      <c r="F3452" t="s">
        <v>598</v>
      </c>
      <c r="G3452" t="s">
        <v>478</v>
      </c>
      <c r="H3452" t="s">
        <v>600</v>
      </c>
      <c r="I3452" t="s">
        <v>601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hidden="1">
      <c r="A3453" t="s">
        <v>18813</v>
      </c>
      <c r="B3453" t="s">
        <v>1187</v>
      </c>
      <c r="C3453" t="s">
        <v>1079</v>
      </c>
      <c r="D3453" t="s">
        <v>1188</v>
      </c>
      <c r="E3453" t="s">
        <v>1018</v>
      </c>
      <c r="F3453" t="s">
        <v>598</v>
      </c>
      <c r="G3453" t="s">
        <v>478</v>
      </c>
      <c r="H3453" t="s">
        <v>600</v>
      </c>
      <c r="I3453" t="s">
        <v>601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hidden="1">
      <c r="A3454" t="s">
        <v>18813</v>
      </c>
      <c r="B3454" t="s">
        <v>1191</v>
      </c>
      <c r="C3454" t="s">
        <v>1079</v>
      </c>
      <c r="D3454" t="s">
        <v>1188</v>
      </c>
      <c r="E3454" t="s">
        <v>1192</v>
      </c>
      <c r="F3454" t="s">
        <v>598</v>
      </c>
      <c r="G3454" t="s">
        <v>478</v>
      </c>
      <c r="H3454" t="s">
        <v>600</v>
      </c>
      <c r="I3454" t="s">
        <v>601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hidden="1">
      <c r="A3455" t="s">
        <v>18813</v>
      </c>
      <c r="B3455" t="s">
        <v>1193</v>
      </c>
      <c r="C3455" t="s">
        <v>1079</v>
      </c>
      <c r="D3455" t="s">
        <v>1188</v>
      </c>
      <c r="E3455" t="s">
        <v>1194</v>
      </c>
      <c r="F3455" t="s">
        <v>598</v>
      </c>
      <c r="G3455" t="s">
        <v>478</v>
      </c>
      <c r="H3455" t="s">
        <v>600</v>
      </c>
      <c r="I3455" t="s">
        <v>601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hidden="1">
      <c r="A3456" t="s">
        <v>18813</v>
      </c>
      <c r="B3456" t="s">
        <v>1195</v>
      </c>
      <c r="C3456" t="s">
        <v>1079</v>
      </c>
      <c r="D3456" t="s">
        <v>1188</v>
      </c>
      <c r="E3456" t="s">
        <v>1196</v>
      </c>
      <c r="F3456" t="s">
        <v>598</v>
      </c>
      <c r="G3456" t="s">
        <v>478</v>
      </c>
      <c r="H3456" t="s">
        <v>600</v>
      </c>
      <c r="I3456" t="s">
        <v>601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hidden="1">
      <c r="A3457" t="s">
        <v>18813</v>
      </c>
      <c r="B3457" t="s">
        <v>1197</v>
      </c>
      <c r="C3457" t="s">
        <v>1079</v>
      </c>
      <c r="D3457" t="s">
        <v>1188</v>
      </c>
      <c r="E3457" t="s">
        <v>1198</v>
      </c>
      <c r="F3457" t="s">
        <v>598</v>
      </c>
      <c r="G3457" t="s">
        <v>478</v>
      </c>
      <c r="H3457" t="s">
        <v>600</v>
      </c>
      <c r="I3457" t="s">
        <v>601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hidden="1">
      <c r="A3458" t="s">
        <v>18813</v>
      </c>
      <c r="B3458" t="s">
        <v>1199</v>
      </c>
      <c r="C3458" t="s">
        <v>1079</v>
      </c>
      <c r="D3458" t="s">
        <v>1188</v>
      </c>
      <c r="E3458" t="s">
        <v>1200</v>
      </c>
      <c r="F3458" t="s">
        <v>598</v>
      </c>
      <c r="G3458" t="s">
        <v>478</v>
      </c>
      <c r="H3458" t="s">
        <v>600</v>
      </c>
      <c r="I3458" t="s">
        <v>601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hidden="1">
      <c r="A3459" t="s">
        <v>18813</v>
      </c>
      <c r="B3459" t="s">
        <v>1201</v>
      </c>
      <c r="C3459" t="s">
        <v>1079</v>
      </c>
      <c r="D3459" t="s">
        <v>1188</v>
      </c>
      <c r="E3459" t="s">
        <v>1202</v>
      </c>
      <c r="F3459" t="s">
        <v>598</v>
      </c>
      <c r="G3459" t="s">
        <v>478</v>
      </c>
      <c r="H3459" t="s">
        <v>600</v>
      </c>
      <c r="I3459" t="s">
        <v>601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hidden="1">
      <c r="A3460" t="s">
        <v>18813</v>
      </c>
      <c r="B3460" t="s">
        <v>1203</v>
      </c>
      <c r="C3460" t="s">
        <v>1079</v>
      </c>
      <c r="D3460" t="s">
        <v>1188</v>
      </c>
      <c r="E3460" t="s">
        <v>1028</v>
      </c>
      <c r="F3460" t="s">
        <v>598</v>
      </c>
      <c r="G3460" t="s">
        <v>478</v>
      </c>
      <c r="H3460" t="s">
        <v>600</v>
      </c>
      <c r="I3460" t="s">
        <v>601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hidden="1">
      <c r="A3461" t="s">
        <v>18813</v>
      </c>
      <c r="B3461" t="s">
        <v>1204</v>
      </c>
      <c r="C3461" t="s">
        <v>1079</v>
      </c>
      <c r="D3461" t="s">
        <v>1188</v>
      </c>
      <c r="E3461" t="s">
        <v>630</v>
      </c>
      <c r="F3461" t="s">
        <v>598</v>
      </c>
      <c r="G3461" t="s">
        <v>478</v>
      </c>
      <c r="H3461" t="s">
        <v>600</v>
      </c>
      <c r="I3461" t="s">
        <v>601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hidden="1">
      <c r="A3462" t="s">
        <v>18813</v>
      </c>
      <c r="B3462" t="s">
        <v>1207</v>
      </c>
      <c r="C3462" t="s">
        <v>1079</v>
      </c>
      <c r="D3462" t="s">
        <v>1188</v>
      </c>
      <c r="E3462" t="s">
        <v>1033</v>
      </c>
      <c r="F3462" t="s">
        <v>598</v>
      </c>
      <c r="G3462" t="s">
        <v>478</v>
      </c>
      <c r="H3462" t="s">
        <v>600</v>
      </c>
      <c r="I3462" t="s">
        <v>601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hidden="1">
      <c r="A3463" t="s">
        <v>18813</v>
      </c>
      <c r="B3463" t="s">
        <v>1208</v>
      </c>
      <c r="C3463" t="s">
        <v>1079</v>
      </c>
      <c r="D3463" t="s">
        <v>1188</v>
      </c>
      <c r="E3463" t="s">
        <v>1209</v>
      </c>
      <c r="F3463" t="s">
        <v>598</v>
      </c>
      <c r="G3463" t="s">
        <v>478</v>
      </c>
      <c r="H3463" t="s">
        <v>600</v>
      </c>
      <c r="I3463" t="s">
        <v>601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hidden="1">
      <c r="A3464" t="s">
        <v>18813</v>
      </c>
      <c r="B3464" t="s">
        <v>1210</v>
      </c>
      <c r="C3464" t="s">
        <v>1079</v>
      </c>
      <c r="D3464" t="s">
        <v>1188</v>
      </c>
      <c r="E3464" t="s">
        <v>1211</v>
      </c>
      <c r="F3464" t="s">
        <v>598</v>
      </c>
      <c r="G3464" t="s">
        <v>478</v>
      </c>
      <c r="H3464" t="s">
        <v>600</v>
      </c>
      <c r="I3464" t="s">
        <v>601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hidden="1">
      <c r="A3465" t="s">
        <v>18813</v>
      </c>
      <c r="B3465" t="s">
        <v>1212</v>
      </c>
      <c r="C3465" t="s">
        <v>1079</v>
      </c>
      <c r="D3465" t="s">
        <v>1188</v>
      </c>
      <c r="E3465" t="s">
        <v>1058</v>
      </c>
      <c r="F3465" t="s">
        <v>598</v>
      </c>
      <c r="G3465" t="s">
        <v>478</v>
      </c>
      <c r="H3465" t="s">
        <v>600</v>
      </c>
      <c r="I3465" t="s">
        <v>601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hidden="1">
      <c r="A3466" t="s">
        <v>18813</v>
      </c>
      <c r="B3466" t="s">
        <v>1213</v>
      </c>
      <c r="C3466" t="s">
        <v>1079</v>
      </c>
      <c r="D3466" t="s">
        <v>1188</v>
      </c>
      <c r="E3466" t="s">
        <v>1214</v>
      </c>
      <c r="F3466" t="s">
        <v>598</v>
      </c>
      <c r="G3466" t="s">
        <v>478</v>
      </c>
      <c r="H3466" t="s">
        <v>600</v>
      </c>
      <c r="I3466" t="s">
        <v>601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hidden="1">
      <c r="A3467" t="s">
        <v>18813</v>
      </c>
      <c r="B3467" t="s">
        <v>1215</v>
      </c>
      <c r="C3467" t="s">
        <v>1079</v>
      </c>
      <c r="D3467" t="s">
        <v>1188</v>
      </c>
      <c r="E3467" t="s">
        <v>1216</v>
      </c>
      <c r="F3467" t="s">
        <v>598</v>
      </c>
      <c r="G3467" t="s">
        <v>478</v>
      </c>
      <c r="H3467" t="s">
        <v>600</v>
      </c>
      <c r="I3467" t="s">
        <v>601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hidden="1">
      <c r="A3468" t="s">
        <v>18813</v>
      </c>
      <c r="B3468" t="s">
        <v>1217</v>
      </c>
      <c r="C3468" t="s">
        <v>1079</v>
      </c>
      <c r="D3468" t="s">
        <v>1188</v>
      </c>
      <c r="E3468" t="s">
        <v>1106</v>
      </c>
      <c r="F3468" t="s">
        <v>598</v>
      </c>
      <c r="G3468" t="s">
        <v>478</v>
      </c>
      <c r="H3468" t="s">
        <v>600</v>
      </c>
      <c r="I3468" t="s">
        <v>601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hidden="1">
      <c r="A3469" t="s">
        <v>18813</v>
      </c>
      <c r="B3469" t="s">
        <v>1218</v>
      </c>
      <c r="C3469" t="s">
        <v>1079</v>
      </c>
      <c r="D3469" t="s">
        <v>1188</v>
      </c>
      <c r="E3469" t="s">
        <v>1219</v>
      </c>
      <c r="F3469" t="s">
        <v>598</v>
      </c>
      <c r="G3469" t="s">
        <v>478</v>
      </c>
      <c r="H3469" t="s">
        <v>600</v>
      </c>
      <c r="I3469" t="s">
        <v>601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hidden="1">
      <c r="A3470" t="s">
        <v>18813</v>
      </c>
      <c r="B3470" t="s">
        <v>1220</v>
      </c>
      <c r="C3470" t="s">
        <v>1079</v>
      </c>
      <c r="D3470" t="s">
        <v>1188</v>
      </c>
      <c r="E3470" t="s">
        <v>1084</v>
      </c>
      <c r="F3470" t="s">
        <v>598</v>
      </c>
      <c r="G3470" t="s">
        <v>478</v>
      </c>
      <c r="H3470" t="s">
        <v>600</v>
      </c>
      <c r="I3470" t="s">
        <v>601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hidden="1">
      <c r="A3471" t="s">
        <v>18813</v>
      </c>
      <c r="B3471" t="s">
        <v>1221</v>
      </c>
      <c r="C3471" t="s">
        <v>1079</v>
      </c>
      <c r="D3471" t="s">
        <v>648</v>
      </c>
      <c r="E3471" t="s">
        <v>1081</v>
      </c>
      <c r="F3471" t="s">
        <v>598</v>
      </c>
      <c r="G3471" t="s">
        <v>478</v>
      </c>
      <c r="H3471" t="s">
        <v>600</v>
      </c>
      <c r="I3471" t="s">
        <v>601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hidden="1">
      <c r="A3472" t="s">
        <v>18813</v>
      </c>
      <c r="B3472" t="s">
        <v>1222</v>
      </c>
      <c r="C3472" t="s">
        <v>1079</v>
      </c>
      <c r="D3472" t="s">
        <v>648</v>
      </c>
      <c r="E3472" t="s">
        <v>1091</v>
      </c>
      <c r="F3472" t="s">
        <v>598</v>
      </c>
      <c r="G3472" t="s">
        <v>478</v>
      </c>
      <c r="H3472" t="s">
        <v>600</v>
      </c>
      <c r="I3472" t="s">
        <v>601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hidden="1">
      <c r="A3473" t="s">
        <v>18813</v>
      </c>
      <c r="B3473" t="s">
        <v>1223</v>
      </c>
      <c r="C3473" t="s">
        <v>1079</v>
      </c>
      <c r="D3473" t="s">
        <v>648</v>
      </c>
      <c r="E3473" t="s">
        <v>1093</v>
      </c>
      <c r="F3473" t="s">
        <v>598</v>
      </c>
      <c r="G3473" t="s">
        <v>478</v>
      </c>
      <c r="H3473" t="s">
        <v>600</v>
      </c>
      <c r="I3473" t="s">
        <v>601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hidden="1">
      <c r="A3474" t="s">
        <v>18813</v>
      </c>
      <c r="B3474" t="s">
        <v>1225</v>
      </c>
      <c r="C3474" t="s">
        <v>1079</v>
      </c>
      <c r="D3474" t="s">
        <v>648</v>
      </c>
      <c r="E3474" t="s">
        <v>1097</v>
      </c>
      <c r="F3474" t="s">
        <v>598</v>
      </c>
      <c r="G3474" t="s">
        <v>478</v>
      </c>
      <c r="H3474" t="s">
        <v>600</v>
      </c>
      <c r="I3474" t="s">
        <v>601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hidden="1">
      <c r="A3475" t="s">
        <v>18813</v>
      </c>
      <c r="B3475" t="s">
        <v>1226</v>
      </c>
      <c r="C3475" t="s">
        <v>1079</v>
      </c>
      <c r="D3475" t="s">
        <v>648</v>
      </c>
      <c r="E3475" t="s">
        <v>1099</v>
      </c>
      <c r="F3475" t="s">
        <v>598</v>
      </c>
      <c r="G3475" t="s">
        <v>478</v>
      </c>
      <c r="H3475" t="s">
        <v>600</v>
      </c>
      <c r="I3475" t="s">
        <v>601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hidden="1">
      <c r="A3476" t="s">
        <v>18813</v>
      </c>
      <c r="B3476" t="s">
        <v>1227</v>
      </c>
      <c r="C3476" t="s">
        <v>1079</v>
      </c>
      <c r="D3476" t="s">
        <v>648</v>
      </c>
      <c r="E3476" t="s">
        <v>1101</v>
      </c>
      <c r="F3476" t="s">
        <v>598</v>
      </c>
      <c r="G3476" t="s">
        <v>478</v>
      </c>
      <c r="H3476" t="s">
        <v>600</v>
      </c>
      <c r="I3476" t="s">
        <v>601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hidden="1">
      <c r="A3477" t="s">
        <v>18813</v>
      </c>
      <c r="B3477" t="s">
        <v>1228</v>
      </c>
      <c r="C3477" t="s">
        <v>1079</v>
      </c>
      <c r="D3477" t="s">
        <v>648</v>
      </c>
      <c r="E3477" t="s">
        <v>1103</v>
      </c>
      <c r="F3477" t="s">
        <v>598</v>
      </c>
      <c r="G3477" t="s">
        <v>478</v>
      </c>
      <c r="H3477" t="s">
        <v>600</v>
      </c>
      <c r="I3477" t="s">
        <v>601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hidden="1">
      <c r="A3478" t="s">
        <v>18813</v>
      </c>
      <c r="B3478" t="s">
        <v>1229</v>
      </c>
      <c r="C3478" t="s">
        <v>1230</v>
      </c>
      <c r="D3478" t="s">
        <v>1188</v>
      </c>
      <c r="E3478" t="s">
        <v>1198</v>
      </c>
      <c r="F3478" t="s">
        <v>598</v>
      </c>
      <c r="G3478" t="s">
        <v>478</v>
      </c>
      <c r="H3478" t="s">
        <v>600</v>
      </c>
      <c r="I3478" t="s">
        <v>601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hidden="1">
      <c r="A3479" t="s">
        <v>18813</v>
      </c>
      <c r="B3479" t="s">
        <v>1231</v>
      </c>
      <c r="C3479" t="s">
        <v>1230</v>
      </c>
      <c r="D3479" t="s">
        <v>1188</v>
      </c>
      <c r="E3479" t="s">
        <v>1028</v>
      </c>
      <c r="F3479" t="s">
        <v>598</v>
      </c>
      <c r="G3479" t="s">
        <v>478</v>
      </c>
      <c r="H3479" t="s">
        <v>600</v>
      </c>
      <c r="I3479" t="s">
        <v>601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 hidden="1">
      <c r="A3480" t="s">
        <v>18813</v>
      </c>
      <c r="B3480" t="s">
        <v>1232</v>
      </c>
      <c r="C3480" t="s">
        <v>1230</v>
      </c>
      <c r="D3480" t="s">
        <v>1188</v>
      </c>
      <c r="E3480" t="s">
        <v>1233</v>
      </c>
      <c r="F3480" t="s">
        <v>598</v>
      </c>
      <c r="G3480" t="s">
        <v>478</v>
      </c>
      <c r="H3480" t="s">
        <v>600</v>
      </c>
      <c r="I3480" t="s">
        <v>601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hidden="1">
      <c r="A3481" t="s">
        <v>18813</v>
      </c>
      <c r="B3481" t="s">
        <v>1235</v>
      </c>
      <c r="C3481" t="s">
        <v>1230</v>
      </c>
      <c r="D3481" t="s">
        <v>1188</v>
      </c>
      <c r="E3481" t="s">
        <v>1219</v>
      </c>
      <c r="F3481" t="s">
        <v>598</v>
      </c>
      <c r="G3481" t="s">
        <v>478</v>
      </c>
      <c r="H3481" t="s">
        <v>600</v>
      </c>
      <c r="I3481" t="s">
        <v>601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hidden="1">
      <c r="A3482" t="s">
        <v>18813</v>
      </c>
      <c r="B3482" t="s">
        <v>1237</v>
      </c>
      <c r="C3482" t="s">
        <v>1230</v>
      </c>
      <c r="D3482" t="s">
        <v>1238</v>
      </c>
      <c r="E3482" t="s">
        <v>1239</v>
      </c>
      <c r="F3482" t="s">
        <v>598</v>
      </c>
      <c r="G3482" t="s">
        <v>478</v>
      </c>
      <c r="H3482" t="s">
        <v>600</v>
      </c>
      <c r="I3482" t="s">
        <v>601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hidden="1">
      <c r="A3483" t="s">
        <v>18813</v>
      </c>
      <c r="B3483" t="s">
        <v>1240</v>
      </c>
      <c r="C3483" t="s">
        <v>1230</v>
      </c>
      <c r="D3483" t="s">
        <v>1241</v>
      </c>
      <c r="E3483" t="s">
        <v>1239</v>
      </c>
      <c r="F3483" t="s">
        <v>598</v>
      </c>
      <c r="G3483" t="s">
        <v>478</v>
      </c>
      <c r="H3483" t="s">
        <v>600</v>
      </c>
      <c r="I3483" t="s">
        <v>601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hidden="1">
      <c r="A3484" t="s">
        <v>18813</v>
      </c>
      <c r="B3484" t="s">
        <v>1244</v>
      </c>
      <c r="C3484" t="s">
        <v>1230</v>
      </c>
      <c r="D3484" t="s">
        <v>1243</v>
      </c>
      <c r="E3484" t="s">
        <v>1239</v>
      </c>
      <c r="F3484" t="s">
        <v>598</v>
      </c>
      <c r="G3484" t="s">
        <v>478</v>
      </c>
      <c r="H3484" t="s">
        <v>600</v>
      </c>
      <c r="I3484" t="s">
        <v>601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hidden="1">
      <c r="A3485" t="s">
        <v>18813</v>
      </c>
      <c r="B3485" t="s">
        <v>1245</v>
      </c>
      <c r="C3485" t="s">
        <v>1230</v>
      </c>
      <c r="D3485" t="s">
        <v>1246</v>
      </c>
      <c r="E3485" t="s">
        <v>1084</v>
      </c>
      <c r="F3485" t="s">
        <v>598</v>
      </c>
      <c r="G3485" t="s">
        <v>478</v>
      </c>
      <c r="H3485" t="s">
        <v>600</v>
      </c>
      <c r="I3485" t="s">
        <v>601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hidden="1">
      <c r="A3486" t="s">
        <v>18813</v>
      </c>
      <c r="B3486" t="s">
        <v>1247</v>
      </c>
      <c r="C3486" t="s">
        <v>1230</v>
      </c>
      <c r="D3486" t="s">
        <v>1246</v>
      </c>
      <c r="E3486" t="s">
        <v>1239</v>
      </c>
      <c r="F3486" t="s">
        <v>598</v>
      </c>
      <c r="G3486" t="s">
        <v>478</v>
      </c>
      <c r="H3486" t="s">
        <v>600</v>
      </c>
      <c r="I3486" t="s">
        <v>601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hidden="1">
      <c r="A3487" t="s">
        <v>18813</v>
      </c>
      <c r="B3487" t="s">
        <v>1248</v>
      </c>
      <c r="C3487" t="s">
        <v>1230</v>
      </c>
      <c r="D3487" t="s">
        <v>1249</v>
      </c>
      <c r="E3487" t="s">
        <v>1239</v>
      </c>
      <c r="F3487" t="s">
        <v>598</v>
      </c>
      <c r="G3487" t="s">
        <v>478</v>
      </c>
      <c r="H3487" t="s">
        <v>600</v>
      </c>
      <c r="I3487" t="s">
        <v>601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hidden="1">
      <c r="A3488" t="s">
        <v>18813</v>
      </c>
      <c r="B3488" t="s">
        <v>1250</v>
      </c>
      <c r="C3488" t="s">
        <v>1230</v>
      </c>
      <c r="D3488" t="s">
        <v>648</v>
      </c>
      <c r="E3488" t="s">
        <v>1004</v>
      </c>
      <c r="F3488" t="s">
        <v>598</v>
      </c>
      <c r="G3488" t="s">
        <v>478</v>
      </c>
      <c r="H3488" t="s">
        <v>600</v>
      </c>
      <c r="I3488" t="s">
        <v>601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hidden="1">
      <c r="A3489" t="s">
        <v>18813</v>
      </c>
      <c r="B3489" t="s">
        <v>1251</v>
      </c>
      <c r="C3489" t="s">
        <v>1230</v>
      </c>
      <c r="D3489" t="s">
        <v>648</v>
      </c>
      <c r="E3489" t="s">
        <v>1239</v>
      </c>
      <c r="F3489" t="s">
        <v>598</v>
      </c>
      <c r="G3489" t="s">
        <v>478</v>
      </c>
      <c r="H3489" t="s">
        <v>600</v>
      </c>
      <c r="I3489" t="s">
        <v>601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hidden="1">
      <c r="A3490" t="s">
        <v>18813</v>
      </c>
      <c r="B3490" t="s">
        <v>1252</v>
      </c>
      <c r="C3490" t="s">
        <v>1253</v>
      </c>
      <c r="D3490" t="s">
        <v>1254</v>
      </c>
      <c r="E3490" t="s">
        <v>1255</v>
      </c>
      <c r="F3490" t="s">
        <v>598</v>
      </c>
      <c r="G3490" t="s">
        <v>478</v>
      </c>
      <c r="H3490" t="s">
        <v>600</v>
      </c>
      <c r="I3490" t="s">
        <v>601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hidden="1">
      <c r="A3491" t="s">
        <v>18813</v>
      </c>
      <c r="B3491" t="s">
        <v>1256</v>
      </c>
      <c r="C3491" t="s">
        <v>1253</v>
      </c>
      <c r="D3491" t="s">
        <v>1254</v>
      </c>
      <c r="E3491" t="s">
        <v>1257</v>
      </c>
      <c r="F3491" t="s">
        <v>598</v>
      </c>
      <c r="G3491" t="s">
        <v>478</v>
      </c>
      <c r="H3491" t="s">
        <v>600</v>
      </c>
      <c r="I3491" t="s">
        <v>601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hidden="1">
      <c r="A3492" t="s">
        <v>18813</v>
      </c>
      <c r="B3492" t="s">
        <v>1258</v>
      </c>
      <c r="C3492" t="s">
        <v>1253</v>
      </c>
      <c r="D3492" t="s">
        <v>1254</v>
      </c>
      <c r="E3492" t="s">
        <v>1259</v>
      </c>
      <c r="F3492" t="s">
        <v>598</v>
      </c>
      <c r="G3492" t="s">
        <v>478</v>
      </c>
      <c r="H3492" t="s">
        <v>600</v>
      </c>
      <c r="I3492" t="s">
        <v>601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hidden="1">
      <c r="A3493" t="s">
        <v>18813</v>
      </c>
      <c r="B3493" t="s">
        <v>1260</v>
      </c>
      <c r="C3493" t="s">
        <v>1261</v>
      </c>
      <c r="D3493" t="s">
        <v>648</v>
      </c>
      <c r="E3493" t="s">
        <v>920</v>
      </c>
      <c r="F3493" t="s">
        <v>598</v>
      </c>
      <c r="G3493" t="s">
        <v>478</v>
      </c>
      <c r="H3493" t="s">
        <v>600</v>
      </c>
      <c r="I3493" t="s">
        <v>601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hidden="1">
      <c r="A3494" t="s">
        <v>18813</v>
      </c>
      <c r="B3494" t="s">
        <v>1263</v>
      </c>
      <c r="C3494" t="s">
        <v>1261</v>
      </c>
      <c r="D3494" t="s">
        <v>648</v>
      </c>
      <c r="E3494" t="s">
        <v>1264</v>
      </c>
      <c r="F3494" t="s">
        <v>598</v>
      </c>
      <c r="G3494" t="s">
        <v>478</v>
      </c>
      <c r="H3494" t="s">
        <v>600</v>
      </c>
      <c r="I3494" t="s">
        <v>601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</row>
    <row r="3495" spans="1:25" hidden="1">
      <c r="A3495" t="s">
        <v>18813</v>
      </c>
      <c r="B3495" t="s">
        <v>1265</v>
      </c>
      <c r="C3495" t="s">
        <v>1261</v>
      </c>
      <c r="D3495" t="s">
        <v>648</v>
      </c>
      <c r="E3495" t="s">
        <v>1004</v>
      </c>
      <c r="F3495" t="s">
        <v>598</v>
      </c>
      <c r="G3495" t="s">
        <v>478</v>
      </c>
      <c r="H3495" t="s">
        <v>600</v>
      </c>
      <c r="I3495" t="s">
        <v>601</v>
      </c>
      <c r="J3495">
        <v>2.7199999999999998E-2</v>
      </c>
      <c r="K3495">
        <v>2.7099999999999999E-2</v>
      </c>
      <c r="L3495">
        <v>2.7E-2</v>
      </c>
      <c r="M3495">
        <v>2.7E-2</v>
      </c>
      <c r="N3495">
        <v>2.69E-2</v>
      </c>
      <c r="O3495">
        <v>2.69E-2</v>
      </c>
      <c r="P3495">
        <v>2.6700000000000002E-2</v>
      </c>
      <c r="Q3495">
        <v>2.6599999999999999E-2</v>
      </c>
      <c r="R3495">
        <v>2.63E-2</v>
      </c>
      <c r="S3495">
        <v>2.6499999999999999E-2</v>
      </c>
      <c r="T3495">
        <v>2.6700000000000002E-2</v>
      </c>
      <c r="U3495">
        <v>2.6800000000000001E-2</v>
      </c>
      <c r="V3495">
        <v>2.7099999999999999E-2</v>
      </c>
      <c r="W3495">
        <v>2.7199999999999998E-2</v>
      </c>
      <c r="X3495">
        <v>2.7400000000000001E-2</v>
      </c>
      <c r="Y3495">
        <v>2.75E-2</v>
      </c>
    </row>
    <row r="3496" spans="1:25" hidden="1">
      <c r="A3496" t="s">
        <v>18813</v>
      </c>
      <c r="B3496" t="s">
        <v>1269</v>
      </c>
      <c r="C3496" t="s">
        <v>1267</v>
      </c>
      <c r="D3496" t="s">
        <v>1268</v>
      </c>
      <c r="E3496" t="s">
        <v>678</v>
      </c>
      <c r="F3496" t="s">
        <v>598</v>
      </c>
      <c r="G3496" t="s">
        <v>478</v>
      </c>
      <c r="H3496" t="s">
        <v>600</v>
      </c>
      <c r="I3496" t="s">
        <v>601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hidden="1">
      <c r="A3497" t="s">
        <v>18813</v>
      </c>
      <c r="B3497" t="s">
        <v>1272</v>
      </c>
      <c r="C3497" t="s">
        <v>1267</v>
      </c>
      <c r="D3497" t="s">
        <v>1271</v>
      </c>
      <c r="E3497" t="s">
        <v>678</v>
      </c>
      <c r="F3497" t="s">
        <v>598</v>
      </c>
      <c r="G3497" t="s">
        <v>478</v>
      </c>
      <c r="H3497" t="s">
        <v>600</v>
      </c>
      <c r="I3497" t="s">
        <v>601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hidden="1">
      <c r="A3498" t="s">
        <v>18813</v>
      </c>
      <c r="B3498" t="s">
        <v>1273</v>
      </c>
      <c r="C3498" t="s">
        <v>1267</v>
      </c>
      <c r="D3498" t="s">
        <v>1274</v>
      </c>
      <c r="E3498" t="s">
        <v>672</v>
      </c>
      <c r="F3498" t="s">
        <v>598</v>
      </c>
      <c r="G3498" t="s">
        <v>478</v>
      </c>
      <c r="H3498" t="s">
        <v>600</v>
      </c>
      <c r="I3498" t="s">
        <v>601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hidden="1">
      <c r="A3499" t="s">
        <v>18813</v>
      </c>
      <c r="B3499" t="s">
        <v>1275</v>
      </c>
      <c r="C3499" t="s">
        <v>1267</v>
      </c>
      <c r="D3499" t="s">
        <v>1274</v>
      </c>
      <c r="E3499" t="s">
        <v>597</v>
      </c>
      <c r="F3499" t="s">
        <v>598</v>
      </c>
      <c r="G3499" t="s">
        <v>478</v>
      </c>
      <c r="H3499" t="s">
        <v>600</v>
      </c>
      <c r="I3499" t="s">
        <v>601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25" hidden="1">
      <c r="A3500" t="s">
        <v>18813</v>
      </c>
      <c r="B3500" t="s">
        <v>1276</v>
      </c>
      <c r="C3500" t="s">
        <v>1267</v>
      </c>
      <c r="D3500" t="s">
        <v>1274</v>
      </c>
      <c r="E3500" t="s">
        <v>678</v>
      </c>
      <c r="F3500" t="s">
        <v>598</v>
      </c>
      <c r="G3500" t="s">
        <v>478</v>
      </c>
      <c r="H3500" t="s">
        <v>600</v>
      </c>
      <c r="I3500" t="s">
        <v>601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hidden="1">
      <c r="A3501" t="s">
        <v>18813</v>
      </c>
      <c r="B3501" t="s">
        <v>1277</v>
      </c>
      <c r="C3501" t="s">
        <v>1267</v>
      </c>
      <c r="D3501" t="s">
        <v>1278</v>
      </c>
      <c r="E3501" t="s">
        <v>672</v>
      </c>
      <c r="F3501" t="s">
        <v>598</v>
      </c>
      <c r="G3501" t="s">
        <v>478</v>
      </c>
      <c r="H3501" t="s">
        <v>600</v>
      </c>
      <c r="I3501" t="s">
        <v>601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hidden="1">
      <c r="A3502" t="s">
        <v>18813</v>
      </c>
      <c r="B3502" t="s">
        <v>1279</v>
      </c>
      <c r="C3502" t="s">
        <v>1267</v>
      </c>
      <c r="D3502" t="s">
        <v>1278</v>
      </c>
      <c r="E3502" t="s">
        <v>678</v>
      </c>
      <c r="F3502" t="s">
        <v>598</v>
      </c>
      <c r="G3502" t="s">
        <v>478</v>
      </c>
      <c r="H3502" t="s">
        <v>600</v>
      </c>
      <c r="I3502" t="s">
        <v>601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hidden="1">
      <c r="A3503" t="s">
        <v>18813</v>
      </c>
      <c r="B3503" t="s">
        <v>1280</v>
      </c>
      <c r="C3503" t="s">
        <v>1267</v>
      </c>
      <c r="D3503" t="s">
        <v>1281</v>
      </c>
      <c r="E3503" t="s">
        <v>672</v>
      </c>
      <c r="F3503" t="s">
        <v>598</v>
      </c>
      <c r="G3503" t="s">
        <v>478</v>
      </c>
      <c r="H3503" t="s">
        <v>600</v>
      </c>
      <c r="I3503" t="s">
        <v>601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hidden="1">
      <c r="A3504" t="s">
        <v>18813</v>
      </c>
      <c r="B3504" t="s">
        <v>1283</v>
      </c>
      <c r="C3504" t="s">
        <v>1267</v>
      </c>
      <c r="D3504" t="s">
        <v>1281</v>
      </c>
      <c r="E3504" t="s">
        <v>678</v>
      </c>
      <c r="F3504" t="s">
        <v>598</v>
      </c>
      <c r="G3504" t="s">
        <v>478</v>
      </c>
      <c r="H3504" t="s">
        <v>600</v>
      </c>
      <c r="I3504" t="s">
        <v>601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hidden="1">
      <c r="A3505" t="s">
        <v>18813</v>
      </c>
      <c r="B3505" t="s">
        <v>1284</v>
      </c>
      <c r="C3505" t="s">
        <v>1267</v>
      </c>
      <c r="D3505" t="s">
        <v>1285</v>
      </c>
      <c r="E3505" t="s">
        <v>678</v>
      </c>
      <c r="F3505" t="s">
        <v>598</v>
      </c>
      <c r="G3505" t="s">
        <v>478</v>
      </c>
      <c r="H3505" t="s">
        <v>600</v>
      </c>
      <c r="I3505" t="s">
        <v>601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hidden="1">
      <c r="A3506" t="s">
        <v>18813</v>
      </c>
      <c r="B3506" t="s">
        <v>1288</v>
      </c>
      <c r="C3506" t="s">
        <v>1267</v>
      </c>
      <c r="D3506" t="s">
        <v>1287</v>
      </c>
      <c r="E3506" t="s">
        <v>678</v>
      </c>
      <c r="F3506" t="s">
        <v>598</v>
      </c>
      <c r="G3506" t="s">
        <v>478</v>
      </c>
      <c r="H3506" t="s">
        <v>600</v>
      </c>
      <c r="I3506" t="s">
        <v>601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hidden="1">
      <c r="A3507" t="s">
        <v>18813</v>
      </c>
      <c r="B3507" t="s">
        <v>1289</v>
      </c>
      <c r="C3507" t="s">
        <v>1267</v>
      </c>
      <c r="D3507" t="s">
        <v>1290</v>
      </c>
      <c r="E3507" t="s">
        <v>597</v>
      </c>
      <c r="F3507" t="s">
        <v>598</v>
      </c>
      <c r="G3507" t="s">
        <v>478</v>
      </c>
      <c r="H3507" t="s">
        <v>600</v>
      </c>
      <c r="I3507" t="s">
        <v>601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hidden="1">
      <c r="A3508" t="s">
        <v>18813</v>
      </c>
      <c r="B3508" t="s">
        <v>1291</v>
      </c>
      <c r="C3508" t="s">
        <v>1267</v>
      </c>
      <c r="D3508" t="s">
        <v>1290</v>
      </c>
      <c r="E3508" t="s">
        <v>678</v>
      </c>
      <c r="F3508" t="s">
        <v>598</v>
      </c>
      <c r="G3508" t="s">
        <v>478</v>
      </c>
      <c r="H3508" t="s">
        <v>600</v>
      </c>
      <c r="I3508" t="s">
        <v>601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hidden="1">
      <c r="A3509" t="s">
        <v>18813</v>
      </c>
      <c r="B3509" t="s">
        <v>1292</v>
      </c>
      <c r="C3509" t="s">
        <v>1267</v>
      </c>
      <c r="D3509" t="s">
        <v>1293</v>
      </c>
      <c r="E3509" t="s">
        <v>672</v>
      </c>
      <c r="F3509" t="s">
        <v>598</v>
      </c>
      <c r="G3509" t="s">
        <v>478</v>
      </c>
      <c r="H3509" t="s">
        <v>600</v>
      </c>
      <c r="I3509" t="s">
        <v>601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hidden="1">
      <c r="A3510" t="s">
        <v>18813</v>
      </c>
      <c r="B3510" t="s">
        <v>1294</v>
      </c>
      <c r="C3510" t="s">
        <v>1267</v>
      </c>
      <c r="D3510" t="s">
        <v>1293</v>
      </c>
      <c r="E3510" t="s">
        <v>678</v>
      </c>
      <c r="F3510" t="s">
        <v>598</v>
      </c>
      <c r="G3510" t="s">
        <v>478</v>
      </c>
      <c r="H3510" t="s">
        <v>600</v>
      </c>
      <c r="I3510" t="s">
        <v>601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hidden="1">
      <c r="A3511" t="s">
        <v>18813</v>
      </c>
      <c r="B3511" t="s">
        <v>1295</v>
      </c>
      <c r="C3511" t="s">
        <v>1267</v>
      </c>
      <c r="D3511" t="s">
        <v>1296</v>
      </c>
      <c r="E3511" t="s">
        <v>678</v>
      </c>
      <c r="F3511" t="s">
        <v>598</v>
      </c>
      <c r="G3511" t="s">
        <v>478</v>
      </c>
      <c r="H3511" t="s">
        <v>600</v>
      </c>
      <c r="I3511" t="s">
        <v>601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</row>
    <row r="3512" spans="1:25" hidden="1">
      <c r="A3512" t="s">
        <v>18813</v>
      </c>
      <c r="B3512" t="s">
        <v>1297</v>
      </c>
      <c r="C3512" t="s">
        <v>1267</v>
      </c>
      <c r="D3512" t="s">
        <v>1298</v>
      </c>
      <c r="E3512" t="s">
        <v>672</v>
      </c>
      <c r="F3512" t="s">
        <v>598</v>
      </c>
      <c r="G3512" t="s">
        <v>478</v>
      </c>
      <c r="H3512" t="s">
        <v>600</v>
      </c>
      <c r="I3512" t="s">
        <v>601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hidden="1">
      <c r="A3513" t="s">
        <v>18813</v>
      </c>
      <c r="B3513" t="s">
        <v>1299</v>
      </c>
      <c r="C3513" t="s">
        <v>1267</v>
      </c>
      <c r="D3513" t="s">
        <v>1300</v>
      </c>
      <c r="E3513" t="s">
        <v>678</v>
      </c>
      <c r="F3513" t="s">
        <v>598</v>
      </c>
      <c r="G3513" t="s">
        <v>478</v>
      </c>
      <c r="H3513" t="s">
        <v>600</v>
      </c>
      <c r="I3513" t="s">
        <v>601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hidden="1">
      <c r="A3514" t="s">
        <v>18813</v>
      </c>
      <c r="B3514" t="s">
        <v>1301</v>
      </c>
      <c r="C3514" t="s">
        <v>1267</v>
      </c>
      <c r="D3514" t="s">
        <v>1302</v>
      </c>
      <c r="E3514" t="s">
        <v>672</v>
      </c>
      <c r="F3514" t="s">
        <v>598</v>
      </c>
      <c r="G3514" t="s">
        <v>478</v>
      </c>
      <c r="H3514" t="s">
        <v>600</v>
      </c>
      <c r="I3514" t="s">
        <v>601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hidden="1">
      <c r="A3515" t="s">
        <v>18813</v>
      </c>
      <c r="B3515" t="s">
        <v>1303</v>
      </c>
      <c r="C3515" t="s">
        <v>1267</v>
      </c>
      <c r="D3515" t="s">
        <v>1302</v>
      </c>
      <c r="E3515" t="s">
        <v>678</v>
      </c>
      <c r="F3515" t="s">
        <v>598</v>
      </c>
      <c r="G3515" t="s">
        <v>478</v>
      </c>
      <c r="H3515" t="s">
        <v>600</v>
      </c>
      <c r="I3515" t="s">
        <v>601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hidden="1">
      <c r="A3516" t="s">
        <v>18813</v>
      </c>
      <c r="B3516" t="s">
        <v>1304</v>
      </c>
      <c r="C3516" t="s">
        <v>1267</v>
      </c>
      <c r="D3516" t="s">
        <v>1305</v>
      </c>
      <c r="E3516" t="s">
        <v>672</v>
      </c>
      <c r="F3516" t="s">
        <v>598</v>
      </c>
      <c r="G3516" t="s">
        <v>478</v>
      </c>
      <c r="H3516" t="s">
        <v>600</v>
      </c>
      <c r="I3516" t="s">
        <v>601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hidden="1">
      <c r="A3517" t="s">
        <v>18813</v>
      </c>
      <c r="B3517" t="s">
        <v>1307</v>
      </c>
      <c r="C3517" t="s">
        <v>1267</v>
      </c>
      <c r="D3517" t="s">
        <v>1305</v>
      </c>
      <c r="E3517" t="s">
        <v>678</v>
      </c>
      <c r="F3517" t="s">
        <v>598</v>
      </c>
      <c r="G3517" t="s">
        <v>478</v>
      </c>
      <c r="H3517" t="s">
        <v>600</v>
      </c>
      <c r="I3517" t="s">
        <v>601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hidden="1">
      <c r="A3518" t="s">
        <v>18813</v>
      </c>
      <c r="B3518" t="s">
        <v>1308</v>
      </c>
      <c r="C3518" t="s">
        <v>1267</v>
      </c>
      <c r="D3518" t="s">
        <v>1309</v>
      </c>
      <c r="E3518" t="s">
        <v>672</v>
      </c>
      <c r="F3518" t="s">
        <v>598</v>
      </c>
      <c r="G3518" t="s">
        <v>478</v>
      </c>
      <c r="H3518" t="s">
        <v>600</v>
      </c>
      <c r="I3518" t="s">
        <v>601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hidden="1">
      <c r="A3519" t="s">
        <v>18813</v>
      </c>
      <c r="B3519" t="s">
        <v>1314</v>
      </c>
      <c r="C3519" t="s">
        <v>1267</v>
      </c>
      <c r="D3519" t="s">
        <v>1311</v>
      </c>
      <c r="E3519" t="s">
        <v>678</v>
      </c>
      <c r="F3519" t="s">
        <v>598</v>
      </c>
      <c r="G3519" t="s">
        <v>478</v>
      </c>
      <c r="H3519" t="s">
        <v>600</v>
      </c>
      <c r="I3519" t="s">
        <v>601</v>
      </c>
      <c r="J3519">
        <v>2.0000000000000001E-4</v>
      </c>
      <c r="K3519">
        <v>2.0000000000000001E-4</v>
      </c>
      <c r="L3519">
        <v>2.0000000000000001E-4</v>
      </c>
      <c r="M3519">
        <v>2.0000000000000001E-4</v>
      </c>
      <c r="N3519">
        <v>2.0000000000000001E-4</v>
      </c>
      <c r="O3519">
        <v>2.0000000000000001E-4</v>
      </c>
      <c r="P3519">
        <v>2.0000000000000001E-4</v>
      </c>
      <c r="Q3519">
        <v>2.0000000000000001E-4</v>
      </c>
      <c r="R3519">
        <v>2.0000000000000001E-4</v>
      </c>
      <c r="S3519">
        <v>2.0000000000000001E-4</v>
      </c>
      <c r="T3519">
        <v>2.0000000000000001E-4</v>
      </c>
      <c r="U3519">
        <v>2.0000000000000001E-4</v>
      </c>
      <c r="V3519">
        <v>2.0000000000000001E-4</v>
      </c>
      <c r="W3519">
        <v>2.0000000000000001E-4</v>
      </c>
      <c r="X3519">
        <v>2.0000000000000001E-4</v>
      </c>
      <c r="Y3519">
        <v>2.0000000000000001E-4</v>
      </c>
    </row>
    <row r="3520" spans="1:25" hidden="1">
      <c r="A3520" t="s">
        <v>18813</v>
      </c>
      <c r="B3520" t="s">
        <v>1317</v>
      </c>
      <c r="C3520" t="s">
        <v>1267</v>
      </c>
      <c r="D3520" t="s">
        <v>1316</v>
      </c>
      <c r="E3520" t="s">
        <v>1318</v>
      </c>
      <c r="F3520" t="s">
        <v>598</v>
      </c>
      <c r="G3520" t="s">
        <v>478</v>
      </c>
      <c r="H3520" t="s">
        <v>600</v>
      </c>
      <c r="I3520" t="s">
        <v>601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hidden="1">
      <c r="A3521" t="s">
        <v>18813</v>
      </c>
      <c r="B3521" t="s">
        <v>1319</v>
      </c>
      <c r="C3521" t="s">
        <v>1267</v>
      </c>
      <c r="D3521" t="s">
        <v>1320</v>
      </c>
      <c r="E3521" t="s">
        <v>678</v>
      </c>
      <c r="F3521" t="s">
        <v>598</v>
      </c>
      <c r="G3521" t="s">
        <v>478</v>
      </c>
      <c r="H3521" t="s">
        <v>600</v>
      </c>
      <c r="I3521" t="s">
        <v>601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hidden="1">
      <c r="A3522" t="s">
        <v>18813</v>
      </c>
      <c r="B3522" t="s">
        <v>1321</v>
      </c>
      <c r="C3522" t="s">
        <v>1267</v>
      </c>
      <c r="D3522" t="s">
        <v>1322</v>
      </c>
      <c r="E3522" t="s">
        <v>672</v>
      </c>
      <c r="F3522" t="s">
        <v>598</v>
      </c>
      <c r="G3522" t="s">
        <v>478</v>
      </c>
      <c r="H3522" t="s">
        <v>600</v>
      </c>
      <c r="I3522" t="s">
        <v>601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hidden="1">
      <c r="A3523" t="s">
        <v>18813</v>
      </c>
      <c r="B3523" t="s">
        <v>1325</v>
      </c>
      <c r="C3523" t="s">
        <v>1267</v>
      </c>
      <c r="D3523" t="s">
        <v>1324</v>
      </c>
      <c r="E3523" t="s">
        <v>1326</v>
      </c>
      <c r="F3523" t="s">
        <v>598</v>
      </c>
      <c r="G3523" t="s">
        <v>478</v>
      </c>
      <c r="H3523" t="s">
        <v>600</v>
      </c>
      <c r="I3523" t="s">
        <v>601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hidden="1">
      <c r="A3524" t="s">
        <v>18813</v>
      </c>
      <c r="B3524" t="s">
        <v>1329</v>
      </c>
      <c r="C3524" t="s">
        <v>1267</v>
      </c>
      <c r="D3524" t="s">
        <v>1324</v>
      </c>
      <c r="E3524" t="s">
        <v>1318</v>
      </c>
      <c r="F3524" t="s">
        <v>598</v>
      </c>
      <c r="G3524" t="s">
        <v>478</v>
      </c>
      <c r="H3524" t="s">
        <v>600</v>
      </c>
      <c r="I3524" t="s">
        <v>601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hidden="1">
      <c r="A3525" t="s">
        <v>18813</v>
      </c>
      <c r="B3525" t="s">
        <v>1330</v>
      </c>
      <c r="C3525" t="s">
        <v>1267</v>
      </c>
      <c r="D3525" t="s">
        <v>1324</v>
      </c>
      <c r="E3525" t="s">
        <v>954</v>
      </c>
      <c r="F3525" t="s">
        <v>598</v>
      </c>
      <c r="G3525" t="s">
        <v>478</v>
      </c>
      <c r="H3525" t="s">
        <v>600</v>
      </c>
      <c r="I3525" t="s">
        <v>601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hidden="1">
      <c r="A3526" t="s">
        <v>18813</v>
      </c>
      <c r="B3526" t="s">
        <v>1335</v>
      </c>
      <c r="C3526" t="s">
        <v>1267</v>
      </c>
      <c r="D3526" t="s">
        <v>1332</v>
      </c>
      <c r="E3526" t="s">
        <v>1326</v>
      </c>
      <c r="F3526" t="s">
        <v>598</v>
      </c>
      <c r="G3526" t="s">
        <v>478</v>
      </c>
      <c r="H3526" t="s">
        <v>600</v>
      </c>
      <c r="I3526" t="s">
        <v>601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hidden="1">
      <c r="A3527" t="s">
        <v>18813</v>
      </c>
      <c r="B3527" t="s">
        <v>1338</v>
      </c>
      <c r="C3527" t="s">
        <v>1267</v>
      </c>
      <c r="D3527" t="s">
        <v>1332</v>
      </c>
      <c r="E3527" t="s">
        <v>1318</v>
      </c>
      <c r="F3527" t="s">
        <v>598</v>
      </c>
      <c r="G3527" t="s">
        <v>478</v>
      </c>
      <c r="H3527" t="s">
        <v>600</v>
      </c>
      <c r="I3527" t="s">
        <v>601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hidden="1">
      <c r="A3528" t="s">
        <v>18813</v>
      </c>
      <c r="B3528" t="s">
        <v>1341</v>
      </c>
      <c r="C3528" t="s">
        <v>1267</v>
      </c>
      <c r="D3528" t="s">
        <v>1332</v>
      </c>
      <c r="E3528" t="s">
        <v>954</v>
      </c>
      <c r="F3528" t="s">
        <v>598</v>
      </c>
      <c r="G3528" t="s">
        <v>478</v>
      </c>
      <c r="H3528" t="s">
        <v>600</v>
      </c>
      <c r="I3528" t="s">
        <v>601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hidden="1">
      <c r="A3529" t="s">
        <v>18813</v>
      </c>
      <c r="B3529" t="s">
        <v>1351</v>
      </c>
      <c r="C3529" t="s">
        <v>1267</v>
      </c>
      <c r="D3529" t="s">
        <v>1352</v>
      </c>
      <c r="E3529" t="s">
        <v>672</v>
      </c>
      <c r="F3529" t="s">
        <v>598</v>
      </c>
      <c r="G3529" t="s">
        <v>478</v>
      </c>
      <c r="H3529" t="s">
        <v>600</v>
      </c>
      <c r="I3529" t="s">
        <v>601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hidden="1">
      <c r="A3530" t="s">
        <v>18813</v>
      </c>
      <c r="B3530" t="s">
        <v>1353</v>
      </c>
      <c r="C3530" t="s">
        <v>1267</v>
      </c>
      <c r="D3530" t="s">
        <v>1354</v>
      </c>
      <c r="E3530" t="s">
        <v>672</v>
      </c>
      <c r="F3530" t="s">
        <v>598</v>
      </c>
      <c r="G3530" t="s">
        <v>478</v>
      </c>
      <c r="H3530" t="s">
        <v>600</v>
      </c>
      <c r="I3530" t="s">
        <v>601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hidden="1">
      <c r="A3531" t="s">
        <v>18813</v>
      </c>
      <c r="B3531" t="s">
        <v>1356</v>
      </c>
      <c r="C3531" t="s">
        <v>1267</v>
      </c>
      <c r="D3531" t="s">
        <v>1357</v>
      </c>
      <c r="E3531" t="s">
        <v>678</v>
      </c>
      <c r="F3531" t="s">
        <v>598</v>
      </c>
      <c r="G3531" t="s">
        <v>478</v>
      </c>
      <c r="H3531" t="s">
        <v>600</v>
      </c>
      <c r="I3531" t="s">
        <v>601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hidden="1">
      <c r="A3532" t="s">
        <v>18813</v>
      </c>
      <c r="B3532" t="s">
        <v>1360</v>
      </c>
      <c r="C3532" t="s">
        <v>1267</v>
      </c>
      <c r="D3532" t="s">
        <v>1361</v>
      </c>
      <c r="E3532" t="s">
        <v>672</v>
      </c>
      <c r="F3532" t="s">
        <v>598</v>
      </c>
      <c r="G3532" t="s">
        <v>478</v>
      </c>
      <c r="H3532" t="s">
        <v>600</v>
      </c>
      <c r="I3532" t="s">
        <v>601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hidden="1">
      <c r="A3533" t="s">
        <v>18813</v>
      </c>
      <c r="B3533" t="s">
        <v>1366</v>
      </c>
      <c r="C3533" t="s">
        <v>1267</v>
      </c>
      <c r="D3533" t="s">
        <v>1365</v>
      </c>
      <c r="E3533" t="s">
        <v>628</v>
      </c>
      <c r="F3533" t="s">
        <v>598</v>
      </c>
      <c r="G3533" t="s">
        <v>478</v>
      </c>
      <c r="H3533" t="s">
        <v>600</v>
      </c>
      <c r="I3533" t="s">
        <v>601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hidden="1">
      <c r="A3534" t="s">
        <v>18813</v>
      </c>
      <c r="B3534" t="s">
        <v>1368</v>
      </c>
      <c r="C3534" t="s">
        <v>1267</v>
      </c>
      <c r="D3534" t="s">
        <v>1365</v>
      </c>
      <c r="E3534" t="s">
        <v>678</v>
      </c>
      <c r="F3534" t="s">
        <v>598</v>
      </c>
      <c r="G3534" t="s">
        <v>478</v>
      </c>
      <c r="H3534" t="s">
        <v>600</v>
      </c>
      <c r="I3534" t="s">
        <v>601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hidden="1">
      <c r="A3535" t="s">
        <v>18813</v>
      </c>
      <c r="B3535" t="s">
        <v>1369</v>
      </c>
      <c r="C3535" t="s">
        <v>1267</v>
      </c>
      <c r="D3535" t="s">
        <v>1370</v>
      </c>
      <c r="E3535" t="s">
        <v>672</v>
      </c>
      <c r="F3535" t="s">
        <v>598</v>
      </c>
      <c r="G3535" t="s">
        <v>478</v>
      </c>
      <c r="H3535" t="s">
        <v>600</v>
      </c>
      <c r="I3535" t="s">
        <v>601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hidden="1">
      <c r="A3536" t="s">
        <v>18813</v>
      </c>
      <c r="B3536" t="s">
        <v>1371</v>
      </c>
      <c r="C3536" t="s">
        <v>1267</v>
      </c>
      <c r="D3536" t="s">
        <v>1370</v>
      </c>
      <c r="E3536" t="s">
        <v>678</v>
      </c>
      <c r="F3536" t="s">
        <v>598</v>
      </c>
      <c r="G3536" t="s">
        <v>478</v>
      </c>
      <c r="H3536" t="s">
        <v>600</v>
      </c>
      <c r="I3536" t="s">
        <v>601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hidden="1">
      <c r="A3537" t="s">
        <v>18813</v>
      </c>
      <c r="B3537" t="s">
        <v>1372</v>
      </c>
      <c r="C3537" t="s">
        <v>1267</v>
      </c>
      <c r="D3537" t="s">
        <v>648</v>
      </c>
      <c r="E3537" t="s">
        <v>920</v>
      </c>
      <c r="F3537" t="s">
        <v>598</v>
      </c>
      <c r="G3537" t="s">
        <v>478</v>
      </c>
      <c r="H3537" t="s">
        <v>600</v>
      </c>
      <c r="I3537" t="s">
        <v>601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hidden="1">
      <c r="A3538" t="s">
        <v>18813</v>
      </c>
      <c r="B3538" t="s">
        <v>1376</v>
      </c>
      <c r="C3538" t="s">
        <v>1267</v>
      </c>
      <c r="D3538" t="s">
        <v>648</v>
      </c>
      <c r="E3538" t="s">
        <v>678</v>
      </c>
      <c r="F3538" t="s">
        <v>598</v>
      </c>
      <c r="G3538" t="s">
        <v>478</v>
      </c>
      <c r="H3538" t="s">
        <v>600</v>
      </c>
      <c r="I3538" t="s">
        <v>601</v>
      </c>
      <c r="J3538">
        <v>3.6400000000000002E-2</v>
      </c>
      <c r="K3538">
        <v>3.6200000000000003E-2</v>
      </c>
      <c r="L3538">
        <v>3.73E-2</v>
      </c>
      <c r="M3538">
        <v>3.7900000000000003E-2</v>
      </c>
      <c r="N3538">
        <v>3.8600000000000002E-2</v>
      </c>
      <c r="O3538">
        <v>3.8899999999999997E-2</v>
      </c>
      <c r="P3538">
        <v>3.9E-2</v>
      </c>
      <c r="Q3538">
        <v>3.8199999999999998E-2</v>
      </c>
      <c r="R3538">
        <v>3.8899999999999997E-2</v>
      </c>
      <c r="S3538">
        <v>3.9600000000000003E-2</v>
      </c>
      <c r="T3538">
        <v>4.0300000000000002E-2</v>
      </c>
      <c r="U3538">
        <v>4.1000000000000002E-2</v>
      </c>
      <c r="V3538">
        <v>4.1799999999999997E-2</v>
      </c>
      <c r="W3538">
        <v>4.2599999999999999E-2</v>
      </c>
      <c r="X3538">
        <v>4.3299999999999998E-2</v>
      </c>
      <c r="Y3538">
        <v>4.41E-2</v>
      </c>
    </row>
    <row r="3539" spans="1:25" hidden="1">
      <c r="A3539" t="s">
        <v>18813</v>
      </c>
      <c r="B3539" t="s">
        <v>1381</v>
      </c>
      <c r="C3539" t="s">
        <v>1382</v>
      </c>
      <c r="D3539" t="s">
        <v>1274</v>
      </c>
      <c r="E3539" t="s">
        <v>973</v>
      </c>
      <c r="F3539" t="s">
        <v>598</v>
      </c>
      <c r="G3539" t="s">
        <v>478</v>
      </c>
      <c r="H3539" t="s">
        <v>600</v>
      </c>
      <c r="I3539" t="s">
        <v>601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hidden="1">
      <c r="A3540" t="s">
        <v>18813</v>
      </c>
      <c r="B3540" t="s">
        <v>1383</v>
      </c>
      <c r="C3540" t="s">
        <v>1382</v>
      </c>
      <c r="D3540" t="s">
        <v>1281</v>
      </c>
      <c r="E3540" t="s">
        <v>973</v>
      </c>
      <c r="F3540" t="s">
        <v>598</v>
      </c>
      <c r="G3540" t="s">
        <v>478</v>
      </c>
      <c r="H3540" t="s">
        <v>600</v>
      </c>
      <c r="I3540" t="s">
        <v>601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hidden="1">
      <c r="A3541" t="s">
        <v>18813</v>
      </c>
      <c r="B3541" t="s">
        <v>1384</v>
      </c>
      <c r="C3541" t="s">
        <v>1382</v>
      </c>
      <c r="D3541" t="s">
        <v>1285</v>
      </c>
      <c r="E3541" t="s">
        <v>973</v>
      </c>
      <c r="F3541" t="s">
        <v>598</v>
      </c>
      <c r="G3541" t="s">
        <v>478</v>
      </c>
      <c r="H3541" t="s">
        <v>600</v>
      </c>
      <c r="I3541" t="s">
        <v>601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hidden="1">
      <c r="A3542" t="s">
        <v>18813</v>
      </c>
      <c r="B3542" t="s">
        <v>1385</v>
      </c>
      <c r="C3542" t="s">
        <v>1382</v>
      </c>
      <c r="D3542" t="s">
        <v>1287</v>
      </c>
      <c r="E3542" t="s">
        <v>973</v>
      </c>
      <c r="F3542" t="s">
        <v>598</v>
      </c>
      <c r="G3542" t="s">
        <v>478</v>
      </c>
      <c r="H3542" t="s">
        <v>600</v>
      </c>
      <c r="I3542" t="s">
        <v>601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hidden="1">
      <c r="A3543" t="s">
        <v>18813</v>
      </c>
      <c r="B3543" t="s">
        <v>1386</v>
      </c>
      <c r="C3543" t="s">
        <v>1382</v>
      </c>
      <c r="D3543" t="s">
        <v>1305</v>
      </c>
      <c r="E3543" t="s">
        <v>973</v>
      </c>
      <c r="F3543" t="s">
        <v>598</v>
      </c>
      <c r="G3543" t="s">
        <v>478</v>
      </c>
      <c r="H3543" t="s">
        <v>600</v>
      </c>
      <c r="I3543" t="s">
        <v>601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</row>
    <row r="3544" spans="1:25" hidden="1">
      <c r="A3544" t="s">
        <v>18813</v>
      </c>
      <c r="B3544" t="s">
        <v>1388</v>
      </c>
      <c r="C3544" t="s">
        <v>1382</v>
      </c>
      <c r="D3544" t="s">
        <v>1311</v>
      </c>
      <c r="E3544" t="s">
        <v>597</v>
      </c>
      <c r="F3544" t="s">
        <v>598</v>
      </c>
      <c r="G3544" t="s">
        <v>478</v>
      </c>
      <c r="H3544" t="s">
        <v>600</v>
      </c>
      <c r="I3544" t="s">
        <v>601</v>
      </c>
      <c r="J3544">
        <v>1.6999999999999999E-3</v>
      </c>
      <c r="K3544">
        <v>1.6000000000000001E-3</v>
      </c>
      <c r="L3544">
        <v>1.6000000000000001E-3</v>
      </c>
      <c r="M3544">
        <v>1.5E-3</v>
      </c>
      <c r="N3544">
        <v>1.5E-3</v>
      </c>
      <c r="O3544">
        <v>1.2999999999999999E-3</v>
      </c>
      <c r="P3544">
        <v>1.1999999999999999E-3</v>
      </c>
      <c r="Q3544">
        <v>1E-3</v>
      </c>
      <c r="R3544">
        <v>1E-3</v>
      </c>
      <c r="S3544">
        <v>1E-3</v>
      </c>
      <c r="T3544">
        <v>1E-3</v>
      </c>
      <c r="U3544">
        <v>1E-3</v>
      </c>
      <c r="V3544">
        <v>1E-3</v>
      </c>
      <c r="W3544">
        <v>1E-3</v>
      </c>
      <c r="X3544">
        <v>1E-3</v>
      </c>
      <c r="Y3544">
        <v>1E-3</v>
      </c>
    </row>
    <row r="3545" spans="1:25" hidden="1">
      <c r="A3545" t="s">
        <v>18813</v>
      </c>
      <c r="B3545" t="s">
        <v>1390</v>
      </c>
      <c r="C3545" t="s">
        <v>1382</v>
      </c>
      <c r="D3545" t="s">
        <v>1311</v>
      </c>
      <c r="E3545" t="s">
        <v>605</v>
      </c>
      <c r="F3545" t="s">
        <v>598</v>
      </c>
      <c r="G3545" t="s">
        <v>478</v>
      </c>
      <c r="H3545" t="s">
        <v>600</v>
      </c>
      <c r="I3545" t="s">
        <v>601</v>
      </c>
      <c r="J3545">
        <v>0.33779999999999999</v>
      </c>
      <c r="K3545">
        <v>0.33110000000000001</v>
      </c>
      <c r="L3545">
        <v>0.33119999999999999</v>
      </c>
      <c r="M3545">
        <v>0.32790000000000002</v>
      </c>
      <c r="N3545">
        <v>0.3246</v>
      </c>
      <c r="O3545">
        <v>0.31780000000000003</v>
      </c>
      <c r="P3545">
        <v>0.311</v>
      </c>
      <c r="Q3545">
        <v>0.29749999999999999</v>
      </c>
      <c r="R3545">
        <v>0.29749999999999999</v>
      </c>
      <c r="S3545">
        <v>0.29759999999999998</v>
      </c>
      <c r="T3545">
        <v>0.29759999999999998</v>
      </c>
      <c r="U3545">
        <v>0.29770000000000002</v>
      </c>
      <c r="V3545">
        <v>0.29770000000000002</v>
      </c>
      <c r="W3545">
        <v>0.29780000000000001</v>
      </c>
      <c r="X3545">
        <v>0.29780000000000001</v>
      </c>
      <c r="Y3545">
        <v>0.29780000000000001</v>
      </c>
    </row>
    <row r="3546" spans="1:25" hidden="1">
      <c r="A3546" t="s">
        <v>18813</v>
      </c>
      <c r="B3546" t="s">
        <v>1398</v>
      </c>
      <c r="C3546" t="s">
        <v>1382</v>
      </c>
      <c r="D3546" t="s">
        <v>1316</v>
      </c>
      <c r="E3546" t="s">
        <v>1399</v>
      </c>
      <c r="F3546" t="s">
        <v>598</v>
      </c>
      <c r="G3546" t="s">
        <v>478</v>
      </c>
      <c r="H3546" t="s">
        <v>600</v>
      </c>
      <c r="I3546" t="s">
        <v>601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hidden="1">
      <c r="A3547" t="s">
        <v>18813</v>
      </c>
      <c r="B3547" t="s">
        <v>1401</v>
      </c>
      <c r="C3547" t="s">
        <v>1382</v>
      </c>
      <c r="D3547" t="s">
        <v>1316</v>
      </c>
      <c r="E3547" t="s">
        <v>1402</v>
      </c>
      <c r="F3547" t="s">
        <v>598</v>
      </c>
      <c r="G3547" t="s">
        <v>478</v>
      </c>
      <c r="H3547" t="s">
        <v>600</v>
      </c>
      <c r="I3547" t="s">
        <v>601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hidden="1">
      <c r="A3548" t="s">
        <v>18813</v>
      </c>
      <c r="B3548" t="s">
        <v>1403</v>
      </c>
      <c r="C3548" t="s">
        <v>1382</v>
      </c>
      <c r="D3548" t="s">
        <v>1316</v>
      </c>
      <c r="E3548" t="s">
        <v>892</v>
      </c>
      <c r="F3548" t="s">
        <v>598</v>
      </c>
      <c r="G3548" t="s">
        <v>478</v>
      </c>
      <c r="H3548" t="s">
        <v>600</v>
      </c>
      <c r="I3548" t="s">
        <v>601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hidden="1">
      <c r="A3549" t="s">
        <v>18813</v>
      </c>
      <c r="B3549" t="s">
        <v>1404</v>
      </c>
      <c r="C3549" t="s">
        <v>1382</v>
      </c>
      <c r="D3549" t="s">
        <v>1316</v>
      </c>
      <c r="E3549" t="s">
        <v>1318</v>
      </c>
      <c r="F3549" t="s">
        <v>598</v>
      </c>
      <c r="G3549" t="s">
        <v>478</v>
      </c>
      <c r="H3549" t="s">
        <v>600</v>
      </c>
      <c r="I3549" t="s">
        <v>601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hidden="1">
      <c r="A3550" t="s">
        <v>18813</v>
      </c>
      <c r="B3550" t="s">
        <v>1407</v>
      </c>
      <c r="C3550" t="s">
        <v>1382</v>
      </c>
      <c r="D3550" t="s">
        <v>1320</v>
      </c>
      <c r="E3550" t="s">
        <v>626</v>
      </c>
      <c r="F3550" t="s">
        <v>598</v>
      </c>
      <c r="G3550" t="s">
        <v>478</v>
      </c>
      <c r="H3550" t="s">
        <v>600</v>
      </c>
      <c r="I3550" t="s">
        <v>601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hidden="1">
      <c r="A3551" t="s">
        <v>18813</v>
      </c>
      <c r="B3551" t="s">
        <v>1410</v>
      </c>
      <c r="C3551" t="s">
        <v>1382</v>
      </c>
      <c r="D3551" t="s">
        <v>1320</v>
      </c>
      <c r="E3551" t="s">
        <v>1402</v>
      </c>
      <c r="F3551" t="s">
        <v>598</v>
      </c>
      <c r="G3551" t="s">
        <v>478</v>
      </c>
      <c r="H3551" t="s">
        <v>600</v>
      </c>
      <c r="I3551" t="s">
        <v>601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hidden="1">
      <c r="A3552" t="s">
        <v>18813</v>
      </c>
      <c r="B3552" t="s">
        <v>1411</v>
      </c>
      <c r="C3552" t="s">
        <v>1382</v>
      </c>
      <c r="D3552" t="s">
        <v>1320</v>
      </c>
      <c r="E3552" t="s">
        <v>892</v>
      </c>
      <c r="F3552" t="s">
        <v>598</v>
      </c>
      <c r="G3552" t="s">
        <v>478</v>
      </c>
      <c r="H3552" t="s">
        <v>600</v>
      </c>
      <c r="I3552" t="s">
        <v>601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hidden="1">
      <c r="A3553" t="s">
        <v>18813</v>
      </c>
      <c r="B3553" t="s">
        <v>1412</v>
      </c>
      <c r="C3553" t="s">
        <v>1382</v>
      </c>
      <c r="D3553" t="s">
        <v>1320</v>
      </c>
      <c r="E3553" t="s">
        <v>678</v>
      </c>
      <c r="F3553" t="s">
        <v>598</v>
      </c>
      <c r="G3553" t="s">
        <v>478</v>
      </c>
      <c r="H3553" t="s">
        <v>600</v>
      </c>
      <c r="I3553" t="s">
        <v>601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hidden="1">
      <c r="A3554" t="s">
        <v>18813</v>
      </c>
      <c r="B3554" t="s">
        <v>1419</v>
      </c>
      <c r="C3554" t="s">
        <v>1382</v>
      </c>
      <c r="D3554" t="s">
        <v>1324</v>
      </c>
      <c r="E3554" t="s">
        <v>1402</v>
      </c>
      <c r="F3554" t="s">
        <v>598</v>
      </c>
      <c r="G3554" t="s">
        <v>478</v>
      </c>
      <c r="H3554" t="s">
        <v>600</v>
      </c>
      <c r="I3554" t="s">
        <v>601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hidden="1">
      <c r="A3555" t="s">
        <v>18813</v>
      </c>
      <c r="B3555" t="s">
        <v>1420</v>
      </c>
      <c r="C3555" t="s">
        <v>1382</v>
      </c>
      <c r="D3555" t="s">
        <v>1324</v>
      </c>
      <c r="E3555" t="s">
        <v>892</v>
      </c>
      <c r="F3555" t="s">
        <v>598</v>
      </c>
      <c r="G3555" t="s">
        <v>478</v>
      </c>
      <c r="H3555" t="s">
        <v>600</v>
      </c>
      <c r="I3555" t="s">
        <v>601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hidden="1">
      <c r="A3556" t="s">
        <v>18813</v>
      </c>
      <c r="B3556" t="s">
        <v>1428</v>
      </c>
      <c r="C3556" t="s">
        <v>1382</v>
      </c>
      <c r="D3556" t="s">
        <v>1332</v>
      </c>
      <c r="E3556" t="s">
        <v>1402</v>
      </c>
      <c r="F3556" t="s">
        <v>598</v>
      </c>
      <c r="G3556" t="s">
        <v>478</v>
      </c>
      <c r="H3556" t="s">
        <v>600</v>
      </c>
      <c r="I3556" t="s">
        <v>601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hidden="1">
      <c r="A3557" t="s">
        <v>18813</v>
      </c>
      <c r="B3557" t="s">
        <v>1429</v>
      </c>
      <c r="C3557" t="s">
        <v>1382</v>
      </c>
      <c r="D3557" t="s">
        <v>1332</v>
      </c>
      <c r="E3557" t="s">
        <v>892</v>
      </c>
      <c r="F3557" t="s">
        <v>598</v>
      </c>
      <c r="G3557" t="s">
        <v>478</v>
      </c>
      <c r="H3557" t="s">
        <v>600</v>
      </c>
      <c r="I3557" t="s">
        <v>601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</row>
    <row r="3558" spans="1:25" hidden="1">
      <c r="A3558" t="s">
        <v>18813</v>
      </c>
      <c r="B3558" t="s">
        <v>1434</v>
      </c>
      <c r="C3558" t="s">
        <v>1382</v>
      </c>
      <c r="D3558" t="s">
        <v>1435</v>
      </c>
      <c r="E3558" t="s">
        <v>973</v>
      </c>
      <c r="F3558" t="s">
        <v>598</v>
      </c>
      <c r="G3558" t="s">
        <v>478</v>
      </c>
      <c r="H3558" t="s">
        <v>600</v>
      </c>
      <c r="I3558" t="s">
        <v>601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hidden="1">
      <c r="A3559" t="s">
        <v>18813</v>
      </c>
      <c r="B3559" t="s">
        <v>1436</v>
      </c>
      <c r="C3559" t="s">
        <v>1382</v>
      </c>
      <c r="D3559" t="s">
        <v>1354</v>
      </c>
      <c r="E3559" t="s">
        <v>973</v>
      </c>
      <c r="F3559" t="s">
        <v>598</v>
      </c>
      <c r="G3559" t="s">
        <v>478</v>
      </c>
      <c r="H3559" t="s">
        <v>600</v>
      </c>
      <c r="I3559" t="s">
        <v>601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hidden="1">
      <c r="A3560" t="s">
        <v>18813</v>
      </c>
      <c r="B3560" t="s">
        <v>1439</v>
      </c>
      <c r="C3560" t="s">
        <v>1382</v>
      </c>
      <c r="D3560" t="s">
        <v>1440</v>
      </c>
      <c r="E3560" t="s">
        <v>973</v>
      </c>
      <c r="F3560" t="s">
        <v>598</v>
      </c>
      <c r="G3560" t="s">
        <v>478</v>
      </c>
      <c r="H3560" t="s">
        <v>600</v>
      </c>
      <c r="I3560" t="s">
        <v>601</v>
      </c>
      <c r="J3560">
        <v>1.0952</v>
      </c>
      <c r="K3560">
        <v>1.0125999999999999</v>
      </c>
      <c r="L3560">
        <v>1.0125999999999999</v>
      </c>
      <c r="M3560">
        <v>0.97119999999999995</v>
      </c>
      <c r="N3560">
        <v>0.92989999999999995</v>
      </c>
      <c r="O3560">
        <v>0.84730000000000005</v>
      </c>
      <c r="P3560">
        <v>0.76470000000000005</v>
      </c>
      <c r="Q3560">
        <v>0.59940000000000004</v>
      </c>
      <c r="R3560">
        <v>0.59940000000000004</v>
      </c>
      <c r="S3560">
        <v>0.59940000000000004</v>
      </c>
      <c r="T3560">
        <v>0.59940000000000004</v>
      </c>
      <c r="U3560">
        <v>0.59940000000000004</v>
      </c>
      <c r="V3560">
        <v>0.59940000000000004</v>
      </c>
      <c r="W3560">
        <v>0.59940000000000004</v>
      </c>
      <c r="X3560">
        <v>0.59940000000000004</v>
      </c>
      <c r="Y3560">
        <v>0.59940000000000004</v>
      </c>
    </row>
    <row r="3561" spans="1:25" hidden="1">
      <c r="A3561" t="s">
        <v>18813</v>
      </c>
      <c r="B3561" t="s">
        <v>1441</v>
      </c>
      <c r="C3561" t="s">
        <v>1382</v>
      </c>
      <c r="D3561" t="s">
        <v>1440</v>
      </c>
      <c r="E3561" t="s">
        <v>1378</v>
      </c>
      <c r="F3561" t="s">
        <v>598</v>
      </c>
      <c r="G3561" t="s">
        <v>478</v>
      </c>
      <c r="H3561" t="s">
        <v>600</v>
      </c>
      <c r="I3561" t="s">
        <v>601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hidden="1">
      <c r="A3562" t="s">
        <v>18813</v>
      </c>
      <c r="B3562" t="s">
        <v>1442</v>
      </c>
      <c r="C3562" t="s">
        <v>1382</v>
      </c>
      <c r="D3562" t="s">
        <v>1443</v>
      </c>
      <c r="E3562" t="s">
        <v>611</v>
      </c>
      <c r="F3562" t="s">
        <v>598</v>
      </c>
      <c r="G3562" t="s">
        <v>478</v>
      </c>
      <c r="H3562" t="s">
        <v>600</v>
      </c>
      <c r="I3562" t="s">
        <v>601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hidden="1">
      <c r="A3563" t="s">
        <v>18813</v>
      </c>
      <c r="B3563" t="s">
        <v>1446</v>
      </c>
      <c r="C3563" t="s">
        <v>1382</v>
      </c>
      <c r="D3563" t="s">
        <v>1445</v>
      </c>
      <c r="E3563" t="s">
        <v>1447</v>
      </c>
      <c r="F3563" t="s">
        <v>598</v>
      </c>
      <c r="G3563" t="s">
        <v>478</v>
      </c>
      <c r="H3563" t="s">
        <v>600</v>
      </c>
      <c r="I3563" t="s">
        <v>601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hidden="1">
      <c r="A3564" t="s">
        <v>18813</v>
      </c>
      <c r="B3564" t="s">
        <v>1451</v>
      </c>
      <c r="C3564" t="s">
        <v>1382</v>
      </c>
      <c r="D3564" t="s">
        <v>1365</v>
      </c>
      <c r="E3564" t="s">
        <v>973</v>
      </c>
      <c r="F3564" t="s">
        <v>598</v>
      </c>
      <c r="G3564" t="s">
        <v>478</v>
      </c>
      <c r="H3564" t="s">
        <v>600</v>
      </c>
      <c r="I3564" t="s">
        <v>601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hidden="1">
      <c r="A3565" t="s">
        <v>18813</v>
      </c>
      <c r="B3565" t="s">
        <v>1452</v>
      </c>
      <c r="C3565" t="s">
        <v>1382</v>
      </c>
      <c r="D3565" t="s">
        <v>1365</v>
      </c>
      <c r="E3565" t="s">
        <v>626</v>
      </c>
      <c r="F3565" t="s">
        <v>598</v>
      </c>
      <c r="G3565" t="s">
        <v>478</v>
      </c>
      <c r="H3565" t="s">
        <v>600</v>
      </c>
      <c r="I3565" t="s">
        <v>601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hidden="1">
      <c r="A3566" t="s">
        <v>18813</v>
      </c>
      <c r="B3566" t="s">
        <v>1453</v>
      </c>
      <c r="C3566" t="s">
        <v>1382</v>
      </c>
      <c r="D3566" t="s">
        <v>1365</v>
      </c>
      <c r="E3566" t="s">
        <v>628</v>
      </c>
      <c r="F3566" t="s">
        <v>598</v>
      </c>
      <c r="G3566" t="s">
        <v>478</v>
      </c>
      <c r="H3566" t="s">
        <v>600</v>
      </c>
      <c r="I3566" t="s">
        <v>601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hidden="1">
      <c r="A3567" t="s">
        <v>18813</v>
      </c>
      <c r="B3567" t="s">
        <v>1454</v>
      </c>
      <c r="C3567" t="s">
        <v>1382</v>
      </c>
      <c r="D3567" t="s">
        <v>1365</v>
      </c>
      <c r="E3567" t="s">
        <v>888</v>
      </c>
      <c r="F3567" t="s">
        <v>598</v>
      </c>
      <c r="G3567" t="s">
        <v>478</v>
      </c>
      <c r="H3567" t="s">
        <v>600</v>
      </c>
      <c r="I3567" t="s">
        <v>601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hidden="1">
      <c r="A3568" t="s">
        <v>18813</v>
      </c>
      <c r="B3568" t="s">
        <v>1456</v>
      </c>
      <c r="C3568" t="s">
        <v>1382</v>
      </c>
      <c r="D3568" t="s">
        <v>1365</v>
      </c>
      <c r="E3568" t="s">
        <v>678</v>
      </c>
      <c r="F3568" t="s">
        <v>598</v>
      </c>
      <c r="G3568" t="s">
        <v>478</v>
      </c>
      <c r="H3568" t="s">
        <v>600</v>
      </c>
      <c r="I3568" t="s">
        <v>601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hidden="1">
      <c r="A3569" t="s">
        <v>18813</v>
      </c>
      <c r="B3569" t="s">
        <v>1457</v>
      </c>
      <c r="C3569" t="s">
        <v>1382</v>
      </c>
      <c r="D3569" t="s">
        <v>1458</v>
      </c>
      <c r="E3569" t="s">
        <v>626</v>
      </c>
      <c r="F3569" t="s">
        <v>598</v>
      </c>
      <c r="G3569" t="s">
        <v>478</v>
      </c>
      <c r="H3569" t="s">
        <v>600</v>
      </c>
      <c r="I3569" t="s">
        <v>601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hidden="1">
      <c r="A3570" t="s">
        <v>18813</v>
      </c>
      <c r="B3570" t="s">
        <v>1459</v>
      </c>
      <c r="C3570" t="s">
        <v>1382</v>
      </c>
      <c r="D3570" t="s">
        <v>648</v>
      </c>
      <c r="E3570" t="s">
        <v>920</v>
      </c>
      <c r="F3570" t="s">
        <v>598</v>
      </c>
      <c r="G3570" t="s">
        <v>478</v>
      </c>
      <c r="H3570" t="s">
        <v>600</v>
      </c>
      <c r="I3570" t="s">
        <v>601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hidden="1">
      <c r="A3571" t="s">
        <v>18813</v>
      </c>
      <c r="B3571" t="s">
        <v>1465</v>
      </c>
      <c r="C3571" t="s">
        <v>1382</v>
      </c>
      <c r="D3571" t="s">
        <v>648</v>
      </c>
      <c r="E3571" t="s">
        <v>678</v>
      </c>
      <c r="F3571" t="s">
        <v>598</v>
      </c>
      <c r="G3571" t="s">
        <v>478</v>
      </c>
      <c r="H3571" t="s">
        <v>600</v>
      </c>
      <c r="I3571" t="s">
        <v>601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hidden="1">
      <c r="A3572" t="s">
        <v>18813</v>
      </c>
      <c r="B3572" t="s">
        <v>1466</v>
      </c>
      <c r="C3572" t="s">
        <v>1382</v>
      </c>
      <c r="D3572" t="s">
        <v>648</v>
      </c>
      <c r="E3572" t="s">
        <v>1467</v>
      </c>
      <c r="F3572" t="s">
        <v>598</v>
      </c>
      <c r="G3572" t="s">
        <v>478</v>
      </c>
      <c r="H3572" t="s">
        <v>600</v>
      </c>
      <c r="I3572" t="s">
        <v>601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hidden="1">
      <c r="A3573" t="s">
        <v>18813</v>
      </c>
      <c r="B3573" t="s">
        <v>1471</v>
      </c>
      <c r="C3573" t="s">
        <v>1472</v>
      </c>
      <c r="D3573" t="s">
        <v>1274</v>
      </c>
      <c r="E3573" t="s">
        <v>973</v>
      </c>
      <c r="F3573" t="s">
        <v>598</v>
      </c>
      <c r="G3573" t="s">
        <v>478</v>
      </c>
      <c r="H3573" t="s">
        <v>600</v>
      </c>
      <c r="I3573" t="s">
        <v>601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hidden="1">
      <c r="A3574" t="s">
        <v>18813</v>
      </c>
      <c r="B3574" t="s">
        <v>1473</v>
      </c>
      <c r="C3574" t="s">
        <v>1472</v>
      </c>
      <c r="D3574" t="s">
        <v>1274</v>
      </c>
      <c r="E3574" t="s">
        <v>597</v>
      </c>
      <c r="F3574" t="s">
        <v>598</v>
      </c>
      <c r="G3574" t="s">
        <v>478</v>
      </c>
      <c r="H3574" t="s">
        <v>600</v>
      </c>
      <c r="I3574" t="s">
        <v>601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hidden="1">
      <c r="A3575" t="s">
        <v>18813</v>
      </c>
      <c r="B3575" t="s">
        <v>1477</v>
      </c>
      <c r="C3575" t="s">
        <v>1472</v>
      </c>
      <c r="D3575" t="s">
        <v>1287</v>
      </c>
      <c r="E3575" t="s">
        <v>597</v>
      </c>
      <c r="F3575" t="s">
        <v>598</v>
      </c>
      <c r="G3575" t="s">
        <v>478</v>
      </c>
      <c r="H3575" t="s">
        <v>600</v>
      </c>
      <c r="I3575" t="s">
        <v>601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hidden="1">
      <c r="A3576" t="s">
        <v>18813</v>
      </c>
      <c r="B3576" t="s">
        <v>1478</v>
      </c>
      <c r="C3576" t="s">
        <v>1472</v>
      </c>
      <c r="D3576" t="s">
        <v>1305</v>
      </c>
      <c r="E3576" t="s">
        <v>973</v>
      </c>
      <c r="F3576" t="s">
        <v>598</v>
      </c>
      <c r="G3576" t="s">
        <v>478</v>
      </c>
      <c r="H3576" t="s">
        <v>600</v>
      </c>
      <c r="I3576" t="s">
        <v>601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5" hidden="1">
      <c r="A3577" t="s">
        <v>18813</v>
      </c>
      <c r="B3577" t="s">
        <v>1479</v>
      </c>
      <c r="C3577" t="s">
        <v>1472</v>
      </c>
      <c r="D3577" t="s">
        <v>1305</v>
      </c>
      <c r="E3577" t="s">
        <v>688</v>
      </c>
      <c r="F3577" t="s">
        <v>598</v>
      </c>
      <c r="G3577" t="s">
        <v>478</v>
      </c>
      <c r="H3577" t="s">
        <v>600</v>
      </c>
      <c r="I3577" t="s">
        <v>601</v>
      </c>
      <c r="J3577">
        <v>2.5000000000000001E-3</v>
      </c>
      <c r="K3577">
        <v>2.5999999999999999E-3</v>
      </c>
      <c r="L3577">
        <v>2.5999999999999999E-3</v>
      </c>
      <c r="M3577">
        <v>2.7000000000000001E-3</v>
      </c>
      <c r="N3577">
        <v>2.7000000000000001E-3</v>
      </c>
      <c r="O3577">
        <v>2.8E-3</v>
      </c>
      <c r="P3577">
        <v>2.8E-3</v>
      </c>
      <c r="Q3577">
        <v>2.8E-3</v>
      </c>
      <c r="R3577">
        <v>2.8E-3</v>
      </c>
      <c r="S3577">
        <v>2.8999999999999998E-3</v>
      </c>
      <c r="T3577">
        <v>2.8999999999999998E-3</v>
      </c>
      <c r="U3577">
        <v>2.8999999999999998E-3</v>
      </c>
      <c r="V3577">
        <v>2.8999999999999998E-3</v>
      </c>
      <c r="W3577">
        <v>3.0000000000000001E-3</v>
      </c>
      <c r="X3577">
        <v>3.0000000000000001E-3</v>
      </c>
      <c r="Y3577">
        <v>3.0000000000000001E-3</v>
      </c>
    </row>
    <row r="3578" spans="1:25" hidden="1">
      <c r="A3578" t="s">
        <v>18813</v>
      </c>
      <c r="B3578" t="s">
        <v>1480</v>
      </c>
      <c r="C3578" t="s">
        <v>1472</v>
      </c>
      <c r="D3578" t="s">
        <v>1305</v>
      </c>
      <c r="E3578" t="s">
        <v>678</v>
      </c>
      <c r="F3578" t="s">
        <v>598</v>
      </c>
      <c r="G3578" t="s">
        <v>478</v>
      </c>
      <c r="H3578" t="s">
        <v>600</v>
      </c>
      <c r="I3578" t="s">
        <v>601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hidden="1">
      <c r="A3579" t="s">
        <v>18813</v>
      </c>
      <c r="B3579" t="s">
        <v>1482</v>
      </c>
      <c r="C3579" t="s">
        <v>1472</v>
      </c>
      <c r="D3579" t="s">
        <v>1483</v>
      </c>
      <c r="E3579" t="s">
        <v>597</v>
      </c>
      <c r="F3579" t="s">
        <v>598</v>
      </c>
      <c r="G3579" t="s">
        <v>478</v>
      </c>
      <c r="H3579" t="s">
        <v>600</v>
      </c>
      <c r="I3579" t="s">
        <v>601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hidden="1">
      <c r="A3580" t="s">
        <v>18813</v>
      </c>
      <c r="B3580" t="s">
        <v>1484</v>
      </c>
      <c r="C3580" t="s">
        <v>1472</v>
      </c>
      <c r="D3580" t="s">
        <v>1485</v>
      </c>
      <c r="E3580" t="s">
        <v>642</v>
      </c>
      <c r="F3580" t="s">
        <v>598</v>
      </c>
      <c r="G3580" t="s">
        <v>478</v>
      </c>
      <c r="H3580" t="s">
        <v>600</v>
      </c>
      <c r="I3580" t="s">
        <v>601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hidden="1">
      <c r="A3581" t="s">
        <v>18813</v>
      </c>
      <c r="B3581" t="s">
        <v>1491</v>
      </c>
      <c r="C3581" t="s">
        <v>1472</v>
      </c>
      <c r="D3581" t="s">
        <v>1392</v>
      </c>
      <c r="E3581" t="s">
        <v>1393</v>
      </c>
      <c r="F3581" t="s">
        <v>598</v>
      </c>
      <c r="G3581" t="s">
        <v>478</v>
      </c>
      <c r="H3581" t="s">
        <v>600</v>
      </c>
      <c r="I3581" t="s">
        <v>601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hidden="1">
      <c r="A3582" t="s">
        <v>18813</v>
      </c>
      <c r="B3582" t="s">
        <v>1495</v>
      </c>
      <c r="C3582" t="s">
        <v>1472</v>
      </c>
      <c r="D3582" t="s">
        <v>1316</v>
      </c>
      <c r="E3582" t="s">
        <v>1399</v>
      </c>
      <c r="F3582" t="s">
        <v>598</v>
      </c>
      <c r="G3582" t="s">
        <v>478</v>
      </c>
      <c r="H3582" t="s">
        <v>600</v>
      </c>
      <c r="I3582" t="s">
        <v>601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hidden="1">
      <c r="A3583" t="s">
        <v>18813</v>
      </c>
      <c r="B3583" t="s">
        <v>1496</v>
      </c>
      <c r="C3583" t="s">
        <v>1472</v>
      </c>
      <c r="D3583" t="s">
        <v>1316</v>
      </c>
      <c r="E3583" t="s">
        <v>1326</v>
      </c>
      <c r="F3583" t="s">
        <v>598</v>
      </c>
      <c r="G3583" t="s">
        <v>478</v>
      </c>
      <c r="H3583" t="s">
        <v>600</v>
      </c>
      <c r="I3583" t="s">
        <v>601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hidden="1">
      <c r="A3584" t="s">
        <v>18813</v>
      </c>
      <c r="B3584" t="s">
        <v>1498</v>
      </c>
      <c r="C3584" t="s">
        <v>1472</v>
      </c>
      <c r="D3584" t="s">
        <v>1316</v>
      </c>
      <c r="E3584" t="s">
        <v>1402</v>
      </c>
      <c r="F3584" t="s">
        <v>598</v>
      </c>
      <c r="G3584" t="s">
        <v>478</v>
      </c>
      <c r="H3584" t="s">
        <v>600</v>
      </c>
      <c r="I3584" t="s">
        <v>601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hidden="1">
      <c r="A3585" t="s">
        <v>18813</v>
      </c>
      <c r="B3585" t="s">
        <v>1499</v>
      </c>
      <c r="C3585" t="s">
        <v>1472</v>
      </c>
      <c r="D3585" t="s">
        <v>1316</v>
      </c>
      <c r="E3585" t="s">
        <v>892</v>
      </c>
      <c r="F3585" t="s">
        <v>598</v>
      </c>
      <c r="G3585" t="s">
        <v>478</v>
      </c>
      <c r="H3585" t="s">
        <v>600</v>
      </c>
      <c r="I3585" t="s">
        <v>601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hidden="1">
      <c r="A3586" t="s">
        <v>18813</v>
      </c>
      <c r="B3586" t="s">
        <v>1501</v>
      </c>
      <c r="C3586" t="s">
        <v>1472</v>
      </c>
      <c r="D3586" t="s">
        <v>1316</v>
      </c>
      <c r="E3586" t="s">
        <v>1318</v>
      </c>
      <c r="F3586" t="s">
        <v>598</v>
      </c>
      <c r="G3586" t="s">
        <v>478</v>
      </c>
      <c r="H3586" t="s">
        <v>600</v>
      </c>
      <c r="I3586" t="s">
        <v>601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hidden="1">
      <c r="A3587" t="s">
        <v>18813</v>
      </c>
      <c r="B3587" t="s">
        <v>1502</v>
      </c>
      <c r="C3587" t="s">
        <v>1472</v>
      </c>
      <c r="D3587" t="s">
        <v>1316</v>
      </c>
      <c r="E3587" t="s">
        <v>1198</v>
      </c>
      <c r="F3587" t="s">
        <v>598</v>
      </c>
      <c r="G3587" t="s">
        <v>478</v>
      </c>
      <c r="H3587" t="s">
        <v>600</v>
      </c>
      <c r="I3587" t="s">
        <v>601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hidden="1">
      <c r="A3588" t="s">
        <v>18813</v>
      </c>
      <c r="B3588" t="s">
        <v>1504</v>
      </c>
      <c r="C3588" t="s">
        <v>1472</v>
      </c>
      <c r="D3588" t="s">
        <v>1320</v>
      </c>
      <c r="E3588" t="s">
        <v>626</v>
      </c>
      <c r="F3588" t="s">
        <v>598</v>
      </c>
      <c r="G3588" t="s">
        <v>478</v>
      </c>
      <c r="H3588" t="s">
        <v>600</v>
      </c>
      <c r="I3588" t="s">
        <v>601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hidden="1">
      <c r="A3589" t="s">
        <v>18813</v>
      </c>
      <c r="B3589" t="s">
        <v>1505</v>
      </c>
      <c r="C3589" t="s">
        <v>1472</v>
      </c>
      <c r="D3589" t="s">
        <v>1320</v>
      </c>
      <c r="E3589" t="s">
        <v>750</v>
      </c>
      <c r="F3589" t="s">
        <v>598</v>
      </c>
      <c r="G3589" t="s">
        <v>478</v>
      </c>
      <c r="H3589" t="s">
        <v>600</v>
      </c>
      <c r="I3589" t="s">
        <v>601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hidden="1">
      <c r="A3590" t="s">
        <v>18813</v>
      </c>
      <c r="B3590" t="s">
        <v>1506</v>
      </c>
      <c r="C3590" t="s">
        <v>1472</v>
      </c>
      <c r="D3590" t="s">
        <v>1320</v>
      </c>
      <c r="E3590" t="s">
        <v>1402</v>
      </c>
      <c r="F3590" t="s">
        <v>598</v>
      </c>
      <c r="G3590" t="s">
        <v>478</v>
      </c>
      <c r="H3590" t="s">
        <v>600</v>
      </c>
      <c r="I3590" t="s">
        <v>601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hidden="1">
      <c r="A3591" t="s">
        <v>18813</v>
      </c>
      <c r="B3591" t="s">
        <v>1507</v>
      </c>
      <c r="C3591" t="s">
        <v>1472</v>
      </c>
      <c r="D3591" t="s">
        <v>1320</v>
      </c>
      <c r="E3591" t="s">
        <v>892</v>
      </c>
      <c r="F3591" t="s">
        <v>598</v>
      </c>
      <c r="G3591" t="s">
        <v>478</v>
      </c>
      <c r="H3591" t="s">
        <v>600</v>
      </c>
      <c r="I3591" t="s">
        <v>601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hidden="1">
      <c r="A3592" t="s">
        <v>18813</v>
      </c>
      <c r="B3592" t="s">
        <v>1508</v>
      </c>
      <c r="C3592" t="s">
        <v>1472</v>
      </c>
      <c r="D3592" t="s">
        <v>1320</v>
      </c>
      <c r="E3592" t="s">
        <v>669</v>
      </c>
      <c r="F3592" t="s">
        <v>598</v>
      </c>
      <c r="G3592" t="s">
        <v>478</v>
      </c>
      <c r="H3592" t="s">
        <v>600</v>
      </c>
      <c r="I3592" t="s">
        <v>601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hidden="1">
      <c r="A3593" t="s">
        <v>18813</v>
      </c>
      <c r="B3593" t="s">
        <v>1509</v>
      </c>
      <c r="C3593" t="s">
        <v>1472</v>
      </c>
      <c r="D3593" t="s">
        <v>1320</v>
      </c>
      <c r="E3593" t="s">
        <v>678</v>
      </c>
      <c r="F3593" t="s">
        <v>598</v>
      </c>
      <c r="G3593" t="s">
        <v>478</v>
      </c>
      <c r="H3593" t="s">
        <v>600</v>
      </c>
      <c r="I3593" t="s">
        <v>601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hidden="1">
      <c r="A3594" t="s">
        <v>18813</v>
      </c>
      <c r="B3594" t="s">
        <v>1510</v>
      </c>
      <c r="C3594" t="s">
        <v>1472</v>
      </c>
      <c r="D3594" t="s">
        <v>1320</v>
      </c>
      <c r="E3594" t="s">
        <v>1198</v>
      </c>
      <c r="F3594" t="s">
        <v>598</v>
      </c>
      <c r="G3594" t="s">
        <v>478</v>
      </c>
      <c r="H3594" t="s">
        <v>600</v>
      </c>
      <c r="I3594" t="s">
        <v>601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hidden="1">
      <c r="A3595" t="s">
        <v>18813</v>
      </c>
      <c r="B3595" t="s">
        <v>1514</v>
      </c>
      <c r="C3595" t="s">
        <v>1472</v>
      </c>
      <c r="D3595" t="s">
        <v>1324</v>
      </c>
      <c r="E3595" t="s">
        <v>1334</v>
      </c>
      <c r="F3595" t="s">
        <v>598</v>
      </c>
      <c r="G3595" t="s">
        <v>478</v>
      </c>
      <c r="H3595" t="s">
        <v>600</v>
      </c>
      <c r="I3595" t="s">
        <v>601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hidden="1">
      <c r="A3596" t="s">
        <v>18813</v>
      </c>
      <c r="B3596" t="s">
        <v>1515</v>
      </c>
      <c r="C3596" t="s">
        <v>1472</v>
      </c>
      <c r="D3596" t="s">
        <v>1324</v>
      </c>
      <c r="E3596" t="s">
        <v>1399</v>
      </c>
      <c r="F3596" t="s">
        <v>598</v>
      </c>
      <c r="G3596" t="s">
        <v>478</v>
      </c>
      <c r="H3596" t="s">
        <v>600</v>
      </c>
      <c r="I3596" t="s">
        <v>601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hidden="1">
      <c r="A3597" t="s">
        <v>18813</v>
      </c>
      <c r="B3597" t="s">
        <v>1516</v>
      </c>
      <c r="C3597" t="s">
        <v>1472</v>
      </c>
      <c r="D3597" t="s">
        <v>1324</v>
      </c>
      <c r="E3597" t="s">
        <v>1417</v>
      </c>
      <c r="F3597" t="s">
        <v>598</v>
      </c>
      <c r="G3597" t="s">
        <v>478</v>
      </c>
      <c r="H3597" t="s">
        <v>600</v>
      </c>
      <c r="I3597" t="s">
        <v>601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hidden="1">
      <c r="A3598" t="s">
        <v>18813</v>
      </c>
      <c r="B3598" t="s">
        <v>1518</v>
      </c>
      <c r="C3598" t="s">
        <v>1472</v>
      </c>
      <c r="D3598" t="s">
        <v>1324</v>
      </c>
      <c r="E3598" t="s">
        <v>1326</v>
      </c>
      <c r="F3598" t="s">
        <v>598</v>
      </c>
      <c r="G3598" t="s">
        <v>478</v>
      </c>
      <c r="H3598" t="s">
        <v>600</v>
      </c>
      <c r="I3598" t="s">
        <v>601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hidden="1">
      <c r="A3599" t="s">
        <v>18813</v>
      </c>
      <c r="B3599" t="s">
        <v>1520</v>
      </c>
      <c r="C3599" t="s">
        <v>1472</v>
      </c>
      <c r="D3599" t="s">
        <v>1324</v>
      </c>
      <c r="E3599" t="s">
        <v>1402</v>
      </c>
      <c r="F3599" t="s">
        <v>598</v>
      </c>
      <c r="G3599" t="s">
        <v>478</v>
      </c>
      <c r="H3599" t="s">
        <v>600</v>
      </c>
      <c r="I3599" t="s">
        <v>601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hidden="1">
      <c r="A3600" t="s">
        <v>18813</v>
      </c>
      <c r="B3600" t="s">
        <v>1522</v>
      </c>
      <c r="C3600" t="s">
        <v>1472</v>
      </c>
      <c r="D3600" t="s">
        <v>1324</v>
      </c>
      <c r="E3600" t="s">
        <v>669</v>
      </c>
      <c r="F3600" t="s">
        <v>598</v>
      </c>
      <c r="G3600" t="s">
        <v>478</v>
      </c>
      <c r="H3600" t="s">
        <v>600</v>
      </c>
      <c r="I3600" t="s">
        <v>601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hidden="1">
      <c r="A3601" t="s">
        <v>18813</v>
      </c>
      <c r="B3601" t="s">
        <v>1524</v>
      </c>
      <c r="C3601" t="s">
        <v>1472</v>
      </c>
      <c r="D3601" t="s">
        <v>1324</v>
      </c>
      <c r="E3601" t="s">
        <v>1318</v>
      </c>
      <c r="F3601" t="s">
        <v>598</v>
      </c>
      <c r="G3601" t="s">
        <v>478</v>
      </c>
      <c r="H3601" t="s">
        <v>600</v>
      </c>
      <c r="I3601" t="s">
        <v>601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hidden="1">
      <c r="A3602" t="s">
        <v>18813</v>
      </c>
      <c r="B3602" t="s">
        <v>1527</v>
      </c>
      <c r="C3602" t="s">
        <v>1472</v>
      </c>
      <c r="D3602" t="s">
        <v>1332</v>
      </c>
      <c r="E3602" t="s">
        <v>1334</v>
      </c>
      <c r="F3602" t="s">
        <v>598</v>
      </c>
      <c r="G3602" t="s">
        <v>478</v>
      </c>
      <c r="H3602" t="s">
        <v>600</v>
      </c>
      <c r="I3602" t="s">
        <v>601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hidden="1">
      <c r="A3603" t="s">
        <v>18813</v>
      </c>
      <c r="B3603" t="s">
        <v>1528</v>
      </c>
      <c r="C3603" t="s">
        <v>1472</v>
      </c>
      <c r="D3603" t="s">
        <v>1332</v>
      </c>
      <c r="E3603" t="s">
        <v>1399</v>
      </c>
      <c r="F3603" t="s">
        <v>598</v>
      </c>
      <c r="G3603" t="s">
        <v>478</v>
      </c>
      <c r="H3603" t="s">
        <v>600</v>
      </c>
      <c r="I3603" t="s">
        <v>601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hidden="1">
      <c r="A3604" t="s">
        <v>18813</v>
      </c>
      <c r="B3604" t="s">
        <v>1531</v>
      </c>
      <c r="C3604" t="s">
        <v>1472</v>
      </c>
      <c r="D3604" t="s">
        <v>1332</v>
      </c>
      <c r="E3604" t="s">
        <v>1326</v>
      </c>
      <c r="F3604" t="s">
        <v>598</v>
      </c>
      <c r="G3604" t="s">
        <v>478</v>
      </c>
      <c r="H3604" t="s">
        <v>600</v>
      </c>
      <c r="I3604" t="s">
        <v>601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hidden="1">
      <c r="A3605" t="s">
        <v>18813</v>
      </c>
      <c r="B3605" t="s">
        <v>1534</v>
      </c>
      <c r="C3605" t="s">
        <v>1472</v>
      </c>
      <c r="D3605" t="s">
        <v>1332</v>
      </c>
      <c r="E3605" t="s">
        <v>1402</v>
      </c>
      <c r="F3605" t="s">
        <v>598</v>
      </c>
      <c r="G3605" t="s">
        <v>478</v>
      </c>
      <c r="H3605" t="s">
        <v>600</v>
      </c>
      <c r="I3605" t="s">
        <v>601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hidden="1">
      <c r="A3606" t="s">
        <v>18813</v>
      </c>
      <c r="B3606" t="s">
        <v>1536</v>
      </c>
      <c r="C3606" t="s">
        <v>1472</v>
      </c>
      <c r="D3606" t="s">
        <v>1332</v>
      </c>
      <c r="E3606" t="s">
        <v>669</v>
      </c>
      <c r="F3606" t="s">
        <v>598</v>
      </c>
      <c r="G3606" t="s">
        <v>478</v>
      </c>
      <c r="H3606" t="s">
        <v>600</v>
      </c>
      <c r="I3606" t="s">
        <v>601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hidden="1">
      <c r="A3607" t="s">
        <v>18813</v>
      </c>
      <c r="B3607" t="s">
        <v>1538</v>
      </c>
      <c r="C3607" t="s">
        <v>1472</v>
      </c>
      <c r="D3607" t="s">
        <v>1332</v>
      </c>
      <c r="E3607" t="s">
        <v>1318</v>
      </c>
      <c r="F3607" t="s">
        <v>598</v>
      </c>
      <c r="G3607" t="s">
        <v>478</v>
      </c>
      <c r="H3607" t="s">
        <v>600</v>
      </c>
      <c r="I3607" t="s">
        <v>601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hidden="1">
      <c r="A3608" t="s">
        <v>18813</v>
      </c>
      <c r="B3608" t="s">
        <v>1551</v>
      </c>
      <c r="C3608" t="s">
        <v>1472</v>
      </c>
      <c r="D3608" t="s">
        <v>1552</v>
      </c>
      <c r="E3608" t="s">
        <v>626</v>
      </c>
      <c r="F3608" t="s">
        <v>598</v>
      </c>
      <c r="G3608" t="s">
        <v>478</v>
      </c>
      <c r="H3608" t="s">
        <v>600</v>
      </c>
      <c r="I3608" t="s">
        <v>601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hidden="1">
      <c r="A3609" t="s">
        <v>18813</v>
      </c>
      <c r="B3609" t="s">
        <v>1553</v>
      </c>
      <c r="C3609" t="s">
        <v>1472</v>
      </c>
      <c r="D3609" t="s">
        <v>1552</v>
      </c>
      <c r="E3609" t="s">
        <v>628</v>
      </c>
      <c r="F3609" t="s">
        <v>598</v>
      </c>
      <c r="G3609" t="s">
        <v>478</v>
      </c>
      <c r="H3609" t="s">
        <v>600</v>
      </c>
      <c r="I3609" t="s">
        <v>601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hidden="1">
      <c r="A3610" t="s">
        <v>18813</v>
      </c>
      <c r="B3610" t="s">
        <v>1554</v>
      </c>
      <c r="C3610" t="s">
        <v>1472</v>
      </c>
      <c r="D3610" t="s">
        <v>1552</v>
      </c>
      <c r="E3610" t="s">
        <v>888</v>
      </c>
      <c r="F3610" t="s">
        <v>598</v>
      </c>
      <c r="G3610" t="s">
        <v>478</v>
      </c>
      <c r="H3610" t="s">
        <v>600</v>
      </c>
      <c r="I3610" t="s">
        <v>601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hidden="1">
      <c r="A3611" t="s">
        <v>18813</v>
      </c>
      <c r="B3611" t="s">
        <v>1555</v>
      </c>
      <c r="C3611" t="s">
        <v>1472</v>
      </c>
      <c r="D3611" t="s">
        <v>1552</v>
      </c>
      <c r="E3611" t="s">
        <v>781</v>
      </c>
      <c r="F3611" t="s">
        <v>598</v>
      </c>
      <c r="G3611" t="s">
        <v>478</v>
      </c>
      <c r="H3611" t="s">
        <v>600</v>
      </c>
      <c r="I3611" t="s">
        <v>601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hidden="1">
      <c r="A3612" t="s">
        <v>18813</v>
      </c>
      <c r="B3612" t="s">
        <v>1559</v>
      </c>
      <c r="C3612" t="s">
        <v>1472</v>
      </c>
      <c r="D3612" t="s">
        <v>1558</v>
      </c>
      <c r="E3612" t="s">
        <v>626</v>
      </c>
      <c r="F3612" t="s">
        <v>598</v>
      </c>
      <c r="G3612" t="s">
        <v>478</v>
      </c>
      <c r="H3612" t="s">
        <v>600</v>
      </c>
      <c r="I3612" t="s">
        <v>601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hidden="1">
      <c r="A3613" t="s">
        <v>18813</v>
      </c>
      <c r="B3613" t="s">
        <v>1560</v>
      </c>
      <c r="C3613" t="s">
        <v>1472</v>
      </c>
      <c r="D3613" t="s">
        <v>1558</v>
      </c>
      <c r="E3613" t="s">
        <v>628</v>
      </c>
      <c r="F3613" t="s">
        <v>598</v>
      </c>
      <c r="G3613" t="s">
        <v>478</v>
      </c>
      <c r="H3613" t="s">
        <v>600</v>
      </c>
      <c r="I3613" t="s">
        <v>601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hidden="1">
      <c r="A3614" t="s">
        <v>18813</v>
      </c>
      <c r="B3614" t="s">
        <v>1566</v>
      </c>
      <c r="C3614" t="s">
        <v>1472</v>
      </c>
      <c r="D3614" t="s">
        <v>1567</v>
      </c>
      <c r="E3614" t="s">
        <v>626</v>
      </c>
      <c r="F3614" t="s">
        <v>598</v>
      </c>
      <c r="G3614" t="s">
        <v>478</v>
      </c>
      <c r="H3614" t="s">
        <v>600</v>
      </c>
      <c r="I3614" t="s">
        <v>601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hidden="1">
      <c r="A3615" t="s">
        <v>18813</v>
      </c>
      <c r="B3615" t="s">
        <v>1568</v>
      </c>
      <c r="C3615" t="s">
        <v>1472</v>
      </c>
      <c r="D3615" t="s">
        <v>1569</v>
      </c>
      <c r="E3615" t="s">
        <v>626</v>
      </c>
      <c r="F3615" t="s">
        <v>598</v>
      </c>
      <c r="G3615" t="s">
        <v>478</v>
      </c>
      <c r="H3615" t="s">
        <v>600</v>
      </c>
      <c r="I3615" t="s">
        <v>601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</row>
    <row r="3616" spans="1:25" hidden="1">
      <c r="A3616" t="s">
        <v>18813</v>
      </c>
      <c r="B3616" t="s">
        <v>1570</v>
      </c>
      <c r="C3616" t="s">
        <v>1472</v>
      </c>
      <c r="D3616" t="s">
        <v>1571</v>
      </c>
      <c r="E3616" t="s">
        <v>626</v>
      </c>
      <c r="F3616" t="s">
        <v>598</v>
      </c>
      <c r="G3616" t="s">
        <v>478</v>
      </c>
      <c r="H3616" t="s">
        <v>600</v>
      </c>
      <c r="I3616" t="s">
        <v>601</v>
      </c>
      <c r="J3616">
        <v>1.4E-3</v>
      </c>
      <c r="K3616">
        <v>1.4E-3</v>
      </c>
      <c r="L3616">
        <v>1.4E-3</v>
      </c>
      <c r="M3616">
        <v>1.4E-3</v>
      </c>
      <c r="N3616">
        <v>1.4E-3</v>
      </c>
      <c r="O3616">
        <v>1.4E-3</v>
      </c>
      <c r="P3616">
        <v>1.4E-3</v>
      </c>
      <c r="Q3616">
        <v>1.4E-3</v>
      </c>
      <c r="R3616">
        <v>1.4E-3</v>
      </c>
      <c r="S3616">
        <v>1.4E-3</v>
      </c>
      <c r="T3616">
        <v>1.4E-3</v>
      </c>
      <c r="U3616">
        <v>1.4E-3</v>
      </c>
      <c r="V3616">
        <v>1.4E-3</v>
      </c>
      <c r="W3616">
        <v>1.4E-3</v>
      </c>
      <c r="X3616">
        <v>1.4E-3</v>
      </c>
      <c r="Y3616">
        <v>1.4E-3</v>
      </c>
    </row>
    <row r="3617" spans="1:25" hidden="1">
      <c r="A3617" t="s">
        <v>18813</v>
      </c>
      <c r="B3617" t="s">
        <v>1573</v>
      </c>
      <c r="C3617" t="s">
        <v>1472</v>
      </c>
      <c r="D3617" t="s">
        <v>1574</v>
      </c>
      <c r="E3617" t="s">
        <v>626</v>
      </c>
      <c r="F3617" t="s">
        <v>598</v>
      </c>
      <c r="G3617" t="s">
        <v>478</v>
      </c>
      <c r="H3617" t="s">
        <v>600</v>
      </c>
      <c r="I3617" t="s">
        <v>601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hidden="1">
      <c r="A3618" t="s">
        <v>18813</v>
      </c>
      <c r="B3618" t="s">
        <v>1575</v>
      </c>
      <c r="C3618" t="s">
        <v>1472</v>
      </c>
      <c r="D3618" t="s">
        <v>1576</v>
      </c>
      <c r="E3618" t="s">
        <v>626</v>
      </c>
      <c r="F3618" t="s">
        <v>598</v>
      </c>
      <c r="G3618" t="s">
        <v>478</v>
      </c>
      <c r="H3618" t="s">
        <v>600</v>
      </c>
      <c r="I3618" t="s">
        <v>601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hidden="1">
      <c r="A3619" t="s">
        <v>18813</v>
      </c>
      <c r="B3619" t="s">
        <v>1579</v>
      </c>
      <c r="C3619" t="s">
        <v>1472</v>
      </c>
      <c r="D3619" t="s">
        <v>1578</v>
      </c>
      <c r="E3619" t="s">
        <v>1334</v>
      </c>
      <c r="F3619" t="s">
        <v>598</v>
      </c>
      <c r="G3619" t="s">
        <v>478</v>
      </c>
      <c r="H3619" t="s">
        <v>600</v>
      </c>
      <c r="I3619" t="s">
        <v>601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hidden="1">
      <c r="A3620" t="s">
        <v>18813</v>
      </c>
      <c r="B3620" t="s">
        <v>1580</v>
      </c>
      <c r="C3620" t="s">
        <v>1472</v>
      </c>
      <c r="D3620" t="s">
        <v>1578</v>
      </c>
      <c r="E3620" t="s">
        <v>1399</v>
      </c>
      <c r="F3620" t="s">
        <v>598</v>
      </c>
      <c r="G3620" t="s">
        <v>478</v>
      </c>
      <c r="H3620" t="s">
        <v>600</v>
      </c>
      <c r="I3620" t="s">
        <v>601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hidden="1">
      <c r="A3621" t="s">
        <v>18813</v>
      </c>
      <c r="B3621" t="s">
        <v>1582</v>
      </c>
      <c r="C3621" t="s">
        <v>1472</v>
      </c>
      <c r="D3621" t="s">
        <v>1583</v>
      </c>
      <c r="E3621" t="s">
        <v>626</v>
      </c>
      <c r="F3621" t="s">
        <v>598</v>
      </c>
      <c r="G3621" t="s">
        <v>478</v>
      </c>
      <c r="H3621" t="s">
        <v>600</v>
      </c>
      <c r="I3621" t="s">
        <v>601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hidden="1">
      <c r="A3622" t="s">
        <v>18813</v>
      </c>
      <c r="B3622" t="s">
        <v>1584</v>
      </c>
      <c r="C3622" t="s">
        <v>1472</v>
      </c>
      <c r="D3622" t="s">
        <v>1583</v>
      </c>
      <c r="E3622" t="s">
        <v>1334</v>
      </c>
      <c r="F3622" t="s">
        <v>598</v>
      </c>
      <c r="G3622" t="s">
        <v>478</v>
      </c>
      <c r="H3622" t="s">
        <v>600</v>
      </c>
      <c r="I3622" t="s">
        <v>601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hidden="1">
      <c r="A3623" t="s">
        <v>18813</v>
      </c>
      <c r="B3623" t="s">
        <v>1587</v>
      </c>
      <c r="C3623" t="s">
        <v>1472</v>
      </c>
      <c r="D3623" t="s">
        <v>1588</v>
      </c>
      <c r="E3623" t="s">
        <v>626</v>
      </c>
      <c r="F3623" t="s">
        <v>598</v>
      </c>
      <c r="G3623" t="s">
        <v>478</v>
      </c>
      <c r="H3623" t="s">
        <v>600</v>
      </c>
      <c r="I3623" t="s">
        <v>601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hidden="1">
      <c r="A3624" t="s">
        <v>18813</v>
      </c>
      <c r="B3624" t="s">
        <v>1589</v>
      </c>
      <c r="C3624" t="s">
        <v>1472</v>
      </c>
      <c r="D3624" t="s">
        <v>1365</v>
      </c>
      <c r="E3624" t="s">
        <v>973</v>
      </c>
      <c r="F3624" t="s">
        <v>598</v>
      </c>
      <c r="G3624" t="s">
        <v>478</v>
      </c>
      <c r="H3624" t="s">
        <v>600</v>
      </c>
      <c r="I3624" t="s">
        <v>601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hidden="1">
      <c r="A3625" t="s">
        <v>18813</v>
      </c>
      <c r="B3625" t="s">
        <v>1590</v>
      </c>
      <c r="C3625" t="s">
        <v>1472</v>
      </c>
      <c r="D3625" t="s">
        <v>1365</v>
      </c>
      <c r="E3625" t="s">
        <v>626</v>
      </c>
      <c r="F3625" t="s">
        <v>598</v>
      </c>
      <c r="G3625" t="s">
        <v>478</v>
      </c>
      <c r="H3625" t="s">
        <v>600</v>
      </c>
      <c r="I3625" t="s">
        <v>601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hidden="1">
      <c r="A3626" t="s">
        <v>18813</v>
      </c>
      <c r="B3626" t="s">
        <v>1591</v>
      </c>
      <c r="C3626" t="s">
        <v>1472</v>
      </c>
      <c r="D3626" t="s">
        <v>1365</v>
      </c>
      <c r="E3626" t="s">
        <v>628</v>
      </c>
      <c r="F3626" t="s">
        <v>598</v>
      </c>
      <c r="G3626" t="s">
        <v>478</v>
      </c>
      <c r="H3626" t="s">
        <v>600</v>
      </c>
      <c r="I3626" t="s">
        <v>601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hidden="1">
      <c r="A3627" t="s">
        <v>18813</v>
      </c>
      <c r="B3627" t="s">
        <v>1592</v>
      </c>
      <c r="C3627" t="s">
        <v>1472</v>
      </c>
      <c r="D3627" t="s">
        <v>1365</v>
      </c>
      <c r="E3627" t="s">
        <v>888</v>
      </c>
      <c r="F3627" t="s">
        <v>598</v>
      </c>
      <c r="G3627" t="s">
        <v>478</v>
      </c>
      <c r="H3627" t="s">
        <v>600</v>
      </c>
      <c r="I3627" t="s">
        <v>601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hidden="1">
      <c r="A3628" t="s">
        <v>18813</v>
      </c>
      <c r="B3628" t="s">
        <v>1593</v>
      </c>
      <c r="C3628" t="s">
        <v>1472</v>
      </c>
      <c r="D3628" t="s">
        <v>1365</v>
      </c>
      <c r="E3628" t="s">
        <v>781</v>
      </c>
      <c r="F3628" t="s">
        <v>598</v>
      </c>
      <c r="G3628" t="s">
        <v>478</v>
      </c>
      <c r="H3628" t="s">
        <v>600</v>
      </c>
      <c r="I3628" t="s">
        <v>601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hidden="1">
      <c r="A3629" t="s">
        <v>18813</v>
      </c>
      <c r="B3629" t="s">
        <v>1594</v>
      </c>
      <c r="C3629" t="s">
        <v>1472</v>
      </c>
      <c r="D3629" t="s">
        <v>1365</v>
      </c>
      <c r="E3629" t="s">
        <v>678</v>
      </c>
      <c r="F3629" t="s">
        <v>598</v>
      </c>
      <c r="G3629" t="s">
        <v>478</v>
      </c>
      <c r="H3629" t="s">
        <v>600</v>
      </c>
      <c r="I3629" t="s">
        <v>601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</row>
    <row r="3630" spans="1:25" hidden="1">
      <c r="A3630" t="s">
        <v>18813</v>
      </c>
      <c r="B3630" t="s">
        <v>1595</v>
      </c>
      <c r="C3630" t="s">
        <v>1472</v>
      </c>
      <c r="D3630" t="s">
        <v>1458</v>
      </c>
      <c r="E3630" t="s">
        <v>626</v>
      </c>
      <c r="F3630" t="s">
        <v>598</v>
      </c>
      <c r="G3630" t="s">
        <v>478</v>
      </c>
      <c r="H3630" t="s">
        <v>600</v>
      </c>
      <c r="I3630" t="s">
        <v>601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hidden="1">
      <c r="A3631" t="s">
        <v>18813</v>
      </c>
      <c r="B3631" t="s">
        <v>1597</v>
      </c>
      <c r="C3631" t="s">
        <v>1472</v>
      </c>
      <c r="D3631" t="s">
        <v>1598</v>
      </c>
      <c r="E3631" t="s">
        <v>626</v>
      </c>
      <c r="F3631" t="s">
        <v>598</v>
      </c>
      <c r="G3631" t="s">
        <v>478</v>
      </c>
      <c r="H3631" t="s">
        <v>600</v>
      </c>
      <c r="I3631" t="s">
        <v>601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hidden="1">
      <c r="A3632" t="s">
        <v>18813</v>
      </c>
      <c r="B3632" t="s">
        <v>1599</v>
      </c>
      <c r="C3632" t="s">
        <v>1472</v>
      </c>
      <c r="D3632" t="s">
        <v>1598</v>
      </c>
      <c r="E3632" t="s">
        <v>781</v>
      </c>
      <c r="F3632" t="s">
        <v>598</v>
      </c>
      <c r="G3632" t="s">
        <v>478</v>
      </c>
      <c r="H3632" t="s">
        <v>600</v>
      </c>
      <c r="I3632" t="s">
        <v>601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hidden="1">
      <c r="A3633" t="s">
        <v>18813</v>
      </c>
      <c r="B3633" t="s">
        <v>1600</v>
      </c>
      <c r="C3633" t="s">
        <v>1472</v>
      </c>
      <c r="D3633" t="s">
        <v>1601</v>
      </c>
      <c r="E3633" t="s">
        <v>626</v>
      </c>
      <c r="F3633" t="s">
        <v>598</v>
      </c>
      <c r="G3633" t="s">
        <v>478</v>
      </c>
      <c r="H3633" t="s">
        <v>600</v>
      </c>
      <c r="I3633" t="s">
        <v>601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hidden="1">
      <c r="A3634" t="s">
        <v>18813</v>
      </c>
      <c r="B3634" t="s">
        <v>1602</v>
      </c>
      <c r="C3634" t="s">
        <v>1472</v>
      </c>
      <c r="D3634" t="s">
        <v>1603</v>
      </c>
      <c r="E3634" t="s">
        <v>626</v>
      </c>
      <c r="F3634" t="s">
        <v>598</v>
      </c>
      <c r="G3634" t="s">
        <v>478</v>
      </c>
      <c r="H3634" t="s">
        <v>600</v>
      </c>
      <c r="I3634" t="s">
        <v>601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hidden="1">
      <c r="A3635" t="s">
        <v>18813</v>
      </c>
      <c r="B3635" t="s">
        <v>1604</v>
      </c>
      <c r="C3635" t="s">
        <v>1472</v>
      </c>
      <c r="D3635" t="s">
        <v>1605</v>
      </c>
      <c r="E3635" t="s">
        <v>626</v>
      </c>
      <c r="F3635" t="s">
        <v>598</v>
      </c>
      <c r="G3635" t="s">
        <v>478</v>
      </c>
      <c r="H3635" t="s">
        <v>600</v>
      </c>
      <c r="I3635" t="s">
        <v>601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hidden="1">
      <c r="A3636" t="s">
        <v>18813</v>
      </c>
      <c r="B3636" t="s">
        <v>1607</v>
      </c>
      <c r="C3636" t="s">
        <v>1472</v>
      </c>
      <c r="D3636" t="s">
        <v>648</v>
      </c>
      <c r="E3636" t="s">
        <v>597</v>
      </c>
      <c r="F3636" t="s">
        <v>598</v>
      </c>
      <c r="G3636" t="s">
        <v>478</v>
      </c>
      <c r="H3636" t="s">
        <v>600</v>
      </c>
      <c r="I3636" t="s">
        <v>601</v>
      </c>
      <c r="J3636">
        <v>1.6000000000000001E-3</v>
      </c>
      <c r="K3636">
        <v>1.6000000000000001E-3</v>
      </c>
      <c r="L3636">
        <v>1.6000000000000001E-3</v>
      </c>
      <c r="M3636">
        <v>1.6000000000000001E-3</v>
      </c>
      <c r="N3636">
        <v>1.6000000000000001E-3</v>
      </c>
      <c r="O3636">
        <v>1.6000000000000001E-3</v>
      </c>
      <c r="P3636">
        <v>1.6000000000000001E-3</v>
      </c>
      <c r="Q3636">
        <v>1.6000000000000001E-3</v>
      </c>
      <c r="R3636">
        <v>1.6000000000000001E-3</v>
      </c>
      <c r="S3636">
        <v>1.6000000000000001E-3</v>
      </c>
      <c r="T3636">
        <v>1.6000000000000001E-3</v>
      </c>
      <c r="U3636">
        <v>1.6000000000000001E-3</v>
      </c>
      <c r="V3636">
        <v>1.6000000000000001E-3</v>
      </c>
      <c r="W3636">
        <v>1.6000000000000001E-3</v>
      </c>
      <c r="X3636">
        <v>1.6000000000000001E-3</v>
      </c>
      <c r="Y3636">
        <v>1.6000000000000001E-3</v>
      </c>
    </row>
    <row r="3637" spans="1:25" hidden="1">
      <c r="A3637" t="s">
        <v>18813</v>
      </c>
      <c r="B3637" t="s">
        <v>1609</v>
      </c>
      <c r="C3637" t="s">
        <v>1472</v>
      </c>
      <c r="D3637" t="s">
        <v>648</v>
      </c>
      <c r="E3637" t="s">
        <v>626</v>
      </c>
      <c r="F3637" t="s">
        <v>598</v>
      </c>
      <c r="G3637" t="s">
        <v>478</v>
      </c>
      <c r="H3637" t="s">
        <v>600</v>
      </c>
      <c r="I3637" t="s">
        <v>601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</row>
    <row r="3638" spans="1:25" hidden="1">
      <c r="A3638" t="s">
        <v>18813</v>
      </c>
      <c r="B3638" t="s">
        <v>1610</v>
      </c>
      <c r="C3638" t="s">
        <v>1611</v>
      </c>
      <c r="D3638" t="s">
        <v>648</v>
      </c>
      <c r="E3638" t="s">
        <v>920</v>
      </c>
      <c r="F3638" t="s">
        <v>598</v>
      </c>
      <c r="G3638" t="s">
        <v>478</v>
      </c>
      <c r="H3638" t="s">
        <v>600</v>
      </c>
      <c r="I3638" t="s">
        <v>601</v>
      </c>
      <c r="J3638">
        <v>8.0000000000000004E-4</v>
      </c>
      <c r="K3638">
        <v>8.0000000000000004E-4</v>
      </c>
      <c r="L3638">
        <v>8.9999999999999998E-4</v>
      </c>
      <c r="M3638">
        <v>8.9999999999999998E-4</v>
      </c>
      <c r="N3638">
        <v>8.9999999999999998E-4</v>
      </c>
      <c r="O3638">
        <v>8.9999999999999998E-4</v>
      </c>
      <c r="P3638">
        <v>8.9999999999999998E-4</v>
      </c>
      <c r="Q3638">
        <v>8.9999999999999998E-4</v>
      </c>
      <c r="R3638">
        <v>8.9999999999999998E-4</v>
      </c>
      <c r="S3638">
        <v>8.9999999999999998E-4</v>
      </c>
      <c r="T3638">
        <v>8.9999999999999998E-4</v>
      </c>
      <c r="U3638">
        <v>8.9999999999999998E-4</v>
      </c>
      <c r="V3638">
        <v>8.9999999999999998E-4</v>
      </c>
      <c r="W3638">
        <v>8.9999999999999998E-4</v>
      </c>
      <c r="X3638">
        <v>8.9999999999999998E-4</v>
      </c>
      <c r="Y3638">
        <v>8.9999999999999998E-4</v>
      </c>
    </row>
    <row r="3639" spans="1:25" hidden="1">
      <c r="A3639" t="s">
        <v>18813</v>
      </c>
      <c r="B3639" t="s">
        <v>1616</v>
      </c>
      <c r="C3639" t="s">
        <v>1614</v>
      </c>
      <c r="D3639" t="s">
        <v>1392</v>
      </c>
      <c r="E3639" t="s">
        <v>1393</v>
      </c>
      <c r="F3639" t="s">
        <v>598</v>
      </c>
      <c r="G3639" t="s">
        <v>478</v>
      </c>
      <c r="H3639" t="s">
        <v>600</v>
      </c>
      <c r="I3639" t="s">
        <v>601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hidden="1">
      <c r="A3640" t="s">
        <v>18813</v>
      </c>
      <c r="B3640" t="s">
        <v>1617</v>
      </c>
      <c r="C3640" t="s">
        <v>1614</v>
      </c>
      <c r="D3640" t="s">
        <v>1316</v>
      </c>
      <c r="E3640" t="s">
        <v>954</v>
      </c>
      <c r="F3640" t="s">
        <v>598</v>
      </c>
      <c r="G3640" t="s">
        <v>478</v>
      </c>
      <c r="H3640" t="s">
        <v>600</v>
      </c>
      <c r="I3640" t="s">
        <v>601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hidden="1">
      <c r="A3641" t="s">
        <v>18813</v>
      </c>
      <c r="B3641" t="s">
        <v>1618</v>
      </c>
      <c r="C3641" t="s">
        <v>1614</v>
      </c>
      <c r="D3641" t="s">
        <v>1316</v>
      </c>
      <c r="E3641" t="s">
        <v>1020</v>
      </c>
      <c r="F3641" t="s">
        <v>598</v>
      </c>
      <c r="G3641" t="s">
        <v>478</v>
      </c>
      <c r="H3641" t="s">
        <v>600</v>
      </c>
      <c r="I3641" t="s">
        <v>601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hidden="1">
      <c r="A3642" t="s">
        <v>18813</v>
      </c>
      <c r="B3642" t="s">
        <v>1619</v>
      </c>
      <c r="C3642" t="s">
        <v>1614</v>
      </c>
      <c r="D3642" t="s">
        <v>1316</v>
      </c>
      <c r="E3642" t="s">
        <v>1198</v>
      </c>
      <c r="F3642" t="s">
        <v>598</v>
      </c>
      <c r="G3642" t="s">
        <v>478</v>
      </c>
      <c r="H3642" t="s">
        <v>600</v>
      </c>
      <c r="I3642" t="s">
        <v>601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hidden="1">
      <c r="A3643" t="s">
        <v>18813</v>
      </c>
      <c r="B3643" t="s">
        <v>1620</v>
      </c>
      <c r="C3643" t="s">
        <v>1614</v>
      </c>
      <c r="D3643" t="s">
        <v>1316</v>
      </c>
      <c r="E3643" t="s">
        <v>1393</v>
      </c>
      <c r="F3643" t="s">
        <v>598</v>
      </c>
      <c r="G3643" t="s">
        <v>478</v>
      </c>
      <c r="H3643" t="s">
        <v>600</v>
      </c>
      <c r="I3643" t="s">
        <v>601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hidden="1">
      <c r="A3644" t="s">
        <v>18813</v>
      </c>
      <c r="B3644" t="s">
        <v>1621</v>
      </c>
      <c r="C3644" t="s">
        <v>1614</v>
      </c>
      <c r="D3644" t="s">
        <v>1320</v>
      </c>
      <c r="E3644" t="s">
        <v>1020</v>
      </c>
      <c r="F3644" t="s">
        <v>598</v>
      </c>
      <c r="G3644" t="s">
        <v>478</v>
      </c>
      <c r="H3644" t="s">
        <v>600</v>
      </c>
      <c r="I3644" t="s">
        <v>601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hidden="1">
      <c r="A3645" t="s">
        <v>18813</v>
      </c>
      <c r="B3645" t="s">
        <v>1622</v>
      </c>
      <c r="C3645" t="s">
        <v>1614</v>
      </c>
      <c r="D3645" t="s">
        <v>1320</v>
      </c>
      <c r="E3645" t="s">
        <v>1198</v>
      </c>
      <c r="F3645" t="s">
        <v>598</v>
      </c>
      <c r="G3645" t="s">
        <v>478</v>
      </c>
      <c r="H3645" t="s">
        <v>600</v>
      </c>
      <c r="I3645" t="s">
        <v>601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hidden="1">
      <c r="A3646" t="s">
        <v>18813</v>
      </c>
      <c r="B3646" t="s">
        <v>1624</v>
      </c>
      <c r="C3646" t="s">
        <v>1614</v>
      </c>
      <c r="D3646" t="s">
        <v>1324</v>
      </c>
      <c r="E3646" t="s">
        <v>1018</v>
      </c>
      <c r="F3646" t="s">
        <v>598</v>
      </c>
      <c r="G3646" t="s">
        <v>478</v>
      </c>
      <c r="H3646" t="s">
        <v>600</v>
      </c>
      <c r="I3646" t="s">
        <v>601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hidden="1">
      <c r="A3647" t="s">
        <v>18813</v>
      </c>
      <c r="B3647" t="s">
        <v>1627</v>
      </c>
      <c r="C3647" t="s">
        <v>1614</v>
      </c>
      <c r="D3647" t="s">
        <v>1324</v>
      </c>
      <c r="E3647" t="s">
        <v>954</v>
      </c>
      <c r="F3647" t="s">
        <v>598</v>
      </c>
      <c r="G3647" t="s">
        <v>478</v>
      </c>
      <c r="H3647" t="s">
        <v>600</v>
      </c>
      <c r="I3647" t="s">
        <v>601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hidden="1">
      <c r="A3648" t="s">
        <v>18813</v>
      </c>
      <c r="B3648" t="s">
        <v>1629</v>
      </c>
      <c r="C3648" t="s">
        <v>1614</v>
      </c>
      <c r="D3648" t="s">
        <v>1324</v>
      </c>
      <c r="E3648" t="s">
        <v>1423</v>
      </c>
      <c r="F3648" t="s">
        <v>598</v>
      </c>
      <c r="G3648" t="s">
        <v>478</v>
      </c>
      <c r="H3648" t="s">
        <v>600</v>
      </c>
      <c r="I3648" t="s">
        <v>601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hidden="1">
      <c r="A3649" t="s">
        <v>18813</v>
      </c>
      <c r="B3649" t="s">
        <v>1630</v>
      </c>
      <c r="C3649" t="s">
        <v>1614</v>
      </c>
      <c r="D3649" t="s">
        <v>1324</v>
      </c>
      <c r="E3649" t="s">
        <v>1343</v>
      </c>
      <c r="F3649" t="s">
        <v>598</v>
      </c>
      <c r="G3649" t="s">
        <v>478</v>
      </c>
      <c r="H3649" t="s">
        <v>600</v>
      </c>
      <c r="I3649" t="s">
        <v>601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hidden="1">
      <c r="A3650" t="s">
        <v>18813</v>
      </c>
      <c r="B3650" t="s">
        <v>1637</v>
      </c>
      <c r="C3650" t="s">
        <v>1614</v>
      </c>
      <c r="D3650" t="s">
        <v>1324</v>
      </c>
      <c r="E3650" t="s">
        <v>1638</v>
      </c>
      <c r="F3650" t="s">
        <v>598</v>
      </c>
      <c r="G3650" t="s">
        <v>478</v>
      </c>
      <c r="H3650" t="s">
        <v>600</v>
      </c>
      <c r="I3650" t="s">
        <v>601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hidden="1">
      <c r="A3651" t="s">
        <v>18813</v>
      </c>
      <c r="B3651" t="s">
        <v>1643</v>
      </c>
      <c r="C3651" t="s">
        <v>1614</v>
      </c>
      <c r="D3651" t="s">
        <v>1324</v>
      </c>
      <c r="E3651" t="s">
        <v>1198</v>
      </c>
      <c r="F3651" t="s">
        <v>598</v>
      </c>
      <c r="G3651" t="s">
        <v>478</v>
      </c>
      <c r="H3651" t="s">
        <v>600</v>
      </c>
      <c r="I3651" t="s">
        <v>601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hidden="1">
      <c r="A3652" t="s">
        <v>18813</v>
      </c>
      <c r="B3652" t="s">
        <v>1644</v>
      </c>
      <c r="C3652" t="s">
        <v>1614</v>
      </c>
      <c r="D3652" t="s">
        <v>1324</v>
      </c>
      <c r="E3652" t="s">
        <v>1645</v>
      </c>
      <c r="F3652" t="s">
        <v>598</v>
      </c>
      <c r="G3652" t="s">
        <v>478</v>
      </c>
      <c r="H3652" t="s">
        <v>600</v>
      </c>
      <c r="I3652" t="s">
        <v>601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hidden="1">
      <c r="A3653" t="s">
        <v>18813</v>
      </c>
      <c r="B3653" t="s">
        <v>1648</v>
      </c>
      <c r="C3653" t="s">
        <v>1614</v>
      </c>
      <c r="D3653" t="s">
        <v>1324</v>
      </c>
      <c r="E3653" t="s">
        <v>1649</v>
      </c>
      <c r="F3653" t="s">
        <v>598</v>
      </c>
      <c r="G3653" t="s">
        <v>478</v>
      </c>
      <c r="H3653" t="s">
        <v>600</v>
      </c>
      <c r="I3653" t="s">
        <v>601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hidden="1">
      <c r="A3654" t="s">
        <v>18813</v>
      </c>
      <c r="B3654" t="s">
        <v>1657</v>
      </c>
      <c r="C3654" t="s">
        <v>1614</v>
      </c>
      <c r="D3654" t="s">
        <v>1324</v>
      </c>
      <c r="E3654" t="s">
        <v>1028</v>
      </c>
      <c r="F3654" t="s">
        <v>598</v>
      </c>
      <c r="G3654" t="s">
        <v>478</v>
      </c>
      <c r="H3654" t="s">
        <v>600</v>
      </c>
      <c r="I3654" t="s">
        <v>601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hidden="1">
      <c r="A3655" t="s">
        <v>18813</v>
      </c>
      <c r="B3655" t="s">
        <v>1658</v>
      </c>
      <c r="C3655" t="s">
        <v>1614</v>
      </c>
      <c r="D3655" t="s">
        <v>1324</v>
      </c>
      <c r="E3655" t="s">
        <v>1030</v>
      </c>
      <c r="F3655" t="s">
        <v>598</v>
      </c>
      <c r="G3655" t="s">
        <v>478</v>
      </c>
      <c r="H3655" t="s">
        <v>600</v>
      </c>
      <c r="I3655" t="s">
        <v>601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hidden="1">
      <c r="A3656" t="s">
        <v>18813</v>
      </c>
      <c r="B3656" t="s">
        <v>1661</v>
      </c>
      <c r="C3656" t="s">
        <v>1614</v>
      </c>
      <c r="D3656" t="s">
        <v>1324</v>
      </c>
      <c r="E3656" t="s">
        <v>630</v>
      </c>
      <c r="F3656" t="s">
        <v>598</v>
      </c>
      <c r="G3656" t="s">
        <v>478</v>
      </c>
      <c r="H3656" t="s">
        <v>600</v>
      </c>
      <c r="I3656" t="s">
        <v>601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hidden="1">
      <c r="A3657" t="s">
        <v>18813</v>
      </c>
      <c r="B3657" t="s">
        <v>1662</v>
      </c>
      <c r="C3657" t="s">
        <v>1614</v>
      </c>
      <c r="D3657" t="s">
        <v>1324</v>
      </c>
      <c r="E3657" t="s">
        <v>1033</v>
      </c>
      <c r="F3657" t="s">
        <v>598</v>
      </c>
      <c r="G3657" t="s">
        <v>478</v>
      </c>
      <c r="H3657" t="s">
        <v>600</v>
      </c>
      <c r="I3657" t="s">
        <v>601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hidden="1">
      <c r="A3658" t="s">
        <v>18813</v>
      </c>
      <c r="B3658" t="s">
        <v>1665</v>
      </c>
      <c r="C3658" t="s">
        <v>1614</v>
      </c>
      <c r="D3658" t="s">
        <v>1324</v>
      </c>
      <c r="E3658" t="s">
        <v>1666</v>
      </c>
      <c r="F3658" t="s">
        <v>598</v>
      </c>
      <c r="G3658" t="s">
        <v>478</v>
      </c>
      <c r="H3658" t="s">
        <v>600</v>
      </c>
      <c r="I3658" t="s">
        <v>601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hidden="1">
      <c r="A3659" t="s">
        <v>18813</v>
      </c>
      <c r="B3659" t="s">
        <v>1668</v>
      </c>
      <c r="C3659" t="s">
        <v>1614</v>
      </c>
      <c r="D3659" t="s">
        <v>1324</v>
      </c>
      <c r="E3659" t="s">
        <v>1211</v>
      </c>
      <c r="F3659" t="s">
        <v>598</v>
      </c>
      <c r="G3659" t="s">
        <v>478</v>
      </c>
      <c r="H3659" t="s">
        <v>600</v>
      </c>
      <c r="I3659" t="s">
        <v>601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hidden="1">
      <c r="A3660" t="s">
        <v>18813</v>
      </c>
      <c r="B3660" t="s">
        <v>1669</v>
      </c>
      <c r="C3660" t="s">
        <v>1614</v>
      </c>
      <c r="D3660" t="s">
        <v>1324</v>
      </c>
      <c r="E3660" t="s">
        <v>1670</v>
      </c>
      <c r="F3660" t="s">
        <v>598</v>
      </c>
      <c r="G3660" t="s">
        <v>478</v>
      </c>
      <c r="H3660" t="s">
        <v>600</v>
      </c>
      <c r="I3660" t="s">
        <v>601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hidden="1">
      <c r="A3661" t="s">
        <v>18813</v>
      </c>
      <c r="B3661" t="s">
        <v>1671</v>
      </c>
      <c r="C3661" t="s">
        <v>1614</v>
      </c>
      <c r="D3661" t="s">
        <v>1324</v>
      </c>
      <c r="E3661" t="s">
        <v>1672</v>
      </c>
      <c r="F3661" t="s">
        <v>598</v>
      </c>
      <c r="G3661" t="s">
        <v>478</v>
      </c>
      <c r="H3661" t="s">
        <v>600</v>
      </c>
      <c r="I3661" t="s">
        <v>601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hidden="1">
      <c r="A3662" t="s">
        <v>18813</v>
      </c>
      <c r="B3662" t="s">
        <v>1675</v>
      </c>
      <c r="C3662" t="s">
        <v>1614</v>
      </c>
      <c r="D3662" t="s">
        <v>1324</v>
      </c>
      <c r="E3662" t="s">
        <v>1676</v>
      </c>
      <c r="F3662" t="s">
        <v>598</v>
      </c>
      <c r="G3662" t="s">
        <v>478</v>
      </c>
      <c r="H3662" t="s">
        <v>600</v>
      </c>
      <c r="I3662" t="s">
        <v>601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hidden="1">
      <c r="A3663" t="s">
        <v>18813</v>
      </c>
      <c r="B3663" t="s">
        <v>1677</v>
      </c>
      <c r="C3663" t="s">
        <v>1614</v>
      </c>
      <c r="D3663" t="s">
        <v>1324</v>
      </c>
      <c r="E3663" t="s">
        <v>1678</v>
      </c>
      <c r="F3663" t="s">
        <v>598</v>
      </c>
      <c r="G3663" t="s">
        <v>478</v>
      </c>
      <c r="H3663" t="s">
        <v>600</v>
      </c>
      <c r="I3663" t="s">
        <v>601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hidden="1">
      <c r="A3664" t="s">
        <v>18813</v>
      </c>
      <c r="B3664" t="s">
        <v>1679</v>
      </c>
      <c r="C3664" t="s">
        <v>1614</v>
      </c>
      <c r="D3664" t="s">
        <v>1324</v>
      </c>
      <c r="E3664" t="s">
        <v>1058</v>
      </c>
      <c r="F3664" t="s">
        <v>598</v>
      </c>
      <c r="G3664" t="s">
        <v>478</v>
      </c>
      <c r="H3664" t="s">
        <v>600</v>
      </c>
      <c r="I3664" t="s">
        <v>601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hidden="1">
      <c r="A3665" t="s">
        <v>18813</v>
      </c>
      <c r="B3665" t="s">
        <v>1680</v>
      </c>
      <c r="C3665" t="s">
        <v>1614</v>
      </c>
      <c r="D3665" t="s">
        <v>1324</v>
      </c>
      <c r="E3665" t="s">
        <v>1681</v>
      </c>
      <c r="F3665" t="s">
        <v>598</v>
      </c>
      <c r="G3665" t="s">
        <v>478</v>
      </c>
      <c r="H3665" t="s">
        <v>600</v>
      </c>
      <c r="I3665" t="s">
        <v>601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hidden="1">
      <c r="A3666" t="s">
        <v>18813</v>
      </c>
      <c r="B3666" t="s">
        <v>1682</v>
      </c>
      <c r="C3666" t="s">
        <v>1614</v>
      </c>
      <c r="D3666" t="s">
        <v>1332</v>
      </c>
      <c r="E3666" t="s">
        <v>1018</v>
      </c>
      <c r="F3666" t="s">
        <v>598</v>
      </c>
      <c r="G3666" t="s">
        <v>478</v>
      </c>
      <c r="H3666" t="s">
        <v>600</v>
      </c>
      <c r="I3666" t="s">
        <v>601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hidden="1">
      <c r="A3667" t="s">
        <v>18813</v>
      </c>
      <c r="B3667" t="s">
        <v>1683</v>
      </c>
      <c r="C3667" t="s">
        <v>1614</v>
      </c>
      <c r="D3667" t="s">
        <v>1332</v>
      </c>
      <c r="E3667" t="s">
        <v>1684</v>
      </c>
      <c r="F3667" t="s">
        <v>598</v>
      </c>
      <c r="G3667" t="s">
        <v>478</v>
      </c>
      <c r="H3667" t="s">
        <v>600</v>
      </c>
      <c r="I3667" t="s">
        <v>601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hidden="1">
      <c r="A3668" t="s">
        <v>18813</v>
      </c>
      <c r="B3668" t="s">
        <v>1685</v>
      </c>
      <c r="C3668" t="s">
        <v>1614</v>
      </c>
      <c r="D3668" t="s">
        <v>1332</v>
      </c>
      <c r="E3668" t="s">
        <v>954</v>
      </c>
      <c r="F3668" t="s">
        <v>598</v>
      </c>
      <c r="G3668" t="s">
        <v>478</v>
      </c>
      <c r="H3668" t="s">
        <v>600</v>
      </c>
      <c r="I3668" t="s">
        <v>601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hidden="1">
      <c r="A3669" t="s">
        <v>18813</v>
      </c>
      <c r="B3669" t="s">
        <v>1688</v>
      </c>
      <c r="C3669" t="s">
        <v>1614</v>
      </c>
      <c r="D3669" t="s">
        <v>1332</v>
      </c>
      <c r="E3669" t="s">
        <v>1423</v>
      </c>
      <c r="F3669" t="s">
        <v>598</v>
      </c>
      <c r="G3669" t="s">
        <v>478</v>
      </c>
      <c r="H3669" t="s">
        <v>600</v>
      </c>
      <c r="I3669" t="s">
        <v>601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hidden="1">
      <c r="A3670" t="s">
        <v>18813</v>
      </c>
      <c r="B3670" t="s">
        <v>1689</v>
      </c>
      <c r="C3670" t="s">
        <v>1614</v>
      </c>
      <c r="D3670" t="s">
        <v>1332</v>
      </c>
      <c r="E3670" t="s">
        <v>1343</v>
      </c>
      <c r="F3670" t="s">
        <v>598</v>
      </c>
      <c r="G3670" t="s">
        <v>478</v>
      </c>
      <c r="H3670" t="s">
        <v>600</v>
      </c>
      <c r="I3670" t="s">
        <v>601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hidden="1">
      <c r="A3671" t="s">
        <v>18813</v>
      </c>
      <c r="B3671" t="s">
        <v>1690</v>
      </c>
      <c r="C3671" t="s">
        <v>1614</v>
      </c>
      <c r="D3671" t="s">
        <v>1332</v>
      </c>
      <c r="E3671" t="s">
        <v>1638</v>
      </c>
      <c r="F3671" t="s">
        <v>598</v>
      </c>
      <c r="G3671" t="s">
        <v>478</v>
      </c>
      <c r="H3671" t="s">
        <v>600</v>
      </c>
      <c r="I3671" t="s">
        <v>601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hidden="1">
      <c r="A3672" t="s">
        <v>18813</v>
      </c>
      <c r="B3672" t="s">
        <v>1691</v>
      </c>
      <c r="C3672" t="s">
        <v>1614</v>
      </c>
      <c r="D3672" t="s">
        <v>1332</v>
      </c>
      <c r="E3672" t="s">
        <v>1198</v>
      </c>
      <c r="F3672" t="s">
        <v>598</v>
      </c>
      <c r="G3672" t="s">
        <v>478</v>
      </c>
      <c r="H3672" t="s">
        <v>600</v>
      </c>
      <c r="I3672" t="s">
        <v>601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hidden="1">
      <c r="A3673" t="s">
        <v>18813</v>
      </c>
      <c r="B3673" t="s">
        <v>1692</v>
      </c>
      <c r="C3673" t="s">
        <v>1614</v>
      </c>
      <c r="D3673" t="s">
        <v>1332</v>
      </c>
      <c r="E3673" t="s">
        <v>1645</v>
      </c>
      <c r="F3673" t="s">
        <v>598</v>
      </c>
      <c r="G3673" t="s">
        <v>478</v>
      </c>
      <c r="H3673" t="s">
        <v>600</v>
      </c>
      <c r="I3673" t="s">
        <v>601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hidden="1">
      <c r="A3674" t="s">
        <v>18813</v>
      </c>
      <c r="B3674" t="s">
        <v>1693</v>
      </c>
      <c r="C3674" t="s">
        <v>1614</v>
      </c>
      <c r="D3674" t="s">
        <v>1332</v>
      </c>
      <c r="E3674" t="s">
        <v>1647</v>
      </c>
      <c r="F3674" t="s">
        <v>598</v>
      </c>
      <c r="G3674" t="s">
        <v>478</v>
      </c>
      <c r="H3674" t="s">
        <v>600</v>
      </c>
      <c r="I3674" t="s">
        <v>601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hidden="1">
      <c r="A3675" t="s">
        <v>18813</v>
      </c>
      <c r="B3675" t="s">
        <v>1694</v>
      </c>
      <c r="C3675" t="s">
        <v>1614</v>
      </c>
      <c r="D3675" t="s">
        <v>1332</v>
      </c>
      <c r="E3675" t="s">
        <v>1649</v>
      </c>
      <c r="F3675" t="s">
        <v>598</v>
      </c>
      <c r="G3675" t="s">
        <v>478</v>
      </c>
      <c r="H3675" t="s">
        <v>600</v>
      </c>
      <c r="I3675" t="s">
        <v>601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hidden="1">
      <c r="A3676" t="s">
        <v>18813</v>
      </c>
      <c r="B3676" t="s">
        <v>1695</v>
      </c>
      <c r="C3676" t="s">
        <v>1614</v>
      </c>
      <c r="D3676" t="s">
        <v>1332</v>
      </c>
      <c r="E3676" t="s">
        <v>1028</v>
      </c>
      <c r="F3676" t="s">
        <v>598</v>
      </c>
      <c r="G3676" t="s">
        <v>478</v>
      </c>
      <c r="H3676" t="s">
        <v>600</v>
      </c>
      <c r="I3676" t="s">
        <v>601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hidden="1">
      <c r="A3677" t="s">
        <v>18813</v>
      </c>
      <c r="B3677" t="s">
        <v>1696</v>
      </c>
      <c r="C3677" t="s">
        <v>1614</v>
      </c>
      <c r="D3677" t="s">
        <v>1332</v>
      </c>
      <c r="E3677" t="s">
        <v>1030</v>
      </c>
      <c r="F3677" t="s">
        <v>598</v>
      </c>
      <c r="G3677" t="s">
        <v>478</v>
      </c>
      <c r="H3677" t="s">
        <v>600</v>
      </c>
      <c r="I3677" t="s">
        <v>601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hidden="1">
      <c r="A3678" t="s">
        <v>18813</v>
      </c>
      <c r="B3678" t="s">
        <v>1697</v>
      </c>
      <c r="C3678" t="s">
        <v>1614</v>
      </c>
      <c r="D3678" t="s">
        <v>1332</v>
      </c>
      <c r="E3678" t="s">
        <v>630</v>
      </c>
      <c r="F3678" t="s">
        <v>598</v>
      </c>
      <c r="G3678" t="s">
        <v>478</v>
      </c>
      <c r="H3678" t="s">
        <v>600</v>
      </c>
      <c r="I3678" t="s">
        <v>601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hidden="1">
      <c r="A3679" t="s">
        <v>18813</v>
      </c>
      <c r="B3679" t="s">
        <v>1698</v>
      </c>
      <c r="C3679" t="s">
        <v>1614</v>
      </c>
      <c r="D3679" t="s">
        <v>1332</v>
      </c>
      <c r="E3679" t="s">
        <v>1033</v>
      </c>
      <c r="F3679" t="s">
        <v>598</v>
      </c>
      <c r="G3679" t="s">
        <v>478</v>
      </c>
      <c r="H3679" t="s">
        <v>600</v>
      </c>
      <c r="I3679" t="s">
        <v>601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hidden="1">
      <c r="A3680" t="s">
        <v>18813</v>
      </c>
      <c r="B3680" t="s">
        <v>1699</v>
      </c>
      <c r="C3680" t="s">
        <v>1614</v>
      </c>
      <c r="D3680" t="s">
        <v>1332</v>
      </c>
      <c r="E3680" t="s">
        <v>1664</v>
      </c>
      <c r="F3680" t="s">
        <v>598</v>
      </c>
      <c r="G3680" t="s">
        <v>478</v>
      </c>
      <c r="H3680" t="s">
        <v>600</v>
      </c>
      <c r="I3680" t="s">
        <v>601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hidden="1">
      <c r="A3681" t="s">
        <v>18813</v>
      </c>
      <c r="B3681" t="s">
        <v>1700</v>
      </c>
      <c r="C3681" t="s">
        <v>1614</v>
      </c>
      <c r="D3681" t="s">
        <v>1332</v>
      </c>
      <c r="E3681" t="s">
        <v>1666</v>
      </c>
      <c r="F3681" t="s">
        <v>598</v>
      </c>
      <c r="G3681" t="s">
        <v>478</v>
      </c>
      <c r="H3681" t="s">
        <v>600</v>
      </c>
      <c r="I3681" t="s">
        <v>601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hidden="1">
      <c r="A3682" t="s">
        <v>18813</v>
      </c>
      <c r="B3682" t="s">
        <v>1701</v>
      </c>
      <c r="C3682" t="s">
        <v>1614</v>
      </c>
      <c r="D3682" t="s">
        <v>1332</v>
      </c>
      <c r="E3682" t="s">
        <v>1211</v>
      </c>
      <c r="F3682" t="s">
        <v>598</v>
      </c>
      <c r="G3682" t="s">
        <v>478</v>
      </c>
      <c r="H3682" t="s">
        <v>600</v>
      </c>
      <c r="I3682" t="s">
        <v>601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hidden="1">
      <c r="A3683" t="s">
        <v>18813</v>
      </c>
      <c r="B3683" t="s">
        <v>1702</v>
      </c>
      <c r="C3683" t="s">
        <v>1614</v>
      </c>
      <c r="D3683" t="s">
        <v>1332</v>
      </c>
      <c r="E3683" t="s">
        <v>1670</v>
      </c>
      <c r="F3683" t="s">
        <v>598</v>
      </c>
      <c r="G3683" t="s">
        <v>478</v>
      </c>
      <c r="H3683" t="s">
        <v>600</v>
      </c>
      <c r="I3683" t="s">
        <v>601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hidden="1">
      <c r="A3684" t="s">
        <v>18813</v>
      </c>
      <c r="B3684" t="s">
        <v>1703</v>
      </c>
      <c r="C3684" t="s">
        <v>1614</v>
      </c>
      <c r="D3684" t="s">
        <v>1332</v>
      </c>
      <c r="E3684" t="s">
        <v>1672</v>
      </c>
      <c r="F3684" t="s">
        <v>598</v>
      </c>
      <c r="G3684" t="s">
        <v>478</v>
      </c>
      <c r="H3684" t="s">
        <v>600</v>
      </c>
      <c r="I3684" t="s">
        <v>601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hidden="1">
      <c r="A3685" t="s">
        <v>18813</v>
      </c>
      <c r="B3685" t="s">
        <v>1704</v>
      </c>
      <c r="C3685" t="s">
        <v>1614</v>
      </c>
      <c r="D3685" t="s">
        <v>1332</v>
      </c>
      <c r="E3685" t="s">
        <v>1676</v>
      </c>
      <c r="F3685" t="s">
        <v>598</v>
      </c>
      <c r="G3685" t="s">
        <v>478</v>
      </c>
      <c r="H3685" t="s">
        <v>600</v>
      </c>
      <c r="I3685" t="s">
        <v>601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hidden="1">
      <c r="A3686" t="s">
        <v>18813</v>
      </c>
      <c r="B3686" t="s">
        <v>1705</v>
      </c>
      <c r="C3686" t="s">
        <v>1614</v>
      </c>
      <c r="D3686" t="s">
        <v>1332</v>
      </c>
      <c r="E3686" t="s">
        <v>1678</v>
      </c>
      <c r="F3686" t="s">
        <v>598</v>
      </c>
      <c r="G3686" t="s">
        <v>478</v>
      </c>
      <c r="H3686" t="s">
        <v>600</v>
      </c>
      <c r="I3686" t="s">
        <v>601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hidden="1">
      <c r="A3687" t="s">
        <v>18813</v>
      </c>
      <c r="B3687" t="s">
        <v>1706</v>
      </c>
      <c r="C3687" t="s">
        <v>1614</v>
      </c>
      <c r="D3687" t="s">
        <v>1332</v>
      </c>
      <c r="E3687" t="s">
        <v>1058</v>
      </c>
      <c r="F3687" t="s">
        <v>598</v>
      </c>
      <c r="G3687" t="s">
        <v>478</v>
      </c>
      <c r="H3687" t="s">
        <v>600</v>
      </c>
      <c r="I3687" t="s">
        <v>601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hidden="1">
      <c r="A3688" t="s">
        <v>18813</v>
      </c>
      <c r="B3688" t="s">
        <v>1707</v>
      </c>
      <c r="C3688" t="s">
        <v>1614</v>
      </c>
      <c r="D3688" t="s">
        <v>1332</v>
      </c>
      <c r="E3688" t="s">
        <v>1681</v>
      </c>
      <c r="F3688" t="s">
        <v>598</v>
      </c>
      <c r="G3688" t="s">
        <v>478</v>
      </c>
      <c r="H3688" t="s">
        <v>600</v>
      </c>
      <c r="I3688" t="s">
        <v>601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25" hidden="1">
      <c r="A3689" t="s">
        <v>18813</v>
      </c>
      <c r="B3689" t="s">
        <v>1713</v>
      </c>
      <c r="C3689" t="s">
        <v>1614</v>
      </c>
      <c r="D3689" t="s">
        <v>1435</v>
      </c>
      <c r="E3689" t="s">
        <v>973</v>
      </c>
      <c r="F3689" t="s">
        <v>598</v>
      </c>
      <c r="G3689" t="s">
        <v>478</v>
      </c>
      <c r="H3689" t="s">
        <v>600</v>
      </c>
      <c r="I3689" t="s">
        <v>601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hidden="1">
      <c r="A3690" t="s">
        <v>18813</v>
      </c>
      <c r="B3690" t="s">
        <v>1717</v>
      </c>
      <c r="C3690" t="s">
        <v>1614</v>
      </c>
      <c r="D3690" t="s">
        <v>1354</v>
      </c>
      <c r="E3690" t="s">
        <v>1718</v>
      </c>
      <c r="F3690" t="s">
        <v>598</v>
      </c>
      <c r="G3690" t="s">
        <v>478</v>
      </c>
      <c r="H3690" t="s">
        <v>600</v>
      </c>
      <c r="I3690" t="s">
        <v>601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</row>
    <row r="3691" spans="1:25" hidden="1">
      <c r="A3691" t="s">
        <v>18813</v>
      </c>
      <c r="B3691" t="s">
        <v>1720</v>
      </c>
      <c r="C3691" t="s">
        <v>1614</v>
      </c>
      <c r="D3691" t="s">
        <v>1365</v>
      </c>
      <c r="E3691" t="s">
        <v>1393</v>
      </c>
      <c r="F3691" t="s">
        <v>598</v>
      </c>
      <c r="G3691" t="s">
        <v>478</v>
      </c>
      <c r="H3691" t="s">
        <v>600</v>
      </c>
      <c r="I3691" t="s">
        <v>601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hidden="1">
      <c r="A3692" t="s">
        <v>18813</v>
      </c>
      <c r="B3692" t="s">
        <v>1721</v>
      </c>
      <c r="C3692" t="s">
        <v>1614</v>
      </c>
      <c r="D3692" t="s">
        <v>1722</v>
      </c>
      <c r="E3692" t="s">
        <v>973</v>
      </c>
      <c r="F3692" t="s">
        <v>598</v>
      </c>
      <c r="G3692" t="s">
        <v>478</v>
      </c>
      <c r="H3692" t="s">
        <v>600</v>
      </c>
      <c r="I3692" t="s">
        <v>601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hidden="1">
      <c r="A3693" t="s">
        <v>18813</v>
      </c>
      <c r="B3693" t="s">
        <v>1745</v>
      </c>
      <c r="C3693" t="s">
        <v>1614</v>
      </c>
      <c r="D3693" t="s">
        <v>1722</v>
      </c>
      <c r="E3693" t="s">
        <v>1615</v>
      </c>
      <c r="F3693" t="s">
        <v>598</v>
      </c>
      <c r="G3693" t="s">
        <v>478</v>
      </c>
      <c r="H3693" t="s">
        <v>600</v>
      </c>
      <c r="I3693" t="s">
        <v>601</v>
      </c>
      <c r="J3693">
        <v>6.4000000000000003E-3</v>
      </c>
      <c r="K3693">
        <v>6.7000000000000002E-3</v>
      </c>
      <c r="L3693">
        <v>6.8999999999999999E-3</v>
      </c>
      <c r="M3693">
        <v>7.1000000000000004E-3</v>
      </c>
      <c r="N3693">
        <v>7.4000000000000003E-3</v>
      </c>
      <c r="O3693">
        <v>7.7000000000000002E-3</v>
      </c>
      <c r="P3693">
        <v>7.9000000000000008E-3</v>
      </c>
      <c r="Q3693">
        <v>8.2000000000000007E-3</v>
      </c>
      <c r="R3693">
        <v>8.3000000000000001E-3</v>
      </c>
      <c r="S3693">
        <v>8.3999999999999995E-3</v>
      </c>
      <c r="T3693">
        <v>8.5000000000000006E-3</v>
      </c>
      <c r="U3693">
        <v>8.6E-3</v>
      </c>
      <c r="V3693">
        <v>8.6999999999999994E-3</v>
      </c>
      <c r="W3693">
        <v>8.8999999999999999E-3</v>
      </c>
      <c r="X3693">
        <v>8.9999999999999993E-3</v>
      </c>
      <c r="Y3693">
        <v>9.1000000000000004E-3</v>
      </c>
    </row>
    <row r="3694" spans="1:25" hidden="1">
      <c r="A3694" t="s">
        <v>18813</v>
      </c>
      <c r="B3694" t="s">
        <v>1746</v>
      </c>
      <c r="C3694" t="s">
        <v>1614</v>
      </c>
      <c r="D3694" t="s">
        <v>1722</v>
      </c>
      <c r="E3694" t="s">
        <v>954</v>
      </c>
      <c r="F3694" t="s">
        <v>598</v>
      </c>
      <c r="G3694" t="s">
        <v>478</v>
      </c>
      <c r="H3694" t="s">
        <v>600</v>
      </c>
      <c r="I3694" t="s">
        <v>601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</row>
    <row r="3695" spans="1:25" hidden="1">
      <c r="A3695" t="s">
        <v>18813</v>
      </c>
      <c r="B3695" t="s">
        <v>1766</v>
      </c>
      <c r="C3695" t="s">
        <v>1614</v>
      </c>
      <c r="D3695" t="s">
        <v>1722</v>
      </c>
      <c r="E3695" t="s">
        <v>1378</v>
      </c>
      <c r="F3695" t="s">
        <v>598</v>
      </c>
      <c r="G3695" t="s">
        <v>478</v>
      </c>
      <c r="H3695" t="s">
        <v>600</v>
      </c>
      <c r="I3695" t="s">
        <v>601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</row>
    <row r="3696" spans="1:25" hidden="1">
      <c r="A3696" t="s">
        <v>18813</v>
      </c>
      <c r="B3696" t="s">
        <v>1771</v>
      </c>
      <c r="C3696" t="s">
        <v>1614</v>
      </c>
      <c r="D3696" t="s">
        <v>1768</v>
      </c>
      <c r="E3696" t="s">
        <v>1772</v>
      </c>
      <c r="F3696" t="s">
        <v>598</v>
      </c>
      <c r="G3696" t="s">
        <v>478</v>
      </c>
      <c r="H3696" t="s">
        <v>600</v>
      </c>
      <c r="I3696" t="s">
        <v>601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hidden="1">
      <c r="A3697" t="s">
        <v>18813</v>
      </c>
      <c r="B3697" t="s">
        <v>1775</v>
      </c>
      <c r="C3697" t="s">
        <v>1614</v>
      </c>
      <c r="D3697" t="s">
        <v>1776</v>
      </c>
      <c r="E3697" t="s">
        <v>1777</v>
      </c>
      <c r="F3697" t="s">
        <v>598</v>
      </c>
      <c r="G3697" t="s">
        <v>478</v>
      </c>
      <c r="H3697" t="s">
        <v>600</v>
      </c>
      <c r="I3697" t="s">
        <v>601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25" hidden="1">
      <c r="A3698" t="s">
        <v>18813</v>
      </c>
      <c r="B3698" t="s">
        <v>1780</v>
      </c>
      <c r="C3698" t="s">
        <v>1614</v>
      </c>
      <c r="D3698" t="s">
        <v>1781</v>
      </c>
      <c r="E3698" t="s">
        <v>1716</v>
      </c>
      <c r="F3698" t="s">
        <v>598</v>
      </c>
      <c r="G3698" t="s">
        <v>478</v>
      </c>
      <c r="H3698" t="s">
        <v>600</v>
      </c>
      <c r="I3698" t="s">
        <v>601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25" hidden="1">
      <c r="A3699" t="s">
        <v>18813</v>
      </c>
      <c r="B3699" t="s">
        <v>1811</v>
      </c>
      <c r="C3699" t="s">
        <v>1614</v>
      </c>
      <c r="D3699" t="s">
        <v>1812</v>
      </c>
      <c r="E3699" t="s">
        <v>954</v>
      </c>
      <c r="F3699" t="s">
        <v>598</v>
      </c>
      <c r="G3699" t="s">
        <v>478</v>
      </c>
      <c r="H3699" t="s">
        <v>600</v>
      </c>
      <c r="I3699" t="s">
        <v>601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hidden="1">
      <c r="A3700" t="s">
        <v>18813</v>
      </c>
      <c r="B3700" t="s">
        <v>1814</v>
      </c>
      <c r="C3700" t="s">
        <v>1614</v>
      </c>
      <c r="D3700" t="s">
        <v>1812</v>
      </c>
      <c r="E3700" t="s">
        <v>1081</v>
      </c>
      <c r="F3700" t="s">
        <v>598</v>
      </c>
      <c r="G3700" t="s">
        <v>478</v>
      </c>
      <c r="H3700" t="s">
        <v>600</v>
      </c>
      <c r="I3700" t="s">
        <v>601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hidden="1">
      <c r="A3701" t="s">
        <v>18813</v>
      </c>
      <c r="B3701" t="s">
        <v>1818</v>
      </c>
      <c r="C3701" t="s">
        <v>1614</v>
      </c>
      <c r="D3701" t="s">
        <v>648</v>
      </c>
      <c r="E3701" t="s">
        <v>973</v>
      </c>
      <c r="F3701" t="s">
        <v>598</v>
      </c>
      <c r="G3701" t="s">
        <v>478</v>
      </c>
      <c r="H3701" t="s">
        <v>600</v>
      </c>
      <c r="I3701" t="s">
        <v>601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</row>
    <row r="3702" spans="1:25" hidden="1">
      <c r="A3702" t="s">
        <v>18813</v>
      </c>
      <c r="B3702" t="s">
        <v>1825</v>
      </c>
      <c r="C3702" t="s">
        <v>1614</v>
      </c>
      <c r="D3702" t="s">
        <v>648</v>
      </c>
      <c r="E3702" t="s">
        <v>954</v>
      </c>
      <c r="F3702" t="s">
        <v>598</v>
      </c>
      <c r="G3702" t="s">
        <v>478</v>
      </c>
      <c r="H3702" t="s">
        <v>600</v>
      </c>
      <c r="I3702" t="s">
        <v>601</v>
      </c>
      <c r="J3702">
        <v>1E-4</v>
      </c>
      <c r="K3702">
        <v>1E-4</v>
      </c>
      <c r="L3702">
        <v>1E-4</v>
      </c>
      <c r="M3702">
        <v>1E-4</v>
      </c>
      <c r="N3702">
        <v>1E-4</v>
      </c>
      <c r="O3702">
        <v>1E-4</v>
      </c>
      <c r="P3702">
        <v>1E-4</v>
      </c>
      <c r="Q3702">
        <v>1E-4</v>
      </c>
      <c r="R3702">
        <v>1E-4</v>
      </c>
      <c r="S3702">
        <v>1E-4</v>
      </c>
      <c r="T3702">
        <v>1E-4</v>
      </c>
      <c r="U3702">
        <v>1E-4</v>
      </c>
      <c r="V3702">
        <v>1E-4</v>
      </c>
      <c r="W3702">
        <v>1E-4</v>
      </c>
      <c r="X3702">
        <v>1E-4</v>
      </c>
      <c r="Y3702">
        <v>1E-4</v>
      </c>
    </row>
    <row r="3703" spans="1:25" hidden="1">
      <c r="A3703" t="s">
        <v>18813</v>
      </c>
      <c r="B3703" t="s">
        <v>1832</v>
      </c>
      <c r="C3703" t="s">
        <v>1614</v>
      </c>
      <c r="D3703" t="s">
        <v>648</v>
      </c>
      <c r="E3703" t="s">
        <v>1393</v>
      </c>
      <c r="F3703" t="s">
        <v>598</v>
      </c>
      <c r="G3703" t="s">
        <v>478</v>
      </c>
      <c r="H3703" t="s">
        <v>600</v>
      </c>
      <c r="I3703" t="s">
        <v>601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25" hidden="1">
      <c r="A3704" t="s">
        <v>18813</v>
      </c>
      <c r="B3704" t="s">
        <v>1833</v>
      </c>
      <c r="C3704" t="s">
        <v>1614</v>
      </c>
      <c r="D3704" t="s">
        <v>648</v>
      </c>
      <c r="E3704" t="s">
        <v>1716</v>
      </c>
      <c r="F3704" t="s">
        <v>598</v>
      </c>
      <c r="G3704" t="s">
        <v>478</v>
      </c>
      <c r="H3704" t="s">
        <v>600</v>
      </c>
      <c r="I3704" t="s">
        <v>601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hidden="1">
      <c r="A3705" t="s">
        <v>18813</v>
      </c>
      <c r="B3705" t="s">
        <v>1837</v>
      </c>
      <c r="C3705" t="s">
        <v>1614</v>
      </c>
      <c r="D3705" t="s">
        <v>648</v>
      </c>
      <c r="E3705" t="s">
        <v>1759</v>
      </c>
      <c r="F3705" t="s">
        <v>598</v>
      </c>
      <c r="G3705" t="s">
        <v>478</v>
      </c>
      <c r="H3705" t="s">
        <v>600</v>
      </c>
      <c r="I3705" t="s">
        <v>601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hidden="1">
      <c r="A3706" t="s">
        <v>18813</v>
      </c>
      <c r="B3706" t="s">
        <v>1840</v>
      </c>
      <c r="C3706" t="s">
        <v>1614</v>
      </c>
      <c r="D3706" t="s">
        <v>648</v>
      </c>
      <c r="E3706" t="s">
        <v>1378</v>
      </c>
      <c r="F3706" t="s">
        <v>598</v>
      </c>
      <c r="G3706" t="s">
        <v>478</v>
      </c>
      <c r="H3706" t="s">
        <v>600</v>
      </c>
      <c r="I3706" t="s">
        <v>601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hidden="1">
      <c r="A3707" t="s">
        <v>18813</v>
      </c>
      <c r="B3707" t="s">
        <v>1842</v>
      </c>
      <c r="C3707" t="s">
        <v>1614</v>
      </c>
      <c r="D3707" t="s">
        <v>648</v>
      </c>
      <c r="E3707" t="s">
        <v>1239</v>
      </c>
      <c r="F3707" t="s">
        <v>598</v>
      </c>
      <c r="G3707" t="s">
        <v>478</v>
      </c>
      <c r="H3707" t="s">
        <v>600</v>
      </c>
      <c r="I3707" t="s">
        <v>601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hidden="1">
      <c r="A3708" t="s">
        <v>18813</v>
      </c>
      <c r="B3708" t="s">
        <v>1849</v>
      </c>
      <c r="C3708" t="s">
        <v>1845</v>
      </c>
      <c r="D3708" t="s">
        <v>1324</v>
      </c>
      <c r="E3708" t="s">
        <v>1198</v>
      </c>
      <c r="F3708" t="s">
        <v>598</v>
      </c>
      <c r="G3708" t="s">
        <v>478</v>
      </c>
      <c r="H3708" t="s">
        <v>600</v>
      </c>
      <c r="I3708" t="s">
        <v>601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hidden="1">
      <c r="A3709" t="s">
        <v>18813</v>
      </c>
      <c r="B3709" t="s">
        <v>1854</v>
      </c>
      <c r="C3709" t="s">
        <v>1845</v>
      </c>
      <c r="D3709" t="s">
        <v>1332</v>
      </c>
      <c r="E3709" t="s">
        <v>1198</v>
      </c>
      <c r="F3709" t="s">
        <v>598</v>
      </c>
      <c r="G3709" t="s">
        <v>478</v>
      </c>
      <c r="H3709" t="s">
        <v>600</v>
      </c>
      <c r="I3709" t="s">
        <v>601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25" hidden="1">
      <c r="A3710" t="s">
        <v>18813</v>
      </c>
      <c r="B3710" t="s">
        <v>1856</v>
      </c>
      <c r="C3710" t="s">
        <v>1845</v>
      </c>
      <c r="D3710" t="s">
        <v>1435</v>
      </c>
      <c r="E3710" t="s">
        <v>973</v>
      </c>
      <c r="F3710" t="s">
        <v>598</v>
      </c>
      <c r="G3710" t="s">
        <v>478</v>
      </c>
      <c r="H3710" t="s">
        <v>600</v>
      </c>
      <c r="I3710" t="s">
        <v>601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hidden="1">
      <c r="A3711" t="s">
        <v>18813</v>
      </c>
      <c r="B3711" t="s">
        <v>1858</v>
      </c>
      <c r="C3711" t="s">
        <v>1845</v>
      </c>
      <c r="D3711" t="s">
        <v>1859</v>
      </c>
      <c r="E3711" t="s">
        <v>1860</v>
      </c>
      <c r="F3711" t="s">
        <v>598</v>
      </c>
      <c r="G3711" t="s">
        <v>478</v>
      </c>
      <c r="H3711" t="s">
        <v>600</v>
      </c>
      <c r="I3711" t="s">
        <v>601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hidden="1">
      <c r="A3712" t="s">
        <v>18813</v>
      </c>
      <c r="B3712" t="s">
        <v>1861</v>
      </c>
      <c r="C3712" t="s">
        <v>1845</v>
      </c>
      <c r="D3712" t="s">
        <v>1862</v>
      </c>
      <c r="E3712" t="s">
        <v>1860</v>
      </c>
      <c r="F3712" t="s">
        <v>598</v>
      </c>
      <c r="G3712" t="s">
        <v>478</v>
      </c>
      <c r="H3712" t="s">
        <v>600</v>
      </c>
      <c r="I3712" t="s">
        <v>601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</row>
    <row r="3713" spans="1:25" hidden="1">
      <c r="A3713" t="s">
        <v>18813</v>
      </c>
      <c r="B3713" t="s">
        <v>1863</v>
      </c>
      <c r="C3713" t="s">
        <v>1845</v>
      </c>
      <c r="D3713" t="s">
        <v>1864</v>
      </c>
      <c r="E3713" t="s">
        <v>1865</v>
      </c>
      <c r="F3713" t="s">
        <v>598</v>
      </c>
      <c r="G3713" t="s">
        <v>478</v>
      </c>
      <c r="H3713" t="s">
        <v>600</v>
      </c>
      <c r="I3713" t="s">
        <v>601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hidden="1">
      <c r="A3714" t="s">
        <v>18813</v>
      </c>
      <c r="B3714" t="s">
        <v>1873</v>
      </c>
      <c r="C3714" t="s">
        <v>1845</v>
      </c>
      <c r="D3714" t="s">
        <v>1871</v>
      </c>
      <c r="E3714" t="s">
        <v>1874</v>
      </c>
      <c r="F3714" t="s">
        <v>598</v>
      </c>
      <c r="G3714" t="s">
        <v>478</v>
      </c>
      <c r="H3714" t="s">
        <v>600</v>
      </c>
      <c r="I3714" t="s">
        <v>601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hidden="1">
      <c r="A3715" t="s">
        <v>18813</v>
      </c>
      <c r="B3715" t="s">
        <v>1877</v>
      </c>
      <c r="C3715" t="s">
        <v>1845</v>
      </c>
      <c r="D3715" t="s">
        <v>1878</v>
      </c>
      <c r="E3715" t="s">
        <v>1872</v>
      </c>
      <c r="F3715" t="s">
        <v>598</v>
      </c>
      <c r="G3715" t="s">
        <v>478</v>
      </c>
      <c r="H3715" t="s">
        <v>600</v>
      </c>
      <c r="I3715" t="s">
        <v>601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</row>
    <row r="3716" spans="1:25" hidden="1">
      <c r="A3716" t="s">
        <v>18813</v>
      </c>
      <c r="B3716" t="s">
        <v>1897</v>
      </c>
      <c r="C3716" t="s">
        <v>1845</v>
      </c>
      <c r="D3716" t="s">
        <v>1878</v>
      </c>
      <c r="E3716" t="s">
        <v>1898</v>
      </c>
      <c r="F3716" t="s">
        <v>598</v>
      </c>
      <c r="G3716" t="s">
        <v>478</v>
      </c>
      <c r="H3716" t="s">
        <v>600</v>
      </c>
      <c r="I3716" t="s">
        <v>601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hidden="1">
      <c r="A3717" t="s">
        <v>18813</v>
      </c>
      <c r="B3717" t="s">
        <v>1905</v>
      </c>
      <c r="C3717" t="s">
        <v>1845</v>
      </c>
      <c r="D3717" t="s">
        <v>1878</v>
      </c>
      <c r="E3717" t="s">
        <v>1906</v>
      </c>
      <c r="F3717" t="s">
        <v>598</v>
      </c>
      <c r="G3717" t="s">
        <v>478</v>
      </c>
      <c r="H3717" t="s">
        <v>600</v>
      </c>
      <c r="I3717" t="s">
        <v>601</v>
      </c>
      <c r="J3717">
        <v>1E-4</v>
      </c>
      <c r="K3717">
        <v>1E-4</v>
      </c>
      <c r="L3717">
        <v>1E-4</v>
      </c>
      <c r="M3717">
        <v>1E-4</v>
      </c>
      <c r="N3717">
        <v>1E-4</v>
      </c>
      <c r="O3717">
        <v>1E-4</v>
      </c>
      <c r="P3717">
        <v>1E-4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 hidden="1">
      <c r="A3718" t="s">
        <v>18813</v>
      </c>
      <c r="B3718" t="s">
        <v>1917</v>
      </c>
      <c r="C3718" t="s">
        <v>1845</v>
      </c>
      <c r="D3718" t="s">
        <v>1918</v>
      </c>
      <c r="E3718" t="s">
        <v>1872</v>
      </c>
      <c r="F3718" t="s">
        <v>598</v>
      </c>
      <c r="G3718" t="s">
        <v>478</v>
      </c>
      <c r="H3718" t="s">
        <v>600</v>
      </c>
      <c r="I3718" t="s">
        <v>601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hidden="1">
      <c r="A3719" t="s">
        <v>18813</v>
      </c>
      <c r="B3719" t="s">
        <v>1924</v>
      </c>
      <c r="C3719" t="s">
        <v>1845</v>
      </c>
      <c r="D3719" t="s">
        <v>1918</v>
      </c>
      <c r="E3719" t="s">
        <v>1865</v>
      </c>
      <c r="F3719" t="s">
        <v>598</v>
      </c>
      <c r="G3719" t="s">
        <v>478</v>
      </c>
      <c r="H3719" t="s">
        <v>600</v>
      </c>
      <c r="I3719" t="s">
        <v>601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</row>
    <row r="3720" spans="1:25" hidden="1">
      <c r="A3720" t="s">
        <v>18813</v>
      </c>
      <c r="B3720" t="s">
        <v>1930</v>
      </c>
      <c r="C3720" t="s">
        <v>1845</v>
      </c>
      <c r="D3720" t="s">
        <v>1918</v>
      </c>
      <c r="E3720" t="s">
        <v>1894</v>
      </c>
      <c r="F3720" t="s">
        <v>598</v>
      </c>
      <c r="G3720" t="s">
        <v>478</v>
      </c>
      <c r="H3720" t="s">
        <v>600</v>
      </c>
      <c r="I3720" t="s">
        <v>601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hidden="1">
      <c r="A3721" t="s">
        <v>18813</v>
      </c>
      <c r="B3721" t="s">
        <v>1935</v>
      </c>
      <c r="C3721" t="s">
        <v>1845</v>
      </c>
      <c r="D3721" t="s">
        <v>1918</v>
      </c>
      <c r="E3721" t="s">
        <v>1936</v>
      </c>
      <c r="F3721" t="s">
        <v>598</v>
      </c>
      <c r="G3721" t="s">
        <v>478</v>
      </c>
      <c r="H3721" t="s">
        <v>600</v>
      </c>
      <c r="I3721" t="s">
        <v>601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hidden="1">
      <c r="A3722" t="s">
        <v>18813</v>
      </c>
      <c r="B3722" t="s">
        <v>1949</v>
      </c>
      <c r="C3722" t="s">
        <v>1845</v>
      </c>
      <c r="D3722" t="s">
        <v>648</v>
      </c>
      <c r="E3722" t="s">
        <v>1872</v>
      </c>
      <c r="F3722" t="s">
        <v>598</v>
      </c>
      <c r="G3722" t="s">
        <v>478</v>
      </c>
      <c r="H3722" t="s">
        <v>600</v>
      </c>
      <c r="I3722" t="s">
        <v>601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hidden="1">
      <c r="A3723" t="s">
        <v>18813</v>
      </c>
      <c r="B3723" t="s">
        <v>1950</v>
      </c>
      <c r="C3723" t="s">
        <v>1845</v>
      </c>
      <c r="D3723" t="s">
        <v>648</v>
      </c>
      <c r="E3723" t="s">
        <v>1951</v>
      </c>
      <c r="F3723" t="s">
        <v>598</v>
      </c>
      <c r="G3723" t="s">
        <v>478</v>
      </c>
      <c r="H3723" t="s">
        <v>600</v>
      </c>
      <c r="I3723" t="s">
        <v>601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hidden="1">
      <c r="A3724" t="s">
        <v>18813</v>
      </c>
      <c r="B3724" t="s">
        <v>1958</v>
      </c>
      <c r="C3724" t="s">
        <v>1959</v>
      </c>
      <c r="D3724" t="s">
        <v>1324</v>
      </c>
      <c r="E3724" t="s">
        <v>954</v>
      </c>
      <c r="F3724" t="s">
        <v>598</v>
      </c>
      <c r="G3724" t="s">
        <v>478</v>
      </c>
      <c r="H3724" t="s">
        <v>600</v>
      </c>
      <c r="I3724" t="s">
        <v>601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 hidden="1">
      <c r="A3725" t="s">
        <v>18813</v>
      </c>
      <c r="B3725" t="s">
        <v>1960</v>
      </c>
      <c r="C3725" t="s">
        <v>1959</v>
      </c>
      <c r="D3725" t="s">
        <v>1332</v>
      </c>
      <c r="E3725" t="s">
        <v>954</v>
      </c>
      <c r="F3725" t="s">
        <v>598</v>
      </c>
      <c r="G3725" t="s">
        <v>478</v>
      </c>
      <c r="H3725" t="s">
        <v>600</v>
      </c>
      <c r="I3725" t="s">
        <v>601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 hidden="1">
      <c r="A3726" t="s">
        <v>18813</v>
      </c>
      <c r="B3726" t="s">
        <v>1963</v>
      </c>
      <c r="C3726" t="s">
        <v>1959</v>
      </c>
      <c r="D3726" t="s">
        <v>1435</v>
      </c>
      <c r="E3726" t="s">
        <v>973</v>
      </c>
      <c r="F3726" t="s">
        <v>598</v>
      </c>
      <c r="G3726" t="s">
        <v>478</v>
      </c>
      <c r="H3726" t="s">
        <v>600</v>
      </c>
      <c r="I3726" t="s">
        <v>601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 hidden="1">
      <c r="A3727" t="s">
        <v>18813</v>
      </c>
      <c r="B3727" t="s">
        <v>1964</v>
      </c>
      <c r="C3727" t="s">
        <v>1959</v>
      </c>
      <c r="D3727" t="s">
        <v>1965</v>
      </c>
      <c r="E3727" t="s">
        <v>1966</v>
      </c>
      <c r="F3727" t="s">
        <v>598</v>
      </c>
      <c r="G3727" t="s">
        <v>478</v>
      </c>
      <c r="H3727" t="s">
        <v>600</v>
      </c>
      <c r="I3727" t="s">
        <v>601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hidden="1">
      <c r="A3728" t="s">
        <v>18813</v>
      </c>
      <c r="B3728" t="s">
        <v>1967</v>
      </c>
      <c r="C3728" t="s">
        <v>1959</v>
      </c>
      <c r="D3728" t="s">
        <v>1968</v>
      </c>
      <c r="E3728" t="s">
        <v>1962</v>
      </c>
      <c r="F3728" t="s">
        <v>598</v>
      </c>
      <c r="G3728" t="s">
        <v>478</v>
      </c>
      <c r="H3728" t="s">
        <v>600</v>
      </c>
      <c r="I3728" t="s">
        <v>601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hidden="1">
      <c r="A3729" t="s">
        <v>18813</v>
      </c>
      <c r="B3729" t="s">
        <v>1975</v>
      </c>
      <c r="C3729" t="s">
        <v>1959</v>
      </c>
      <c r="D3729" t="s">
        <v>1972</v>
      </c>
      <c r="E3729" t="s">
        <v>1976</v>
      </c>
      <c r="F3729" t="s">
        <v>598</v>
      </c>
      <c r="G3729" t="s">
        <v>478</v>
      </c>
      <c r="H3729" t="s">
        <v>600</v>
      </c>
      <c r="I3729" t="s">
        <v>601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hidden="1">
      <c r="A3730" t="s">
        <v>18813</v>
      </c>
      <c r="B3730" t="s">
        <v>1977</v>
      </c>
      <c r="C3730" t="s">
        <v>1959</v>
      </c>
      <c r="D3730" t="s">
        <v>1972</v>
      </c>
      <c r="E3730" t="s">
        <v>1966</v>
      </c>
      <c r="F3730" t="s">
        <v>598</v>
      </c>
      <c r="G3730" t="s">
        <v>478</v>
      </c>
      <c r="H3730" t="s">
        <v>600</v>
      </c>
      <c r="I3730" t="s">
        <v>601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hidden="1">
      <c r="A3731" t="s">
        <v>18813</v>
      </c>
      <c r="B3731" t="s">
        <v>1978</v>
      </c>
      <c r="C3731" t="s">
        <v>1959</v>
      </c>
      <c r="D3731" t="s">
        <v>1972</v>
      </c>
      <c r="E3731" t="s">
        <v>1979</v>
      </c>
      <c r="F3731" t="s">
        <v>598</v>
      </c>
      <c r="G3731" t="s">
        <v>478</v>
      </c>
      <c r="H3731" t="s">
        <v>600</v>
      </c>
      <c r="I3731" t="s">
        <v>601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hidden="1">
      <c r="A3732" t="s">
        <v>18813</v>
      </c>
      <c r="B3732" t="s">
        <v>1985</v>
      </c>
      <c r="C3732" t="s">
        <v>1959</v>
      </c>
      <c r="D3732" t="s">
        <v>1983</v>
      </c>
      <c r="E3732" t="s">
        <v>1378</v>
      </c>
      <c r="F3732" t="s">
        <v>598</v>
      </c>
      <c r="G3732" t="s">
        <v>478</v>
      </c>
      <c r="H3732" t="s">
        <v>600</v>
      </c>
      <c r="I3732" t="s">
        <v>601</v>
      </c>
      <c r="J3732">
        <v>1.2999999999999999E-3</v>
      </c>
      <c r="K3732">
        <v>1.2999999999999999E-3</v>
      </c>
      <c r="L3732">
        <v>1.2999999999999999E-3</v>
      </c>
      <c r="M3732">
        <v>1.2999999999999999E-3</v>
      </c>
      <c r="N3732">
        <v>1.4E-3</v>
      </c>
      <c r="O3732">
        <v>1.4E-3</v>
      </c>
      <c r="P3732">
        <v>1.4E-3</v>
      </c>
      <c r="Q3732">
        <v>1.4E-3</v>
      </c>
      <c r="R3732">
        <v>1.4E-3</v>
      </c>
      <c r="S3732">
        <v>1.4E-3</v>
      </c>
      <c r="T3732">
        <v>1.5E-3</v>
      </c>
      <c r="U3732">
        <v>1.5E-3</v>
      </c>
      <c r="V3732">
        <v>1.5E-3</v>
      </c>
      <c r="W3732">
        <v>1.5E-3</v>
      </c>
      <c r="X3732">
        <v>1.5E-3</v>
      </c>
      <c r="Y3732">
        <v>1.5E-3</v>
      </c>
    </row>
    <row r="3733" spans="1:25" hidden="1">
      <c r="A3733" t="s">
        <v>18813</v>
      </c>
      <c r="B3733" t="s">
        <v>1997</v>
      </c>
      <c r="C3733" t="s">
        <v>1959</v>
      </c>
      <c r="D3733" t="s">
        <v>1996</v>
      </c>
      <c r="E3733" t="s">
        <v>1380</v>
      </c>
      <c r="F3733" t="s">
        <v>598</v>
      </c>
      <c r="G3733" t="s">
        <v>478</v>
      </c>
      <c r="H3733" t="s">
        <v>600</v>
      </c>
      <c r="I3733" t="s">
        <v>601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 hidden="1">
      <c r="A3734" t="s">
        <v>18813</v>
      </c>
      <c r="B3734" t="s">
        <v>1998</v>
      </c>
      <c r="C3734" t="s">
        <v>1959</v>
      </c>
      <c r="D3734" t="s">
        <v>1996</v>
      </c>
      <c r="E3734" t="s">
        <v>1999</v>
      </c>
      <c r="F3734" t="s">
        <v>598</v>
      </c>
      <c r="G3734" t="s">
        <v>478</v>
      </c>
      <c r="H3734" t="s">
        <v>600</v>
      </c>
      <c r="I3734" t="s">
        <v>601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hidden="1">
      <c r="A3735" t="s">
        <v>18813</v>
      </c>
      <c r="B3735" t="s">
        <v>2004</v>
      </c>
      <c r="C3735" t="s">
        <v>1959</v>
      </c>
      <c r="D3735" t="s">
        <v>2001</v>
      </c>
      <c r="E3735" t="s">
        <v>1380</v>
      </c>
      <c r="F3735" t="s">
        <v>598</v>
      </c>
      <c r="G3735" t="s">
        <v>478</v>
      </c>
      <c r="H3735" t="s">
        <v>600</v>
      </c>
      <c r="I3735" t="s">
        <v>601</v>
      </c>
      <c r="J3735">
        <v>5.9999999999999995E-4</v>
      </c>
      <c r="K3735">
        <v>5.9999999999999995E-4</v>
      </c>
      <c r="L3735">
        <v>5.9999999999999995E-4</v>
      </c>
      <c r="M3735">
        <v>5.9999999999999995E-4</v>
      </c>
      <c r="N3735">
        <v>5.9999999999999995E-4</v>
      </c>
      <c r="O3735">
        <v>5.9999999999999995E-4</v>
      </c>
      <c r="P3735">
        <v>5.9999999999999995E-4</v>
      </c>
      <c r="Q3735">
        <v>5.9999999999999995E-4</v>
      </c>
      <c r="R3735">
        <v>5.9999999999999995E-4</v>
      </c>
      <c r="S3735">
        <v>5.9999999999999995E-4</v>
      </c>
      <c r="T3735">
        <v>6.9999999999999999E-4</v>
      </c>
      <c r="U3735">
        <v>6.9999999999999999E-4</v>
      </c>
      <c r="V3735">
        <v>6.9999999999999999E-4</v>
      </c>
      <c r="W3735">
        <v>6.9999999999999999E-4</v>
      </c>
      <c r="X3735">
        <v>6.9999999999999999E-4</v>
      </c>
      <c r="Y3735">
        <v>6.9999999999999999E-4</v>
      </c>
    </row>
    <row r="3736" spans="1:25" hidden="1">
      <c r="A3736" t="s">
        <v>18813</v>
      </c>
      <c r="B3736" t="s">
        <v>2005</v>
      </c>
      <c r="C3736" t="s">
        <v>1959</v>
      </c>
      <c r="D3736" t="s">
        <v>2001</v>
      </c>
      <c r="E3736" t="s">
        <v>1976</v>
      </c>
      <c r="F3736" t="s">
        <v>598</v>
      </c>
      <c r="G3736" t="s">
        <v>478</v>
      </c>
      <c r="H3736" t="s">
        <v>600</v>
      </c>
      <c r="I3736" t="s">
        <v>601</v>
      </c>
      <c r="J3736">
        <v>0.29830000000000001</v>
      </c>
      <c r="K3736">
        <v>0.27650000000000002</v>
      </c>
      <c r="L3736">
        <v>0.27660000000000001</v>
      </c>
      <c r="M3736">
        <v>0.26579999999999998</v>
      </c>
      <c r="N3736">
        <v>0.25509999999999999</v>
      </c>
      <c r="O3736">
        <v>0.23319999999999999</v>
      </c>
      <c r="P3736">
        <v>0.21149999999999999</v>
      </c>
      <c r="Q3736">
        <v>0.1678</v>
      </c>
      <c r="R3736">
        <v>0.1678</v>
      </c>
      <c r="S3736">
        <v>0.1678</v>
      </c>
      <c r="T3736">
        <v>0.16789999999999999</v>
      </c>
      <c r="U3736">
        <v>0.16800000000000001</v>
      </c>
      <c r="V3736">
        <v>0.1681</v>
      </c>
      <c r="W3736">
        <v>0.1681</v>
      </c>
      <c r="X3736">
        <v>0.16819999999999999</v>
      </c>
      <c r="Y3736">
        <v>0.16819999999999999</v>
      </c>
    </row>
    <row r="3737" spans="1:25" hidden="1">
      <c r="A3737" t="s">
        <v>18813</v>
      </c>
      <c r="B3737" t="s">
        <v>2008</v>
      </c>
      <c r="C3737" t="s">
        <v>1959</v>
      </c>
      <c r="D3737" t="s">
        <v>2009</v>
      </c>
      <c r="E3737" t="s">
        <v>2010</v>
      </c>
      <c r="F3737" t="s">
        <v>598</v>
      </c>
      <c r="G3737" t="s">
        <v>478</v>
      </c>
      <c r="H3737" t="s">
        <v>600</v>
      </c>
      <c r="I3737" t="s">
        <v>601</v>
      </c>
      <c r="J3737">
        <v>3.4000000000000002E-2</v>
      </c>
      <c r="K3737">
        <v>3.1300000000000001E-2</v>
      </c>
      <c r="L3737">
        <v>3.1300000000000001E-2</v>
      </c>
      <c r="M3737">
        <v>3.0099999999999998E-2</v>
      </c>
      <c r="N3737">
        <v>2.8799999999999999E-2</v>
      </c>
      <c r="O3737">
        <v>2.63E-2</v>
      </c>
      <c r="P3737">
        <v>2.3800000000000002E-2</v>
      </c>
      <c r="Q3737">
        <v>1.8700000000000001E-2</v>
      </c>
      <c r="R3737">
        <v>1.8700000000000001E-2</v>
      </c>
      <c r="S3737">
        <v>1.8700000000000001E-2</v>
      </c>
      <c r="T3737">
        <v>1.8700000000000001E-2</v>
      </c>
      <c r="U3737">
        <v>1.8700000000000001E-2</v>
      </c>
      <c r="V3737">
        <v>1.8700000000000001E-2</v>
      </c>
      <c r="W3737">
        <v>1.8700000000000001E-2</v>
      </c>
      <c r="X3737">
        <v>1.8700000000000001E-2</v>
      </c>
      <c r="Y3737">
        <v>1.8700000000000001E-2</v>
      </c>
    </row>
    <row r="3738" spans="1:25" hidden="1">
      <c r="A3738" t="s">
        <v>18813</v>
      </c>
      <c r="B3738" t="s">
        <v>2014</v>
      </c>
      <c r="C3738" t="s">
        <v>1959</v>
      </c>
      <c r="D3738" t="s">
        <v>2012</v>
      </c>
      <c r="E3738" t="s">
        <v>1970</v>
      </c>
      <c r="F3738" t="s">
        <v>598</v>
      </c>
      <c r="G3738" t="s">
        <v>478</v>
      </c>
      <c r="H3738" t="s">
        <v>600</v>
      </c>
      <c r="I3738" t="s">
        <v>601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hidden="1">
      <c r="A3739" t="s">
        <v>18813</v>
      </c>
      <c r="B3739" t="s">
        <v>2016</v>
      </c>
      <c r="C3739" t="s">
        <v>1959</v>
      </c>
      <c r="D3739" t="s">
        <v>1817</v>
      </c>
      <c r="E3739" t="s">
        <v>1378</v>
      </c>
      <c r="F3739" t="s">
        <v>598</v>
      </c>
      <c r="G3739" t="s">
        <v>478</v>
      </c>
      <c r="H3739" t="s">
        <v>600</v>
      </c>
      <c r="I3739" t="s">
        <v>601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hidden="1">
      <c r="A3740" t="s">
        <v>18813</v>
      </c>
      <c r="B3740" t="s">
        <v>2017</v>
      </c>
      <c r="C3740" t="s">
        <v>1959</v>
      </c>
      <c r="D3740" t="s">
        <v>1817</v>
      </c>
      <c r="E3740" t="s">
        <v>1962</v>
      </c>
      <c r="F3740" t="s">
        <v>598</v>
      </c>
      <c r="G3740" t="s">
        <v>478</v>
      </c>
      <c r="H3740" t="s">
        <v>600</v>
      </c>
      <c r="I3740" t="s">
        <v>601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hidden="1">
      <c r="A3741" t="s">
        <v>18813</v>
      </c>
      <c r="B3741" t="s">
        <v>2019</v>
      </c>
      <c r="C3741" t="s">
        <v>1959</v>
      </c>
      <c r="D3741" t="s">
        <v>1817</v>
      </c>
      <c r="E3741" t="s">
        <v>1976</v>
      </c>
      <c r="F3741" t="s">
        <v>598</v>
      </c>
      <c r="G3741" t="s">
        <v>478</v>
      </c>
      <c r="H3741" t="s">
        <v>600</v>
      </c>
      <c r="I3741" t="s">
        <v>601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</row>
    <row r="3742" spans="1:25" hidden="1">
      <c r="A3742" t="s">
        <v>18813</v>
      </c>
      <c r="B3742" t="s">
        <v>2020</v>
      </c>
      <c r="C3742" t="s">
        <v>1959</v>
      </c>
      <c r="D3742" t="s">
        <v>1817</v>
      </c>
      <c r="E3742" t="s">
        <v>1999</v>
      </c>
      <c r="F3742" t="s">
        <v>598</v>
      </c>
      <c r="G3742" t="s">
        <v>478</v>
      </c>
      <c r="H3742" t="s">
        <v>600</v>
      </c>
      <c r="I3742" t="s">
        <v>601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hidden="1">
      <c r="A3743" t="s">
        <v>18813</v>
      </c>
      <c r="B3743" t="s">
        <v>2028</v>
      </c>
      <c r="C3743" t="s">
        <v>1959</v>
      </c>
      <c r="D3743" t="s">
        <v>1817</v>
      </c>
      <c r="E3743" t="s">
        <v>1966</v>
      </c>
      <c r="F3743" t="s">
        <v>598</v>
      </c>
      <c r="G3743" t="s">
        <v>478</v>
      </c>
      <c r="H3743" t="s">
        <v>600</v>
      </c>
      <c r="I3743" t="s">
        <v>601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</row>
    <row r="3744" spans="1:25" hidden="1">
      <c r="A3744" t="s">
        <v>18813</v>
      </c>
      <c r="B3744" t="s">
        <v>2039</v>
      </c>
      <c r="C3744" t="s">
        <v>1959</v>
      </c>
      <c r="D3744" t="s">
        <v>648</v>
      </c>
      <c r="E3744" t="s">
        <v>1378</v>
      </c>
      <c r="F3744" t="s">
        <v>598</v>
      </c>
      <c r="G3744" t="s">
        <v>478</v>
      </c>
      <c r="H3744" t="s">
        <v>600</v>
      </c>
      <c r="I3744" t="s">
        <v>601</v>
      </c>
      <c r="J3744">
        <v>0.1135</v>
      </c>
      <c r="K3744">
        <v>0.105</v>
      </c>
      <c r="L3744">
        <v>0.1051</v>
      </c>
      <c r="M3744">
        <v>0.1008</v>
      </c>
      <c r="N3744">
        <v>9.6500000000000002E-2</v>
      </c>
      <c r="O3744">
        <v>8.7800000000000003E-2</v>
      </c>
      <c r="P3744">
        <v>7.9200000000000007E-2</v>
      </c>
      <c r="Q3744">
        <v>6.2199999999999998E-2</v>
      </c>
      <c r="R3744">
        <v>6.2199999999999998E-2</v>
      </c>
      <c r="S3744">
        <v>6.2199999999999998E-2</v>
      </c>
      <c r="T3744">
        <v>6.2199999999999998E-2</v>
      </c>
      <c r="U3744">
        <v>6.2199999999999998E-2</v>
      </c>
      <c r="V3744">
        <v>6.2199999999999998E-2</v>
      </c>
      <c r="W3744">
        <v>6.2199999999999998E-2</v>
      </c>
      <c r="X3744">
        <v>6.2199999999999998E-2</v>
      </c>
      <c r="Y3744">
        <v>6.2199999999999998E-2</v>
      </c>
    </row>
    <row r="3745" spans="1:25" hidden="1">
      <c r="A3745" t="s">
        <v>18813</v>
      </c>
      <c r="B3745" t="s">
        <v>2040</v>
      </c>
      <c r="C3745" t="s">
        <v>1959</v>
      </c>
      <c r="D3745" t="s">
        <v>648</v>
      </c>
      <c r="E3745" t="s">
        <v>1962</v>
      </c>
      <c r="F3745" t="s">
        <v>598</v>
      </c>
      <c r="G3745" t="s">
        <v>478</v>
      </c>
      <c r="H3745" t="s">
        <v>600</v>
      </c>
      <c r="I3745" t="s">
        <v>601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hidden="1">
      <c r="A3746" t="s">
        <v>18813</v>
      </c>
      <c r="B3746" t="s">
        <v>2042</v>
      </c>
      <c r="C3746" t="s">
        <v>1959</v>
      </c>
      <c r="D3746" t="s">
        <v>648</v>
      </c>
      <c r="E3746" t="s">
        <v>1380</v>
      </c>
      <c r="F3746" t="s">
        <v>598</v>
      </c>
      <c r="G3746" t="s">
        <v>478</v>
      </c>
      <c r="H3746" t="s">
        <v>600</v>
      </c>
      <c r="I3746" t="s">
        <v>601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hidden="1">
      <c r="A3747" t="s">
        <v>18813</v>
      </c>
      <c r="B3747" t="s">
        <v>2043</v>
      </c>
      <c r="C3747" t="s">
        <v>1959</v>
      </c>
      <c r="D3747" t="s">
        <v>648</v>
      </c>
      <c r="E3747" t="s">
        <v>1976</v>
      </c>
      <c r="F3747" t="s">
        <v>598</v>
      </c>
      <c r="G3747" t="s">
        <v>478</v>
      </c>
      <c r="H3747" t="s">
        <v>600</v>
      </c>
      <c r="I3747" t="s">
        <v>601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5" hidden="1">
      <c r="A3748" t="s">
        <v>18813</v>
      </c>
      <c r="B3748" t="s">
        <v>2046</v>
      </c>
      <c r="C3748" t="s">
        <v>1959</v>
      </c>
      <c r="D3748" t="s">
        <v>648</v>
      </c>
      <c r="E3748" t="s">
        <v>2047</v>
      </c>
      <c r="F3748" t="s">
        <v>598</v>
      </c>
      <c r="G3748" t="s">
        <v>478</v>
      </c>
      <c r="H3748" t="s">
        <v>600</v>
      </c>
      <c r="I3748" t="s">
        <v>601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hidden="1">
      <c r="A3749" t="s">
        <v>18813</v>
      </c>
      <c r="B3749" t="s">
        <v>2056</v>
      </c>
      <c r="C3749" t="s">
        <v>1959</v>
      </c>
      <c r="D3749" t="s">
        <v>648</v>
      </c>
      <c r="E3749" t="s">
        <v>2057</v>
      </c>
      <c r="F3749" t="s">
        <v>598</v>
      </c>
      <c r="G3749" t="s">
        <v>478</v>
      </c>
      <c r="H3749" t="s">
        <v>600</v>
      </c>
      <c r="I3749" t="s">
        <v>601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</row>
    <row r="3750" spans="1:25" hidden="1">
      <c r="A3750" t="s">
        <v>18813</v>
      </c>
      <c r="B3750" t="s">
        <v>2059</v>
      </c>
      <c r="C3750" t="s">
        <v>1959</v>
      </c>
      <c r="D3750" t="s">
        <v>648</v>
      </c>
      <c r="E3750" t="s">
        <v>2060</v>
      </c>
      <c r="F3750" t="s">
        <v>598</v>
      </c>
      <c r="G3750" t="s">
        <v>478</v>
      </c>
      <c r="H3750" t="s">
        <v>600</v>
      </c>
      <c r="I3750" t="s">
        <v>601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</row>
    <row r="3751" spans="1:25" hidden="1">
      <c r="A3751" t="s">
        <v>18813</v>
      </c>
      <c r="B3751" t="s">
        <v>2072</v>
      </c>
      <c r="C3751" t="s">
        <v>1959</v>
      </c>
      <c r="D3751" t="s">
        <v>648</v>
      </c>
      <c r="E3751" t="s">
        <v>1966</v>
      </c>
      <c r="F3751" t="s">
        <v>598</v>
      </c>
      <c r="G3751" t="s">
        <v>478</v>
      </c>
      <c r="H3751" t="s">
        <v>600</v>
      </c>
      <c r="I3751" t="s">
        <v>601</v>
      </c>
      <c r="J3751">
        <v>5.0000000000000001E-4</v>
      </c>
      <c r="K3751">
        <v>5.0000000000000001E-4</v>
      </c>
      <c r="L3751">
        <v>5.0000000000000001E-4</v>
      </c>
      <c r="M3751">
        <v>5.0000000000000001E-4</v>
      </c>
      <c r="N3751">
        <v>5.0000000000000001E-4</v>
      </c>
      <c r="O3751">
        <v>5.0000000000000001E-4</v>
      </c>
      <c r="P3751">
        <v>5.0000000000000001E-4</v>
      </c>
      <c r="Q3751">
        <v>5.9999999999999995E-4</v>
      </c>
      <c r="R3751">
        <v>5.9999999999999995E-4</v>
      </c>
      <c r="S3751">
        <v>5.9999999999999995E-4</v>
      </c>
      <c r="T3751">
        <v>5.9999999999999995E-4</v>
      </c>
      <c r="U3751">
        <v>5.9999999999999995E-4</v>
      </c>
      <c r="V3751">
        <v>5.9999999999999995E-4</v>
      </c>
      <c r="W3751">
        <v>5.9999999999999995E-4</v>
      </c>
      <c r="X3751">
        <v>5.9999999999999995E-4</v>
      </c>
      <c r="Y3751">
        <v>5.9999999999999995E-4</v>
      </c>
    </row>
    <row r="3752" spans="1:25" hidden="1">
      <c r="A3752" t="s">
        <v>18813</v>
      </c>
      <c r="B3752" t="s">
        <v>2074</v>
      </c>
      <c r="C3752" t="s">
        <v>2075</v>
      </c>
      <c r="D3752" t="s">
        <v>1332</v>
      </c>
      <c r="E3752" t="s">
        <v>1684</v>
      </c>
      <c r="F3752" t="s">
        <v>598</v>
      </c>
      <c r="G3752" t="s">
        <v>478</v>
      </c>
      <c r="H3752" t="s">
        <v>600</v>
      </c>
      <c r="I3752" t="s">
        <v>601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hidden="1">
      <c r="A3753" t="s">
        <v>18813</v>
      </c>
      <c r="B3753" t="s">
        <v>2076</v>
      </c>
      <c r="C3753" t="s">
        <v>2075</v>
      </c>
      <c r="D3753" t="s">
        <v>1435</v>
      </c>
      <c r="E3753" t="s">
        <v>973</v>
      </c>
      <c r="F3753" t="s">
        <v>598</v>
      </c>
      <c r="G3753" t="s">
        <v>478</v>
      </c>
      <c r="H3753" t="s">
        <v>600</v>
      </c>
      <c r="I3753" t="s">
        <v>601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hidden="1">
      <c r="A3754" t="s">
        <v>18813</v>
      </c>
      <c r="B3754" t="s">
        <v>2078</v>
      </c>
      <c r="C3754" t="s">
        <v>2075</v>
      </c>
      <c r="D3754" t="s">
        <v>2079</v>
      </c>
      <c r="E3754" t="s">
        <v>1378</v>
      </c>
      <c r="F3754" t="s">
        <v>598</v>
      </c>
      <c r="G3754" t="s">
        <v>478</v>
      </c>
      <c r="H3754" t="s">
        <v>600</v>
      </c>
      <c r="I3754" t="s">
        <v>601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hidden="1">
      <c r="A3755" t="s">
        <v>18813</v>
      </c>
      <c r="B3755" t="s">
        <v>2085</v>
      </c>
      <c r="C3755" t="s">
        <v>2075</v>
      </c>
      <c r="D3755" t="s">
        <v>2079</v>
      </c>
      <c r="E3755" t="s">
        <v>2086</v>
      </c>
      <c r="F3755" t="s">
        <v>598</v>
      </c>
      <c r="G3755" t="s">
        <v>478</v>
      </c>
      <c r="H3755" t="s">
        <v>600</v>
      </c>
      <c r="I3755" t="s">
        <v>601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</row>
    <row r="3756" spans="1:25" hidden="1">
      <c r="A3756" t="s">
        <v>18813</v>
      </c>
      <c r="B3756" t="s">
        <v>2092</v>
      </c>
      <c r="C3756" t="s">
        <v>2075</v>
      </c>
      <c r="D3756" t="s">
        <v>2090</v>
      </c>
      <c r="E3756" t="s">
        <v>1378</v>
      </c>
      <c r="F3756" t="s">
        <v>598</v>
      </c>
      <c r="G3756" t="s">
        <v>478</v>
      </c>
      <c r="H3756" t="s">
        <v>600</v>
      </c>
      <c r="I3756" t="s">
        <v>601</v>
      </c>
      <c r="J3756">
        <v>3.2500000000000001E-2</v>
      </c>
      <c r="K3756">
        <v>3.3099999999999997E-2</v>
      </c>
      <c r="L3756">
        <v>3.3700000000000001E-2</v>
      </c>
      <c r="M3756">
        <v>3.44E-2</v>
      </c>
      <c r="N3756">
        <v>3.5000000000000003E-2</v>
      </c>
      <c r="O3756">
        <v>3.56E-2</v>
      </c>
      <c r="P3756">
        <v>3.6299999999999999E-2</v>
      </c>
      <c r="Q3756">
        <v>3.6999999999999998E-2</v>
      </c>
      <c r="R3756">
        <v>3.7199999999999997E-2</v>
      </c>
      <c r="S3756">
        <v>3.7400000000000003E-2</v>
      </c>
      <c r="T3756">
        <v>3.7600000000000001E-2</v>
      </c>
      <c r="U3756">
        <v>3.78E-2</v>
      </c>
      <c r="V3756">
        <v>3.7900000000000003E-2</v>
      </c>
      <c r="W3756">
        <v>3.7999999999999999E-2</v>
      </c>
      <c r="X3756">
        <v>3.7999999999999999E-2</v>
      </c>
      <c r="Y3756">
        <v>3.8300000000000001E-2</v>
      </c>
    </row>
    <row r="3757" spans="1:25" hidden="1">
      <c r="A3757" t="s">
        <v>18813</v>
      </c>
      <c r="B3757" t="s">
        <v>2101</v>
      </c>
      <c r="C3757" t="s">
        <v>2075</v>
      </c>
      <c r="D3757" t="s">
        <v>2090</v>
      </c>
      <c r="E3757" t="s">
        <v>2102</v>
      </c>
      <c r="F3757" t="s">
        <v>598</v>
      </c>
      <c r="G3757" t="s">
        <v>478</v>
      </c>
      <c r="H3757" t="s">
        <v>600</v>
      </c>
      <c r="I3757" t="s">
        <v>601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5" hidden="1">
      <c r="A3758" t="s">
        <v>18813</v>
      </c>
      <c r="B3758" t="s">
        <v>2104</v>
      </c>
      <c r="C3758" t="s">
        <v>2075</v>
      </c>
      <c r="D3758" t="s">
        <v>648</v>
      </c>
      <c r="E3758" t="s">
        <v>605</v>
      </c>
      <c r="F3758" t="s">
        <v>598</v>
      </c>
      <c r="G3758" t="s">
        <v>478</v>
      </c>
      <c r="H3758" t="s">
        <v>600</v>
      </c>
      <c r="I3758" t="s">
        <v>601</v>
      </c>
      <c r="J3758">
        <v>6.1000000000000004E-3</v>
      </c>
      <c r="K3758">
        <v>6.1999999999999998E-3</v>
      </c>
      <c r="L3758">
        <v>6.3E-3</v>
      </c>
      <c r="M3758">
        <v>6.4000000000000003E-3</v>
      </c>
      <c r="N3758">
        <v>6.4999999999999997E-3</v>
      </c>
      <c r="O3758">
        <v>6.6E-3</v>
      </c>
      <c r="P3758">
        <v>6.7999999999999996E-3</v>
      </c>
      <c r="Q3758">
        <v>6.8999999999999999E-3</v>
      </c>
      <c r="R3758">
        <v>6.8999999999999999E-3</v>
      </c>
      <c r="S3758">
        <v>7.0000000000000001E-3</v>
      </c>
      <c r="T3758">
        <v>7.0000000000000001E-3</v>
      </c>
      <c r="U3758">
        <v>7.0000000000000001E-3</v>
      </c>
      <c r="V3758">
        <v>7.1000000000000004E-3</v>
      </c>
      <c r="W3758">
        <v>7.1000000000000004E-3</v>
      </c>
      <c r="X3758">
        <v>7.1999999999999998E-3</v>
      </c>
      <c r="Y3758">
        <v>7.1999999999999998E-3</v>
      </c>
    </row>
    <row r="3759" spans="1:25" hidden="1">
      <c r="A3759" t="s">
        <v>18813</v>
      </c>
      <c r="B3759" t="s">
        <v>2106</v>
      </c>
      <c r="C3759" t="s">
        <v>2075</v>
      </c>
      <c r="D3759" t="s">
        <v>648</v>
      </c>
      <c r="E3759" t="s">
        <v>1378</v>
      </c>
      <c r="F3759" t="s">
        <v>598</v>
      </c>
      <c r="G3759" t="s">
        <v>478</v>
      </c>
      <c r="H3759" t="s">
        <v>600</v>
      </c>
      <c r="I3759" t="s">
        <v>601</v>
      </c>
      <c r="J3759">
        <v>1E-4</v>
      </c>
      <c r="K3759">
        <v>1E-4</v>
      </c>
      <c r="L3759">
        <v>1E-4</v>
      </c>
      <c r="M3759">
        <v>1E-4</v>
      </c>
      <c r="N3759">
        <v>1E-4</v>
      </c>
      <c r="O3759">
        <v>1E-4</v>
      </c>
      <c r="P3759">
        <v>1E-4</v>
      </c>
      <c r="Q3759">
        <v>1E-4</v>
      </c>
      <c r="R3759">
        <v>1E-4</v>
      </c>
      <c r="S3759">
        <v>1E-4</v>
      </c>
      <c r="T3759">
        <v>1E-4</v>
      </c>
      <c r="U3759">
        <v>1E-4</v>
      </c>
      <c r="V3759">
        <v>1E-4</v>
      </c>
      <c r="W3759">
        <v>1E-4</v>
      </c>
      <c r="X3759">
        <v>1E-4</v>
      </c>
      <c r="Y3759">
        <v>1E-4</v>
      </c>
    </row>
    <row r="3760" spans="1:25" hidden="1">
      <c r="A3760" t="s">
        <v>18813</v>
      </c>
      <c r="B3760" t="s">
        <v>2109</v>
      </c>
      <c r="C3760" t="s">
        <v>2075</v>
      </c>
      <c r="D3760" t="s">
        <v>648</v>
      </c>
      <c r="E3760" t="s">
        <v>2022</v>
      </c>
      <c r="F3760" t="s">
        <v>598</v>
      </c>
      <c r="G3760" t="s">
        <v>478</v>
      </c>
      <c r="H3760" t="s">
        <v>600</v>
      </c>
      <c r="I3760" t="s">
        <v>601</v>
      </c>
      <c r="J3760">
        <v>8.9999999999999998E-4</v>
      </c>
      <c r="K3760">
        <v>1E-3</v>
      </c>
      <c r="L3760">
        <v>1E-3</v>
      </c>
      <c r="M3760">
        <v>1.1000000000000001E-3</v>
      </c>
      <c r="N3760">
        <v>1.1000000000000001E-3</v>
      </c>
      <c r="O3760">
        <v>1.1999999999999999E-3</v>
      </c>
      <c r="P3760">
        <v>1.1999999999999999E-3</v>
      </c>
      <c r="Q3760">
        <v>1.2999999999999999E-3</v>
      </c>
      <c r="R3760">
        <v>1.2999999999999999E-3</v>
      </c>
      <c r="S3760">
        <v>1.2999999999999999E-3</v>
      </c>
      <c r="T3760">
        <v>1.2999999999999999E-3</v>
      </c>
      <c r="U3760">
        <v>1.2999999999999999E-3</v>
      </c>
      <c r="V3760">
        <v>1.4E-3</v>
      </c>
      <c r="W3760">
        <v>1.4E-3</v>
      </c>
      <c r="X3760">
        <v>1.4E-3</v>
      </c>
      <c r="Y3760">
        <v>1.4E-3</v>
      </c>
    </row>
    <row r="3761" spans="1:25" hidden="1">
      <c r="A3761" t="s">
        <v>18813</v>
      </c>
      <c r="B3761" t="s">
        <v>2111</v>
      </c>
      <c r="C3761" t="s">
        <v>2075</v>
      </c>
      <c r="D3761" t="s">
        <v>648</v>
      </c>
      <c r="E3761" t="s">
        <v>2099</v>
      </c>
      <c r="F3761" t="s">
        <v>598</v>
      </c>
      <c r="G3761" t="s">
        <v>478</v>
      </c>
      <c r="H3761" t="s">
        <v>600</v>
      </c>
      <c r="I3761" t="s">
        <v>601</v>
      </c>
      <c r="J3761">
        <v>2.0000000000000001E-4</v>
      </c>
      <c r="K3761">
        <v>2.0000000000000001E-4</v>
      </c>
      <c r="L3761">
        <v>2.0000000000000001E-4</v>
      </c>
      <c r="M3761">
        <v>2.0000000000000001E-4</v>
      </c>
      <c r="N3761">
        <v>2.0000000000000001E-4</v>
      </c>
      <c r="O3761">
        <v>2.9999999999999997E-4</v>
      </c>
      <c r="P3761">
        <v>2.9999999999999997E-4</v>
      </c>
      <c r="Q3761">
        <v>2.9999999999999997E-4</v>
      </c>
      <c r="R3761">
        <v>2.9999999999999997E-4</v>
      </c>
      <c r="S3761">
        <v>2.9999999999999997E-4</v>
      </c>
      <c r="T3761">
        <v>2.9999999999999997E-4</v>
      </c>
      <c r="U3761">
        <v>2.9999999999999997E-4</v>
      </c>
      <c r="V3761">
        <v>2.9999999999999997E-4</v>
      </c>
      <c r="W3761">
        <v>2.9999999999999997E-4</v>
      </c>
      <c r="X3761">
        <v>2.9999999999999997E-4</v>
      </c>
      <c r="Y3761">
        <v>2.9999999999999997E-4</v>
      </c>
    </row>
    <row r="3762" spans="1:25" hidden="1">
      <c r="A3762" t="s">
        <v>18813</v>
      </c>
      <c r="B3762" t="s">
        <v>2115</v>
      </c>
      <c r="C3762" t="s">
        <v>2116</v>
      </c>
      <c r="D3762" t="s">
        <v>1435</v>
      </c>
      <c r="E3762" t="s">
        <v>973</v>
      </c>
      <c r="F3762" t="s">
        <v>598</v>
      </c>
      <c r="G3762" t="s">
        <v>478</v>
      </c>
      <c r="H3762" t="s">
        <v>600</v>
      </c>
      <c r="I3762" t="s">
        <v>601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</row>
    <row r="3763" spans="1:25" hidden="1">
      <c r="A3763" t="s">
        <v>18813</v>
      </c>
      <c r="B3763" t="s">
        <v>2117</v>
      </c>
      <c r="C3763" t="s">
        <v>2116</v>
      </c>
      <c r="D3763" t="s">
        <v>2118</v>
      </c>
      <c r="E3763" t="s">
        <v>2119</v>
      </c>
      <c r="F3763" t="s">
        <v>598</v>
      </c>
      <c r="G3763" t="s">
        <v>478</v>
      </c>
      <c r="H3763" t="s">
        <v>600</v>
      </c>
      <c r="I3763" t="s">
        <v>601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hidden="1">
      <c r="A3764" t="s">
        <v>18813</v>
      </c>
      <c r="B3764" t="s">
        <v>2120</v>
      </c>
      <c r="C3764" t="s">
        <v>2116</v>
      </c>
      <c r="D3764" t="s">
        <v>2121</v>
      </c>
      <c r="E3764" t="s">
        <v>2119</v>
      </c>
      <c r="F3764" t="s">
        <v>598</v>
      </c>
      <c r="G3764" t="s">
        <v>478</v>
      </c>
      <c r="H3764" t="s">
        <v>600</v>
      </c>
      <c r="I3764" t="s">
        <v>601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hidden="1">
      <c r="A3765" t="s">
        <v>18813</v>
      </c>
      <c r="B3765" t="s">
        <v>2126</v>
      </c>
      <c r="C3765" t="s">
        <v>2116</v>
      </c>
      <c r="D3765" t="s">
        <v>2127</v>
      </c>
      <c r="E3765" t="s">
        <v>656</v>
      </c>
      <c r="F3765" t="s">
        <v>598</v>
      </c>
      <c r="G3765" t="s">
        <v>478</v>
      </c>
      <c r="H3765" t="s">
        <v>600</v>
      </c>
      <c r="I3765" t="s">
        <v>601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</row>
    <row r="3766" spans="1:25" hidden="1">
      <c r="A3766" t="s">
        <v>18813</v>
      </c>
      <c r="B3766" t="s">
        <v>2128</v>
      </c>
      <c r="C3766" t="s">
        <v>2116</v>
      </c>
      <c r="D3766" t="s">
        <v>648</v>
      </c>
      <c r="E3766" t="s">
        <v>656</v>
      </c>
      <c r="F3766" t="s">
        <v>598</v>
      </c>
      <c r="G3766" t="s">
        <v>478</v>
      </c>
      <c r="H3766" t="s">
        <v>600</v>
      </c>
      <c r="I3766" t="s">
        <v>601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hidden="1">
      <c r="A3767" t="s">
        <v>18813</v>
      </c>
      <c r="B3767" t="s">
        <v>2129</v>
      </c>
      <c r="C3767" t="s">
        <v>2116</v>
      </c>
      <c r="D3767" t="s">
        <v>648</v>
      </c>
      <c r="E3767" t="s">
        <v>2119</v>
      </c>
      <c r="F3767" t="s">
        <v>598</v>
      </c>
      <c r="G3767" t="s">
        <v>478</v>
      </c>
      <c r="H3767" t="s">
        <v>600</v>
      </c>
      <c r="I3767" t="s">
        <v>601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hidden="1">
      <c r="A3768" t="s">
        <v>18813</v>
      </c>
      <c r="B3768" t="s">
        <v>2132</v>
      </c>
      <c r="C3768" t="s">
        <v>2131</v>
      </c>
      <c r="D3768" t="s">
        <v>1435</v>
      </c>
      <c r="E3768" t="s">
        <v>973</v>
      </c>
      <c r="F3768" t="s">
        <v>598</v>
      </c>
      <c r="G3768" t="s">
        <v>478</v>
      </c>
      <c r="H3768" t="s">
        <v>600</v>
      </c>
      <c r="I3768" t="s">
        <v>601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hidden="1">
      <c r="A3769" t="s">
        <v>18813</v>
      </c>
      <c r="B3769" t="s">
        <v>2136</v>
      </c>
      <c r="C3769" t="s">
        <v>2131</v>
      </c>
      <c r="D3769" t="s">
        <v>2134</v>
      </c>
      <c r="E3769" t="s">
        <v>2137</v>
      </c>
      <c r="F3769" t="s">
        <v>598</v>
      </c>
      <c r="G3769" t="s">
        <v>478</v>
      </c>
      <c r="H3769" t="s">
        <v>600</v>
      </c>
      <c r="I3769" t="s">
        <v>601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hidden="1">
      <c r="A3770" t="s">
        <v>18813</v>
      </c>
      <c r="B3770" t="s">
        <v>2143</v>
      </c>
      <c r="C3770" t="s">
        <v>2144</v>
      </c>
      <c r="D3770" t="s">
        <v>1324</v>
      </c>
      <c r="E3770" t="s">
        <v>954</v>
      </c>
      <c r="F3770" t="s">
        <v>598</v>
      </c>
      <c r="G3770" t="s">
        <v>478</v>
      </c>
      <c r="H3770" t="s">
        <v>600</v>
      </c>
      <c r="I3770" t="s">
        <v>601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hidden="1">
      <c r="A3771" t="s">
        <v>18813</v>
      </c>
      <c r="B3771" t="s">
        <v>2146</v>
      </c>
      <c r="C3771" t="s">
        <v>2144</v>
      </c>
      <c r="D3771" t="s">
        <v>2147</v>
      </c>
      <c r="E3771" t="s">
        <v>973</v>
      </c>
      <c r="F3771" t="s">
        <v>598</v>
      </c>
      <c r="G3771" t="s">
        <v>478</v>
      </c>
      <c r="H3771" t="s">
        <v>600</v>
      </c>
      <c r="I3771" t="s">
        <v>601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hidden="1">
      <c r="A3772" t="s">
        <v>18813</v>
      </c>
      <c r="B3772" t="s">
        <v>2148</v>
      </c>
      <c r="C3772" t="s">
        <v>2144</v>
      </c>
      <c r="D3772" t="s">
        <v>2147</v>
      </c>
      <c r="E3772" t="s">
        <v>1393</v>
      </c>
      <c r="F3772" t="s">
        <v>598</v>
      </c>
      <c r="G3772" t="s">
        <v>478</v>
      </c>
      <c r="H3772" t="s">
        <v>600</v>
      </c>
      <c r="I3772" t="s">
        <v>601</v>
      </c>
      <c r="J3772">
        <v>4.0000000000000002E-4</v>
      </c>
      <c r="K3772">
        <v>4.0000000000000002E-4</v>
      </c>
      <c r="L3772">
        <v>4.0000000000000002E-4</v>
      </c>
      <c r="M3772">
        <v>4.0000000000000002E-4</v>
      </c>
      <c r="N3772">
        <v>5.0000000000000001E-4</v>
      </c>
      <c r="O3772">
        <v>5.0000000000000001E-4</v>
      </c>
      <c r="P3772">
        <v>5.0000000000000001E-4</v>
      </c>
      <c r="Q3772">
        <v>5.0000000000000001E-4</v>
      </c>
      <c r="R3772">
        <v>5.9999999999999995E-4</v>
      </c>
      <c r="S3772">
        <v>5.9999999999999995E-4</v>
      </c>
      <c r="T3772">
        <v>5.9999999999999995E-4</v>
      </c>
      <c r="U3772">
        <v>5.9999999999999995E-4</v>
      </c>
      <c r="V3772">
        <v>5.9999999999999995E-4</v>
      </c>
      <c r="W3772">
        <v>5.9999999999999995E-4</v>
      </c>
      <c r="X3772">
        <v>5.9999999999999995E-4</v>
      </c>
      <c r="Y3772">
        <v>6.9999999999999999E-4</v>
      </c>
    </row>
    <row r="3773" spans="1:25" hidden="1">
      <c r="A3773" t="s">
        <v>18813</v>
      </c>
      <c r="B3773" t="s">
        <v>2152</v>
      </c>
      <c r="C3773" t="s">
        <v>2144</v>
      </c>
      <c r="D3773" t="s">
        <v>648</v>
      </c>
      <c r="E3773" t="s">
        <v>1378</v>
      </c>
      <c r="F3773" t="s">
        <v>598</v>
      </c>
      <c r="G3773" t="s">
        <v>478</v>
      </c>
      <c r="H3773" t="s">
        <v>600</v>
      </c>
      <c r="I3773" t="s">
        <v>601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hidden="1">
      <c r="A3774" t="s">
        <v>18813</v>
      </c>
      <c r="B3774" t="s">
        <v>2153</v>
      </c>
      <c r="C3774" t="s">
        <v>2154</v>
      </c>
      <c r="D3774" t="s">
        <v>1392</v>
      </c>
      <c r="E3774" t="s">
        <v>1393</v>
      </c>
      <c r="F3774" t="s">
        <v>598</v>
      </c>
      <c r="G3774" t="s">
        <v>478</v>
      </c>
      <c r="H3774" t="s">
        <v>600</v>
      </c>
      <c r="I3774" t="s">
        <v>601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hidden="1">
      <c r="A3775" t="s">
        <v>18813</v>
      </c>
      <c r="B3775" t="s">
        <v>2155</v>
      </c>
      <c r="C3775" t="s">
        <v>2154</v>
      </c>
      <c r="D3775" t="s">
        <v>1316</v>
      </c>
      <c r="E3775" t="s">
        <v>1393</v>
      </c>
      <c r="F3775" t="s">
        <v>598</v>
      </c>
      <c r="G3775" t="s">
        <v>478</v>
      </c>
      <c r="H3775" t="s">
        <v>600</v>
      </c>
      <c r="I3775" t="s">
        <v>601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hidden="1">
      <c r="A3776" t="s">
        <v>18813</v>
      </c>
      <c r="B3776" t="s">
        <v>2156</v>
      </c>
      <c r="C3776" t="s">
        <v>2154</v>
      </c>
      <c r="D3776" t="s">
        <v>1320</v>
      </c>
      <c r="E3776" t="s">
        <v>973</v>
      </c>
      <c r="F3776" t="s">
        <v>598</v>
      </c>
      <c r="G3776" t="s">
        <v>478</v>
      </c>
      <c r="H3776" t="s">
        <v>600</v>
      </c>
      <c r="I3776" t="s">
        <v>601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hidden="1">
      <c r="A3777" t="s">
        <v>18813</v>
      </c>
      <c r="B3777" t="s">
        <v>2158</v>
      </c>
      <c r="C3777" t="s">
        <v>2154</v>
      </c>
      <c r="D3777" t="s">
        <v>1320</v>
      </c>
      <c r="E3777" t="s">
        <v>626</v>
      </c>
      <c r="F3777" t="s">
        <v>598</v>
      </c>
      <c r="G3777" t="s">
        <v>478</v>
      </c>
      <c r="H3777" t="s">
        <v>600</v>
      </c>
      <c r="I3777" t="s">
        <v>601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hidden="1">
      <c r="A3778" t="s">
        <v>18813</v>
      </c>
      <c r="B3778" t="s">
        <v>2159</v>
      </c>
      <c r="C3778" t="s">
        <v>2154</v>
      </c>
      <c r="D3778" t="s">
        <v>1320</v>
      </c>
      <c r="E3778" t="s">
        <v>1393</v>
      </c>
      <c r="F3778" t="s">
        <v>598</v>
      </c>
      <c r="G3778" t="s">
        <v>478</v>
      </c>
      <c r="H3778" t="s">
        <v>600</v>
      </c>
      <c r="I3778" t="s">
        <v>601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hidden="1">
      <c r="A3779" t="s">
        <v>18813</v>
      </c>
      <c r="B3779" t="s">
        <v>2163</v>
      </c>
      <c r="C3779" t="s">
        <v>2154</v>
      </c>
      <c r="D3779" t="s">
        <v>1324</v>
      </c>
      <c r="E3779" t="s">
        <v>954</v>
      </c>
      <c r="F3779" t="s">
        <v>598</v>
      </c>
      <c r="G3779" t="s">
        <v>478</v>
      </c>
      <c r="H3779" t="s">
        <v>600</v>
      </c>
      <c r="I3779" t="s">
        <v>601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hidden="1">
      <c r="A3780" t="s">
        <v>18813</v>
      </c>
      <c r="B3780" t="s">
        <v>2167</v>
      </c>
      <c r="C3780" t="s">
        <v>2154</v>
      </c>
      <c r="D3780" t="s">
        <v>1332</v>
      </c>
      <c r="E3780" t="s">
        <v>1684</v>
      </c>
      <c r="F3780" t="s">
        <v>598</v>
      </c>
      <c r="G3780" t="s">
        <v>478</v>
      </c>
      <c r="H3780" t="s">
        <v>600</v>
      </c>
      <c r="I3780" t="s">
        <v>601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hidden="1">
      <c r="A3781" t="s">
        <v>18813</v>
      </c>
      <c r="B3781" t="s">
        <v>2168</v>
      </c>
      <c r="C3781" t="s">
        <v>2154</v>
      </c>
      <c r="D3781" t="s">
        <v>1332</v>
      </c>
      <c r="E3781" t="s">
        <v>954</v>
      </c>
      <c r="F3781" t="s">
        <v>598</v>
      </c>
      <c r="G3781" t="s">
        <v>478</v>
      </c>
      <c r="H3781" t="s">
        <v>600</v>
      </c>
      <c r="I3781" t="s">
        <v>601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hidden="1">
      <c r="A3782" t="s">
        <v>18813</v>
      </c>
      <c r="B3782" t="s">
        <v>2170</v>
      </c>
      <c r="C3782" t="s">
        <v>2154</v>
      </c>
      <c r="D3782" t="s">
        <v>1332</v>
      </c>
      <c r="E3782" t="s">
        <v>1000</v>
      </c>
      <c r="F3782" t="s">
        <v>598</v>
      </c>
      <c r="G3782" t="s">
        <v>478</v>
      </c>
      <c r="H3782" t="s">
        <v>600</v>
      </c>
      <c r="I3782" t="s">
        <v>601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</row>
    <row r="3783" spans="1:25" hidden="1">
      <c r="A3783" t="s">
        <v>18813</v>
      </c>
      <c r="B3783" t="s">
        <v>2172</v>
      </c>
      <c r="C3783" t="s">
        <v>2154</v>
      </c>
      <c r="D3783" t="s">
        <v>1435</v>
      </c>
      <c r="E3783" t="s">
        <v>973</v>
      </c>
      <c r="F3783" t="s">
        <v>598</v>
      </c>
      <c r="G3783" t="s">
        <v>478</v>
      </c>
      <c r="H3783" t="s">
        <v>600</v>
      </c>
      <c r="I3783" t="s">
        <v>601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hidden="1">
      <c r="A3784" t="s">
        <v>18813</v>
      </c>
      <c r="B3784" t="s">
        <v>2176</v>
      </c>
      <c r="C3784" t="s">
        <v>2154</v>
      </c>
      <c r="D3784" t="s">
        <v>1365</v>
      </c>
      <c r="E3784" t="s">
        <v>1393</v>
      </c>
      <c r="F3784" t="s">
        <v>598</v>
      </c>
      <c r="G3784" t="s">
        <v>478</v>
      </c>
      <c r="H3784" t="s">
        <v>600</v>
      </c>
      <c r="I3784" t="s">
        <v>601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hidden="1">
      <c r="A3785" t="s">
        <v>18813</v>
      </c>
      <c r="B3785" t="s">
        <v>2178</v>
      </c>
      <c r="C3785" t="s">
        <v>2154</v>
      </c>
      <c r="D3785" t="s">
        <v>2179</v>
      </c>
      <c r="E3785" t="s">
        <v>2180</v>
      </c>
      <c r="F3785" t="s">
        <v>598</v>
      </c>
      <c r="G3785" t="s">
        <v>478</v>
      </c>
      <c r="H3785" t="s">
        <v>600</v>
      </c>
      <c r="I3785" t="s">
        <v>601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hidden="1">
      <c r="A3786" t="s">
        <v>18813</v>
      </c>
      <c r="B3786" t="s">
        <v>2184</v>
      </c>
      <c r="C3786" t="s">
        <v>2154</v>
      </c>
      <c r="D3786" t="s">
        <v>2185</v>
      </c>
      <c r="E3786" t="s">
        <v>2186</v>
      </c>
      <c r="F3786" t="s">
        <v>598</v>
      </c>
      <c r="G3786" t="s">
        <v>478</v>
      </c>
      <c r="H3786" t="s">
        <v>600</v>
      </c>
      <c r="I3786" t="s">
        <v>601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hidden="1">
      <c r="A3787" t="s">
        <v>18813</v>
      </c>
      <c r="B3787" t="s">
        <v>2187</v>
      </c>
      <c r="C3787" t="s">
        <v>2154</v>
      </c>
      <c r="D3787" t="s">
        <v>648</v>
      </c>
      <c r="E3787" t="s">
        <v>920</v>
      </c>
      <c r="F3787" t="s">
        <v>598</v>
      </c>
      <c r="G3787" t="s">
        <v>478</v>
      </c>
      <c r="H3787" t="s">
        <v>600</v>
      </c>
      <c r="I3787" t="s">
        <v>601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</row>
    <row r="3788" spans="1:25" hidden="1">
      <c r="A3788" t="s">
        <v>18813</v>
      </c>
      <c r="B3788" t="s">
        <v>2188</v>
      </c>
      <c r="C3788" t="s">
        <v>2154</v>
      </c>
      <c r="D3788" t="s">
        <v>648</v>
      </c>
      <c r="E3788" t="s">
        <v>973</v>
      </c>
      <c r="F3788" t="s">
        <v>598</v>
      </c>
      <c r="G3788" t="s">
        <v>478</v>
      </c>
      <c r="H3788" t="s">
        <v>600</v>
      </c>
      <c r="I3788" t="s">
        <v>601</v>
      </c>
      <c r="J3788">
        <v>1.44E-2</v>
      </c>
      <c r="K3788">
        <v>1.52E-2</v>
      </c>
      <c r="L3788">
        <v>1.61E-2</v>
      </c>
      <c r="M3788">
        <v>1.7000000000000001E-2</v>
      </c>
      <c r="N3788">
        <v>1.7999999999999999E-2</v>
      </c>
      <c r="O3788">
        <v>1.9099999999999999E-2</v>
      </c>
      <c r="P3788">
        <v>2.01E-2</v>
      </c>
      <c r="Q3788">
        <v>2.12E-2</v>
      </c>
      <c r="R3788">
        <v>2.1499999999999998E-2</v>
      </c>
      <c r="S3788">
        <v>2.1899999999999999E-2</v>
      </c>
      <c r="T3788">
        <v>2.23E-2</v>
      </c>
      <c r="U3788">
        <v>2.2700000000000001E-2</v>
      </c>
      <c r="V3788">
        <v>2.3099999999999999E-2</v>
      </c>
      <c r="W3788">
        <v>2.35E-2</v>
      </c>
      <c r="X3788">
        <v>2.3900000000000001E-2</v>
      </c>
      <c r="Y3788">
        <v>2.4299999999999999E-2</v>
      </c>
    </row>
    <row r="3789" spans="1:25" hidden="1">
      <c r="A3789" t="s">
        <v>18813</v>
      </c>
      <c r="B3789" t="s">
        <v>2196</v>
      </c>
      <c r="C3789" t="s">
        <v>2154</v>
      </c>
      <c r="D3789" t="s">
        <v>648</v>
      </c>
      <c r="E3789" t="s">
        <v>1393</v>
      </c>
      <c r="F3789" t="s">
        <v>598</v>
      </c>
      <c r="G3789" t="s">
        <v>478</v>
      </c>
      <c r="H3789" t="s">
        <v>600</v>
      </c>
      <c r="I3789" t="s">
        <v>601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hidden="1">
      <c r="A3790" t="s">
        <v>18813</v>
      </c>
      <c r="B3790" t="s">
        <v>2199</v>
      </c>
      <c r="C3790" t="s">
        <v>2154</v>
      </c>
      <c r="D3790" t="s">
        <v>648</v>
      </c>
      <c r="E3790" t="s">
        <v>1014</v>
      </c>
      <c r="F3790" t="s">
        <v>598</v>
      </c>
      <c r="G3790" t="s">
        <v>478</v>
      </c>
      <c r="H3790" t="s">
        <v>600</v>
      </c>
      <c r="I3790" t="s">
        <v>601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</row>
    <row r="3791" spans="1:25" hidden="1">
      <c r="A3791" t="s">
        <v>18813</v>
      </c>
      <c r="B3791" t="s">
        <v>2200</v>
      </c>
      <c r="C3791" t="s">
        <v>2154</v>
      </c>
      <c r="D3791" t="s">
        <v>648</v>
      </c>
      <c r="E3791" t="s">
        <v>1774</v>
      </c>
      <c r="F3791" t="s">
        <v>598</v>
      </c>
      <c r="G3791" t="s">
        <v>478</v>
      </c>
      <c r="H3791" t="s">
        <v>600</v>
      </c>
      <c r="I3791" t="s">
        <v>601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hidden="1">
      <c r="A3792" t="s">
        <v>18813</v>
      </c>
      <c r="B3792" t="s">
        <v>2203</v>
      </c>
      <c r="C3792" t="s">
        <v>2154</v>
      </c>
      <c r="D3792" t="s">
        <v>648</v>
      </c>
      <c r="E3792" t="s">
        <v>2204</v>
      </c>
      <c r="F3792" t="s">
        <v>598</v>
      </c>
      <c r="G3792" t="s">
        <v>478</v>
      </c>
      <c r="H3792" t="s">
        <v>600</v>
      </c>
      <c r="I3792" t="s">
        <v>601</v>
      </c>
      <c r="J3792">
        <v>2.9999999999999997E-4</v>
      </c>
      <c r="K3792">
        <v>4.0000000000000002E-4</v>
      </c>
      <c r="L3792">
        <v>4.0000000000000002E-4</v>
      </c>
      <c r="M3792">
        <v>4.0000000000000002E-4</v>
      </c>
      <c r="N3792">
        <v>4.0000000000000002E-4</v>
      </c>
      <c r="O3792">
        <v>4.0000000000000002E-4</v>
      </c>
      <c r="P3792">
        <v>4.0000000000000002E-4</v>
      </c>
      <c r="Q3792">
        <v>4.0000000000000002E-4</v>
      </c>
      <c r="R3792">
        <v>4.0000000000000002E-4</v>
      </c>
      <c r="S3792">
        <v>4.0000000000000002E-4</v>
      </c>
      <c r="T3792">
        <v>4.0000000000000002E-4</v>
      </c>
      <c r="U3792">
        <v>4.0000000000000002E-4</v>
      </c>
      <c r="V3792">
        <v>4.0000000000000002E-4</v>
      </c>
      <c r="W3792">
        <v>5.0000000000000001E-4</v>
      </c>
      <c r="X3792">
        <v>5.0000000000000001E-4</v>
      </c>
      <c r="Y3792">
        <v>5.0000000000000001E-4</v>
      </c>
    </row>
    <row r="3793" spans="1:25" hidden="1">
      <c r="A3793" t="s">
        <v>18813</v>
      </c>
      <c r="B3793" t="s">
        <v>2207</v>
      </c>
      <c r="C3793" t="s">
        <v>2154</v>
      </c>
      <c r="D3793" t="s">
        <v>648</v>
      </c>
      <c r="E3793" t="s">
        <v>1378</v>
      </c>
      <c r="F3793" t="s">
        <v>598</v>
      </c>
      <c r="G3793" t="s">
        <v>478</v>
      </c>
      <c r="H3793" t="s">
        <v>600</v>
      </c>
      <c r="I3793" t="s">
        <v>601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hidden="1">
      <c r="A3794" t="s">
        <v>18813</v>
      </c>
      <c r="B3794" t="s">
        <v>2208</v>
      </c>
      <c r="C3794" t="s">
        <v>2154</v>
      </c>
      <c r="D3794" t="s">
        <v>648</v>
      </c>
      <c r="E3794" t="s">
        <v>2060</v>
      </c>
      <c r="F3794" t="s">
        <v>598</v>
      </c>
      <c r="G3794" t="s">
        <v>478</v>
      </c>
      <c r="H3794" t="s">
        <v>600</v>
      </c>
      <c r="I3794" t="s">
        <v>601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hidden="1">
      <c r="A3795" t="s">
        <v>18813</v>
      </c>
      <c r="B3795" t="s">
        <v>2209</v>
      </c>
      <c r="C3795" t="s">
        <v>2154</v>
      </c>
      <c r="D3795" t="s">
        <v>648</v>
      </c>
      <c r="E3795" t="s">
        <v>1004</v>
      </c>
      <c r="F3795" t="s">
        <v>598</v>
      </c>
      <c r="G3795" t="s">
        <v>478</v>
      </c>
      <c r="H3795" t="s">
        <v>600</v>
      </c>
      <c r="I3795" t="s">
        <v>601</v>
      </c>
      <c r="J3795">
        <v>4.8999999999999998E-3</v>
      </c>
      <c r="K3795">
        <v>5.0000000000000001E-3</v>
      </c>
      <c r="L3795">
        <v>5.0000000000000001E-3</v>
      </c>
      <c r="M3795">
        <v>5.1000000000000004E-3</v>
      </c>
      <c r="N3795">
        <v>5.1000000000000004E-3</v>
      </c>
      <c r="O3795">
        <v>5.1999999999999998E-3</v>
      </c>
      <c r="P3795">
        <v>5.1999999999999998E-3</v>
      </c>
      <c r="Q3795">
        <v>5.1999999999999998E-3</v>
      </c>
      <c r="R3795">
        <v>5.3E-3</v>
      </c>
      <c r="S3795">
        <v>5.3E-3</v>
      </c>
      <c r="T3795">
        <v>5.3E-3</v>
      </c>
      <c r="U3795">
        <v>5.4000000000000003E-3</v>
      </c>
      <c r="V3795">
        <v>5.4000000000000003E-3</v>
      </c>
      <c r="W3795">
        <v>5.4000000000000003E-3</v>
      </c>
      <c r="X3795">
        <v>5.4999999999999997E-3</v>
      </c>
      <c r="Y3795">
        <v>5.4999999999999997E-3</v>
      </c>
    </row>
    <row r="3796" spans="1:25">
      <c r="J3796">
        <f t="shared" ref="J3796:Y3796" si="12">SUBTOTAL(109,J3218:J3795)</f>
        <v>6.0598999999999998</v>
      </c>
      <c r="K3796">
        <f t="shared" si="12"/>
        <v>5.3948</v>
      </c>
      <c r="L3796">
        <f t="shared" si="12"/>
        <v>5.3914999999999997</v>
      </c>
      <c r="M3796">
        <f t="shared" si="12"/>
        <v>5.1769999999999996</v>
      </c>
      <c r="N3796">
        <f t="shared" si="12"/>
        <v>4.9615999999999998</v>
      </c>
      <c r="O3796">
        <f t="shared" si="12"/>
        <v>4.5310999999999995</v>
      </c>
      <c r="P3796">
        <f t="shared" si="12"/>
        <v>4.1058000000000003</v>
      </c>
      <c r="Q3796">
        <f t="shared" si="12"/>
        <v>3.2486999999999999</v>
      </c>
      <c r="R3796">
        <f t="shared" si="12"/>
        <v>3.2507999999999999</v>
      </c>
      <c r="S3796">
        <f t="shared" si="12"/>
        <v>3.2522000000000002</v>
      </c>
      <c r="T3796">
        <f t="shared" si="12"/>
        <v>3.2533000000000003</v>
      </c>
      <c r="U3796">
        <f t="shared" si="12"/>
        <v>3.2533000000000003</v>
      </c>
      <c r="V3796">
        <f t="shared" si="12"/>
        <v>3.2533000000000003</v>
      </c>
      <c r="W3796">
        <f t="shared" si="12"/>
        <v>3.2533000000000003</v>
      </c>
      <c r="X3796">
        <f t="shared" si="12"/>
        <v>3.2533000000000003</v>
      </c>
      <c r="Y3796">
        <f t="shared" si="12"/>
        <v>3.2533000000000003</v>
      </c>
    </row>
    <row r="3798" spans="1:25">
      <c r="A3798" s="2" t="s">
        <v>18814</v>
      </c>
      <c r="B3798" s="2" t="s">
        <v>18815</v>
      </c>
      <c r="C3798" s="31" t="s">
        <v>578</v>
      </c>
      <c r="D3798" s="31" t="s">
        <v>579</v>
      </c>
      <c r="E3798" s="31" t="s">
        <v>580</v>
      </c>
      <c r="F3798" s="31" t="s">
        <v>581</v>
      </c>
      <c r="G3798" s="31" t="s">
        <v>582</v>
      </c>
      <c r="H3798" s="31" t="s">
        <v>583</v>
      </c>
      <c r="I3798" s="31" t="s">
        <v>584</v>
      </c>
      <c r="J3798" s="31" t="s">
        <v>585</v>
      </c>
      <c r="K3798" s="31" t="s">
        <v>586</v>
      </c>
      <c r="L3798" s="31" t="s">
        <v>587</v>
      </c>
      <c r="M3798" s="31" t="s">
        <v>588</v>
      </c>
      <c r="N3798" s="31" t="s">
        <v>589</v>
      </c>
      <c r="O3798" s="31" t="s">
        <v>590</v>
      </c>
      <c r="P3798" s="31" t="s">
        <v>591</v>
      </c>
      <c r="Q3798" s="31" t="s">
        <v>592</v>
      </c>
      <c r="R3798" s="31" t="s">
        <v>593</v>
      </c>
    </row>
    <row r="3799" spans="1:25">
      <c r="A3799" s="2" t="s">
        <v>18762</v>
      </c>
      <c r="B3799" s="2" t="s">
        <v>18756</v>
      </c>
      <c r="C3799">
        <f>Table119[[#Totals],[2015]]</f>
        <v>9.6199999999999994E-2</v>
      </c>
      <c r="D3799">
        <f>Table119[[#Totals],[2016]]</f>
        <v>9.6199999999999994E-2</v>
      </c>
      <c r="E3799">
        <f>Table119[[#Totals],[2017]]</f>
        <v>9.6199999999999994E-2</v>
      </c>
      <c r="F3799">
        <f>Table119[[#Totals],[2018]]</f>
        <v>9.6199999999999994E-2</v>
      </c>
      <c r="G3799">
        <f>Table119[[#Totals],[2019]]</f>
        <v>9.6199999999999994E-2</v>
      </c>
      <c r="H3799">
        <f>Table119[[#Totals],[2020]]</f>
        <v>9.6199999999999994E-2</v>
      </c>
      <c r="I3799">
        <f>Table119[[#Totals],[2021]]</f>
        <v>9.6199999999999994E-2</v>
      </c>
      <c r="J3799">
        <f>Table119[[#Totals],[2022]]</f>
        <v>9.6199999999999994E-2</v>
      </c>
      <c r="K3799">
        <f>Table119[[#Totals],[2023]]</f>
        <v>9.6199999999999994E-2</v>
      </c>
      <c r="L3799">
        <f>Table119[[#Totals],[2024]]</f>
        <v>9.6199999999999994E-2</v>
      </c>
      <c r="M3799">
        <f>Table119[[#Totals],[2025]]</f>
        <v>9.6199999999999994E-2</v>
      </c>
      <c r="N3799">
        <f>Table119[[#Totals],[2026]]</f>
        <v>9.6199999999999994E-2</v>
      </c>
      <c r="O3799">
        <f>Table119[[#Totals],[2027]]</f>
        <v>9.6199999999999994E-2</v>
      </c>
      <c r="P3799">
        <f>Table119[[#Totals],[2028]]</f>
        <v>9.6199999999999994E-2</v>
      </c>
      <c r="Q3799">
        <f>Table119[[#Totals],[2029]]</f>
        <v>9.6199999999999994E-2</v>
      </c>
      <c r="R3799">
        <f>Table119[[#Totals],[2030]]</f>
        <v>9.6199999999999994E-2</v>
      </c>
    </row>
    <row r="3800" spans="1:25">
      <c r="A3800" s="2" t="s">
        <v>416</v>
      </c>
      <c r="B3800" s="2" t="s">
        <v>18756</v>
      </c>
      <c r="C3800">
        <f>Table120[[#Totals],[2015]]</f>
        <v>1.8599999999999998E-2</v>
      </c>
      <c r="D3800">
        <f>Table120[[#Totals],[2016]]</f>
        <v>1.8599999999999998E-2</v>
      </c>
      <c r="E3800">
        <f>Table120[[#Totals],[2017]]</f>
        <v>1.8599999999999998E-2</v>
      </c>
      <c r="F3800">
        <f>Table120[[#Totals],[2018]]</f>
        <v>1.8599999999999998E-2</v>
      </c>
      <c r="G3800">
        <f>Table120[[#Totals],[2019]]</f>
        <v>1.8599999999999998E-2</v>
      </c>
      <c r="H3800">
        <f>Table120[[#Totals],[2020]]</f>
        <v>1.8599999999999998E-2</v>
      </c>
      <c r="I3800">
        <f>Table120[[#Totals],[2021]]</f>
        <v>1.8599999999999998E-2</v>
      </c>
      <c r="J3800">
        <f>Table120[[#Totals],[2022]]</f>
        <v>1.8599999999999998E-2</v>
      </c>
      <c r="K3800">
        <f>Table120[[#Totals],[2023]]</f>
        <v>1.8599999999999998E-2</v>
      </c>
      <c r="L3800">
        <f>Table120[[#Totals],[2024]]</f>
        <v>1.8599999999999998E-2</v>
      </c>
      <c r="M3800">
        <f>Table120[[#Totals],[2025]]</f>
        <v>1.8599999999999998E-2</v>
      </c>
      <c r="N3800">
        <f>Table120[[#Totals],[2026]]</f>
        <v>1.8599999999999998E-2</v>
      </c>
      <c r="O3800">
        <f>Table120[[#Totals],[2027]]</f>
        <v>1.8599999999999998E-2</v>
      </c>
      <c r="P3800">
        <f>Table120[[#Totals],[2028]]</f>
        <v>1.8599999999999998E-2</v>
      </c>
      <c r="Q3800">
        <f>Table120[[#Totals],[2029]]</f>
        <v>1.8599999999999998E-2</v>
      </c>
      <c r="R3800">
        <f>Table120[[#Totals],[2030]]</f>
        <v>1.8599999999999998E-2</v>
      </c>
    </row>
    <row r="3801" spans="1:25">
      <c r="A3801" s="2" t="s">
        <v>253</v>
      </c>
      <c r="B3801" s="2" t="s">
        <v>18756</v>
      </c>
      <c r="C3801">
        <f>Table121[[#Totals],[2015]]</f>
        <v>1.0999999999999999E-2</v>
      </c>
      <c r="D3801">
        <f>Table121[[#Totals],[2016]]</f>
        <v>1.0999999999999999E-2</v>
      </c>
      <c r="E3801">
        <f>Table121[[#Totals],[2017]]</f>
        <v>1.0999999999999999E-2</v>
      </c>
      <c r="F3801">
        <f>Table121[[#Totals],[2018]]</f>
        <v>1.0999999999999999E-2</v>
      </c>
      <c r="G3801">
        <f>Table121[[#Totals],[2019]]</f>
        <v>1.0999999999999999E-2</v>
      </c>
      <c r="H3801">
        <f>Table121[[#Totals],[2020]]</f>
        <v>1.0999999999999999E-2</v>
      </c>
      <c r="I3801">
        <f>Table121[[#Totals],[2021]]</f>
        <v>1.0999999999999999E-2</v>
      </c>
      <c r="J3801">
        <f>Table121[[#Totals],[2022]]</f>
        <v>1.0999999999999999E-2</v>
      </c>
      <c r="K3801">
        <f>Table121[[#Totals],[2023]]</f>
        <v>1.0999999999999999E-2</v>
      </c>
      <c r="L3801">
        <f>Table121[[#Totals],[2024]]</f>
        <v>1.0999999999999999E-2</v>
      </c>
      <c r="M3801">
        <f>Table121[[#Totals],[2025]]</f>
        <v>1.0999999999999999E-2</v>
      </c>
      <c r="N3801">
        <f>Table121[[#Totals],[2026]]</f>
        <v>1.0999999999999999E-2</v>
      </c>
      <c r="O3801">
        <f>Table121[[#Totals],[2027]]</f>
        <v>1.0999999999999999E-2</v>
      </c>
      <c r="P3801">
        <f>Table121[[#Totals],[2028]]</f>
        <v>1.0999999999999999E-2</v>
      </c>
      <c r="Q3801">
        <f>Table121[[#Totals],[2029]]</f>
        <v>1.0999999999999999E-2</v>
      </c>
      <c r="R3801">
        <f>Table121[[#Totals],[2030]]</f>
        <v>1.0999999999999999E-2</v>
      </c>
    </row>
    <row r="3802" spans="1:25">
      <c r="A3802" s="2" t="s">
        <v>18816</v>
      </c>
      <c r="B3802" s="2" t="s">
        <v>18756</v>
      </c>
      <c r="C3802">
        <f>Table122[[#Totals],[2015]]</f>
        <v>1.8777999999999999</v>
      </c>
      <c r="D3802">
        <f>Table122[[#Totals],[2016]]</f>
        <v>1.8664999999999998</v>
      </c>
      <c r="E3802">
        <f>Table122[[#Totals],[2017]]</f>
        <v>1.8157000000000001</v>
      </c>
      <c r="F3802">
        <f>Table122[[#Totals],[2018]]</f>
        <v>1.8295999999999999</v>
      </c>
      <c r="G3802">
        <f>Table122[[#Totals],[2019]]</f>
        <v>1.8248000000000002</v>
      </c>
      <c r="H3802">
        <f>Table122[[#Totals],[2020]]</f>
        <v>1.8226</v>
      </c>
      <c r="I3802">
        <f>Table122[[#Totals],[2021]]</f>
        <v>1.8938999999999999</v>
      </c>
      <c r="J3802">
        <f>Table122[[#Totals],[2022]]</f>
        <v>1.9423999999999999</v>
      </c>
      <c r="K3802">
        <f>Table122[[#Totals],[2023]]</f>
        <v>1.9767999999999999</v>
      </c>
      <c r="L3802">
        <f>Table122[[#Totals],[2024]]</f>
        <v>2</v>
      </c>
      <c r="M3802">
        <f>Table122[[#Totals],[2025]]</f>
        <v>2.0159000000000002</v>
      </c>
      <c r="N3802">
        <f>Table122[[#Totals],[2026]]</f>
        <v>2.0159000000000002</v>
      </c>
      <c r="O3802">
        <f>Table122[[#Totals],[2027]]</f>
        <v>2.0159000000000002</v>
      </c>
      <c r="P3802">
        <f>Table122[[#Totals],[2028]]</f>
        <v>2.0159000000000002</v>
      </c>
      <c r="Q3802">
        <f>Table122[[#Totals],[2029]]</f>
        <v>2.0159000000000002</v>
      </c>
      <c r="R3802">
        <f>Table122[[#Totals],[2030]]</f>
        <v>2.0159000000000002</v>
      </c>
    </row>
    <row r="3803" spans="1:25">
      <c r="A3803" s="2" t="s">
        <v>419</v>
      </c>
      <c r="B3803" s="2" t="s">
        <v>18756</v>
      </c>
      <c r="C3803">
        <f>Table123[[#Totals],[2015]]</f>
        <v>0.67099999999999993</v>
      </c>
      <c r="D3803">
        <f>Table123[[#Totals],[2016]]</f>
        <v>0.69140000000000001</v>
      </c>
      <c r="E3803">
        <f>Table123[[#Totals],[2017]]</f>
        <v>0.6946</v>
      </c>
      <c r="F3803">
        <f>Table123[[#Totals],[2018]]</f>
        <v>0.70669999999999999</v>
      </c>
      <c r="G3803">
        <f>Table123[[#Totals],[2019]]</f>
        <v>0.71429999999999993</v>
      </c>
      <c r="H3803">
        <f>Table123[[#Totals],[2020]]</f>
        <v>0.73969999999999991</v>
      </c>
      <c r="I3803">
        <f>Table123[[#Totals],[2021]]</f>
        <v>0.74409999999999998</v>
      </c>
      <c r="J3803">
        <f>Table123[[#Totals],[2022]]</f>
        <v>0.755</v>
      </c>
      <c r="K3803">
        <f>Table123[[#Totals],[2023]]</f>
        <v>0.76249999999999996</v>
      </c>
      <c r="L3803">
        <f>Table123[[#Totals],[2024]]</f>
        <v>0.78059999999999996</v>
      </c>
      <c r="M3803">
        <f>Table123[[#Totals],[2025]]</f>
        <v>0.80089999999999995</v>
      </c>
      <c r="N3803">
        <f>Table123[[#Totals],[2026]]</f>
        <v>0.81569999999999998</v>
      </c>
      <c r="O3803">
        <f>Table123[[#Totals],[2027]]</f>
        <v>0.82209999999999994</v>
      </c>
      <c r="P3803">
        <f>Table123[[#Totals],[2028]]</f>
        <v>0.83829999999999993</v>
      </c>
      <c r="Q3803">
        <f>Table123[[#Totals],[2029]]</f>
        <v>0.85459999999999992</v>
      </c>
      <c r="R3803">
        <f>Table123[[#Totals],[2030]]</f>
        <v>0.69140000000000001</v>
      </c>
    </row>
    <row r="3804" spans="1:25">
      <c r="A3804" s="2" t="s">
        <v>420</v>
      </c>
      <c r="B3804" s="2" t="s">
        <v>18756</v>
      </c>
      <c r="C3804">
        <f>Table124[[#Totals],[2015]]</f>
        <v>0.92170000000000007</v>
      </c>
      <c r="D3804">
        <f>Table124[[#Totals],[2016]]</f>
        <v>0.94979999999999998</v>
      </c>
      <c r="E3804">
        <f>Table124[[#Totals],[2017]]</f>
        <v>0.96870000000000001</v>
      </c>
      <c r="F3804">
        <f>Table124[[#Totals],[2018]]</f>
        <v>0.97550000000000003</v>
      </c>
      <c r="G3804">
        <f>Table124[[#Totals],[2019]]</f>
        <v>0.97929999999999995</v>
      </c>
      <c r="H3804">
        <f>Table124[[#Totals],[2020]]</f>
        <v>0.9536</v>
      </c>
      <c r="I3804">
        <f>Table124[[#Totals],[2021]]</f>
        <v>0.95730000000000004</v>
      </c>
      <c r="J3804">
        <f>Table124[[#Totals],[2022]]</f>
        <v>0.9648000000000001</v>
      </c>
      <c r="K3804">
        <f>Table124[[#Totals],[2023]]</f>
        <v>0.96970000000000001</v>
      </c>
      <c r="L3804">
        <f>Table124[[#Totals],[2024]]</f>
        <v>0.98130000000000006</v>
      </c>
      <c r="M3804">
        <f>Table124[[#Totals],[2025]]</f>
        <v>0.99440000000000006</v>
      </c>
      <c r="N3804">
        <f>Table124[[#Totals],[2026]]</f>
        <v>1.0041</v>
      </c>
      <c r="O3804">
        <f>Table124[[#Totals],[2027]]</f>
        <v>1.0091000000000001</v>
      </c>
      <c r="P3804">
        <f>Table124[[#Totals],[2028]]</f>
        <v>1.0189999999999999</v>
      </c>
      <c r="Q3804">
        <f>Table124[[#Totals],[2029]]</f>
        <v>1.0297000000000001</v>
      </c>
      <c r="R3804">
        <f>Table124[[#Totals],[2030]]</f>
        <v>1.0366</v>
      </c>
    </row>
    <row r="3805" spans="1:25">
      <c r="A3805" s="2" t="s">
        <v>258</v>
      </c>
      <c r="B3805" s="2" t="s">
        <v>18756</v>
      </c>
      <c r="C3805">
        <f>Table125[[#Totals],[2015]]</f>
        <v>0.7681</v>
      </c>
      <c r="D3805">
        <f>Table125[[#Totals],[2016]]</f>
        <v>0.79300000000000004</v>
      </c>
      <c r="E3805">
        <f>Table125[[#Totals],[2017]]</f>
        <v>0.79789999999999994</v>
      </c>
      <c r="F3805">
        <f>Table125[[#Totals],[2018]]</f>
        <v>0.81199999999999994</v>
      </c>
      <c r="G3805">
        <f>Table125[[#Totals],[2019]]</f>
        <v>0.82079999999999997</v>
      </c>
      <c r="H3805">
        <f>Table125[[#Totals],[2020]]</f>
        <v>0.84760000000000002</v>
      </c>
      <c r="I3805">
        <f>Table125[[#Totals],[2021]]</f>
        <v>0.8528</v>
      </c>
      <c r="J3805">
        <f>Table125[[#Totals],[2022]]</f>
        <v>0.86570000000000003</v>
      </c>
      <c r="K3805">
        <f>Table125[[#Totals],[2023]]</f>
        <v>0.87440000000000007</v>
      </c>
      <c r="L3805">
        <f>Table125[[#Totals],[2024]]</f>
        <v>0.89570000000000005</v>
      </c>
      <c r="M3805">
        <f>Table125[[#Totals],[2025]]</f>
        <v>0.9194</v>
      </c>
      <c r="N3805">
        <f>Table125[[#Totals],[2026]]</f>
        <v>0.93669999999999998</v>
      </c>
      <c r="O3805">
        <f>Table125[[#Totals],[2027]]</f>
        <v>0.94430000000000003</v>
      </c>
      <c r="P3805">
        <f>Table125[[#Totals],[2028]]</f>
        <v>0.96320000000000006</v>
      </c>
      <c r="Q3805">
        <f>Table125[[#Totals],[2029]]</f>
        <v>0.98229999999999995</v>
      </c>
      <c r="R3805">
        <f>Table125[[#Totals],[2030]]</f>
        <v>0.99419999999999997</v>
      </c>
    </row>
    <row r="3806" spans="1:25">
      <c r="A3806" s="2" t="s">
        <v>18817</v>
      </c>
      <c r="B3806" s="2" t="s">
        <v>18756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</row>
    <row r="3807" spans="1:25">
      <c r="A3807" s="2" t="s">
        <v>490</v>
      </c>
      <c r="B3807" s="2" t="s">
        <v>18756</v>
      </c>
      <c r="C3807">
        <f>Table126[[#Totals],[2015]]</f>
        <v>2.6433</v>
      </c>
      <c r="D3807">
        <f>Table126[[#Totals],[2016]]</f>
        <v>2.7282999999999999</v>
      </c>
      <c r="E3807">
        <f>Table126[[#Totals],[2017]]</f>
        <v>2.7629999999999999</v>
      </c>
      <c r="F3807">
        <f>Table126[[#Totals],[2018]]</f>
        <v>2.7986999999999997</v>
      </c>
      <c r="G3807">
        <f>Table126[[#Totals],[2019]]</f>
        <v>2.8207</v>
      </c>
      <c r="H3807">
        <f>Table126[[#Totals],[2020]]</f>
        <v>2.8367999999999998</v>
      </c>
      <c r="I3807">
        <f>Table126[[#Totals],[2021]]</f>
        <v>2.8512999999999997</v>
      </c>
      <c r="J3807">
        <f>Table126[[#Totals],[2022]]</f>
        <v>2.8860999999999994</v>
      </c>
      <c r="K3807">
        <f>Table126[[#Totals],[2023]]</f>
        <v>2.9092999999999996</v>
      </c>
      <c r="L3807">
        <f>Table126[[#Totals],[2024]]</f>
        <v>2.9651999999999998</v>
      </c>
      <c r="M3807">
        <f>Table126[[#Totals],[2025]]</f>
        <v>3.0278999999999998</v>
      </c>
      <c r="N3807">
        <f>Table126[[#Totals],[2026]]</f>
        <v>3.0738999999999996</v>
      </c>
      <c r="O3807">
        <f>Table126[[#Totals],[2027]]</f>
        <v>3.0948999999999995</v>
      </c>
      <c r="P3807">
        <f>Table126[[#Totals],[2028]]</f>
        <v>3.1440999999999999</v>
      </c>
      <c r="Q3807">
        <f>Table126[[#Totals],[2029]]</f>
        <v>3.1945999999999999</v>
      </c>
      <c r="R3807">
        <f>Table126[[#Totals],[2030]]</f>
        <v>3.2265999999999995</v>
      </c>
    </row>
    <row r="3808" spans="1:25">
      <c r="A3808" s="2" t="s">
        <v>261</v>
      </c>
      <c r="B3808" s="2" t="s">
        <v>18756</v>
      </c>
      <c r="C3808">
        <f>Table127[[#Totals],[2015]]</f>
        <v>0.77599999999999991</v>
      </c>
      <c r="D3808">
        <f>Table127[[#Totals],[2016]]</f>
        <v>0.74680000000000002</v>
      </c>
      <c r="E3808">
        <f>Table127[[#Totals],[2017]]</f>
        <v>0.73529999999999995</v>
      </c>
      <c r="F3808">
        <f>Table127[[#Totals],[2018]]</f>
        <v>0.72509999999999997</v>
      </c>
      <c r="G3808">
        <f>Table127[[#Totals],[2019]]</f>
        <v>0.7107</v>
      </c>
      <c r="H3808">
        <f>Table127[[#Totals],[2020]]</f>
        <v>0.68359999999999999</v>
      </c>
      <c r="I3808">
        <f>Table127[[#Totals],[2021]]</f>
        <v>0.67289999999999994</v>
      </c>
      <c r="J3808">
        <f>Table127[[#Totals],[2022]]</f>
        <v>0.63049999999999995</v>
      </c>
      <c r="K3808">
        <f>Table127[[#Totals],[2023]]</f>
        <v>0.63819999999999999</v>
      </c>
      <c r="L3808">
        <f>Table127[[#Totals],[2024]]</f>
        <v>0.64339999999999997</v>
      </c>
      <c r="M3808">
        <f>Table127[[#Totals],[2025]]</f>
        <v>0.64699999999999991</v>
      </c>
      <c r="N3808">
        <f>Table127[[#Totals],[2026]]</f>
        <v>0.64699999999999991</v>
      </c>
      <c r="O3808">
        <f>Table127[[#Totals],[2027]]</f>
        <v>0.64699999999999991</v>
      </c>
      <c r="P3808">
        <f>Table127[[#Totals],[2028]]</f>
        <v>0.64699999999999991</v>
      </c>
      <c r="Q3808">
        <f>Table127[[#Totals],[2029]]</f>
        <v>0.64699999999999991</v>
      </c>
      <c r="R3808">
        <f>Table127[[#Totals],[2030]]</f>
        <v>0.64699999999999991</v>
      </c>
    </row>
    <row r="3809" spans="1:18">
      <c r="A3809" s="2" t="s">
        <v>262</v>
      </c>
      <c r="B3809" s="2" t="s">
        <v>18756</v>
      </c>
      <c r="C3809">
        <f>Table128[[#Totals],[2015]]</f>
        <v>0.39099999999999996</v>
      </c>
      <c r="D3809">
        <f>Table128[[#Totals],[2016]]</f>
        <v>0.40609999999999996</v>
      </c>
      <c r="E3809">
        <f>Table128[[#Totals],[2017]]</f>
        <v>0.41399999999999998</v>
      </c>
      <c r="F3809">
        <f>Table128[[#Totals],[2018]]</f>
        <v>0.40839999999999999</v>
      </c>
      <c r="G3809">
        <f>Table128[[#Totals],[2019]]</f>
        <v>0.41589999999999999</v>
      </c>
      <c r="H3809">
        <f>Table128[[#Totals],[2020]]</f>
        <v>0.39859999999999995</v>
      </c>
      <c r="I3809">
        <f>Table128[[#Totals],[2021]]</f>
        <v>0.39939999999999998</v>
      </c>
      <c r="J3809">
        <f>Table128[[#Totals],[2022]]</f>
        <v>0.40009999999999996</v>
      </c>
      <c r="K3809">
        <f>Table128[[#Totals],[2023]]</f>
        <v>0.40050000000000002</v>
      </c>
      <c r="L3809">
        <f>Table128[[#Totals],[2024]]</f>
        <v>0.40129999999999993</v>
      </c>
      <c r="M3809">
        <f>Table128[[#Totals],[2025]]</f>
        <v>0.40210000000000001</v>
      </c>
      <c r="N3809">
        <f>Table128[[#Totals],[2026]]</f>
        <v>0.40289999999999998</v>
      </c>
      <c r="O3809">
        <f>Table128[[#Totals],[2027]]</f>
        <v>0.40359999999999996</v>
      </c>
      <c r="P3809">
        <f>Table128[[#Totals],[2028]]</f>
        <v>0.40399999999999997</v>
      </c>
      <c r="Q3809">
        <f>Table128[[#Totals],[2029]]</f>
        <v>0.40479999999999999</v>
      </c>
      <c r="R3809">
        <f>Table128[[#Totals],[2030]]</f>
        <v>0.40559999999999996</v>
      </c>
    </row>
    <row r="3810" spans="1:18">
      <c r="A3810" s="2" t="s">
        <v>18766</v>
      </c>
      <c r="B3810" s="2" t="s">
        <v>18756</v>
      </c>
      <c r="C3810">
        <f>Table129[[#Totals],[2015]]</f>
        <v>2.4542999999999999</v>
      </c>
      <c r="D3810">
        <f>Table129[[#Totals],[2016]]</f>
        <v>2.4822000000000002</v>
      </c>
      <c r="E3810">
        <f>Table129[[#Totals],[2017]]</f>
        <v>2.5061000000000004</v>
      </c>
      <c r="F3810">
        <f>Table129[[#Totals],[2018]]</f>
        <v>2.5322</v>
      </c>
      <c r="G3810">
        <f>Table129[[#Totals],[2019]]</f>
        <v>2.5569999999999999</v>
      </c>
      <c r="H3810">
        <f>Table129[[#Totals],[2020]]</f>
        <v>2.5836999999999999</v>
      </c>
      <c r="I3810">
        <f>Table129[[#Totals],[2021]]</f>
        <v>2.6153999999999997</v>
      </c>
      <c r="J3810">
        <f>Table129[[#Totals],[2022]]</f>
        <v>2.6482000000000001</v>
      </c>
      <c r="K3810">
        <f>Table129[[#Totals],[2023]]</f>
        <v>2.6809000000000003</v>
      </c>
      <c r="L3810">
        <f>Table129[[#Totals],[2024]]</f>
        <v>2.7158999999999995</v>
      </c>
      <c r="M3810">
        <f>Table129[[#Totals],[2025]]</f>
        <v>2.7526000000000002</v>
      </c>
      <c r="N3810">
        <f>Table129[[#Totals],[2026]]</f>
        <v>2.7876000000000003</v>
      </c>
      <c r="O3810">
        <f>Table129[[#Totals],[2027]]</f>
        <v>2.8213000000000004</v>
      </c>
      <c r="P3810">
        <f>Table129[[#Totals],[2028]]</f>
        <v>2.8579999999999997</v>
      </c>
      <c r="Q3810">
        <f>Table129[[#Totals],[2029]]</f>
        <v>2.8950999999999998</v>
      </c>
      <c r="R3810">
        <f>Table129[[#Totals],[2030]]</f>
        <v>2.9309000000000003</v>
      </c>
    </row>
    <row r="3811" spans="1:18">
      <c r="A3811" s="2" t="s">
        <v>265</v>
      </c>
      <c r="B3811" s="2" t="s">
        <v>18756</v>
      </c>
      <c r="C3811">
        <f>Table130[[#Totals],[2015]]</f>
        <v>4.0392999999999999</v>
      </c>
      <c r="D3811">
        <f>Table130[[#Totals],[2016]]</f>
        <v>4.1609999999999996</v>
      </c>
      <c r="E3811">
        <f>Table130[[#Totals],[2017]]</f>
        <v>4.2366000000000001</v>
      </c>
      <c r="F3811">
        <f>Table130[[#Totals],[2018]]</f>
        <v>4.2749999999999995</v>
      </c>
      <c r="G3811">
        <f>Table130[[#Totals],[2019]]</f>
        <v>4.2973999999999997</v>
      </c>
      <c r="H3811">
        <f>Table130[[#Totals],[2020]]</f>
        <v>4.2545999999999999</v>
      </c>
      <c r="I3811">
        <f>Table130[[#Totals],[2021]]</f>
        <v>4.2707999999999995</v>
      </c>
      <c r="J3811">
        <f>Table130[[#Totals],[2022]]</f>
        <v>4.3079000000000001</v>
      </c>
      <c r="K3811">
        <f>Table130[[#Totals],[2023]]</f>
        <v>4.3321999999999994</v>
      </c>
      <c r="L3811">
        <f>Table130[[#Totals],[2024]]</f>
        <v>4.3907999999999996</v>
      </c>
      <c r="M3811">
        <f>Table130[[#Totals],[2025]]</f>
        <v>4.4562999999999997</v>
      </c>
      <c r="N3811">
        <f>Table130[[#Totals],[2026]]</f>
        <v>4.5048000000000004</v>
      </c>
      <c r="O3811">
        <f>Table130[[#Totals],[2027]]</f>
        <v>4.5278</v>
      </c>
      <c r="P3811">
        <f>Table130[[#Totals],[2028]]</f>
        <v>4.5785999999999998</v>
      </c>
      <c r="Q3811">
        <f>Table130[[#Totals],[2029]]</f>
        <v>4.6400999999999994</v>
      </c>
      <c r="R3811">
        <f>Table130[[#Totals],[2030]]</f>
        <v>4.6742999999999997</v>
      </c>
    </row>
    <row r="3812" spans="1:18">
      <c r="A3812" s="2" t="s">
        <v>267</v>
      </c>
      <c r="B3812" s="2" t="s">
        <v>18756</v>
      </c>
      <c r="C3812">
        <f>Table131[[#Totals],[2015]]</f>
        <v>0.49749999999999994</v>
      </c>
      <c r="D3812">
        <f>Table131[[#Totals],[2016]]</f>
        <v>0.50949999999999995</v>
      </c>
      <c r="E3812">
        <f>Table131[[#Totals],[2017]]</f>
        <v>0.51539999999999997</v>
      </c>
      <c r="F3812">
        <f>Table131[[#Totals],[2018]]</f>
        <v>0.51629999999999998</v>
      </c>
      <c r="G3812">
        <f>Table131[[#Totals],[2019]]</f>
        <v>0.52700000000000002</v>
      </c>
      <c r="H3812">
        <f>Table131[[#Totals],[2020]]</f>
        <v>0.53139999999999998</v>
      </c>
      <c r="I3812">
        <f>Table131[[#Totals],[2021]]</f>
        <v>0.53379999999999994</v>
      </c>
      <c r="J3812">
        <f>Table131[[#Totals],[2022]]</f>
        <v>0.53649999999999998</v>
      </c>
      <c r="K3812">
        <f>Table131[[#Totals],[2023]]</f>
        <v>0.53879999999999995</v>
      </c>
      <c r="L3812">
        <f>Table131[[#Totals],[2024]]</f>
        <v>0.5413</v>
      </c>
      <c r="M3812">
        <f>Table131[[#Totals],[2025]]</f>
        <v>0.54399999999999993</v>
      </c>
      <c r="N3812">
        <f>Table131[[#Totals],[2026]]</f>
        <v>0.5464</v>
      </c>
      <c r="O3812">
        <f>Table131[[#Totals],[2027]]</f>
        <v>0.54889999999999994</v>
      </c>
      <c r="P3812">
        <f>Table131[[#Totals],[2028]]</f>
        <v>0.5514</v>
      </c>
      <c r="Q3812">
        <f>Table131[[#Totals],[2029]]</f>
        <v>0.55409999999999993</v>
      </c>
      <c r="R3812">
        <f>Table131[[#Totals],[2030]]</f>
        <v>0.55659999999999998</v>
      </c>
    </row>
    <row r="3813" spans="1:18">
      <c r="A3813" s="2" t="s">
        <v>268</v>
      </c>
      <c r="B3813" s="2" t="s">
        <v>18756</v>
      </c>
      <c r="C3813">
        <f>Table132[[#Totals],[2015]]</f>
        <v>6.0598999999999998</v>
      </c>
      <c r="D3813">
        <f>Table132[[#Totals],[2016]]</f>
        <v>5.3948</v>
      </c>
      <c r="E3813">
        <f>Table132[[#Totals],[2017]]</f>
        <v>5.3914999999999997</v>
      </c>
      <c r="F3813">
        <f>Table132[[#Totals],[2018]]</f>
        <v>5.1769999999999996</v>
      </c>
      <c r="G3813">
        <f>Table132[[#Totals],[2019]]</f>
        <v>4.9615999999999998</v>
      </c>
      <c r="H3813">
        <f>Table132[[#Totals],[2020]]</f>
        <v>4.5310999999999995</v>
      </c>
      <c r="I3813">
        <f>Table132[[#Totals],[2021]]</f>
        <v>4.1058000000000003</v>
      </c>
      <c r="J3813">
        <f>Table132[[#Totals],[2022]]</f>
        <v>3.2486999999999999</v>
      </c>
      <c r="K3813">
        <f>Table132[[#Totals],[2023]]</f>
        <v>3.2507999999999999</v>
      </c>
      <c r="L3813">
        <f>Table132[[#Totals],[2024]]</f>
        <v>3.2522000000000002</v>
      </c>
      <c r="M3813">
        <f>Table132[[#Totals],[2025]]</f>
        <v>3.2533000000000003</v>
      </c>
      <c r="N3813">
        <f>Table132[[#Totals],[2026]]</f>
        <v>3.2533000000000003</v>
      </c>
      <c r="O3813">
        <f>Table132[[#Totals],[2027]]</f>
        <v>3.2533000000000003</v>
      </c>
      <c r="P3813">
        <f>Table132[[#Totals],[2028]]</f>
        <v>3.2533000000000003</v>
      </c>
      <c r="Q3813">
        <f>Table132[[#Totals],[2029]]</f>
        <v>3.2533000000000003</v>
      </c>
      <c r="R3813">
        <f>Table132[[#Totals],[2030]]</f>
        <v>3.2533000000000003</v>
      </c>
    </row>
    <row r="3814" spans="1:18">
      <c r="A3814" s="2" t="s">
        <v>18818</v>
      </c>
      <c r="B3814" s="2" t="s">
        <v>18756</v>
      </c>
      <c r="C3814">
        <f>SUM(C3799:C3813)</f>
        <v>21.2257</v>
      </c>
      <c r="D3814">
        <f t="shared" ref="D3814:R3814" si="13">SUM(D3799:D3813)</f>
        <v>20.8552</v>
      </c>
      <c r="E3814">
        <f t="shared" si="13"/>
        <v>20.964600000000001</v>
      </c>
      <c r="F3814">
        <f t="shared" si="13"/>
        <v>20.882300000000001</v>
      </c>
      <c r="G3814">
        <f t="shared" si="13"/>
        <v>20.755299999999998</v>
      </c>
      <c r="H3814">
        <f t="shared" si="13"/>
        <v>20.309100000000001</v>
      </c>
      <c r="I3814">
        <f t="shared" si="13"/>
        <v>20.023299999999999</v>
      </c>
      <c r="J3814">
        <f t="shared" si="13"/>
        <v>19.311699999999998</v>
      </c>
      <c r="K3814">
        <f t="shared" si="13"/>
        <v>19.459899999999998</v>
      </c>
      <c r="L3814">
        <f t="shared" si="13"/>
        <v>19.6935</v>
      </c>
      <c r="M3814">
        <f t="shared" si="13"/>
        <v>19.939599999999999</v>
      </c>
      <c r="N3814">
        <f t="shared" si="13"/>
        <v>20.114099999999997</v>
      </c>
      <c r="O3814">
        <f t="shared" si="13"/>
        <v>20.213999999999999</v>
      </c>
      <c r="P3814">
        <f t="shared" si="13"/>
        <v>20.398599999999998</v>
      </c>
      <c r="Q3814">
        <f t="shared" si="13"/>
        <v>20.597299999999997</v>
      </c>
      <c r="R3814">
        <f t="shared" si="13"/>
        <v>20.558199999999996</v>
      </c>
    </row>
    <row r="3816" spans="1:18">
      <c r="A3816" s="15" t="s">
        <v>18814</v>
      </c>
      <c r="B3816" s="72" t="s">
        <v>18815</v>
      </c>
      <c r="C3816" s="72" t="s">
        <v>578</v>
      </c>
      <c r="D3816" s="72" t="s">
        <v>579</v>
      </c>
      <c r="E3816" s="72" t="s">
        <v>580</v>
      </c>
      <c r="F3816" s="72" t="s">
        <v>581</v>
      </c>
      <c r="G3816" s="72" t="s">
        <v>582</v>
      </c>
      <c r="H3816" s="72" t="s">
        <v>583</v>
      </c>
      <c r="I3816" s="72" t="s">
        <v>584</v>
      </c>
      <c r="J3816" s="72" t="s">
        <v>585</v>
      </c>
      <c r="K3816" s="72" t="s">
        <v>586</v>
      </c>
      <c r="L3816" s="72" t="s">
        <v>587</v>
      </c>
      <c r="M3816" s="72" t="s">
        <v>588</v>
      </c>
      <c r="N3816" s="72" t="s">
        <v>589</v>
      </c>
      <c r="O3816" s="72" t="s">
        <v>590</v>
      </c>
      <c r="P3816" s="72" t="s">
        <v>591</v>
      </c>
      <c r="Q3816" s="72" t="s">
        <v>592</v>
      </c>
      <c r="R3816" s="73" t="s">
        <v>593</v>
      </c>
    </row>
    <row r="3817" spans="1:18">
      <c r="A3817" s="95" t="s">
        <v>18762</v>
      </c>
      <c r="B3817" s="83" t="s">
        <v>101</v>
      </c>
      <c r="C3817" s="205">
        <f>C3799/C$3814</f>
        <v>4.5322415750717292E-3</v>
      </c>
      <c r="D3817" s="205">
        <f t="shared" ref="D3817:R3817" si="14">D3799/D$3814</f>
        <v>4.61275844873221E-3</v>
      </c>
      <c r="E3817" s="205">
        <f t="shared" si="14"/>
        <v>4.5886875971876398E-3</v>
      </c>
      <c r="F3817" s="205">
        <f t="shared" si="14"/>
        <v>4.6067722425211779E-3</v>
      </c>
      <c r="G3817" s="205">
        <f t="shared" si="14"/>
        <v>4.6349607088309978E-3</v>
      </c>
      <c r="H3817" s="205">
        <f t="shared" si="14"/>
        <v>4.7367928662520736E-3</v>
      </c>
      <c r="I3817" s="205">
        <f t="shared" si="14"/>
        <v>4.8044028706556857E-3</v>
      </c>
      <c r="J3817" s="205">
        <f t="shared" si="14"/>
        <v>4.9814361242148542E-3</v>
      </c>
      <c r="K3817" s="205">
        <f t="shared" si="14"/>
        <v>4.9434991957820959E-3</v>
      </c>
      <c r="L3817" s="205">
        <f t="shared" si="14"/>
        <v>4.8848604869627032E-3</v>
      </c>
      <c r="M3817" s="205">
        <f t="shared" si="14"/>
        <v>4.8245702020100704E-3</v>
      </c>
      <c r="N3817" s="205">
        <f t="shared" si="14"/>
        <v>4.782714613132082E-3</v>
      </c>
      <c r="O3817" s="205">
        <f t="shared" si="14"/>
        <v>4.7590778668249725E-3</v>
      </c>
      <c r="P3817" s="205">
        <f t="shared" si="14"/>
        <v>4.716009922249566E-3</v>
      </c>
      <c r="Q3817" s="205">
        <f t="shared" si="14"/>
        <v>4.6705150675088484E-3</v>
      </c>
      <c r="R3817" s="395">
        <f t="shared" si="14"/>
        <v>4.6793980017705841E-3</v>
      </c>
    </row>
    <row r="3818" spans="1:18">
      <c r="A3818" s="53" t="s">
        <v>416</v>
      </c>
      <c r="B3818" s="2" t="s">
        <v>101</v>
      </c>
      <c r="C3818" s="27">
        <f t="shared" ref="C3818:R3832" si="15">C3800/C$3814</f>
        <v>8.7629618811158169E-4</v>
      </c>
      <c r="D3818" s="27">
        <f t="shared" si="15"/>
        <v>8.9186389965092636E-4</v>
      </c>
      <c r="E3818" s="27">
        <f t="shared" si="15"/>
        <v>8.8720986806330659E-4</v>
      </c>
      <c r="F3818" s="27">
        <f t="shared" si="15"/>
        <v>8.9070648348122566E-4</v>
      </c>
      <c r="G3818" s="27">
        <f t="shared" si="15"/>
        <v>8.9615664432699112E-4</v>
      </c>
      <c r="H3818" s="27">
        <f t="shared" si="15"/>
        <v>9.1584560615684584E-4</v>
      </c>
      <c r="I3818" s="27">
        <f t="shared" si="15"/>
        <v>9.2891781075047568E-4</v>
      </c>
      <c r="J3818" s="27">
        <f t="shared" si="15"/>
        <v>9.6314669345526284E-4</v>
      </c>
      <c r="K3818" s="27">
        <f t="shared" si="15"/>
        <v>9.5581169481857571E-4</v>
      </c>
      <c r="L3818" s="27">
        <f t="shared" si="15"/>
        <v>9.4447406504684275E-4</v>
      </c>
      <c r="M3818" s="27">
        <f t="shared" si="15"/>
        <v>9.3281710766514878E-4</v>
      </c>
      <c r="N3818" s="27">
        <f t="shared" si="15"/>
        <v>9.2472444702969563E-4</v>
      </c>
      <c r="O3818" s="27">
        <f t="shared" si="15"/>
        <v>9.2015434847135644E-4</v>
      </c>
      <c r="P3818" s="27">
        <f t="shared" si="15"/>
        <v>9.118272822644691E-4</v>
      </c>
      <c r="Q3818" s="27">
        <f t="shared" si="15"/>
        <v>9.0303097978861318E-4</v>
      </c>
      <c r="R3818" s="396">
        <f t="shared" si="15"/>
        <v>9.0474847019680719E-4</v>
      </c>
    </row>
    <row r="3819" spans="1:18">
      <c r="A3819" s="53" t="s">
        <v>253</v>
      </c>
      <c r="B3819" s="2" t="s">
        <v>101</v>
      </c>
      <c r="C3819" s="27">
        <f t="shared" si="15"/>
        <v>5.1823968114125796E-4</v>
      </c>
      <c r="D3819" s="27">
        <f t="shared" si="15"/>
        <v>5.2744639226667681E-4</v>
      </c>
      <c r="E3819" s="27">
        <f t="shared" si="15"/>
        <v>5.2469400799442861E-4</v>
      </c>
      <c r="F3819" s="27">
        <f t="shared" si="15"/>
        <v>5.2676189883298292E-4</v>
      </c>
      <c r="G3819" s="27">
        <f t="shared" si="15"/>
        <v>5.2998511223639267E-4</v>
      </c>
      <c r="H3819" s="27">
        <f t="shared" si="15"/>
        <v>5.4162912192071524E-4</v>
      </c>
      <c r="I3819" s="27">
        <f t="shared" si="15"/>
        <v>5.4935999560512007E-4</v>
      </c>
      <c r="J3819" s="27">
        <f t="shared" si="15"/>
        <v>5.6960288322623076E-4</v>
      </c>
      <c r="K3819" s="27">
        <f t="shared" si="15"/>
        <v>5.6526498080668457E-4</v>
      </c>
      <c r="L3819" s="27">
        <f t="shared" si="15"/>
        <v>5.585599309416812E-4</v>
      </c>
      <c r="M3819" s="27">
        <f t="shared" si="15"/>
        <v>5.516660314148729E-4</v>
      </c>
      <c r="N3819" s="27">
        <f t="shared" si="15"/>
        <v>5.468800493186372E-4</v>
      </c>
      <c r="O3819" s="27">
        <f t="shared" si="15"/>
        <v>5.441773028594044E-4</v>
      </c>
      <c r="P3819" s="27">
        <f t="shared" si="15"/>
        <v>5.3925269381232047E-4</v>
      </c>
      <c r="Q3819" s="27">
        <f t="shared" si="15"/>
        <v>5.340505794448788E-4</v>
      </c>
      <c r="R3819" s="396">
        <f t="shared" si="15"/>
        <v>5.3506629957875693E-4</v>
      </c>
    </row>
    <row r="3820" spans="1:18">
      <c r="A3820" s="53" t="s">
        <v>18816</v>
      </c>
      <c r="B3820" s="2" t="s">
        <v>101</v>
      </c>
      <c r="C3820" s="27">
        <f t="shared" si="15"/>
        <v>8.8468224840641291E-2</v>
      </c>
      <c r="D3820" s="27">
        <f t="shared" si="15"/>
        <v>8.9498062833250208E-2</v>
      </c>
      <c r="E3820" s="27">
        <f t="shared" si="15"/>
        <v>8.6607900937771293E-2</v>
      </c>
      <c r="F3820" s="27">
        <f t="shared" si="15"/>
        <v>8.7614870009529597E-2</v>
      </c>
      <c r="G3820" s="27">
        <f t="shared" si="15"/>
        <v>8.7919712073542683E-2</v>
      </c>
      <c r="H3820" s="27">
        <f t="shared" si="15"/>
        <v>8.974302160115416E-2</v>
      </c>
      <c r="I3820" s="27">
        <f t="shared" si="15"/>
        <v>9.4584808697866979E-2</v>
      </c>
      <c r="J3820" s="27">
        <f t="shared" si="15"/>
        <v>0.10058151276169369</v>
      </c>
      <c r="K3820" s="27">
        <f t="shared" si="15"/>
        <v>0.101583255823514</v>
      </c>
      <c r="L3820" s="27">
        <f t="shared" si="15"/>
        <v>0.10155635108030568</v>
      </c>
      <c r="M3820" s="27">
        <f t="shared" si="15"/>
        <v>0.10110032297538568</v>
      </c>
      <c r="N3820" s="27">
        <f t="shared" si="15"/>
        <v>0.10022322649285827</v>
      </c>
      <c r="O3820" s="27">
        <f t="shared" si="15"/>
        <v>9.9727911348570314E-2</v>
      </c>
      <c r="P3820" s="27">
        <f t="shared" si="15"/>
        <v>9.882540958693245E-2</v>
      </c>
      <c r="Q3820" s="27">
        <f t="shared" si="15"/>
        <v>9.7872051191175563E-2</v>
      </c>
      <c r="R3820" s="396">
        <f t="shared" si="15"/>
        <v>9.8058195756437858E-2</v>
      </c>
    </row>
    <row r="3821" spans="1:18">
      <c r="A3821" s="53" t="s">
        <v>419</v>
      </c>
      <c r="B3821" s="2" t="s">
        <v>101</v>
      </c>
      <c r="C3821" s="27">
        <f t="shared" si="15"/>
        <v>3.1612620549616735E-2</v>
      </c>
      <c r="D3821" s="27">
        <f t="shared" si="15"/>
        <v>3.3152403237561856E-2</v>
      </c>
      <c r="E3821" s="27">
        <f t="shared" si="15"/>
        <v>3.3132041632084559E-2</v>
      </c>
      <c r="F3821" s="27">
        <f t="shared" si="15"/>
        <v>3.3842057627751734E-2</v>
      </c>
      <c r="G3821" s="27">
        <f t="shared" si="15"/>
        <v>3.4415305970041388E-2</v>
      </c>
      <c r="H3821" s="27">
        <f t="shared" si="15"/>
        <v>3.6422096498613915E-2</v>
      </c>
      <c r="I3821" s="27">
        <f t="shared" si="15"/>
        <v>3.7161706611797254E-2</v>
      </c>
      <c r="J3821" s="27">
        <f t="shared" si="15"/>
        <v>3.909547062143675E-2</v>
      </c>
      <c r="K3821" s="27">
        <f t="shared" si="15"/>
        <v>3.9183140715008814E-2</v>
      </c>
      <c r="L3821" s="27">
        <f t="shared" si="15"/>
        <v>3.9637443826643304E-2</v>
      </c>
      <c r="M3821" s="27">
        <f t="shared" si="15"/>
        <v>4.0166302232742881E-2</v>
      </c>
      <c r="N3821" s="27">
        <f t="shared" si="15"/>
        <v>4.0553641475382943E-2</v>
      </c>
      <c r="O3821" s="27">
        <f t="shared" si="15"/>
        <v>4.0669832789156028E-2</v>
      </c>
      <c r="P3821" s="27">
        <f t="shared" si="15"/>
        <v>4.1095957565715296E-2</v>
      </c>
      <c r="Q3821" s="27">
        <f t="shared" si="15"/>
        <v>4.1490875017599398E-2</v>
      </c>
      <c r="R3821" s="396">
        <f t="shared" si="15"/>
        <v>3.3631349048068415E-2</v>
      </c>
    </row>
    <row r="3822" spans="1:18">
      <c r="A3822" s="53" t="s">
        <v>420</v>
      </c>
      <c r="B3822" s="2" t="s">
        <v>101</v>
      </c>
      <c r="C3822" s="27">
        <f t="shared" si="15"/>
        <v>4.3423774009808867E-2</v>
      </c>
      <c r="D3822" s="27">
        <f t="shared" si="15"/>
        <v>4.5542598488626337E-2</v>
      </c>
      <c r="E3822" s="27">
        <f t="shared" si="15"/>
        <v>4.6206462322200277E-2</v>
      </c>
      <c r="F3822" s="27">
        <f t="shared" si="15"/>
        <v>4.6714202937415898E-2</v>
      </c>
      <c r="G3822" s="27">
        <f t="shared" si="15"/>
        <v>4.7183129128463577E-2</v>
      </c>
      <c r="H3822" s="27">
        <f t="shared" si="15"/>
        <v>4.6954320969417651E-2</v>
      </c>
      <c r="I3822" s="27">
        <f t="shared" si="15"/>
        <v>4.7809302162980134E-2</v>
      </c>
      <c r="J3822" s="27">
        <f t="shared" si="15"/>
        <v>4.9959351066969776E-2</v>
      </c>
      <c r="K3822" s="27">
        <f t="shared" si="15"/>
        <v>4.9830677444385643E-2</v>
      </c>
      <c r="L3822" s="27">
        <f t="shared" si="15"/>
        <v>4.9828623657551988E-2</v>
      </c>
      <c r="M3822" s="27">
        <f t="shared" si="15"/>
        <v>4.9870609239904516E-2</v>
      </c>
      <c r="N3822" s="27">
        <f t="shared" si="15"/>
        <v>4.9920205229167604E-2</v>
      </c>
      <c r="O3822" s="27">
        <f t="shared" si="15"/>
        <v>4.9920846937765911E-2</v>
      </c>
      <c r="P3822" s="27">
        <f t="shared" si="15"/>
        <v>4.9954408635886779E-2</v>
      </c>
      <c r="Q3822" s="27">
        <f t="shared" si="15"/>
        <v>4.9991989241308335E-2</v>
      </c>
      <c r="R3822" s="396">
        <f t="shared" si="15"/>
        <v>5.0422702376667225E-2</v>
      </c>
    </row>
    <row r="3823" spans="1:18">
      <c r="A3823" s="53" t="s">
        <v>258</v>
      </c>
      <c r="B3823" s="2" t="s">
        <v>101</v>
      </c>
      <c r="C3823" s="27">
        <f t="shared" si="15"/>
        <v>3.6187263553145478E-2</v>
      </c>
      <c r="D3823" s="27">
        <f t="shared" si="15"/>
        <v>3.8024089915224983E-2</v>
      </c>
      <c r="E3823" s="27">
        <f t="shared" si="15"/>
        <v>3.8059395361704967E-2</v>
      </c>
      <c r="F3823" s="27">
        <f t="shared" si="15"/>
        <v>3.8884605622943831E-2</v>
      </c>
      <c r="G3823" s="27">
        <f t="shared" si="15"/>
        <v>3.9546525465784646E-2</v>
      </c>
      <c r="H3823" s="27">
        <f t="shared" si="15"/>
        <v>4.17349857945453E-2</v>
      </c>
      <c r="I3823" s="27">
        <f t="shared" si="15"/>
        <v>4.2590382204731492E-2</v>
      </c>
      <c r="J3823" s="27">
        <f t="shared" si="15"/>
        <v>4.4827746909904362E-2</v>
      </c>
      <c r="K3823" s="27">
        <f t="shared" si="15"/>
        <v>4.4933427201578641E-2</v>
      </c>
      <c r="L3823" s="27">
        <f t="shared" si="15"/>
        <v>4.5482011831314902E-2</v>
      </c>
      <c r="M3823" s="27">
        <f t="shared" si="15"/>
        <v>4.6109249934803108E-2</v>
      </c>
      <c r="N3823" s="27">
        <f t="shared" si="15"/>
        <v>4.6569322017887958E-2</v>
      </c>
      <c r="O3823" s="27">
        <f t="shared" si="15"/>
        <v>4.6715147917285052E-2</v>
      </c>
      <c r="P3823" s="27">
        <f t="shared" si="15"/>
        <v>4.7218926789093375E-2</v>
      </c>
      <c r="Q3823" s="27">
        <f t="shared" si="15"/>
        <v>4.7690716744427673E-2</v>
      </c>
      <c r="R3823" s="396">
        <f t="shared" si="15"/>
        <v>4.8360265003745476E-2</v>
      </c>
    </row>
    <row r="3824" spans="1:18">
      <c r="A3824" s="53" t="s">
        <v>18817</v>
      </c>
      <c r="B3824" s="2" t="s">
        <v>101</v>
      </c>
      <c r="C3824" s="27">
        <f t="shared" si="15"/>
        <v>0</v>
      </c>
      <c r="D3824" s="27">
        <f t="shared" si="15"/>
        <v>0</v>
      </c>
      <c r="E3824" s="27">
        <f t="shared" si="15"/>
        <v>0</v>
      </c>
      <c r="F3824" s="27">
        <f t="shared" si="15"/>
        <v>0</v>
      </c>
      <c r="G3824" s="27">
        <f t="shared" si="15"/>
        <v>0</v>
      </c>
      <c r="H3824" s="27">
        <f t="shared" si="15"/>
        <v>0</v>
      </c>
      <c r="I3824" s="27">
        <f t="shared" si="15"/>
        <v>0</v>
      </c>
      <c r="J3824" s="27">
        <f t="shared" si="15"/>
        <v>0</v>
      </c>
      <c r="K3824" s="27">
        <f t="shared" si="15"/>
        <v>0</v>
      </c>
      <c r="L3824" s="27">
        <f t="shared" si="15"/>
        <v>0</v>
      </c>
      <c r="M3824" s="27">
        <f t="shared" si="15"/>
        <v>0</v>
      </c>
      <c r="N3824" s="27">
        <f t="shared" si="15"/>
        <v>0</v>
      </c>
      <c r="O3824" s="27">
        <f t="shared" si="15"/>
        <v>0</v>
      </c>
      <c r="P3824" s="27">
        <f t="shared" si="15"/>
        <v>0</v>
      </c>
      <c r="Q3824" s="27">
        <f t="shared" si="15"/>
        <v>0</v>
      </c>
      <c r="R3824" s="396">
        <f t="shared" si="15"/>
        <v>0</v>
      </c>
    </row>
    <row r="3825" spans="1:18">
      <c r="A3825" s="53" t="s">
        <v>490</v>
      </c>
      <c r="B3825" s="2" t="s">
        <v>101</v>
      </c>
      <c r="C3825" s="27">
        <f t="shared" si="15"/>
        <v>0.1245329953782443</v>
      </c>
      <c r="D3825" s="27">
        <f t="shared" si="15"/>
        <v>0.13082109018374313</v>
      </c>
      <c r="E3825" s="27">
        <f t="shared" si="15"/>
        <v>0.13179359491714604</v>
      </c>
      <c r="F3825" s="27">
        <f t="shared" si="15"/>
        <v>0.13402259329671537</v>
      </c>
      <c r="G3825" s="27">
        <f t="shared" si="15"/>
        <v>0.13590263691683571</v>
      </c>
      <c r="H3825" s="27">
        <f t="shared" si="15"/>
        <v>0.13968122664224411</v>
      </c>
      <c r="I3825" s="27">
        <f t="shared" si="15"/>
        <v>0.14239910504262535</v>
      </c>
      <c r="J3825" s="27">
        <f t="shared" si="15"/>
        <v>0.14944826193447494</v>
      </c>
      <c r="K3825" s="27">
        <f t="shared" si="15"/>
        <v>0.14950230987826246</v>
      </c>
      <c r="L3825" s="27">
        <f t="shared" si="15"/>
        <v>0.1505674461116612</v>
      </c>
      <c r="M3825" s="27">
        <f t="shared" si="15"/>
        <v>0.15185359786555397</v>
      </c>
      <c r="N3825" s="27">
        <f t="shared" si="15"/>
        <v>0.15282314396368718</v>
      </c>
      <c r="O3825" s="27">
        <f t="shared" si="15"/>
        <v>0.15310675769268822</v>
      </c>
      <c r="P3825" s="27">
        <f t="shared" si="15"/>
        <v>0.15413312678321062</v>
      </c>
      <c r="Q3825" s="27">
        <f t="shared" si="15"/>
        <v>0.15509799828132814</v>
      </c>
      <c r="R3825" s="396">
        <f t="shared" si="15"/>
        <v>0.15694953838371065</v>
      </c>
    </row>
    <row r="3826" spans="1:18">
      <c r="A3826" s="53" t="s">
        <v>261</v>
      </c>
      <c r="B3826" s="2" t="s">
        <v>101</v>
      </c>
      <c r="C3826" s="27">
        <f t="shared" si="15"/>
        <v>3.6559453869601473E-2</v>
      </c>
      <c r="D3826" s="27">
        <f t="shared" si="15"/>
        <v>3.580881506770494E-2</v>
      </c>
      <c r="E3826" s="27">
        <f t="shared" si="15"/>
        <v>3.5073409461663943E-2</v>
      </c>
      <c r="F3826" s="27">
        <f t="shared" si="15"/>
        <v>3.4723186622163262E-2</v>
      </c>
      <c r="G3826" s="27">
        <f t="shared" si="15"/>
        <v>3.4241856296945844E-2</v>
      </c>
      <c r="H3826" s="27">
        <f t="shared" si="15"/>
        <v>3.3659787976818269E-2</v>
      </c>
      <c r="I3826" s="27">
        <f t="shared" si="15"/>
        <v>3.3605849185698658E-2</v>
      </c>
      <c r="J3826" s="27">
        <f t="shared" si="15"/>
        <v>3.2648601624921683E-2</v>
      </c>
      <c r="K3826" s="27">
        <f t="shared" si="15"/>
        <v>3.2795646431893283E-2</v>
      </c>
      <c r="L3826" s="27">
        <f t="shared" si="15"/>
        <v>3.267067814253434E-2</v>
      </c>
      <c r="M3826" s="27">
        <f t="shared" si="15"/>
        <v>3.2447992938674793E-2</v>
      </c>
      <c r="N3826" s="27">
        <f t="shared" si="15"/>
        <v>3.2166490173559839E-2</v>
      </c>
      <c r="O3826" s="27">
        <f t="shared" si="15"/>
        <v>3.2007519540912237E-2</v>
      </c>
      <c r="P3826" s="27">
        <f t="shared" si="15"/>
        <v>3.1717862990597395E-2</v>
      </c>
      <c r="Q3826" s="27">
        <f t="shared" si="15"/>
        <v>3.1411884081894229E-2</v>
      </c>
      <c r="R3826" s="396">
        <f t="shared" si="15"/>
        <v>3.1471626893405068E-2</v>
      </c>
    </row>
    <row r="3827" spans="1:18">
      <c r="A3827" s="53" t="s">
        <v>262</v>
      </c>
      <c r="B3827" s="2" t="s">
        <v>101</v>
      </c>
      <c r="C3827" s="27">
        <f t="shared" si="15"/>
        <v>1.8421065029657444E-2</v>
      </c>
      <c r="D3827" s="27">
        <f t="shared" si="15"/>
        <v>1.9472361809045224E-2</v>
      </c>
      <c r="E3827" s="27">
        <f t="shared" si="15"/>
        <v>1.9747574482699405E-2</v>
      </c>
      <c r="F3827" s="27">
        <f t="shared" si="15"/>
        <v>1.9557232680308203E-2</v>
      </c>
      <c r="G3827" s="27">
        <f t="shared" si="15"/>
        <v>2.0038255289010518E-2</v>
      </c>
      <c r="H3827" s="27">
        <f t="shared" si="15"/>
        <v>1.9626669817963373E-2</v>
      </c>
      <c r="I3827" s="27">
        <f t="shared" si="15"/>
        <v>1.9946762022244085E-2</v>
      </c>
      <c r="J3827" s="27">
        <f t="shared" si="15"/>
        <v>2.0718010325346811E-2</v>
      </c>
      <c r="K3827" s="27">
        <f t="shared" si="15"/>
        <v>2.0580784073916107E-2</v>
      </c>
      <c r="L3827" s="27">
        <f t="shared" si="15"/>
        <v>2.0377281844263333E-2</v>
      </c>
      <c r="M3827" s="27">
        <f t="shared" si="15"/>
        <v>2.0165901021083673E-2</v>
      </c>
      <c r="N3827" s="27">
        <f t="shared" si="15"/>
        <v>2.0030724715498084E-2</v>
      </c>
      <c r="O3827" s="27">
        <f t="shared" si="15"/>
        <v>1.9966359948550508E-2</v>
      </c>
      <c r="P3827" s="27">
        <f t="shared" si="15"/>
        <v>1.9805280754561588E-2</v>
      </c>
      <c r="Q3827" s="27">
        <f t="shared" si="15"/>
        <v>1.9653061323571537E-2</v>
      </c>
      <c r="R3827" s="396">
        <f t="shared" si="15"/>
        <v>1.9729353737194893E-2</v>
      </c>
    </row>
    <row r="3828" spans="1:18">
      <c r="A3828" s="53" t="s">
        <v>18766</v>
      </c>
      <c r="B3828" s="2" t="s">
        <v>101</v>
      </c>
      <c r="C3828" s="27">
        <f t="shared" si="15"/>
        <v>0.11562869540227178</v>
      </c>
      <c r="D3828" s="27">
        <f t="shared" si="15"/>
        <v>0.11902067589857686</v>
      </c>
      <c r="E3828" s="27">
        <f t="shared" si="15"/>
        <v>0.11953960485771255</v>
      </c>
      <c r="F3828" s="27">
        <f t="shared" si="15"/>
        <v>0.12126058911135268</v>
      </c>
      <c r="G3828" s="27">
        <f t="shared" si="15"/>
        <v>0.12319744836258691</v>
      </c>
      <c r="H3828" s="27">
        <f t="shared" si="15"/>
        <v>0.12721883293695929</v>
      </c>
      <c r="I3828" s="27">
        <f t="shared" si="15"/>
        <v>0.13061783022778461</v>
      </c>
      <c r="J3828" s="27">
        <f t="shared" si="15"/>
        <v>0.1371293050327004</v>
      </c>
      <c r="K3828" s="27">
        <f t="shared" si="15"/>
        <v>0.13776535336769463</v>
      </c>
      <c r="L3828" s="27">
        <f t="shared" si="15"/>
        <v>0.13790844694950108</v>
      </c>
      <c r="M3828" s="27">
        <f t="shared" si="15"/>
        <v>0.13804690164296177</v>
      </c>
      <c r="N3828" s="27">
        <f t="shared" si="15"/>
        <v>0.13858934777096668</v>
      </c>
      <c r="O3828" s="27">
        <f t="shared" si="15"/>
        <v>0.13957158405065798</v>
      </c>
      <c r="P3828" s="27">
        <f t="shared" si="15"/>
        <v>0.14010765444687379</v>
      </c>
      <c r="Q3828" s="27">
        <f t="shared" si="15"/>
        <v>0.14055725750462439</v>
      </c>
      <c r="R3828" s="396">
        <f t="shared" si="15"/>
        <v>0.14256598340321627</v>
      </c>
    </row>
    <row r="3829" spans="1:18">
      <c r="A3829" s="53" t="s">
        <v>265</v>
      </c>
      <c r="B3829" s="2" t="s">
        <v>101</v>
      </c>
      <c r="C3829" s="27">
        <f t="shared" si="15"/>
        <v>0.19030232218489848</v>
      </c>
      <c r="D3829" s="27">
        <f t="shared" si="15"/>
        <v>0.19951858529287658</v>
      </c>
      <c r="E3829" s="27">
        <f t="shared" si="15"/>
        <v>0.20208351220629062</v>
      </c>
      <c r="F3829" s="27">
        <f t="shared" si="15"/>
        <v>0.20471882886463652</v>
      </c>
      <c r="G3829" s="27">
        <f t="shared" si="15"/>
        <v>0.20705072921133397</v>
      </c>
      <c r="H3829" s="27">
        <f t="shared" si="15"/>
        <v>0.20949229655671595</v>
      </c>
      <c r="I3829" s="27">
        <f t="shared" si="15"/>
        <v>0.21329151538457694</v>
      </c>
      <c r="J3829" s="27">
        <f t="shared" si="15"/>
        <v>0.22307202369547996</v>
      </c>
      <c r="K3829" s="27">
        <f t="shared" si="15"/>
        <v>0.22262190453188352</v>
      </c>
      <c r="L3829" s="27">
        <f t="shared" si="15"/>
        <v>0.22295681316170307</v>
      </c>
      <c r="M3829" s="27">
        <f t="shared" si="15"/>
        <v>0.22348993961764529</v>
      </c>
      <c r="N3829" s="27">
        <f t="shared" si="15"/>
        <v>0.22396229510641794</v>
      </c>
      <c r="O3829" s="27">
        <f t="shared" si="15"/>
        <v>0.22399327198971011</v>
      </c>
      <c r="P3829" s="27">
        <f t="shared" si="15"/>
        <v>0.22445658035355368</v>
      </c>
      <c r="Q3829" s="27">
        <f t="shared" si="15"/>
        <v>0.22527709942565288</v>
      </c>
      <c r="R3829" s="396">
        <f t="shared" si="15"/>
        <v>0.22736912764736214</v>
      </c>
    </row>
    <row r="3830" spans="1:18">
      <c r="A3830" s="53" t="s">
        <v>267</v>
      </c>
      <c r="B3830" s="2" t="s">
        <v>101</v>
      </c>
      <c r="C3830" s="27">
        <f t="shared" si="15"/>
        <v>2.343856739707053E-2</v>
      </c>
      <c r="D3830" s="27">
        <f t="shared" si="15"/>
        <v>2.4430357896351985E-2</v>
      </c>
      <c r="E3830" s="27">
        <f t="shared" si="15"/>
        <v>2.4584299247302592E-2</v>
      </c>
      <c r="F3830" s="27">
        <f t="shared" si="15"/>
        <v>2.4724288033406282E-2</v>
      </c>
      <c r="G3830" s="27">
        <f t="shared" si="15"/>
        <v>2.5391104922598086E-2</v>
      </c>
      <c r="H3830" s="27">
        <f t="shared" si="15"/>
        <v>2.6165610489878921E-2</v>
      </c>
      <c r="I3830" s="27">
        <f t="shared" si="15"/>
        <v>2.6658942332183005E-2</v>
      </c>
      <c r="J3830" s="27">
        <f t="shared" si="15"/>
        <v>2.7781086077352073E-2</v>
      </c>
      <c r="K3830" s="27">
        <f t="shared" si="15"/>
        <v>2.7687706514421966E-2</v>
      </c>
      <c r="L3830" s="27">
        <f t="shared" si="15"/>
        <v>2.7486226419884734E-2</v>
      </c>
      <c r="M3830" s="27">
        <f t="shared" si="15"/>
        <v>2.728239282633553E-2</v>
      </c>
      <c r="N3830" s="27">
        <f t="shared" si="15"/>
        <v>2.7165023540700307E-2</v>
      </c>
      <c r="O3830" s="27">
        <f t="shared" si="15"/>
        <v>2.7154447412684277E-2</v>
      </c>
      <c r="P3830" s="27">
        <f t="shared" si="15"/>
        <v>2.7031266851646685E-2</v>
      </c>
      <c r="Q3830" s="27">
        <f t="shared" si="15"/>
        <v>2.6901584188218846E-2</v>
      </c>
      <c r="R3830" s="396">
        <f t="shared" si="15"/>
        <v>2.7074354758685103E-2</v>
      </c>
    </row>
    <row r="3831" spans="1:18">
      <c r="A3831" s="53" t="s">
        <v>268</v>
      </c>
      <c r="B3831" s="2" t="s">
        <v>101</v>
      </c>
      <c r="C3831" s="27">
        <f t="shared" si="15"/>
        <v>0.28549824034071902</v>
      </c>
      <c r="D3831" s="27">
        <f t="shared" si="15"/>
        <v>0.25867889063638805</v>
      </c>
      <c r="E3831" s="27">
        <f t="shared" si="15"/>
        <v>0.25717161310017839</v>
      </c>
      <c r="F3831" s="27">
        <f t="shared" si="15"/>
        <v>0.24791330456894115</v>
      </c>
      <c r="G3831" s="27">
        <f t="shared" si="15"/>
        <v>0.23905219389746235</v>
      </c>
      <c r="H3831" s="27">
        <f t="shared" si="15"/>
        <v>0.22310688312135935</v>
      </c>
      <c r="I3831" s="27">
        <f t="shared" si="15"/>
        <v>0.2050511154505002</v>
      </c>
      <c r="J3831" s="27">
        <f t="shared" si="15"/>
        <v>0.16822444424882327</v>
      </c>
      <c r="K3831" s="27">
        <f t="shared" si="15"/>
        <v>0.16705121814603366</v>
      </c>
      <c r="L3831" s="27">
        <f t="shared" si="15"/>
        <v>0.1651407824916851</v>
      </c>
      <c r="M3831" s="27">
        <f t="shared" si="15"/>
        <v>0.16315773636381875</v>
      </c>
      <c r="N3831" s="27">
        <f t="shared" si="15"/>
        <v>0.16174226040439299</v>
      </c>
      <c r="O3831" s="27">
        <f t="shared" si="15"/>
        <v>0.1609429108538637</v>
      </c>
      <c r="P3831" s="27">
        <f t="shared" si="15"/>
        <v>0.15948643534360205</v>
      </c>
      <c r="Q3831" s="27">
        <f t="shared" si="15"/>
        <v>0.15794788637345675</v>
      </c>
      <c r="R3831" s="396">
        <f t="shared" si="15"/>
        <v>0.15824829021996095</v>
      </c>
    </row>
    <row r="3832" spans="1:18">
      <c r="A3832" s="15" t="s">
        <v>18818</v>
      </c>
      <c r="B3832" s="72" t="s">
        <v>101</v>
      </c>
      <c r="C3832" s="398">
        <f t="shared" si="15"/>
        <v>1</v>
      </c>
      <c r="D3832" s="398">
        <f t="shared" si="15"/>
        <v>1</v>
      </c>
      <c r="E3832" s="398">
        <f t="shared" si="15"/>
        <v>1</v>
      </c>
      <c r="F3832" s="398">
        <f t="shared" si="15"/>
        <v>1</v>
      </c>
      <c r="G3832" s="398">
        <f t="shared" si="15"/>
        <v>1</v>
      </c>
      <c r="H3832" s="398">
        <f t="shared" si="15"/>
        <v>1</v>
      </c>
      <c r="I3832" s="398">
        <f t="shared" si="15"/>
        <v>1</v>
      </c>
      <c r="J3832" s="398">
        <f t="shared" si="15"/>
        <v>1</v>
      </c>
      <c r="K3832" s="398">
        <f t="shared" si="15"/>
        <v>1</v>
      </c>
      <c r="L3832" s="398">
        <f t="shared" si="15"/>
        <v>1</v>
      </c>
      <c r="M3832" s="398">
        <f t="shared" si="15"/>
        <v>1</v>
      </c>
      <c r="N3832" s="398">
        <f t="shared" si="15"/>
        <v>1</v>
      </c>
      <c r="O3832" s="398">
        <f t="shared" si="15"/>
        <v>1</v>
      </c>
      <c r="P3832" s="398">
        <f t="shared" si="15"/>
        <v>1</v>
      </c>
      <c r="Q3832" s="398">
        <f t="shared" si="15"/>
        <v>1</v>
      </c>
      <c r="R3832" s="399">
        <f t="shared" si="15"/>
        <v>1</v>
      </c>
    </row>
  </sheetData>
  <pageMargins left="0.7" right="0.7" top="0.75" bottom="0.75" header="0.3" footer="0.3"/>
  <tableParts count="1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57878-9E72-446A-8659-DF7CC08541BF}">
  <sheetPr>
    <tabColor rgb="FFFFC000"/>
  </sheetPr>
  <dimension ref="A1:AG370"/>
  <sheetViews>
    <sheetView workbookViewId="0">
      <selection activeCell="A2" sqref="A2"/>
    </sheetView>
  </sheetViews>
  <sheetFormatPr defaultRowHeight="15"/>
  <cols>
    <col min="1" max="1" width="30.7109375" customWidth="1"/>
    <col min="3" max="3" width="9.28515625" bestFit="1" customWidth="1"/>
    <col min="6" max="6" width="9.28515625" bestFit="1" customWidth="1"/>
    <col min="10" max="10" width="9.28515625" bestFit="1" customWidth="1"/>
  </cols>
  <sheetData>
    <row r="1" spans="1:26">
      <c r="B1" s="2" t="s">
        <v>1</v>
      </c>
      <c r="C1" s="172">
        <v>2023</v>
      </c>
      <c r="D1" s="172">
        <v>2024</v>
      </c>
      <c r="E1" s="172">
        <v>2025</v>
      </c>
      <c r="F1" s="172">
        <v>2026</v>
      </c>
      <c r="G1" s="172">
        <v>2027</v>
      </c>
      <c r="H1" s="172">
        <v>2028</v>
      </c>
      <c r="I1" s="172">
        <v>2029</v>
      </c>
      <c r="J1" s="172">
        <v>2030</v>
      </c>
      <c r="K1" s="172">
        <v>2031</v>
      </c>
      <c r="L1" s="172">
        <v>2032</v>
      </c>
      <c r="M1" s="172">
        <v>2033</v>
      </c>
      <c r="N1" s="172">
        <v>2034</v>
      </c>
      <c r="O1" s="172">
        <v>2035</v>
      </c>
      <c r="P1" s="172">
        <v>2036</v>
      </c>
      <c r="Q1" s="172">
        <v>2037</v>
      </c>
      <c r="R1" s="172">
        <v>2038</v>
      </c>
      <c r="S1" s="172">
        <v>2039</v>
      </c>
      <c r="T1" s="172">
        <v>2040</v>
      </c>
      <c r="U1" s="172">
        <v>2041</v>
      </c>
      <c r="V1" s="172">
        <v>2042</v>
      </c>
      <c r="W1" s="172">
        <v>2043</v>
      </c>
      <c r="X1" s="172">
        <v>2044</v>
      </c>
      <c r="Y1" s="172">
        <v>2045</v>
      </c>
      <c r="Z1" s="172">
        <v>2046</v>
      </c>
    </row>
    <row r="2" spans="1:26">
      <c r="A2" s="133" t="s">
        <v>249</v>
      </c>
      <c r="B2" s="84" t="s">
        <v>18756</v>
      </c>
      <c r="C2" s="133">
        <v>0</v>
      </c>
      <c r="D2" s="134">
        <v>0</v>
      </c>
      <c r="E2" s="134">
        <v>0</v>
      </c>
      <c r="F2" s="134">
        <v>0</v>
      </c>
      <c r="G2" s="134">
        <v>0</v>
      </c>
      <c r="H2" s="134">
        <v>0</v>
      </c>
      <c r="I2" s="134">
        <v>0</v>
      </c>
      <c r="J2" s="134">
        <v>0</v>
      </c>
      <c r="K2" s="134">
        <v>0</v>
      </c>
      <c r="L2" s="134">
        <v>0</v>
      </c>
      <c r="M2" s="134">
        <v>0</v>
      </c>
      <c r="N2" s="134">
        <v>0</v>
      </c>
      <c r="O2" s="134">
        <v>0</v>
      </c>
      <c r="P2" s="134">
        <v>0</v>
      </c>
      <c r="Q2" s="134">
        <v>0</v>
      </c>
      <c r="R2" s="134">
        <v>0</v>
      </c>
      <c r="S2" s="134">
        <v>0</v>
      </c>
      <c r="T2" s="134">
        <v>0</v>
      </c>
      <c r="U2" s="134">
        <v>0</v>
      </c>
      <c r="V2" s="134">
        <v>0</v>
      </c>
      <c r="W2" s="134">
        <v>0</v>
      </c>
      <c r="X2" s="134">
        <v>0</v>
      </c>
      <c r="Y2" s="134">
        <v>0</v>
      </c>
      <c r="Z2" s="158">
        <v>0</v>
      </c>
    </row>
    <row r="3" spans="1:26">
      <c r="A3" s="6" t="s">
        <v>251</v>
      </c>
      <c r="B3" s="51" t="s">
        <v>18756</v>
      </c>
      <c r="C3" s="6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 s="5">
        <v>0</v>
      </c>
    </row>
    <row r="4" spans="1:26">
      <c r="A4" s="6" t="s">
        <v>253</v>
      </c>
      <c r="B4" s="51" t="s">
        <v>18756</v>
      </c>
      <c r="C4" s="6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 s="5">
        <v>0</v>
      </c>
    </row>
    <row r="5" spans="1:26">
      <c r="A5" s="6" t="s">
        <v>18819</v>
      </c>
      <c r="B5" s="51" t="s">
        <v>18756</v>
      </c>
      <c r="C5" s="6">
        <f>J364</f>
        <v>1.0469399999999999E-3</v>
      </c>
      <c r="D5">
        <f t="shared" ref="D5:Z5" si="0">K364</f>
        <v>1.0469399999999999E-3</v>
      </c>
      <c r="E5">
        <f t="shared" si="0"/>
        <v>1.0469399999999999E-3</v>
      </c>
      <c r="F5">
        <f t="shared" si="0"/>
        <v>1.0469399999999999E-3</v>
      </c>
      <c r="G5">
        <f t="shared" si="0"/>
        <v>1.0469399999999999E-3</v>
      </c>
      <c r="H5">
        <f t="shared" si="0"/>
        <v>1.0469399999999999E-3</v>
      </c>
      <c r="I5">
        <f t="shared" si="0"/>
        <v>1.0469399999999999E-3</v>
      </c>
      <c r="J5">
        <f t="shared" si="0"/>
        <v>1.0469399999999999E-3</v>
      </c>
      <c r="K5">
        <f t="shared" si="0"/>
        <v>1.0469399999999999E-3</v>
      </c>
      <c r="L5">
        <f t="shared" si="0"/>
        <v>1.0469399999999999E-3</v>
      </c>
      <c r="M5">
        <f t="shared" si="0"/>
        <v>1.0469399999999999E-3</v>
      </c>
      <c r="N5">
        <f t="shared" si="0"/>
        <v>1.0469399999999999E-3</v>
      </c>
      <c r="O5">
        <f t="shared" si="0"/>
        <v>1.0469399999999999E-3</v>
      </c>
      <c r="P5">
        <f t="shared" si="0"/>
        <v>1.0469399999999999E-3</v>
      </c>
      <c r="Q5">
        <f t="shared" si="0"/>
        <v>1.0469399999999999E-3</v>
      </c>
      <c r="R5">
        <f t="shared" si="0"/>
        <v>1.0469399999999999E-3</v>
      </c>
      <c r="S5">
        <f t="shared" si="0"/>
        <v>1.0469399999999999E-3</v>
      </c>
      <c r="T5">
        <f t="shared" si="0"/>
        <v>1.0469399999999999E-3</v>
      </c>
      <c r="U5">
        <f t="shared" si="0"/>
        <v>1.0469399999999999E-3</v>
      </c>
      <c r="V5">
        <f t="shared" si="0"/>
        <v>1.0469399999999999E-3</v>
      </c>
      <c r="W5">
        <f t="shared" si="0"/>
        <v>1.0469399999999999E-3</v>
      </c>
      <c r="X5">
        <f t="shared" si="0"/>
        <v>1.0469399999999999E-3</v>
      </c>
      <c r="Y5">
        <f t="shared" si="0"/>
        <v>1.0469399999999999E-3</v>
      </c>
      <c r="Z5" s="5">
        <f t="shared" si="0"/>
        <v>1.0469399999999999E-3</v>
      </c>
    </row>
    <row r="6" spans="1:26">
      <c r="A6" s="6" t="s">
        <v>18820</v>
      </c>
      <c r="B6" s="51" t="s">
        <v>18756</v>
      </c>
      <c r="C6" s="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5">
        <v>0</v>
      </c>
    </row>
    <row r="7" spans="1:26">
      <c r="A7" s="6" t="s">
        <v>256</v>
      </c>
      <c r="B7" s="51" t="s">
        <v>18756</v>
      </c>
      <c r="C7" s="6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5">
        <v>0</v>
      </c>
    </row>
    <row r="8" spans="1:26">
      <c r="A8" s="6" t="s">
        <v>18821</v>
      </c>
      <c r="B8" s="51" t="s">
        <v>18756</v>
      </c>
      <c r="C8" s="348">
        <f t="shared" ref="C8:Z8" si="1">J351</f>
        <v>8.2200000000000006E-5</v>
      </c>
      <c r="D8" s="29">
        <f t="shared" si="1"/>
        <v>8.2200000000000006E-5</v>
      </c>
      <c r="E8" s="29">
        <f t="shared" si="1"/>
        <v>8.2200000000000006E-5</v>
      </c>
      <c r="F8" s="29">
        <f t="shared" si="1"/>
        <v>8.2200000000000006E-5</v>
      </c>
      <c r="G8" s="29">
        <f t="shared" si="1"/>
        <v>8.2200000000000006E-5</v>
      </c>
      <c r="H8" s="29">
        <f t="shared" si="1"/>
        <v>8.2200000000000006E-5</v>
      </c>
      <c r="I8" s="29">
        <f t="shared" si="1"/>
        <v>8.2200000000000006E-5</v>
      </c>
      <c r="J8" s="29">
        <f t="shared" si="1"/>
        <v>8.2200000000000006E-5</v>
      </c>
      <c r="K8" s="29">
        <f t="shared" si="1"/>
        <v>8.2200000000000006E-5</v>
      </c>
      <c r="L8" s="29">
        <f t="shared" si="1"/>
        <v>8.2200000000000006E-5</v>
      </c>
      <c r="M8" s="29">
        <f t="shared" si="1"/>
        <v>8.2200000000000006E-5</v>
      </c>
      <c r="N8" s="29">
        <f t="shared" si="1"/>
        <v>8.2200000000000006E-5</v>
      </c>
      <c r="O8" s="29">
        <f t="shared" si="1"/>
        <v>8.2200000000000006E-5</v>
      </c>
      <c r="P8" s="29">
        <f t="shared" si="1"/>
        <v>8.2200000000000006E-5</v>
      </c>
      <c r="Q8" s="29">
        <f t="shared" si="1"/>
        <v>8.2200000000000006E-5</v>
      </c>
      <c r="R8" s="29">
        <f t="shared" si="1"/>
        <v>8.2200000000000006E-5</v>
      </c>
      <c r="S8" s="29">
        <f t="shared" si="1"/>
        <v>8.2200000000000006E-5</v>
      </c>
      <c r="T8" s="29">
        <f t="shared" si="1"/>
        <v>8.2200000000000006E-5</v>
      </c>
      <c r="U8" s="29">
        <f t="shared" si="1"/>
        <v>8.2200000000000006E-5</v>
      </c>
      <c r="V8" s="29">
        <f t="shared" si="1"/>
        <v>8.2200000000000006E-5</v>
      </c>
      <c r="W8" s="29">
        <f t="shared" si="1"/>
        <v>8.2200000000000006E-5</v>
      </c>
      <c r="X8" s="29">
        <f t="shared" si="1"/>
        <v>8.2200000000000006E-5</v>
      </c>
      <c r="Y8" s="29">
        <f t="shared" si="1"/>
        <v>8.2200000000000006E-5</v>
      </c>
      <c r="Z8" s="407">
        <f t="shared" si="1"/>
        <v>8.2200000000000006E-5</v>
      </c>
    </row>
    <row r="9" spans="1:26">
      <c r="A9" s="6" t="s">
        <v>18822</v>
      </c>
      <c r="B9" s="51" t="s">
        <v>18756</v>
      </c>
      <c r="C9" s="6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5">
        <v>0</v>
      </c>
    </row>
    <row r="10" spans="1:26">
      <c r="A10" s="6" t="s">
        <v>258</v>
      </c>
      <c r="B10" s="51" t="s">
        <v>18756</v>
      </c>
      <c r="C10" s="6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5">
        <v>0</v>
      </c>
    </row>
    <row r="11" spans="1:26">
      <c r="A11" s="6" t="s">
        <v>259</v>
      </c>
      <c r="B11" s="51" t="s">
        <v>18756</v>
      </c>
      <c r="C11" s="6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5">
        <v>0</v>
      </c>
    </row>
    <row r="12" spans="1:26">
      <c r="A12" s="6" t="s">
        <v>260</v>
      </c>
      <c r="B12" s="51" t="s">
        <v>18756</v>
      </c>
      <c r="C12" s="6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5">
        <v>0</v>
      </c>
    </row>
    <row r="13" spans="1:26">
      <c r="A13" s="6" t="s">
        <v>261</v>
      </c>
      <c r="B13" s="51" t="s">
        <v>18756</v>
      </c>
      <c r="C13" s="6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5">
        <v>0</v>
      </c>
    </row>
    <row r="14" spans="1:26">
      <c r="A14" s="6" t="s">
        <v>262</v>
      </c>
      <c r="B14" s="51" t="s">
        <v>18756</v>
      </c>
      <c r="C14" s="6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5">
        <v>0</v>
      </c>
    </row>
    <row r="15" spans="1:26">
      <c r="A15" s="6" t="s">
        <v>18823</v>
      </c>
      <c r="B15" s="51" t="s">
        <v>18756</v>
      </c>
      <c r="C15" s="6">
        <f t="shared" ref="C15:Z15" si="2">J322</f>
        <v>1.9966950000000001</v>
      </c>
      <c r="D15">
        <f t="shared" si="2"/>
        <v>2.0177289999999992</v>
      </c>
      <c r="E15">
        <f t="shared" si="2"/>
        <v>2.0370520000000001</v>
      </c>
      <c r="F15">
        <f t="shared" si="2"/>
        <v>2.0563550000000004</v>
      </c>
      <c r="G15">
        <f t="shared" si="2"/>
        <v>2.07741</v>
      </c>
      <c r="H15">
        <f t="shared" si="2"/>
        <v>2.0984899999999995</v>
      </c>
      <c r="I15">
        <f t="shared" si="2"/>
        <v>2.1178159999999995</v>
      </c>
      <c r="J15">
        <f t="shared" si="2"/>
        <v>2.1405999999999996</v>
      </c>
      <c r="K15">
        <f t="shared" si="2"/>
        <v>2.1405999999999996</v>
      </c>
      <c r="L15">
        <f t="shared" si="2"/>
        <v>2.1405999999999996</v>
      </c>
      <c r="M15">
        <f t="shared" si="2"/>
        <v>2.1405999999999996</v>
      </c>
      <c r="N15">
        <f t="shared" si="2"/>
        <v>2.1405999999999996</v>
      </c>
      <c r="O15">
        <f t="shared" si="2"/>
        <v>2.1405999999999996</v>
      </c>
      <c r="P15">
        <f t="shared" si="2"/>
        <v>2.1405999999999996</v>
      </c>
      <c r="Q15">
        <f t="shared" si="2"/>
        <v>2.1405999999999996</v>
      </c>
      <c r="R15">
        <f t="shared" si="2"/>
        <v>2.1405999999999996</v>
      </c>
      <c r="S15">
        <f t="shared" si="2"/>
        <v>2.1405999999999996</v>
      </c>
      <c r="T15">
        <f t="shared" si="2"/>
        <v>2.1405999999999996</v>
      </c>
      <c r="U15">
        <f t="shared" si="2"/>
        <v>2.1405999999999996</v>
      </c>
      <c r="V15">
        <f t="shared" si="2"/>
        <v>2.1405999999999996</v>
      </c>
      <c r="W15">
        <f t="shared" si="2"/>
        <v>2.1405999999999996</v>
      </c>
      <c r="X15">
        <f t="shared" si="2"/>
        <v>2.1405999999999996</v>
      </c>
      <c r="Y15">
        <f t="shared" si="2"/>
        <v>2.1405999999999996</v>
      </c>
      <c r="Z15" s="5">
        <f t="shared" si="2"/>
        <v>2.1405999999999996</v>
      </c>
    </row>
    <row r="16" spans="1:26">
      <c r="A16" s="6" t="s">
        <v>18824</v>
      </c>
      <c r="B16" s="51" t="s">
        <v>18756</v>
      </c>
      <c r="C16" s="6">
        <f>J345</f>
        <v>2.4377757799999999</v>
      </c>
      <c r="D16">
        <f t="shared" ref="D16:Z16" si="3">K345</f>
        <v>2.4622766500000002</v>
      </c>
      <c r="E16">
        <f t="shared" si="3"/>
        <v>2.4862840999999998</v>
      </c>
      <c r="F16">
        <f t="shared" si="3"/>
        <v>2.5095147799999999</v>
      </c>
      <c r="G16">
        <f t="shared" si="3"/>
        <v>2.53479345</v>
      </c>
      <c r="H16">
        <f t="shared" si="3"/>
        <v>2.5607579600000001</v>
      </c>
      <c r="I16">
        <f t="shared" si="3"/>
        <v>2.5848792700000001</v>
      </c>
      <c r="J16">
        <f t="shared" si="3"/>
        <v>2.6113658500000003</v>
      </c>
      <c r="K16">
        <f t="shared" si="3"/>
        <v>2.6113658500000003</v>
      </c>
      <c r="L16">
        <f t="shared" si="3"/>
        <v>2.6113658500000003</v>
      </c>
      <c r="M16">
        <f t="shared" si="3"/>
        <v>2.6113658500000003</v>
      </c>
      <c r="N16">
        <f t="shared" si="3"/>
        <v>2.6113658500000003</v>
      </c>
      <c r="O16">
        <f t="shared" si="3"/>
        <v>2.6113658500000003</v>
      </c>
      <c r="P16">
        <f t="shared" si="3"/>
        <v>2.6113658500000003</v>
      </c>
      <c r="Q16">
        <f t="shared" si="3"/>
        <v>2.6113658500000003</v>
      </c>
      <c r="R16">
        <f t="shared" si="3"/>
        <v>2.6113658500000003</v>
      </c>
      <c r="S16">
        <f t="shared" si="3"/>
        <v>2.6113658500000003</v>
      </c>
      <c r="T16">
        <f t="shared" si="3"/>
        <v>2.6113658500000003</v>
      </c>
      <c r="U16">
        <f t="shared" si="3"/>
        <v>2.6113658500000003</v>
      </c>
      <c r="V16">
        <f t="shared" si="3"/>
        <v>2.6113658500000003</v>
      </c>
      <c r="W16">
        <f t="shared" si="3"/>
        <v>2.6113658500000003</v>
      </c>
      <c r="X16">
        <f t="shared" si="3"/>
        <v>2.6113658500000003</v>
      </c>
      <c r="Y16">
        <f t="shared" si="3"/>
        <v>2.6113658500000003</v>
      </c>
      <c r="Z16" s="5">
        <f t="shared" si="3"/>
        <v>2.6113658500000003</v>
      </c>
    </row>
    <row r="17" spans="1:26">
      <c r="A17" s="6" t="s">
        <v>18825</v>
      </c>
      <c r="B17" s="51" t="s">
        <v>18756</v>
      </c>
      <c r="C17" s="6">
        <f t="shared" ref="C17:Z17" si="4">J250</f>
        <v>2.3582489999999998E-2</v>
      </c>
      <c r="D17">
        <f t="shared" si="4"/>
        <v>2.3582489999999998E-2</v>
      </c>
      <c r="E17">
        <f t="shared" si="4"/>
        <v>2.3582489999999998E-2</v>
      </c>
      <c r="F17">
        <f t="shared" si="4"/>
        <v>2.3582489999999998E-2</v>
      </c>
      <c r="G17">
        <f t="shared" si="4"/>
        <v>2.3582489999999998E-2</v>
      </c>
      <c r="H17">
        <f t="shared" si="4"/>
        <v>2.3582489999999998E-2</v>
      </c>
      <c r="I17">
        <f t="shared" si="4"/>
        <v>2.3582489999999998E-2</v>
      </c>
      <c r="J17">
        <f t="shared" si="4"/>
        <v>2.3582489999999998E-2</v>
      </c>
      <c r="K17">
        <f t="shared" si="4"/>
        <v>2.3582489999999998E-2</v>
      </c>
      <c r="L17">
        <f t="shared" si="4"/>
        <v>2.3582489999999998E-2</v>
      </c>
      <c r="M17">
        <f t="shared" si="4"/>
        <v>2.3582489999999998E-2</v>
      </c>
      <c r="N17">
        <f t="shared" si="4"/>
        <v>2.3582489999999998E-2</v>
      </c>
      <c r="O17">
        <f t="shared" si="4"/>
        <v>2.3582489999999998E-2</v>
      </c>
      <c r="P17">
        <f t="shared" si="4"/>
        <v>2.3582489999999998E-2</v>
      </c>
      <c r="Q17">
        <f t="shared" si="4"/>
        <v>2.3582489999999998E-2</v>
      </c>
      <c r="R17">
        <f t="shared" si="4"/>
        <v>2.3582489999999998E-2</v>
      </c>
      <c r="S17">
        <f t="shared" si="4"/>
        <v>2.3582489999999998E-2</v>
      </c>
      <c r="T17">
        <f t="shared" si="4"/>
        <v>2.3582489999999998E-2</v>
      </c>
      <c r="U17">
        <f t="shared" si="4"/>
        <v>2.3582489999999998E-2</v>
      </c>
      <c r="V17">
        <f t="shared" si="4"/>
        <v>2.3582489999999998E-2</v>
      </c>
      <c r="W17">
        <f t="shared" si="4"/>
        <v>2.3582489999999998E-2</v>
      </c>
      <c r="X17">
        <f t="shared" si="4"/>
        <v>2.3582489999999998E-2</v>
      </c>
      <c r="Y17">
        <f t="shared" si="4"/>
        <v>2.3582489999999998E-2</v>
      </c>
      <c r="Z17" s="5">
        <f t="shared" si="4"/>
        <v>2.3582489999999998E-2</v>
      </c>
    </row>
    <row r="18" spans="1:26">
      <c r="A18" s="6" t="s">
        <v>18826</v>
      </c>
      <c r="B18" s="51" t="s">
        <v>18756</v>
      </c>
      <c r="C18" s="6">
        <f>J266</f>
        <v>5.9507040000000004E-2</v>
      </c>
      <c r="D18">
        <f t="shared" ref="D18:Z18" si="5">K266</f>
        <v>5.9507040000000004E-2</v>
      </c>
      <c r="E18">
        <f t="shared" si="5"/>
        <v>5.9507040000000004E-2</v>
      </c>
      <c r="F18">
        <f t="shared" si="5"/>
        <v>5.9507040000000004E-2</v>
      </c>
      <c r="G18">
        <f t="shared" si="5"/>
        <v>5.9507040000000004E-2</v>
      </c>
      <c r="H18">
        <f t="shared" si="5"/>
        <v>5.9507040000000004E-2</v>
      </c>
      <c r="I18">
        <f t="shared" si="5"/>
        <v>5.9507040000000004E-2</v>
      </c>
      <c r="J18">
        <f t="shared" si="5"/>
        <v>5.9507040000000004E-2</v>
      </c>
      <c r="K18">
        <f t="shared" si="5"/>
        <v>5.9507040000000004E-2</v>
      </c>
      <c r="L18">
        <f t="shared" si="5"/>
        <v>5.9507040000000004E-2</v>
      </c>
      <c r="M18">
        <f t="shared" si="5"/>
        <v>5.9507040000000004E-2</v>
      </c>
      <c r="N18">
        <f t="shared" si="5"/>
        <v>5.9507040000000004E-2</v>
      </c>
      <c r="O18">
        <f t="shared" si="5"/>
        <v>5.9507040000000004E-2</v>
      </c>
      <c r="P18">
        <f t="shared" si="5"/>
        <v>5.9507040000000004E-2</v>
      </c>
      <c r="Q18">
        <f t="shared" si="5"/>
        <v>5.9507040000000004E-2</v>
      </c>
      <c r="R18">
        <f t="shared" si="5"/>
        <v>5.9507040000000004E-2</v>
      </c>
      <c r="S18">
        <f t="shared" si="5"/>
        <v>5.9507040000000004E-2</v>
      </c>
      <c r="T18">
        <f t="shared" si="5"/>
        <v>5.9507040000000004E-2</v>
      </c>
      <c r="U18">
        <f t="shared" si="5"/>
        <v>5.9507040000000004E-2</v>
      </c>
      <c r="V18">
        <f t="shared" si="5"/>
        <v>5.9507040000000004E-2</v>
      </c>
      <c r="W18">
        <f t="shared" si="5"/>
        <v>5.9507040000000004E-2</v>
      </c>
      <c r="X18">
        <f t="shared" si="5"/>
        <v>5.9507040000000004E-2</v>
      </c>
      <c r="Y18">
        <f t="shared" si="5"/>
        <v>5.9507040000000004E-2</v>
      </c>
      <c r="Z18" s="5">
        <f t="shared" si="5"/>
        <v>5.9507040000000004E-2</v>
      </c>
    </row>
    <row r="19" spans="1:26">
      <c r="A19" s="6" t="s">
        <v>18827</v>
      </c>
      <c r="B19" s="51" t="s">
        <v>18756</v>
      </c>
      <c r="C19" s="6">
        <f t="shared" ref="C19:Z19" si="6">J192</f>
        <v>6.2672000000000005E-2</v>
      </c>
      <c r="D19">
        <f t="shared" si="6"/>
        <v>6.2672000000000005E-2</v>
      </c>
      <c r="E19">
        <f t="shared" si="6"/>
        <v>6.2672000000000005E-2</v>
      </c>
      <c r="F19">
        <f t="shared" si="6"/>
        <v>6.2672000000000005E-2</v>
      </c>
      <c r="G19">
        <f t="shared" si="6"/>
        <v>6.2672000000000005E-2</v>
      </c>
      <c r="H19">
        <f t="shared" si="6"/>
        <v>6.2672000000000005E-2</v>
      </c>
      <c r="I19">
        <f t="shared" si="6"/>
        <v>6.2672000000000005E-2</v>
      </c>
      <c r="J19">
        <f t="shared" si="6"/>
        <v>6.2672000000000005E-2</v>
      </c>
      <c r="K19">
        <f t="shared" si="6"/>
        <v>6.2672000000000005E-2</v>
      </c>
      <c r="L19">
        <f t="shared" si="6"/>
        <v>6.2672000000000005E-2</v>
      </c>
      <c r="M19">
        <f t="shared" si="6"/>
        <v>6.2672000000000005E-2</v>
      </c>
      <c r="N19">
        <f t="shared" si="6"/>
        <v>6.2672000000000005E-2</v>
      </c>
      <c r="O19">
        <f t="shared" si="6"/>
        <v>6.2672000000000005E-2</v>
      </c>
      <c r="P19">
        <f t="shared" si="6"/>
        <v>6.2672000000000005E-2</v>
      </c>
      <c r="Q19">
        <f t="shared" si="6"/>
        <v>6.2672000000000005E-2</v>
      </c>
      <c r="R19">
        <f t="shared" si="6"/>
        <v>6.2672000000000005E-2</v>
      </c>
      <c r="S19">
        <f t="shared" si="6"/>
        <v>6.2672000000000005E-2</v>
      </c>
      <c r="T19">
        <f t="shared" si="6"/>
        <v>6.2672000000000005E-2</v>
      </c>
      <c r="U19">
        <f t="shared" si="6"/>
        <v>6.2672000000000005E-2</v>
      </c>
      <c r="V19">
        <f t="shared" si="6"/>
        <v>6.2672000000000005E-2</v>
      </c>
      <c r="W19">
        <f t="shared" si="6"/>
        <v>6.2672000000000005E-2</v>
      </c>
      <c r="X19">
        <f t="shared" si="6"/>
        <v>6.2672000000000005E-2</v>
      </c>
      <c r="Y19">
        <f t="shared" si="6"/>
        <v>6.2672000000000005E-2</v>
      </c>
      <c r="Z19" s="5">
        <f t="shared" si="6"/>
        <v>6.2672000000000005E-2</v>
      </c>
    </row>
    <row r="20" spans="1:26">
      <c r="A20" s="6" t="s">
        <v>18828</v>
      </c>
      <c r="B20" s="51" t="s">
        <v>18756</v>
      </c>
      <c r="C20" s="6">
        <f t="shared" ref="C20:Z20" si="7">J162</f>
        <v>3.7766000000000008E-2</v>
      </c>
      <c r="D20">
        <f t="shared" si="7"/>
        <v>3.7766000000000008E-2</v>
      </c>
      <c r="E20">
        <f t="shared" si="7"/>
        <v>3.7766000000000008E-2</v>
      </c>
      <c r="F20">
        <f t="shared" si="7"/>
        <v>3.7766000000000008E-2</v>
      </c>
      <c r="G20">
        <f t="shared" si="7"/>
        <v>3.7766000000000008E-2</v>
      </c>
      <c r="H20">
        <f t="shared" si="7"/>
        <v>3.7766000000000008E-2</v>
      </c>
      <c r="I20">
        <f t="shared" si="7"/>
        <v>3.7766000000000008E-2</v>
      </c>
      <c r="J20">
        <f t="shared" si="7"/>
        <v>3.7766000000000008E-2</v>
      </c>
      <c r="K20">
        <f t="shared" si="7"/>
        <v>3.7766000000000008E-2</v>
      </c>
      <c r="L20">
        <f t="shared" si="7"/>
        <v>3.7766000000000008E-2</v>
      </c>
      <c r="M20">
        <f t="shared" si="7"/>
        <v>3.7766000000000008E-2</v>
      </c>
      <c r="N20">
        <f t="shared" si="7"/>
        <v>3.7766000000000008E-2</v>
      </c>
      <c r="O20">
        <f t="shared" si="7"/>
        <v>3.7766000000000008E-2</v>
      </c>
      <c r="P20">
        <f t="shared" si="7"/>
        <v>3.7766000000000008E-2</v>
      </c>
      <c r="Q20">
        <f t="shared" si="7"/>
        <v>3.7766000000000008E-2</v>
      </c>
      <c r="R20">
        <f t="shared" si="7"/>
        <v>3.7766000000000008E-2</v>
      </c>
      <c r="S20">
        <f t="shared" si="7"/>
        <v>3.7766000000000008E-2</v>
      </c>
      <c r="T20">
        <f t="shared" si="7"/>
        <v>3.7766000000000008E-2</v>
      </c>
      <c r="U20">
        <f t="shared" si="7"/>
        <v>3.7766000000000008E-2</v>
      </c>
      <c r="V20">
        <f t="shared" si="7"/>
        <v>3.7766000000000008E-2</v>
      </c>
      <c r="W20">
        <f t="shared" si="7"/>
        <v>3.7766000000000008E-2</v>
      </c>
      <c r="X20">
        <f t="shared" si="7"/>
        <v>3.7766000000000008E-2</v>
      </c>
      <c r="Y20">
        <f t="shared" si="7"/>
        <v>3.7766000000000008E-2</v>
      </c>
      <c r="Z20" s="5">
        <f t="shared" si="7"/>
        <v>3.7766000000000008E-2</v>
      </c>
    </row>
    <row r="21" spans="1:26">
      <c r="A21" s="6" t="s">
        <v>18829</v>
      </c>
      <c r="B21" s="51" t="s">
        <v>18756</v>
      </c>
      <c r="C21" s="6">
        <f t="shared" ref="C21:Z21" si="8">J153</f>
        <v>0.87597869999999989</v>
      </c>
      <c r="D21">
        <f t="shared" si="8"/>
        <v>0.87597899999999995</v>
      </c>
      <c r="E21">
        <f t="shared" si="8"/>
        <v>0.87597930000000002</v>
      </c>
      <c r="F21">
        <f t="shared" si="8"/>
        <v>0.87598160999999997</v>
      </c>
      <c r="G21">
        <f t="shared" si="8"/>
        <v>0.87598191000000003</v>
      </c>
      <c r="H21">
        <f t="shared" si="8"/>
        <v>0.87598321000000012</v>
      </c>
      <c r="I21">
        <f t="shared" si="8"/>
        <v>0.87598341000000002</v>
      </c>
      <c r="J21">
        <f t="shared" si="8"/>
        <v>0.87598361000000013</v>
      </c>
      <c r="K21">
        <f t="shared" si="8"/>
        <v>0.87598591999999986</v>
      </c>
      <c r="L21">
        <f t="shared" si="8"/>
        <v>0.87598611999999998</v>
      </c>
      <c r="M21">
        <f t="shared" si="8"/>
        <v>0.87598631999999987</v>
      </c>
      <c r="N21">
        <f t="shared" si="8"/>
        <v>0.87598651999999999</v>
      </c>
      <c r="O21">
        <f t="shared" si="8"/>
        <v>0.87598871999999994</v>
      </c>
      <c r="P21">
        <f t="shared" si="8"/>
        <v>0.87598903000000006</v>
      </c>
      <c r="Q21">
        <f t="shared" si="8"/>
        <v>0.87599123000000001</v>
      </c>
      <c r="R21">
        <f t="shared" si="8"/>
        <v>0.87599143000000002</v>
      </c>
      <c r="S21">
        <f t="shared" si="8"/>
        <v>0.87599364000000002</v>
      </c>
      <c r="T21">
        <f t="shared" si="8"/>
        <v>0.87599484999999999</v>
      </c>
      <c r="U21">
        <f t="shared" si="8"/>
        <v>0.87599515000000006</v>
      </c>
      <c r="V21">
        <f t="shared" si="8"/>
        <v>0.87599433999999998</v>
      </c>
      <c r="W21">
        <f t="shared" si="8"/>
        <v>0.87599453999999999</v>
      </c>
      <c r="X21">
        <f t="shared" si="8"/>
        <v>0.87599374000000008</v>
      </c>
      <c r="Y21">
        <f t="shared" si="8"/>
        <v>0.87599404000000003</v>
      </c>
      <c r="Z21" s="5">
        <f t="shared" si="8"/>
        <v>0.87599423999999992</v>
      </c>
    </row>
    <row r="22" spans="1:26">
      <c r="A22" s="6" t="s">
        <v>18830</v>
      </c>
      <c r="B22" s="51" t="s">
        <v>18756</v>
      </c>
      <c r="C22" s="6">
        <f>J66</f>
        <v>1.7489353000000001</v>
      </c>
      <c r="D22">
        <f t="shared" ref="D22:Z22" si="9">K66</f>
        <v>1.7489363</v>
      </c>
      <c r="E22">
        <f t="shared" si="9"/>
        <v>1.7489372999999999</v>
      </c>
      <c r="F22">
        <f t="shared" si="9"/>
        <v>1.7489393</v>
      </c>
      <c r="G22">
        <f t="shared" si="9"/>
        <v>1.7489402999999999</v>
      </c>
      <c r="H22">
        <f t="shared" si="9"/>
        <v>1.74894131</v>
      </c>
      <c r="I22">
        <f t="shared" si="9"/>
        <v>1.74894131</v>
      </c>
      <c r="J22">
        <f t="shared" si="9"/>
        <v>1.74894131</v>
      </c>
      <c r="K22">
        <f t="shared" si="9"/>
        <v>1.7489433099999998</v>
      </c>
      <c r="L22">
        <f t="shared" si="9"/>
        <v>1.7489433099999998</v>
      </c>
      <c r="M22">
        <f t="shared" si="9"/>
        <v>1.7489433099999998</v>
      </c>
      <c r="N22">
        <f t="shared" si="9"/>
        <v>1.7489433099999998</v>
      </c>
      <c r="O22">
        <f t="shared" si="9"/>
        <v>1.7489433099999998</v>
      </c>
      <c r="P22">
        <f t="shared" si="9"/>
        <v>1.74894332</v>
      </c>
      <c r="Q22">
        <f t="shared" si="9"/>
        <v>1.7489443200000001</v>
      </c>
      <c r="R22">
        <f t="shared" si="9"/>
        <v>1.7489443200000001</v>
      </c>
      <c r="S22">
        <f t="shared" si="9"/>
        <v>1.74894433</v>
      </c>
      <c r="T22">
        <f t="shared" si="9"/>
        <v>1.74894433</v>
      </c>
      <c r="U22">
        <f t="shared" si="9"/>
        <v>1.74894433</v>
      </c>
      <c r="V22">
        <f t="shared" si="9"/>
        <v>1.74894433</v>
      </c>
      <c r="W22">
        <f t="shared" si="9"/>
        <v>1.7489433300000001</v>
      </c>
      <c r="X22">
        <f t="shared" si="9"/>
        <v>1.7489433300000001</v>
      </c>
      <c r="Y22">
        <f t="shared" si="9"/>
        <v>1.7489433300000001</v>
      </c>
      <c r="Z22" s="5">
        <f t="shared" si="9"/>
        <v>1.7489433300000001</v>
      </c>
    </row>
    <row r="23" spans="1:26">
      <c r="A23" s="15" t="s">
        <v>18831</v>
      </c>
      <c r="B23" s="73" t="s">
        <v>18756</v>
      </c>
      <c r="C23" s="15">
        <f t="shared" ref="C23:Z23" si="10">SUM(C2:C22)</f>
        <v>7.2440414500000001</v>
      </c>
      <c r="D23" s="72">
        <f t="shared" si="10"/>
        <v>7.2895776199999993</v>
      </c>
      <c r="E23" s="72">
        <f t="shared" si="10"/>
        <v>7.3329093699999994</v>
      </c>
      <c r="F23" s="72">
        <f t="shared" si="10"/>
        <v>7.3754473600000008</v>
      </c>
      <c r="G23" s="72">
        <f t="shared" si="10"/>
        <v>7.421782330000001</v>
      </c>
      <c r="H23" s="72">
        <f t="shared" si="10"/>
        <v>7.4688291500000004</v>
      </c>
      <c r="I23" s="72">
        <f t="shared" si="10"/>
        <v>7.5122766599999995</v>
      </c>
      <c r="J23" s="72">
        <f t="shared" si="10"/>
        <v>7.5615474400000009</v>
      </c>
      <c r="K23" s="72">
        <f t="shared" si="10"/>
        <v>7.5615517499999996</v>
      </c>
      <c r="L23" s="72">
        <f t="shared" si="10"/>
        <v>7.5615519500000001</v>
      </c>
      <c r="M23" s="72">
        <f t="shared" si="10"/>
        <v>7.5615521499999998</v>
      </c>
      <c r="N23" s="72">
        <f t="shared" si="10"/>
        <v>7.5615523499999995</v>
      </c>
      <c r="O23" s="72">
        <f t="shared" si="10"/>
        <v>7.5615545499999994</v>
      </c>
      <c r="P23" s="72">
        <f t="shared" si="10"/>
        <v>7.5615548700000002</v>
      </c>
      <c r="Q23" s="72">
        <f t="shared" si="10"/>
        <v>7.5615580700000002</v>
      </c>
      <c r="R23" s="72">
        <f t="shared" si="10"/>
        <v>7.5615582700000008</v>
      </c>
      <c r="S23" s="72">
        <f t="shared" si="10"/>
        <v>7.5615604899999997</v>
      </c>
      <c r="T23" s="72">
        <f t="shared" si="10"/>
        <v>7.5615617000000004</v>
      </c>
      <c r="U23" s="72">
        <f t="shared" si="10"/>
        <v>7.5615620000000003</v>
      </c>
      <c r="V23" s="72">
        <f t="shared" si="10"/>
        <v>7.5615611900000008</v>
      </c>
      <c r="W23" s="72">
        <f t="shared" si="10"/>
        <v>7.5615603900000004</v>
      </c>
      <c r="X23" s="72">
        <f t="shared" si="10"/>
        <v>7.5615595900000008</v>
      </c>
      <c r="Y23" s="72">
        <f t="shared" si="10"/>
        <v>7.5615598900000007</v>
      </c>
      <c r="Z23" s="73">
        <f t="shared" si="10"/>
        <v>7.5615600900000004</v>
      </c>
    </row>
    <row r="24" spans="1:26">
      <c r="A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C25" s="172">
        <v>2023</v>
      </c>
      <c r="D25" s="172">
        <v>2024</v>
      </c>
      <c r="E25" s="172">
        <v>2025</v>
      </c>
      <c r="F25" s="172">
        <v>2026</v>
      </c>
      <c r="G25" s="172">
        <v>2027</v>
      </c>
      <c r="H25" s="172">
        <v>2028</v>
      </c>
      <c r="I25" s="172">
        <v>2029</v>
      </c>
      <c r="J25" s="172">
        <v>2030</v>
      </c>
      <c r="K25" s="172">
        <v>2031</v>
      </c>
      <c r="L25" s="172">
        <v>2032</v>
      </c>
      <c r="M25" s="172">
        <v>2033</v>
      </c>
      <c r="N25" s="172">
        <v>2034</v>
      </c>
      <c r="O25" s="172">
        <v>2035</v>
      </c>
      <c r="P25" s="172">
        <v>2036</v>
      </c>
      <c r="Q25" s="172">
        <v>2037</v>
      </c>
      <c r="R25" s="172">
        <v>2038</v>
      </c>
      <c r="S25" s="172">
        <v>2039</v>
      </c>
      <c r="T25" s="172">
        <v>2040</v>
      </c>
      <c r="U25" s="172">
        <v>2041</v>
      </c>
      <c r="V25" s="172">
        <v>2042</v>
      </c>
      <c r="W25" s="172">
        <v>2043</v>
      </c>
      <c r="X25" s="172">
        <v>2044</v>
      </c>
      <c r="Y25" s="172">
        <v>2045</v>
      </c>
      <c r="Z25" s="172">
        <v>2046</v>
      </c>
    </row>
    <row r="26" spans="1:26">
      <c r="A26" s="133" t="s">
        <v>249</v>
      </c>
      <c r="B26" s="134"/>
      <c r="C26" s="401">
        <f>C2/C$23</f>
        <v>0</v>
      </c>
      <c r="D26" s="401">
        <f t="shared" ref="D26:Z26" si="11">D2/D$23</f>
        <v>0</v>
      </c>
      <c r="E26" s="401">
        <f t="shared" si="11"/>
        <v>0</v>
      </c>
      <c r="F26" s="401">
        <f t="shared" si="11"/>
        <v>0</v>
      </c>
      <c r="G26" s="401">
        <f t="shared" si="11"/>
        <v>0</v>
      </c>
      <c r="H26" s="401">
        <f t="shared" si="11"/>
        <v>0</v>
      </c>
      <c r="I26" s="401">
        <f t="shared" si="11"/>
        <v>0</v>
      </c>
      <c r="J26" s="401">
        <f t="shared" si="11"/>
        <v>0</v>
      </c>
      <c r="K26" s="401">
        <f t="shared" si="11"/>
        <v>0</v>
      </c>
      <c r="L26" s="401">
        <f t="shared" si="11"/>
        <v>0</v>
      </c>
      <c r="M26" s="401">
        <f t="shared" si="11"/>
        <v>0</v>
      </c>
      <c r="N26" s="401">
        <f t="shared" si="11"/>
        <v>0</v>
      </c>
      <c r="O26" s="401">
        <f t="shared" si="11"/>
        <v>0</v>
      </c>
      <c r="P26" s="401">
        <f t="shared" si="11"/>
        <v>0</v>
      </c>
      <c r="Q26" s="401">
        <f t="shared" si="11"/>
        <v>0</v>
      </c>
      <c r="R26" s="401">
        <f t="shared" si="11"/>
        <v>0</v>
      </c>
      <c r="S26" s="401">
        <f t="shared" si="11"/>
        <v>0</v>
      </c>
      <c r="T26" s="401">
        <f t="shared" si="11"/>
        <v>0</v>
      </c>
      <c r="U26" s="401">
        <f t="shared" si="11"/>
        <v>0</v>
      </c>
      <c r="V26" s="401">
        <f t="shared" si="11"/>
        <v>0</v>
      </c>
      <c r="W26" s="401">
        <f t="shared" si="11"/>
        <v>0</v>
      </c>
      <c r="X26" s="401">
        <f t="shared" si="11"/>
        <v>0</v>
      </c>
      <c r="Y26" s="401">
        <f t="shared" si="11"/>
        <v>0</v>
      </c>
      <c r="Z26" s="402">
        <f t="shared" si="11"/>
        <v>0</v>
      </c>
    </row>
    <row r="27" spans="1:26">
      <c r="A27" s="6" t="s">
        <v>251</v>
      </c>
      <c r="C27" s="3">
        <f>C3/C$23</f>
        <v>0</v>
      </c>
      <c r="D27" s="3">
        <f t="shared" ref="D27:Z27" si="12">D3/D$23</f>
        <v>0</v>
      </c>
      <c r="E27" s="3">
        <f t="shared" si="12"/>
        <v>0</v>
      </c>
      <c r="F27" s="3">
        <f t="shared" si="12"/>
        <v>0</v>
      </c>
      <c r="G27" s="3">
        <f t="shared" si="12"/>
        <v>0</v>
      </c>
      <c r="H27" s="3">
        <f t="shared" si="12"/>
        <v>0</v>
      </c>
      <c r="I27" s="3">
        <f t="shared" si="12"/>
        <v>0</v>
      </c>
      <c r="J27" s="3">
        <f t="shared" si="12"/>
        <v>0</v>
      </c>
      <c r="K27" s="3">
        <f t="shared" si="12"/>
        <v>0</v>
      </c>
      <c r="L27" s="3">
        <f t="shared" si="12"/>
        <v>0</v>
      </c>
      <c r="M27" s="3">
        <f t="shared" si="12"/>
        <v>0</v>
      </c>
      <c r="N27" s="3">
        <f t="shared" si="12"/>
        <v>0</v>
      </c>
      <c r="O27" s="3">
        <f t="shared" si="12"/>
        <v>0</v>
      </c>
      <c r="P27" s="3">
        <f t="shared" si="12"/>
        <v>0</v>
      </c>
      <c r="Q27" s="3">
        <f t="shared" si="12"/>
        <v>0</v>
      </c>
      <c r="R27" s="3">
        <f t="shared" si="12"/>
        <v>0</v>
      </c>
      <c r="S27" s="3">
        <f t="shared" si="12"/>
        <v>0</v>
      </c>
      <c r="T27" s="3">
        <f t="shared" si="12"/>
        <v>0</v>
      </c>
      <c r="U27" s="3">
        <f t="shared" si="12"/>
        <v>0</v>
      </c>
      <c r="V27" s="3">
        <f t="shared" si="12"/>
        <v>0</v>
      </c>
      <c r="W27" s="3">
        <f t="shared" si="12"/>
        <v>0</v>
      </c>
      <c r="X27" s="3">
        <f t="shared" si="12"/>
        <v>0</v>
      </c>
      <c r="Y27" s="3">
        <f t="shared" si="12"/>
        <v>0</v>
      </c>
      <c r="Z27" s="403">
        <f t="shared" si="12"/>
        <v>0</v>
      </c>
    </row>
    <row r="28" spans="1:26">
      <c r="A28" s="6" t="s">
        <v>253</v>
      </c>
      <c r="C28" s="3">
        <f>C4/C$23</f>
        <v>0</v>
      </c>
      <c r="D28" s="3">
        <f t="shared" ref="D28:Z28" si="13">D4/D$23</f>
        <v>0</v>
      </c>
      <c r="E28" s="3">
        <f t="shared" si="13"/>
        <v>0</v>
      </c>
      <c r="F28" s="3">
        <f t="shared" si="13"/>
        <v>0</v>
      </c>
      <c r="G28" s="3">
        <f t="shared" si="13"/>
        <v>0</v>
      </c>
      <c r="H28" s="3">
        <f t="shared" si="13"/>
        <v>0</v>
      </c>
      <c r="I28" s="3">
        <f t="shared" si="13"/>
        <v>0</v>
      </c>
      <c r="J28" s="3">
        <f t="shared" si="13"/>
        <v>0</v>
      </c>
      <c r="K28" s="3">
        <f t="shared" si="13"/>
        <v>0</v>
      </c>
      <c r="L28" s="3">
        <f t="shared" si="13"/>
        <v>0</v>
      </c>
      <c r="M28" s="3">
        <f t="shared" si="13"/>
        <v>0</v>
      </c>
      <c r="N28" s="3">
        <f t="shared" si="13"/>
        <v>0</v>
      </c>
      <c r="O28" s="3">
        <f t="shared" si="13"/>
        <v>0</v>
      </c>
      <c r="P28" s="3">
        <f t="shared" si="13"/>
        <v>0</v>
      </c>
      <c r="Q28" s="3">
        <f t="shared" si="13"/>
        <v>0</v>
      </c>
      <c r="R28" s="3">
        <f t="shared" si="13"/>
        <v>0</v>
      </c>
      <c r="S28" s="3">
        <f t="shared" si="13"/>
        <v>0</v>
      </c>
      <c r="T28" s="3">
        <f t="shared" si="13"/>
        <v>0</v>
      </c>
      <c r="U28" s="3">
        <f t="shared" si="13"/>
        <v>0</v>
      </c>
      <c r="V28" s="3">
        <f t="shared" si="13"/>
        <v>0</v>
      </c>
      <c r="W28" s="3">
        <f t="shared" si="13"/>
        <v>0</v>
      </c>
      <c r="X28" s="3">
        <f t="shared" si="13"/>
        <v>0</v>
      </c>
      <c r="Y28" s="3">
        <f t="shared" si="13"/>
        <v>0</v>
      </c>
      <c r="Z28" s="403">
        <f t="shared" si="13"/>
        <v>0</v>
      </c>
    </row>
    <row r="29" spans="1:26">
      <c r="A29" s="6" t="s">
        <v>18819</v>
      </c>
      <c r="C29" s="3">
        <f>(C5+C6)/C$23</f>
        <v>1.445242972760737E-4</v>
      </c>
      <c r="D29" s="3">
        <f t="shared" ref="D29:Z29" si="14">(D5+D6)/D$23</f>
        <v>1.4362149010219334E-4</v>
      </c>
      <c r="E29" s="3">
        <f t="shared" si="14"/>
        <v>1.4277279960436766E-4</v>
      </c>
      <c r="F29" s="3">
        <f t="shared" si="14"/>
        <v>1.4194935559813958E-4</v>
      </c>
      <c r="G29" s="3">
        <f t="shared" si="14"/>
        <v>1.410631507970943E-4</v>
      </c>
      <c r="H29" s="3">
        <f t="shared" si="14"/>
        <v>1.4017458144694605E-4</v>
      </c>
      <c r="I29" s="3">
        <f t="shared" si="14"/>
        <v>1.3936387694219983E-4</v>
      </c>
      <c r="J29" s="3">
        <f t="shared" si="14"/>
        <v>1.3845578676948694E-4</v>
      </c>
      <c r="K29" s="3">
        <f t="shared" si="14"/>
        <v>1.3845570785123569E-4</v>
      </c>
      <c r="L29" s="3">
        <f t="shared" si="14"/>
        <v>1.3845570418913805E-4</v>
      </c>
      <c r="M29" s="3">
        <f t="shared" si="14"/>
        <v>1.3845570052704059E-4</v>
      </c>
      <c r="N29" s="3">
        <f t="shared" si="14"/>
        <v>1.3845569686494336E-4</v>
      </c>
      <c r="O29" s="3">
        <f t="shared" si="14"/>
        <v>1.3845565658188633E-4</v>
      </c>
      <c r="P29" s="3">
        <f t="shared" si="14"/>
        <v>1.3845565072253451E-4</v>
      </c>
      <c r="Q29" s="3">
        <f t="shared" si="14"/>
        <v>1.3845559212904382E-4</v>
      </c>
      <c r="R29" s="3">
        <f t="shared" si="14"/>
        <v>1.3845558846695231E-4</v>
      </c>
      <c r="S29" s="3">
        <f t="shared" si="14"/>
        <v>1.3845554781774944E-4</v>
      </c>
      <c r="T29" s="3">
        <f t="shared" si="14"/>
        <v>1.3845552566211288E-4</v>
      </c>
      <c r="U29" s="3">
        <f t="shared" si="14"/>
        <v>1.3845552016898094E-4</v>
      </c>
      <c r="V29" s="3">
        <f t="shared" si="14"/>
        <v>1.3845553500043816E-4</v>
      </c>
      <c r="W29" s="3">
        <f t="shared" si="14"/>
        <v>1.3845554964879409E-4</v>
      </c>
      <c r="X29" s="3">
        <f t="shared" si="14"/>
        <v>1.3845556429715311E-4</v>
      </c>
      <c r="Y29" s="3">
        <f t="shared" si="14"/>
        <v>1.3845555880401812E-4</v>
      </c>
      <c r="Z29" s="403">
        <f t="shared" si="14"/>
        <v>1.3845555514192836E-4</v>
      </c>
    </row>
    <row r="30" spans="1:26">
      <c r="A30" s="6" t="s">
        <v>256</v>
      </c>
      <c r="C30" s="3">
        <f>C7/C$23</f>
        <v>0</v>
      </c>
      <c r="D30" s="3">
        <f t="shared" ref="D30:Z30" si="15">D7/D$23</f>
        <v>0</v>
      </c>
      <c r="E30" s="3">
        <f t="shared" si="15"/>
        <v>0</v>
      </c>
      <c r="F30" s="3">
        <f t="shared" si="15"/>
        <v>0</v>
      </c>
      <c r="G30" s="3">
        <f t="shared" si="15"/>
        <v>0</v>
      </c>
      <c r="H30" s="3">
        <f t="shared" si="15"/>
        <v>0</v>
      </c>
      <c r="I30" s="3">
        <f t="shared" si="15"/>
        <v>0</v>
      </c>
      <c r="J30" s="3">
        <f t="shared" si="15"/>
        <v>0</v>
      </c>
      <c r="K30" s="3">
        <f t="shared" si="15"/>
        <v>0</v>
      </c>
      <c r="L30" s="3">
        <f t="shared" si="15"/>
        <v>0</v>
      </c>
      <c r="M30" s="3">
        <f t="shared" si="15"/>
        <v>0</v>
      </c>
      <c r="N30" s="3">
        <f t="shared" si="15"/>
        <v>0</v>
      </c>
      <c r="O30" s="3">
        <f t="shared" si="15"/>
        <v>0</v>
      </c>
      <c r="P30" s="3">
        <f t="shared" si="15"/>
        <v>0</v>
      </c>
      <c r="Q30" s="3">
        <f t="shared" si="15"/>
        <v>0</v>
      </c>
      <c r="R30" s="3">
        <f t="shared" si="15"/>
        <v>0</v>
      </c>
      <c r="S30" s="3">
        <f t="shared" si="15"/>
        <v>0</v>
      </c>
      <c r="T30" s="3">
        <f t="shared" si="15"/>
        <v>0</v>
      </c>
      <c r="U30" s="3">
        <f t="shared" si="15"/>
        <v>0</v>
      </c>
      <c r="V30" s="3">
        <f t="shared" si="15"/>
        <v>0</v>
      </c>
      <c r="W30" s="3">
        <f t="shared" si="15"/>
        <v>0</v>
      </c>
      <c r="X30" s="3">
        <f t="shared" si="15"/>
        <v>0</v>
      </c>
      <c r="Y30" s="3">
        <f t="shared" si="15"/>
        <v>0</v>
      </c>
      <c r="Z30" s="403">
        <f t="shared" si="15"/>
        <v>0</v>
      </c>
    </row>
    <row r="31" spans="1:26">
      <c r="A31" s="6" t="s">
        <v>18821</v>
      </c>
      <c r="C31" s="3">
        <f>(C8+C9)/C$23</f>
        <v>1.1347256992848931E-5</v>
      </c>
      <c r="D31" s="3">
        <f t="shared" ref="D31:Z31" si="16">(D8+D9)/D$23</f>
        <v>1.1276373513668686E-5</v>
      </c>
      <c r="E31" s="3">
        <f t="shared" si="16"/>
        <v>1.1209738979768683E-5</v>
      </c>
      <c r="F31" s="3">
        <f t="shared" si="16"/>
        <v>1.1145086662241461E-5</v>
      </c>
      <c r="G31" s="3">
        <f t="shared" si="16"/>
        <v>1.1075506710528925E-5</v>
      </c>
      <c r="H31" s="3">
        <f t="shared" si="16"/>
        <v>1.1005741107359513E-5</v>
      </c>
      <c r="I31" s="3">
        <f t="shared" si="16"/>
        <v>1.0942089025778773E-5</v>
      </c>
      <c r="J31" s="3">
        <f t="shared" si="16"/>
        <v>1.0870790754438486E-5</v>
      </c>
      <c r="K31" s="3">
        <f t="shared" si="16"/>
        <v>1.0870784558209234E-5</v>
      </c>
      <c r="L31" s="3">
        <f t="shared" si="16"/>
        <v>1.0870784270681364E-5</v>
      </c>
      <c r="M31" s="3">
        <f t="shared" si="16"/>
        <v>1.0870783983153513E-5</v>
      </c>
      <c r="N31" s="3">
        <f t="shared" si="16"/>
        <v>1.0870783695625675E-5</v>
      </c>
      <c r="O31" s="3">
        <f t="shared" si="16"/>
        <v>1.0870780532820464E-5</v>
      </c>
      <c r="P31" s="3">
        <f t="shared" si="16"/>
        <v>1.0870780072776223E-5</v>
      </c>
      <c r="Q31" s="3">
        <f t="shared" si="16"/>
        <v>1.0870775472335955E-5</v>
      </c>
      <c r="R31" s="3">
        <f t="shared" si="16"/>
        <v>1.0870775184808567E-5</v>
      </c>
      <c r="S31" s="3">
        <f t="shared" si="16"/>
        <v>1.0870771993255589E-5</v>
      </c>
      <c r="T31" s="3">
        <f t="shared" si="16"/>
        <v>1.087077025371624E-5</v>
      </c>
      <c r="U31" s="3">
        <f t="shared" si="16"/>
        <v>1.0870769822425579E-5</v>
      </c>
      <c r="V31" s="3">
        <f t="shared" si="16"/>
        <v>1.0870770986910442E-5</v>
      </c>
      <c r="W31" s="3">
        <f t="shared" si="16"/>
        <v>1.0870772137019195E-5</v>
      </c>
      <c r="X31" s="3">
        <f t="shared" si="16"/>
        <v>1.0870773287128191E-5</v>
      </c>
      <c r="Y31" s="3">
        <f t="shared" si="16"/>
        <v>1.0870772855837288E-5</v>
      </c>
      <c r="Z31" s="403">
        <f t="shared" si="16"/>
        <v>1.087077256831004E-5</v>
      </c>
    </row>
    <row r="32" spans="1:26">
      <c r="A32" s="6" t="s">
        <v>258</v>
      </c>
      <c r="C32" s="3">
        <f t="shared" ref="C32:R36" si="17">C10/C$23</f>
        <v>0</v>
      </c>
      <c r="D32" s="3">
        <f t="shared" si="17"/>
        <v>0</v>
      </c>
      <c r="E32" s="3">
        <f t="shared" si="17"/>
        <v>0</v>
      </c>
      <c r="F32" s="3">
        <f t="shared" si="17"/>
        <v>0</v>
      </c>
      <c r="G32" s="3">
        <f t="shared" si="17"/>
        <v>0</v>
      </c>
      <c r="H32" s="3">
        <f t="shared" si="17"/>
        <v>0</v>
      </c>
      <c r="I32" s="3">
        <f t="shared" si="17"/>
        <v>0</v>
      </c>
      <c r="J32" s="3">
        <f t="shared" si="17"/>
        <v>0</v>
      </c>
      <c r="K32" s="3">
        <f t="shared" si="17"/>
        <v>0</v>
      </c>
      <c r="L32" s="3">
        <f t="shared" si="17"/>
        <v>0</v>
      </c>
      <c r="M32" s="3">
        <f t="shared" si="17"/>
        <v>0</v>
      </c>
      <c r="N32" s="3">
        <f t="shared" si="17"/>
        <v>0</v>
      </c>
      <c r="O32" s="3">
        <f t="shared" si="17"/>
        <v>0</v>
      </c>
      <c r="P32" s="3">
        <f t="shared" si="17"/>
        <v>0</v>
      </c>
      <c r="Q32" s="3">
        <f t="shared" si="17"/>
        <v>0</v>
      </c>
      <c r="R32" s="3">
        <f t="shared" si="17"/>
        <v>0</v>
      </c>
      <c r="S32" s="3">
        <f t="shared" ref="D32:Z36" si="18">S10/S$23</f>
        <v>0</v>
      </c>
      <c r="T32" s="3">
        <f t="shared" si="18"/>
        <v>0</v>
      </c>
      <c r="U32" s="3">
        <f t="shared" si="18"/>
        <v>0</v>
      </c>
      <c r="V32" s="3">
        <f t="shared" si="18"/>
        <v>0</v>
      </c>
      <c r="W32" s="3">
        <f t="shared" si="18"/>
        <v>0</v>
      </c>
      <c r="X32" s="3">
        <f t="shared" si="18"/>
        <v>0</v>
      </c>
      <c r="Y32" s="3">
        <f t="shared" si="18"/>
        <v>0</v>
      </c>
      <c r="Z32" s="403">
        <f t="shared" si="18"/>
        <v>0</v>
      </c>
    </row>
    <row r="33" spans="1:33">
      <c r="A33" s="6" t="s">
        <v>259</v>
      </c>
      <c r="C33" s="3">
        <f t="shared" si="17"/>
        <v>0</v>
      </c>
      <c r="D33" s="3">
        <f t="shared" si="18"/>
        <v>0</v>
      </c>
      <c r="E33" s="3">
        <f t="shared" si="18"/>
        <v>0</v>
      </c>
      <c r="F33" s="3">
        <f t="shared" si="18"/>
        <v>0</v>
      </c>
      <c r="G33" s="3">
        <f t="shared" si="18"/>
        <v>0</v>
      </c>
      <c r="H33" s="3">
        <f t="shared" si="18"/>
        <v>0</v>
      </c>
      <c r="I33" s="3">
        <f t="shared" si="18"/>
        <v>0</v>
      </c>
      <c r="J33" s="3">
        <f t="shared" si="18"/>
        <v>0</v>
      </c>
      <c r="K33" s="3">
        <f t="shared" si="18"/>
        <v>0</v>
      </c>
      <c r="L33" s="3">
        <f t="shared" si="18"/>
        <v>0</v>
      </c>
      <c r="M33" s="3">
        <f t="shared" si="18"/>
        <v>0</v>
      </c>
      <c r="N33" s="3">
        <f t="shared" si="18"/>
        <v>0</v>
      </c>
      <c r="O33" s="3">
        <f t="shared" si="18"/>
        <v>0</v>
      </c>
      <c r="P33" s="3">
        <f t="shared" si="18"/>
        <v>0</v>
      </c>
      <c r="Q33" s="3">
        <f t="shared" si="18"/>
        <v>0</v>
      </c>
      <c r="R33" s="3">
        <f t="shared" si="18"/>
        <v>0</v>
      </c>
      <c r="S33" s="3">
        <f t="shared" si="18"/>
        <v>0</v>
      </c>
      <c r="T33" s="3">
        <f t="shared" si="18"/>
        <v>0</v>
      </c>
      <c r="U33" s="3">
        <f t="shared" si="18"/>
        <v>0</v>
      </c>
      <c r="V33" s="3">
        <f t="shared" si="18"/>
        <v>0</v>
      </c>
      <c r="W33" s="3">
        <f t="shared" si="18"/>
        <v>0</v>
      </c>
      <c r="X33" s="3">
        <f t="shared" si="18"/>
        <v>0</v>
      </c>
      <c r="Y33" s="3">
        <f t="shared" si="18"/>
        <v>0</v>
      </c>
      <c r="Z33" s="403">
        <f t="shared" si="18"/>
        <v>0</v>
      </c>
    </row>
    <row r="34" spans="1:33">
      <c r="A34" s="6" t="s">
        <v>490</v>
      </c>
      <c r="C34" s="3">
        <f t="shared" si="17"/>
        <v>0</v>
      </c>
      <c r="D34" s="3">
        <f t="shared" si="18"/>
        <v>0</v>
      </c>
      <c r="E34" s="3">
        <f t="shared" si="18"/>
        <v>0</v>
      </c>
      <c r="F34" s="3">
        <f t="shared" si="18"/>
        <v>0</v>
      </c>
      <c r="G34" s="3">
        <f t="shared" si="18"/>
        <v>0</v>
      </c>
      <c r="H34" s="3">
        <f t="shared" si="18"/>
        <v>0</v>
      </c>
      <c r="I34" s="3">
        <f t="shared" si="18"/>
        <v>0</v>
      </c>
      <c r="J34" s="3">
        <f t="shared" si="18"/>
        <v>0</v>
      </c>
      <c r="K34" s="3">
        <f t="shared" si="18"/>
        <v>0</v>
      </c>
      <c r="L34" s="3">
        <f t="shared" si="18"/>
        <v>0</v>
      </c>
      <c r="M34" s="3">
        <f t="shared" si="18"/>
        <v>0</v>
      </c>
      <c r="N34" s="3">
        <f t="shared" si="18"/>
        <v>0</v>
      </c>
      <c r="O34" s="3">
        <f t="shared" si="18"/>
        <v>0</v>
      </c>
      <c r="P34" s="3">
        <f t="shared" si="18"/>
        <v>0</v>
      </c>
      <c r="Q34" s="3">
        <f t="shared" si="18"/>
        <v>0</v>
      </c>
      <c r="R34" s="3">
        <f t="shared" si="18"/>
        <v>0</v>
      </c>
      <c r="S34" s="3">
        <f t="shared" si="18"/>
        <v>0</v>
      </c>
      <c r="T34" s="3">
        <f t="shared" si="18"/>
        <v>0</v>
      </c>
      <c r="U34" s="3">
        <f t="shared" si="18"/>
        <v>0</v>
      </c>
      <c r="V34" s="3">
        <f t="shared" si="18"/>
        <v>0</v>
      </c>
      <c r="W34" s="3">
        <f t="shared" si="18"/>
        <v>0</v>
      </c>
      <c r="X34" s="3">
        <f t="shared" si="18"/>
        <v>0</v>
      </c>
      <c r="Y34" s="3">
        <f t="shared" si="18"/>
        <v>0</v>
      </c>
      <c r="Z34" s="403">
        <f t="shared" si="18"/>
        <v>0</v>
      </c>
    </row>
    <row r="35" spans="1:33">
      <c r="A35" s="6" t="s">
        <v>261</v>
      </c>
      <c r="C35" s="3">
        <f t="shared" si="17"/>
        <v>0</v>
      </c>
      <c r="D35" s="3">
        <f t="shared" si="18"/>
        <v>0</v>
      </c>
      <c r="E35" s="3">
        <f t="shared" si="18"/>
        <v>0</v>
      </c>
      <c r="F35" s="3">
        <f t="shared" si="18"/>
        <v>0</v>
      </c>
      <c r="G35" s="3">
        <f t="shared" si="18"/>
        <v>0</v>
      </c>
      <c r="H35" s="3">
        <f t="shared" si="18"/>
        <v>0</v>
      </c>
      <c r="I35" s="3">
        <f t="shared" si="18"/>
        <v>0</v>
      </c>
      <c r="J35" s="3">
        <f t="shared" si="18"/>
        <v>0</v>
      </c>
      <c r="K35" s="3">
        <f t="shared" si="18"/>
        <v>0</v>
      </c>
      <c r="L35" s="3">
        <f t="shared" si="18"/>
        <v>0</v>
      </c>
      <c r="M35" s="3">
        <f t="shared" si="18"/>
        <v>0</v>
      </c>
      <c r="N35" s="3">
        <f t="shared" si="18"/>
        <v>0</v>
      </c>
      <c r="O35" s="3">
        <f t="shared" si="18"/>
        <v>0</v>
      </c>
      <c r="P35" s="3">
        <f t="shared" si="18"/>
        <v>0</v>
      </c>
      <c r="Q35" s="3">
        <f t="shared" si="18"/>
        <v>0</v>
      </c>
      <c r="R35" s="3">
        <f t="shared" si="18"/>
        <v>0</v>
      </c>
      <c r="S35" s="3">
        <f t="shared" si="18"/>
        <v>0</v>
      </c>
      <c r="T35" s="3">
        <f t="shared" si="18"/>
        <v>0</v>
      </c>
      <c r="U35" s="3">
        <f t="shared" si="18"/>
        <v>0</v>
      </c>
      <c r="V35" s="3">
        <f t="shared" si="18"/>
        <v>0</v>
      </c>
      <c r="W35" s="3">
        <f t="shared" si="18"/>
        <v>0</v>
      </c>
      <c r="X35" s="3">
        <f t="shared" si="18"/>
        <v>0</v>
      </c>
      <c r="Y35" s="3">
        <f t="shared" si="18"/>
        <v>0</v>
      </c>
      <c r="Z35" s="403">
        <f t="shared" si="18"/>
        <v>0</v>
      </c>
    </row>
    <row r="36" spans="1:33">
      <c r="A36" s="6" t="s">
        <v>373</v>
      </c>
      <c r="C36" s="3">
        <f t="shared" si="17"/>
        <v>0</v>
      </c>
      <c r="D36" s="3">
        <f t="shared" si="18"/>
        <v>0</v>
      </c>
      <c r="E36" s="3">
        <f t="shared" si="18"/>
        <v>0</v>
      </c>
      <c r="F36" s="3">
        <f t="shared" si="18"/>
        <v>0</v>
      </c>
      <c r="G36" s="3">
        <f t="shared" si="18"/>
        <v>0</v>
      </c>
      <c r="H36" s="3">
        <f t="shared" si="18"/>
        <v>0</v>
      </c>
      <c r="I36" s="3">
        <f t="shared" si="18"/>
        <v>0</v>
      </c>
      <c r="J36" s="3">
        <f t="shared" si="18"/>
        <v>0</v>
      </c>
      <c r="K36" s="3">
        <f t="shared" si="18"/>
        <v>0</v>
      </c>
      <c r="L36" s="3">
        <f t="shared" si="18"/>
        <v>0</v>
      </c>
      <c r="M36" s="3">
        <f t="shared" si="18"/>
        <v>0</v>
      </c>
      <c r="N36" s="3">
        <f t="shared" si="18"/>
        <v>0</v>
      </c>
      <c r="O36" s="3">
        <f t="shared" si="18"/>
        <v>0</v>
      </c>
      <c r="P36" s="3">
        <f t="shared" si="18"/>
        <v>0</v>
      </c>
      <c r="Q36" s="3">
        <f t="shared" si="18"/>
        <v>0</v>
      </c>
      <c r="R36" s="3">
        <f t="shared" si="18"/>
        <v>0</v>
      </c>
      <c r="S36" s="3">
        <f t="shared" si="18"/>
        <v>0</v>
      </c>
      <c r="T36" s="3">
        <f t="shared" si="18"/>
        <v>0</v>
      </c>
      <c r="U36" s="3">
        <f t="shared" si="18"/>
        <v>0</v>
      </c>
      <c r="V36" s="3">
        <f t="shared" si="18"/>
        <v>0</v>
      </c>
      <c r="W36" s="3">
        <f t="shared" si="18"/>
        <v>0</v>
      </c>
      <c r="X36" s="3">
        <f t="shared" si="18"/>
        <v>0</v>
      </c>
      <c r="Y36" s="3">
        <f t="shared" si="18"/>
        <v>0</v>
      </c>
      <c r="Z36" s="403">
        <f t="shared" si="18"/>
        <v>0</v>
      </c>
    </row>
    <row r="37" spans="1:33">
      <c r="A37" s="6" t="s">
        <v>18823</v>
      </c>
      <c r="C37" s="3">
        <f>(C15+C16)/C$23</f>
        <v>0.61215425265132906</v>
      </c>
      <c r="D37" s="3">
        <f t="shared" ref="D37:Z37" si="19">(D15+D16)/D$23</f>
        <v>0.61457684979009786</v>
      </c>
      <c r="E37" s="3">
        <f t="shared" si="19"/>
        <v>0.61685422139616597</v>
      </c>
      <c r="F37" s="3">
        <f t="shared" si="19"/>
        <v>0.61906343536021102</v>
      </c>
      <c r="G37" s="3">
        <f t="shared" si="19"/>
        <v>0.62144148735766003</v>
      </c>
      <c r="H37" s="3">
        <f t="shared" si="19"/>
        <v>0.62382575185830835</v>
      </c>
      <c r="I37" s="3">
        <f t="shared" si="19"/>
        <v>0.62600134191543466</v>
      </c>
      <c r="J37" s="3">
        <f t="shared" si="19"/>
        <v>0.62843827770787597</v>
      </c>
      <c r="K37" s="3">
        <f t="shared" si="19"/>
        <v>0.62843791950508043</v>
      </c>
      <c r="L37" s="3">
        <f t="shared" si="19"/>
        <v>0.62843790288315082</v>
      </c>
      <c r="M37" s="3">
        <f t="shared" si="19"/>
        <v>0.6284378862612221</v>
      </c>
      <c r="N37" s="3">
        <f t="shared" si="19"/>
        <v>0.62843786963929438</v>
      </c>
      <c r="O37" s="3">
        <f t="shared" si="19"/>
        <v>0.62843768679814649</v>
      </c>
      <c r="P37" s="3">
        <f t="shared" si="19"/>
        <v>0.62843766020307934</v>
      </c>
      <c r="Q37" s="3">
        <f t="shared" si="19"/>
        <v>0.62843739425253131</v>
      </c>
      <c r="R37" s="3">
        <f t="shared" si="19"/>
        <v>0.62843737763062946</v>
      </c>
      <c r="S37" s="3">
        <f t="shared" si="19"/>
        <v>0.62843719312757884</v>
      </c>
      <c r="T37" s="3">
        <f t="shared" si="19"/>
        <v>0.62843709256515079</v>
      </c>
      <c r="U37" s="3">
        <f t="shared" si="19"/>
        <v>0.62843706763232243</v>
      </c>
      <c r="V37" s="3">
        <f t="shared" si="19"/>
        <v>0.62843713495096365</v>
      </c>
      <c r="W37" s="3">
        <f t="shared" si="19"/>
        <v>0.62843720143852466</v>
      </c>
      <c r="X37" s="3">
        <f t="shared" si="19"/>
        <v>0.62843726792609977</v>
      </c>
      <c r="Y37" s="3">
        <f t="shared" si="19"/>
        <v>0.62843724299325743</v>
      </c>
      <c r="Z37" s="403">
        <f t="shared" si="19"/>
        <v>0.62843722637136368</v>
      </c>
    </row>
    <row r="38" spans="1:33">
      <c r="A38" s="6" t="s">
        <v>18825</v>
      </c>
      <c r="C38" s="3">
        <f>(C17+C18)/C$23</f>
        <v>1.1470051707117164E-2</v>
      </c>
      <c r="D38" s="3">
        <f t="shared" ref="D38:Z38" si="20">(D17+D18)/D$23</f>
        <v>1.1398401160038681E-2</v>
      </c>
      <c r="E38" s="3">
        <f t="shared" si="20"/>
        <v>1.1331045538341354E-2</v>
      </c>
      <c r="F38" s="3">
        <f t="shared" si="20"/>
        <v>1.1265693583636395E-2</v>
      </c>
      <c r="G38" s="3">
        <f t="shared" si="20"/>
        <v>1.1195360670190927E-2</v>
      </c>
      <c r="H38" s="3">
        <f t="shared" si="20"/>
        <v>1.1124840096255247E-2</v>
      </c>
      <c r="I38" s="3">
        <f t="shared" si="20"/>
        <v>1.106049920158292E-2</v>
      </c>
      <c r="J38" s="3">
        <f t="shared" si="20"/>
        <v>1.098842937365741E-2</v>
      </c>
      <c r="K38" s="3">
        <f t="shared" si="20"/>
        <v>1.0988423110375459E-2</v>
      </c>
      <c r="L38" s="3">
        <f t="shared" si="20"/>
        <v>1.0988422819736098E-2</v>
      </c>
      <c r="M38" s="3">
        <f t="shared" si="20"/>
        <v>1.0988422529096754E-2</v>
      </c>
      <c r="N38" s="3">
        <f t="shared" si="20"/>
        <v>1.0988422238457425E-2</v>
      </c>
      <c r="O38" s="3">
        <f t="shared" si="20"/>
        <v>1.0988419041425813E-2</v>
      </c>
      <c r="P38" s="3">
        <f t="shared" si="20"/>
        <v>1.0988418576403187E-2</v>
      </c>
      <c r="Q38" s="3">
        <f t="shared" si="20"/>
        <v>1.0988413926179105E-2</v>
      </c>
      <c r="R38" s="3">
        <f t="shared" si="20"/>
        <v>1.0988413635540229E-2</v>
      </c>
      <c r="S38" s="3">
        <f t="shared" si="20"/>
        <v>1.0988410409449756E-2</v>
      </c>
      <c r="T38" s="3">
        <f t="shared" si="20"/>
        <v>1.0988408651085925E-2</v>
      </c>
      <c r="U38" s="3">
        <f t="shared" si="20"/>
        <v>1.0988408215128037E-2</v>
      </c>
      <c r="V38" s="3">
        <f t="shared" si="20"/>
        <v>1.0988409392214411E-2</v>
      </c>
      <c r="W38" s="3">
        <f t="shared" si="20"/>
        <v>1.0988410554769104E-2</v>
      </c>
      <c r="X38" s="3">
        <f t="shared" si="20"/>
        <v>1.0988411717324042E-2</v>
      </c>
      <c r="Y38" s="3">
        <f t="shared" si="20"/>
        <v>1.0988411281365911E-2</v>
      </c>
      <c r="Z38" s="403">
        <f t="shared" si="20"/>
        <v>1.0988410990727178E-2</v>
      </c>
    </row>
    <row r="39" spans="1:33">
      <c r="A39" s="6" t="s">
        <v>18827</v>
      </c>
      <c r="C39" s="3">
        <f>(C19+C20)/C$23</f>
        <v>1.3864912382576167E-2</v>
      </c>
      <c r="D39" s="3">
        <f t="shared" ref="D39:Z39" si="21">(D19+D20)/D$23</f>
        <v>1.3778301739243983E-2</v>
      </c>
      <c r="E39" s="3">
        <f t="shared" si="21"/>
        <v>1.3696882769464805E-2</v>
      </c>
      <c r="F39" s="3">
        <f t="shared" si="21"/>
        <v>1.3617885817301801E-2</v>
      </c>
      <c r="G39" s="3">
        <f t="shared" si="21"/>
        <v>1.3532867919611972E-2</v>
      </c>
      <c r="H39" s="3">
        <f t="shared" si="21"/>
        <v>1.3447623179330593E-2</v>
      </c>
      <c r="I39" s="3">
        <f t="shared" si="21"/>
        <v>1.3369848388943655E-2</v>
      </c>
      <c r="J39" s="3">
        <f t="shared" si="21"/>
        <v>1.3282730922071686E-2</v>
      </c>
      <c r="K39" s="3">
        <f t="shared" si="21"/>
        <v>1.3282723351063492E-2</v>
      </c>
      <c r="L39" s="3">
        <f t="shared" si="21"/>
        <v>1.3282722999740815E-2</v>
      </c>
      <c r="M39" s="3">
        <f t="shared" si="21"/>
        <v>1.3282722648418158E-2</v>
      </c>
      <c r="N39" s="3">
        <f t="shared" si="21"/>
        <v>1.3282722297095519E-2</v>
      </c>
      <c r="O39" s="3">
        <f t="shared" si="21"/>
        <v>1.3282718432547712E-2</v>
      </c>
      <c r="P39" s="3">
        <f t="shared" si="21"/>
        <v>1.3282717870431853E-2</v>
      </c>
      <c r="Q39" s="3">
        <f t="shared" si="21"/>
        <v>1.3282712249275897E-2</v>
      </c>
      <c r="R39" s="3">
        <f t="shared" si="21"/>
        <v>1.3282711897953806E-2</v>
      </c>
      <c r="S39" s="3">
        <f t="shared" si="21"/>
        <v>1.3282707998279865E-2</v>
      </c>
      <c r="T39" s="3">
        <f t="shared" si="21"/>
        <v>1.3282705872782867E-2</v>
      </c>
      <c r="U39" s="3">
        <f t="shared" si="21"/>
        <v>1.3282705345800247E-2</v>
      </c>
      <c r="V39" s="3">
        <f t="shared" si="21"/>
        <v>1.3282706768653419E-2</v>
      </c>
      <c r="W39" s="3">
        <f t="shared" si="21"/>
        <v>1.3282708173940803E-2</v>
      </c>
      <c r="X39" s="3">
        <f t="shared" si="21"/>
        <v>1.3282709579228483E-2</v>
      </c>
      <c r="Y39" s="3">
        <f t="shared" si="21"/>
        <v>1.3282709052245569E-2</v>
      </c>
      <c r="Z39" s="403">
        <f t="shared" si="21"/>
        <v>1.3282708700923648E-2</v>
      </c>
    </row>
    <row r="40" spans="1:33">
      <c r="A40" s="6" t="s">
        <v>18829</v>
      </c>
      <c r="C40" s="3">
        <f>(C21+C22)/C$23</f>
        <v>0.36235491170470868</v>
      </c>
      <c r="D40" s="3">
        <f t="shared" ref="D40:Z40" si="22">(D21+D22)/D$23</f>
        <v>0.36009154944700356</v>
      </c>
      <c r="E40" s="3">
        <f t="shared" si="22"/>
        <v>0.35796386775744371</v>
      </c>
      <c r="F40" s="3">
        <f t="shared" si="22"/>
        <v>0.35589989079659023</v>
      </c>
      <c r="G40" s="3">
        <f t="shared" si="22"/>
        <v>0.35367814539502934</v>
      </c>
      <c r="H40" s="3">
        <f t="shared" si="22"/>
        <v>0.35145060454355148</v>
      </c>
      <c r="I40" s="3">
        <f t="shared" si="22"/>
        <v>0.34941800452807076</v>
      </c>
      <c r="J40" s="3">
        <f t="shared" si="22"/>
        <v>0.34714123541887082</v>
      </c>
      <c r="K40" s="3">
        <f t="shared" si="22"/>
        <v>0.34714160754107115</v>
      </c>
      <c r="L40" s="3">
        <f t="shared" si="22"/>
        <v>0.34714162480891236</v>
      </c>
      <c r="M40" s="3">
        <f t="shared" si="22"/>
        <v>0.34714164207675269</v>
      </c>
      <c r="N40" s="3">
        <f t="shared" si="22"/>
        <v>0.34714165934459212</v>
      </c>
      <c r="O40" s="3">
        <f t="shared" si="22"/>
        <v>0.34714184929076519</v>
      </c>
      <c r="P40" s="3">
        <f t="shared" si="22"/>
        <v>0.34714187691929027</v>
      </c>
      <c r="Q40" s="3">
        <f t="shared" si="22"/>
        <v>0.34714215320441227</v>
      </c>
      <c r="R40" s="3">
        <f t="shared" si="22"/>
        <v>0.34714217047222462</v>
      </c>
      <c r="S40" s="3">
        <f t="shared" si="22"/>
        <v>0.34714236214488048</v>
      </c>
      <c r="T40" s="3">
        <f t="shared" si="22"/>
        <v>0.34714246661506443</v>
      </c>
      <c r="U40" s="3">
        <f t="shared" si="22"/>
        <v>0.34714249251675777</v>
      </c>
      <c r="V40" s="3">
        <f t="shared" si="22"/>
        <v>0.34714242258218103</v>
      </c>
      <c r="W40" s="3">
        <f t="shared" si="22"/>
        <v>0.3471423535109795</v>
      </c>
      <c r="X40" s="3">
        <f t="shared" si="22"/>
        <v>0.3471422844397633</v>
      </c>
      <c r="Y40" s="3">
        <f t="shared" si="22"/>
        <v>0.34714231034147108</v>
      </c>
      <c r="Z40" s="403">
        <f t="shared" si="22"/>
        <v>0.34714232760927516</v>
      </c>
    </row>
    <row r="41" spans="1:33">
      <c r="A41" s="404" t="s">
        <v>495</v>
      </c>
      <c r="B41" s="71"/>
      <c r="C41" s="405">
        <f>SUM(C26:C40)</f>
        <v>0.99999999999999989</v>
      </c>
      <c r="D41" s="405">
        <f t="shared" ref="D41:Z41" si="23">SUM(D26:D40)</f>
        <v>1</v>
      </c>
      <c r="E41" s="405">
        <f t="shared" si="23"/>
        <v>0.99999999999999989</v>
      </c>
      <c r="F41" s="405">
        <f t="shared" si="23"/>
        <v>0.99999999999999989</v>
      </c>
      <c r="G41" s="405">
        <f t="shared" si="23"/>
        <v>0.99999999999999978</v>
      </c>
      <c r="H41" s="405">
        <f t="shared" si="23"/>
        <v>1</v>
      </c>
      <c r="I41" s="405">
        <f t="shared" si="23"/>
        <v>1</v>
      </c>
      <c r="J41" s="405">
        <f t="shared" si="23"/>
        <v>0.99999999999999978</v>
      </c>
      <c r="K41" s="405">
        <f t="shared" si="23"/>
        <v>1</v>
      </c>
      <c r="L41" s="405">
        <f t="shared" si="23"/>
        <v>0.99999999999999978</v>
      </c>
      <c r="M41" s="405">
        <f t="shared" si="23"/>
        <v>0.99999999999999978</v>
      </c>
      <c r="N41" s="405">
        <f t="shared" si="23"/>
        <v>1</v>
      </c>
      <c r="O41" s="405">
        <f t="shared" si="23"/>
        <v>0.99999999999999989</v>
      </c>
      <c r="P41" s="405">
        <f t="shared" si="23"/>
        <v>1</v>
      </c>
      <c r="Q41" s="405">
        <f t="shared" si="23"/>
        <v>1</v>
      </c>
      <c r="R41" s="405">
        <f t="shared" si="23"/>
        <v>0.99999999999999989</v>
      </c>
      <c r="S41" s="405">
        <f t="shared" si="23"/>
        <v>1</v>
      </c>
      <c r="T41" s="405">
        <f t="shared" si="23"/>
        <v>0.99999999999999989</v>
      </c>
      <c r="U41" s="405">
        <f t="shared" si="23"/>
        <v>0.99999999999999989</v>
      </c>
      <c r="V41" s="405">
        <f t="shared" si="23"/>
        <v>0.99999999999999978</v>
      </c>
      <c r="W41" s="405">
        <f t="shared" si="23"/>
        <v>0.99999999999999978</v>
      </c>
      <c r="X41" s="405">
        <f t="shared" si="23"/>
        <v>0.99999999999999978</v>
      </c>
      <c r="Y41" s="405">
        <f t="shared" si="23"/>
        <v>1</v>
      </c>
      <c r="Z41" s="406">
        <f t="shared" si="23"/>
        <v>1</v>
      </c>
    </row>
    <row r="44" spans="1:33">
      <c r="A44" t="s">
        <v>18832</v>
      </c>
    </row>
    <row r="45" spans="1:33">
      <c r="A45" s="240" t="s">
        <v>569</v>
      </c>
      <c r="B45" s="240" t="s">
        <v>570</v>
      </c>
      <c r="C45" s="240" t="s">
        <v>571</v>
      </c>
      <c r="D45" s="240" t="s">
        <v>572</v>
      </c>
      <c r="E45" s="240" t="s">
        <v>573</v>
      </c>
      <c r="F45" s="240" t="s">
        <v>574</v>
      </c>
      <c r="G45" s="240" t="s">
        <v>575</v>
      </c>
      <c r="H45" s="240" t="s">
        <v>576</v>
      </c>
      <c r="I45" s="240" t="s">
        <v>577</v>
      </c>
      <c r="J45" s="240">
        <v>2023</v>
      </c>
      <c r="K45" s="240">
        <v>2024</v>
      </c>
      <c r="L45" s="240">
        <v>2025</v>
      </c>
      <c r="M45" s="240">
        <v>2026</v>
      </c>
      <c r="N45" s="240">
        <v>2027</v>
      </c>
      <c r="O45" s="240">
        <v>2028</v>
      </c>
      <c r="P45" s="240">
        <v>2029</v>
      </c>
      <c r="Q45" s="240">
        <v>2030</v>
      </c>
      <c r="R45" s="240">
        <v>2031</v>
      </c>
      <c r="S45" s="240">
        <v>2032</v>
      </c>
      <c r="T45" s="240">
        <v>2033</v>
      </c>
      <c r="U45" s="240">
        <v>2034</v>
      </c>
      <c r="V45" s="240">
        <v>2035</v>
      </c>
      <c r="W45" s="240">
        <v>2036</v>
      </c>
      <c r="X45" s="240">
        <v>2037</v>
      </c>
      <c r="Y45" s="240">
        <v>2038</v>
      </c>
      <c r="Z45" s="240">
        <v>2039</v>
      </c>
      <c r="AA45" s="240">
        <v>2040</v>
      </c>
      <c r="AB45" s="240">
        <v>2041</v>
      </c>
      <c r="AC45" s="240">
        <v>2042</v>
      </c>
      <c r="AD45" s="240">
        <v>2043</v>
      </c>
      <c r="AE45" s="240">
        <v>2044</v>
      </c>
      <c r="AF45" s="240">
        <v>2045</v>
      </c>
      <c r="AG45" s="240">
        <v>2046</v>
      </c>
    </row>
    <row r="46" spans="1:33">
      <c r="A46" s="113" t="s">
        <v>18727</v>
      </c>
      <c r="B46" s="113" t="s">
        <v>2270</v>
      </c>
      <c r="C46" s="113" t="s">
        <v>710</v>
      </c>
      <c r="D46" s="113" t="s">
        <v>596</v>
      </c>
      <c r="E46" s="113" t="s">
        <v>597</v>
      </c>
      <c r="F46" s="113" t="s">
        <v>598</v>
      </c>
      <c r="G46" s="113" t="s">
        <v>599</v>
      </c>
      <c r="H46" s="113" t="s">
        <v>2266</v>
      </c>
      <c r="I46" s="113" t="s">
        <v>2267</v>
      </c>
      <c r="J46" s="113">
        <v>0</v>
      </c>
      <c r="K46" s="113">
        <v>0</v>
      </c>
      <c r="L46" s="113">
        <v>0</v>
      </c>
      <c r="M46" s="113">
        <v>0</v>
      </c>
      <c r="N46" s="113">
        <v>0</v>
      </c>
      <c r="O46" s="113">
        <v>0</v>
      </c>
      <c r="P46" s="113">
        <v>0</v>
      </c>
      <c r="Q46" s="113">
        <v>0</v>
      </c>
      <c r="R46" s="113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v>0</v>
      </c>
      <c r="Z46" s="113">
        <v>0</v>
      </c>
      <c r="AA46" s="113">
        <v>0</v>
      </c>
      <c r="AB46" s="113">
        <v>0</v>
      </c>
      <c r="AC46" s="113">
        <v>0</v>
      </c>
      <c r="AD46" s="113">
        <v>0</v>
      </c>
      <c r="AE46" s="113">
        <v>0</v>
      </c>
      <c r="AF46" s="113">
        <v>0</v>
      </c>
      <c r="AG46" s="113">
        <v>0</v>
      </c>
    </row>
    <row r="47" spans="1:33">
      <c r="A47" s="113" t="s">
        <v>18727</v>
      </c>
      <c r="B47" s="113" t="s">
        <v>18691</v>
      </c>
      <c r="C47" s="113" t="s">
        <v>710</v>
      </c>
      <c r="D47" s="113" t="s">
        <v>596</v>
      </c>
      <c r="E47" s="113" t="s">
        <v>603</v>
      </c>
      <c r="F47" s="113" t="s">
        <v>598</v>
      </c>
      <c r="G47" s="113" t="s">
        <v>599</v>
      </c>
      <c r="H47" s="113" t="s">
        <v>2266</v>
      </c>
      <c r="I47" s="113" t="s">
        <v>2267</v>
      </c>
      <c r="J47" s="113">
        <v>0</v>
      </c>
      <c r="K47" s="113">
        <v>0</v>
      </c>
      <c r="L47" s="113">
        <v>0</v>
      </c>
      <c r="M47" s="113">
        <v>0</v>
      </c>
      <c r="N47" s="113">
        <v>0</v>
      </c>
      <c r="O47" s="113">
        <v>0</v>
      </c>
      <c r="P47" s="113">
        <v>0</v>
      </c>
      <c r="Q47" s="113">
        <v>0</v>
      </c>
      <c r="R47" s="113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v>0</v>
      </c>
      <c r="Z47" s="113">
        <v>0</v>
      </c>
      <c r="AA47" s="113">
        <v>0</v>
      </c>
      <c r="AB47" s="113">
        <v>0</v>
      </c>
      <c r="AC47" s="113">
        <v>0</v>
      </c>
      <c r="AD47" s="113">
        <v>0</v>
      </c>
      <c r="AE47" s="113">
        <v>0</v>
      </c>
      <c r="AF47" s="113">
        <v>0</v>
      </c>
      <c r="AG47" s="113">
        <v>0</v>
      </c>
    </row>
    <row r="48" spans="1:33">
      <c r="A48" s="113" t="s">
        <v>18727</v>
      </c>
      <c r="B48" s="113" t="s">
        <v>2271</v>
      </c>
      <c r="C48" s="113" t="s">
        <v>710</v>
      </c>
      <c r="D48" s="113" t="s">
        <v>596</v>
      </c>
      <c r="E48" s="113" t="s">
        <v>605</v>
      </c>
      <c r="F48" s="113" t="s">
        <v>598</v>
      </c>
      <c r="G48" s="113" t="s">
        <v>599</v>
      </c>
      <c r="H48" s="113" t="s">
        <v>2266</v>
      </c>
      <c r="I48" s="113" t="s">
        <v>2267</v>
      </c>
      <c r="J48" s="113">
        <v>0.26583600000000002</v>
      </c>
      <c r="K48" s="113">
        <v>0.26583600000000002</v>
      </c>
      <c r="L48" s="113">
        <v>0.26583600000000002</v>
      </c>
      <c r="M48" s="113">
        <v>0.26583600000000002</v>
      </c>
      <c r="N48" s="113">
        <v>0.26583600000000002</v>
      </c>
      <c r="O48" s="113">
        <v>0.26583600000000002</v>
      </c>
      <c r="P48" s="113">
        <v>0.26583600000000002</v>
      </c>
      <c r="Q48" s="113">
        <v>0.26583600000000002</v>
      </c>
      <c r="R48" s="113">
        <v>0.26583600000000002</v>
      </c>
      <c r="S48" s="113">
        <v>0.26583600000000002</v>
      </c>
      <c r="T48" s="113">
        <v>0.26583600000000002</v>
      </c>
      <c r="U48" s="113">
        <v>0.26583600000000002</v>
      </c>
      <c r="V48" s="113">
        <v>0.26583600000000002</v>
      </c>
      <c r="W48" s="113">
        <v>0.26583600000000002</v>
      </c>
      <c r="X48" s="113">
        <v>0.26583600000000002</v>
      </c>
      <c r="Y48" s="113">
        <v>0.26583600000000002</v>
      </c>
      <c r="Z48" s="113">
        <v>0.26583600000000002</v>
      </c>
      <c r="AA48" s="113">
        <v>0.26583600000000002</v>
      </c>
      <c r="AB48" s="113">
        <v>0.26583600000000002</v>
      </c>
      <c r="AC48" s="113">
        <v>0.26583600000000002</v>
      </c>
      <c r="AD48" s="113">
        <v>0.26583600000000002</v>
      </c>
      <c r="AE48" s="113">
        <v>0.26583600000000002</v>
      </c>
      <c r="AF48" s="113">
        <v>0.26583600000000002</v>
      </c>
      <c r="AG48" s="113">
        <v>0.26583600000000002</v>
      </c>
    </row>
    <row r="49" spans="1:33">
      <c r="A49" s="113" t="s">
        <v>18727</v>
      </c>
      <c r="B49" s="113" t="s">
        <v>2275</v>
      </c>
      <c r="C49" s="113" t="s">
        <v>710</v>
      </c>
      <c r="D49" s="113" t="s">
        <v>671</v>
      </c>
      <c r="E49" s="113" t="s">
        <v>672</v>
      </c>
      <c r="F49" s="113" t="s">
        <v>598</v>
      </c>
      <c r="G49" s="113" t="s">
        <v>599</v>
      </c>
      <c r="H49" s="113" t="s">
        <v>2266</v>
      </c>
      <c r="I49" s="113" t="s">
        <v>2267</v>
      </c>
      <c r="J49" s="113">
        <v>0</v>
      </c>
      <c r="K49" s="113">
        <v>0</v>
      </c>
      <c r="L49" s="113">
        <v>0</v>
      </c>
      <c r="M49" s="113">
        <v>0</v>
      </c>
      <c r="N49" s="113">
        <v>0</v>
      </c>
      <c r="O49" s="113">
        <v>0</v>
      </c>
      <c r="P49" s="113">
        <v>0</v>
      </c>
      <c r="Q49" s="113">
        <v>0</v>
      </c>
      <c r="R49" s="113"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v>0</v>
      </c>
      <c r="Z49" s="113">
        <v>0</v>
      </c>
      <c r="AA49" s="113">
        <v>0</v>
      </c>
      <c r="AB49" s="113">
        <v>0</v>
      </c>
      <c r="AC49" s="113">
        <v>0</v>
      </c>
      <c r="AD49" s="113">
        <v>0</v>
      </c>
      <c r="AE49" s="113">
        <v>0</v>
      </c>
      <c r="AF49" s="113">
        <v>0</v>
      </c>
      <c r="AG49" s="113">
        <v>0</v>
      </c>
    </row>
    <row r="50" spans="1:33">
      <c r="A50" s="113" t="s">
        <v>18727</v>
      </c>
      <c r="B50" s="113" t="s">
        <v>2276</v>
      </c>
      <c r="C50" s="113" t="s">
        <v>710</v>
      </c>
      <c r="D50" s="113" t="s">
        <v>671</v>
      </c>
      <c r="E50" s="113" t="s">
        <v>597</v>
      </c>
      <c r="F50" s="113" t="s">
        <v>598</v>
      </c>
      <c r="G50" s="113" t="s">
        <v>599</v>
      </c>
      <c r="H50" s="113" t="s">
        <v>2266</v>
      </c>
      <c r="I50" s="113" t="s">
        <v>2267</v>
      </c>
      <c r="J50" s="234">
        <v>8.4E-7</v>
      </c>
      <c r="K50" s="234">
        <v>8.4E-7</v>
      </c>
      <c r="L50" s="234">
        <v>8.4E-7</v>
      </c>
      <c r="M50" s="234">
        <v>8.4E-7</v>
      </c>
      <c r="N50" s="234">
        <v>8.4E-7</v>
      </c>
      <c r="O50" s="234">
        <v>8.4E-7</v>
      </c>
      <c r="P50" s="234">
        <v>8.4E-7</v>
      </c>
      <c r="Q50" s="234">
        <v>8.4E-7</v>
      </c>
      <c r="R50" s="234">
        <v>8.4E-7</v>
      </c>
      <c r="S50" s="234">
        <v>8.4E-7</v>
      </c>
      <c r="T50" s="234">
        <v>8.4E-7</v>
      </c>
      <c r="U50" s="234">
        <v>8.4E-7</v>
      </c>
      <c r="V50" s="234">
        <v>8.4E-7</v>
      </c>
      <c r="W50" s="234">
        <v>8.4E-7</v>
      </c>
      <c r="X50" s="234">
        <v>8.4E-7</v>
      </c>
      <c r="Y50" s="234">
        <v>8.4E-7</v>
      </c>
      <c r="Z50" s="234">
        <v>8.5000000000000001E-7</v>
      </c>
      <c r="AA50" s="234">
        <v>8.5000000000000001E-7</v>
      </c>
      <c r="AB50" s="234">
        <v>8.5000000000000001E-7</v>
      </c>
      <c r="AC50" s="234">
        <v>8.5000000000000001E-7</v>
      </c>
      <c r="AD50" s="234">
        <v>8.5000000000000001E-7</v>
      </c>
      <c r="AE50" s="234">
        <v>8.5000000000000001E-7</v>
      </c>
      <c r="AF50" s="234">
        <v>8.5000000000000001E-7</v>
      </c>
      <c r="AG50" s="234">
        <v>8.5000000000000001E-7</v>
      </c>
    </row>
    <row r="51" spans="1:33">
      <c r="A51" s="113" t="s">
        <v>18727</v>
      </c>
      <c r="B51" s="113" t="s">
        <v>2277</v>
      </c>
      <c r="C51" s="113" t="s">
        <v>710</v>
      </c>
      <c r="D51" s="113" t="s">
        <v>671</v>
      </c>
      <c r="E51" s="113" t="s">
        <v>605</v>
      </c>
      <c r="F51" s="113" t="s">
        <v>598</v>
      </c>
      <c r="G51" s="113" t="s">
        <v>599</v>
      </c>
      <c r="H51" s="113" t="s">
        <v>2266</v>
      </c>
      <c r="I51" s="113" t="s">
        <v>2267</v>
      </c>
      <c r="J51" s="113">
        <v>0.94249700000000003</v>
      </c>
      <c r="K51" s="113">
        <v>0.94249700000000003</v>
      </c>
      <c r="L51" s="113">
        <v>0.94249700000000003</v>
      </c>
      <c r="M51" s="113">
        <v>0.94249700000000003</v>
      </c>
      <c r="N51" s="113">
        <v>0.94249700000000003</v>
      </c>
      <c r="O51" s="113">
        <v>0.94249700000000003</v>
      </c>
      <c r="P51" s="113">
        <v>0.94249700000000003</v>
      </c>
      <c r="Q51" s="113">
        <v>0.94249700000000003</v>
      </c>
      <c r="R51" s="113">
        <v>0.94249700000000003</v>
      </c>
      <c r="S51" s="113">
        <v>0.94249700000000003</v>
      </c>
      <c r="T51" s="113">
        <v>0.94249700000000003</v>
      </c>
      <c r="U51" s="113">
        <v>0.94249700000000003</v>
      </c>
      <c r="V51" s="113">
        <v>0.94249700000000003</v>
      </c>
      <c r="W51" s="113">
        <v>0.94249700000000003</v>
      </c>
      <c r="X51" s="113">
        <v>0.94249700000000003</v>
      </c>
      <c r="Y51" s="113">
        <v>0.94249700000000003</v>
      </c>
      <c r="Z51" s="113">
        <v>0.94249700000000003</v>
      </c>
      <c r="AA51" s="113">
        <v>0.94249700000000003</v>
      </c>
      <c r="AB51" s="113">
        <v>0.94249700000000003</v>
      </c>
      <c r="AC51" s="113">
        <v>0.94249700000000003</v>
      </c>
      <c r="AD51" s="113">
        <v>0.94249700000000003</v>
      </c>
      <c r="AE51" s="113">
        <v>0.94249700000000003</v>
      </c>
      <c r="AF51" s="113">
        <v>0.94249700000000003</v>
      </c>
      <c r="AG51" s="113">
        <v>0.94249700000000003</v>
      </c>
    </row>
    <row r="52" spans="1:33">
      <c r="A52" s="113" t="s">
        <v>18727</v>
      </c>
      <c r="B52" s="113" t="s">
        <v>2278</v>
      </c>
      <c r="C52" s="113" t="s">
        <v>710</v>
      </c>
      <c r="D52" s="113" t="s">
        <v>671</v>
      </c>
      <c r="E52" s="113" t="s">
        <v>688</v>
      </c>
      <c r="F52" s="113" t="s">
        <v>598</v>
      </c>
      <c r="G52" s="113" t="s">
        <v>599</v>
      </c>
      <c r="H52" s="113" t="s">
        <v>2266</v>
      </c>
      <c r="I52" s="113" t="s">
        <v>2267</v>
      </c>
      <c r="J52" s="113">
        <v>0</v>
      </c>
      <c r="K52" s="113">
        <v>0</v>
      </c>
      <c r="L52" s="113">
        <v>0</v>
      </c>
      <c r="M52" s="113">
        <v>0</v>
      </c>
      <c r="N52" s="113">
        <v>0</v>
      </c>
      <c r="O52" s="113">
        <v>0</v>
      </c>
      <c r="P52" s="113">
        <v>0</v>
      </c>
      <c r="Q52" s="113">
        <v>0</v>
      </c>
      <c r="R52" s="113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v>0</v>
      </c>
      <c r="Z52" s="113">
        <v>0</v>
      </c>
      <c r="AA52" s="113">
        <v>0</v>
      </c>
      <c r="AB52" s="113">
        <v>0</v>
      </c>
      <c r="AC52" s="113">
        <v>0</v>
      </c>
      <c r="AD52" s="113">
        <v>0</v>
      </c>
      <c r="AE52" s="113">
        <v>0</v>
      </c>
      <c r="AF52" s="113">
        <v>0</v>
      </c>
      <c r="AG52" s="113">
        <v>0</v>
      </c>
    </row>
    <row r="53" spans="1:33">
      <c r="A53" s="113" t="s">
        <v>18727</v>
      </c>
      <c r="B53" s="113" t="s">
        <v>18728</v>
      </c>
      <c r="C53" s="113" t="s">
        <v>710</v>
      </c>
      <c r="D53" s="113" t="s">
        <v>671</v>
      </c>
      <c r="E53" s="113" t="s">
        <v>619</v>
      </c>
      <c r="F53" s="113" t="s">
        <v>598</v>
      </c>
      <c r="G53" s="113" t="s">
        <v>599</v>
      </c>
      <c r="H53" s="113" t="s">
        <v>2266</v>
      </c>
      <c r="I53" s="113" t="s">
        <v>2267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  <c r="O53" s="113">
        <v>0</v>
      </c>
      <c r="P53" s="113">
        <v>0</v>
      </c>
      <c r="Q53" s="113">
        <v>0</v>
      </c>
      <c r="R53" s="113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113">
        <v>0</v>
      </c>
    </row>
    <row r="54" spans="1:33">
      <c r="A54" s="113" t="s">
        <v>18727</v>
      </c>
      <c r="B54" s="113" t="s">
        <v>18729</v>
      </c>
      <c r="C54" s="113" t="s">
        <v>710</v>
      </c>
      <c r="D54" s="113" t="s">
        <v>671</v>
      </c>
      <c r="E54" s="113" t="s">
        <v>676</v>
      </c>
      <c r="F54" s="113" t="s">
        <v>598</v>
      </c>
      <c r="G54" s="113" t="s">
        <v>599</v>
      </c>
      <c r="H54" s="113" t="s">
        <v>2266</v>
      </c>
      <c r="I54" s="113" t="s">
        <v>2267</v>
      </c>
      <c r="J54" s="113">
        <v>2.5808000000000001E-2</v>
      </c>
      <c r="K54" s="113">
        <v>2.5808000000000001E-2</v>
      </c>
      <c r="L54" s="113">
        <v>2.5808000000000001E-2</v>
      </c>
      <c r="M54" s="113">
        <v>2.5808000000000001E-2</v>
      </c>
      <c r="N54" s="113">
        <v>2.5808000000000001E-2</v>
      </c>
      <c r="O54" s="113">
        <v>2.5808000000000001E-2</v>
      </c>
      <c r="P54" s="113">
        <v>2.5808000000000001E-2</v>
      </c>
      <c r="Q54" s="113">
        <v>2.5808000000000001E-2</v>
      </c>
      <c r="R54" s="113">
        <v>2.5808000000000001E-2</v>
      </c>
      <c r="S54" s="113">
        <v>2.5808000000000001E-2</v>
      </c>
      <c r="T54" s="113">
        <v>2.5808000000000001E-2</v>
      </c>
      <c r="U54" s="113">
        <v>2.5808000000000001E-2</v>
      </c>
      <c r="V54" s="113">
        <v>2.5808000000000001E-2</v>
      </c>
      <c r="W54" s="113">
        <v>2.5808000000000001E-2</v>
      </c>
      <c r="X54" s="113">
        <v>2.5808000000000001E-2</v>
      </c>
      <c r="Y54" s="113">
        <v>2.5808000000000001E-2</v>
      </c>
      <c r="Z54" s="113">
        <v>2.5808000000000001E-2</v>
      </c>
      <c r="AA54" s="113">
        <v>2.5808000000000001E-2</v>
      </c>
      <c r="AB54" s="113">
        <v>2.5808000000000001E-2</v>
      </c>
      <c r="AC54" s="113">
        <v>2.5808000000000001E-2</v>
      </c>
      <c r="AD54" s="113">
        <v>2.5808000000000001E-2</v>
      </c>
      <c r="AE54" s="113">
        <v>2.5808000000000001E-2</v>
      </c>
      <c r="AF54" s="113">
        <v>2.5808000000000001E-2</v>
      </c>
      <c r="AG54" s="113">
        <v>2.5808000000000001E-2</v>
      </c>
    </row>
    <row r="55" spans="1:33">
      <c r="A55" s="113" t="s">
        <v>18727</v>
      </c>
      <c r="B55" s="113" t="s">
        <v>18730</v>
      </c>
      <c r="C55" s="113" t="s">
        <v>710</v>
      </c>
      <c r="D55" s="113" t="s">
        <v>756</v>
      </c>
      <c r="E55" s="113" t="s">
        <v>597</v>
      </c>
      <c r="F55" s="113" t="s">
        <v>598</v>
      </c>
      <c r="G55" s="113" t="s">
        <v>599</v>
      </c>
      <c r="H55" s="113" t="s">
        <v>2266</v>
      </c>
      <c r="I55" s="113" t="s">
        <v>2267</v>
      </c>
      <c r="J55" s="113">
        <v>1.36E-4</v>
      </c>
      <c r="K55" s="113">
        <v>1.36E-4</v>
      </c>
      <c r="L55" s="113">
        <v>1.36E-4</v>
      </c>
      <c r="M55" s="113">
        <v>1.36E-4</v>
      </c>
      <c r="N55" s="113">
        <v>1.36E-4</v>
      </c>
      <c r="O55" s="113">
        <v>1.36E-4</v>
      </c>
      <c r="P55" s="113">
        <v>1.36E-4</v>
      </c>
      <c r="Q55" s="113">
        <v>1.36E-4</v>
      </c>
      <c r="R55" s="113">
        <v>1.36E-4</v>
      </c>
      <c r="S55" s="113">
        <v>1.36E-4</v>
      </c>
      <c r="T55" s="113">
        <v>1.36E-4</v>
      </c>
      <c r="U55" s="113">
        <v>1.36E-4</v>
      </c>
      <c r="V55" s="113">
        <v>1.36E-4</v>
      </c>
      <c r="W55" s="113">
        <v>1.36E-4</v>
      </c>
      <c r="X55" s="113">
        <v>1.36E-4</v>
      </c>
      <c r="Y55" s="113">
        <v>1.36E-4</v>
      </c>
      <c r="Z55" s="113">
        <v>1.36E-4</v>
      </c>
      <c r="AA55" s="113">
        <v>1.36E-4</v>
      </c>
      <c r="AB55" s="113">
        <v>1.36E-4</v>
      </c>
      <c r="AC55" s="113">
        <v>1.36E-4</v>
      </c>
      <c r="AD55" s="113">
        <v>1.36E-4</v>
      </c>
      <c r="AE55" s="113">
        <v>1.36E-4</v>
      </c>
      <c r="AF55" s="113">
        <v>1.36E-4</v>
      </c>
      <c r="AG55" s="113">
        <v>1.36E-4</v>
      </c>
    </row>
    <row r="56" spans="1:33">
      <c r="A56" s="113" t="s">
        <v>18727</v>
      </c>
      <c r="B56" s="113" t="s">
        <v>2279</v>
      </c>
      <c r="C56" s="113" t="s">
        <v>710</v>
      </c>
      <c r="D56" s="113" t="s">
        <v>621</v>
      </c>
      <c r="E56" s="113" t="s">
        <v>597</v>
      </c>
      <c r="F56" s="113" t="s">
        <v>598</v>
      </c>
      <c r="G56" s="113" t="s">
        <v>599</v>
      </c>
      <c r="H56" s="113" t="s">
        <v>2266</v>
      </c>
      <c r="I56" s="113" t="s">
        <v>2267</v>
      </c>
      <c r="J56" s="234">
        <v>1.6699999999999999E-5</v>
      </c>
      <c r="K56" s="234">
        <v>1.6699999999999999E-5</v>
      </c>
      <c r="L56" s="234">
        <v>1.6699999999999999E-5</v>
      </c>
      <c r="M56" s="234">
        <v>1.6699999999999999E-5</v>
      </c>
      <c r="N56" s="234">
        <v>1.6699999999999999E-5</v>
      </c>
      <c r="O56" s="234">
        <v>1.6699999999999999E-5</v>
      </c>
      <c r="P56" s="234">
        <v>1.6699999999999999E-5</v>
      </c>
      <c r="Q56" s="234">
        <v>1.6699999999999999E-5</v>
      </c>
      <c r="R56" s="234">
        <v>1.6699999999999999E-5</v>
      </c>
      <c r="S56" s="234">
        <v>1.6699999999999999E-5</v>
      </c>
      <c r="T56" s="234">
        <v>1.6699999999999999E-5</v>
      </c>
      <c r="U56" s="234">
        <v>1.6699999999999999E-5</v>
      </c>
      <c r="V56" s="234">
        <v>1.6699999999999999E-5</v>
      </c>
      <c r="W56" s="234">
        <v>1.6699999999999999E-5</v>
      </c>
      <c r="X56" s="234">
        <v>1.6699999999999999E-5</v>
      </c>
      <c r="Y56" s="234">
        <v>1.6699999999999999E-5</v>
      </c>
      <c r="Z56" s="234">
        <v>1.6699999999999999E-5</v>
      </c>
      <c r="AA56" s="234">
        <v>1.6699999999999999E-5</v>
      </c>
      <c r="AB56" s="234">
        <v>1.6699999999999999E-5</v>
      </c>
      <c r="AC56" s="234">
        <v>1.6699999999999999E-5</v>
      </c>
      <c r="AD56" s="234">
        <v>1.6699999999999999E-5</v>
      </c>
      <c r="AE56" s="234">
        <v>1.6699999999999999E-5</v>
      </c>
      <c r="AF56" s="234">
        <v>1.6699999999999999E-5</v>
      </c>
      <c r="AG56" s="234">
        <v>1.6699999999999999E-5</v>
      </c>
    </row>
    <row r="57" spans="1:33">
      <c r="A57" s="113" t="s">
        <v>18727</v>
      </c>
      <c r="B57" s="113" t="s">
        <v>18731</v>
      </c>
      <c r="C57" s="113" t="s">
        <v>710</v>
      </c>
      <c r="D57" s="113" t="s">
        <v>621</v>
      </c>
      <c r="E57" s="113" t="s">
        <v>603</v>
      </c>
      <c r="F57" s="113" t="s">
        <v>598</v>
      </c>
      <c r="G57" s="113" t="s">
        <v>599</v>
      </c>
      <c r="H57" s="113" t="s">
        <v>2266</v>
      </c>
      <c r="I57" s="113" t="s">
        <v>2267</v>
      </c>
      <c r="J57" s="113">
        <v>1.21E-4</v>
      </c>
      <c r="K57" s="113">
        <v>1.21E-4</v>
      </c>
      <c r="L57" s="113">
        <v>1.21E-4</v>
      </c>
      <c r="M57" s="113">
        <v>1.21E-4</v>
      </c>
      <c r="N57" s="113">
        <v>1.21E-4</v>
      </c>
      <c r="O57" s="113">
        <v>1.21E-4</v>
      </c>
      <c r="P57" s="113">
        <v>1.21E-4</v>
      </c>
      <c r="Q57" s="113">
        <v>1.21E-4</v>
      </c>
      <c r="R57" s="113">
        <v>1.21E-4</v>
      </c>
      <c r="S57" s="113">
        <v>1.21E-4</v>
      </c>
      <c r="T57" s="113">
        <v>1.21E-4</v>
      </c>
      <c r="U57" s="113">
        <v>1.21E-4</v>
      </c>
      <c r="V57" s="113">
        <v>1.21E-4</v>
      </c>
      <c r="W57" s="113">
        <v>1.21E-4</v>
      </c>
      <c r="X57" s="113">
        <v>1.21E-4</v>
      </c>
      <c r="Y57" s="113">
        <v>1.21E-4</v>
      </c>
      <c r="Z57" s="113">
        <v>1.21E-4</v>
      </c>
      <c r="AA57" s="113">
        <v>1.21E-4</v>
      </c>
      <c r="AB57" s="113">
        <v>1.21E-4</v>
      </c>
      <c r="AC57" s="113">
        <v>1.21E-4</v>
      </c>
      <c r="AD57" s="113">
        <v>1.21E-4</v>
      </c>
      <c r="AE57" s="113">
        <v>1.21E-4</v>
      </c>
      <c r="AF57" s="113">
        <v>1.21E-4</v>
      </c>
      <c r="AG57" s="113">
        <v>1.21E-4</v>
      </c>
    </row>
    <row r="58" spans="1:33">
      <c r="A58" s="113" t="s">
        <v>18727</v>
      </c>
      <c r="B58" s="113" t="s">
        <v>18732</v>
      </c>
      <c r="C58" s="113" t="s">
        <v>710</v>
      </c>
      <c r="D58" s="113" t="s">
        <v>621</v>
      </c>
      <c r="E58" s="113" t="s">
        <v>626</v>
      </c>
      <c r="F58" s="113" t="s">
        <v>598</v>
      </c>
      <c r="G58" s="113" t="s">
        <v>599</v>
      </c>
      <c r="H58" s="113" t="s">
        <v>2266</v>
      </c>
      <c r="I58" s="113" t="s">
        <v>2267</v>
      </c>
      <c r="J58" s="113">
        <v>1.92E-4</v>
      </c>
      <c r="K58" s="113">
        <v>1.92E-4</v>
      </c>
      <c r="L58" s="113">
        <v>1.92E-4</v>
      </c>
      <c r="M58" s="113">
        <v>1.92E-4</v>
      </c>
      <c r="N58" s="113">
        <v>1.92E-4</v>
      </c>
      <c r="O58" s="113">
        <v>1.92E-4</v>
      </c>
      <c r="P58" s="113">
        <v>1.92E-4</v>
      </c>
      <c r="Q58" s="113">
        <v>1.92E-4</v>
      </c>
      <c r="R58" s="113">
        <v>1.92E-4</v>
      </c>
      <c r="S58" s="113">
        <v>1.92E-4</v>
      </c>
      <c r="T58" s="113">
        <v>1.92E-4</v>
      </c>
      <c r="U58" s="113">
        <v>1.92E-4</v>
      </c>
      <c r="V58" s="113">
        <v>1.92E-4</v>
      </c>
      <c r="W58" s="113">
        <v>1.92E-4</v>
      </c>
      <c r="X58" s="113">
        <v>1.92E-4</v>
      </c>
      <c r="Y58" s="113">
        <v>1.92E-4</v>
      </c>
      <c r="Z58" s="113">
        <v>1.92E-4</v>
      </c>
      <c r="AA58" s="113">
        <v>1.92E-4</v>
      </c>
      <c r="AB58" s="113">
        <v>1.92E-4</v>
      </c>
      <c r="AC58" s="113">
        <v>1.92E-4</v>
      </c>
      <c r="AD58" s="113">
        <v>1.92E-4</v>
      </c>
      <c r="AE58" s="113">
        <v>1.92E-4</v>
      </c>
      <c r="AF58" s="113">
        <v>1.92E-4</v>
      </c>
      <c r="AG58" s="113">
        <v>1.92E-4</v>
      </c>
    </row>
    <row r="59" spans="1:33">
      <c r="A59" s="113" t="s">
        <v>18727</v>
      </c>
      <c r="B59" s="113" t="s">
        <v>2280</v>
      </c>
      <c r="C59" s="113" t="s">
        <v>710</v>
      </c>
      <c r="D59" s="113" t="s">
        <v>621</v>
      </c>
      <c r="E59" s="113" t="s">
        <v>692</v>
      </c>
      <c r="F59" s="113" t="s">
        <v>598</v>
      </c>
      <c r="G59" s="113" t="s">
        <v>599</v>
      </c>
      <c r="H59" s="113" t="s">
        <v>2266</v>
      </c>
      <c r="I59" s="113" t="s">
        <v>2267</v>
      </c>
      <c r="J59" s="113">
        <v>2.13E-4</v>
      </c>
      <c r="K59" s="113">
        <v>2.13E-4</v>
      </c>
      <c r="L59" s="113">
        <v>2.13E-4</v>
      </c>
      <c r="M59" s="113">
        <v>2.13E-4</v>
      </c>
      <c r="N59" s="113">
        <v>2.13E-4</v>
      </c>
      <c r="O59" s="113">
        <v>2.13E-4</v>
      </c>
      <c r="P59" s="113">
        <v>2.13E-4</v>
      </c>
      <c r="Q59" s="113">
        <v>2.13E-4</v>
      </c>
      <c r="R59" s="113">
        <v>2.14E-4</v>
      </c>
      <c r="S59" s="113">
        <v>2.14E-4</v>
      </c>
      <c r="T59" s="113">
        <v>2.14E-4</v>
      </c>
      <c r="U59" s="113">
        <v>2.14E-4</v>
      </c>
      <c r="V59" s="113">
        <v>2.14E-4</v>
      </c>
      <c r="W59" s="113">
        <v>2.14E-4</v>
      </c>
      <c r="X59" s="113">
        <v>2.1499999999999999E-4</v>
      </c>
      <c r="Y59" s="113">
        <v>2.1499999999999999E-4</v>
      </c>
      <c r="Z59" s="113">
        <v>2.1499999999999999E-4</v>
      </c>
      <c r="AA59" s="113">
        <v>2.1499999999999999E-4</v>
      </c>
      <c r="AB59" s="113">
        <v>2.1499999999999999E-4</v>
      </c>
      <c r="AC59" s="113">
        <v>2.1499999999999999E-4</v>
      </c>
      <c r="AD59" s="113">
        <v>2.1499999999999999E-4</v>
      </c>
      <c r="AE59" s="113">
        <v>2.1499999999999999E-4</v>
      </c>
      <c r="AF59" s="113">
        <v>2.1499999999999999E-4</v>
      </c>
      <c r="AG59" s="113">
        <v>2.1499999999999999E-4</v>
      </c>
    </row>
    <row r="60" spans="1:33">
      <c r="A60" s="113" t="s">
        <v>18727</v>
      </c>
      <c r="B60" s="113" t="s">
        <v>2282</v>
      </c>
      <c r="C60" s="113" t="s">
        <v>710</v>
      </c>
      <c r="D60" s="113" t="s">
        <v>632</v>
      </c>
      <c r="E60" s="113" t="s">
        <v>597</v>
      </c>
      <c r="F60" s="113" t="s">
        <v>598</v>
      </c>
      <c r="G60" s="113" t="s">
        <v>599</v>
      </c>
      <c r="H60" s="113" t="s">
        <v>2266</v>
      </c>
      <c r="I60" s="113" t="s">
        <v>2267</v>
      </c>
      <c r="J60" s="113">
        <v>0.163965</v>
      </c>
      <c r="K60" s="113">
        <v>0.163965</v>
      </c>
      <c r="L60" s="113">
        <v>0.163965</v>
      </c>
      <c r="M60" s="113">
        <v>0.163965</v>
      </c>
      <c r="N60" s="113">
        <v>0.163965</v>
      </c>
      <c r="O60" s="113">
        <v>0.163965</v>
      </c>
      <c r="P60" s="113">
        <v>0.163965</v>
      </c>
      <c r="Q60" s="113">
        <v>0.163965</v>
      </c>
      <c r="R60" s="113">
        <v>0.163965</v>
      </c>
      <c r="S60" s="113">
        <v>0.163965</v>
      </c>
      <c r="T60" s="113">
        <v>0.163965</v>
      </c>
      <c r="U60" s="113">
        <v>0.163965</v>
      </c>
      <c r="V60" s="113">
        <v>0.163965</v>
      </c>
      <c r="W60" s="113">
        <v>0.163965</v>
      </c>
      <c r="X60" s="113">
        <v>0.163965</v>
      </c>
      <c r="Y60" s="113">
        <v>0.163965</v>
      </c>
      <c r="Z60" s="113">
        <v>0.163965</v>
      </c>
      <c r="AA60" s="113">
        <v>0.163965</v>
      </c>
      <c r="AB60" s="113">
        <v>0.163965</v>
      </c>
      <c r="AC60" s="113">
        <v>0.163965</v>
      </c>
      <c r="AD60" s="113">
        <v>0.163965</v>
      </c>
      <c r="AE60" s="113">
        <v>0.163965</v>
      </c>
      <c r="AF60" s="113">
        <v>0.163965</v>
      </c>
      <c r="AG60" s="113">
        <v>0.163965</v>
      </c>
    </row>
    <row r="61" spans="1:33">
      <c r="A61" s="113" t="s">
        <v>18727</v>
      </c>
      <c r="B61" s="113" t="s">
        <v>18733</v>
      </c>
      <c r="C61" s="113" t="s">
        <v>710</v>
      </c>
      <c r="D61" s="113" t="s">
        <v>632</v>
      </c>
      <c r="E61" s="113" t="s">
        <v>605</v>
      </c>
      <c r="F61" s="113" t="s">
        <v>598</v>
      </c>
      <c r="G61" s="113" t="s">
        <v>599</v>
      </c>
      <c r="H61" s="113" t="s">
        <v>2266</v>
      </c>
      <c r="I61" s="113" t="s">
        <v>2267</v>
      </c>
      <c r="J61" s="113">
        <v>0.240091</v>
      </c>
      <c r="K61" s="113">
        <v>0.240091</v>
      </c>
      <c r="L61" s="113">
        <v>0.240091</v>
      </c>
      <c r="M61" s="113">
        <v>0.240091</v>
      </c>
      <c r="N61" s="113">
        <v>0.240091</v>
      </c>
      <c r="O61" s="113">
        <v>0.240091</v>
      </c>
      <c r="P61" s="113">
        <v>0.240091</v>
      </c>
      <c r="Q61" s="113">
        <v>0.240091</v>
      </c>
      <c r="R61" s="113">
        <v>0.240091</v>
      </c>
      <c r="S61" s="113">
        <v>0.240091</v>
      </c>
      <c r="T61" s="113">
        <v>0.240091</v>
      </c>
      <c r="U61" s="113">
        <v>0.240091</v>
      </c>
      <c r="V61" s="113">
        <v>0.240091</v>
      </c>
      <c r="W61" s="113">
        <v>0.240091</v>
      </c>
      <c r="X61" s="113">
        <v>0.240091</v>
      </c>
      <c r="Y61" s="113">
        <v>0.240091</v>
      </c>
      <c r="Z61" s="113">
        <v>0.240091</v>
      </c>
      <c r="AA61" s="113">
        <v>0.240091</v>
      </c>
      <c r="AB61" s="113">
        <v>0.240091</v>
      </c>
      <c r="AC61" s="113">
        <v>0.240091</v>
      </c>
      <c r="AD61" s="113">
        <v>0.240091</v>
      </c>
      <c r="AE61" s="113">
        <v>0.240091</v>
      </c>
      <c r="AF61" s="113">
        <v>0.240091</v>
      </c>
      <c r="AG61" s="113">
        <v>0.240091</v>
      </c>
    </row>
    <row r="62" spans="1:33">
      <c r="A62" s="113" t="s">
        <v>18727</v>
      </c>
      <c r="B62" s="113" t="s">
        <v>2284</v>
      </c>
      <c r="C62" s="113" t="s">
        <v>710</v>
      </c>
      <c r="D62" s="113" t="s">
        <v>632</v>
      </c>
      <c r="E62" s="113" t="s">
        <v>723</v>
      </c>
      <c r="F62" s="113" t="s">
        <v>598</v>
      </c>
      <c r="G62" s="113" t="s">
        <v>599</v>
      </c>
      <c r="H62" s="113" t="s">
        <v>2266</v>
      </c>
      <c r="I62" s="113" t="s">
        <v>2267</v>
      </c>
      <c r="J62" s="113">
        <v>6.1966E-2</v>
      </c>
      <c r="K62" s="113">
        <v>6.1966E-2</v>
      </c>
      <c r="L62" s="113">
        <v>6.1966E-2</v>
      </c>
      <c r="M62" s="113">
        <v>6.1966E-2</v>
      </c>
      <c r="N62" s="113">
        <v>6.1966E-2</v>
      </c>
      <c r="O62" s="113">
        <v>6.1966E-2</v>
      </c>
      <c r="P62" s="113">
        <v>6.1966E-2</v>
      </c>
      <c r="Q62" s="113">
        <v>6.1966E-2</v>
      </c>
      <c r="R62" s="113">
        <v>6.1966E-2</v>
      </c>
      <c r="S62" s="113">
        <v>6.1966E-2</v>
      </c>
      <c r="T62" s="113">
        <v>6.1966E-2</v>
      </c>
      <c r="U62" s="113">
        <v>6.1966E-2</v>
      </c>
      <c r="V62" s="113">
        <v>6.1966E-2</v>
      </c>
      <c r="W62" s="113">
        <v>6.1966E-2</v>
      </c>
      <c r="X62" s="113">
        <v>6.1966E-2</v>
      </c>
      <c r="Y62" s="113">
        <v>6.1966E-2</v>
      </c>
      <c r="Z62" s="113">
        <v>6.1966E-2</v>
      </c>
      <c r="AA62" s="113">
        <v>6.1966E-2</v>
      </c>
      <c r="AB62" s="113">
        <v>6.1966E-2</v>
      </c>
      <c r="AC62" s="113">
        <v>6.1966E-2</v>
      </c>
      <c r="AD62" s="113">
        <v>6.1966E-2</v>
      </c>
      <c r="AE62" s="113">
        <v>6.1966E-2</v>
      </c>
      <c r="AF62" s="113">
        <v>6.1966E-2</v>
      </c>
      <c r="AG62" s="113">
        <v>6.1966E-2</v>
      </c>
    </row>
    <row r="63" spans="1:33">
      <c r="A63" s="113" t="s">
        <v>18727</v>
      </c>
      <c r="B63" s="113" t="s">
        <v>2285</v>
      </c>
      <c r="C63" s="113" t="s">
        <v>710</v>
      </c>
      <c r="D63" s="113" t="s">
        <v>640</v>
      </c>
      <c r="E63" s="113" t="s">
        <v>597</v>
      </c>
      <c r="F63" s="113" t="s">
        <v>598</v>
      </c>
      <c r="G63" s="113" t="s">
        <v>599</v>
      </c>
      <c r="H63" s="113" t="s">
        <v>2266</v>
      </c>
      <c r="I63" s="113" t="s">
        <v>2267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3">
        <v>0</v>
      </c>
      <c r="P63" s="113">
        <v>0</v>
      </c>
      <c r="Q63" s="113">
        <v>0</v>
      </c>
      <c r="R63" s="113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v>0</v>
      </c>
      <c r="Z63" s="113">
        <v>0</v>
      </c>
      <c r="AA63" s="113">
        <v>0</v>
      </c>
      <c r="AB63" s="113">
        <v>0</v>
      </c>
      <c r="AC63" s="113">
        <v>0</v>
      </c>
      <c r="AD63" s="113">
        <v>0</v>
      </c>
      <c r="AE63" s="113">
        <v>0</v>
      </c>
      <c r="AF63" s="113">
        <v>0</v>
      </c>
      <c r="AG63" s="113">
        <v>0</v>
      </c>
    </row>
    <row r="64" spans="1:33">
      <c r="A64" s="113" t="s">
        <v>18727</v>
      </c>
      <c r="B64" s="113" t="s">
        <v>2286</v>
      </c>
      <c r="C64" s="113" t="s">
        <v>710</v>
      </c>
      <c r="D64" s="113" t="s">
        <v>640</v>
      </c>
      <c r="E64" s="113" t="s">
        <v>642</v>
      </c>
      <c r="F64" s="113" t="s">
        <v>598</v>
      </c>
      <c r="G64" s="113" t="s">
        <v>599</v>
      </c>
      <c r="H64" s="113" t="s">
        <v>2266</v>
      </c>
      <c r="I64" s="113" t="s">
        <v>2267</v>
      </c>
      <c r="J64" s="234">
        <v>1.7600000000000001E-6</v>
      </c>
      <c r="K64" s="234">
        <v>1.7600000000000001E-6</v>
      </c>
      <c r="L64" s="234">
        <v>1.7600000000000001E-6</v>
      </c>
      <c r="M64" s="234">
        <v>1.7600000000000001E-6</v>
      </c>
      <c r="N64" s="234">
        <v>1.7600000000000001E-6</v>
      </c>
      <c r="O64" s="234">
        <v>1.77E-6</v>
      </c>
      <c r="P64" s="234">
        <v>1.77E-6</v>
      </c>
      <c r="Q64" s="234">
        <v>1.77E-6</v>
      </c>
      <c r="R64" s="234">
        <v>1.77E-6</v>
      </c>
      <c r="S64" s="234">
        <v>1.77E-6</v>
      </c>
      <c r="T64" s="234">
        <v>1.77E-6</v>
      </c>
      <c r="U64" s="234">
        <v>1.77E-6</v>
      </c>
      <c r="V64" s="234">
        <v>1.77E-6</v>
      </c>
      <c r="W64" s="234">
        <v>1.7799999999999999E-6</v>
      </c>
      <c r="X64" s="234">
        <v>1.7799999999999999E-6</v>
      </c>
      <c r="Y64" s="234">
        <v>1.7799999999999999E-6</v>
      </c>
      <c r="Z64" s="234">
        <v>1.7799999999999999E-6</v>
      </c>
      <c r="AA64" s="234">
        <v>1.7799999999999999E-6</v>
      </c>
      <c r="AB64" s="234">
        <v>1.7799999999999999E-6</v>
      </c>
      <c r="AC64" s="234">
        <v>1.7799999999999999E-6</v>
      </c>
      <c r="AD64" s="234">
        <v>1.7799999999999999E-6</v>
      </c>
      <c r="AE64" s="234">
        <v>1.7799999999999999E-6</v>
      </c>
      <c r="AF64" s="234">
        <v>1.7799999999999999E-6</v>
      </c>
      <c r="AG64" s="234">
        <v>1.7799999999999999E-6</v>
      </c>
    </row>
    <row r="65" spans="1:33">
      <c r="A65" s="113" t="s">
        <v>18727</v>
      </c>
      <c r="B65" s="113" t="s">
        <v>2288</v>
      </c>
      <c r="C65" s="113" t="s">
        <v>710</v>
      </c>
      <c r="D65" s="113" t="s">
        <v>640</v>
      </c>
      <c r="E65" s="113" t="s">
        <v>613</v>
      </c>
      <c r="F65" s="113" t="s">
        <v>598</v>
      </c>
      <c r="G65" s="113" t="s">
        <v>599</v>
      </c>
      <c r="H65" s="113" t="s">
        <v>2266</v>
      </c>
      <c r="I65" s="113" t="s">
        <v>2267</v>
      </c>
      <c r="J65" s="113">
        <v>4.8091000000000002E-2</v>
      </c>
      <c r="K65" s="113">
        <v>4.8092000000000003E-2</v>
      </c>
      <c r="L65" s="113">
        <v>4.8092999999999997E-2</v>
      </c>
      <c r="M65" s="113">
        <v>4.8094999999999999E-2</v>
      </c>
      <c r="N65" s="113">
        <v>4.8096E-2</v>
      </c>
      <c r="O65" s="113">
        <v>4.8097000000000001E-2</v>
      </c>
      <c r="P65" s="113">
        <v>4.8097000000000001E-2</v>
      </c>
      <c r="Q65" s="113">
        <v>4.8097000000000001E-2</v>
      </c>
      <c r="R65" s="113">
        <v>4.8098000000000002E-2</v>
      </c>
      <c r="S65" s="113">
        <v>4.8098000000000002E-2</v>
      </c>
      <c r="T65" s="113">
        <v>4.8098000000000002E-2</v>
      </c>
      <c r="U65" s="113">
        <v>4.8098000000000002E-2</v>
      </c>
      <c r="V65" s="113">
        <v>4.8098000000000002E-2</v>
      </c>
      <c r="W65" s="113">
        <v>4.8098000000000002E-2</v>
      </c>
      <c r="X65" s="113">
        <v>4.8098000000000002E-2</v>
      </c>
      <c r="Y65" s="113">
        <v>4.8098000000000002E-2</v>
      </c>
      <c r="Z65" s="113">
        <v>4.8098000000000002E-2</v>
      </c>
      <c r="AA65" s="113">
        <v>4.8098000000000002E-2</v>
      </c>
      <c r="AB65" s="113">
        <v>4.8098000000000002E-2</v>
      </c>
      <c r="AC65" s="113">
        <v>4.8098000000000002E-2</v>
      </c>
      <c r="AD65" s="113">
        <v>4.8097000000000001E-2</v>
      </c>
      <c r="AE65" s="113">
        <v>4.8097000000000001E-2</v>
      </c>
      <c r="AF65" s="113">
        <v>4.8097000000000001E-2</v>
      </c>
      <c r="AG65" s="113">
        <v>4.8097000000000001E-2</v>
      </c>
    </row>
    <row r="66" spans="1:33">
      <c r="J66" s="281">
        <f>SUM(J46:J65)</f>
        <v>1.7489353000000001</v>
      </c>
      <c r="K66" s="282">
        <f t="shared" ref="K66:AG66" si="24">SUM(K46:K65)</f>
        <v>1.7489363</v>
      </c>
      <c r="L66" s="282">
        <f t="shared" si="24"/>
        <v>1.7489372999999999</v>
      </c>
      <c r="M66" s="282">
        <f t="shared" si="24"/>
        <v>1.7489393</v>
      </c>
      <c r="N66" s="282">
        <f t="shared" si="24"/>
        <v>1.7489402999999999</v>
      </c>
      <c r="O66" s="282">
        <f t="shared" si="24"/>
        <v>1.74894131</v>
      </c>
      <c r="P66" s="282">
        <f t="shared" si="24"/>
        <v>1.74894131</v>
      </c>
      <c r="Q66" s="282">
        <f t="shared" si="24"/>
        <v>1.74894131</v>
      </c>
      <c r="R66" s="282">
        <f t="shared" si="24"/>
        <v>1.7489433099999998</v>
      </c>
      <c r="S66" s="282">
        <f t="shared" si="24"/>
        <v>1.7489433099999998</v>
      </c>
      <c r="T66" s="282">
        <f t="shared" si="24"/>
        <v>1.7489433099999998</v>
      </c>
      <c r="U66" s="282">
        <f t="shared" si="24"/>
        <v>1.7489433099999998</v>
      </c>
      <c r="V66" s="282">
        <f t="shared" si="24"/>
        <v>1.7489433099999998</v>
      </c>
      <c r="W66" s="282">
        <f t="shared" si="24"/>
        <v>1.74894332</v>
      </c>
      <c r="X66" s="282">
        <f t="shared" si="24"/>
        <v>1.7489443200000001</v>
      </c>
      <c r="Y66" s="282">
        <f t="shared" si="24"/>
        <v>1.7489443200000001</v>
      </c>
      <c r="Z66" s="282">
        <f t="shared" si="24"/>
        <v>1.74894433</v>
      </c>
      <c r="AA66" s="282">
        <f t="shared" si="24"/>
        <v>1.74894433</v>
      </c>
      <c r="AB66" s="282">
        <f t="shared" si="24"/>
        <v>1.74894433</v>
      </c>
      <c r="AC66" s="282">
        <f t="shared" si="24"/>
        <v>1.74894433</v>
      </c>
      <c r="AD66" s="282">
        <f t="shared" si="24"/>
        <v>1.7489433300000001</v>
      </c>
      <c r="AE66" s="282">
        <f t="shared" si="24"/>
        <v>1.7489433300000001</v>
      </c>
      <c r="AF66" s="282">
        <f t="shared" si="24"/>
        <v>1.7489433300000001</v>
      </c>
      <c r="AG66" s="283">
        <f t="shared" si="24"/>
        <v>1.7489433300000001</v>
      </c>
    </row>
    <row r="68" spans="1:33">
      <c r="A68" t="s">
        <v>18833</v>
      </c>
    </row>
    <row r="69" spans="1:33">
      <c r="A69" s="240" t="s">
        <v>569</v>
      </c>
      <c r="B69" s="240" t="s">
        <v>570</v>
      </c>
      <c r="C69" s="240" t="s">
        <v>571</v>
      </c>
      <c r="D69" s="240" t="s">
        <v>572</v>
      </c>
      <c r="E69" s="240" t="s">
        <v>573</v>
      </c>
      <c r="F69" s="240" t="s">
        <v>574</v>
      </c>
      <c r="G69" s="240" t="s">
        <v>575</v>
      </c>
      <c r="H69" s="240" t="s">
        <v>576</v>
      </c>
      <c r="I69" s="240" t="s">
        <v>577</v>
      </c>
      <c r="J69" s="240">
        <v>2023</v>
      </c>
      <c r="K69" s="240">
        <v>2024</v>
      </c>
      <c r="L69" s="240">
        <v>2025</v>
      </c>
      <c r="M69" s="240">
        <v>2026</v>
      </c>
      <c r="N69" s="240">
        <v>2027</v>
      </c>
      <c r="O69" s="240">
        <v>2028</v>
      </c>
      <c r="P69" s="240">
        <v>2029</v>
      </c>
      <c r="Q69" s="240">
        <v>2030</v>
      </c>
      <c r="R69" s="240">
        <v>2031</v>
      </c>
      <c r="S69" s="240">
        <v>2032</v>
      </c>
      <c r="T69" s="240">
        <v>2033</v>
      </c>
      <c r="U69" s="240">
        <v>2034</v>
      </c>
      <c r="V69" s="240">
        <v>2035</v>
      </c>
      <c r="W69" s="240">
        <v>2036</v>
      </c>
      <c r="X69" s="240">
        <v>2037</v>
      </c>
      <c r="Y69" s="240">
        <v>2038</v>
      </c>
      <c r="Z69" s="240">
        <v>2039</v>
      </c>
      <c r="AA69" s="240">
        <v>2040</v>
      </c>
      <c r="AB69" s="240">
        <v>2041</v>
      </c>
      <c r="AC69" s="240">
        <v>2042</v>
      </c>
      <c r="AD69" s="240">
        <v>2043</v>
      </c>
      <c r="AE69" s="240">
        <v>2044</v>
      </c>
      <c r="AF69" s="240">
        <v>2045</v>
      </c>
      <c r="AG69" s="240">
        <v>2046</v>
      </c>
    </row>
    <row r="70" spans="1:33">
      <c r="A70" s="113" t="s">
        <v>18727</v>
      </c>
      <c r="B70" s="113" t="s">
        <v>18640</v>
      </c>
      <c r="C70" s="113" t="s">
        <v>1382</v>
      </c>
      <c r="D70" s="113" t="s">
        <v>1274</v>
      </c>
      <c r="E70" s="113" t="s">
        <v>973</v>
      </c>
      <c r="F70" s="113" t="s">
        <v>598</v>
      </c>
      <c r="G70" s="113" t="s">
        <v>599</v>
      </c>
      <c r="H70" s="113" t="s">
        <v>2266</v>
      </c>
      <c r="I70" s="113" t="s">
        <v>2267</v>
      </c>
      <c r="J70" s="113">
        <v>0</v>
      </c>
      <c r="K70" s="113">
        <v>0</v>
      </c>
      <c r="L70" s="113">
        <v>0</v>
      </c>
      <c r="M70" s="113">
        <v>0</v>
      </c>
      <c r="N70" s="113">
        <v>0</v>
      </c>
      <c r="O70" s="113">
        <v>0</v>
      </c>
      <c r="P70" s="113">
        <v>0</v>
      </c>
      <c r="Q70" s="113">
        <v>0</v>
      </c>
      <c r="R70" s="113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v>0</v>
      </c>
      <c r="Z70" s="113">
        <v>0</v>
      </c>
      <c r="AA70" s="113">
        <v>0</v>
      </c>
      <c r="AB70" s="113">
        <v>0</v>
      </c>
      <c r="AC70" s="113">
        <v>0</v>
      </c>
      <c r="AD70" s="113">
        <v>0</v>
      </c>
      <c r="AE70" s="113">
        <v>0</v>
      </c>
      <c r="AF70" s="113">
        <v>0</v>
      </c>
      <c r="AG70" s="113">
        <v>0</v>
      </c>
    </row>
    <row r="71" spans="1:33">
      <c r="A71" s="113" t="s">
        <v>18727</v>
      </c>
      <c r="B71" s="113" t="s">
        <v>18694</v>
      </c>
      <c r="C71" s="113" t="s">
        <v>1382</v>
      </c>
      <c r="D71" s="113" t="s">
        <v>1281</v>
      </c>
      <c r="E71" s="113" t="s">
        <v>973</v>
      </c>
      <c r="F71" s="113" t="s">
        <v>598</v>
      </c>
      <c r="G71" s="113" t="s">
        <v>599</v>
      </c>
      <c r="H71" s="113" t="s">
        <v>2266</v>
      </c>
      <c r="I71" s="113" t="s">
        <v>2267</v>
      </c>
      <c r="J71" s="113">
        <v>0</v>
      </c>
      <c r="K71" s="113">
        <v>0</v>
      </c>
      <c r="L71" s="113">
        <v>0</v>
      </c>
      <c r="M71" s="113">
        <v>0</v>
      </c>
      <c r="N71" s="113">
        <v>0</v>
      </c>
      <c r="O71" s="113">
        <v>0</v>
      </c>
      <c r="P71" s="113">
        <v>0</v>
      </c>
      <c r="Q71" s="113">
        <v>0</v>
      </c>
      <c r="R71" s="113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v>0</v>
      </c>
      <c r="Z71" s="113">
        <v>0</v>
      </c>
      <c r="AA71" s="113">
        <v>0</v>
      </c>
      <c r="AB71" s="113">
        <v>0</v>
      </c>
      <c r="AC71" s="113">
        <v>0</v>
      </c>
      <c r="AD71" s="113">
        <v>0</v>
      </c>
      <c r="AE71" s="113">
        <v>0</v>
      </c>
      <c r="AF71" s="113">
        <v>0</v>
      </c>
      <c r="AG71" s="113">
        <v>0</v>
      </c>
    </row>
    <row r="72" spans="1:33">
      <c r="A72" s="113" t="s">
        <v>18727</v>
      </c>
      <c r="B72" s="113" t="s">
        <v>18641</v>
      </c>
      <c r="C72" s="113" t="s">
        <v>1382</v>
      </c>
      <c r="D72" s="113" t="s">
        <v>1285</v>
      </c>
      <c r="E72" s="113" t="s">
        <v>973</v>
      </c>
      <c r="F72" s="113" t="s">
        <v>598</v>
      </c>
      <c r="G72" s="113" t="s">
        <v>599</v>
      </c>
      <c r="H72" s="113" t="s">
        <v>2266</v>
      </c>
      <c r="I72" s="113" t="s">
        <v>2267</v>
      </c>
      <c r="J72" s="113">
        <v>0</v>
      </c>
      <c r="K72" s="113">
        <v>0</v>
      </c>
      <c r="L72" s="113">
        <v>0</v>
      </c>
      <c r="M72" s="113">
        <v>0</v>
      </c>
      <c r="N72" s="113">
        <v>0</v>
      </c>
      <c r="O72" s="113">
        <v>0</v>
      </c>
      <c r="P72" s="113">
        <v>0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  <c r="Z72" s="113">
        <v>0</v>
      </c>
      <c r="AA72" s="113">
        <v>0</v>
      </c>
      <c r="AB72" s="113">
        <v>0</v>
      </c>
      <c r="AC72" s="113">
        <v>0</v>
      </c>
      <c r="AD72" s="113">
        <v>0</v>
      </c>
      <c r="AE72" s="113">
        <v>0</v>
      </c>
      <c r="AF72" s="113">
        <v>0</v>
      </c>
      <c r="AG72" s="113">
        <v>0</v>
      </c>
    </row>
    <row r="73" spans="1:33">
      <c r="A73" s="113" t="s">
        <v>18727</v>
      </c>
      <c r="B73" s="113" t="s">
        <v>18695</v>
      </c>
      <c r="C73" s="113" t="s">
        <v>1382</v>
      </c>
      <c r="D73" s="113" t="s">
        <v>1287</v>
      </c>
      <c r="E73" s="113" t="s">
        <v>973</v>
      </c>
      <c r="F73" s="113" t="s">
        <v>598</v>
      </c>
      <c r="G73" s="113" t="s">
        <v>599</v>
      </c>
      <c r="H73" s="113" t="s">
        <v>2266</v>
      </c>
      <c r="I73" s="113" t="s">
        <v>2267</v>
      </c>
      <c r="J73" s="113">
        <v>0</v>
      </c>
      <c r="K73" s="113">
        <v>0</v>
      </c>
      <c r="L73" s="113">
        <v>0</v>
      </c>
      <c r="M73" s="113">
        <v>0</v>
      </c>
      <c r="N73" s="113">
        <v>0</v>
      </c>
      <c r="O73" s="113">
        <v>0</v>
      </c>
      <c r="P73" s="113">
        <v>0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13">
        <v>0</v>
      </c>
      <c r="AG73" s="113">
        <v>0</v>
      </c>
    </row>
    <row r="74" spans="1:33">
      <c r="A74" s="113" t="s">
        <v>18727</v>
      </c>
      <c r="B74" s="113" t="s">
        <v>18642</v>
      </c>
      <c r="C74" s="113" t="s">
        <v>1382</v>
      </c>
      <c r="D74" s="113" t="s">
        <v>1305</v>
      </c>
      <c r="E74" s="113" t="s">
        <v>973</v>
      </c>
      <c r="F74" s="113" t="s">
        <v>598</v>
      </c>
      <c r="G74" s="113" t="s">
        <v>599</v>
      </c>
      <c r="H74" s="113" t="s">
        <v>2266</v>
      </c>
      <c r="I74" s="113" t="s">
        <v>2267</v>
      </c>
      <c r="J74" s="234">
        <v>1.6799999999999998E-5</v>
      </c>
      <c r="K74" s="234">
        <v>1.7099999999999999E-5</v>
      </c>
      <c r="L74" s="234">
        <v>1.7399999999999999E-5</v>
      </c>
      <c r="M74" s="234">
        <v>1.77E-5</v>
      </c>
      <c r="N74" s="113">
        <v>1.8E-5</v>
      </c>
      <c r="O74" s="234">
        <v>1.8300000000000001E-5</v>
      </c>
      <c r="P74" s="234">
        <v>1.8499999999999999E-5</v>
      </c>
      <c r="Q74" s="234">
        <v>1.8700000000000001E-5</v>
      </c>
      <c r="R74" s="234">
        <v>1.9000000000000001E-5</v>
      </c>
      <c r="S74" s="234">
        <v>1.9199999999999999E-5</v>
      </c>
      <c r="T74" s="234">
        <v>1.9400000000000001E-5</v>
      </c>
      <c r="U74" s="234">
        <v>1.9599999999999999E-5</v>
      </c>
      <c r="V74" s="234">
        <v>1.98E-5</v>
      </c>
      <c r="W74" s="234">
        <v>2.0100000000000001E-5</v>
      </c>
      <c r="X74" s="234">
        <v>2.0299999999999999E-5</v>
      </c>
      <c r="Y74" s="234">
        <v>2.05E-5</v>
      </c>
      <c r="Z74" s="234">
        <v>2.0699999999999998E-5</v>
      </c>
      <c r="AA74" s="234">
        <v>2.09E-5</v>
      </c>
      <c r="AB74" s="234">
        <v>2.12E-5</v>
      </c>
      <c r="AC74" s="234">
        <v>2.1399999999999998E-5</v>
      </c>
      <c r="AD74" s="234">
        <v>2.16E-5</v>
      </c>
      <c r="AE74" s="234">
        <v>2.1800000000000001E-5</v>
      </c>
      <c r="AF74" s="234">
        <v>2.2099999999999998E-5</v>
      </c>
      <c r="AG74" s="234">
        <v>2.23E-5</v>
      </c>
    </row>
    <row r="75" spans="1:33">
      <c r="A75" s="113" t="s">
        <v>18727</v>
      </c>
      <c r="B75" s="113" t="s">
        <v>18643</v>
      </c>
      <c r="C75" s="113" t="s">
        <v>1382</v>
      </c>
      <c r="D75" s="113" t="s">
        <v>1311</v>
      </c>
      <c r="E75" s="113" t="s">
        <v>973</v>
      </c>
      <c r="F75" s="113" t="s">
        <v>598</v>
      </c>
      <c r="G75" s="113" t="s">
        <v>599</v>
      </c>
      <c r="H75" s="113" t="s">
        <v>2266</v>
      </c>
      <c r="I75" s="113" t="s">
        <v>2267</v>
      </c>
      <c r="J75" s="113">
        <v>0</v>
      </c>
      <c r="K75" s="113">
        <v>0</v>
      </c>
      <c r="L75" s="113">
        <v>0</v>
      </c>
      <c r="M75" s="113">
        <v>0</v>
      </c>
      <c r="N75" s="113">
        <v>0</v>
      </c>
      <c r="O75" s="113">
        <v>0</v>
      </c>
      <c r="P75" s="113">
        <v>0</v>
      </c>
      <c r="Q75" s="113">
        <v>0</v>
      </c>
      <c r="R75" s="113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v>0</v>
      </c>
      <c r="Z75" s="113">
        <v>0</v>
      </c>
      <c r="AA75" s="113">
        <v>0</v>
      </c>
      <c r="AB75" s="113">
        <v>0</v>
      </c>
      <c r="AC75" s="113">
        <v>0</v>
      </c>
      <c r="AD75" s="113">
        <v>0</v>
      </c>
      <c r="AE75" s="113">
        <v>0</v>
      </c>
      <c r="AF75" s="113">
        <v>0</v>
      </c>
      <c r="AG75" s="113">
        <v>0</v>
      </c>
    </row>
    <row r="76" spans="1:33">
      <c r="A76" s="113" t="s">
        <v>18727</v>
      </c>
      <c r="B76" s="113" t="s">
        <v>2265</v>
      </c>
      <c r="C76" s="113" t="s">
        <v>1382</v>
      </c>
      <c r="D76" s="113" t="s">
        <v>1311</v>
      </c>
      <c r="E76" s="113" t="s">
        <v>597</v>
      </c>
      <c r="F76" s="113" t="s">
        <v>598</v>
      </c>
      <c r="G76" s="113" t="s">
        <v>599</v>
      </c>
      <c r="H76" s="113" t="s">
        <v>2266</v>
      </c>
      <c r="I76" s="113" t="s">
        <v>2267</v>
      </c>
      <c r="J76" s="113">
        <v>3.8499999999999998E-4</v>
      </c>
      <c r="K76" s="113">
        <v>3.8499999999999998E-4</v>
      </c>
      <c r="L76" s="113">
        <v>3.8499999999999998E-4</v>
      </c>
      <c r="M76" s="113">
        <v>3.86E-4</v>
      </c>
      <c r="N76" s="113">
        <v>3.86E-4</v>
      </c>
      <c r="O76" s="113">
        <v>3.86E-4</v>
      </c>
      <c r="P76" s="113">
        <v>3.86E-4</v>
      </c>
      <c r="Q76" s="113">
        <v>3.86E-4</v>
      </c>
      <c r="R76" s="113">
        <v>3.8699999999999997E-4</v>
      </c>
      <c r="S76" s="113">
        <v>3.8699999999999997E-4</v>
      </c>
      <c r="T76" s="113">
        <v>3.8699999999999997E-4</v>
      </c>
      <c r="U76" s="113">
        <v>3.8699999999999997E-4</v>
      </c>
      <c r="V76" s="113">
        <v>3.88E-4</v>
      </c>
      <c r="W76" s="113">
        <v>3.88E-4</v>
      </c>
      <c r="X76" s="113">
        <v>3.8900000000000002E-4</v>
      </c>
      <c r="Y76" s="113">
        <v>3.8900000000000002E-4</v>
      </c>
      <c r="Z76" s="113">
        <v>3.8999999999999999E-4</v>
      </c>
      <c r="AA76" s="113">
        <v>3.8999999999999999E-4</v>
      </c>
      <c r="AB76" s="113">
        <v>3.8999999999999999E-4</v>
      </c>
      <c r="AC76" s="113">
        <v>3.8999999999999999E-4</v>
      </c>
      <c r="AD76" s="113">
        <v>3.8999999999999999E-4</v>
      </c>
      <c r="AE76" s="113">
        <v>3.8900000000000002E-4</v>
      </c>
      <c r="AF76" s="113">
        <v>3.8900000000000002E-4</v>
      </c>
      <c r="AG76" s="113">
        <v>3.8900000000000002E-4</v>
      </c>
    </row>
    <row r="77" spans="1:33">
      <c r="A77" s="113" t="s">
        <v>18727</v>
      </c>
      <c r="B77" s="113" t="s">
        <v>18696</v>
      </c>
      <c r="C77" s="113" t="s">
        <v>1382</v>
      </c>
      <c r="D77" s="113" t="s">
        <v>1311</v>
      </c>
      <c r="E77" s="113" t="s">
        <v>642</v>
      </c>
      <c r="F77" s="113" t="s">
        <v>598</v>
      </c>
      <c r="G77" s="113" t="s">
        <v>599</v>
      </c>
      <c r="H77" s="113" t="s">
        <v>2266</v>
      </c>
      <c r="I77" s="113" t="s">
        <v>2267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18727</v>
      </c>
      <c r="B78" s="113" t="s">
        <v>18644</v>
      </c>
      <c r="C78" s="113" t="s">
        <v>1382</v>
      </c>
      <c r="D78" s="113" t="s">
        <v>1311</v>
      </c>
      <c r="E78" s="113" t="s">
        <v>605</v>
      </c>
      <c r="F78" s="113" t="s">
        <v>598</v>
      </c>
      <c r="G78" s="113" t="s">
        <v>599</v>
      </c>
      <c r="H78" s="113" t="s">
        <v>2266</v>
      </c>
      <c r="I78" s="113" t="s">
        <v>2267</v>
      </c>
      <c r="J78" s="113">
        <v>1.2767000000000001E-2</v>
      </c>
      <c r="K78" s="113">
        <v>1.2767000000000001E-2</v>
      </c>
      <c r="L78" s="113">
        <v>1.2767000000000001E-2</v>
      </c>
      <c r="M78" s="113">
        <v>1.2767000000000001E-2</v>
      </c>
      <c r="N78" s="113">
        <v>1.2767000000000001E-2</v>
      </c>
      <c r="O78" s="113">
        <v>1.2767000000000001E-2</v>
      </c>
      <c r="P78" s="113">
        <v>1.2767000000000001E-2</v>
      </c>
      <c r="Q78" s="113">
        <v>1.2767000000000001E-2</v>
      </c>
      <c r="R78" s="113">
        <v>1.2767000000000001E-2</v>
      </c>
      <c r="S78" s="113">
        <v>1.2767000000000001E-2</v>
      </c>
      <c r="T78" s="113">
        <v>1.2767000000000001E-2</v>
      </c>
      <c r="U78" s="113">
        <v>1.2767000000000001E-2</v>
      </c>
      <c r="V78" s="113">
        <v>1.2767000000000001E-2</v>
      </c>
      <c r="W78" s="113">
        <v>1.2767000000000001E-2</v>
      </c>
      <c r="X78" s="113">
        <v>1.2767000000000001E-2</v>
      </c>
      <c r="Y78" s="113">
        <v>1.2767000000000001E-2</v>
      </c>
      <c r="Z78" s="113">
        <v>1.2767000000000001E-2</v>
      </c>
      <c r="AA78" s="113">
        <v>1.2767000000000001E-2</v>
      </c>
      <c r="AB78" s="113">
        <v>1.2767000000000001E-2</v>
      </c>
      <c r="AC78" s="113">
        <v>1.2767000000000001E-2</v>
      </c>
      <c r="AD78" s="113">
        <v>1.2767000000000001E-2</v>
      </c>
      <c r="AE78" s="113">
        <v>1.2767000000000001E-2</v>
      </c>
      <c r="AF78" s="113">
        <v>1.2767000000000001E-2</v>
      </c>
      <c r="AG78" s="113">
        <v>1.2767000000000001E-2</v>
      </c>
    </row>
    <row r="79" spans="1:33">
      <c r="A79" s="113" t="s">
        <v>18727</v>
      </c>
      <c r="B79" s="113" t="s">
        <v>18645</v>
      </c>
      <c r="C79" s="113" t="s">
        <v>1382</v>
      </c>
      <c r="D79" s="113" t="s">
        <v>1392</v>
      </c>
      <c r="E79" s="113" t="s">
        <v>1393</v>
      </c>
      <c r="F79" s="113" t="s">
        <v>598</v>
      </c>
      <c r="G79" s="113" t="s">
        <v>599</v>
      </c>
      <c r="H79" s="113" t="s">
        <v>2266</v>
      </c>
      <c r="I79" s="113" t="s">
        <v>2267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0</v>
      </c>
      <c r="AD79" s="113">
        <v>0</v>
      </c>
      <c r="AE79" s="113">
        <v>0</v>
      </c>
      <c r="AF79" s="113">
        <v>0</v>
      </c>
      <c r="AG79" s="113">
        <v>0</v>
      </c>
    </row>
    <row r="80" spans="1:33">
      <c r="A80" s="113" t="s">
        <v>18727</v>
      </c>
      <c r="B80" s="113" t="s">
        <v>18647</v>
      </c>
      <c r="C80" s="113" t="s">
        <v>1382</v>
      </c>
      <c r="D80" s="113" t="s">
        <v>1316</v>
      </c>
      <c r="E80" s="113" t="s">
        <v>688</v>
      </c>
      <c r="F80" s="113" t="s">
        <v>598</v>
      </c>
      <c r="G80" s="113" t="s">
        <v>599</v>
      </c>
      <c r="H80" s="113" t="s">
        <v>2266</v>
      </c>
      <c r="I80" s="113" t="s">
        <v>2267</v>
      </c>
      <c r="J80" s="113">
        <v>0</v>
      </c>
      <c r="K80" s="113">
        <v>0</v>
      </c>
      <c r="L80" s="113">
        <v>0</v>
      </c>
      <c r="M80" s="113">
        <v>0</v>
      </c>
      <c r="N80" s="113">
        <v>0</v>
      </c>
      <c r="O80" s="113">
        <v>0</v>
      </c>
      <c r="P80" s="113">
        <v>0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v>0</v>
      </c>
      <c r="AC80" s="113">
        <v>0</v>
      </c>
      <c r="AD80" s="113">
        <v>0</v>
      </c>
      <c r="AE80" s="113">
        <v>0</v>
      </c>
      <c r="AF80" s="113">
        <v>0</v>
      </c>
      <c r="AG80" s="113">
        <v>0</v>
      </c>
    </row>
    <row r="81" spans="1:33">
      <c r="A81" s="113" t="s">
        <v>18727</v>
      </c>
      <c r="B81" s="113" t="s">
        <v>18648</v>
      </c>
      <c r="C81" s="113" t="s">
        <v>1382</v>
      </c>
      <c r="D81" s="113" t="s">
        <v>1316</v>
      </c>
      <c r="E81" s="113" t="s">
        <v>626</v>
      </c>
      <c r="F81" s="113" t="s">
        <v>598</v>
      </c>
      <c r="G81" s="113" t="s">
        <v>599</v>
      </c>
      <c r="H81" s="113" t="s">
        <v>2266</v>
      </c>
      <c r="I81" s="113" t="s">
        <v>2267</v>
      </c>
      <c r="J81" s="113">
        <v>0</v>
      </c>
      <c r="K81" s="113">
        <v>0</v>
      </c>
      <c r="L81" s="113">
        <v>0</v>
      </c>
      <c r="M81" s="113">
        <v>0</v>
      </c>
      <c r="N81" s="113">
        <v>0</v>
      </c>
      <c r="O81" s="113">
        <v>0</v>
      </c>
      <c r="P81" s="113">
        <v>0</v>
      </c>
      <c r="Q81" s="113">
        <v>0</v>
      </c>
      <c r="R81" s="113"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v>0</v>
      </c>
      <c r="Z81" s="113">
        <v>0</v>
      </c>
      <c r="AA81" s="113">
        <v>0</v>
      </c>
      <c r="AB81" s="113">
        <v>0</v>
      </c>
      <c r="AC81" s="113">
        <v>0</v>
      </c>
      <c r="AD81" s="113">
        <v>0</v>
      </c>
      <c r="AE81" s="113">
        <v>0</v>
      </c>
      <c r="AF81" s="113">
        <v>0</v>
      </c>
      <c r="AG81" s="113">
        <v>0</v>
      </c>
    </row>
    <row r="82" spans="1:33">
      <c r="A82" s="113" t="s">
        <v>18727</v>
      </c>
      <c r="B82" s="113" t="s">
        <v>18649</v>
      </c>
      <c r="C82" s="113" t="s">
        <v>1382</v>
      </c>
      <c r="D82" s="113" t="s">
        <v>1316</v>
      </c>
      <c r="E82" s="113" t="s">
        <v>1334</v>
      </c>
      <c r="F82" s="113" t="s">
        <v>598</v>
      </c>
      <c r="G82" s="113" t="s">
        <v>599</v>
      </c>
      <c r="H82" s="113" t="s">
        <v>2266</v>
      </c>
      <c r="I82" s="113" t="s">
        <v>2267</v>
      </c>
      <c r="J82" s="113">
        <v>0</v>
      </c>
      <c r="K82" s="113">
        <v>0</v>
      </c>
      <c r="L82" s="113">
        <v>0</v>
      </c>
      <c r="M82" s="113">
        <v>0</v>
      </c>
      <c r="N82" s="113">
        <v>0</v>
      </c>
      <c r="O82" s="113">
        <v>0</v>
      </c>
      <c r="P82" s="113">
        <v>0</v>
      </c>
      <c r="Q82" s="113">
        <v>0</v>
      </c>
      <c r="R82" s="113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v>0</v>
      </c>
      <c r="Z82" s="113">
        <v>0</v>
      </c>
      <c r="AA82" s="113">
        <v>0</v>
      </c>
      <c r="AB82" s="113">
        <v>0</v>
      </c>
      <c r="AC82" s="113">
        <v>0</v>
      </c>
      <c r="AD82" s="113">
        <v>0</v>
      </c>
      <c r="AE82" s="113">
        <v>0</v>
      </c>
      <c r="AF82" s="113">
        <v>0</v>
      </c>
      <c r="AG82" s="113">
        <v>0</v>
      </c>
    </row>
    <row r="83" spans="1:33">
      <c r="A83" s="113" t="s">
        <v>18727</v>
      </c>
      <c r="B83" s="113" t="s">
        <v>18734</v>
      </c>
      <c r="C83" s="113" t="s">
        <v>1382</v>
      </c>
      <c r="D83" s="113" t="s">
        <v>1316</v>
      </c>
      <c r="E83" s="113" t="s">
        <v>1399</v>
      </c>
      <c r="F83" s="113" t="s">
        <v>598</v>
      </c>
      <c r="G83" s="113" t="s">
        <v>599</v>
      </c>
      <c r="H83" s="113" t="s">
        <v>2266</v>
      </c>
      <c r="I83" s="113" t="s">
        <v>2267</v>
      </c>
      <c r="J83" s="113">
        <v>0</v>
      </c>
      <c r="K83" s="113">
        <v>0</v>
      </c>
      <c r="L83" s="113">
        <v>0</v>
      </c>
      <c r="M83" s="113">
        <v>0</v>
      </c>
      <c r="N83" s="113">
        <v>0</v>
      </c>
      <c r="O83" s="113">
        <v>0</v>
      </c>
      <c r="P83" s="113">
        <v>0</v>
      </c>
      <c r="Q83" s="113">
        <v>0</v>
      </c>
      <c r="R83" s="113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v>0</v>
      </c>
      <c r="Z83" s="113">
        <v>0</v>
      </c>
      <c r="AA83" s="113">
        <v>0</v>
      </c>
      <c r="AB83" s="113">
        <v>0</v>
      </c>
      <c r="AC83" s="113">
        <v>0</v>
      </c>
      <c r="AD83" s="113">
        <v>0</v>
      </c>
      <c r="AE83" s="113">
        <v>0</v>
      </c>
      <c r="AF83" s="113">
        <v>0</v>
      </c>
      <c r="AG83" s="113">
        <v>0</v>
      </c>
    </row>
    <row r="84" spans="1:33">
      <c r="A84" s="113" t="s">
        <v>18727</v>
      </c>
      <c r="B84" s="113" t="s">
        <v>18697</v>
      </c>
      <c r="C84" s="113" t="s">
        <v>1382</v>
      </c>
      <c r="D84" s="113" t="s">
        <v>1316</v>
      </c>
      <c r="E84" s="113" t="s">
        <v>1417</v>
      </c>
      <c r="F84" s="113" t="s">
        <v>598</v>
      </c>
      <c r="G84" s="113" t="s">
        <v>599</v>
      </c>
      <c r="H84" s="113" t="s">
        <v>2266</v>
      </c>
      <c r="I84" s="113" t="s">
        <v>2267</v>
      </c>
      <c r="J84" s="113">
        <v>0</v>
      </c>
      <c r="K84" s="113">
        <v>0</v>
      </c>
      <c r="L84" s="113">
        <v>0</v>
      </c>
      <c r="M84" s="113">
        <v>0</v>
      </c>
      <c r="N84" s="113">
        <v>0</v>
      </c>
      <c r="O84" s="113">
        <v>0</v>
      </c>
      <c r="P84" s="113">
        <v>0</v>
      </c>
      <c r="Q84" s="113">
        <v>0</v>
      </c>
      <c r="R84" s="113"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v>0</v>
      </c>
      <c r="Z84" s="113">
        <v>0</v>
      </c>
      <c r="AA84" s="113">
        <v>0</v>
      </c>
      <c r="AB84" s="113">
        <v>0</v>
      </c>
      <c r="AC84" s="113">
        <v>0</v>
      </c>
      <c r="AD84" s="113">
        <v>0</v>
      </c>
      <c r="AE84" s="113">
        <v>0</v>
      </c>
      <c r="AF84" s="113">
        <v>0</v>
      </c>
      <c r="AG84" s="113">
        <v>0</v>
      </c>
    </row>
    <row r="85" spans="1:33">
      <c r="A85" s="113" t="s">
        <v>18727</v>
      </c>
      <c r="B85" s="113" t="s">
        <v>18698</v>
      </c>
      <c r="C85" s="113" t="s">
        <v>1382</v>
      </c>
      <c r="D85" s="113" t="s">
        <v>1316</v>
      </c>
      <c r="E85" s="113" t="s">
        <v>1326</v>
      </c>
      <c r="F85" s="113" t="s">
        <v>598</v>
      </c>
      <c r="G85" s="113" t="s">
        <v>599</v>
      </c>
      <c r="H85" s="113" t="s">
        <v>2266</v>
      </c>
      <c r="I85" s="113" t="s">
        <v>2267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</row>
    <row r="86" spans="1:33">
      <c r="A86" s="113" t="s">
        <v>18727</v>
      </c>
      <c r="B86" s="113" t="s">
        <v>18735</v>
      </c>
      <c r="C86" s="113" t="s">
        <v>1382</v>
      </c>
      <c r="D86" s="113" t="s">
        <v>1316</v>
      </c>
      <c r="E86" s="113" t="s">
        <v>1402</v>
      </c>
      <c r="F86" s="113" t="s">
        <v>598</v>
      </c>
      <c r="G86" s="113" t="s">
        <v>599</v>
      </c>
      <c r="H86" s="113" t="s">
        <v>2266</v>
      </c>
      <c r="I86" s="113" t="s">
        <v>2267</v>
      </c>
      <c r="J86" s="113">
        <v>0</v>
      </c>
      <c r="K86" s="113">
        <v>0</v>
      </c>
      <c r="L86" s="113">
        <v>0</v>
      </c>
      <c r="M86" s="113">
        <v>0</v>
      </c>
      <c r="N86" s="113">
        <v>0</v>
      </c>
      <c r="O86" s="113">
        <v>0</v>
      </c>
      <c r="P86" s="113">
        <v>0</v>
      </c>
      <c r="Q86" s="113">
        <v>0</v>
      </c>
      <c r="R86" s="113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v>0</v>
      </c>
      <c r="Z86" s="113">
        <v>0</v>
      </c>
      <c r="AA86" s="113">
        <v>0</v>
      </c>
      <c r="AB86" s="113">
        <v>0</v>
      </c>
      <c r="AC86" s="113">
        <v>0</v>
      </c>
      <c r="AD86" s="113">
        <v>0</v>
      </c>
      <c r="AE86" s="113">
        <v>0</v>
      </c>
      <c r="AF86" s="113">
        <v>0</v>
      </c>
      <c r="AG86" s="113">
        <v>0</v>
      </c>
    </row>
    <row r="87" spans="1:33">
      <c r="A87" s="113" t="s">
        <v>18727</v>
      </c>
      <c r="B87" s="113" t="s">
        <v>18699</v>
      </c>
      <c r="C87" s="113" t="s">
        <v>1382</v>
      </c>
      <c r="D87" s="113" t="s">
        <v>1316</v>
      </c>
      <c r="E87" s="113" t="s">
        <v>892</v>
      </c>
      <c r="F87" s="113" t="s">
        <v>598</v>
      </c>
      <c r="G87" s="113" t="s">
        <v>599</v>
      </c>
      <c r="H87" s="113" t="s">
        <v>2266</v>
      </c>
      <c r="I87" s="113" t="s">
        <v>2267</v>
      </c>
      <c r="J87" s="113">
        <v>0</v>
      </c>
      <c r="K87" s="113">
        <v>0</v>
      </c>
      <c r="L87" s="113">
        <v>0</v>
      </c>
      <c r="M87" s="113">
        <v>0</v>
      </c>
      <c r="N87" s="113">
        <v>0</v>
      </c>
      <c r="O87" s="113">
        <v>0</v>
      </c>
      <c r="P87" s="113">
        <v>0</v>
      </c>
      <c r="Q87" s="113">
        <v>0</v>
      </c>
      <c r="R87" s="113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13">
        <v>0</v>
      </c>
      <c r="AG87" s="113">
        <v>0</v>
      </c>
    </row>
    <row r="88" spans="1:33">
      <c r="A88" s="113" t="s">
        <v>18727</v>
      </c>
      <c r="B88" s="113" t="s">
        <v>18700</v>
      </c>
      <c r="C88" s="113" t="s">
        <v>1382</v>
      </c>
      <c r="D88" s="113" t="s">
        <v>1316</v>
      </c>
      <c r="E88" s="113" t="s">
        <v>678</v>
      </c>
      <c r="F88" s="113" t="s">
        <v>598</v>
      </c>
      <c r="G88" s="113" t="s">
        <v>599</v>
      </c>
      <c r="H88" s="113" t="s">
        <v>2266</v>
      </c>
      <c r="I88" s="113" t="s">
        <v>2267</v>
      </c>
      <c r="J88" s="113">
        <v>0</v>
      </c>
      <c r="K88" s="113">
        <v>0</v>
      </c>
      <c r="L88" s="113">
        <v>0</v>
      </c>
      <c r="M88" s="113">
        <v>0</v>
      </c>
      <c r="N88" s="113">
        <v>0</v>
      </c>
      <c r="O88" s="113">
        <v>0</v>
      </c>
      <c r="P88" s="113">
        <v>0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  <c r="Z88" s="113">
        <v>0</v>
      </c>
      <c r="AA88" s="113">
        <v>0</v>
      </c>
      <c r="AB88" s="113">
        <v>0</v>
      </c>
      <c r="AC88" s="113">
        <v>0</v>
      </c>
      <c r="AD88" s="113">
        <v>0</v>
      </c>
      <c r="AE88" s="113">
        <v>0</v>
      </c>
      <c r="AF88" s="113">
        <v>0</v>
      </c>
      <c r="AG88" s="113">
        <v>0</v>
      </c>
    </row>
    <row r="89" spans="1:33">
      <c r="A89" s="113" t="s">
        <v>18727</v>
      </c>
      <c r="B89" s="113" t="s">
        <v>18650</v>
      </c>
      <c r="C89" s="113" t="s">
        <v>1382</v>
      </c>
      <c r="D89" s="113" t="s">
        <v>1316</v>
      </c>
      <c r="E89" s="113" t="s">
        <v>1318</v>
      </c>
      <c r="F89" s="113" t="s">
        <v>598</v>
      </c>
      <c r="G89" s="113" t="s">
        <v>599</v>
      </c>
      <c r="H89" s="113" t="s">
        <v>2266</v>
      </c>
      <c r="I89" s="113" t="s">
        <v>2267</v>
      </c>
      <c r="J89" s="113">
        <v>0</v>
      </c>
      <c r="K89" s="113">
        <v>0</v>
      </c>
      <c r="L89" s="113">
        <v>0</v>
      </c>
      <c r="M89" s="113">
        <v>0</v>
      </c>
      <c r="N89" s="113">
        <v>0</v>
      </c>
      <c r="O89" s="113">
        <v>0</v>
      </c>
      <c r="P89" s="113">
        <v>0</v>
      </c>
      <c r="Q89" s="113">
        <v>0</v>
      </c>
      <c r="R89" s="113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>
        <v>0</v>
      </c>
      <c r="AA89" s="113">
        <v>0</v>
      </c>
      <c r="AB89" s="113">
        <v>0</v>
      </c>
      <c r="AC89" s="113">
        <v>0</v>
      </c>
      <c r="AD89" s="113">
        <v>0</v>
      </c>
      <c r="AE89" s="113">
        <v>0</v>
      </c>
      <c r="AF89" s="113">
        <v>0</v>
      </c>
      <c r="AG89" s="113">
        <v>0</v>
      </c>
    </row>
    <row r="90" spans="1:33">
      <c r="A90" s="113" t="s">
        <v>18727</v>
      </c>
      <c r="B90" s="113" t="s">
        <v>18651</v>
      </c>
      <c r="C90" s="113" t="s">
        <v>1382</v>
      </c>
      <c r="D90" s="113" t="s">
        <v>1316</v>
      </c>
      <c r="E90" s="113" t="s">
        <v>1198</v>
      </c>
      <c r="F90" s="113" t="s">
        <v>598</v>
      </c>
      <c r="G90" s="113" t="s">
        <v>599</v>
      </c>
      <c r="H90" s="113" t="s">
        <v>2266</v>
      </c>
      <c r="I90" s="113" t="s">
        <v>2267</v>
      </c>
      <c r="J90" s="113">
        <v>0</v>
      </c>
      <c r="K90" s="113">
        <v>0</v>
      </c>
      <c r="L90" s="113">
        <v>0</v>
      </c>
      <c r="M90" s="113">
        <v>0</v>
      </c>
      <c r="N90" s="113">
        <v>0</v>
      </c>
      <c r="O90" s="113">
        <v>0</v>
      </c>
      <c r="P90" s="113">
        <v>0</v>
      </c>
      <c r="Q90" s="113">
        <v>0</v>
      </c>
      <c r="R90" s="113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0</v>
      </c>
      <c r="AC90" s="113">
        <v>0</v>
      </c>
      <c r="AD90" s="113">
        <v>0</v>
      </c>
      <c r="AE90" s="113">
        <v>0</v>
      </c>
      <c r="AF90" s="113">
        <v>0</v>
      </c>
      <c r="AG90" s="113">
        <v>0</v>
      </c>
    </row>
    <row r="91" spans="1:33">
      <c r="A91" s="113" t="s">
        <v>18727</v>
      </c>
      <c r="B91" s="113" t="s">
        <v>18652</v>
      </c>
      <c r="C91" s="113" t="s">
        <v>1382</v>
      </c>
      <c r="D91" s="113" t="s">
        <v>1316</v>
      </c>
      <c r="E91" s="113" t="s">
        <v>630</v>
      </c>
      <c r="F91" s="113" t="s">
        <v>598</v>
      </c>
      <c r="G91" s="113" t="s">
        <v>599</v>
      </c>
      <c r="H91" s="113" t="s">
        <v>2266</v>
      </c>
      <c r="I91" s="113" t="s">
        <v>2267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3">
        <v>0</v>
      </c>
      <c r="R91" s="113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  <c r="AC91" s="113">
        <v>0</v>
      </c>
      <c r="AD91" s="113">
        <v>0</v>
      </c>
      <c r="AE91" s="113">
        <v>0</v>
      </c>
      <c r="AF91" s="113">
        <v>0</v>
      </c>
      <c r="AG91" s="113">
        <v>0</v>
      </c>
    </row>
    <row r="92" spans="1:33">
      <c r="A92" s="113" t="s">
        <v>18727</v>
      </c>
      <c r="B92" s="113" t="s">
        <v>18653</v>
      </c>
      <c r="C92" s="113" t="s">
        <v>1382</v>
      </c>
      <c r="D92" s="113" t="s">
        <v>1320</v>
      </c>
      <c r="E92" s="113" t="s">
        <v>688</v>
      </c>
      <c r="F92" s="113" t="s">
        <v>598</v>
      </c>
      <c r="G92" s="113" t="s">
        <v>599</v>
      </c>
      <c r="H92" s="113" t="s">
        <v>2266</v>
      </c>
      <c r="I92" s="113" t="s">
        <v>2267</v>
      </c>
      <c r="J92" s="113">
        <v>0</v>
      </c>
      <c r="K92" s="113">
        <v>0</v>
      </c>
      <c r="L92" s="113">
        <v>0</v>
      </c>
      <c r="M92" s="113">
        <v>0</v>
      </c>
      <c r="N92" s="113">
        <v>0</v>
      </c>
      <c r="O92" s="113">
        <v>0</v>
      </c>
      <c r="P92" s="113">
        <v>0</v>
      </c>
      <c r="Q92" s="113">
        <v>0</v>
      </c>
      <c r="R92" s="113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  <c r="AC92" s="113">
        <v>0</v>
      </c>
      <c r="AD92" s="113">
        <v>0</v>
      </c>
      <c r="AE92" s="113">
        <v>0</v>
      </c>
      <c r="AF92" s="113">
        <v>0</v>
      </c>
      <c r="AG92" s="113">
        <v>0</v>
      </c>
    </row>
    <row r="93" spans="1:33">
      <c r="A93" s="113" t="s">
        <v>18727</v>
      </c>
      <c r="B93" s="113" t="s">
        <v>18654</v>
      </c>
      <c r="C93" s="113" t="s">
        <v>1382</v>
      </c>
      <c r="D93" s="113" t="s">
        <v>1320</v>
      </c>
      <c r="E93" s="113" t="s">
        <v>626</v>
      </c>
      <c r="F93" s="113" t="s">
        <v>598</v>
      </c>
      <c r="G93" s="113" t="s">
        <v>599</v>
      </c>
      <c r="H93" s="113" t="s">
        <v>2266</v>
      </c>
      <c r="I93" s="113" t="s">
        <v>2267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3">
        <v>0</v>
      </c>
      <c r="R93" s="113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13">
        <v>0</v>
      </c>
      <c r="AG93" s="113">
        <v>0</v>
      </c>
    </row>
    <row r="94" spans="1:33">
      <c r="A94" s="113" t="s">
        <v>18727</v>
      </c>
      <c r="B94" s="113" t="s">
        <v>18702</v>
      </c>
      <c r="C94" s="113" t="s">
        <v>1382</v>
      </c>
      <c r="D94" s="113" t="s">
        <v>1320</v>
      </c>
      <c r="E94" s="113" t="s">
        <v>750</v>
      </c>
      <c r="F94" s="113" t="s">
        <v>598</v>
      </c>
      <c r="G94" s="113" t="s">
        <v>599</v>
      </c>
      <c r="H94" s="113" t="s">
        <v>2266</v>
      </c>
      <c r="I94" s="113" t="s">
        <v>2267</v>
      </c>
      <c r="J94" s="113">
        <v>0</v>
      </c>
      <c r="K94" s="113">
        <v>0</v>
      </c>
      <c r="L94" s="113">
        <v>0</v>
      </c>
      <c r="M94" s="113">
        <v>0</v>
      </c>
      <c r="N94" s="113">
        <v>0</v>
      </c>
      <c r="O94" s="113">
        <v>0</v>
      </c>
      <c r="P94" s="113">
        <v>0</v>
      </c>
      <c r="Q94" s="113">
        <v>0</v>
      </c>
      <c r="R94" s="113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  <c r="AC94" s="113">
        <v>0</v>
      </c>
      <c r="AD94" s="113">
        <v>0</v>
      </c>
      <c r="AE94" s="113">
        <v>0</v>
      </c>
      <c r="AF94" s="113">
        <v>0</v>
      </c>
      <c r="AG94" s="113">
        <v>0</v>
      </c>
    </row>
    <row r="95" spans="1:33">
      <c r="A95" s="113" t="s">
        <v>18727</v>
      </c>
      <c r="B95" s="113" t="s">
        <v>18722</v>
      </c>
      <c r="C95" s="113" t="s">
        <v>1382</v>
      </c>
      <c r="D95" s="113" t="s">
        <v>1320</v>
      </c>
      <c r="E95" s="113" t="s">
        <v>1402</v>
      </c>
      <c r="F95" s="113" t="s">
        <v>598</v>
      </c>
      <c r="G95" s="113" t="s">
        <v>599</v>
      </c>
      <c r="H95" s="113" t="s">
        <v>2266</v>
      </c>
      <c r="I95" s="113" t="s">
        <v>2267</v>
      </c>
      <c r="J95" s="113">
        <v>0</v>
      </c>
      <c r="K95" s="113">
        <v>0</v>
      </c>
      <c r="L95" s="113">
        <v>0</v>
      </c>
      <c r="M95" s="113">
        <v>0</v>
      </c>
      <c r="N95" s="113">
        <v>0</v>
      </c>
      <c r="O95" s="113">
        <v>0</v>
      </c>
      <c r="P95" s="113">
        <v>0</v>
      </c>
      <c r="Q95" s="113">
        <v>0</v>
      </c>
      <c r="R95" s="113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v>0</v>
      </c>
      <c r="Z95" s="113">
        <v>0</v>
      </c>
      <c r="AA95" s="113">
        <v>0</v>
      </c>
      <c r="AB95" s="113">
        <v>0</v>
      </c>
      <c r="AC95" s="113">
        <v>0</v>
      </c>
      <c r="AD95" s="113">
        <v>0</v>
      </c>
      <c r="AE95" s="113">
        <v>0</v>
      </c>
      <c r="AF95" s="113">
        <v>0</v>
      </c>
      <c r="AG95" s="113">
        <v>0</v>
      </c>
    </row>
    <row r="96" spans="1:33">
      <c r="A96" s="113" t="s">
        <v>18727</v>
      </c>
      <c r="B96" s="113" t="s">
        <v>18723</v>
      </c>
      <c r="C96" s="113" t="s">
        <v>1382</v>
      </c>
      <c r="D96" s="113" t="s">
        <v>1320</v>
      </c>
      <c r="E96" s="113" t="s">
        <v>892</v>
      </c>
      <c r="F96" s="113" t="s">
        <v>598</v>
      </c>
      <c r="G96" s="113" t="s">
        <v>599</v>
      </c>
      <c r="H96" s="113" t="s">
        <v>2266</v>
      </c>
      <c r="I96" s="113" t="s">
        <v>2267</v>
      </c>
      <c r="J96" s="113">
        <v>0</v>
      </c>
      <c r="K96" s="113">
        <v>0</v>
      </c>
      <c r="L96" s="113">
        <v>0</v>
      </c>
      <c r="M96" s="113">
        <v>0</v>
      </c>
      <c r="N96" s="113">
        <v>0</v>
      </c>
      <c r="O96" s="113">
        <v>0</v>
      </c>
      <c r="P96" s="113">
        <v>0</v>
      </c>
      <c r="Q96" s="113">
        <v>0</v>
      </c>
      <c r="R96" s="113"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v>0</v>
      </c>
      <c r="Z96" s="113">
        <v>0</v>
      </c>
      <c r="AA96" s="113">
        <v>0</v>
      </c>
      <c r="AB96" s="113">
        <v>0</v>
      </c>
      <c r="AC96" s="113">
        <v>0</v>
      </c>
      <c r="AD96" s="113">
        <v>0</v>
      </c>
      <c r="AE96" s="113">
        <v>0</v>
      </c>
      <c r="AF96" s="113">
        <v>0</v>
      </c>
      <c r="AG96" s="113">
        <v>0</v>
      </c>
    </row>
    <row r="97" spans="1:33">
      <c r="A97" s="113" t="s">
        <v>18727</v>
      </c>
      <c r="B97" s="113" t="s">
        <v>18655</v>
      </c>
      <c r="C97" s="113" t="s">
        <v>1382</v>
      </c>
      <c r="D97" s="113" t="s">
        <v>1320</v>
      </c>
      <c r="E97" s="113" t="s">
        <v>678</v>
      </c>
      <c r="F97" s="113" t="s">
        <v>598</v>
      </c>
      <c r="G97" s="113" t="s">
        <v>599</v>
      </c>
      <c r="H97" s="113" t="s">
        <v>2266</v>
      </c>
      <c r="I97" s="113" t="s">
        <v>2267</v>
      </c>
      <c r="J97" s="113">
        <v>0</v>
      </c>
      <c r="K97" s="113">
        <v>0</v>
      </c>
      <c r="L97" s="113">
        <v>0</v>
      </c>
      <c r="M97" s="113">
        <v>0</v>
      </c>
      <c r="N97" s="113">
        <v>0</v>
      </c>
      <c r="O97" s="113">
        <v>0</v>
      </c>
      <c r="P97" s="113">
        <v>0</v>
      </c>
      <c r="Q97" s="113">
        <v>0</v>
      </c>
      <c r="R97" s="113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v>0</v>
      </c>
      <c r="Z97" s="113">
        <v>0</v>
      </c>
      <c r="AA97" s="113">
        <v>0</v>
      </c>
      <c r="AB97" s="113">
        <v>0</v>
      </c>
      <c r="AC97" s="113">
        <v>0</v>
      </c>
      <c r="AD97" s="113">
        <v>0</v>
      </c>
      <c r="AE97" s="113">
        <v>0</v>
      </c>
      <c r="AF97" s="113">
        <v>0</v>
      </c>
      <c r="AG97" s="113">
        <v>0</v>
      </c>
    </row>
    <row r="98" spans="1:33">
      <c r="A98" s="113" t="s">
        <v>18727</v>
      </c>
      <c r="B98" s="113" t="s">
        <v>18736</v>
      </c>
      <c r="C98" s="113" t="s">
        <v>1382</v>
      </c>
      <c r="D98" s="113" t="s">
        <v>1320</v>
      </c>
      <c r="E98" s="113" t="s">
        <v>1198</v>
      </c>
      <c r="F98" s="113" t="s">
        <v>598</v>
      </c>
      <c r="G98" s="113" t="s">
        <v>599</v>
      </c>
      <c r="H98" s="113" t="s">
        <v>2266</v>
      </c>
      <c r="I98" s="113" t="s">
        <v>2267</v>
      </c>
      <c r="J98" s="113">
        <v>0</v>
      </c>
      <c r="K98" s="113">
        <v>0</v>
      </c>
      <c r="L98" s="113">
        <v>0</v>
      </c>
      <c r="M98" s="113">
        <v>0</v>
      </c>
      <c r="N98" s="113">
        <v>0</v>
      </c>
      <c r="O98" s="113">
        <v>0</v>
      </c>
      <c r="P98" s="113">
        <v>0</v>
      </c>
      <c r="Q98" s="113">
        <v>0</v>
      </c>
      <c r="R98" s="113"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v>0</v>
      </c>
      <c r="Z98" s="113">
        <v>0</v>
      </c>
      <c r="AA98" s="113">
        <v>0</v>
      </c>
      <c r="AB98" s="113">
        <v>0</v>
      </c>
      <c r="AC98" s="113">
        <v>0</v>
      </c>
      <c r="AD98" s="113">
        <v>0</v>
      </c>
      <c r="AE98" s="113">
        <v>0</v>
      </c>
      <c r="AF98" s="113">
        <v>0</v>
      </c>
      <c r="AG98" s="113">
        <v>0</v>
      </c>
    </row>
    <row r="99" spans="1:33">
      <c r="A99" s="113" t="s">
        <v>18727</v>
      </c>
      <c r="B99" s="113" t="s">
        <v>18657</v>
      </c>
      <c r="C99" s="113" t="s">
        <v>1382</v>
      </c>
      <c r="D99" s="113" t="s">
        <v>1324</v>
      </c>
      <c r="E99" s="113" t="s">
        <v>688</v>
      </c>
      <c r="F99" s="113" t="s">
        <v>598</v>
      </c>
      <c r="G99" s="113" t="s">
        <v>599</v>
      </c>
      <c r="H99" s="113" t="s">
        <v>2266</v>
      </c>
      <c r="I99" s="113" t="s">
        <v>2267</v>
      </c>
      <c r="J99" s="113">
        <v>0</v>
      </c>
      <c r="K99" s="113">
        <v>0</v>
      </c>
      <c r="L99" s="113">
        <v>0</v>
      </c>
      <c r="M99" s="113">
        <v>0</v>
      </c>
      <c r="N99" s="113">
        <v>0</v>
      </c>
      <c r="O99" s="113">
        <v>0</v>
      </c>
      <c r="P99" s="113">
        <v>0</v>
      </c>
      <c r="Q99" s="113">
        <v>0</v>
      </c>
      <c r="R99" s="113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v>0</v>
      </c>
      <c r="Z99" s="113">
        <v>0</v>
      </c>
      <c r="AA99" s="113">
        <v>0</v>
      </c>
      <c r="AB99" s="113">
        <v>0</v>
      </c>
      <c r="AC99" s="113">
        <v>0</v>
      </c>
      <c r="AD99" s="113">
        <v>0</v>
      </c>
      <c r="AE99" s="113">
        <v>0</v>
      </c>
      <c r="AF99" s="113">
        <v>0</v>
      </c>
      <c r="AG99" s="113">
        <v>0</v>
      </c>
    </row>
    <row r="100" spans="1:33">
      <c r="A100" s="113" t="s">
        <v>18727</v>
      </c>
      <c r="B100" s="113" t="s">
        <v>18704</v>
      </c>
      <c r="C100" s="113" t="s">
        <v>1382</v>
      </c>
      <c r="D100" s="113" t="s">
        <v>1324</v>
      </c>
      <c r="E100" s="113" t="s">
        <v>1334</v>
      </c>
      <c r="F100" s="113" t="s">
        <v>598</v>
      </c>
      <c r="G100" s="113" t="s">
        <v>599</v>
      </c>
      <c r="H100" s="113" t="s">
        <v>2266</v>
      </c>
      <c r="I100" s="113" t="s">
        <v>2267</v>
      </c>
      <c r="J100" s="113">
        <v>0</v>
      </c>
      <c r="K100" s="113">
        <v>0</v>
      </c>
      <c r="L100" s="113">
        <v>0</v>
      </c>
      <c r="M100" s="113">
        <v>0</v>
      </c>
      <c r="N100" s="113">
        <v>0</v>
      </c>
      <c r="O100" s="113">
        <v>0</v>
      </c>
      <c r="P100" s="113">
        <v>0</v>
      </c>
      <c r="Q100" s="113">
        <v>0</v>
      </c>
      <c r="R100" s="113"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v>0</v>
      </c>
      <c r="Z100" s="113">
        <v>0</v>
      </c>
      <c r="AA100" s="113">
        <v>0</v>
      </c>
      <c r="AB100" s="113">
        <v>0</v>
      </c>
      <c r="AC100" s="113">
        <v>0</v>
      </c>
      <c r="AD100" s="113">
        <v>0</v>
      </c>
      <c r="AE100" s="113">
        <v>0</v>
      </c>
      <c r="AF100" s="113">
        <v>0</v>
      </c>
      <c r="AG100" s="113">
        <v>0</v>
      </c>
    </row>
    <row r="101" spans="1:33">
      <c r="A101" s="113" t="s">
        <v>18727</v>
      </c>
      <c r="B101" s="113" t="s">
        <v>18705</v>
      </c>
      <c r="C101" s="113" t="s">
        <v>1382</v>
      </c>
      <c r="D101" s="113" t="s">
        <v>1324</v>
      </c>
      <c r="E101" s="113" t="s">
        <v>1417</v>
      </c>
      <c r="F101" s="113" t="s">
        <v>598</v>
      </c>
      <c r="G101" s="113" t="s">
        <v>599</v>
      </c>
      <c r="H101" s="113" t="s">
        <v>2266</v>
      </c>
      <c r="I101" s="113" t="s">
        <v>2267</v>
      </c>
      <c r="J101" s="113">
        <v>0</v>
      </c>
      <c r="K101" s="113">
        <v>0</v>
      </c>
      <c r="L101" s="113">
        <v>0</v>
      </c>
      <c r="M101" s="113">
        <v>0</v>
      </c>
      <c r="N101" s="113">
        <v>0</v>
      </c>
      <c r="O101" s="113">
        <v>0</v>
      </c>
      <c r="P101" s="113">
        <v>0</v>
      </c>
      <c r="Q101" s="113">
        <v>0</v>
      </c>
      <c r="R101" s="113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v>0</v>
      </c>
      <c r="AC101" s="113">
        <v>0</v>
      </c>
      <c r="AD101" s="113">
        <v>0</v>
      </c>
      <c r="AE101" s="113">
        <v>0</v>
      </c>
      <c r="AF101" s="113">
        <v>0</v>
      </c>
      <c r="AG101" s="113">
        <v>0</v>
      </c>
    </row>
    <row r="102" spans="1:33">
      <c r="A102" s="113" t="s">
        <v>18727</v>
      </c>
      <c r="B102" s="113" t="s">
        <v>18658</v>
      </c>
      <c r="C102" s="113" t="s">
        <v>1382</v>
      </c>
      <c r="D102" s="113" t="s">
        <v>1324</v>
      </c>
      <c r="E102" s="113" t="s">
        <v>1326</v>
      </c>
      <c r="F102" s="113" t="s">
        <v>598</v>
      </c>
      <c r="G102" s="113" t="s">
        <v>599</v>
      </c>
      <c r="H102" s="113" t="s">
        <v>2266</v>
      </c>
      <c r="I102" s="113" t="s">
        <v>2267</v>
      </c>
      <c r="J102" s="113">
        <v>0</v>
      </c>
      <c r="K102" s="113">
        <v>0</v>
      </c>
      <c r="L102" s="113">
        <v>0</v>
      </c>
      <c r="M102" s="113">
        <v>0</v>
      </c>
      <c r="N102" s="113">
        <v>0</v>
      </c>
      <c r="O102" s="113">
        <v>0</v>
      </c>
      <c r="P102" s="113">
        <v>0</v>
      </c>
      <c r="Q102" s="113">
        <v>0</v>
      </c>
      <c r="R102" s="113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v>0</v>
      </c>
      <c r="Z102" s="113">
        <v>0</v>
      </c>
      <c r="AA102" s="113">
        <v>0</v>
      </c>
      <c r="AB102" s="113">
        <v>0</v>
      </c>
      <c r="AC102" s="113">
        <v>0</v>
      </c>
      <c r="AD102" s="113">
        <v>0</v>
      </c>
      <c r="AE102" s="113">
        <v>0</v>
      </c>
      <c r="AF102" s="113">
        <v>0</v>
      </c>
      <c r="AG102" s="113">
        <v>0</v>
      </c>
    </row>
    <row r="103" spans="1:33">
      <c r="A103" s="113" t="s">
        <v>18727</v>
      </c>
      <c r="B103" s="113" t="s">
        <v>18659</v>
      </c>
      <c r="C103" s="113" t="s">
        <v>1382</v>
      </c>
      <c r="D103" s="113" t="s">
        <v>1324</v>
      </c>
      <c r="E103" s="113" t="s">
        <v>1402</v>
      </c>
      <c r="F103" s="113" t="s">
        <v>598</v>
      </c>
      <c r="G103" s="113" t="s">
        <v>599</v>
      </c>
      <c r="H103" s="113" t="s">
        <v>2266</v>
      </c>
      <c r="I103" s="113" t="s">
        <v>2267</v>
      </c>
      <c r="J103" s="113">
        <v>0</v>
      </c>
      <c r="K103" s="113">
        <v>0</v>
      </c>
      <c r="L103" s="113">
        <v>0</v>
      </c>
      <c r="M103" s="113">
        <v>0</v>
      </c>
      <c r="N103" s="113">
        <v>0</v>
      </c>
      <c r="O103" s="113">
        <v>0</v>
      </c>
      <c r="P103" s="113">
        <v>0</v>
      </c>
      <c r="Q103" s="113">
        <v>0</v>
      </c>
      <c r="R103" s="113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v>0</v>
      </c>
      <c r="Z103" s="113">
        <v>0</v>
      </c>
      <c r="AA103" s="113">
        <v>0</v>
      </c>
      <c r="AB103" s="113">
        <v>0</v>
      </c>
      <c r="AC103" s="113">
        <v>0</v>
      </c>
      <c r="AD103" s="113">
        <v>0</v>
      </c>
      <c r="AE103" s="113">
        <v>0</v>
      </c>
      <c r="AF103" s="113">
        <v>0</v>
      </c>
      <c r="AG103" s="113">
        <v>0</v>
      </c>
    </row>
    <row r="104" spans="1:33">
      <c r="A104" s="113" t="s">
        <v>18727</v>
      </c>
      <c r="B104" s="113" t="s">
        <v>18737</v>
      </c>
      <c r="C104" s="113" t="s">
        <v>1382</v>
      </c>
      <c r="D104" s="113" t="s">
        <v>1324</v>
      </c>
      <c r="E104" s="113" t="s">
        <v>892</v>
      </c>
      <c r="F104" s="113" t="s">
        <v>598</v>
      </c>
      <c r="G104" s="113" t="s">
        <v>599</v>
      </c>
      <c r="H104" s="113" t="s">
        <v>2266</v>
      </c>
      <c r="I104" s="113" t="s">
        <v>2267</v>
      </c>
      <c r="J104" s="113">
        <v>0</v>
      </c>
      <c r="K104" s="113">
        <v>0</v>
      </c>
      <c r="L104" s="113">
        <v>0</v>
      </c>
      <c r="M104" s="113">
        <v>0</v>
      </c>
      <c r="N104" s="113">
        <v>0</v>
      </c>
      <c r="O104" s="113">
        <v>0</v>
      </c>
      <c r="P104" s="113">
        <v>0</v>
      </c>
      <c r="Q104" s="113">
        <v>0</v>
      </c>
      <c r="R104" s="113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v>0</v>
      </c>
      <c r="Z104" s="113">
        <v>0</v>
      </c>
      <c r="AA104" s="113">
        <v>0</v>
      </c>
      <c r="AB104" s="113">
        <v>0</v>
      </c>
      <c r="AC104" s="113">
        <v>0</v>
      </c>
      <c r="AD104" s="113">
        <v>0</v>
      </c>
      <c r="AE104" s="113">
        <v>0</v>
      </c>
      <c r="AF104" s="113">
        <v>0</v>
      </c>
      <c r="AG104" s="113">
        <v>0</v>
      </c>
    </row>
    <row r="105" spans="1:33">
      <c r="A105" s="113" t="s">
        <v>18727</v>
      </c>
      <c r="B105" s="113" t="s">
        <v>18706</v>
      </c>
      <c r="C105" s="113" t="s">
        <v>1382</v>
      </c>
      <c r="D105" s="113" t="s">
        <v>1324</v>
      </c>
      <c r="E105" s="113" t="s">
        <v>669</v>
      </c>
      <c r="F105" s="113" t="s">
        <v>598</v>
      </c>
      <c r="G105" s="113" t="s">
        <v>599</v>
      </c>
      <c r="H105" s="113" t="s">
        <v>2266</v>
      </c>
      <c r="I105" s="113" t="s">
        <v>2267</v>
      </c>
      <c r="J105" s="113">
        <v>0</v>
      </c>
      <c r="K105" s="113">
        <v>0</v>
      </c>
      <c r="L105" s="113">
        <v>0</v>
      </c>
      <c r="M105" s="113">
        <v>0</v>
      </c>
      <c r="N105" s="113">
        <v>0</v>
      </c>
      <c r="O105" s="113">
        <v>0</v>
      </c>
      <c r="P105" s="113">
        <v>0</v>
      </c>
      <c r="Q105" s="113">
        <v>0</v>
      </c>
      <c r="R105" s="113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v>0</v>
      </c>
      <c r="Z105" s="113">
        <v>0</v>
      </c>
      <c r="AA105" s="113">
        <v>0</v>
      </c>
      <c r="AB105" s="113">
        <v>0</v>
      </c>
      <c r="AC105" s="113">
        <v>0</v>
      </c>
      <c r="AD105" s="113">
        <v>0</v>
      </c>
      <c r="AE105" s="113">
        <v>0</v>
      </c>
      <c r="AF105" s="113">
        <v>0</v>
      </c>
      <c r="AG105" s="113">
        <v>0</v>
      </c>
    </row>
    <row r="106" spans="1:33">
      <c r="A106" s="113" t="s">
        <v>18727</v>
      </c>
      <c r="B106" s="113" t="s">
        <v>18660</v>
      </c>
      <c r="C106" s="113" t="s">
        <v>1382</v>
      </c>
      <c r="D106" s="113" t="s">
        <v>1324</v>
      </c>
      <c r="E106" s="113" t="s">
        <v>1318</v>
      </c>
      <c r="F106" s="113" t="s">
        <v>598</v>
      </c>
      <c r="G106" s="113" t="s">
        <v>599</v>
      </c>
      <c r="H106" s="113" t="s">
        <v>2266</v>
      </c>
      <c r="I106" s="113" t="s">
        <v>2267</v>
      </c>
      <c r="J106" s="113">
        <v>0</v>
      </c>
      <c r="K106" s="113">
        <v>0</v>
      </c>
      <c r="L106" s="113">
        <v>0</v>
      </c>
      <c r="M106" s="113">
        <v>0</v>
      </c>
      <c r="N106" s="113">
        <v>0</v>
      </c>
      <c r="O106" s="113">
        <v>0</v>
      </c>
      <c r="P106" s="113">
        <v>0</v>
      </c>
      <c r="Q106" s="113">
        <v>0</v>
      </c>
      <c r="R106" s="113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v>0</v>
      </c>
      <c r="Z106" s="113">
        <v>0</v>
      </c>
      <c r="AA106" s="113">
        <v>0</v>
      </c>
      <c r="AB106" s="113">
        <v>0</v>
      </c>
      <c r="AC106" s="113">
        <v>0</v>
      </c>
      <c r="AD106" s="113">
        <v>0</v>
      </c>
      <c r="AE106" s="113">
        <v>0</v>
      </c>
      <c r="AF106" s="113">
        <v>0</v>
      </c>
      <c r="AG106" s="113">
        <v>0</v>
      </c>
    </row>
    <row r="107" spans="1:33">
      <c r="A107" s="113" t="s">
        <v>18727</v>
      </c>
      <c r="B107" s="113" t="s">
        <v>18661</v>
      </c>
      <c r="C107" s="113" t="s">
        <v>1382</v>
      </c>
      <c r="D107" s="113" t="s">
        <v>1324</v>
      </c>
      <c r="E107" s="113" t="s">
        <v>1423</v>
      </c>
      <c r="F107" s="113" t="s">
        <v>598</v>
      </c>
      <c r="G107" s="113" t="s">
        <v>599</v>
      </c>
      <c r="H107" s="113" t="s">
        <v>2266</v>
      </c>
      <c r="I107" s="113" t="s">
        <v>2267</v>
      </c>
      <c r="J107" s="113">
        <v>0</v>
      </c>
      <c r="K107" s="113">
        <v>0</v>
      </c>
      <c r="L107" s="113">
        <v>0</v>
      </c>
      <c r="M107" s="113">
        <v>0</v>
      </c>
      <c r="N107" s="113">
        <v>0</v>
      </c>
      <c r="O107" s="113">
        <v>0</v>
      </c>
      <c r="P107" s="113">
        <v>0</v>
      </c>
      <c r="Q107" s="113">
        <v>0</v>
      </c>
      <c r="R107" s="113"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v>0</v>
      </c>
      <c r="X107" s="113">
        <v>0</v>
      </c>
      <c r="Y107" s="113">
        <v>0</v>
      </c>
      <c r="Z107" s="113">
        <v>0</v>
      </c>
      <c r="AA107" s="113">
        <v>0</v>
      </c>
      <c r="AB107" s="113">
        <v>0</v>
      </c>
      <c r="AC107" s="113">
        <v>0</v>
      </c>
      <c r="AD107" s="113">
        <v>0</v>
      </c>
      <c r="AE107" s="113">
        <v>0</v>
      </c>
      <c r="AF107" s="113">
        <v>0</v>
      </c>
      <c r="AG107" s="113">
        <v>0</v>
      </c>
    </row>
    <row r="108" spans="1:33">
      <c r="A108" s="113" t="s">
        <v>18727</v>
      </c>
      <c r="B108" s="113" t="s">
        <v>18738</v>
      </c>
      <c r="C108" s="113" t="s">
        <v>1382</v>
      </c>
      <c r="D108" s="113" t="s">
        <v>1324</v>
      </c>
      <c r="E108" s="113" t="s">
        <v>1198</v>
      </c>
      <c r="F108" s="113" t="s">
        <v>598</v>
      </c>
      <c r="G108" s="113" t="s">
        <v>599</v>
      </c>
      <c r="H108" s="113" t="s">
        <v>2266</v>
      </c>
      <c r="I108" s="113" t="s">
        <v>2267</v>
      </c>
      <c r="J108" s="113">
        <v>0</v>
      </c>
      <c r="K108" s="113">
        <v>0</v>
      </c>
      <c r="L108" s="113">
        <v>0</v>
      </c>
      <c r="M108" s="113">
        <v>0</v>
      </c>
      <c r="N108" s="113">
        <v>0</v>
      </c>
      <c r="O108" s="113">
        <v>0</v>
      </c>
      <c r="P108" s="113">
        <v>0</v>
      </c>
      <c r="Q108" s="113">
        <v>0</v>
      </c>
      <c r="R108" s="113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v>0</v>
      </c>
      <c r="Z108" s="113">
        <v>0</v>
      </c>
      <c r="AA108" s="113">
        <v>0</v>
      </c>
      <c r="AB108" s="113">
        <v>0</v>
      </c>
      <c r="AC108" s="113">
        <v>0</v>
      </c>
      <c r="AD108" s="113">
        <v>0</v>
      </c>
      <c r="AE108" s="113">
        <v>0</v>
      </c>
      <c r="AF108" s="113">
        <v>0</v>
      </c>
      <c r="AG108" s="113">
        <v>0</v>
      </c>
    </row>
    <row r="109" spans="1:33">
      <c r="A109" s="113" t="s">
        <v>18727</v>
      </c>
      <c r="B109" s="113" t="s">
        <v>18663</v>
      </c>
      <c r="C109" s="113" t="s">
        <v>1382</v>
      </c>
      <c r="D109" s="113" t="s">
        <v>1324</v>
      </c>
      <c r="E109" s="113" t="s">
        <v>1028</v>
      </c>
      <c r="F109" s="113" t="s">
        <v>598</v>
      </c>
      <c r="G109" s="113" t="s">
        <v>599</v>
      </c>
      <c r="H109" s="113" t="s">
        <v>2266</v>
      </c>
      <c r="I109" s="113" t="s">
        <v>2267</v>
      </c>
      <c r="J109" s="113">
        <v>0</v>
      </c>
      <c r="K109" s="113">
        <v>0</v>
      </c>
      <c r="L109" s="113">
        <v>0</v>
      </c>
      <c r="M109" s="113">
        <v>0</v>
      </c>
      <c r="N109" s="113">
        <v>0</v>
      </c>
      <c r="O109" s="113">
        <v>0</v>
      </c>
      <c r="P109" s="113">
        <v>0</v>
      </c>
      <c r="Q109" s="113">
        <v>0</v>
      </c>
      <c r="R109" s="113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v>0</v>
      </c>
      <c r="Z109" s="113">
        <v>0</v>
      </c>
      <c r="AA109" s="113">
        <v>0</v>
      </c>
      <c r="AB109" s="113">
        <v>0</v>
      </c>
      <c r="AC109" s="113">
        <v>0</v>
      </c>
      <c r="AD109" s="113">
        <v>0</v>
      </c>
      <c r="AE109" s="113">
        <v>0</v>
      </c>
      <c r="AF109" s="113">
        <v>0</v>
      </c>
      <c r="AG109" s="113">
        <v>0</v>
      </c>
    </row>
    <row r="110" spans="1:33">
      <c r="A110" s="113" t="s">
        <v>18727</v>
      </c>
      <c r="B110" s="113" t="s">
        <v>18739</v>
      </c>
      <c r="C110" s="113" t="s">
        <v>1382</v>
      </c>
      <c r="D110" s="113" t="s">
        <v>1324</v>
      </c>
      <c r="E110" s="113" t="s">
        <v>18740</v>
      </c>
      <c r="F110" s="113" t="s">
        <v>598</v>
      </c>
      <c r="G110" s="113" t="s">
        <v>599</v>
      </c>
      <c r="H110" s="113" t="s">
        <v>2266</v>
      </c>
      <c r="I110" s="113" t="s">
        <v>2267</v>
      </c>
      <c r="J110" s="113">
        <v>0</v>
      </c>
      <c r="K110" s="113">
        <v>0</v>
      </c>
      <c r="L110" s="113">
        <v>0</v>
      </c>
      <c r="M110" s="113">
        <v>0</v>
      </c>
      <c r="N110" s="113">
        <v>0</v>
      </c>
      <c r="O110" s="113">
        <v>0</v>
      </c>
      <c r="P110" s="113">
        <v>0</v>
      </c>
      <c r="Q110" s="113">
        <v>0</v>
      </c>
      <c r="R110" s="113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v>0</v>
      </c>
      <c r="Z110" s="113">
        <v>0</v>
      </c>
      <c r="AA110" s="113">
        <v>0</v>
      </c>
      <c r="AB110" s="113">
        <v>0</v>
      </c>
      <c r="AC110" s="113">
        <v>0</v>
      </c>
      <c r="AD110" s="113">
        <v>0</v>
      </c>
      <c r="AE110" s="113">
        <v>0</v>
      </c>
      <c r="AF110" s="113">
        <v>0</v>
      </c>
      <c r="AG110" s="113">
        <v>0</v>
      </c>
    </row>
    <row r="111" spans="1:33">
      <c r="A111" s="113" t="s">
        <v>18727</v>
      </c>
      <c r="B111" s="113" t="s">
        <v>18741</v>
      </c>
      <c r="C111" s="113" t="s">
        <v>1382</v>
      </c>
      <c r="D111" s="113" t="s">
        <v>1324</v>
      </c>
      <c r="E111" s="113" t="s">
        <v>1676</v>
      </c>
      <c r="F111" s="113" t="s">
        <v>598</v>
      </c>
      <c r="G111" s="113" t="s">
        <v>599</v>
      </c>
      <c r="H111" s="113" t="s">
        <v>2266</v>
      </c>
      <c r="I111" s="113" t="s">
        <v>2267</v>
      </c>
      <c r="J111" s="113">
        <v>0</v>
      </c>
      <c r="K111" s="113">
        <v>0</v>
      </c>
      <c r="L111" s="113">
        <v>0</v>
      </c>
      <c r="M111" s="113">
        <v>0</v>
      </c>
      <c r="N111" s="113">
        <v>0</v>
      </c>
      <c r="O111" s="113">
        <v>0</v>
      </c>
      <c r="P111" s="113">
        <v>0</v>
      </c>
      <c r="Q111" s="113">
        <v>0</v>
      </c>
      <c r="R111" s="113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v>0</v>
      </c>
      <c r="Z111" s="113">
        <v>0</v>
      </c>
      <c r="AA111" s="113">
        <v>0</v>
      </c>
      <c r="AB111" s="113">
        <v>0</v>
      </c>
      <c r="AC111" s="113">
        <v>0</v>
      </c>
      <c r="AD111" s="113">
        <v>0</v>
      </c>
      <c r="AE111" s="113">
        <v>0</v>
      </c>
      <c r="AF111" s="113">
        <v>0</v>
      </c>
      <c r="AG111" s="113">
        <v>0</v>
      </c>
    </row>
    <row r="112" spans="1:33">
      <c r="A112" s="113" t="s">
        <v>18727</v>
      </c>
      <c r="B112" s="113" t="s">
        <v>18665</v>
      </c>
      <c r="C112" s="113" t="s">
        <v>1382</v>
      </c>
      <c r="D112" s="113" t="s">
        <v>1324</v>
      </c>
      <c r="E112" s="113" t="s">
        <v>1058</v>
      </c>
      <c r="F112" s="113" t="s">
        <v>598</v>
      </c>
      <c r="G112" s="113" t="s">
        <v>599</v>
      </c>
      <c r="H112" s="113" t="s">
        <v>2266</v>
      </c>
      <c r="I112" s="113" t="s">
        <v>2267</v>
      </c>
      <c r="J112" s="113">
        <v>0</v>
      </c>
      <c r="K112" s="113">
        <v>0</v>
      </c>
      <c r="L112" s="113">
        <v>0</v>
      </c>
      <c r="M112" s="113">
        <v>0</v>
      </c>
      <c r="N112" s="113">
        <v>0</v>
      </c>
      <c r="O112" s="113">
        <v>0</v>
      </c>
      <c r="P112" s="113">
        <v>0</v>
      </c>
      <c r="Q112" s="113">
        <v>0</v>
      </c>
      <c r="R112" s="113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v>0</v>
      </c>
      <c r="Z112" s="113">
        <v>0</v>
      </c>
      <c r="AA112" s="113">
        <v>0</v>
      </c>
      <c r="AB112" s="113">
        <v>0</v>
      </c>
      <c r="AC112" s="113">
        <v>0</v>
      </c>
      <c r="AD112" s="113">
        <v>0</v>
      </c>
      <c r="AE112" s="113">
        <v>0</v>
      </c>
      <c r="AF112" s="113">
        <v>0</v>
      </c>
      <c r="AG112" s="113">
        <v>0</v>
      </c>
    </row>
    <row r="113" spans="1:33">
      <c r="A113" s="113" t="s">
        <v>18727</v>
      </c>
      <c r="B113" s="113" t="s">
        <v>18707</v>
      </c>
      <c r="C113" s="113" t="s">
        <v>1382</v>
      </c>
      <c r="D113" s="113" t="s">
        <v>1332</v>
      </c>
      <c r="E113" s="113" t="s">
        <v>1512</v>
      </c>
      <c r="F113" s="113" t="s">
        <v>598</v>
      </c>
      <c r="G113" s="113" t="s">
        <v>599</v>
      </c>
      <c r="H113" s="113" t="s">
        <v>2266</v>
      </c>
      <c r="I113" s="113" t="s">
        <v>2267</v>
      </c>
      <c r="J113" s="113">
        <v>0</v>
      </c>
      <c r="K113" s="113">
        <v>0</v>
      </c>
      <c r="L113" s="113">
        <v>0</v>
      </c>
      <c r="M113" s="113">
        <v>0</v>
      </c>
      <c r="N113" s="113">
        <v>0</v>
      </c>
      <c r="O113" s="113"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113">
        <v>0</v>
      </c>
      <c r="AE113" s="113">
        <v>0</v>
      </c>
      <c r="AF113" s="113">
        <v>0</v>
      </c>
      <c r="AG113" s="113">
        <v>0</v>
      </c>
    </row>
    <row r="114" spans="1:33">
      <c r="A114" s="113" t="s">
        <v>18727</v>
      </c>
      <c r="B114" s="113" t="s">
        <v>18667</v>
      </c>
      <c r="C114" s="113" t="s">
        <v>1382</v>
      </c>
      <c r="D114" s="113" t="s">
        <v>1332</v>
      </c>
      <c r="E114" s="113" t="s">
        <v>688</v>
      </c>
      <c r="F114" s="113" t="s">
        <v>598</v>
      </c>
      <c r="G114" s="113" t="s">
        <v>599</v>
      </c>
      <c r="H114" s="113" t="s">
        <v>2266</v>
      </c>
      <c r="I114" s="113" t="s">
        <v>2267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0</v>
      </c>
      <c r="AF114" s="113">
        <v>0</v>
      </c>
      <c r="AG114" s="113">
        <v>0</v>
      </c>
    </row>
    <row r="115" spans="1:33">
      <c r="A115" s="113" t="s">
        <v>18727</v>
      </c>
      <c r="B115" s="113" t="s">
        <v>18668</v>
      </c>
      <c r="C115" s="113" t="s">
        <v>1382</v>
      </c>
      <c r="D115" s="113" t="s">
        <v>1332</v>
      </c>
      <c r="E115" s="113" t="s">
        <v>1334</v>
      </c>
      <c r="F115" s="113" t="s">
        <v>598</v>
      </c>
      <c r="G115" s="113" t="s">
        <v>599</v>
      </c>
      <c r="H115" s="113" t="s">
        <v>2266</v>
      </c>
      <c r="I115" s="113" t="s">
        <v>2267</v>
      </c>
      <c r="J115" s="113">
        <v>0</v>
      </c>
      <c r="K115" s="113">
        <v>0</v>
      </c>
      <c r="L115" s="113">
        <v>0</v>
      </c>
      <c r="M115" s="113">
        <v>0</v>
      </c>
      <c r="N115" s="113">
        <v>0</v>
      </c>
      <c r="O115" s="113"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  <c r="AC115" s="113">
        <v>0</v>
      </c>
      <c r="AD115" s="113">
        <v>0</v>
      </c>
      <c r="AE115" s="113">
        <v>0</v>
      </c>
      <c r="AF115" s="113">
        <v>0</v>
      </c>
      <c r="AG115" s="113">
        <v>0</v>
      </c>
    </row>
    <row r="116" spans="1:33">
      <c r="A116" s="113" t="s">
        <v>18727</v>
      </c>
      <c r="B116" s="113" t="s">
        <v>18669</v>
      </c>
      <c r="C116" s="113" t="s">
        <v>1382</v>
      </c>
      <c r="D116" s="113" t="s">
        <v>1332</v>
      </c>
      <c r="E116" s="113" t="s">
        <v>1326</v>
      </c>
      <c r="F116" s="113" t="s">
        <v>598</v>
      </c>
      <c r="G116" s="113" t="s">
        <v>599</v>
      </c>
      <c r="H116" s="113" t="s">
        <v>2266</v>
      </c>
      <c r="I116" s="113" t="s">
        <v>2267</v>
      </c>
      <c r="J116" s="113">
        <v>0</v>
      </c>
      <c r="K116" s="113">
        <v>0</v>
      </c>
      <c r="L116" s="113">
        <v>0</v>
      </c>
      <c r="M116" s="113">
        <v>0</v>
      </c>
      <c r="N116" s="113">
        <v>0</v>
      </c>
      <c r="O116" s="113"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3">
        <v>0</v>
      </c>
      <c r="AC116" s="113">
        <v>0</v>
      </c>
      <c r="AD116" s="113">
        <v>0</v>
      </c>
      <c r="AE116" s="113">
        <v>0</v>
      </c>
      <c r="AF116" s="113">
        <v>0</v>
      </c>
      <c r="AG116" s="113">
        <v>0</v>
      </c>
    </row>
    <row r="117" spans="1:33">
      <c r="A117" s="113" t="s">
        <v>18727</v>
      </c>
      <c r="B117" s="113" t="s">
        <v>18710</v>
      </c>
      <c r="C117" s="113" t="s">
        <v>1382</v>
      </c>
      <c r="D117" s="113" t="s">
        <v>1332</v>
      </c>
      <c r="E117" s="113" t="s">
        <v>1402</v>
      </c>
      <c r="F117" s="113" t="s">
        <v>598</v>
      </c>
      <c r="G117" s="113" t="s">
        <v>599</v>
      </c>
      <c r="H117" s="113" t="s">
        <v>2266</v>
      </c>
      <c r="I117" s="113" t="s">
        <v>2267</v>
      </c>
      <c r="J117" s="113">
        <v>0</v>
      </c>
      <c r="K117" s="113">
        <v>0</v>
      </c>
      <c r="L117" s="113">
        <v>0</v>
      </c>
      <c r="M117" s="113">
        <v>0</v>
      </c>
      <c r="N117" s="113">
        <v>0</v>
      </c>
      <c r="O117" s="113">
        <v>0</v>
      </c>
      <c r="P117" s="113">
        <v>0</v>
      </c>
      <c r="Q117" s="113">
        <v>0</v>
      </c>
      <c r="R117" s="113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v>0</v>
      </c>
      <c r="Z117" s="113">
        <v>0</v>
      </c>
      <c r="AA117" s="113">
        <v>0</v>
      </c>
      <c r="AB117" s="113">
        <v>0</v>
      </c>
      <c r="AC117" s="113">
        <v>0</v>
      </c>
      <c r="AD117" s="113">
        <v>0</v>
      </c>
      <c r="AE117" s="113">
        <v>0</v>
      </c>
      <c r="AF117" s="113">
        <v>0</v>
      </c>
      <c r="AG117" s="113">
        <v>0</v>
      </c>
    </row>
    <row r="118" spans="1:33">
      <c r="A118" s="113" t="s">
        <v>18727</v>
      </c>
      <c r="B118" s="113" t="s">
        <v>18724</v>
      </c>
      <c r="C118" s="113" t="s">
        <v>1382</v>
      </c>
      <c r="D118" s="113" t="s">
        <v>1332</v>
      </c>
      <c r="E118" s="113" t="s">
        <v>892</v>
      </c>
      <c r="F118" s="113" t="s">
        <v>598</v>
      </c>
      <c r="G118" s="113" t="s">
        <v>599</v>
      </c>
      <c r="H118" s="113" t="s">
        <v>2266</v>
      </c>
      <c r="I118" s="113" t="s">
        <v>2267</v>
      </c>
      <c r="J118" s="113">
        <v>0</v>
      </c>
      <c r="K118" s="113">
        <v>0</v>
      </c>
      <c r="L118" s="113">
        <v>0</v>
      </c>
      <c r="M118" s="113">
        <v>0</v>
      </c>
      <c r="N118" s="113">
        <v>0</v>
      </c>
      <c r="O118" s="113">
        <v>0</v>
      </c>
      <c r="P118" s="113">
        <v>0</v>
      </c>
      <c r="Q118" s="113">
        <v>0</v>
      </c>
      <c r="R118" s="113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v>0</v>
      </c>
      <c r="Z118" s="113">
        <v>0</v>
      </c>
      <c r="AA118" s="113">
        <v>0</v>
      </c>
      <c r="AB118" s="113">
        <v>0</v>
      </c>
      <c r="AC118" s="113">
        <v>0</v>
      </c>
      <c r="AD118" s="113">
        <v>0</v>
      </c>
      <c r="AE118" s="113">
        <v>0</v>
      </c>
      <c r="AF118" s="113">
        <v>0</v>
      </c>
      <c r="AG118" s="113">
        <v>0</v>
      </c>
    </row>
    <row r="119" spans="1:33">
      <c r="A119" s="113" t="s">
        <v>18727</v>
      </c>
      <c r="B119" s="113" t="s">
        <v>18711</v>
      </c>
      <c r="C119" s="113" t="s">
        <v>1382</v>
      </c>
      <c r="D119" s="113" t="s">
        <v>1332</v>
      </c>
      <c r="E119" s="113" t="s">
        <v>669</v>
      </c>
      <c r="F119" s="113" t="s">
        <v>598</v>
      </c>
      <c r="G119" s="113" t="s">
        <v>599</v>
      </c>
      <c r="H119" s="113" t="s">
        <v>2266</v>
      </c>
      <c r="I119" s="113" t="s">
        <v>2267</v>
      </c>
      <c r="J119" s="113">
        <v>0</v>
      </c>
      <c r="K119" s="113">
        <v>0</v>
      </c>
      <c r="L119" s="113">
        <v>0</v>
      </c>
      <c r="M119" s="113">
        <v>0</v>
      </c>
      <c r="N119" s="113">
        <v>0</v>
      </c>
      <c r="O119" s="113">
        <v>0</v>
      </c>
      <c r="P119" s="113">
        <v>0</v>
      </c>
      <c r="Q119" s="113">
        <v>0</v>
      </c>
      <c r="R119" s="113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3">
        <v>0</v>
      </c>
      <c r="AC119" s="113">
        <v>0</v>
      </c>
      <c r="AD119" s="113">
        <v>0</v>
      </c>
      <c r="AE119" s="113">
        <v>0</v>
      </c>
      <c r="AF119" s="113">
        <v>0</v>
      </c>
      <c r="AG119" s="113">
        <v>0</v>
      </c>
    </row>
    <row r="120" spans="1:33">
      <c r="A120" s="113" t="s">
        <v>18727</v>
      </c>
      <c r="B120" s="113" t="s">
        <v>18670</v>
      </c>
      <c r="C120" s="113" t="s">
        <v>1382</v>
      </c>
      <c r="D120" s="113" t="s">
        <v>1332</v>
      </c>
      <c r="E120" s="113" t="s">
        <v>1318</v>
      </c>
      <c r="F120" s="113" t="s">
        <v>598</v>
      </c>
      <c r="G120" s="113" t="s">
        <v>599</v>
      </c>
      <c r="H120" s="113" t="s">
        <v>2266</v>
      </c>
      <c r="I120" s="113" t="s">
        <v>2267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v>0</v>
      </c>
      <c r="AC120" s="113">
        <v>0</v>
      </c>
      <c r="AD120" s="113">
        <v>0</v>
      </c>
      <c r="AE120" s="113">
        <v>0</v>
      </c>
      <c r="AF120" s="113">
        <v>0</v>
      </c>
      <c r="AG120" s="113">
        <v>0</v>
      </c>
    </row>
    <row r="121" spans="1:33">
      <c r="A121" s="113" t="s">
        <v>18727</v>
      </c>
      <c r="B121" s="113" t="s">
        <v>18671</v>
      </c>
      <c r="C121" s="113" t="s">
        <v>1382</v>
      </c>
      <c r="D121" s="113" t="s">
        <v>1332</v>
      </c>
      <c r="E121" s="113" t="s">
        <v>1423</v>
      </c>
      <c r="F121" s="113" t="s">
        <v>598</v>
      </c>
      <c r="G121" s="113" t="s">
        <v>599</v>
      </c>
      <c r="H121" s="113" t="s">
        <v>2266</v>
      </c>
      <c r="I121" s="113" t="s">
        <v>2267</v>
      </c>
      <c r="J121" s="113">
        <v>0</v>
      </c>
      <c r="K121" s="113">
        <v>0</v>
      </c>
      <c r="L121" s="113">
        <v>0</v>
      </c>
      <c r="M121" s="113">
        <v>0</v>
      </c>
      <c r="N121" s="113">
        <v>0</v>
      </c>
      <c r="O121" s="113">
        <v>0</v>
      </c>
      <c r="P121" s="113">
        <v>0</v>
      </c>
      <c r="Q121" s="113">
        <v>0</v>
      </c>
      <c r="R121" s="113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v>0</v>
      </c>
      <c r="Z121" s="113">
        <v>0</v>
      </c>
      <c r="AA121" s="113">
        <v>0</v>
      </c>
      <c r="AB121" s="113">
        <v>0</v>
      </c>
      <c r="AC121" s="113">
        <v>0</v>
      </c>
      <c r="AD121" s="113">
        <v>0</v>
      </c>
      <c r="AE121" s="113">
        <v>0</v>
      </c>
      <c r="AF121" s="113">
        <v>0</v>
      </c>
      <c r="AG121" s="113">
        <v>0</v>
      </c>
    </row>
    <row r="122" spans="1:33">
      <c r="A122" s="113" t="s">
        <v>18727</v>
      </c>
      <c r="B122" s="113" t="s">
        <v>18672</v>
      </c>
      <c r="C122" s="113" t="s">
        <v>1382</v>
      </c>
      <c r="D122" s="113" t="s">
        <v>1332</v>
      </c>
      <c r="E122" s="113" t="s">
        <v>1028</v>
      </c>
      <c r="F122" s="113" t="s">
        <v>598</v>
      </c>
      <c r="G122" s="113" t="s">
        <v>599</v>
      </c>
      <c r="H122" s="113" t="s">
        <v>2266</v>
      </c>
      <c r="I122" s="113" t="s">
        <v>2267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3">
        <v>0</v>
      </c>
      <c r="R122" s="113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v>0</v>
      </c>
      <c r="AC122" s="113">
        <v>0</v>
      </c>
      <c r="AD122" s="113">
        <v>0</v>
      </c>
      <c r="AE122" s="113">
        <v>0</v>
      </c>
      <c r="AF122" s="113">
        <v>0</v>
      </c>
      <c r="AG122" s="113">
        <v>0</v>
      </c>
    </row>
    <row r="123" spans="1:33">
      <c r="A123" s="113" t="s">
        <v>18727</v>
      </c>
      <c r="B123" s="113" t="s">
        <v>18712</v>
      </c>
      <c r="C123" s="113" t="s">
        <v>1382</v>
      </c>
      <c r="D123" s="113" t="s">
        <v>1332</v>
      </c>
      <c r="E123" s="113" t="s">
        <v>630</v>
      </c>
      <c r="F123" s="113" t="s">
        <v>598</v>
      </c>
      <c r="G123" s="113" t="s">
        <v>599</v>
      </c>
      <c r="H123" s="113" t="s">
        <v>2266</v>
      </c>
      <c r="I123" s="113" t="s">
        <v>2267</v>
      </c>
      <c r="J123" s="113">
        <v>0</v>
      </c>
      <c r="K123" s="113">
        <v>0</v>
      </c>
      <c r="L123" s="113">
        <v>0</v>
      </c>
      <c r="M123" s="113">
        <v>0</v>
      </c>
      <c r="N123" s="113">
        <v>0</v>
      </c>
      <c r="O123" s="113">
        <v>0</v>
      </c>
      <c r="P123" s="113">
        <v>0</v>
      </c>
      <c r="Q123" s="113">
        <v>0</v>
      </c>
      <c r="R123" s="113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v>0</v>
      </c>
      <c r="Z123" s="113">
        <v>0</v>
      </c>
      <c r="AA123" s="113">
        <v>0</v>
      </c>
      <c r="AB123" s="113">
        <v>0</v>
      </c>
      <c r="AC123" s="113">
        <v>0</v>
      </c>
      <c r="AD123" s="113">
        <v>0</v>
      </c>
      <c r="AE123" s="113">
        <v>0</v>
      </c>
      <c r="AF123" s="113">
        <v>0</v>
      </c>
      <c r="AG123" s="113">
        <v>0</v>
      </c>
    </row>
    <row r="124" spans="1:33">
      <c r="A124" s="113" t="s">
        <v>18727</v>
      </c>
      <c r="B124" s="113" t="s">
        <v>18742</v>
      </c>
      <c r="C124" s="113" t="s">
        <v>1382</v>
      </c>
      <c r="D124" s="113" t="s">
        <v>1332</v>
      </c>
      <c r="E124" s="113" t="s">
        <v>18740</v>
      </c>
      <c r="F124" s="113" t="s">
        <v>598</v>
      </c>
      <c r="G124" s="113" t="s">
        <v>599</v>
      </c>
      <c r="H124" s="113" t="s">
        <v>2266</v>
      </c>
      <c r="I124" s="113" t="s">
        <v>2267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3">
        <v>0</v>
      </c>
      <c r="R124" s="113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  <c r="AC124" s="113">
        <v>0</v>
      </c>
      <c r="AD124" s="113">
        <v>0</v>
      </c>
      <c r="AE124" s="113">
        <v>0</v>
      </c>
      <c r="AF124" s="113">
        <v>0</v>
      </c>
      <c r="AG124" s="113">
        <v>0</v>
      </c>
    </row>
    <row r="125" spans="1:33">
      <c r="A125" s="113" t="s">
        <v>18727</v>
      </c>
      <c r="B125" s="113" t="s">
        <v>18743</v>
      </c>
      <c r="C125" s="113" t="s">
        <v>1382</v>
      </c>
      <c r="D125" s="113" t="s">
        <v>1332</v>
      </c>
      <c r="E125" s="113" t="s">
        <v>1676</v>
      </c>
      <c r="F125" s="113" t="s">
        <v>598</v>
      </c>
      <c r="G125" s="113" t="s">
        <v>599</v>
      </c>
      <c r="H125" s="113" t="s">
        <v>2266</v>
      </c>
      <c r="I125" s="113" t="s">
        <v>2267</v>
      </c>
      <c r="J125" s="113">
        <v>0</v>
      </c>
      <c r="K125" s="113">
        <v>0</v>
      </c>
      <c r="L125" s="113">
        <v>0</v>
      </c>
      <c r="M125" s="113">
        <v>0</v>
      </c>
      <c r="N125" s="113">
        <v>0</v>
      </c>
      <c r="O125" s="113">
        <v>0</v>
      </c>
      <c r="P125" s="113">
        <v>0</v>
      </c>
      <c r="Q125" s="113">
        <v>0</v>
      </c>
      <c r="R125" s="113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v>0</v>
      </c>
      <c r="Z125" s="113">
        <v>0</v>
      </c>
      <c r="AA125" s="113">
        <v>0</v>
      </c>
      <c r="AB125" s="113">
        <v>0</v>
      </c>
      <c r="AC125" s="113">
        <v>0</v>
      </c>
      <c r="AD125" s="113">
        <v>0</v>
      </c>
      <c r="AE125" s="113">
        <v>0</v>
      </c>
      <c r="AF125" s="113">
        <v>0</v>
      </c>
      <c r="AG125" s="113">
        <v>0</v>
      </c>
    </row>
    <row r="126" spans="1:33">
      <c r="A126" s="113" t="s">
        <v>18727</v>
      </c>
      <c r="B126" s="113" t="s">
        <v>18744</v>
      </c>
      <c r="C126" s="113" t="s">
        <v>1382</v>
      </c>
      <c r="D126" s="113" t="s">
        <v>1332</v>
      </c>
      <c r="E126" s="113" t="s">
        <v>1058</v>
      </c>
      <c r="F126" s="113" t="s">
        <v>598</v>
      </c>
      <c r="G126" s="113" t="s">
        <v>599</v>
      </c>
      <c r="H126" s="113" t="s">
        <v>2266</v>
      </c>
      <c r="I126" s="113" t="s">
        <v>2267</v>
      </c>
      <c r="J126" s="113">
        <v>0</v>
      </c>
      <c r="K126" s="113">
        <v>0</v>
      </c>
      <c r="L126" s="113">
        <v>0</v>
      </c>
      <c r="M126" s="113">
        <v>0</v>
      </c>
      <c r="N126" s="113">
        <v>0</v>
      </c>
      <c r="O126" s="113">
        <v>0</v>
      </c>
      <c r="P126" s="113">
        <v>0</v>
      </c>
      <c r="Q126" s="113">
        <v>0</v>
      </c>
      <c r="R126" s="113"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v>0</v>
      </c>
      <c r="Z126" s="113">
        <v>0</v>
      </c>
      <c r="AA126" s="113">
        <v>0</v>
      </c>
      <c r="AB126" s="113">
        <v>0</v>
      </c>
      <c r="AC126" s="113">
        <v>0</v>
      </c>
      <c r="AD126" s="113">
        <v>0</v>
      </c>
      <c r="AE126" s="113">
        <v>0</v>
      </c>
      <c r="AF126" s="113">
        <v>0</v>
      </c>
      <c r="AG126" s="113">
        <v>0</v>
      </c>
    </row>
    <row r="127" spans="1:33">
      <c r="A127" s="113" t="s">
        <v>18727</v>
      </c>
      <c r="B127" s="113" t="s">
        <v>18674</v>
      </c>
      <c r="C127" s="113" t="s">
        <v>1382</v>
      </c>
      <c r="D127" s="113" t="s">
        <v>1348</v>
      </c>
      <c r="E127" s="113" t="s">
        <v>688</v>
      </c>
      <c r="F127" s="113" t="s">
        <v>598</v>
      </c>
      <c r="G127" s="113" t="s">
        <v>599</v>
      </c>
      <c r="H127" s="113" t="s">
        <v>2266</v>
      </c>
      <c r="I127" s="113" t="s">
        <v>2267</v>
      </c>
      <c r="J127" s="113">
        <v>0</v>
      </c>
      <c r="K127" s="113">
        <v>0</v>
      </c>
      <c r="L127" s="113">
        <v>0</v>
      </c>
      <c r="M127" s="113">
        <v>0</v>
      </c>
      <c r="N127" s="113">
        <v>0</v>
      </c>
      <c r="O127" s="113">
        <v>0</v>
      </c>
      <c r="P127" s="113">
        <v>0</v>
      </c>
      <c r="Q127" s="113">
        <v>0</v>
      </c>
      <c r="R127" s="113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v>0</v>
      </c>
      <c r="Z127" s="113">
        <v>0</v>
      </c>
      <c r="AA127" s="113">
        <v>0</v>
      </c>
      <c r="AB127" s="113">
        <v>0</v>
      </c>
      <c r="AC127" s="113">
        <v>0</v>
      </c>
      <c r="AD127" s="113">
        <v>0</v>
      </c>
      <c r="AE127" s="113">
        <v>0</v>
      </c>
      <c r="AF127" s="113">
        <v>0</v>
      </c>
      <c r="AG127" s="113">
        <v>0</v>
      </c>
    </row>
    <row r="128" spans="1:33">
      <c r="A128" s="113" t="s">
        <v>18727</v>
      </c>
      <c r="B128" s="113" t="s">
        <v>18745</v>
      </c>
      <c r="C128" s="113" t="s">
        <v>1382</v>
      </c>
      <c r="D128" s="113" t="s">
        <v>1348</v>
      </c>
      <c r="E128" s="113" t="s">
        <v>1326</v>
      </c>
      <c r="F128" s="113" t="s">
        <v>598</v>
      </c>
      <c r="G128" s="113" t="s">
        <v>599</v>
      </c>
      <c r="H128" s="113" t="s">
        <v>2266</v>
      </c>
      <c r="I128" s="113" t="s">
        <v>2267</v>
      </c>
      <c r="J128" s="113">
        <v>0</v>
      </c>
      <c r="K128" s="113">
        <v>0</v>
      </c>
      <c r="L128" s="113">
        <v>0</v>
      </c>
      <c r="M128" s="113">
        <v>0</v>
      </c>
      <c r="N128" s="113">
        <v>0</v>
      </c>
      <c r="O128" s="113">
        <v>0</v>
      </c>
      <c r="P128" s="113">
        <v>0</v>
      </c>
      <c r="Q128" s="113">
        <v>0</v>
      </c>
      <c r="R128" s="113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v>0</v>
      </c>
      <c r="Z128" s="113">
        <v>0</v>
      </c>
      <c r="AA128" s="113">
        <v>0</v>
      </c>
      <c r="AB128" s="113">
        <v>0</v>
      </c>
      <c r="AC128" s="113">
        <v>0</v>
      </c>
      <c r="AD128" s="113">
        <v>0</v>
      </c>
      <c r="AE128" s="113">
        <v>0</v>
      </c>
      <c r="AF128" s="113">
        <v>0</v>
      </c>
      <c r="AG128" s="113">
        <v>0</v>
      </c>
    </row>
    <row r="129" spans="1:33">
      <c r="A129" s="113" t="s">
        <v>18727</v>
      </c>
      <c r="B129" s="113" t="s">
        <v>18675</v>
      </c>
      <c r="C129" s="113" t="s">
        <v>1382</v>
      </c>
      <c r="D129" s="113" t="s">
        <v>1435</v>
      </c>
      <c r="E129" s="113" t="s">
        <v>973</v>
      </c>
      <c r="F129" s="113" t="s">
        <v>598</v>
      </c>
      <c r="G129" s="113" t="s">
        <v>599</v>
      </c>
      <c r="H129" s="113" t="s">
        <v>2266</v>
      </c>
      <c r="I129" s="113" t="s">
        <v>2267</v>
      </c>
      <c r="J129" s="113">
        <v>0.48655599999999999</v>
      </c>
      <c r="K129" s="113">
        <v>0.48655599999999999</v>
      </c>
      <c r="L129" s="113">
        <v>0.48655599999999999</v>
      </c>
      <c r="M129" s="113">
        <v>0.48655599999999999</v>
      </c>
      <c r="N129" s="113">
        <v>0.48655599999999999</v>
      </c>
      <c r="O129" s="113">
        <v>0.48655599999999999</v>
      </c>
      <c r="P129" s="113">
        <v>0.48655599999999999</v>
      </c>
      <c r="Q129" s="113">
        <v>0.48655599999999999</v>
      </c>
      <c r="R129" s="113">
        <v>0.48655599999999999</v>
      </c>
      <c r="S129" s="113">
        <v>0.48655599999999999</v>
      </c>
      <c r="T129" s="113">
        <v>0.48655599999999999</v>
      </c>
      <c r="U129" s="113">
        <v>0.48655599999999999</v>
      </c>
      <c r="V129" s="113">
        <v>0.48655599999999999</v>
      </c>
      <c r="W129" s="113">
        <v>0.48655599999999999</v>
      </c>
      <c r="X129" s="113">
        <v>0.48655599999999999</v>
      </c>
      <c r="Y129" s="113">
        <v>0.48655599999999999</v>
      </c>
      <c r="Z129" s="113">
        <v>0.48655599999999999</v>
      </c>
      <c r="AA129" s="113">
        <v>0.48655599999999999</v>
      </c>
      <c r="AB129" s="113">
        <v>0.48655599999999999</v>
      </c>
      <c r="AC129" s="113">
        <v>0.48655599999999999</v>
      </c>
      <c r="AD129" s="113">
        <v>0.48655599999999999</v>
      </c>
      <c r="AE129" s="113">
        <v>0.48655599999999999</v>
      </c>
      <c r="AF129" s="113">
        <v>0.48655599999999999</v>
      </c>
      <c r="AG129" s="113">
        <v>0.48655599999999999</v>
      </c>
    </row>
    <row r="130" spans="1:33">
      <c r="A130" s="113" t="s">
        <v>18727</v>
      </c>
      <c r="B130" s="113" t="s">
        <v>18676</v>
      </c>
      <c r="C130" s="113" t="s">
        <v>1382</v>
      </c>
      <c r="D130" s="113" t="s">
        <v>1354</v>
      </c>
      <c r="E130" s="113" t="s">
        <v>973</v>
      </c>
      <c r="F130" s="113" t="s">
        <v>598</v>
      </c>
      <c r="G130" s="113" t="s">
        <v>599</v>
      </c>
      <c r="H130" s="113" t="s">
        <v>2266</v>
      </c>
      <c r="I130" s="113" t="s">
        <v>2267</v>
      </c>
      <c r="J130" s="113">
        <v>0</v>
      </c>
      <c r="K130" s="113">
        <v>0</v>
      </c>
      <c r="L130" s="113">
        <v>0</v>
      </c>
      <c r="M130" s="113">
        <v>0</v>
      </c>
      <c r="N130" s="113">
        <v>0</v>
      </c>
      <c r="O130" s="113">
        <v>0</v>
      </c>
      <c r="P130" s="113">
        <v>0</v>
      </c>
      <c r="Q130" s="113">
        <v>0</v>
      </c>
      <c r="R130" s="113"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v>0</v>
      </c>
      <c r="Z130" s="113">
        <v>0</v>
      </c>
      <c r="AA130" s="113">
        <v>0</v>
      </c>
      <c r="AB130" s="113">
        <v>0</v>
      </c>
      <c r="AC130" s="113">
        <v>0</v>
      </c>
      <c r="AD130" s="113">
        <v>0</v>
      </c>
      <c r="AE130" s="113">
        <v>0</v>
      </c>
      <c r="AF130" s="113">
        <v>0</v>
      </c>
      <c r="AG130" s="113">
        <v>0</v>
      </c>
    </row>
    <row r="131" spans="1:33">
      <c r="A131" s="113" t="s">
        <v>18727</v>
      </c>
      <c r="B131" s="113" t="s">
        <v>18678</v>
      </c>
      <c r="C131" s="113" t="s">
        <v>1382</v>
      </c>
      <c r="D131" s="113" t="s">
        <v>1440</v>
      </c>
      <c r="E131" s="113" t="s">
        <v>973</v>
      </c>
      <c r="F131" s="113" t="s">
        <v>598</v>
      </c>
      <c r="G131" s="113" t="s">
        <v>599</v>
      </c>
      <c r="H131" s="113" t="s">
        <v>2266</v>
      </c>
      <c r="I131" s="113" t="s">
        <v>2267</v>
      </c>
      <c r="J131" s="113">
        <v>0.31581100000000001</v>
      </c>
      <c r="K131" s="113">
        <v>0.31581100000000001</v>
      </c>
      <c r="L131" s="113">
        <v>0.31581100000000001</v>
      </c>
      <c r="M131" s="113">
        <v>0.31581100000000001</v>
      </c>
      <c r="N131" s="113">
        <v>0.31581100000000001</v>
      </c>
      <c r="O131" s="113">
        <v>0.31581100000000001</v>
      </c>
      <c r="P131" s="113">
        <v>0.31581100000000001</v>
      </c>
      <c r="Q131" s="113">
        <v>0.31581100000000001</v>
      </c>
      <c r="R131" s="113">
        <v>0.31581100000000001</v>
      </c>
      <c r="S131" s="113">
        <v>0.31581100000000001</v>
      </c>
      <c r="T131" s="113">
        <v>0.31581100000000001</v>
      </c>
      <c r="U131" s="113">
        <v>0.31581100000000001</v>
      </c>
      <c r="V131" s="113">
        <v>0.31581100000000001</v>
      </c>
      <c r="W131" s="113">
        <v>0.31581100000000001</v>
      </c>
      <c r="X131" s="113">
        <v>0.31581100000000001</v>
      </c>
      <c r="Y131" s="113">
        <v>0.31581100000000001</v>
      </c>
      <c r="Z131" s="113">
        <v>0.31581100000000001</v>
      </c>
      <c r="AA131" s="113">
        <v>0.31581100000000001</v>
      </c>
      <c r="AB131" s="113">
        <v>0.31581100000000001</v>
      </c>
      <c r="AC131" s="113">
        <v>0.31581100000000001</v>
      </c>
      <c r="AD131" s="113">
        <v>0.31581100000000001</v>
      </c>
      <c r="AE131" s="113">
        <v>0.31581100000000001</v>
      </c>
      <c r="AF131" s="113">
        <v>0.31581100000000001</v>
      </c>
      <c r="AG131" s="113">
        <v>0.31581100000000001</v>
      </c>
    </row>
    <row r="132" spans="1:33">
      <c r="A132" s="113" t="s">
        <v>18727</v>
      </c>
      <c r="B132" s="113" t="s">
        <v>18746</v>
      </c>
      <c r="C132" s="113" t="s">
        <v>1382</v>
      </c>
      <c r="D132" s="113" t="s">
        <v>1440</v>
      </c>
      <c r="E132" s="113" t="s">
        <v>1378</v>
      </c>
      <c r="F132" s="113" t="s">
        <v>598</v>
      </c>
      <c r="G132" s="113" t="s">
        <v>599</v>
      </c>
      <c r="H132" s="113" t="s">
        <v>2266</v>
      </c>
      <c r="I132" s="113" t="s">
        <v>2267</v>
      </c>
      <c r="J132" s="113">
        <v>0</v>
      </c>
      <c r="K132" s="113">
        <v>0</v>
      </c>
      <c r="L132" s="113">
        <v>0</v>
      </c>
      <c r="M132" s="113">
        <v>0</v>
      </c>
      <c r="N132" s="113">
        <v>0</v>
      </c>
      <c r="O132" s="113">
        <v>0</v>
      </c>
      <c r="P132" s="113">
        <v>0</v>
      </c>
      <c r="Q132" s="113">
        <v>0</v>
      </c>
      <c r="R132" s="113"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v>0</v>
      </c>
      <c r="Z132" s="113">
        <v>0</v>
      </c>
      <c r="AA132" s="113">
        <v>0</v>
      </c>
      <c r="AB132" s="113">
        <v>0</v>
      </c>
      <c r="AC132" s="113">
        <v>0</v>
      </c>
      <c r="AD132" s="113">
        <v>0</v>
      </c>
      <c r="AE132" s="113">
        <v>0</v>
      </c>
      <c r="AF132" s="113">
        <v>0</v>
      </c>
      <c r="AG132" s="113">
        <v>0</v>
      </c>
    </row>
    <row r="133" spans="1:33">
      <c r="A133" s="113" t="s">
        <v>18727</v>
      </c>
      <c r="B133" s="113" t="s">
        <v>18679</v>
      </c>
      <c r="C133" s="113" t="s">
        <v>1382</v>
      </c>
      <c r="D133" s="113" t="s">
        <v>1443</v>
      </c>
      <c r="E133" s="113" t="s">
        <v>611</v>
      </c>
      <c r="F133" s="113" t="s">
        <v>598</v>
      </c>
      <c r="G133" s="113" t="s">
        <v>599</v>
      </c>
      <c r="H133" s="113" t="s">
        <v>2266</v>
      </c>
      <c r="I133" s="113" t="s">
        <v>2267</v>
      </c>
      <c r="J133" s="113">
        <v>4.6574999999999998E-2</v>
      </c>
      <c r="K133" s="113">
        <v>4.6574999999999998E-2</v>
      </c>
      <c r="L133" s="113">
        <v>4.6574999999999998E-2</v>
      </c>
      <c r="M133" s="113">
        <v>4.6574999999999998E-2</v>
      </c>
      <c r="N133" s="113">
        <v>4.6574999999999998E-2</v>
      </c>
      <c r="O133" s="113">
        <v>4.6574999999999998E-2</v>
      </c>
      <c r="P133" s="113">
        <v>4.6574999999999998E-2</v>
      </c>
      <c r="Q133" s="113">
        <v>4.6574999999999998E-2</v>
      </c>
      <c r="R133" s="113">
        <v>4.6574999999999998E-2</v>
      </c>
      <c r="S133" s="113">
        <v>4.6574999999999998E-2</v>
      </c>
      <c r="T133" s="113">
        <v>4.6574999999999998E-2</v>
      </c>
      <c r="U133" s="113">
        <v>4.6574999999999998E-2</v>
      </c>
      <c r="V133" s="113">
        <v>4.6574999999999998E-2</v>
      </c>
      <c r="W133" s="113">
        <v>4.6574999999999998E-2</v>
      </c>
      <c r="X133" s="113">
        <v>4.6574999999999998E-2</v>
      </c>
      <c r="Y133" s="113">
        <v>4.6574999999999998E-2</v>
      </c>
      <c r="Z133" s="113">
        <v>4.6574999999999998E-2</v>
      </c>
      <c r="AA133" s="113">
        <v>4.6574999999999998E-2</v>
      </c>
      <c r="AB133" s="113">
        <v>4.6574999999999998E-2</v>
      </c>
      <c r="AC133" s="113">
        <v>4.6574999999999998E-2</v>
      </c>
      <c r="AD133" s="113">
        <v>4.6574999999999998E-2</v>
      </c>
      <c r="AE133" s="113">
        <v>4.6574999999999998E-2</v>
      </c>
      <c r="AF133" s="113">
        <v>4.6574999999999998E-2</v>
      </c>
      <c r="AG133" s="113">
        <v>4.6574999999999998E-2</v>
      </c>
    </row>
    <row r="134" spans="1:33">
      <c r="A134" s="113" t="s">
        <v>18727</v>
      </c>
      <c r="B134" s="113" t="s">
        <v>18747</v>
      </c>
      <c r="C134" s="113" t="s">
        <v>1382</v>
      </c>
      <c r="D134" s="113" t="s">
        <v>1445</v>
      </c>
      <c r="E134" s="113" t="s">
        <v>1447</v>
      </c>
      <c r="F134" s="113" t="s">
        <v>598</v>
      </c>
      <c r="G134" s="113" t="s">
        <v>599</v>
      </c>
      <c r="H134" s="113" t="s">
        <v>2266</v>
      </c>
      <c r="I134" s="113" t="s">
        <v>2267</v>
      </c>
      <c r="J134" s="113">
        <v>0</v>
      </c>
      <c r="K134" s="113">
        <v>0</v>
      </c>
      <c r="L134" s="113">
        <v>0</v>
      </c>
      <c r="M134" s="113">
        <v>0</v>
      </c>
      <c r="N134" s="113">
        <v>0</v>
      </c>
      <c r="O134" s="113">
        <v>0</v>
      </c>
      <c r="P134" s="113">
        <v>0</v>
      </c>
      <c r="Q134" s="113">
        <v>0</v>
      </c>
      <c r="R134" s="113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v>0</v>
      </c>
      <c r="Z134" s="113">
        <v>0</v>
      </c>
      <c r="AA134" s="113">
        <v>0</v>
      </c>
      <c r="AB134" s="113">
        <v>0</v>
      </c>
      <c r="AC134" s="113">
        <v>0</v>
      </c>
      <c r="AD134" s="113">
        <v>0</v>
      </c>
      <c r="AE134" s="113">
        <v>0</v>
      </c>
      <c r="AF134" s="113">
        <v>0</v>
      </c>
      <c r="AG134" s="113">
        <v>0</v>
      </c>
    </row>
    <row r="135" spans="1:33">
      <c r="A135" s="113" t="s">
        <v>18727</v>
      </c>
      <c r="B135" s="113" t="s">
        <v>18715</v>
      </c>
      <c r="C135" s="113" t="s">
        <v>1382</v>
      </c>
      <c r="D135" s="113" t="s">
        <v>1365</v>
      </c>
      <c r="E135" s="113" t="s">
        <v>973</v>
      </c>
      <c r="F135" s="113" t="s">
        <v>598</v>
      </c>
      <c r="G135" s="113" t="s">
        <v>599</v>
      </c>
      <c r="H135" s="113" t="s">
        <v>2266</v>
      </c>
      <c r="I135" s="113" t="s">
        <v>2267</v>
      </c>
      <c r="J135" s="113">
        <v>0</v>
      </c>
      <c r="K135" s="113">
        <v>0</v>
      </c>
      <c r="L135" s="113">
        <v>0</v>
      </c>
      <c r="M135" s="113">
        <v>0</v>
      </c>
      <c r="N135" s="113">
        <v>0</v>
      </c>
      <c r="O135" s="113">
        <v>0</v>
      </c>
      <c r="P135" s="113">
        <v>0</v>
      </c>
      <c r="Q135" s="113">
        <v>0</v>
      </c>
      <c r="R135" s="113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v>0</v>
      </c>
      <c r="X135" s="113">
        <v>0</v>
      </c>
      <c r="Y135" s="113">
        <v>0</v>
      </c>
      <c r="Z135" s="113">
        <v>0</v>
      </c>
      <c r="AA135" s="113">
        <v>0</v>
      </c>
      <c r="AB135" s="113">
        <v>0</v>
      </c>
      <c r="AC135" s="113">
        <v>0</v>
      </c>
      <c r="AD135" s="113">
        <v>0</v>
      </c>
      <c r="AE135" s="113">
        <v>0</v>
      </c>
      <c r="AF135" s="113">
        <v>0</v>
      </c>
      <c r="AG135" s="113">
        <v>0</v>
      </c>
    </row>
    <row r="136" spans="1:33">
      <c r="A136" s="113" t="s">
        <v>18727</v>
      </c>
      <c r="B136" s="113" t="s">
        <v>18748</v>
      </c>
      <c r="C136" s="113" t="s">
        <v>1382</v>
      </c>
      <c r="D136" s="113" t="s">
        <v>1365</v>
      </c>
      <c r="E136" s="113" t="s">
        <v>626</v>
      </c>
      <c r="F136" s="113" t="s">
        <v>598</v>
      </c>
      <c r="G136" s="113" t="s">
        <v>599</v>
      </c>
      <c r="H136" s="113" t="s">
        <v>2266</v>
      </c>
      <c r="I136" s="113" t="s">
        <v>2267</v>
      </c>
      <c r="J136" s="113">
        <v>0</v>
      </c>
      <c r="K136" s="113">
        <v>0</v>
      </c>
      <c r="L136" s="113">
        <v>0</v>
      </c>
      <c r="M136" s="113">
        <v>0</v>
      </c>
      <c r="N136" s="113">
        <v>0</v>
      </c>
      <c r="O136" s="113">
        <v>0</v>
      </c>
      <c r="P136" s="113">
        <v>0</v>
      </c>
      <c r="Q136" s="113">
        <v>0</v>
      </c>
      <c r="R136" s="113"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v>0</v>
      </c>
      <c r="Z136" s="113">
        <v>0</v>
      </c>
      <c r="AA136" s="113">
        <v>0</v>
      </c>
      <c r="AB136" s="113">
        <v>0</v>
      </c>
      <c r="AC136" s="113">
        <v>0</v>
      </c>
      <c r="AD136" s="113">
        <v>0</v>
      </c>
      <c r="AE136" s="113">
        <v>0</v>
      </c>
      <c r="AF136" s="113">
        <v>0</v>
      </c>
      <c r="AG136" s="113">
        <v>0</v>
      </c>
    </row>
    <row r="137" spans="1:33">
      <c r="A137" s="113" t="s">
        <v>18727</v>
      </c>
      <c r="B137" s="113" t="s">
        <v>18725</v>
      </c>
      <c r="C137" s="113" t="s">
        <v>1382</v>
      </c>
      <c r="D137" s="113" t="s">
        <v>1365</v>
      </c>
      <c r="E137" s="113" t="s">
        <v>628</v>
      </c>
      <c r="F137" s="113" t="s">
        <v>598</v>
      </c>
      <c r="G137" s="113" t="s">
        <v>599</v>
      </c>
      <c r="H137" s="113" t="s">
        <v>2266</v>
      </c>
      <c r="I137" s="113" t="s">
        <v>2267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3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0</v>
      </c>
      <c r="AB137" s="113">
        <v>0</v>
      </c>
      <c r="AC137" s="113">
        <v>0</v>
      </c>
      <c r="AD137" s="113">
        <v>0</v>
      </c>
      <c r="AE137" s="113">
        <v>0</v>
      </c>
      <c r="AF137" s="113">
        <v>0</v>
      </c>
      <c r="AG137" s="113">
        <v>0</v>
      </c>
    </row>
    <row r="138" spans="1:33">
      <c r="A138" s="113" t="s">
        <v>18727</v>
      </c>
      <c r="B138" s="113" t="s">
        <v>18749</v>
      </c>
      <c r="C138" s="113" t="s">
        <v>1382</v>
      </c>
      <c r="D138" s="113" t="s">
        <v>1365</v>
      </c>
      <c r="E138" s="113" t="s">
        <v>888</v>
      </c>
      <c r="F138" s="113" t="s">
        <v>598</v>
      </c>
      <c r="G138" s="113" t="s">
        <v>599</v>
      </c>
      <c r="H138" s="113" t="s">
        <v>2266</v>
      </c>
      <c r="I138" s="113" t="s">
        <v>2267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0</v>
      </c>
      <c r="P138" s="113">
        <v>0</v>
      </c>
      <c r="Q138" s="113">
        <v>0</v>
      </c>
      <c r="R138" s="113"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v>0</v>
      </c>
      <c r="Z138" s="113">
        <v>0</v>
      </c>
      <c r="AA138" s="113">
        <v>0</v>
      </c>
      <c r="AB138" s="113">
        <v>0</v>
      </c>
      <c r="AC138" s="113">
        <v>0</v>
      </c>
      <c r="AD138" s="113">
        <v>0</v>
      </c>
      <c r="AE138" s="113">
        <v>0</v>
      </c>
      <c r="AF138" s="113">
        <v>0</v>
      </c>
      <c r="AG138" s="113">
        <v>0</v>
      </c>
    </row>
    <row r="139" spans="1:33">
      <c r="A139" s="113" t="s">
        <v>18727</v>
      </c>
      <c r="B139" s="113" t="s">
        <v>18726</v>
      </c>
      <c r="C139" s="113" t="s">
        <v>1382</v>
      </c>
      <c r="D139" s="113" t="s">
        <v>1365</v>
      </c>
      <c r="E139" s="113" t="s">
        <v>781</v>
      </c>
      <c r="F139" s="113" t="s">
        <v>598</v>
      </c>
      <c r="G139" s="113" t="s">
        <v>599</v>
      </c>
      <c r="H139" s="113" t="s">
        <v>2266</v>
      </c>
      <c r="I139" s="113" t="s">
        <v>2267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  <c r="O139" s="113">
        <v>0</v>
      </c>
      <c r="P139" s="113">
        <v>0</v>
      </c>
      <c r="Q139" s="113">
        <v>0</v>
      </c>
      <c r="R139" s="113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v>0</v>
      </c>
      <c r="Z139" s="113">
        <v>0</v>
      </c>
      <c r="AA139" s="113">
        <v>0</v>
      </c>
      <c r="AB139" s="113">
        <v>0</v>
      </c>
      <c r="AC139" s="113">
        <v>0</v>
      </c>
      <c r="AD139" s="113">
        <v>0</v>
      </c>
      <c r="AE139" s="113">
        <v>0</v>
      </c>
      <c r="AF139" s="113">
        <v>0</v>
      </c>
      <c r="AG139" s="113">
        <v>0</v>
      </c>
    </row>
    <row r="140" spans="1:33">
      <c r="A140" s="113" t="s">
        <v>18727</v>
      </c>
      <c r="B140" s="113" t="s">
        <v>18716</v>
      </c>
      <c r="C140" s="113" t="s">
        <v>1382</v>
      </c>
      <c r="D140" s="113" t="s">
        <v>1365</v>
      </c>
      <c r="E140" s="113" t="s">
        <v>678</v>
      </c>
      <c r="F140" s="113" t="s">
        <v>598</v>
      </c>
      <c r="G140" s="113" t="s">
        <v>599</v>
      </c>
      <c r="H140" s="113" t="s">
        <v>2266</v>
      </c>
      <c r="I140" s="113" t="s">
        <v>2267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0</v>
      </c>
      <c r="R140" s="113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113">
        <v>0</v>
      </c>
      <c r="AB140" s="113">
        <v>0</v>
      </c>
      <c r="AC140" s="113">
        <v>0</v>
      </c>
      <c r="AD140" s="113">
        <v>0</v>
      </c>
      <c r="AE140" s="113">
        <v>0</v>
      </c>
      <c r="AF140" s="113">
        <v>0</v>
      </c>
      <c r="AG140" s="113">
        <v>0</v>
      </c>
    </row>
    <row r="141" spans="1:33">
      <c r="A141" s="113" t="s">
        <v>18727</v>
      </c>
      <c r="B141" s="113" t="s">
        <v>18750</v>
      </c>
      <c r="C141" s="113" t="s">
        <v>1382</v>
      </c>
      <c r="D141" s="113" t="s">
        <v>1458</v>
      </c>
      <c r="E141" s="113" t="s">
        <v>626</v>
      </c>
      <c r="F141" s="113" t="s">
        <v>598</v>
      </c>
      <c r="G141" s="113" t="s">
        <v>599</v>
      </c>
      <c r="H141" s="113" t="s">
        <v>2266</v>
      </c>
      <c r="I141" s="113" t="s">
        <v>2267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3">
        <v>0</v>
      </c>
      <c r="R141" s="113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v>0</v>
      </c>
      <c r="AC141" s="113">
        <v>0</v>
      </c>
      <c r="AD141" s="113">
        <v>0</v>
      </c>
      <c r="AE141" s="113">
        <v>0</v>
      </c>
      <c r="AF141" s="113">
        <v>0</v>
      </c>
      <c r="AG141" s="113">
        <v>0</v>
      </c>
    </row>
    <row r="142" spans="1:33">
      <c r="A142" s="113" t="s">
        <v>18727</v>
      </c>
      <c r="B142" s="113" t="s">
        <v>2268</v>
      </c>
      <c r="C142" s="113" t="s">
        <v>1382</v>
      </c>
      <c r="D142" s="113" t="s">
        <v>648</v>
      </c>
      <c r="E142" s="113" t="s">
        <v>920</v>
      </c>
      <c r="F142" s="113" t="s">
        <v>598</v>
      </c>
      <c r="G142" s="113" t="s">
        <v>599</v>
      </c>
      <c r="H142" s="113" t="s">
        <v>2266</v>
      </c>
      <c r="I142" s="113" t="s">
        <v>2267</v>
      </c>
      <c r="J142" s="113">
        <v>5.1699999999999999E-4</v>
      </c>
      <c r="K142" s="113">
        <v>5.1699999999999999E-4</v>
      </c>
      <c r="L142" s="113">
        <v>5.1699999999999999E-4</v>
      </c>
      <c r="M142" s="113">
        <v>5.1800000000000001E-4</v>
      </c>
      <c r="N142" s="113">
        <v>5.1800000000000001E-4</v>
      </c>
      <c r="O142" s="113">
        <v>5.1900000000000004E-4</v>
      </c>
      <c r="P142" s="113">
        <v>5.1900000000000004E-4</v>
      </c>
      <c r="Q142" s="113">
        <v>5.1900000000000004E-4</v>
      </c>
      <c r="R142" s="113">
        <v>5.1999999999999995E-4</v>
      </c>
      <c r="S142" s="113">
        <v>5.1999999999999995E-4</v>
      </c>
      <c r="T142" s="113">
        <v>5.1999999999999995E-4</v>
      </c>
      <c r="U142" s="113">
        <v>5.1999999999999995E-4</v>
      </c>
      <c r="V142" s="113">
        <v>5.2099999999999998E-4</v>
      </c>
      <c r="W142" s="113">
        <v>5.2099999999999998E-4</v>
      </c>
      <c r="X142" s="113">
        <v>5.22E-4</v>
      </c>
      <c r="Y142" s="113">
        <v>5.22E-4</v>
      </c>
      <c r="Z142" s="113">
        <v>5.2300000000000003E-4</v>
      </c>
      <c r="AA142" s="113">
        <v>5.2400000000000005E-4</v>
      </c>
      <c r="AB142" s="113">
        <v>5.2400000000000005E-4</v>
      </c>
      <c r="AC142" s="113">
        <v>5.2300000000000003E-4</v>
      </c>
      <c r="AD142" s="113">
        <v>5.2300000000000003E-4</v>
      </c>
      <c r="AE142" s="113">
        <v>5.2300000000000003E-4</v>
      </c>
      <c r="AF142" s="113">
        <v>5.2300000000000003E-4</v>
      </c>
      <c r="AG142" s="113">
        <v>5.2300000000000003E-4</v>
      </c>
    </row>
    <row r="143" spans="1:33">
      <c r="A143" s="113" t="s">
        <v>18727</v>
      </c>
      <c r="B143" s="113" t="s">
        <v>18682</v>
      </c>
      <c r="C143" s="113" t="s">
        <v>1382</v>
      </c>
      <c r="D143" s="113" t="s">
        <v>648</v>
      </c>
      <c r="E143" s="113" t="s">
        <v>973</v>
      </c>
      <c r="F143" s="113" t="s">
        <v>598</v>
      </c>
      <c r="G143" s="113" t="s">
        <v>599</v>
      </c>
      <c r="H143" s="113" t="s">
        <v>2266</v>
      </c>
      <c r="I143" s="113" t="s">
        <v>2267</v>
      </c>
      <c r="J143" s="234">
        <v>4.8999999999999997E-6</v>
      </c>
      <c r="K143" s="234">
        <v>4.8999999999999997E-6</v>
      </c>
      <c r="L143" s="234">
        <v>4.8999999999999997E-6</v>
      </c>
      <c r="M143" s="234">
        <v>4.9100000000000004E-6</v>
      </c>
      <c r="N143" s="234">
        <v>4.9100000000000004E-6</v>
      </c>
      <c r="O143" s="234">
        <v>4.9100000000000004E-6</v>
      </c>
      <c r="P143" s="234">
        <v>4.9100000000000004E-6</v>
      </c>
      <c r="Q143" s="234">
        <v>4.9100000000000004E-6</v>
      </c>
      <c r="R143" s="234">
        <v>4.9200000000000003E-6</v>
      </c>
      <c r="S143" s="234">
        <v>4.9200000000000003E-6</v>
      </c>
      <c r="T143" s="234">
        <v>4.9200000000000003E-6</v>
      </c>
      <c r="U143" s="234">
        <v>4.9200000000000003E-6</v>
      </c>
      <c r="V143" s="234">
        <v>4.9200000000000003E-6</v>
      </c>
      <c r="W143" s="234">
        <v>4.9300000000000002E-6</v>
      </c>
      <c r="X143" s="234">
        <v>4.9300000000000002E-6</v>
      </c>
      <c r="Y143" s="234">
        <v>4.9300000000000002E-6</v>
      </c>
      <c r="Z143" s="234">
        <v>4.9400000000000001E-6</v>
      </c>
      <c r="AA143" s="234">
        <v>4.95E-6</v>
      </c>
      <c r="AB143" s="234">
        <v>4.95E-6</v>
      </c>
      <c r="AC143" s="234">
        <v>4.9400000000000001E-6</v>
      </c>
      <c r="AD143" s="234">
        <v>4.9400000000000001E-6</v>
      </c>
      <c r="AE143" s="234">
        <v>4.9400000000000001E-6</v>
      </c>
      <c r="AF143" s="234">
        <v>4.9400000000000001E-6</v>
      </c>
      <c r="AG143" s="234">
        <v>4.9400000000000001E-6</v>
      </c>
    </row>
    <row r="144" spans="1:33">
      <c r="A144" s="113" t="s">
        <v>18727</v>
      </c>
      <c r="B144" s="113" t="s">
        <v>18751</v>
      </c>
      <c r="C144" s="113" t="s">
        <v>1382</v>
      </c>
      <c r="D144" s="113" t="s">
        <v>648</v>
      </c>
      <c r="E144" s="113" t="s">
        <v>18752</v>
      </c>
      <c r="F144" s="113" t="s">
        <v>598</v>
      </c>
      <c r="G144" s="113" t="s">
        <v>599</v>
      </c>
      <c r="H144" s="113" t="s">
        <v>2266</v>
      </c>
      <c r="I144" s="113" t="s">
        <v>2267</v>
      </c>
      <c r="J144" s="113">
        <v>0</v>
      </c>
      <c r="K144" s="113">
        <v>0</v>
      </c>
      <c r="L144" s="113">
        <v>0</v>
      </c>
      <c r="M144" s="113">
        <v>0</v>
      </c>
      <c r="N144" s="113">
        <v>0</v>
      </c>
      <c r="O144" s="113">
        <v>0</v>
      </c>
      <c r="P144" s="113">
        <v>0</v>
      </c>
      <c r="Q144" s="113">
        <v>0</v>
      </c>
      <c r="R144" s="113"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v>0</v>
      </c>
      <c r="X144" s="113">
        <v>0</v>
      </c>
      <c r="Y144" s="113">
        <v>0</v>
      </c>
      <c r="Z144" s="113">
        <v>0</v>
      </c>
      <c r="AA144" s="113">
        <v>0</v>
      </c>
      <c r="AB144" s="113">
        <v>0</v>
      </c>
      <c r="AC144" s="113">
        <v>0</v>
      </c>
      <c r="AD144" s="113">
        <v>0</v>
      </c>
      <c r="AE144" s="113">
        <v>0</v>
      </c>
      <c r="AF144" s="113">
        <v>0</v>
      </c>
      <c r="AG144" s="113">
        <v>0</v>
      </c>
    </row>
    <row r="145" spans="1:33">
      <c r="A145" s="113" t="s">
        <v>18727</v>
      </c>
      <c r="B145" s="113" t="s">
        <v>18683</v>
      </c>
      <c r="C145" s="113" t="s">
        <v>1382</v>
      </c>
      <c r="D145" s="113" t="s">
        <v>648</v>
      </c>
      <c r="E145" s="113" t="s">
        <v>611</v>
      </c>
      <c r="F145" s="113" t="s">
        <v>598</v>
      </c>
      <c r="G145" s="113" t="s">
        <v>599</v>
      </c>
      <c r="H145" s="113" t="s">
        <v>2266</v>
      </c>
      <c r="I145" s="113" t="s">
        <v>2267</v>
      </c>
      <c r="J145" s="113">
        <v>2.7169999999999998E-3</v>
      </c>
      <c r="K145" s="113">
        <v>2.7169999999999998E-3</v>
      </c>
      <c r="L145" s="113">
        <v>2.7169999999999998E-3</v>
      </c>
      <c r="M145" s="113">
        <v>2.7169999999999998E-3</v>
      </c>
      <c r="N145" s="113">
        <v>2.7169999999999998E-3</v>
      </c>
      <c r="O145" s="113">
        <v>2.7169999999999998E-3</v>
      </c>
      <c r="P145" s="113">
        <v>2.7169999999999998E-3</v>
      </c>
      <c r="Q145" s="113">
        <v>2.7169999999999998E-3</v>
      </c>
      <c r="R145" s="113">
        <v>2.7169999999999998E-3</v>
      </c>
      <c r="S145" s="113">
        <v>2.7169999999999998E-3</v>
      </c>
      <c r="T145" s="113">
        <v>2.7169999999999998E-3</v>
      </c>
      <c r="U145" s="113">
        <v>2.7169999999999998E-3</v>
      </c>
      <c r="V145" s="113">
        <v>2.7169999999999998E-3</v>
      </c>
      <c r="W145" s="113">
        <v>2.7169999999999998E-3</v>
      </c>
      <c r="X145" s="113">
        <v>2.7169999999999998E-3</v>
      </c>
      <c r="Y145" s="113">
        <v>2.7169999999999998E-3</v>
      </c>
      <c r="Z145" s="113">
        <v>2.7169999999999998E-3</v>
      </c>
      <c r="AA145" s="113">
        <v>2.7169999999999998E-3</v>
      </c>
      <c r="AB145" s="113">
        <v>2.7169999999999998E-3</v>
      </c>
      <c r="AC145" s="113">
        <v>2.7169999999999998E-3</v>
      </c>
      <c r="AD145" s="113">
        <v>2.7169999999999998E-3</v>
      </c>
      <c r="AE145" s="113">
        <v>2.7169999999999998E-3</v>
      </c>
      <c r="AF145" s="113">
        <v>2.7169999999999998E-3</v>
      </c>
      <c r="AG145" s="113">
        <v>2.7169999999999998E-3</v>
      </c>
    </row>
    <row r="146" spans="1:33">
      <c r="A146" s="113" t="s">
        <v>18727</v>
      </c>
      <c r="B146" s="113" t="s">
        <v>18719</v>
      </c>
      <c r="C146" s="113" t="s">
        <v>1382</v>
      </c>
      <c r="D146" s="113" t="s">
        <v>648</v>
      </c>
      <c r="E146" s="113" t="s">
        <v>1464</v>
      </c>
      <c r="F146" s="113" t="s">
        <v>598</v>
      </c>
      <c r="G146" s="113" t="s">
        <v>599</v>
      </c>
      <c r="H146" s="113" t="s">
        <v>2266</v>
      </c>
      <c r="I146" s="113" t="s">
        <v>2267</v>
      </c>
      <c r="J146" s="113">
        <v>1.0629E-2</v>
      </c>
      <c r="K146" s="113">
        <v>1.0629E-2</v>
      </c>
      <c r="L146" s="113">
        <v>1.0629E-2</v>
      </c>
      <c r="M146" s="113">
        <v>1.0629E-2</v>
      </c>
      <c r="N146" s="113">
        <v>1.0629E-2</v>
      </c>
      <c r="O146" s="113">
        <v>1.0629E-2</v>
      </c>
      <c r="P146" s="113">
        <v>1.0629E-2</v>
      </c>
      <c r="Q146" s="113">
        <v>1.0629E-2</v>
      </c>
      <c r="R146" s="113">
        <v>1.0629E-2</v>
      </c>
      <c r="S146" s="113">
        <v>1.0629E-2</v>
      </c>
      <c r="T146" s="113">
        <v>1.0629E-2</v>
      </c>
      <c r="U146" s="113">
        <v>1.0629E-2</v>
      </c>
      <c r="V146" s="113">
        <v>1.0629E-2</v>
      </c>
      <c r="W146" s="113">
        <v>1.0629E-2</v>
      </c>
      <c r="X146" s="113">
        <v>1.0629E-2</v>
      </c>
      <c r="Y146" s="113">
        <v>1.0629E-2</v>
      </c>
      <c r="Z146" s="113">
        <v>1.0629E-2</v>
      </c>
      <c r="AA146" s="113">
        <v>1.0629E-2</v>
      </c>
      <c r="AB146" s="113">
        <v>1.0629E-2</v>
      </c>
      <c r="AC146" s="113">
        <v>1.0629E-2</v>
      </c>
      <c r="AD146" s="113">
        <v>1.0629E-2</v>
      </c>
      <c r="AE146" s="113">
        <v>1.0629E-2</v>
      </c>
      <c r="AF146" s="113">
        <v>1.0629E-2</v>
      </c>
      <c r="AG146" s="113">
        <v>1.0629E-2</v>
      </c>
    </row>
    <row r="147" spans="1:33">
      <c r="A147" s="113" t="s">
        <v>18727</v>
      </c>
      <c r="B147" s="113" t="s">
        <v>18685</v>
      </c>
      <c r="C147" s="113" t="s">
        <v>1382</v>
      </c>
      <c r="D147" s="113" t="s">
        <v>648</v>
      </c>
      <c r="E147" s="113" t="s">
        <v>1447</v>
      </c>
      <c r="F147" s="113" t="s">
        <v>598</v>
      </c>
      <c r="G147" s="113" t="s">
        <v>599</v>
      </c>
      <c r="H147" s="113" t="s">
        <v>2266</v>
      </c>
      <c r="I147" s="113" t="s">
        <v>2267</v>
      </c>
      <c r="J147" s="113">
        <v>0</v>
      </c>
      <c r="K147" s="113">
        <v>0</v>
      </c>
      <c r="L147" s="113">
        <v>0</v>
      </c>
      <c r="M147" s="113">
        <v>0</v>
      </c>
      <c r="N147" s="113">
        <v>0</v>
      </c>
      <c r="O147" s="113">
        <v>0</v>
      </c>
      <c r="P147" s="113">
        <v>0</v>
      </c>
      <c r="Q147" s="113">
        <v>0</v>
      </c>
      <c r="R147" s="113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v>0</v>
      </c>
      <c r="Z147" s="113">
        <v>0</v>
      </c>
      <c r="AA147" s="113">
        <v>0</v>
      </c>
      <c r="AB147" s="113">
        <v>0</v>
      </c>
      <c r="AC147" s="113">
        <v>0</v>
      </c>
      <c r="AD147" s="113">
        <v>0</v>
      </c>
      <c r="AE147" s="113">
        <v>0</v>
      </c>
      <c r="AF147" s="113">
        <v>0</v>
      </c>
      <c r="AG147" s="113">
        <v>0</v>
      </c>
    </row>
    <row r="148" spans="1:33">
      <c r="A148" s="113" t="s">
        <v>18727</v>
      </c>
      <c r="B148" s="113" t="s">
        <v>18753</v>
      </c>
      <c r="C148" s="113" t="s">
        <v>1382</v>
      </c>
      <c r="D148" s="113" t="s">
        <v>648</v>
      </c>
      <c r="E148" s="113" t="s">
        <v>626</v>
      </c>
      <c r="F148" s="113" t="s">
        <v>598</v>
      </c>
      <c r="G148" s="113" t="s">
        <v>599</v>
      </c>
      <c r="H148" s="113" t="s">
        <v>2266</v>
      </c>
      <c r="I148" s="113" t="s">
        <v>2267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3">
        <v>0</v>
      </c>
      <c r="P148" s="113">
        <v>0</v>
      </c>
      <c r="Q148" s="113">
        <v>0</v>
      </c>
      <c r="R148" s="113"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v>0</v>
      </c>
      <c r="Z148" s="113">
        <v>0</v>
      </c>
      <c r="AA148" s="113">
        <v>0</v>
      </c>
      <c r="AB148" s="113">
        <v>0</v>
      </c>
      <c r="AC148" s="113">
        <v>0</v>
      </c>
      <c r="AD148" s="113">
        <v>0</v>
      </c>
      <c r="AE148" s="113">
        <v>0</v>
      </c>
      <c r="AF148" s="113">
        <v>0</v>
      </c>
      <c r="AG148" s="113">
        <v>0</v>
      </c>
    </row>
    <row r="149" spans="1:33">
      <c r="A149" s="113" t="s">
        <v>18727</v>
      </c>
      <c r="B149" s="113" t="s">
        <v>18754</v>
      </c>
      <c r="C149" s="113" t="s">
        <v>1382</v>
      </c>
      <c r="D149" s="113" t="s">
        <v>648</v>
      </c>
      <c r="E149" s="113" t="s">
        <v>678</v>
      </c>
      <c r="F149" s="113" t="s">
        <v>598</v>
      </c>
      <c r="G149" s="113" t="s">
        <v>599</v>
      </c>
      <c r="H149" s="113" t="s">
        <v>2266</v>
      </c>
      <c r="I149" s="113" t="s">
        <v>2267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0</v>
      </c>
      <c r="R149" s="113"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13">
        <v>0</v>
      </c>
      <c r="AG149" s="113">
        <v>0</v>
      </c>
    </row>
    <row r="150" spans="1:33">
      <c r="A150" s="113" t="s">
        <v>18727</v>
      </c>
      <c r="B150" s="113" t="s">
        <v>18686</v>
      </c>
      <c r="C150" s="113" t="s">
        <v>1382</v>
      </c>
      <c r="D150" s="113" t="s">
        <v>648</v>
      </c>
      <c r="E150" s="113" t="s">
        <v>1467</v>
      </c>
      <c r="F150" s="113" t="s">
        <v>598</v>
      </c>
      <c r="G150" s="113" t="s">
        <v>599</v>
      </c>
      <c r="H150" s="113" t="s">
        <v>2266</v>
      </c>
      <c r="I150" s="113" t="s">
        <v>2267</v>
      </c>
      <c r="J150" s="113">
        <v>0</v>
      </c>
      <c r="K150" s="113">
        <v>0</v>
      </c>
      <c r="L150" s="113">
        <v>0</v>
      </c>
      <c r="M150" s="113">
        <v>0</v>
      </c>
      <c r="N150" s="113">
        <v>0</v>
      </c>
      <c r="O150" s="113">
        <v>0</v>
      </c>
      <c r="P150" s="113">
        <v>0</v>
      </c>
      <c r="Q150" s="113">
        <v>0</v>
      </c>
      <c r="R150" s="113"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v>0</v>
      </c>
      <c r="Z150" s="113">
        <v>0</v>
      </c>
      <c r="AA150" s="113">
        <v>0</v>
      </c>
      <c r="AB150" s="113">
        <v>0</v>
      </c>
      <c r="AC150" s="113">
        <v>0</v>
      </c>
      <c r="AD150" s="113">
        <v>0</v>
      </c>
      <c r="AE150" s="113">
        <v>0</v>
      </c>
      <c r="AF150" s="113">
        <v>0</v>
      </c>
      <c r="AG150" s="113">
        <v>0</v>
      </c>
    </row>
    <row r="151" spans="1:33">
      <c r="A151" s="113" t="s">
        <v>18727</v>
      </c>
      <c r="B151" s="113" t="s">
        <v>18687</v>
      </c>
      <c r="C151" s="113" t="s">
        <v>1382</v>
      </c>
      <c r="D151" s="113" t="s">
        <v>648</v>
      </c>
      <c r="E151" s="113" t="s">
        <v>1615</v>
      </c>
      <c r="F151" s="113" t="s">
        <v>598</v>
      </c>
      <c r="G151" s="113" t="s">
        <v>599</v>
      </c>
      <c r="H151" s="113" t="s">
        <v>2266</v>
      </c>
      <c r="I151" s="113" t="s">
        <v>2267</v>
      </c>
      <c r="J151" s="113">
        <v>0</v>
      </c>
      <c r="K151" s="113">
        <v>0</v>
      </c>
      <c r="L151" s="113">
        <v>0</v>
      </c>
      <c r="M151" s="113">
        <v>0</v>
      </c>
      <c r="N151" s="113">
        <v>0</v>
      </c>
      <c r="O151" s="113">
        <v>0</v>
      </c>
      <c r="P151" s="113">
        <v>0</v>
      </c>
      <c r="Q151" s="113">
        <v>0</v>
      </c>
      <c r="R151" s="113"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v>0</v>
      </c>
      <c r="Z151" s="113">
        <v>0</v>
      </c>
      <c r="AA151" s="113">
        <v>0</v>
      </c>
      <c r="AB151" s="113">
        <v>0</v>
      </c>
      <c r="AC151" s="113">
        <v>0</v>
      </c>
      <c r="AD151" s="113">
        <v>0</v>
      </c>
      <c r="AE151" s="113">
        <v>0</v>
      </c>
      <c r="AF151" s="113">
        <v>0</v>
      </c>
      <c r="AG151" s="113">
        <v>0</v>
      </c>
    </row>
    <row r="152" spans="1:33">
      <c r="A152" s="113" t="s">
        <v>18727</v>
      </c>
      <c r="B152" s="113" t="s">
        <v>18755</v>
      </c>
      <c r="C152" s="113" t="s">
        <v>1382</v>
      </c>
      <c r="D152" s="113" t="s">
        <v>648</v>
      </c>
      <c r="E152" s="113" t="s">
        <v>1004</v>
      </c>
      <c r="F152" s="113" t="s">
        <v>598</v>
      </c>
      <c r="G152" s="113" t="s">
        <v>599</v>
      </c>
      <c r="H152" s="113" t="s">
        <v>2266</v>
      </c>
      <c r="I152" s="113" t="s">
        <v>2267</v>
      </c>
      <c r="J152" s="113">
        <v>0</v>
      </c>
      <c r="K152" s="11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3">
        <v>0</v>
      </c>
      <c r="R152" s="113"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v>0</v>
      </c>
      <c r="Z152" s="113">
        <v>0</v>
      </c>
      <c r="AA152" s="113">
        <v>0</v>
      </c>
      <c r="AB152" s="113">
        <v>0</v>
      </c>
      <c r="AC152" s="113">
        <v>0</v>
      </c>
      <c r="AD152" s="113">
        <v>0</v>
      </c>
      <c r="AE152" s="113">
        <v>0</v>
      </c>
      <c r="AF152" s="113">
        <v>0</v>
      </c>
      <c r="AG152" s="113">
        <v>0</v>
      </c>
    </row>
    <row r="153" spans="1:33">
      <c r="J153" s="281">
        <f>SUM(J70:J152)</f>
        <v>0.87597869999999989</v>
      </c>
      <c r="K153" s="282">
        <f t="shared" ref="K153:AG153" si="25">SUM(K70:K152)</f>
        <v>0.87597899999999995</v>
      </c>
      <c r="L153" s="282">
        <f t="shared" si="25"/>
        <v>0.87597930000000002</v>
      </c>
      <c r="M153" s="282">
        <f t="shared" si="25"/>
        <v>0.87598160999999997</v>
      </c>
      <c r="N153" s="282">
        <f t="shared" si="25"/>
        <v>0.87598191000000003</v>
      </c>
      <c r="O153" s="282">
        <f t="shared" si="25"/>
        <v>0.87598321000000012</v>
      </c>
      <c r="P153" s="282">
        <f t="shared" si="25"/>
        <v>0.87598341000000002</v>
      </c>
      <c r="Q153" s="282">
        <f t="shared" si="25"/>
        <v>0.87598361000000013</v>
      </c>
      <c r="R153" s="282">
        <f t="shared" si="25"/>
        <v>0.87598591999999986</v>
      </c>
      <c r="S153" s="282">
        <f t="shared" si="25"/>
        <v>0.87598611999999998</v>
      </c>
      <c r="T153" s="282">
        <f t="shared" si="25"/>
        <v>0.87598631999999987</v>
      </c>
      <c r="U153" s="282">
        <f t="shared" si="25"/>
        <v>0.87598651999999999</v>
      </c>
      <c r="V153" s="282">
        <f t="shared" si="25"/>
        <v>0.87598871999999994</v>
      </c>
      <c r="W153" s="282">
        <f t="shared" si="25"/>
        <v>0.87598903000000006</v>
      </c>
      <c r="X153" s="282">
        <f t="shared" si="25"/>
        <v>0.87599123000000001</v>
      </c>
      <c r="Y153" s="282">
        <f t="shared" si="25"/>
        <v>0.87599143000000002</v>
      </c>
      <c r="Z153" s="282">
        <f t="shared" si="25"/>
        <v>0.87599364000000002</v>
      </c>
      <c r="AA153" s="282">
        <f t="shared" si="25"/>
        <v>0.87599484999999999</v>
      </c>
      <c r="AB153" s="282">
        <f t="shared" si="25"/>
        <v>0.87599515000000006</v>
      </c>
      <c r="AC153" s="282">
        <f t="shared" si="25"/>
        <v>0.87599433999999998</v>
      </c>
      <c r="AD153" s="282">
        <f t="shared" si="25"/>
        <v>0.87599453999999999</v>
      </c>
      <c r="AE153" s="282">
        <f t="shared" si="25"/>
        <v>0.87599374000000008</v>
      </c>
      <c r="AF153" s="282">
        <f t="shared" si="25"/>
        <v>0.87599404000000003</v>
      </c>
      <c r="AG153" s="283">
        <f t="shared" si="25"/>
        <v>0.87599423999999992</v>
      </c>
    </row>
    <row r="155" spans="1:33">
      <c r="A155" t="s">
        <v>18834</v>
      </c>
    </row>
    <row r="156" spans="1:33">
      <c r="A156" s="240" t="s">
        <v>569</v>
      </c>
      <c r="B156" s="240" t="s">
        <v>570</v>
      </c>
      <c r="C156" s="240" t="s">
        <v>571</v>
      </c>
      <c r="D156" s="240" t="s">
        <v>572</v>
      </c>
      <c r="E156" s="240" t="s">
        <v>573</v>
      </c>
      <c r="F156" s="240" t="s">
        <v>574</v>
      </c>
      <c r="G156" s="240" t="s">
        <v>575</v>
      </c>
      <c r="H156" s="240" t="s">
        <v>576</v>
      </c>
      <c r="I156" s="240" t="s">
        <v>577</v>
      </c>
      <c r="J156" s="240">
        <v>2023</v>
      </c>
      <c r="K156" s="240">
        <v>2024</v>
      </c>
      <c r="L156" s="240">
        <v>2025</v>
      </c>
      <c r="M156" s="240">
        <v>2026</v>
      </c>
      <c r="N156" s="240">
        <v>2027</v>
      </c>
      <c r="O156" s="240">
        <v>2028</v>
      </c>
      <c r="P156" s="240">
        <v>2029</v>
      </c>
      <c r="Q156" s="240">
        <v>2030</v>
      </c>
      <c r="R156" s="240">
        <v>2031</v>
      </c>
      <c r="S156" s="240">
        <v>2032</v>
      </c>
      <c r="T156" s="240">
        <v>2033</v>
      </c>
      <c r="U156" s="240">
        <v>2034</v>
      </c>
      <c r="V156" s="240">
        <v>2035</v>
      </c>
      <c r="W156" s="240">
        <v>2036</v>
      </c>
      <c r="X156" s="240">
        <v>2037</v>
      </c>
      <c r="Y156" s="240">
        <v>2038</v>
      </c>
      <c r="Z156" s="240">
        <v>2039</v>
      </c>
      <c r="AA156" s="240">
        <v>2040</v>
      </c>
      <c r="AB156" s="240">
        <v>2041</v>
      </c>
      <c r="AC156" s="240">
        <v>2042</v>
      </c>
      <c r="AD156" s="240">
        <v>2043</v>
      </c>
      <c r="AE156" s="240">
        <v>2044</v>
      </c>
      <c r="AF156" s="240">
        <v>2045</v>
      </c>
      <c r="AG156" s="240">
        <v>2046</v>
      </c>
    </row>
    <row r="157" spans="1:33">
      <c r="A157" s="113" t="s">
        <v>18721</v>
      </c>
      <c r="B157" s="113" t="s">
        <v>2270</v>
      </c>
      <c r="C157" s="113" t="s">
        <v>710</v>
      </c>
      <c r="D157" s="113" t="s">
        <v>596</v>
      </c>
      <c r="E157" s="113" t="s">
        <v>597</v>
      </c>
      <c r="F157" s="113" t="s">
        <v>598</v>
      </c>
      <c r="G157" s="113" t="s">
        <v>599</v>
      </c>
      <c r="H157" s="113" t="s">
        <v>2266</v>
      </c>
      <c r="I157" s="113" t="s">
        <v>2267</v>
      </c>
      <c r="J157" s="113">
        <v>1.077E-3</v>
      </c>
      <c r="K157" s="113">
        <v>1.077E-3</v>
      </c>
      <c r="L157" s="113">
        <v>1.077E-3</v>
      </c>
      <c r="M157" s="113">
        <v>1.077E-3</v>
      </c>
      <c r="N157" s="113">
        <v>1.077E-3</v>
      </c>
      <c r="O157" s="113">
        <v>1.077E-3</v>
      </c>
      <c r="P157" s="113">
        <v>1.077E-3</v>
      </c>
      <c r="Q157" s="113">
        <v>1.077E-3</v>
      </c>
      <c r="R157" s="113">
        <v>1.077E-3</v>
      </c>
      <c r="S157" s="113">
        <v>1.077E-3</v>
      </c>
      <c r="T157" s="113">
        <v>1.077E-3</v>
      </c>
      <c r="U157" s="113">
        <v>1.077E-3</v>
      </c>
      <c r="V157" s="113">
        <v>1.077E-3</v>
      </c>
      <c r="W157" s="113">
        <v>1.077E-3</v>
      </c>
      <c r="X157" s="113">
        <v>1.077E-3</v>
      </c>
      <c r="Y157" s="113">
        <v>1.077E-3</v>
      </c>
      <c r="Z157" s="113">
        <v>1.077E-3</v>
      </c>
      <c r="AA157" s="113">
        <v>1.077E-3</v>
      </c>
      <c r="AB157" s="113">
        <v>1.077E-3</v>
      </c>
      <c r="AC157" s="113">
        <v>1.077E-3</v>
      </c>
      <c r="AD157" s="113">
        <v>1.077E-3</v>
      </c>
      <c r="AE157" s="113">
        <v>1.077E-3</v>
      </c>
      <c r="AF157" s="113">
        <v>1.077E-3</v>
      </c>
      <c r="AG157" s="113">
        <v>1.077E-3</v>
      </c>
    </row>
    <row r="158" spans="1:33">
      <c r="A158" s="113" t="s">
        <v>18721</v>
      </c>
      <c r="B158" s="113" t="s">
        <v>2271</v>
      </c>
      <c r="C158" s="113" t="s">
        <v>710</v>
      </c>
      <c r="D158" s="113" t="s">
        <v>596</v>
      </c>
      <c r="E158" s="113" t="s">
        <v>605</v>
      </c>
      <c r="F158" s="113" t="s">
        <v>598</v>
      </c>
      <c r="G158" s="113" t="s">
        <v>599</v>
      </c>
      <c r="H158" s="113" t="s">
        <v>2266</v>
      </c>
      <c r="I158" s="113" t="s">
        <v>2267</v>
      </c>
      <c r="J158" s="113">
        <v>1.7958999999999999E-2</v>
      </c>
      <c r="K158" s="113">
        <v>1.7958999999999999E-2</v>
      </c>
      <c r="L158" s="113">
        <v>1.7958999999999999E-2</v>
      </c>
      <c r="M158" s="113">
        <v>1.7958999999999999E-2</v>
      </c>
      <c r="N158" s="113">
        <v>1.7958999999999999E-2</v>
      </c>
      <c r="O158" s="113">
        <v>1.7958999999999999E-2</v>
      </c>
      <c r="P158" s="113">
        <v>1.7958999999999999E-2</v>
      </c>
      <c r="Q158" s="113">
        <v>1.7958999999999999E-2</v>
      </c>
      <c r="R158" s="113">
        <v>1.7958999999999999E-2</v>
      </c>
      <c r="S158" s="113">
        <v>1.7958999999999999E-2</v>
      </c>
      <c r="T158" s="113">
        <v>1.7958999999999999E-2</v>
      </c>
      <c r="U158" s="113">
        <v>1.7958999999999999E-2</v>
      </c>
      <c r="V158" s="113">
        <v>1.7958999999999999E-2</v>
      </c>
      <c r="W158" s="113">
        <v>1.7958999999999999E-2</v>
      </c>
      <c r="X158" s="113">
        <v>1.7958999999999999E-2</v>
      </c>
      <c r="Y158" s="113">
        <v>1.7958999999999999E-2</v>
      </c>
      <c r="Z158" s="113">
        <v>1.7958999999999999E-2</v>
      </c>
      <c r="AA158" s="113">
        <v>1.7958999999999999E-2</v>
      </c>
      <c r="AB158" s="113">
        <v>1.7958999999999999E-2</v>
      </c>
      <c r="AC158" s="113">
        <v>1.7958999999999999E-2</v>
      </c>
      <c r="AD158" s="113">
        <v>1.7958999999999999E-2</v>
      </c>
      <c r="AE158" s="113">
        <v>1.7958999999999999E-2</v>
      </c>
      <c r="AF158" s="113">
        <v>1.7958999999999999E-2</v>
      </c>
      <c r="AG158" s="113">
        <v>1.7958999999999999E-2</v>
      </c>
    </row>
    <row r="159" spans="1:33">
      <c r="A159" s="113" t="s">
        <v>18721</v>
      </c>
      <c r="B159" s="113" t="s">
        <v>2276</v>
      </c>
      <c r="C159" s="113" t="s">
        <v>710</v>
      </c>
      <c r="D159" s="113" t="s">
        <v>671</v>
      </c>
      <c r="E159" s="113" t="s">
        <v>597</v>
      </c>
      <c r="F159" s="113" t="s">
        <v>598</v>
      </c>
      <c r="G159" s="113" t="s">
        <v>599</v>
      </c>
      <c r="H159" s="113" t="s">
        <v>2266</v>
      </c>
      <c r="I159" s="113" t="s">
        <v>2267</v>
      </c>
      <c r="J159" s="113">
        <v>6.5099999999999999E-4</v>
      </c>
      <c r="K159" s="113">
        <v>6.5099999999999999E-4</v>
      </c>
      <c r="L159" s="113">
        <v>6.5099999999999999E-4</v>
      </c>
      <c r="M159" s="113">
        <v>6.5099999999999999E-4</v>
      </c>
      <c r="N159" s="113">
        <v>6.5099999999999999E-4</v>
      </c>
      <c r="O159" s="113">
        <v>6.5099999999999999E-4</v>
      </c>
      <c r="P159" s="113">
        <v>6.5099999999999999E-4</v>
      </c>
      <c r="Q159" s="113">
        <v>6.5099999999999999E-4</v>
      </c>
      <c r="R159" s="113">
        <v>6.5099999999999999E-4</v>
      </c>
      <c r="S159" s="113">
        <v>6.5099999999999999E-4</v>
      </c>
      <c r="T159" s="113">
        <v>6.5099999999999999E-4</v>
      </c>
      <c r="U159" s="113">
        <v>6.5099999999999999E-4</v>
      </c>
      <c r="V159" s="113">
        <v>6.5099999999999999E-4</v>
      </c>
      <c r="W159" s="113">
        <v>6.5099999999999999E-4</v>
      </c>
      <c r="X159" s="113">
        <v>6.5099999999999999E-4</v>
      </c>
      <c r="Y159" s="113">
        <v>6.5099999999999999E-4</v>
      </c>
      <c r="Z159" s="113">
        <v>6.5099999999999999E-4</v>
      </c>
      <c r="AA159" s="113">
        <v>6.5099999999999999E-4</v>
      </c>
      <c r="AB159" s="113">
        <v>6.5099999999999999E-4</v>
      </c>
      <c r="AC159" s="113">
        <v>6.5099999999999999E-4</v>
      </c>
      <c r="AD159" s="113">
        <v>6.5099999999999999E-4</v>
      </c>
      <c r="AE159" s="113">
        <v>6.5099999999999999E-4</v>
      </c>
      <c r="AF159" s="113">
        <v>6.5099999999999999E-4</v>
      </c>
      <c r="AG159" s="113">
        <v>6.5099999999999999E-4</v>
      </c>
    </row>
    <row r="160" spans="1:33">
      <c r="A160" s="113" t="s">
        <v>18721</v>
      </c>
      <c r="B160" s="113" t="s">
        <v>2277</v>
      </c>
      <c r="C160" s="113" t="s">
        <v>710</v>
      </c>
      <c r="D160" s="113" t="s">
        <v>671</v>
      </c>
      <c r="E160" s="113" t="s">
        <v>605</v>
      </c>
      <c r="F160" s="113" t="s">
        <v>598</v>
      </c>
      <c r="G160" s="113" t="s">
        <v>599</v>
      </c>
      <c r="H160" s="113" t="s">
        <v>2266</v>
      </c>
      <c r="I160" s="113" t="s">
        <v>2267</v>
      </c>
      <c r="J160" s="113">
        <v>1.7923000000000001E-2</v>
      </c>
      <c r="K160" s="113">
        <v>1.7923000000000001E-2</v>
      </c>
      <c r="L160" s="113">
        <v>1.7923000000000001E-2</v>
      </c>
      <c r="M160" s="113">
        <v>1.7923000000000001E-2</v>
      </c>
      <c r="N160" s="113">
        <v>1.7923000000000001E-2</v>
      </c>
      <c r="O160" s="113">
        <v>1.7923000000000001E-2</v>
      </c>
      <c r="P160" s="113">
        <v>1.7923000000000001E-2</v>
      </c>
      <c r="Q160" s="113">
        <v>1.7923000000000001E-2</v>
      </c>
      <c r="R160" s="113">
        <v>1.7923000000000001E-2</v>
      </c>
      <c r="S160" s="113">
        <v>1.7923000000000001E-2</v>
      </c>
      <c r="T160" s="113">
        <v>1.7923000000000001E-2</v>
      </c>
      <c r="U160" s="113">
        <v>1.7923000000000001E-2</v>
      </c>
      <c r="V160" s="113">
        <v>1.7923000000000001E-2</v>
      </c>
      <c r="W160" s="113">
        <v>1.7923000000000001E-2</v>
      </c>
      <c r="X160" s="113">
        <v>1.7923000000000001E-2</v>
      </c>
      <c r="Y160" s="113">
        <v>1.7923000000000001E-2</v>
      </c>
      <c r="Z160" s="113">
        <v>1.7923000000000001E-2</v>
      </c>
      <c r="AA160" s="113">
        <v>1.7923000000000001E-2</v>
      </c>
      <c r="AB160" s="113">
        <v>1.7923000000000001E-2</v>
      </c>
      <c r="AC160" s="113">
        <v>1.7923000000000001E-2</v>
      </c>
      <c r="AD160" s="113">
        <v>1.7923000000000001E-2</v>
      </c>
      <c r="AE160" s="113">
        <v>1.7923000000000001E-2</v>
      </c>
      <c r="AF160" s="113">
        <v>1.7923000000000001E-2</v>
      </c>
      <c r="AG160" s="113">
        <v>1.7923000000000001E-2</v>
      </c>
    </row>
    <row r="161" spans="1:33">
      <c r="A161" s="113" t="s">
        <v>18721</v>
      </c>
      <c r="B161" s="113" t="s">
        <v>2279</v>
      </c>
      <c r="C161" s="113" t="s">
        <v>710</v>
      </c>
      <c r="D161" s="113" t="s">
        <v>621</v>
      </c>
      <c r="E161" s="113" t="s">
        <v>597</v>
      </c>
      <c r="F161" s="113" t="s">
        <v>598</v>
      </c>
      <c r="G161" s="113" t="s">
        <v>599</v>
      </c>
      <c r="H161" s="113" t="s">
        <v>2266</v>
      </c>
      <c r="I161" s="113" t="s">
        <v>2267</v>
      </c>
      <c r="J161" s="113">
        <v>1.56E-4</v>
      </c>
      <c r="K161" s="113">
        <v>1.56E-4</v>
      </c>
      <c r="L161" s="113">
        <v>1.56E-4</v>
      </c>
      <c r="M161" s="113">
        <v>1.56E-4</v>
      </c>
      <c r="N161" s="113">
        <v>1.56E-4</v>
      </c>
      <c r="O161" s="113">
        <v>1.56E-4</v>
      </c>
      <c r="P161" s="113">
        <v>1.56E-4</v>
      </c>
      <c r="Q161" s="113">
        <v>1.56E-4</v>
      </c>
      <c r="R161" s="113">
        <v>1.56E-4</v>
      </c>
      <c r="S161" s="113">
        <v>1.56E-4</v>
      </c>
      <c r="T161" s="113">
        <v>1.56E-4</v>
      </c>
      <c r="U161" s="113">
        <v>1.56E-4</v>
      </c>
      <c r="V161" s="113">
        <v>1.56E-4</v>
      </c>
      <c r="W161" s="113">
        <v>1.56E-4</v>
      </c>
      <c r="X161" s="113">
        <v>1.56E-4</v>
      </c>
      <c r="Y161" s="113">
        <v>1.56E-4</v>
      </c>
      <c r="Z161" s="113">
        <v>1.56E-4</v>
      </c>
      <c r="AA161" s="113">
        <v>1.56E-4</v>
      </c>
      <c r="AB161" s="113">
        <v>1.56E-4</v>
      </c>
      <c r="AC161" s="113">
        <v>1.56E-4</v>
      </c>
      <c r="AD161" s="113">
        <v>1.56E-4</v>
      </c>
      <c r="AE161" s="113">
        <v>1.56E-4</v>
      </c>
      <c r="AF161" s="113">
        <v>1.56E-4</v>
      </c>
      <c r="AG161" s="113">
        <v>1.56E-4</v>
      </c>
    </row>
    <row r="162" spans="1:33">
      <c r="J162" s="281">
        <f>SUM(J157:J161)</f>
        <v>3.7766000000000008E-2</v>
      </c>
      <c r="K162" s="282">
        <f t="shared" ref="K162:AG162" si="26">SUM(K157:K161)</f>
        <v>3.7766000000000008E-2</v>
      </c>
      <c r="L162" s="282">
        <f t="shared" si="26"/>
        <v>3.7766000000000008E-2</v>
      </c>
      <c r="M162" s="282">
        <f t="shared" si="26"/>
        <v>3.7766000000000008E-2</v>
      </c>
      <c r="N162" s="282">
        <f t="shared" si="26"/>
        <v>3.7766000000000008E-2</v>
      </c>
      <c r="O162" s="282">
        <f t="shared" si="26"/>
        <v>3.7766000000000008E-2</v>
      </c>
      <c r="P162" s="282">
        <f t="shared" si="26"/>
        <v>3.7766000000000008E-2</v>
      </c>
      <c r="Q162" s="282">
        <f t="shared" si="26"/>
        <v>3.7766000000000008E-2</v>
      </c>
      <c r="R162" s="282">
        <f t="shared" si="26"/>
        <v>3.7766000000000008E-2</v>
      </c>
      <c r="S162" s="282">
        <f t="shared" si="26"/>
        <v>3.7766000000000008E-2</v>
      </c>
      <c r="T162" s="282">
        <f t="shared" si="26"/>
        <v>3.7766000000000008E-2</v>
      </c>
      <c r="U162" s="282">
        <f t="shared" si="26"/>
        <v>3.7766000000000008E-2</v>
      </c>
      <c r="V162" s="282">
        <f t="shared" si="26"/>
        <v>3.7766000000000008E-2</v>
      </c>
      <c r="W162" s="282">
        <f t="shared" si="26"/>
        <v>3.7766000000000008E-2</v>
      </c>
      <c r="X162" s="282">
        <f t="shared" si="26"/>
        <v>3.7766000000000008E-2</v>
      </c>
      <c r="Y162" s="282">
        <f t="shared" si="26"/>
        <v>3.7766000000000008E-2</v>
      </c>
      <c r="Z162" s="282">
        <f t="shared" si="26"/>
        <v>3.7766000000000008E-2</v>
      </c>
      <c r="AA162" s="282">
        <f t="shared" si="26"/>
        <v>3.7766000000000008E-2</v>
      </c>
      <c r="AB162" s="282">
        <f t="shared" si="26"/>
        <v>3.7766000000000008E-2</v>
      </c>
      <c r="AC162" s="282">
        <f t="shared" si="26"/>
        <v>3.7766000000000008E-2</v>
      </c>
      <c r="AD162" s="282">
        <f t="shared" si="26"/>
        <v>3.7766000000000008E-2</v>
      </c>
      <c r="AE162" s="282">
        <f t="shared" si="26"/>
        <v>3.7766000000000008E-2</v>
      </c>
      <c r="AF162" s="282">
        <f t="shared" si="26"/>
        <v>3.7766000000000008E-2</v>
      </c>
      <c r="AG162" s="283">
        <f t="shared" si="26"/>
        <v>3.7766000000000008E-2</v>
      </c>
    </row>
    <row r="164" spans="1:33">
      <c r="A164" t="s">
        <v>18835</v>
      </c>
    </row>
    <row r="165" spans="1:33">
      <c r="A165" s="240" t="s">
        <v>569</v>
      </c>
      <c r="B165" s="240" t="s">
        <v>570</v>
      </c>
      <c r="C165" s="240" t="s">
        <v>571</v>
      </c>
      <c r="D165" s="240" t="s">
        <v>572</v>
      </c>
      <c r="E165" s="240" t="s">
        <v>573</v>
      </c>
      <c r="F165" s="240" t="s">
        <v>574</v>
      </c>
      <c r="G165" s="240" t="s">
        <v>575</v>
      </c>
      <c r="H165" s="240" t="s">
        <v>576</v>
      </c>
      <c r="I165" s="240" t="s">
        <v>577</v>
      </c>
      <c r="J165" s="240">
        <v>2023</v>
      </c>
      <c r="K165" s="240">
        <v>2024</v>
      </c>
      <c r="L165" s="240">
        <v>2025</v>
      </c>
      <c r="M165" s="240">
        <v>2026</v>
      </c>
      <c r="N165" s="240">
        <v>2027</v>
      </c>
      <c r="O165" s="240">
        <v>2028</v>
      </c>
      <c r="P165" s="240">
        <v>2029</v>
      </c>
      <c r="Q165" s="240">
        <v>2030</v>
      </c>
      <c r="R165" s="240">
        <v>2031</v>
      </c>
      <c r="S165" s="240">
        <v>2032</v>
      </c>
      <c r="T165" s="240">
        <v>2033</v>
      </c>
      <c r="U165" s="240">
        <v>2034</v>
      </c>
      <c r="V165" s="240">
        <v>2035</v>
      </c>
      <c r="W165" s="240">
        <v>2036</v>
      </c>
      <c r="X165" s="240">
        <v>2037</v>
      </c>
      <c r="Y165" s="240">
        <v>2038</v>
      </c>
      <c r="Z165" s="240">
        <v>2039</v>
      </c>
      <c r="AA165" s="240">
        <v>2040</v>
      </c>
      <c r="AB165" s="240">
        <v>2041</v>
      </c>
      <c r="AC165" s="240">
        <v>2042</v>
      </c>
      <c r="AD165" s="240">
        <v>2043</v>
      </c>
      <c r="AE165" s="240">
        <v>2044</v>
      </c>
      <c r="AF165" s="240">
        <v>2045</v>
      </c>
      <c r="AG165" s="240">
        <v>2046</v>
      </c>
    </row>
    <row r="166" spans="1:33">
      <c r="A166" s="113" t="s">
        <v>18721</v>
      </c>
      <c r="B166" s="113" t="s">
        <v>18640</v>
      </c>
      <c r="C166" s="113" t="s">
        <v>1382</v>
      </c>
      <c r="D166" s="113" t="s">
        <v>1274</v>
      </c>
      <c r="E166" s="113" t="s">
        <v>973</v>
      </c>
      <c r="F166" s="113" t="s">
        <v>598</v>
      </c>
      <c r="G166" s="113" t="s">
        <v>599</v>
      </c>
      <c r="H166" s="113" t="s">
        <v>2266</v>
      </c>
      <c r="I166" s="113" t="s">
        <v>2267</v>
      </c>
      <c r="J166" s="113">
        <v>0</v>
      </c>
      <c r="K166" s="113">
        <v>0</v>
      </c>
      <c r="L166" s="113">
        <v>0</v>
      </c>
      <c r="M166" s="113">
        <v>0</v>
      </c>
      <c r="N166" s="113">
        <v>0</v>
      </c>
      <c r="O166" s="113">
        <v>0</v>
      </c>
      <c r="P166" s="113">
        <v>0</v>
      </c>
      <c r="Q166" s="113">
        <v>0</v>
      </c>
      <c r="R166" s="113"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v>0</v>
      </c>
      <c r="Z166" s="113">
        <v>0</v>
      </c>
      <c r="AA166" s="113">
        <v>0</v>
      </c>
      <c r="AB166" s="113">
        <v>0</v>
      </c>
      <c r="AC166" s="113">
        <v>0</v>
      </c>
      <c r="AD166" s="113">
        <v>0</v>
      </c>
      <c r="AE166" s="113">
        <v>0</v>
      </c>
      <c r="AF166" s="113">
        <v>0</v>
      </c>
      <c r="AG166" s="113">
        <v>0</v>
      </c>
    </row>
    <row r="167" spans="1:33">
      <c r="A167" s="113" t="s">
        <v>18721</v>
      </c>
      <c r="B167" s="113" t="s">
        <v>18694</v>
      </c>
      <c r="C167" s="113" t="s">
        <v>1382</v>
      </c>
      <c r="D167" s="113" t="s">
        <v>1281</v>
      </c>
      <c r="E167" s="113" t="s">
        <v>973</v>
      </c>
      <c r="F167" s="113" t="s">
        <v>598</v>
      </c>
      <c r="G167" s="113" t="s">
        <v>599</v>
      </c>
      <c r="H167" s="113" t="s">
        <v>2266</v>
      </c>
      <c r="I167" s="113" t="s">
        <v>2267</v>
      </c>
      <c r="J167" s="113">
        <v>0</v>
      </c>
      <c r="K167" s="113">
        <v>0</v>
      </c>
      <c r="L167" s="113">
        <v>0</v>
      </c>
      <c r="M167" s="113">
        <v>0</v>
      </c>
      <c r="N167" s="113">
        <v>0</v>
      </c>
      <c r="O167" s="113">
        <v>0</v>
      </c>
      <c r="P167" s="113">
        <v>0</v>
      </c>
      <c r="Q167" s="113">
        <v>0</v>
      </c>
      <c r="R167" s="113"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v>0</v>
      </c>
      <c r="Z167" s="113">
        <v>0</v>
      </c>
      <c r="AA167" s="113">
        <v>0</v>
      </c>
      <c r="AB167" s="113">
        <v>0</v>
      </c>
      <c r="AC167" s="113">
        <v>0</v>
      </c>
      <c r="AD167" s="113">
        <v>0</v>
      </c>
      <c r="AE167" s="113">
        <v>0</v>
      </c>
      <c r="AF167" s="113">
        <v>0</v>
      </c>
      <c r="AG167" s="113">
        <v>0</v>
      </c>
    </row>
    <row r="168" spans="1:33">
      <c r="A168" s="113" t="s">
        <v>18721</v>
      </c>
      <c r="B168" s="113" t="s">
        <v>18641</v>
      </c>
      <c r="C168" s="113" t="s">
        <v>1382</v>
      </c>
      <c r="D168" s="113" t="s">
        <v>1285</v>
      </c>
      <c r="E168" s="113" t="s">
        <v>973</v>
      </c>
      <c r="F168" s="113" t="s">
        <v>598</v>
      </c>
      <c r="G168" s="113" t="s">
        <v>599</v>
      </c>
      <c r="H168" s="113" t="s">
        <v>2266</v>
      </c>
      <c r="I168" s="113" t="s">
        <v>2267</v>
      </c>
      <c r="J168" s="113">
        <v>0</v>
      </c>
      <c r="K168" s="113">
        <v>0</v>
      </c>
      <c r="L168" s="113">
        <v>0</v>
      </c>
      <c r="M168" s="113">
        <v>0</v>
      </c>
      <c r="N168" s="113">
        <v>0</v>
      </c>
      <c r="O168" s="113">
        <v>0</v>
      </c>
      <c r="P168" s="113">
        <v>0</v>
      </c>
      <c r="Q168" s="113">
        <v>0</v>
      </c>
      <c r="R168" s="113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v>0</v>
      </c>
      <c r="Z168" s="113">
        <v>0</v>
      </c>
      <c r="AA168" s="113">
        <v>0</v>
      </c>
      <c r="AB168" s="113">
        <v>0</v>
      </c>
      <c r="AC168" s="113">
        <v>0</v>
      </c>
      <c r="AD168" s="113">
        <v>0</v>
      </c>
      <c r="AE168" s="113">
        <v>0</v>
      </c>
      <c r="AF168" s="113">
        <v>0</v>
      </c>
      <c r="AG168" s="113">
        <v>0</v>
      </c>
    </row>
    <row r="169" spans="1:33">
      <c r="A169" s="113" t="s">
        <v>18721</v>
      </c>
      <c r="B169" s="113" t="s">
        <v>2265</v>
      </c>
      <c r="C169" s="113" t="s">
        <v>1382</v>
      </c>
      <c r="D169" s="113" t="s">
        <v>1311</v>
      </c>
      <c r="E169" s="113" t="s">
        <v>597</v>
      </c>
      <c r="F169" s="113" t="s">
        <v>598</v>
      </c>
      <c r="G169" s="113" t="s">
        <v>599</v>
      </c>
      <c r="H169" s="113" t="s">
        <v>2266</v>
      </c>
      <c r="I169" s="113" t="s">
        <v>2267</v>
      </c>
      <c r="J169" s="113">
        <v>3.1233E-2</v>
      </c>
      <c r="K169" s="113">
        <v>3.1233E-2</v>
      </c>
      <c r="L169" s="113">
        <v>3.1233E-2</v>
      </c>
      <c r="M169" s="113">
        <v>3.1233E-2</v>
      </c>
      <c r="N169" s="113">
        <v>3.1233E-2</v>
      </c>
      <c r="O169" s="113">
        <v>3.1233E-2</v>
      </c>
      <c r="P169" s="113">
        <v>3.1233E-2</v>
      </c>
      <c r="Q169" s="113">
        <v>3.1233E-2</v>
      </c>
      <c r="R169" s="113">
        <v>3.1233E-2</v>
      </c>
      <c r="S169" s="113">
        <v>3.1233E-2</v>
      </c>
      <c r="T169" s="113">
        <v>3.1233E-2</v>
      </c>
      <c r="U169" s="113">
        <v>3.1233E-2</v>
      </c>
      <c r="V169" s="113">
        <v>3.1233E-2</v>
      </c>
      <c r="W169" s="113">
        <v>3.1233E-2</v>
      </c>
      <c r="X169" s="113">
        <v>3.1233E-2</v>
      </c>
      <c r="Y169" s="113">
        <v>3.1233E-2</v>
      </c>
      <c r="Z169" s="113">
        <v>3.1233E-2</v>
      </c>
      <c r="AA169" s="113">
        <v>3.1233E-2</v>
      </c>
      <c r="AB169" s="113">
        <v>3.1233E-2</v>
      </c>
      <c r="AC169" s="113">
        <v>3.1233E-2</v>
      </c>
      <c r="AD169" s="113">
        <v>3.1233E-2</v>
      </c>
      <c r="AE169" s="113">
        <v>3.1233E-2</v>
      </c>
      <c r="AF169" s="113">
        <v>3.1233E-2</v>
      </c>
      <c r="AG169" s="113">
        <v>3.1233E-2</v>
      </c>
    </row>
    <row r="170" spans="1:33">
      <c r="A170" s="113" t="s">
        <v>18721</v>
      </c>
      <c r="B170" s="113" t="s">
        <v>18644</v>
      </c>
      <c r="C170" s="113" t="s">
        <v>1382</v>
      </c>
      <c r="D170" s="113" t="s">
        <v>1311</v>
      </c>
      <c r="E170" s="113" t="s">
        <v>605</v>
      </c>
      <c r="F170" s="113" t="s">
        <v>598</v>
      </c>
      <c r="G170" s="113" t="s">
        <v>599</v>
      </c>
      <c r="H170" s="113" t="s">
        <v>2266</v>
      </c>
      <c r="I170" s="113" t="s">
        <v>2267</v>
      </c>
      <c r="J170" s="113">
        <v>9.7099999999999997E-4</v>
      </c>
      <c r="K170" s="113">
        <v>9.7099999999999997E-4</v>
      </c>
      <c r="L170" s="113">
        <v>9.7099999999999997E-4</v>
      </c>
      <c r="M170" s="113">
        <v>9.7099999999999997E-4</v>
      </c>
      <c r="N170" s="113">
        <v>9.7099999999999997E-4</v>
      </c>
      <c r="O170" s="113">
        <v>9.7099999999999997E-4</v>
      </c>
      <c r="P170" s="113">
        <v>9.7099999999999997E-4</v>
      </c>
      <c r="Q170" s="113">
        <v>9.7099999999999997E-4</v>
      </c>
      <c r="R170" s="113">
        <v>9.7099999999999997E-4</v>
      </c>
      <c r="S170" s="113">
        <v>9.7099999999999997E-4</v>
      </c>
      <c r="T170" s="113">
        <v>9.7099999999999997E-4</v>
      </c>
      <c r="U170" s="113">
        <v>9.7099999999999997E-4</v>
      </c>
      <c r="V170" s="113">
        <v>9.7099999999999997E-4</v>
      </c>
      <c r="W170" s="113">
        <v>9.7099999999999997E-4</v>
      </c>
      <c r="X170" s="113">
        <v>9.7099999999999997E-4</v>
      </c>
      <c r="Y170" s="113">
        <v>9.7099999999999997E-4</v>
      </c>
      <c r="Z170" s="113">
        <v>9.7099999999999997E-4</v>
      </c>
      <c r="AA170" s="113">
        <v>9.7099999999999997E-4</v>
      </c>
      <c r="AB170" s="113">
        <v>9.7099999999999997E-4</v>
      </c>
      <c r="AC170" s="113">
        <v>9.7099999999999997E-4</v>
      </c>
      <c r="AD170" s="113">
        <v>9.7099999999999997E-4</v>
      </c>
      <c r="AE170" s="113">
        <v>9.7099999999999997E-4</v>
      </c>
      <c r="AF170" s="113">
        <v>9.7099999999999997E-4</v>
      </c>
      <c r="AG170" s="113">
        <v>9.7099999999999997E-4</v>
      </c>
    </row>
    <row r="171" spans="1:33">
      <c r="A171" s="113" t="s">
        <v>18721</v>
      </c>
      <c r="B171" s="113" t="s">
        <v>18699</v>
      </c>
      <c r="C171" s="113" t="s">
        <v>1382</v>
      </c>
      <c r="D171" s="113" t="s">
        <v>1316</v>
      </c>
      <c r="E171" s="113" t="s">
        <v>892</v>
      </c>
      <c r="F171" s="113" t="s">
        <v>598</v>
      </c>
      <c r="G171" s="113" t="s">
        <v>599</v>
      </c>
      <c r="H171" s="113" t="s">
        <v>2266</v>
      </c>
      <c r="I171" s="113" t="s">
        <v>2267</v>
      </c>
      <c r="J171" s="113">
        <v>0</v>
      </c>
      <c r="K171" s="113">
        <v>0</v>
      </c>
      <c r="L171" s="113">
        <v>0</v>
      </c>
      <c r="M171" s="113">
        <v>0</v>
      </c>
      <c r="N171" s="113">
        <v>0</v>
      </c>
      <c r="O171" s="113">
        <v>0</v>
      </c>
      <c r="P171" s="113">
        <v>0</v>
      </c>
      <c r="Q171" s="113">
        <v>0</v>
      </c>
      <c r="R171" s="113"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v>0</v>
      </c>
      <c r="Z171" s="113">
        <v>0</v>
      </c>
      <c r="AA171" s="113">
        <v>0</v>
      </c>
      <c r="AB171" s="113">
        <v>0</v>
      </c>
      <c r="AC171" s="113">
        <v>0</v>
      </c>
      <c r="AD171" s="113">
        <v>0</v>
      </c>
      <c r="AE171" s="113">
        <v>0</v>
      </c>
      <c r="AF171" s="113">
        <v>0</v>
      </c>
      <c r="AG171" s="113">
        <v>0</v>
      </c>
    </row>
    <row r="172" spans="1:33">
      <c r="A172" s="113" t="s">
        <v>18721</v>
      </c>
      <c r="B172" s="113" t="s">
        <v>18650</v>
      </c>
      <c r="C172" s="113" t="s">
        <v>1382</v>
      </c>
      <c r="D172" s="113" t="s">
        <v>1316</v>
      </c>
      <c r="E172" s="113" t="s">
        <v>1318</v>
      </c>
      <c r="F172" s="113" t="s">
        <v>598</v>
      </c>
      <c r="G172" s="113" t="s">
        <v>599</v>
      </c>
      <c r="H172" s="113" t="s">
        <v>2266</v>
      </c>
      <c r="I172" s="113" t="s">
        <v>2267</v>
      </c>
      <c r="J172" s="113">
        <v>0</v>
      </c>
      <c r="K172" s="113">
        <v>0</v>
      </c>
      <c r="L172" s="113">
        <v>0</v>
      </c>
      <c r="M172" s="113">
        <v>0</v>
      </c>
      <c r="N172" s="113">
        <v>0</v>
      </c>
      <c r="O172" s="113">
        <v>0</v>
      </c>
      <c r="P172" s="113">
        <v>0</v>
      </c>
      <c r="Q172" s="113">
        <v>0</v>
      </c>
      <c r="R172" s="113"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v>0</v>
      </c>
      <c r="Z172" s="113">
        <v>0</v>
      </c>
      <c r="AA172" s="113">
        <v>0</v>
      </c>
      <c r="AB172" s="113">
        <v>0</v>
      </c>
      <c r="AC172" s="113">
        <v>0</v>
      </c>
      <c r="AD172" s="113">
        <v>0</v>
      </c>
      <c r="AE172" s="113">
        <v>0</v>
      </c>
      <c r="AF172" s="113">
        <v>0</v>
      </c>
      <c r="AG172" s="113">
        <v>0</v>
      </c>
    </row>
    <row r="173" spans="1:33">
      <c r="A173" s="113" t="s">
        <v>18721</v>
      </c>
      <c r="B173" s="113" t="s">
        <v>18653</v>
      </c>
      <c r="C173" s="113" t="s">
        <v>1382</v>
      </c>
      <c r="D173" s="113" t="s">
        <v>1320</v>
      </c>
      <c r="E173" s="113" t="s">
        <v>688</v>
      </c>
      <c r="F173" s="113" t="s">
        <v>598</v>
      </c>
      <c r="G173" s="113" t="s">
        <v>599</v>
      </c>
      <c r="H173" s="113" t="s">
        <v>2266</v>
      </c>
      <c r="I173" s="113" t="s">
        <v>2267</v>
      </c>
      <c r="J173" s="113">
        <v>0</v>
      </c>
      <c r="K173" s="113">
        <v>0</v>
      </c>
      <c r="L173" s="113">
        <v>0</v>
      </c>
      <c r="M173" s="113">
        <v>0</v>
      </c>
      <c r="N173" s="113">
        <v>0</v>
      </c>
      <c r="O173" s="113">
        <v>0</v>
      </c>
      <c r="P173" s="113">
        <v>0</v>
      </c>
      <c r="Q173" s="113">
        <v>0</v>
      </c>
      <c r="R173" s="113"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v>0</v>
      </c>
      <c r="X173" s="113">
        <v>0</v>
      </c>
      <c r="Y173" s="113">
        <v>0</v>
      </c>
      <c r="Z173" s="113">
        <v>0</v>
      </c>
      <c r="AA173" s="113">
        <v>0</v>
      </c>
      <c r="AB173" s="113">
        <v>0</v>
      </c>
      <c r="AC173" s="113">
        <v>0</v>
      </c>
      <c r="AD173" s="113">
        <v>0</v>
      </c>
      <c r="AE173" s="113">
        <v>0</v>
      </c>
      <c r="AF173" s="113">
        <v>0</v>
      </c>
      <c r="AG173" s="113">
        <v>0</v>
      </c>
    </row>
    <row r="174" spans="1:33">
      <c r="A174" s="113" t="s">
        <v>18721</v>
      </c>
      <c r="B174" s="113" t="s">
        <v>18702</v>
      </c>
      <c r="C174" s="113" t="s">
        <v>1382</v>
      </c>
      <c r="D174" s="113" t="s">
        <v>1320</v>
      </c>
      <c r="E174" s="113" t="s">
        <v>750</v>
      </c>
      <c r="F174" s="113" t="s">
        <v>598</v>
      </c>
      <c r="G174" s="113" t="s">
        <v>599</v>
      </c>
      <c r="H174" s="113" t="s">
        <v>2266</v>
      </c>
      <c r="I174" s="113" t="s">
        <v>2267</v>
      </c>
      <c r="J174" s="113">
        <v>0</v>
      </c>
      <c r="K174" s="113">
        <v>0</v>
      </c>
      <c r="L174" s="113">
        <v>0</v>
      </c>
      <c r="M174" s="113">
        <v>0</v>
      </c>
      <c r="N174" s="113">
        <v>0</v>
      </c>
      <c r="O174" s="113">
        <v>0</v>
      </c>
      <c r="P174" s="113">
        <v>0</v>
      </c>
      <c r="Q174" s="113">
        <v>0</v>
      </c>
      <c r="R174" s="113"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v>0</v>
      </c>
      <c r="Z174" s="113">
        <v>0</v>
      </c>
      <c r="AA174" s="113">
        <v>0</v>
      </c>
      <c r="AB174" s="113">
        <v>0</v>
      </c>
      <c r="AC174" s="113">
        <v>0</v>
      </c>
      <c r="AD174" s="113">
        <v>0</v>
      </c>
      <c r="AE174" s="113">
        <v>0</v>
      </c>
      <c r="AF174" s="113">
        <v>0</v>
      </c>
      <c r="AG174" s="113">
        <v>0</v>
      </c>
    </row>
    <row r="175" spans="1:33">
      <c r="A175" s="113" t="s">
        <v>18721</v>
      </c>
      <c r="B175" s="113" t="s">
        <v>18722</v>
      </c>
      <c r="C175" s="113" t="s">
        <v>1382</v>
      </c>
      <c r="D175" s="113" t="s">
        <v>1320</v>
      </c>
      <c r="E175" s="113" t="s">
        <v>1402</v>
      </c>
      <c r="F175" s="113" t="s">
        <v>598</v>
      </c>
      <c r="G175" s="113" t="s">
        <v>599</v>
      </c>
      <c r="H175" s="113" t="s">
        <v>2266</v>
      </c>
      <c r="I175" s="113" t="s">
        <v>2267</v>
      </c>
      <c r="J175" s="113">
        <v>0</v>
      </c>
      <c r="K175" s="113">
        <v>0</v>
      </c>
      <c r="L175" s="113">
        <v>0</v>
      </c>
      <c r="M175" s="113">
        <v>0</v>
      </c>
      <c r="N175" s="113">
        <v>0</v>
      </c>
      <c r="O175" s="113">
        <v>0</v>
      </c>
      <c r="P175" s="113">
        <v>0</v>
      </c>
      <c r="Q175" s="113">
        <v>0</v>
      </c>
      <c r="R175" s="113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v>0</v>
      </c>
      <c r="Z175" s="113">
        <v>0</v>
      </c>
      <c r="AA175" s="113">
        <v>0</v>
      </c>
      <c r="AB175" s="113">
        <v>0</v>
      </c>
      <c r="AC175" s="113">
        <v>0</v>
      </c>
      <c r="AD175" s="113">
        <v>0</v>
      </c>
      <c r="AE175" s="113">
        <v>0</v>
      </c>
      <c r="AF175" s="113">
        <v>0</v>
      </c>
      <c r="AG175" s="113">
        <v>0</v>
      </c>
    </row>
    <row r="176" spans="1:33">
      <c r="A176" s="113" t="s">
        <v>18721</v>
      </c>
      <c r="B176" s="113" t="s">
        <v>18723</v>
      </c>
      <c r="C176" s="113" t="s">
        <v>1382</v>
      </c>
      <c r="D176" s="113" t="s">
        <v>1320</v>
      </c>
      <c r="E176" s="113" t="s">
        <v>892</v>
      </c>
      <c r="F176" s="113" t="s">
        <v>598</v>
      </c>
      <c r="G176" s="113" t="s">
        <v>599</v>
      </c>
      <c r="H176" s="113" t="s">
        <v>2266</v>
      </c>
      <c r="I176" s="113" t="s">
        <v>2267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  <c r="O176" s="113">
        <v>0</v>
      </c>
      <c r="P176" s="113">
        <v>0</v>
      </c>
      <c r="Q176" s="113">
        <v>0</v>
      </c>
      <c r="R176" s="113"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v>0</v>
      </c>
      <c r="Z176" s="113">
        <v>0</v>
      </c>
      <c r="AA176" s="113">
        <v>0</v>
      </c>
      <c r="AB176" s="113">
        <v>0</v>
      </c>
      <c r="AC176" s="113">
        <v>0</v>
      </c>
      <c r="AD176" s="113">
        <v>0</v>
      </c>
      <c r="AE176" s="113">
        <v>0</v>
      </c>
      <c r="AF176" s="113">
        <v>0</v>
      </c>
      <c r="AG176" s="113">
        <v>0</v>
      </c>
    </row>
    <row r="177" spans="1:33">
      <c r="A177" s="113" t="s">
        <v>18721</v>
      </c>
      <c r="B177" s="113" t="s">
        <v>18655</v>
      </c>
      <c r="C177" s="113" t="s">
        <v>1382</v>
      </c>
      <c r="D177" s="113" t="s">
        <v>1320</v>
      </c>
      <c r="E177" s="113" t="s">
        <v>678</v>
      </c>
      <c r="F177" s="113" t="s">
        <v>598</v>
      </c>
      <c r="G177" s="113" t="s">
        <v>599</v>
      </c>
      <c r="H177" s="113" t="s">
        <v>2266</v>
      </c>
      <c r="I177" s="113" t="s">
        <v>2267</v>
      </c>
      <c r="J177" s="113">
        <v>0</v>
      </c>
      <c r="K177" s="113">
        <v>0</v>
      </c>
      <c r="L177" s="113">
        <v>0</v>
      </c>
      <c r="M177" s="113">
        <v>0</v>
      </c>
      <c r="N177" s="113">
        <v>0</v>
      </c>
      <c r="O177" s="113">
        <v>0</v>
      </c>
      <c r="P177" s="113">
        <v>0</v>
      </c>
      <c r="Q177" s="113">
        <v>0</v>
      </c>
      <c r="R177" s="113"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v>0</v>
      </c>
      <c r="Z177" s="113">
        <v>0</v>
      </c>
      <c r="AA177" s="113">
        <v>0</v>
      </c>
      <c r="AB177" s="113">
        <v>0</v>
      </c>
      <c r="AC177" s="113">
        <v>0</v>
      </c>
      <c r="AD177" s="113">
        <v>0</v>
      </c>
      <c r="AE177" s="113">
        <v>0</v>
      </c>
      <c r="AF177" s="113">
        <v>0</v>
      </c>
      <c r="AG177" s="113">
        <v>0</v>
      </c>
    </row>
    <row r="178" spans="1:33">
      <c r="A178" s="113" t="s">
        <v>18721</v>
      </c>
      <c r="B178" s="113" t="s">
        <v>18658</v>
      </c>
      <c r="C178" s="113" t="s">
        <v>1382</v>
      </c>
      <c r="D178" s="113" t="s">
        <v>1324</v>
      </c>
      <c r="E178" s="113" t="s">
        <v>1326</v>
      </c>
      <c r="F178" s="113" t="s">
        <v>598</v>
      </c>
      <c r="G178" s="113" t="s">
        <v>599</v>
      </c>
      <c r="H178" s="113" t="s">
        <v>2266</v>
      </c>
      <c r="I178" s="113" t="s">
        <v>2267</v>
      </c>
      <c r="J178" s="113">
        <v>0</v>
      </c>
      <c r="K178" s="113">
        <v>0</v>
      </c>
      <c r="L178" s="113">
        <v>0</v>
      </c>
      <c r="M178" s="113">
        <v>0</v>
      </c>
      <c r="N178" s="113">
        <v>0</v>
      </c>
      <c r="O178" s="113">
        <v>0</v>
      </c>
      <c r="P178" s="113">
        <v>0</v>
      </c>
      <c r="Q178" s="113">
        <v>0</v>
      </c>
      <c r="R178" s="113"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v>0</v>
      </c>
      <c r="AC178" s="113">
        <v>0</v>
      </c>
      <c r="AD178" s="113">
        <v>0</v>
      </c>
      <c r="AE178" s="113">
        <v>0</v>
      </c>
      <c r="AF178" s="113">
        <v>0</v>
      </c>
      <c r="AG178" s="113">
        <v>0</v>
      </c>
    </row>
    <row r="179" spans="1:33">
      <c r="A179" s="113" t="s">
        <v>18721</v>
      </c>
      <c r="B179" s="113" t="s">
        <v>18660</v>
      </c>
      <c r="C179" s="113" t="s">
        <v>1382</v>
      </c>
      <c r="D179" s="113" t="s">
        <v>1324</v>
      </c>
      <c r="E179" s="113" t="s">
        <v>1318</v>
      </c>
      <c r="F179" s="113" t="s">
        <v>598</v>
      </c>
      <c r="G179" s="113" t="s">
        <v>599</v>
      </c>
      <c r="H179" s="113" t="s">
        <v>2266</v>
      </c>
      <c r="I179" s="113" t="s">
        <v>2267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  <c r="O179" s="113">
        <v>0</v>
      </c>
      <c r="P179" s="113">
        <v>0</v>
      </c>
      <c r="Q179" s="113">
        <v>0</v>
      </c>
      <c r="R179" s="113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v>0</v>
      </c>
      <c r="Z179" s="113">
        <v>0</v>
      </c>
      <c r="AA179" s="113">
        <v>0</v>
      </c>
      <c r="AB179" s="113">
        <v>0</v>
      </c>
      <c r="AC179" s="113">
        <v>0</v>
      </c>
      <c r="AD179" s="113">
        <v>0</v>
      </c>
      <c r="AE179" s="113">
        <v>0</v>
      </c>
      <c r="AF179" s="113">
        <v>0</v>
      </c>
      <c r="AG179" s="113">
        <v>0</v>
      </c>
    </row>
    <row r="180" spans="1:33">
      <c r="A180" s="113" t="s">
        <v>18721</v>
      </c>
      <c r="B180" s="113" t="s">
        <v>18667</v>
      </c>
      <c r="C180" s="113" t="s">
        <v>1382</v>
      </c>
      <c r="D180" s="113" t="s">
        <v>1332</v>
      </c>
      <c r="E180" s="113" t="s">
        <v>688</v>
      </c>
      <c r="F180" s="113" t="s">
        <v>598</v>
      </c>
      <c r="G180" s="113" t="s">
        <v>599</v>
      </c>
      <c r="H180" s="113" t="s">
        <v>2266</v>
      </c>
      <c r="I180" s="113" t="s">
        <v>2267</v>
      </c>
      <c r="J180" s="113">
        <v>0</v>
      </c>
      <c r="K180" s="113">
        <v>0</v>
      </c>
      <c r="L180" s="113">
        <v>0</v>
      </c>
      <c r="M180" s="113">
        <v>0</v>
      </c>
      <c r="N180" s="113">
        <v>0</v>
      </c>
      <c r="O180" s="113">
        <v>0</v>
      </c>
      <c r="P180" s="113">
        <v>0</v>
      </c>
      <c r="Q180" s="113">
        <v>0</v>
      </c>
      <c r="R180" s="113"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v>0</v>
      </c>
      <c r="X180" s="113">
        <v>0</v>
      </c>
      <c r="Y180" s="113">
        <v>0</v>
      </c>
      <c r="Z180" s="113">
        <v>0</v>
      </c>
      <c r="AA180" s="113">
        <v>0</v>
      </c>
      <c r="AB180" s="113">
        <v>0</v>
      </c>
      <c r="AC180" s="113">
        <v>0</v>
      </c>
      <c r="AD180" s="113">
        <v>0</v>
      </c>
      <c r="AE180" s="113">
        <v>0</v>
      </c>
      <c r="AF180" s="113">
        <v>0</v>
      </c>
      <c r="AG180" s="113">
        <v>0</v>
      </c>
    </row>
    <row r="181" spans="1:33">
      <c r="A181" s="113" t="s">
        <v>18721</v>
      </c>
      <c r="B181" s="113" t="s">
        <v>18669</v>
      </c>
      <c r="C181" s="113" t="s">
        <v>1382</v>
      </c>
      <c r="D181" s="113" t="s">
        <v>1332</v>
      </c>
      <c r="E181" s="113" t="s">
        <v>1326</v>
      </c>
      <c r="F181" s="113" t="s">
        <v>598</v>
      </c>
      <c r="G181" s="113" t="s">
        <v>599</v>
      </c>
      <c r="H181" s="113" t="s">
        <v>2266</v>
      </c>
      <c r="I181" s="113" t="s">
        <v>2267</v>
      </c>
      <c r="J181" s="113">
        <v>0</v>
      </c>
      <c r="K181" s="113">
        <v>0</v>
      </c>
      <c r="L181" s="113">
        <v>0</v>
      </c>
      <c r="M181" s="113">
        <v>0</v>
      </c>
      <c r="N181" s="113">
        <v>0</v>
      </c>
      <c r="O181" s="113">
        <v>0</v>
      </c>
      <c r="P181" s="113">
        <v>0</v>
      </c>
      <c r="Q181" s="113">
        <v>0</v>
      </c>
      <c r="R181" s="113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v>0</v>
      </c>
      <c r="Z181" s="113">
        <v>0</v>
      </c>
      <c r="AA181" s="113">
        <v>0</v>
      </c>
      <c r="AB181" s="113">
        <v>0</v>
      </c>
      <c r="AC181" s="113">
        <v>0</v>
      </c>
      <c r="AD181" s="113">
        <v>0</v>
      </c>
      <c r="AE181" s="113">
        <v>0</v>
      </c>
      <c r="AF181" s="113">
        <v>0</v>
      </c>
      <c r="AG181" s="113">
        <v>0</v>
      </c>
    </row>
    <row r="182" spans="1:33">
      <c r="A182" s="113" t="s">
        <v>18721</v>
      </c>
      <c r="B182" s="113" t="s">
        <v>18724</v>
      </c>
      <c r="C182" s="113" t="s">
        <v>1382</v>
      </c>
      <c r="D182" s="113" t="s">
        <v>1332</v>
      </c>
      <c r="E182" s="113" t="s">
        <v>892</v>
      </c>
      <c r="F182" s="113" t="s">
        <v>598</v>
      </c>
      <c r="G182" s="113" t="s">
        <v>599</v>
      </c>
      <c r="H182" s="113" t="s">
        <v>2266</v>
      </c>
      <c r="I182" s="113" t="s">
        <v>2267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13">
        <v>0</v>
      </c>
      <c r="AG182" s="113">
        <v>0</v>
      </c>
    </row>
    <row r="183" spans="1:33">
      <c r="A183" s="113" t="s">
        <v>18721</v>
      </c>
      <c r="B183" s="113" t="s">
        <v>18670</v>
      </c>
      <c r="C183" s="113" t="s">
        <v>1382</v>
      </c>
      <c r="D183" s="113" t="s">
        <v>1332</v>
      </c>
      <c r="E183" s="113" t="s">
        <v>1318</v>
      </c>
      <c r="F183" s="113" t="s">
        <v>598</v>
      </c>
      <c r="G183" s="113" t="s">
        <v>599</v>
      </c>
      <c r="H183" s="113" t="s">
        <v>2266</v>
      </c>
      <c r="I183" s="113" t="s">
        <v>2267</v>
      </c>
      <c r="J183" s="113">
        <v>0</v>
      </c>
      <c r="K183" s="113">
        <v>0</v>
      </c>
      <c r="L183" s="113">
        <v>0</v>
      </c>
      <c r="M183" s="113">
        <v>0</v>
      </c>
      <c r="N183" s="113">
        <v>0</v>
      </c>
      <c r="O183" s="113">
        <v>0</v>
      </c>
      <c r="P183" s="113">
        <v>0</v>
      </c>
      <c r="Q183" s="113">
        <v>0</v>
      </c>
      <c r="R183" s="113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v>0</v>
      </c>
      <c r="Z183" s="113">
        <v>0</v>
      </c>
      <c r="AA183" s="113">
        <v>0</v>
      </c>
      <c r="AB183" s="113">
        <v>0</v>
      </c>
      <c r="AC183" s="113">
        <v>0</v>
      </c>
      <c r="AD183" s="113">
        <v>0</v>
      </c>
      <c r="AE183" s="113">
        <v>0</v>
      </c>
      <c r="AF183" s="113">
        <v>0</v>
      </c>
      <c r="AG183" s="113">
        <v>0</v>
      </c>
    </row>
    <row r="184" spans="1:33">
      <c r="A184" s="113" t="s">
        <v>18721</v>
      </c>
      <c r="B184" s="113" t="s">
        <v>18675</v>
      </c>
      <c r="C184" s="113" t="s">
        <v>1382</v>
      </c>
      <c r="D184" s="113" t="s">
        <v>1435</v>
      </c>
      <c r="E184" s="113" t="s">
        <v>973</v>
      </c>
      <c r="F184" s="113" t="s">
        <v>598</v>
      </c>
      <c r="G184" s="113" t="s">
        <v>599</v>
      </c>
      <c r="H184" s="113" t="s">
        <v>2266</v>
      </c>
      <c r="I184" s="113" t="s">
        <v>2267</v>
      </c>
      <c r="J184" s="113">
        <v>0</v>
      </c>
      <c r="K184" s="113">
        <v>0</v>
      </c>
      <c r="L184" s="113">
        <v>0</v>
      </c>
      <c r="M184" s="113">
        <v>0</v>
      </c>
      <c r="N184" s="113">
        <v>0</v>
      </c>
      <c r="O184" s="113">
        <v>0</v>
      </c>
      <c r="P184" s="113">
        <v>0</v>
      </c>
      <c r="Q184" s="113">
        <v>0</v>
      </c>
      <c r="R184" s="113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v>0</v>
      </c>
      <c r="Z184" s="113">
        <v>0</v>
      </c>
      <c r="AA184" s="113">
        <v>0</v>
      </c>
      <c r="AB184" s="113">
        <v>0</v>
      </c>
      <c r="AC184" s="113">
        <v>0</v>
      </c>
      <c r="AD184" s="113">
        <v>0</v>
      </c>
      <c r="AE184" s="113">
        <v>0</v>
      </c>
      <c r="AF184" s="113">
        <v>0</v>
      </c>
      <c r="AG184" s="113">
        <v>0</v>
      </c>
    </row>
    <row r="185" spans="1:33">
      <c r="A185" s="113" t="s">
        <v>18721</v>
      </c>
      <c r="B185" s="113" t="s">
        <v>18676</v>
      </c>
      <c r="C185" s="113" t="s">
        <v>1382</v>
      </c>
      <c r="D185" s="113" t="s">
        <v>1354</v>
      </c>
      <c r="E185" s="113" t="s">
        <v>973</v>
      </c>
      <c r="F185" s="113" t="s">
        <v>598</v>
      </c>
      <c r="G185" s="113" t="s">
        <v>599</v>
      </c>
      <c r="H185" s="113" t="s">
        <v>2266</v>
      </c>
      <c r="I185" s="113" t="s">
        <v>2267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  <c r="O185" s="113">
        <v>0</v>
      </c>
      <c r="P185" s="113">
        <v>0</v>
      </c>
      <c r="Q185" s="113">
        <v>0</v>
      </c>
      <c r="R185" s="113"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v>0</v>
      </c>
      <c r="Z185" s="113">
        <v>0</v>
      </c>
      <c r="AA185" s="113">
        <v>0</v>
      </c>
      <c r="AB185" s="113">
        <v>0</v>
      </c>
      <c r="AC185" s="113">
        <v>0</v>
      </c>
      <c r="AD185" s="113">
        <v>0</v>
      </c>
      <c r="AE185" s="113">
        <v>0</v>
      </c>
      <c r="AF185" s="113">
        <v>0</v>
      </c>
      <c r="AG185" s="113">
        <v>0</v>
      </c>
    </row>
    <row r="186" spans="1:33">
      <c r="A186" s="113" t="s">
        <v>18721</v>
      </c>
      <c r="B186" s="113" t="s">
        <v>18679</v>
      </c>
      <c r="C186" s="113" t="s">
        <v>1382</v>
      </c>
      <c r="D186" s="113" t="s">
        <v>1443</v>
      </c>
      <c r="E186" s="113" t="s">
        <v>611</v>
      </c>
      <c r="F186" s="113" t="s">
        <v>598</v>
      </c>
      <c r="G186" s="113" t="s">
        <v>599</v>
      </c>
      <c r="H186" s="113" t="s">
        <v>2266</v>
      </c>
      <c r="I186" s="113" t="s">
        <v>2267</v>
      </c>
      <c r="J186" s="113">
        <v>0</v>
      </c>
      <c r="K186" s="113">
        <v>0</v>
      </c>
      <c r="L186" s="113">
        <v>0</v>
      </c>
      <c r="M186" s="113">
        <v>0</v>
      </c>
      <c r="N186" s="113">
        <v>0</v>
      </c>
      <c r="O186" s="113">
        <v>0</v>
      </c>
      <c r="P186" s="113">
        <v>0</v>
      </c>
      <c r="Q186" s="113">
        <v>0</v>
      </c>
      <c r="R186" s="113"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v>0</v>
      </c>
      <c r="X186" s="113">
        <v>0</v>
      </c>
      <c r="Y186" s="113">
        <v>0</v>
      </c>
      <c r="Z186" s="113">
        <v>0</v>
      </c>
      <c r="AA186" s="113">
        <v>0</v>
      </c>
      <c r="AB186" s="113">
        <v>0</v>
      </c>
      <c r="AC186" s="113">
        <v>0</v>
      </c>
      <c r="AD186" s="113">
        <v>0</v>
      </c>
      <c r="AE186" s="113">
        <v>0</v>
      </c>
      <c r="AF186" s="113">
        <v>0</v>
      </c>
      <c r="AG186" s="113">
        <v>0</v>
      </c>
    </row>
    <row r="187" spans="1:33">
      <c r="A187" s="113" t="s">
        <v>18721</v>
      </c>
      <c r="B187" s="113" t="s">
        <v>18725</v>
      </c>
      <c r="C187" s="113" t="s">
        <v>1382</v>
      </c>
      <c r="D187" s="113" t="s">
        <v>1365</v>
      </c>
      <c r="E187" s="113" t="s">
        <v>628</v>
      </c>
      <c r="F187" s="113" t="s">
        <v>598</v>
      </c>
      <c r="G187" s="113" t="s">
        <v>599</v>
      </c>
      <c r="H187" s="113" t="s">
        <v>2266</v>
      </c>
      <c r="I187" s="113" t="s">
        <v>2267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  <c r="O187" s="113">
        <v>0</v>
      </c>
      <c r="P187" s="113">
        <v>0</v>
      </c>
      <c r="Q187" s="113">
        <v>0</v>
      </c>
      <c r="R187" s="113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v>0</v>
      </c>
      <c r="Z187" s="113">
        <v>0</v>
      </c>
      <c r="AA187" s="113">
        <v>0</v>
      </c>
      <c r="AB187" s="113">
        <v>0</v>
      </c>
      <c r="AC187" s="113">
        <v>0</v>
      </c>
      <c r="AD187" s="113">
        <v>0</v>
      </c>
      <c r="AE187" s="113">
        <v>0</v>
      </c>
      <c r="AF187" s="113">
        <v>0</v>
      </c>
      <c r="AG187" s="113">
        <v>0</v>
      </c>
    </row>
    <row r="188" spans="1:33">
      <c r="A188" s="113" t="s">
        <v>18721</v>
      </c>
      <c r="B188" s="113" t="s">
        <v>18726</v>
      </c>
      <c r="C188" s="113" t="s">
        <v>1382</v>
      </c>
      <c r="D188" s="113" t="s">
        <v>1365</v>
      </c>
      <c r="E188" s="113" t="s">
        <v>781</v>
      </c>
      <c r="F188" s="113" t="s">
        <v>598</v>
      </c>
      <c r="G188" s="113" t="s">
        <v>599</v>
      </c>
      <c r="H188" s="113" t="s">
        <v>2266</v>
      </c>
      <c r="I188" s="113" t="s">
        <v>2267</v>
      </c>
      <c r="J188" s="113">
        <v>0</v>
      </c>
      <c r="K188" s="113">
        <v>0</v>
      </c>
      <c r="L188" s="113">
        <v>0</v>
      </c>
      <c r="M188" s="113">
        <v>0</v>
      </c>
      <c r="N188" s="113">
        <v>0</v>
      </c>
      <c r="O188" s="113">
        <v>0</v>
      </c>
      <c r="P188" s="113">
        <v>0</v>
      </c>
      <c r="Q188" s="113">
        <v>0</v>
      </c>
      <c r="R188" s="113"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0</v>
      </c>
      <c r="Y188" s="113">
        <v>0</v>
      </c>
      <c r="Z188" s="113">
        <v>0</v>
      </c>
      <c r="AA188" s="113">
        <v>0</v>
      </c>
      <c r="AB188" s="113">
        <v>0</v>
      </c>
      <c r="AC188" s="113">
        <v>0</v>
      </c>
      <c r="AD188" s="113">
        <v>0</v>
      </c>
      <c r="AE188" s="113">
        <v>0</v>
      </c>
      <c r="AF188" s="113">
        <v>0</v>
      </c>
      <c r="AG188" s="113">
        <v>0</v>
      </c>
    </row>
    <row r="189" spans="1:33">
      <c r="A189" s="113" t="s">
        <v>18721</v>
      </c>
      <c r="B189" s="113" t="s">
        <v>18716</v>
      </c>
      <c r="C189" s="113" t="s">
        <v>1382</v>
      </c>
      <c r="D189" s="113" t="s">
        <v>1365</v>
      </c>
      <c r="E189" s="113" t="s">
        <v>678</v>
      </c>
      <c r="F189" s="113" t="s">
        <v>598</v>
      </c>
      <c r="G189" s="113" t="s">
        <v>599</v>
      </c>
      <c r="H189" s="113" t="s">
        <v>2266</v>
      </c>
      <c r="I189" s="113" t="s">
        <v>2267</v>
      </c>
      <c r="J189" s="113">
        <v>0</v>
      </c>
      <c r="K189" s="113">
        <v>0</v>
      </c>
      <c r="L189" s="113">
        <v>0</v>
      </c>
      <c r="M189" s="113">
        <v>0</v>
      </c>
      <c r="N189" s="113">
        <v>0</v>
      </c>
      <c r="O189" s="113">
        <v>0</v>
      </c>
      <c r="P189" s="113">
        <v>0</v>
      </c>
      <c r="Q189" s="113">
        <v>0</v>
      </c>
      <c r="R189" s="113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v>0</v>
      </c>
      <c r="Z189" s="113">
        <v>0</v>
      </c>
      <c r="AA189" s="113">
        <v>0</v>
      </c>
      <c r="AB189" s="113">
        <v>0</v>
      </c>
      <c r="AC189" s="113">
        <v>0</v>
      </c>
      <c r="AD189" s="113">
        <v>0</v>
      </c>
      <c r="AE189" s="113">
        <v>0</v>
      </c>
      <c r="AF189" s="113">
        <v>0</v>
      </c>
      <c r="AG189" s="113">
        <v>0</v>
      </c>
    </row>
    <row r="190" spans="1:33">
      <c r="A190" s="113" t="s">
        <v>18721</v>
      </c>
      <c r="B190" s="113" t="s">
        <v>18682</v>
      </c>
      <c r="C190" s="113" t="s">
        <v>1382</v>
      </c>
      <c r="D190" s="113" t="s">
        <v>648</v>
      </c>
      <c r="E190" s="113" t="s">
        <v>973</v>
      </c>
      <c r="F190" s="113" t="s">
        <v>598</v>
      </c>
      <c r="G190" s="113" t="s">
        <v>599</v>
      </c>
      <c r="H190" s="113" t="s">
        <v>2266</v>
      </c>
      <c r="I190" s="113" t="s">
        <v>2267</v>
      </c>
      <c r="J190" s="113">
        <v>0</v>
      </c>
      <c r="K190" s="113">
        <v>0</v>
      </c>
      <c r="L190" s="113">
        <v>0</v>
      </c>
      <c r="M190" s="113">
        <v>0</v>
      </c>
      <c r="N190" s="113">
        <v>0</v>
      </c>
      <c r="O190" s="113">
        <v>0</v>
      </c>
      <c r="P190" s="113">
        <v>0</v>
      </c>
      <c r="Q190" s="113">
        <v>0</v>
      </c>
      <c r="R190" s="113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v>0</v>
      </c>
      <c r="Z190" s="113">
        <v>0</v>
      </c>
      <c r="AA190" s="113">
        <v>0</v>
      </c>
      <c r="AB190" s="113">
        <v>0</v>
      </c>
      <c r="AC190" s="113">
        <v>0</v>
      </c>
      <c r="AD190" s="113">
        <v>0</v>
      </c>
      <c r="AE190" s="113">
        <v>0</v>
      </c>
      <c r="AF190" s="113">
        <v>0</v>
      </c>
      <c r="AG190" s="113">
        <v>0</v>
      </c>
    </row>
    <row r="191" spans="1:33">
      <c r="A191" s="113" t="s">
        <v>18721</v>
      </c>
      <c r="B191" s="113" t="s">
        <v>18683</v>
      </c>
      <c r="C191" s="113" t="s">
        <v>1382</v>
      </c>
      <c r="D191" s="113" t="s">
        <v>648</v>
      </c>
      <c r="E191" s="113" t="s">
        <v>611</v>
      </c>
      <c r="F191" s="113" t="s">
        <v>598</v>
      </c>
      <c r="G191" s="113" t="s">
        <v>599</v>
      </c>
      <c r="H191" s="113" t="s">
        <v>2266</v>
      </c>
      <c r="I191" s="113" t="s">
        <v>2267</v>
      </c>
      <c r="J191" s="113">
        <v>3.0467999999999999E-2</v>
      </c>
      <c r="K191" s="113">
        <v>3.0467999999999999E-2</v>
      </c>
      <c r="L191" s="113">
        <v>3.0467999999999999E-2</v>
      </c>
      <c r="M191" s="113">
        <v>3.0467999999999999E-2</v>
      </c>
      <c r="N191" s="113">
        <v>3.0467999999999999E-2</v>
      </c>
      <c r="O191" s="113">
        <v>3.0467999999999999E-2</v>
      </c>
      <c r="P191" s="113">
        <v>3.0467999999999999E-2</v>
      </c>
      <c r="Q191" s="113">
        <v>3.0467999999999999E-2</v>
      </c>
      <c r="R191" s="113">
        <v>3.0467999999999999E-2</v>
      </c>
      <c r="S191" s="113">
        <v>3.0467999999999999E-2</v>
      </c>
      <c r="T191" s="113">
        <v>3.0467999999999999E-2</v>
      </c>
      <c r="U191" s="113">
        <v>3.0467999999999999E-2</v>
      </c>
      <c r="V191" s="113">
        <v>3.0467999999999999E-2</v>
      </c>
      <c r="W191" s="113">
        <v>3.0467999999999999E-2</v>
      </c>
      <c r="X191" s="113">
        <v>3.0467999999999999E-2</v>
      </c>
      <c r="Y191" s="113">
        <v>3.0467999999999999E-2</v>
      </c>
      <c r="Z191" s="113">
        <v>3.0467999999999999E-2</v>
      </c>
      <c r="AA191" s="113">
        <v>3.0467999999999999E-2</v>
      </c>
      <c r="AB191" s="113">
        <v>3.0467999999999999E-2</v>
      </c>
      <c r="AC191" s="113">
        <v>3.0467999999999999E-2</v>
      </c>
      <c r="AD191" s="113">
        <v>3.0467999999999999E-2</v>
      </c>
      <c r="AE191" s="113">
        <v>3.0467999999999999E-2</v>
      </c>
      <c r="AF191" s="113">
        <v>3.0467999999999999E-2</v>
      </c>
      <c r="AG191" s="113">
        <v>3.0467999999999999E-2</v>
      </c>
    </row>
    <row r="192" spans="1:33">
      <c r="J192" s="281">
        <f>SUM(J166:J191)</f>
        <v>6.2672000000000005E-2</v>
      </c>
      <c r="K192" s="282">
        <f t="shared" ref="K192:AG192" si="27">SUM(K166:K191)</f>
        <v>6.2672000000000005E-2</v>
      </c>
      <c r="L192" s="282">
        <f t="shared" si="27"/>
        <v>6.2672000000000005E-2</v>
      </c>
      <c r="M192" s="282">
        <f t="shared" si="27"/>
        <v>6.2672000000000005E-2</v>
      </c>
      <c r="N192" s="282">
        <f t="shared" si="27"/>
        <v>6.2672000000000005E-2</v>
      </c>
      <c r="O192" s="282">
        <f t="shared" si="27"/>
        <v>6.2672000000000005E-2</v>
      </c>
      <c r="P192" s="282">
        <f t="shared" si="27"/>
        <v>6.2672000000000005E-2</v>
      </c>
      <c r="Q192" s="282">
        <f t="shared" si="27"/>
        <v>6.2672000000000005E-2</v>
      </c>
      <c r="R192" s="282">
        <f t="shared" si="27"/>
        <v>6.2672000000000005E-2</v>
      </c>
      <c r="S192" s="282">
        <f t="shared" si="27"/>
        <v>6.2672000000000005E-2</v>
      </c>
      <c r="T192" s="282">
        <f t="shared" si="27"/>
        <v>6.2672000000000005E-2</v>
      </c>
      <c r="U192" s="282">
        <f t="shared" si="27"/>
        <v>6.2672000000000005E-2</v>
      </c>
      <c r="V192" s="282">
        <f t="shared" si="27"/>
        <v>6.2672000000000005E-2</v>
      </c>
      <c r="W192" s="282">
        <f t="shared" si="27"/>
        <v>6.2672000000000005E-2</v>
      </c>
      <c r="X192" s="282">
        <f t="shared" si="27"/>
        <v>6.2672000000000005E-2</v>
      </c>
      <c r="Y192" s="282">
        <f t="shared" si="27"/>
        <v>6.2672000000000005E-2</v>
      </c>
      <c r="Z192" s="282">
        <f t="shared" si="27"/>
        <v>6.2672000000000005E-2</v>
      </c>
      <c r="AA192" s="282">
        <f t="shared" si="27"/>
        <v>6.2672000000000005E-2</v>
      </c>
      <c r="AB192" s="282">
        <f t="shared" si="27"/>
        <v>6.2672000000000005E-2</v>
      </c>
      <c r="AC192" s="282">
        <f t="shared" si="27"/>
        <v>6.2672000000000005E-2</v>
      </c>
      <c r="AD192" s="282">
        <f t="shared" si="27"/>
        <v>6.2672000000000005E-2</v>
      </c>
      <c r="AE192" s="282">
        <f t="shared" si="27"/>
        <v>6.2672000000000005E-2</v>
      </c>
      <c r="AF192" s="282">
        <f t="shared" si="27"/>
        <v>6.2672000000000005E-2</v>
      </c>
      <c r="AG192" s="283">
        <f t="shared" si="27"/>
        <v>6.2672000000000005E-2</v>
      </c>
    </row>
    <row r="194" spans="1:33">
      <c r="A194" t="s">
        <v>18836</v>
      </c>
    </row>
    <row r="195" spans="1:33">
      <c r="A195" s="240" t="s">
        <v>569</v>
      </c>
      <c r="B195" s="240" t="s">
        <v>570</v>
      </c>
      <c r="C195" s="240" t="s">
        <v>571</v>
      </c>
      <c r="D195" s="240" t="s">
        <v>572</v>
      </c>
      <c r="E195" s="240" t="s">
        <v>573</v>
      </c>
      <c r="F195" s="240" t="s">
        <v>574</v>
      </c>
      <c r="G195" s="240" t="s">
        <v>575</v>
      </c>
      <c r="H195" s="240" t="s">
        <v>576</v>
      </c>
      <c r="I195" s="240" t="s">
        <v>577</v>
      </c>
      <c r="J195" s="240">
        <v>2023</v>
      </c>
      <c r="K195" s="240">
        <v>2024</v>
      </c>
      <c r="L195" s="240">
        <v>2025</v>
      </c>
      <c r="M195" s="240">
        <v>2026</v>
      </c>
      <c r="N195" s="240">
        <v>2027</v>
      </c>
      <c r="O195" s="240">
        <v>2028</v>
      </c>
      <c r="P195" s="240">
        <v>2029</v>
      </c>
      <c r="Q195" s="240">
        <v>2030</v>
      </c>
      <c r="R195" s="240">
        <v>2031</v>
      </c>
      <c r="S195" s="240">
        <v>2032</v>
      </c>
      <c r="T195" s="240">
        <v>2033</v>
      </c>
      <c r="U195" s="240">
        <v>2034</v>
      </c>
      <c r="V195" s="240">
        <v>2035</v>
      </c>
      <c r="W195" s="240">
        <v>2036</v>
      </c>
      <c r="X195" s="240">
        <v>2037</v>
      </c>
      <c r="Y195" s="240">
        <v>2038</v>
      </c>
      <c r="Z195" s="240">
        <v>2039</v>
      </c>
      <c r="AA195" s="240">
        <v>2040</v>
      </c>
      <c r="AB195" s="240">
        <v>2041</v>
      </c>
      <c r="AC195" s="240">
        <v>2042</v>
      </c>
      <c r="AD195" s="240">
        <v>2043</v>
      </c>
      <c r="AE195" s="240">
        <v>2044</v>
      </c>
      <c r="AF195" s="240">
        <v>2045</v>
      </c>
      <c r="AG195" s="240">
        <v>2046</v>
      </c>
    </row>
    <row r="196" spans="1:33">
      <c r="A196" s="113" t="s">
        <v>18690</v>
      </c>
      <c r="B196" s="113" t="s">
        <v>18640</v>
      </c>
      <c r="C196" s="113" t="s">
        <v>1382</v>
      </c>
      <c r="D196" s="113" t="s">
        <v>1274</v>
      </c>
      <c r="E196" s="113" t="s">
        <v>973</v>
      </c>
      <c r="F196" s="113" t="s">
        <v>598</v>
      </c>
      <c r="G196" s="113" t="s">
        <v>599</v>
      </c>
      <c r="H196" s="113" t="s">
        <v>2266</v>
      </c>
      <c r="I196" s="113" t="s">
        <v>2267</v>
      </c>
      <c r="J196" s="113">
        <v>0</v>
      </c>
      <c r="K196" s="113">
        <v>0</v>
      </c>
      <c r="L196" s="113">
        <v>0</v>
      </c>
      <c r="M196" s="113">
        <v>0</v>
      </c>
      <c r="N196" s="113">
        <v>0</v>
      </c>
      <c r="O196" s="113">
        <v>0</v>
      </c>
      <c r="P196" s="113">
        <v>0</v>
      </c>
      <c r="Q196" s="113">
        <v>0</v>
      </c>
      <c r="R196" s="113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v>0</v>
      </c>
      <c r="Z196" s="113">
        <v>0</v>
      </c>
      <c r="AA196" s="113">
        <v>0</v>
      </c>
      <c r="AB196" s="113">
        <v>0</v>
      </c>
      <c r="AC196" s="113">
        <v>0</v>
      </c>
      <c r="AD196" s="113">
        <v>0</v>
      </c>
      <c r="AE196" s="113">
        <v>0</v>
      </c>
      <c r="AF196" s="113">
        <v>0</v>
      </c>
      <c r="AG196" s="113">
        <v>0</v>
      </c>
    </row>
    <row r="197" spans="1:33">
      <c r="A197" s="113" t="s">
        <v>18690</v>
      </c>
      <c r="B197" s="113" t="s">
        <v>18694</v>
      </c>
      <c r="C197" s="113" t="s">
        <v>1382</v>
      </c>
      <c r="D197" s="113" t="s">
        <v>1281</v>
      </c>
      <c r="E197" s="113" t="s">
        <v>973</v>
      </c>
      <c r="F197" s="113" t="s">
        <v>598</v>
      </c>
      <c r="G197" s="113" t="s">
        <v>599</v>
      </c>
      <c r="H197" s="113" t="s">
        <v>2266</v>
      </c>
      <c r="I197" s="113" t="s">
        <v>2267</v>
      </c>
      <c r="J197" s="113">
        <v>0</v>
      </c>
      <c r="K197" s="113">
        <v>0</v>
      </c>
      <c r="L197" s="113">
        <v>0</v>
      </c>
      <c r="M197" s="113">
        <v>0</v>
      </c>
      <c r="N197" s="113">
        <v>0</v>
      </c>
      <c r="O197" s="113">
        <v>0</v>
      </c>
      <c r="P197" s="113">
        <v>0</v>
      </c>
      <c r="Q197" s="113">
        <v>0</v>
      </c>
      <c r="R197" s="113">
        <v>0</v>
      </c>
      <c r="S197" s="113">
        <v>0</v>
      </c>
      <c r="T197" s="113">
        <v>0</v>
      </c>
      <c r="U197" s="113">
        <v>0</v>
      </c>
      <c r="V197" s="113">
        <v>0</v>
      </c>
      <c r="W197" s="113">
        <v>0</v>
      </c>
      <c r="X197" s="113">
        <v>0</v>
      </c>
      <c r="Y197" s="113">
        <v>0</v>
      </c>
      <c r="Z197" s="113">
        <v>0</v>
      </c>
      <c r="AA197" s="113">
        <v>0</v>
      </c>
      <c r="AB197" s="113">
        <v>0</v>
      </c>
      <c r="AC197" s="113">
        <v>0</v>
      </c>
      <c r="AD197" s="113">
        <v>0</v>
      </c>
      <c r="AE197" s="113">
        <v>0</v>
      </c>
      <c r="AF197" s="113">
        <v>0</v>
      </c>
      <c r="AG197" s="113">
        <v>0</v>
      </c>
    </row>
    <row r="198" spans="1:33">
      <c r="A198" s="113" t="s">
        <v>18690</v>
      </c>
      <c r="B198" s="113" t="s">
        <v>18641</v>
      </c>
      <c r="C198" s="113" t="s">
        <v>1382</v>
      </c>
      <c r="D198" s="113" t="s">
        <v>1285</v>
      </c>
      <c r="E198" s="113" t="s">
        <v>973</v>
      </c>
      <c r="F198" s="113" t="s">
        <v>598</v>
      </c>
      <c r="G198" s="113" t="s">
        <v>599</v>
      </c>
      <c r="H198" s="113" t="s">
        <v>2266</v>
      </c>
      <c r="I198" s="113" t="s">
        <v>2267</v>
      </c>
      <c r="J198" s="113">
        <v>0</v>
      </c>
      <c r="K198" s="113">
        <v>0</v>
      </c>
      <c r="L198" s="113">
        <v>0</v>
      </c>
      <c r="M198" s="113">
        <v>0</v>
      </c>
      <c r="N198" s="113">
        <v>0</v>
      </c>
      <c r="O198" s="113">
        <v>0</v>
      </c>
      <c r="P198" s="113">
        <v>0</v>
      </c>
      <c r="Q198" s="113">
        <v>0</v>
      </c>
      <c r="R198" s="113"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v>0</v>
      </c>
      <c r="X198" s="113">
        <v>0</v>
      </c>
      <c r="Y198" s="113">
        <v>0</v>
      </c>
      <c r="Z198" s="113">
        <v>0</v>
      </c>
      <c r="AA198" s="113">
        <v>0</v>
      </c>
      <c r="AB198" s="113">
        <v>0</v>
      </c>
      <c r="AC198" s="113">
        <v>0</v>
      </c>
      <c r="AD198" s="113">
        <v>0</v>
      </c>
      <c r="AE198" s="113">
        <v>0</v>
      </c>
      <c r="AF198" s="113">
        <v>0</v>
      </c>
      <c r="AG198" s="113">
        <v>0</v>
      </c>
    </row>
    <row r="199" spans="1:33">
      <c r="A199" s="113" t="s">
        <v>18690</v>
      </c>
      <c r="B199" s="113" t="s">
        <v>18695</v>
      </c>
      <c r="C199" s="113" t="s">
        <v>1382</v>
      </c>
      <c r="D199" s="113" t="s">
        <v>1287</v>
      </c>
      <c r="E199" s="113" t="s">
        <v>973</v>
      </c>
      <c r="F199" s="113" t="s">
        <v>598</v>
      </c>
      <c r="G199" s="113" t="s">
        <v>599</v>
      </c>
      <c r="H199" s="113" t="s">
        <v>2266</v>
      </c>
      <c r="I199" s="113" t="s">
        <v>2267</v>
      </c>
      <c r="J199" s="113">
        <v>0</v>
      </c>
      <c r="K199" s="113">
        <v>0</v>
      </c>
      <c r="L199" s="113">
        <v>0</v>
      </c>
      <c r="M199" s="113">
        <v>0</v>
      </c>
      <c r="N199" s="113">
        <v>0</v>
      </c>
      <c r="O199" s="113">
        <v>0</v>
      </c>
      <c r="P199" s="113">
        <v>0</v>
      </c>
      <c r="Q199" s="113">
        <v>0</v>
      </c>
      <c r="R199" s="113"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v>0</v>
      </c>
      <c r="X199" s="113">
        <v>0</v>
      </c>
      <c r="Y199" s="113">
        <v>0</v>
      </c>
      <c r="Z199" s="113">
        <v>0</v>
      </c>
      <c r="AA199" s="113">
        <v>0</v>
      </c>
      <c r="AB199" s="113">
        <v>0</v>
      </c>
      <c r="AC199" s="113">
        <v>0</v>
      </c>
      <c r="AD199" s="113">
        <v>0</v>
      </c>
      <c r="AE199" s="113">
        <v>0</v>
      </c>
      <c r="AF199" s="113">
        <v>0</v>
      </c>
      <c r="AG199" s="113">
        <v>0</v>
      </c>
    </row>
    <row r="200" spans="1:33">
      <c r="A200" s="113" t="s">
        <v>18690</v>
      </c>
      <c r="B200" s="113" t="s">
        <v>18642</v>
      </c>
      <c r="C200" s="113" t="s">
        <v>1382</v>
      </c>
      <c r="D200" s="113" t="s">
        <v>1305</v>
      </c>
      <c r="E200" s="113" t="s">
        <v>973</v>
      </c>
      <c r="F200" s="113" t="s">
        <v>598</v>
      </c>
      <c r="G200" s="113" t="s">
        <v>599</v>
      </c>
      <c r="H200" s="113" t="s">
        <v>2266</v>
      </c>
      <c r="I200" s="113" t="s">
        <v>2267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3">
        <v>0</v>
      </c>
      <c r="P200" s="113">
        <v>0</v>
      </c>
      <c r="Q200" s="113">
        <v>0</v>
      </c>
      <c r="R200" s="113"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3">
        <v>0</v>
      </c>
      <c r="Z200" s="113">
        <v>0</v>
      </c>
      <c r="AA200" s="113">
        <v>0</v>
      </c>
      <c r="AB200" s="113">
        <v>0</v>
      </c>
      <c r="AC200" s="113">
        <v>0</v>
      </c>
      <c r="AD200" s="113">
        <v>0</v>
      </c>
      <c r="AE200" s="113">
        <v>0</v>
      </c>
      <c r="AF200" s="113">
        <v>0</v>
      </c>
      <c r="AG200" s="113">
        <v>0</v>
      </c>
    </row>
    <row r="201" spans="1:33">
      <c r="A201" s="113" t="s">
        <v>18690</v>
      </c>
      <c r="B201" s="113" t="s">
        <v>18643</v>
      </c>
      <c r="C201" s="113" t="s">
        <v>1382</v>
      </c>
      <c r="D201" s="113" t="s">
        <v>1311</v>
      </c>
      <c r="E201" s="113" t="s">
        <v>973</v>
      </c>
      <c r="F201" s="113" t="s">
        <v>598</v>
      </c>
      <c r="G201" s="113" t="s">
        <v>599</v>
      </c>
      <c r="H201" s="113" t="s">
        <v>2266</v>
      </c>
      <c r="I201" s="113" t="s">
        <v>2267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3">
        <v>0</v>
      </c>
      <c r="P201" s="113">
        <v>0</v>
      </c>
      <c r="Q201" s="113">
        <v>0</v>
      </c>
      <c r="R201" s="113"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v>0</v>
      </c>
      <c r="Z201" s="113">
        <v>0</v>
      </c>
      <c r="AA201" s="113">
        <v>0</v>
      </c>
      <c r="AB201" s="113">
        <v>0</v>
      </c>
      <c r="AC201" s="113">
        <v>0</v>
      </c>
      <c r="AD201" s="113">
        <v>0</v>
      </c>
      <c r="AE201" s="113">
        <v>0</v>
      </c>
      <c r="AF201" s="113">
        <v>0</v>
      </c>
      <c r="AG201" s="113">
        <v>0</v>
      </c>
    </row>
    <row r="202" spans="1:33">
      <c r="A202" s="113" t="s">
        <v>18690</v>
      </c>
      <c r="B202" s="113" t="s">
        <v>2265</v>
      </c>
      <c r="C202" s="113" t="s">
        <v>1382</v>
      </c>
      <c r="D202" s="113" t="s">
        <v>1311</v>
      </c>
      <c r="E202" s="113" t="s">
        <v>597</v>
      </c>
      <c r="F202" s="113" t="s">
        <v>598</v>
      </c>
      <c r="G202" s="113" t="s">
        <v>599</v>
      </c>
      <c r="H202" s="113" t="s">
        <v>2266</v>
      </c>
      <c r="I202" s="113" t="s">
        <v>2267</v>
      </c>
      <c r="J202" s="113">
        <v>1.45E-4</v>
      </c>
      <c r="K202" s="113">
        <v>1.45E-4</v>
      </c>
      <c r="L202" s="113">
        <v>1.45E-4</v>
      </c>
      <c r="M202" s="113">
        <v>1.45E-4</v>
      </c>
      <c r="N202" s="113">
        <v>1.45E-4</v>
      </c>
      <c r="O202" s="113">
        <v>1.45E-4</v>
      </c>
      <c r="P202" s="113">
        <v>1.45E-4</v>
      </c>
      <c r="Q202" s="113">
        <v>1.45E-4</v>
      </c>
      <c r="R202" s="113">
        <v>1.45E-4</v>
      </c>
      <c r="S202" s="113">
        <v>1.45E-4</v>
      </c>
      <c r="T202" s="113">
        <v>1.45E-4</v>
      </c>
      <c r="U202" s="113">
        <v>1.45E-4</v>
      </c>
      <c r="V202" s="113">
        <v>1.45E-4</v>
      </c>
      <c r="W202" s="113">
        <v>1.45E-4</v>
      </c>
      <c r="X202" s="113">
        <v>1.45E-4</v>
      </c>
      <c r="Y202" s="113">
        <v>1.45E-4</v>
      </c>
      <c r="Z202" s="113">
        <v>1.45E-4</v>
      </c>
      <c r="AA202" s="113">
        <v>1.45E-4</v>
      </c>
      <c r="AB202" s="113">
        <v>1.45E-4</v>
      </c>
      <c r="AC202" s="113">
        <v>1.45E-4</v>
      </c>
      <c r="AD202" s="113">
        <v>1.45E-4</v>
      </c>
      <c r="AE202" s="113">
        <v>1.45E-4</v>
      </c>
      <c r="AF202" s="113">
        <v>1.45E-4</v>
      </c>
      <c r="AG202" s="113">
        <v>1.45E-4</v>
      </c>
    </row>
    <row r="203" spans="1:33">
      <c r="A203" s="113" t="s">
        <v>18690</v>
      </c>
      <c r="B203" s="113" t="s">
        <v>18696</v>
      </c>
      <c r="C203" s="113" t="s">
        <v>1382</v>
      </c>
      <c r="D203" s="113" t="s">
        <v>1311</v>
      </c>
      <c r="E203" s="113" t="s">
        <v>642</v>
      </c>
      <c r="F203" s="113" t="s">
        <v>598</v>
      </c>
      <c r="G203" s="113" t="s">
        <v>599</v>
      </c>
      <c r="H203" s="113" t="s">
        <v>2266</v>
      </c>
      <c r="I203" s="113" t="s">
        <v>2267</v>
      </c>
      <c r="J203" s="234">
        <v>2.8000000000000002E-7</v>
      </c>
      <c r="K203" s="234">
        <v>2.8000000000000002E-7</v>
      </c>
      <c r="L203" s="234">
        <v>2.8000000000000002E-7</v>
      </c>
      <c r="M203" s="234">
        <v>2.8000000000000002E-7</v>
      </c>
      <c r="N203" s="234">
        <v>2.8000000000000002E-7</v>
      </c>
      <c r="O203" s="234">
        <v>2.8000000000000002E-7</v>
      </c>
      <c r="P203" s="234">
        <v>2.8000000000000002E-7</v>
      </c>
      <c r="Q203" s="234">
        <v>2.8000000000000002E-7</v>
      </c>
      <c r="R203" s="234">
        <v>2.8000000000000002E-7</v>
      </c>
      <c r="S203" s="234">
        <v>2.8000000000000002E-7</v>
      </c>
      <c r="T203" s="234">
        <v>2.8000000000000002E-7</v>
      </c>
      <c r="U203" s="234">
        <v>2.8000000000000002E-7</v>
      </c>
      <c r="V203" s="234">
        <v>2.8000000000000002E-7</v>
      </c>
      <c r="W203" s="234">
        <v>2.8000000000000002E-7</v>
      </c>
      <c r="X203" s="234">
        <v>2.8000000000000002E-7</v>
      </c>
      <c r="Y203" s="234">
        <v>2.8000000000000002E-7</v>
      </c>
      <c r="Z203" s="234">
        <v>2.8000000000000002E-7</v>
      </c>
      <c r="AA203" s="234">
        <v>2.8000000000000002E-7</v>
      </c>
      <c r="AB203" s="234">
        <v>2.8000000000000002E-7</v>
      </c>
      <c r="AC203" s="234">
        <v>2.8000000000000002E-7</v>
      </c>
      <c r="AD203" s="234">
        <v>2.8000000000000002E-7</v>
      </c>
      <c r="AE203" s="234">
        <v>2.8000000000000002E-7</v>
      </c>
      <c r="AF203" s="234">
        <v>2.8000000000000002E-7</v>
      </c>
      <c r="AG203" s="234">
        <v>2.8000000000000002E-7</v>
      </c>
    </row>
    <row r="204" spans="1:33">
      <c r="A204" s="113" t="s">
        <v>18690</v>
      </c>
      <c r="B204" s="113" t="s">
        <v>18644</v>
      </c>
      <c r="C204" s="113" t="s">
        <v>1382</v>
      </c>
      <c r="D204" s="113" t="s">
        <v>1311</v>
      </c>
      <c r="E204" s="113" t="s">
        <v>605</v>
      </c>
      <c r="F204" s="113" t="s">
        <v>598</v>
      </c>
      <c r="G204" s="113" t="s">
        <v>599</v>
      </c>
      <c r="H204" s="113" t="s">
        <v>2266</v>
      </c>
      <c r="I204" s="113" t="s">
        <v>2267</v>
      </c>
      <c r="J204" s="113">
        <v>2.797E-3</v>
      </c>
      <c r="K204" s="113">
        <v>2.797E-3</v>
      </c>
      <c r="L204" s="113">
        <v>2.797E-3</v>
      </c>
      <c r="M204" s="113">
        <v>2.797E-3</v>
      </c>
      <c r="N204" s="113">
        <v>2.797E-3</v>
      </c>
      <c r="O204" s="113">
        <v>2.797E-3</v>
      </c>
      <c r="P204" s="113">
        <v>2.797E-3</v>
      </c>
      <c r="Q204" s="113">
        <v>2.797E-3</v>
      </c>
      <c r="R204" s="113">
        <v>2.797E-3</v>
      </c>
      <c r="S204" s="113">
        <v>2.797E-3</v>
      </c>
      <c r="T204" s="113">
        <v>2.797E-3</v>
      </c>
      <c r="U204" s="113">
        <v>2.797E-3</v>
      </c>
      <c r="V204" s="113">
        <v>2.797E-3</v>
      </c>
      <c r="W204" s="113">
        <v>2.797E-3</v>
      </c>
      <c r="X204" s="113">
        <v>2.797E-3</v>
      </c>
      <c r="Y204" s="113">
        <v>2.797E-3</v>
      </c>
      <c r="Z204" s="113">
        <v>2.797E-3</v>
      </c>
      <c r="AA204" s="113">
        <v>2.797E-3</v>
      </c>
      <c r="AB204" s="113">
        <v>2.797E-3</v>
      </c>
      <c r="AC204" s="113">
        <v>2.797E-3</v>
      </c>
      <c r="AD204" s="113">
        <v>2.797E-3</v>
      </c>
      <c r="AE204" s="113">
        <v>2.797E-3</v>
      </c>
      <c r="AF204" s="113">
        <v>2.797E-3</v>
      </c>
      <c r="AG204" s="113">
        <v>2.797E-3</v>
      </c>
    </row>
    <row r="205" spans="1:33">
      <c r="A205" s="113" t="s">
        <v>18690</v>
      </c>
      <c r="B205" s="113" t="s">
        <v>18647</v>
      </c>
      <c r="C205" s="113" t="s">
        <v>1382</v>
      </c>
      <c r="D205" s="113" t="s">
        <v>1316</v>
      </c>
      <c r="E205" s="113" t="s">
        <v>688</v>
      </c>
      <c r="F205" s="113" t="s">
        <v>598</v>
      </c>
      <c r="G205" s="113" t="s">
        <v>599</v>
      </c>
      <c r="H205" s="113" t="s">
        <v>2266</v>
      </c>
      <c r="I205" s="113" t="s">
        <v>2267</v>
      </c>
      <c r="J205" s="113">
        <v>0</v>
      </c>
      <c r="K205" s="113">
        <v>0</v>
      </c>
      <c r="L205" s="113">
        <v>0</v>
      </c>
      <c r="M205" s="113">
        <v>0</v>
      </c>
      <c r="N205" s="113">
        <v>0</v>
      </c>
      <c r="O205" s="113">
        <v>0</v>
      </c>
      <c r="P205" s="113">
        <v>0</v>
      </c>
      <c r="Q205" s="113">
        <v>0</v>
      </c>
      <c r="R205" s="113">
        <v>0</v>
      </c>
      <c r="S205" s="113">
        <v>0</v>
      </c>
      <c r="T205" s="113">
        <v>0</v>
      </c>
      <c r="U205" s="113">
        <v>0</v>
      </c>
      <c r="V205" s="113">
        <v>0</v>
      </c>
      <c r="W205" s="113">
        <v>0</v>
      </c>
      <c r="X205" s="113">
        <v>0</v>
      </c>
      <c r="Y205" s="113">
        <v>0</v>
      </c>
      <c r="Z205" s="113">
        <v>0</v>
      </c>
      <c r="AA205" s="113">
        <v>0</v>
      </c>
      <c r="AB205" s="113">
        <v>0</v>
      </c>
      <c r="AC205" s="113">
        <v>0</v>
      </c>
      <c r="AD205" s="113">
        <v>0</v>
      </c>
      <c r="AE205" s="113">
        <v>0</v>
      </c>
      <c r="AF205" s="113">
        <v>0</v>
      </c>
      <c r="AG205" s="113">
        <v>0</v>
      </c>
    </row>
    <row r="206" spans="1:33">
      <c r="A206" s="113" t="s">
        <v>18690</v>
      </c>
      <c r="B206" s="113" t="s">
        <v>18697</v>
      </c>
      <c r="C206" s="113" t="s">
        <v>1382</v>
      </c>
      <c r="D206" s="113" t="s">
        <v>1316</v>
      </c>
      <c r="E206" s="113" t="s">
        <v>1417</v>
      </c>
      <c r="F206" s="113" t="s">
        <v>598</v>
      </c>
      <c r="G206" s="113" t="s">
        <v>599</v>
      </c>
      <c r="H206" s="113" t="s">
        <v>2266</v>
      </c>
      <c r="I206" s="113" t="s">
        <v>2267</v>
      </c>
      <c r="J206" s="113">
        <v>0</v>
      </c>
      <c r="K206" s="113">
        <v>0</v>
      </c>
      <c r="L206" s="113">
        <v>0</v>
      </c>
      <c r="M206" s="113">
        <v>0</v>
      </c>
      <c r="N206" s="113">
        <v>0</v>
      </c>
      <c r="O206" s="113">
        <v>0</v>
      </c>
      <c r="P206" s="113">
        <v>0</v>
      </c>
      <c r="Q206" s="113">
        <v>0</v>
      </c>
      <c r="R206" s="113"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v>0</v>
      </c>
      <c r="X206" s="113">
        <v>0</v>
      </c>
      <c r="Y206" s="113">
        <v>0</v>
      </c>
      <c r="Z206" s="113">
        <v>0</v>
      </c>
      <c r="AA206" s="113">
        <v>0</v>
      </c>
      <c r="AB206" s="113">
        <v>0</v>
      </c>
      <c r="AC206" s="113">
        <v>0</v>
      </c>
      <c r="AD206" s="113">
        <v>0</v>
      </c>
      <c r="AE206" s="113">
        <v>0</v>
      </c>
      <c r="AF206" s="113">
        <v>0</v>
      </c>
      <c r="AG206" s="113">
        <v>0</v>
      </c>
    </row>
    <row r="207" spans="1:33">
      <c r="A207" s="113" t="s">
        <v>18690</v>
      </c>
      <c r="B207" s="113" t="s">
        <v>18698</v>
      </c>
      <c r="C207" s="113" t="s">
        <v>1382</v>
      </c>
      <c r="D207" s="113" t="s">
        <v>1316</v>
      </c>
      <c r="E207" s="113" t="s">
        <v>1326</v>
      </c>
      <c r="F207" s="113" t="s">
        <v>598</v>
      </c>
      <c r="G207" s="113" t="s">
        <v>599</v>
      </c>
      <c r="H207" s="113" t="s">
        <v>2266</v>
      </c>
      <c r="I207" s="113" t="s">
        <v>2267</v>
      </c>
      <c r="J207" s="113">
        <v>0</v>
      </c>
      <c r="K207" s="113">
        <v>0</v>
      </c>
      <c r="L207" s="113">
        <v>0</v>
      </c>
      <c r="M207" s="113">
        <v>0</v>
      </c>
      <c r="N207" s="113">
        <v>0</v>
      </c>
      <c r="O207" s="113">
        <v>0</v>
      </c>
      <c r="P207" s="113">
        <v>0</v>
      </c>
      <c r="Q207" s="113">
        <v>0</v>
      </c>
      <c r="R207" s="113">
        <v>0</v>
      </c>
      <c r="S207" s="113">
        <v>0</v>
      </c>
      <c r="T207" s="113">
        <v>0</v>
      </c>
      <c r="U207" s="113">
        <v>0</v>
      </c>
      <c r="V207" s="113">
        <v>0</v>
      </c>
      <c r="W207" s="113">
        <v>0</v>
      </c>
      <c r="X207" s="113">
        <v>0</v>
      </c>
      <c r="Y207" s="113">
        <v>0</v>
      </c>
      <c r="Z207" s="113">
        <v>0</v>
      </c>
      <c r="AA207" s="113">
        <v>0</v>
      </c>
      <c r="AB207" s="113">
        <v>0</v>
      </c>
      <c r="AC207" s="113">
        <v>0</v>
      </c>
      <c r="AD207" s="113">
        <v>0</v>
      </c>
      <c r="AE207" s="113">
        <v>0</v>
      </c>
      <c r="AF207" s="113">
        <v>0</v>
      </c>
      <c r="AG207" s="113">
        <v>0</v>
      </c>
    </row>
    <row r="208" spans="1:33">
      <c r="A208" s="113" t="s">
        <v>18690</v>
      </c>
      <c r="B208" s="113" t="s">
        <v>18699</v>
      </c>
      <c r="C208" s="113" t="s">
        <v>1382</v>
      </c>
      <c r="D208" s="113" t="s">
        <v>1316</v>
      </c>
      <c r="E208" s="113" t="s">
        <v>892</v>
      </c>
      <c r="F208" s="113" t="s">
        <v>598</v>
      </c>
      <c r="G208" s="113" t="s">
        <v>599</v>
      </c>
      <c r="H208" s="113" t="s">
        <v>2266</v>
      </c>
      <c r="I208" s="113" t="s">
        <v>2267</v>
      </c>
      <c r="J208" s="113">
        <v>0</v>
      </c>
      <c r="K208" s="113">
        <v>0</v>
      </c>
      <c r="L208" s="113">
        <v>0</v>
      </c>
      <c r="M208" s="113">
        <v>0</v>
      </c>
      <c r="N208" s="113">
        <v>0</v>
      </c>
      <c r="O208" s="113">
        <v>0</v>
      </c>
      <c r="P208" s="113">
        <v>0</v>
      </c>
      <c r="Q208" s="113">
        <v>0</v>
      </c>
      <c r="R208" s="113"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v>0</v>
      </c>
      <c r="X208" s="113">
        <v>0</v>
      </c>
      <c r="Y208" s="113">
        <v>0</v>
      </c>
      <c r="Z208" s="113">
        <v>0</v>
      </c>
      <c r="AA208" s="113">
        <v>0</v>
      </c>
      <c r="AB208" s="113">
        <v>0</v>
      </c>
      <c r="AC208" s="113">
        <v>0</v>
      </c>
      <c r="AD208" s="113">
        <v>0</v>
      </c>
      <c r="AE208" s="113">
        <v>0</v>
      </c>
      <c r="AF208" s="113">
        <v>0</v>
      </c>
      <c r="AG208" s="113">
        <v>0</v>
      </c>
    </row>
    <row r="209" spans="1:33">
      <c r="A209" s="113" t="s">
        <v>18690</v>
      </c>
      <c r="B209" s="113" t="s">
        <v>18700</v>
      </c>
      <c r="C209" s="113" t="s">
        <v>1382</v>
      </c>
      <c r="D209" s="113" t="s">
        <v>1316</v>
      </c>
      <c r="E209" s="113" t="s">
        <v>678</v>
      </c>
      <c r="F209" s="113" t="s">
        <v>598</v>
      </c>
      <c r="G209" s="113" t="s">
        <v>599</v>
      </c>
      <c r="H209" s="113" t="s">
        <v>2266</v>
      </c>
      <c r="I209" s="113" t="s">
        <v>2267</v>
      </c>
      <c r="J209" s="113">
        <v>0</v>
      </c>
      <c r="K209" s="113">
        <v>0</v>
      </c>
      <c r="L209" s="113">
        <v>0</v>
      </c>
      <c r="M209" s="113">
        <v>0</v>
      </c>
      <c r="N209" s="113">
        <v>0</v>
      </c>
      <c r="O209" s="113">
        <v>0</v>
      </c>
      <c r="P209" s="113">
        <v>0</v>
      </c>
      <c r="Q209" s="113">
        <v>0</v>
      </c>
      <c r="R209" s="113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v>0</v>
      </c>
      <c r="Z209" s="113">
        <v>0</v>
      </c>
      <c r="AA209" s="113">
        <v>0</v>
      </c>
      <c r="AB209" s="113">
        <v>0</v>
      </c>
      <c r="AC209" s="113">
        <v>0</v>
      </c>
      <c r="AD209" s="113">
        <v>0</v>
      </c>
      <c r="AE209" s="113">
        <v>0</v>
      </c>
      <c r="AF209" s="113">
        <v>0</v>
      </c>
      <c r="AG209" s="113">
        <v>0</v>
      </c>
    </row>
    <row r="210" spans="1:33">
      <c r="A210" s="113" t="s">
        <v>18690</v>
      </c>
      <c r="B210" s="113" t="s">
        <v>18650</v>
      </c>
      <c r="C210" s="113" t="s">
        <v>1382</v>
      </c>
      <c r="D210" s="113" t="s">
        <v>1316</v>
      </c>
      <c r="E210" s="113" t="s">
        <v>1318</v>
      </c>
      <c r="F210" s="113" t="s">
        <v>598</v>
      </c>
      <c r="G210" s="113" t="s">
        <v>599</v>
      </c>
      <c r="H210" s="113" t="s">
        <v>2266</v>
      </c>
      <c r="I210" s="113" t="s">
        <v>2267</v>
      </c>
      <c r="J210" s="113">
        <v>0</v>
      </c>
      <c r="K210" s="113">
        <v>0</v>
      </c>
      <c r="L210" s="113">
        <v>0</v>
      </c>
      <c r="M210" s="113">
        <v>0</v>
      </c>
      <c r="N210" s="113">
        <v>0</v>
      </c>
      <c r="O210" s="113">
        <v>0</v>
      </c>
      <c r="P210" s="113">
        <v>0</v>
      </c>
      <c r="Q210" s="113">
        <v>0</v>
      </c>
      <c r="R210" s="113"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v>0</v>
      </c>
      <c r="X210" s="113">
        <v>0</v>
      </c>
      <c r="Y210" s="113">
        <v>0</v>
      </c>
      <c r="Z210" s="113">
        <v>0</v>
      </c>
      <c r="AA210" s="113">
        <v>0</v>
      </c>
      <c r="AB210" s="113">
        <v>0</v>
      </c>
      <c r="AC210" s="113">
        <v>0</v>
      </c>
      <c r="AD210" s="113">
        <v>0</v>
      </c>
      <c r="AE210" s="113">
        <v>0</v>
      </c>
      <c r="AF210" s="113">
        <v>0</v>
      </c>
      <c r="AG210" s="113">
        <v>0</v>
      </c>
    </row>
    <row r="211" spans="1:33">
      <c r="A211" s="113" t="s">
        <v>18690</v>
      </c>
      <c r="B211" s="113" t="s">
        <v>18653</v>
      </c>
      <c r="C211" s="113" t="s">
        <v>1382</v>
      </c>
      <c r="D211" s="113" t="s">
        <v>1320</v>
      </c>
      <c r="E211" s="113" t="s">
        <v>688</v>
      </c>
      <c r="F211" s="113" t="s">
        <v>598</v>
      </c>
      <c r="G211" s="113" t="s">
        <v>599</v>
      </c>
      <c r="H211" s="113" t="s">
        <v>2266</v>
      </c>
      <c r="I211" s="113" t="s">
        <v>2267</v>
      </c>
      <c r="J211" s="113">
        <v>0</v>
      </c>
      <c r="K211" s="113">
        <v>0</v>
      </c>
      <c r="L211" s="113">
        <v>0</v>
      </c>
      <c r="M211" s="113">
        <v>0</v>
      </c>
      <c r="N211" s="113">
        <v>0</v>
      </c>
      <c r="O211" s="113">
        <v>0</v>
      </c>
      <c r="P211" s="113">
        <v>0</v>
      </c>
      <c r="Q211" s="113">
        <v>0</v>
      </c>
      <c r="R211" s="113"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>
        <v>0</v>
      </c>
      <c r="AA211" s="113">
        <v>0</v>
      </c>
      <c r="AB211" s="113">
        <v>0</v>
      </c>
      <c r="AC211" s="113">
        <v>0</v>
      </c>
      <c r="AD211" s="113">
        <v>0</v>
      </c>
      <c r="AE211" s="113">
        <v>0</v>
      </c>
      <c r="AF211" s="113">
        <v>0</v>
      </c>
      <c r="AG211" s="113">
        <v>0</v>
      </c>
    </row>
    <row r="212" spans="1:33">
      <c r="A212" s="113" t="s">
        <v>18690</v>
      </c>
      <c r="B212" s="113" t="s">
        <v>18654</v>
      </c>
      <c r="C212" s="113" t="s">
        <v>1382</v>
      </c>
      <c r="D212" s="113" t="s">
        <v>1320</v>
      </c>
      <c r="E212" s="113" t="s">
        <v>626</v>
      </c>
      <c r="F212" s="113" t="s">
        <v>598</v>
      </c>
      <c r="G212" s="113" t="s">
        <v>599</v>
      </c>
      <c r="H212" s="113" t="s">
        <v>2266</v>
      </c>
      <c r="I212" s="113" t="s">
        <v>2267</v>
      </c>
      <c r="J212" s="113">
        <v>0</v>
      </c>
      <c r="K212" s="113">
        <v>0</v>
      </c>
      <c r="L212" s="113">
        <v>0</v>
      </c>
      <c r="M212" s="113">
        <v>0</v>
      </c>
      <c r="N212" s="113">
        <v>0</v>
      </c>
      <c r="O212" s="113">
        <v>0</v>
      </c>
      <c r="P212" s="113">
        <v>0</v>
      </c>
      <c r="Q212" s="113">
        <v>0</v>
      </c>
      <c r="R212" s="113">
        <v>0</v>
      </c>
      <c r="S212" s="113">
        <v>0</v>
      </c>
      <c r="T212" s="113">
        <v>0</v>
      </c>
      <c r="U212" s="113">
        <v>0</v>
      </c>
      <c r="V212" s="113">
        <v>0</v>
      </c>
      <c r="W212" s="113">
        <v>0</v>
      </c>
      <c r="X212" s="113">
        <v>0</v>
      </c>
      <c r="Y212" s="113">
        <v>0</v>
      </c>
      <c r="Z212" s="113">
        <v>0</v>
      </c>
      <c r="AA212" s="113">
        <v>0</v>
      </c>
      <c r="AB212" s="113">
        <v>0</v>
      </c>
      <c r="AC212" s="113">
        <v>0</v>
      </c>
      <c r="AD212" s="113">
        <v>0</v>
      </c>
      <c r="AE212" s="113">
        <v>0</v>
      </c>
      <c r="AF212" s="113">
        <v>0</v>
      </c>
      <c r="AG212" s="113">
        <v>0</v>
      </c>
    </row>
    <row r="213" spans="1:33">
      <c r="A213" s="113" t="s">
        <v>18690</v>
      </c>
      <c r="B213" s="113" t="s">
        <v>18701</v>
      </c>
      <c r="C213" s="113" t="s">
        <v>1382</v>
      </c>
      <c r="D213" s="113" t="s">
        <v>1320</v>
      </c>
      <c r="E213" s="113" t="s">
        <v>1334</v>
      </c>
      <c r="F213" s="113" t="s">
        <v>598</v>
      </c>
      <c r="G213" s="113" t="s">
        <v>599</v>
      </c>
      <c r="H213" s="113" t="s">
        <v>2266</v>
      </c>
      <c r="I213" s="113" t="s">
        <v>2267</v>
      </c>
      <c r="J213" s="113">
        <v>0</v>
      </c>
      <c r="K213" s="113">
        <v>0</v>
      </c>
      <c r="L213" s="113">
        <v>0</v>
      </c>
      <c r="M213" s="113">
        <v>0</v>
      </c>
      <c r="N213" s="113">
        <v>0</v>
      </c>
      <c r="O213" s="113">
        <v>0</v>
      </c>
      <c r="P213" s="113">
        <v>0</v>
      </c>
      <c r="Q213" s="113">
        <v>0</v>
      </c>
      <c r="R213" s="113"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v>0</v>
      </c>
      <c r="Z213" s="113">
        <v>0</v>
      </c>
      <c r="AA213" s="113">
        <v>0</v>
      </c>
      <c r="AB213" s="113">
        <v>0</v>
      </c>
      <c r="AC213" s="113">
        <v>0</v>
      </c>
      <c r="AD213" s="113">
        <v>0</v>
      </c>
      <c r="AE213" s="113">
        <v>0</v>
      </c>
      <c r="AF213" s="113">
        <v>0</v>
      </c>
      <c r="AG213" s="113">
        <v>0</v>
      </c>
    </row>
    <row r="214" spans="1:33">
      <c r="A214" s="113" t="s">
        <v>18690</v>
      </c>
      <c r="B214" s="113" t="s">
        <v>18702</v>
      </c>
      <c r="C214" s="113" t="s">
        <v>1382</v>
      </c>
      <c r="D214" s="113" t="s">
        <v>1320</v>
      </c>
      <c r="E214" s="113" t="s">
        <v>750</v>
      </c>
      <c r="F214" s="113" t="s">
        <v>598</v>
      </c>
      <c r="G214" s="113" t="s">
        <v>599</v>
      </c>
      <c r="H214" s="113" t="s">
        <v>2266</v>
      </c>
      <c r="I214" s="113" t="s">
        <v>2267</v>
      </c>
      <c r="J214" s="113">
        <v>0</v>
      </c>
      <c r="K214" s="113">
        <v>0</v>
      </c>
      <c r="L214" s="113">
        <v>0</v>
      </c>
      <c r="M214" s="113">
        <v>0</v>
      </c>
      <c r="N214" s="113">
        <v>0</v>
      </c>
      <c r="O214" s="113">
        <v>0</v>
      </c>
      <c r="P214" s="113">
        <v>0</v>
      </c>
      <c r="Q214" s="113">
        <v>0</v>
      </c>
      <c r="R214" s="113"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v>0</v>
      </c>
      <c r="X214" s="113">
        <v>0</v>
      </c>
      <c r="Y214" s="113">
        <v>0</v>
      </c>
      <c r="Z214" s="113">
        <v>0</v>
      </c>
      <c r="AA214" s="113">
        <v>0</v>
      </c>
      <c r="AB214" s="113">
        <v>0</v>
      </c>
      <c r="AC214" s="113">
        <v>0</v>
      </c>
      <c r="AD214" s="113">
        <v>0</v>
      </c>
      <c r="AE214" s="113">
        <v>0</v>
      </c>
      <c r="AF214" s="113">
        <v>0</v>
      </c>
      <c r="AG214" s="113">
        <v>0</v>
      </c>
    </row>
    <row r="215" spans="1:33">
      <c r="A215" s="113" t="s">
        <v>18690</v>
      </c>
      <c r="B215" s="113" t="s">
        <v>18655</v>
      </c>
      <c r="C215" s="113" t="s">
        <v>1382</v>
      </c>
      <c r="D215" s="113" t="s">
        <v>1320</v>
      </c>
      <c r="E215" s="113" t="s">
        <v>678</v>
      </c>
      <c r="F215" s="113" t="s">
        <v>598</v>
      </c>
      <c r="G215" s="113" t="s">
        <v>599</v>
      </c>
      <c r="H215" s="113" t="s">
        <v>2266</v>
      </c>
      <c r="I215" s="113" t="s">
        <v>2267</v>
      </c>
      <c r="J215" s="113">
        <v>0</v>
      </c>
      <c r="K215" s="113">
        <v>0</v>
      </c>
      <c r="L215" s="113">
        <v>0</v>
      </c>
      <c r="M215" s="113">
        <v>0</v>
      </c>
      <c r="N215" s="113">
        <v>0</v>
      </c>
      <c r="O215" s="113">
        <v>0</v>
      </c>
      <c r="P215" s="113">
        <v>0</v>
      </c>
      <c r="Q215" s="113">
        <v>0</v>
      </c>
      <c r="R215" s="113"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v>0</v>
      </c>
      <c r="X215" s="113">
        <v>0</v>
      </c>
      <c r="Y215" s="113">
        <v>0</v>
      </c>
      <c r="Z215" s="113">
        <v>0</v>
      </c>
      <c r="AA215" s="113">
        <v>0</v>
      </c>
      <c r="AB215" s="113">
        <v>0</v>
      </c>
      <c r="AC215" s="113">
        <v>0</v>
      </c>
      <c r="AD215" s="113">
        <v>0</v>
      </c>
      <c r="AE215" s="113">
        <v>0</v>
      </c>
      <c r="AF215" s="113">
        <v>0</v>
      </c>
      <c r="AG215" s="113">
        <v>0</v>
      </c>
    </row>
    <row r="216" spans="1:33">
      <c r="A216" s="113" t="s">
        <v>18690</v>
      </c>
      <c r="B216" s="113" t="s">
        <v>18703</v>
      </c>
      <c r="C216" s="113" t="s">
        <v>1382</v>
      </c>
      <c r="D216" s="113" t="s">
        <v>1324</v>
      </c>
      <c r="E216" s="113" t="s">
        <v>1512</v>
      </c>
      <c r="F216" s="113" t="s">
        <v>598</v>
      </c>
      <c r="G216" s="113" t="s">
        <v>599</v>
      </c>
      <c r="H216" s="113" t="s">
        <v>2266</v>
      </c>
      <c r="I216" s="113" t="s">
        <v>2267</v>
      </c>
      <c r="J216" s="113">
        <v>0</v>
      </c>
      <c r="K216" s="113">
        <v>0</v>
      </c>
      <c r="L216" s="113">
        <v>0</v>
      </c>
      <c r="M216" s="113">
        <v>0</v>
      </c>
      <c r="N216" s="113">
        <v>0</v>
      </c>
      <c r="O216" s="113">
        <v>0</v>
      </c>
      <c r="P216" s="113">
        <v>0</v>
      </c>
      <c r="Q216" s="113">
        <v>0</v>
      </c>
      <c r="R216" s="113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v>0</v>
      </c>
      <c r="Z216" s="113">
        <v>0</v>
      </c>
      <c r="AA216" s="113">
        <v>0</v>
      </c>
      <c r="AB216" s="113">
        <v>0</v>
      </c>
      <c r="AC216" s="113">
        <v>0</v>
      </c>
      <c r="AD216" s="113">
        <v>0</v>
      </c>
      <c r="AE216" s="113">
        <v>0</v>
      </c>
      <c r="AF216" s="113">
        <v>0</v>
      </c>
      <c r="AG216" s="113">
        <v>0</v>
      </c>
    </row>
    <row r="217" spans="1:33">
      <c r="A217" s="113" t="s">
        <v>18690</v>
      </c>
      <c r="B217" s="113" t="s">
        <v>18657</v>
      </c>
      <c r="C217" s="113" t="s">
        <v>1382</v>
      </c>
      <c r="D217" s="113" t="s">
        <v>1324</v>
      </c>
      <c r="E217" s="113" t="s">
        <v>688</v>
      </c>
      <c r="F217" s="113" t="s">
        <v>598</v>
      </c>
      <c r="G217" s="113" t="s">
        <v>599</v>
      </c>
      <c r="H217" s="113" t="s">
        <v>2266</v>
      </c>
      <c r="I217" s="113" t="s">
        <v>2267</v>
      </c>
      <c r="J217" s="113">
        <v>0</v>
      </c>
      <c r="K217" s="113">
        <v>0</v>
      </c>
      <c r="L217" s="113">
        <v>0</v>
      </c>
      <c r="M217" s="113">
        <v>0</v>
      </c>
      <c r="N217" s="113">
        <v>0</v>
      </c>
      <c r="O217" s="113">
        <v>0</v>
      </c>
      <c r="P217" s="113">
        <v>0</v>
      </c>
      <c r="Q217" s="113">
        <v>0</v>
      </c>
      <c r="R217" s="113"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v>0</v>
      </c>
      <c r="X217" s="113">
        <v>0</v>
      </c>
      <c r="Y217" s="113">
        <v>0</v>
      </c>
      <c r="Z217" s="113">
        <v>0</v>
      </c>
      <c r="AA217" s="113">
        <v>0</v>
      </c>
      <c r="AB217" s="113">
        <v>0</v>
      </c>
      <c r="AC217" s="113">
        <v>0</v>
      </c>
      <c r="AD217" s="113">
        <v>0</v>
      </c>
      <c r="AE217" s="113">
        <v>0</v>
      </c>
      <c r="AF217" s="113">
        <v>0</v>
      </c>
      <c r="AG217" s="113">
        <v>0</v>
      </c>
    </row>
    <row r="218" spans="1:33">
      <c r="A218" s="113" t="s">
        <v>18690</v>
      </c>
      <c r="B218" s="113" t="s">
        <v>18704</v>
      </c>
      <c r="C218" s="113" t="s">
        <v>1382</v>
      </c>
      <c r="D218" s="113" t="s">
        <v>1324</v>
      </c>
      <c r="E218" s="113" t="s">
        <v>1334</v>
      </c>
      <c r="F218" s="113" t="s">
        <v>598</v>
      </c>
      <c r="G218" s="113" t="s">
        <v>599</v>
      </c>
      <c r="H218" s="113" t="s">
        <v>2266</v>
      </c>
      <c r="I218" s="113" t="s">
        <v>2267</v>
      </c>
      <c r="J218" s="113">
        <v>0</v>
      </c>
      <c r="K218" s="113">
        <v>0</v>
      </c>
      <c r="L218" s="113">
        <v>0</v>
      </c>
      <c r="M218" s="113">
        <v>0</v>
      </c>
      <c r="N218" s="113">
        <v>0</v>
      </c>
      <c r="O218" s="113">
        <v>0</v>
      </c>
      <c r="P218" s="113">
        <v>0</v>
      </c>
      <c r="Q218" s="113">
        <v>0</v>
      </c>
      <c r="R218" s="113"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3">
        <v>0</v>
      </c>
      <c r="Z218" s="113">
        <v>0</v>
      </c>
      <c r="AA218" s="113">
        <v>0</v>
      </c>
      <c r="AB218" s="113">
        <v>0</v>
      </c>
      <c r="AC218" s="113">
        <v>0</v>
      </c>
      <c r="AD218" s="113">
        <v>0</v>
      </c>
      <c r="AE218" s="113">
        <v>0</v>
      </c>
      <c r="AF218" s="113">
        <v>0</v>
      </c>
      <c r="AG218" s="113">
        <v>0</v>
      </c>
    </row>
    <row r="219" spans="1:33">
      <c r="A219" s="113" t="s">
        <v>18690</v>
      </c>
      <c r="B219" s="113" t="s">
        <v>18705</v>
      </c>
      <c r="C219" s="113" t="s">
        <v>1382</v>
      </c>
      <c r="D219" s="113" t="s">
        <v>1324</v>
      </c>
      <c r="E219" s="113" t="s">
        <v>1417</v>
      </c>
      <c r="F219" s="113" t="s">
        <v>598</v>
      </c>
      <c r="G219" s="113" t="s">
        <v>599</v>
      </c>
      <c r="H219" s="113" t="s">
        <v>2266</v>
      </c>
      <c r="I219" s="113" t="s">
        <v>2267</v>
      </c>
      <c r="J219" s="113">
        <v>0</v>
      </c>
      <c r="K219" s="113">
        <v>0</v>
      </c>
      <c r="L219" s="113">
        <v>0</v>
      </c>
      <c r="M219" s="113">
        <v>0</v>
      </c>
      <c r="N219" s="113">
        <v>0</v>
      </c>
      <c r="O219" s="113">
        <v>0</v>
      </c>
      <c r="P219" s="113">
        <v>0</v>
      </c>
      <c r="Q219" s="113">
        <v>0</v>
      </c>
      <c r="R219" s="113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>
        <v>0</v>
      </c>
      <c r="AB219" s="113">
        <v>0</v>
      </c>
      <c r="AC219" s="113">
        <v>0</v>
      </c>
      <c r="AD219" s="113">
        <v>0</v>
      </c>
      <c r="AE219" s="113">
        <v>0</v>
      </c>
      <c r="AF219" s="113">
        <v>0</v>
      </c>
      <c r="AG219" s="113">
        <v>0</v>
      </c>
    </row>
    <row r="220" spans="1:33">
      <c r="A220" s="113" t="s">
        <v>18690</v>
      </c>
      <c r="B220" s="113" t="s">
        <v>18658</v>
      </c>
      <c r="C220" s="113" t="s">
        <v>1382</v>
      </c>
      <c r="D220" s="113" t="s">
        <v>1324</v>
      </c>
      <c r="E220" s="113" t="s">
        <v>1326</v>
      </c>
      <c r="F220" s="113" t="s">
        <v>598</v>
      </c>
      <c r="G220" s="113" t="s">
        <v>599</v>
      </c>
      <c r="H220" s="113" t="s">
        <v>2266</v>
      </c>
      <c r="I220" s="113" t="s">
        <v>2267</v>
      </c>
      <c r="J220" s="113">
        <v>0</v>
      </c>
      <c r="K220" s="113">
        <v>0</v>
      </c>
      <c r="L220" s="113">
        <v>0</v>
      </c>
      <c r="M220" s="113">
        <v>0</v>
      </c>
      <c r="N220" s="113">
        <v>0</v>
      </c>
      <c r="O220" s="113">
        <v>0</v>
      </c>
      <c r="P220" s="113">
        <v>0</v>
      </c>
      <c r="Q220" s="113">
        <v>0</v>
      </c>
      <c r="R220" s="113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v>0</v>
      </c>
      <c r="Z220" s="113">
        <v>0</v>
      </c>
      <c r="AA220" s="113">
        <v>0</v>
      </c>
      <c r="AB220" s="113">
        <v>0</v>
      </c>
      <c r="AC220" s="113">
        <v>0</v>
      </c>
      <c r="AD220" s="113">
        <v>0</v>
      </c>
      <c r="AE220" s="113">
        <v>0</v>
      </c>
      <c r="AF220" s="113">
        <v>0</v>
      </c>
      <c r="AG220" s="113">
        <v>0</v>
      </c>
    </row>
    <row r="221" spans="1:33">
      <c r="A221" s="113" t="s">
        <v>18690</v>
      </c>
      <c r="B221" s="113" t="s">
        <v>18659</v>
      </c>
      <c r="C221" s="113" t="s">
        <v>1382</v>
      </c>
      <c r="D221" s="113" t="s">
        <v>1324</v>
      </c>
      <c r="E221" s="113" t="s">
        <v>1402</v>
      </c>
      <c r="F221" s="113" t="s">
        <v>598</v>
      </c>
      <c r="G221" s="113" t="s">
        <v>599</v>
      </c>
      <c r="H221" s="113" t="s">
        <v>2266</v>
      </c>
      <c r="I221" s="113" t="s">
        <v>2267</v>
      </c>
      <c r="J221" s="113">
        <v>0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113">
        <v>0</v>
      </c>
      <c r="Q221" s="113">
        <v>0</v>
      </c>
      <c r="R221" s="113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v>0</v>
      </c>
      <c r="X221" s="113">
        <v>0</v>
      </c>
      <c r="Y221" s="113">
        <v>0</v>
      </c>
      <c r="Z221" s="113">
        <v>0</v>
      </c>
      <c r="AA221" s="113">
        <v>0</v>
      </c>
      <c r="AB221" s="113">
        <v>0</v>
      </c>
      <c r="AC221" s="113">
        <v>0</v>
      </c>
      <c r="AD221" s="113">
        <v>0</v>
      </c>
      <c r="AE221" s="113">
        <v>0</v>
      </c>
      <c r="AF221" s="113">
        <v>0</v>
      </c>
      <c r="AG221" s="113">
        <v>0</v>
      </c>
    </row>
    <row r="222" spans="1:33">
      <c r="A222" s="113" t="s">
        <v>18690</v>
      </c>
      <c r="B222" s="113" t="s">
        <v>18706</v>
      </c>
      <c r="C222" s="113" t="s">
        <v>1382</v>
      </c>
      <c r="D222" s="113" t="s">
        <v>1324</v>
      </c>
      <c r="E222" s="113" t="s">
        <v>669</v>
      </c>
      <c r="F222" s="113" t="s">
        <v>598</v>
      </c>
      <c r="G222" s="113" t="s">
        <v>599</v>
      </c>
      <c r="H222" s="113" t="s">
        <v>2266</v>
      </c>
      <c r="I222" s="113" t="s">
        <v>2267</v>
      </c>
      <c r="J222" s="113">
        <v>0</v>
      </c>
      <c r="K222" s="113">
        <v>0</v>
      </c>
      <c r="L222" s="113">
        <v>0</v>
      </c>
      <c r="M222" s="113">
        <v>0</v>
      </c>
      <c r="N222" s="113">
        <v>0</v>
      </c>
      <c r="O222" s="113">
        <v>0</v>
      </c>
      <c r="P222" s="113">
        <v>0</v>
      </c>
      <c r="Q222" s="113">
        <v>0</v>
      </c>
      <c r="R222" s="113"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v>0</v>
      </c>
      <c r="X222" s="113">
        <v>0</v>
      </c>
      <c r="Y222" s="113">
        <v>0</v>
      </c>
      <c r="Z222" s="113">
        <v>0</v>
      </c>
      <c r="AA222" s="113">
        <v>0</v>
      </c>
      <c r="AB222" s="113">
        <v>0</v>
      </c>
      <c r="AC222" s="113">
        <v>0</v>
      </c>
      <c r="AD222" s="113">
        <v>0</v>
      </c>
      <c r="AE222" s="113">
        <v>0</v>
      </c>
      <c r="AF222" s="113">
        <v>0</v>
      </c>
      <c r="AG222" s="113">
        <v>0</v>
      </c>
    </row>
    <row r="223" spans="1:33">
      <c r="A223" s="113" t="s">
        <v>18690</v>
      </c>
      <c r="B223" s="113" t="s">
        <v>18660</v>
      </c>
      <c r="C223" s="113" t="s">
        <v>1382</v>
      </c>
      <c r="D223" s="113" t="s">
        <v>1324</v>
      </c>
      <c r="E223" s="113" t="s">
        <v>1318</v>
      </c>
      <c r="F223" s="113" t="s">
        <v>598</v>
      </c>
      <c r="G223" s="113" t="s">
        <v>599</v>
      </c>
      <c r="H223" s="113" t="s">
        <v>2266</v>
      </c>
      <c r="I223" s="113" t="s">
        <v>2267</v>
      </c>
      <c r="J223" s="113">
        <v>0</v>
      </c>
      <c r="K223" s="113">
        <v>0</v>
      </c>
      <c r="L223" s="113">
        <v>0</v>
      </c>
      <c r="M223" s="113">
        <v>0</v>
      </c>
      <c r="N223" s="113">
        <v>0</v>
      </c>
      <c r="O223" s="113">
        <v>0</v>
      </c>
      <c r="P223" s="113">
        <v>0</v>
      </c>
      <c r="Q223" s="113">
        <v>0</v>
      </c>
      <c r="R223" s="113"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3">
        <v>0</v>
      </c>
      <c r="Z223" s="113">
        <v>0</v>
      </c>
      <c r="AA223" s="113">
        <v>0</v>
      </c>
      <c r="AB223" s="113">
        <v>0</v>
      </c>
      <c r="AC223" s="113">
        <v>0</v>
      </c>
      <c r="AD223" s="113">
        <v>0</v>
      </c>
      <c r="AE223" s="113">
        <v>0</v>
      </c>
      <c r="AF223" s="113">
        <v>0</v>
      </c>
      <c r="AG223" s="113">
        <v>0</v>
      </c>
    </row>
    <row r="224" spans="1:33">
      <c r="A224" s="113" t="s">
        <v>18690</v>
      </c>
      <c r="B224" s="113" t="s">
        <v>18663</v>
      </c>
      <c r="C224" s="113" t="s">
        <v>1382</v>
      </c>
      <c r="D224" s="113" t="s">
        <v>1324</v>
      </c>
      <c r="E224" s="113" t="s">
        <v>1028</v>
      </c>
      <c r="F224" s="113" t="s">
        <v>598</v>
      </c>
      <c r="G224" s="113" t="s">
        <v>599</v>
      </c>
      <c r="H224" s="113" t="s">
        <v>2266</v>
      </c>
      <c r="I224" s="113" t="s">
        <v>2267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3">
        <v>0</v>
      </c>
      <c r="R224" s="113"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v>0</v>
      </c>
      <c r="AC224" s="113">
        <v>0</v>
      </c>
      <c r="AD224" s="113">
        <v>0</v>
      </c>
      <c r="AE224" s="113">
        <v>0</v>
      </c>
      <c r="AF224" s="113">
        <v>0</v>
      </c>
      <c r="AG224" s="113">
        <v>0</v>
      </c>
    </row>
    <row r="225" spans="1:33">
      <c r="A225" s="113" t="s">
        <v>18690</v>
      </c>
      <c r="B225" s="113" t="s">
        <v>18707</v>
      </c>
      <c r="C225" s="113" t="s">
        <v>1382</v>
      </c>
      <c r="D225" s="113" t="s">
        <v>1332</v>
      </c>
      <c r="E225" s="113" t="s">
        <v>1512</v>
      </c>
      <c r="F225" s="113" t="s">
        <v>598</v>
      </c>
      <c r="G225" s="113" t="s">
        <v>599</v>
      </c>
      <c r="H225" s="113" t="s">
        <v>2266</v>
      </c>
      <c r="I225" s="113" t="s">
        <v>2267</v>
      </c>
      <c r="J225" s="113">
        <v>0</v>
      </c>
      <c r="K225" s="113">
        <v>0</v>
      </c>
      <c r="L225" s="113">
        <v>0</v>
      </c>
      <c r="M225" s="113">
        <v>0</v>
      </c>
      <c r="N225" s="113">
        <v>0</v>
      </c>
      <c r="O225" s="113">
        <v>0</v>
      </c>
      <c r="P225" s="113">
        <v>0</v>
      </c>
      <c r="Q225" s="113">
        <v>0</v>
      </c>
      <c r="R225" s="113">
        <v>0</v>
      </c>
      <c r="S225" s="113">
        <v>0</v>
      </c>
      <c r="T225" s="113">
        <v>0</v>
      </c>
      <c r="U225" s="113">
        <v>0</v>
      </c>
      <c r="V225" s="113">
        <v>0</v>
      </c>
      <c r="W225" s="113">
        <v>0</v>
      </c>
      <c r="X225" s="113">
        <v>0</v>
      </c>
      <c r="Y225" s="113">
        <v>0</v>
      </c>
      <c r="Z225" s="113">
        <v>0</v>
      </c>
      <c r="AA225" s="113">
        <v>0</v>
      </c>
      <c r="AB225" s="113">
        <v>0</v>
      </c>
      <c r="AC225" s="113">
        <v>0</v>
      </c>
      <c r="AD225" s="113">
        <v>0</v>
      </c>
      <c r="AE225" s="113">
        <v>0</v>
      </c>
      <c r="AF225" s="113">
        <v>0</v>
      </c>
      <c r="AG225" s="113">
        <v>0</v>
      </c>
    </row>
    <row r="226" spans="1:33">
      <c r="A226" s="113" t="s">
        <v>18690</v>
      </c>
      <c r="B226" s="113" t="s">
        <v>18667</v>
      </c>
      <c r="C226" s="113" t="s">
        <v>1382</v>
      </c>
      <c r="D226" s="113" t="s">
        <v>1332</v>
      </c>
      <c r="E226" s="113" t="s">
        <v>688</v>
      </c>
      <c r="F226" s="113" t="s">
        <v>598</v>
      </c>
      <c r="G226" s="113" t="s">
        <v>599</v>
      </c>
      <c r="H226" s="113" t="s">
        <v>2266</v>
      </c>
      <c r="I226" s="113" t="s">
        <v>2267</v>
      </c>
      <c r="J226" s="113">
        <v>0</v>
      </c>
      <c r="K226" s="113">
        <v>0</v>
      </c>
      <c r="L226" s="113">
        <v>0</v>
      </c>
      <c r="M226" s="113">
        <v>0</v>
      </c>
      <c r="N226" s="113">
        <v>0</v>
      </c>
      <c r="O226" s="113">
        <v>0</v>
      </c>
      <c r="P226" s="113">
        <v>0</v>
      </c>
      <c r="Q226" s="113">
        <v>0</v>
      </c>
      <c r="R226" s="113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v>0</v>
      </c>
      <c r="Z226" s="113">
        <v>0</v>
      </c>
      <c r="AA226" s="113">
        <v>0</v>
      </c>
      <c r="AB226" s="113">
        <v>0</v>
      </c>
      <c r="AC226" s="113">
        <v>0</v>
      </c>
      <c r="AD226" s="113">
        <v>0</v>
      </c>
      <c r="AE226" s="113">
        <v>0</v>
      </c>
      <c r="AF226" s="113">
        <v>0</v>
      </c>
      <c r="AG226" s="113">
        <v>0</v>
      </c>
    </row>
    <row r="227" spans="1:33">
      <c r="A227" s="113" t="s">
        <v>18690</v>
      </c>
      <c r="B227" s="113" t="s">
        <v>18668</v>
      </c>
      <c r="C227" s="113" t="s">
        <v>1382</v>
      </c>
      <c r="D227" s="113" t="s">
        <v>1332</v>
      </c>
      <c r="E227" s="113" t="s">
        <v>1334</v>
      </c>
      <c r="F227" s="113" t="s">
        <v>598</v>
      </c>
      <c r="G227" s="113" t="s">
        <v>599</v>
      </c>
      <c r="H227" s="113" t="s">
        <v>2266</v>
      </c>
      <c r="I227" s="113" t="s">
        <v>2267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3">
        <v>0</v>
      </c>
      <c r="P227" s="113">
        <v>0</v>
      </c>
      <c r="Q227" s="113">
        <v>0</v>
      </c>
      <c r="R227" s="113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3">
        <v>0</v>
      </c>
      <c r="Z227" s="113">
        <v>0</v>
      </c>
      <c r="AA227" s="113">
        <v>0</v>
      </c>
      <c r="AB227" s="113">
        <v>0</v>
      </c>
      <c r="AC227" s="113">
        <v>0</v>
      </c>
      <c r="AD227" s="113">
        <v>0</v>
      </c>
      <c r="AE227" s="113">
        <v>0</v>
      </c>
      <c r="AF227" s="113">
        <v>0</v>
      </c>
      <c r="AG227" s="113">
        <v>0</v>
      </c>
    </row>
    <row r="228" spans="1:33">
      <c r="A228" s="113" t="s">
        <v>18690</v>
      </c>
      <c r="B228" s="113" t="s">
        <v>18708</v>
      </c>
      <c r="C228" s="113" t="s">
        <v>1382</v>
      </c>
      <c r="D228" s="113" t="s">
        <v>1332</v>
      </c>
      <c r="E228" s="113" t="s">
        <v>1399</v>
      </c>
      <c r="F228" s="113" t="s">
        <v>598</v>
      </c>
      <c r="G228" s="113" t="s">
        <v>599</v>
      </c>
      <c r="H228" s="113" t="s">
        <v>2266</v>
      </c>
      <c r="I228" s="113" t="s">
        <v>2267</v>
      </c>
      <c r="J228" s="113">
        <v>0</v>
      </c>
      <c r="K228" s="113">
        <v>0</v>
      </c>
      <c r="L228" s="113">
        <v>0</v>
      </c>
      <c r="M228" s="113">
        <v>0</v>
      </c>
      <c r="N228" s="113">
        <v>0</v>
      </c>
      <c r="O228" s="113">
        <v>0</v>
      </c>
      <c r="P228" s="113">
        <v>0</v>
      </c>
      <c r="Q228" s="113">
        <v>0</v>
      </c>
      <c r="R228" s="113"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v>0</v>
      </c>
      <c r="X228" s="113">
        <v>0</v>
      </c>
      <c r="Y228" s="113">
        <v>0</v>
      </c>
      <c r="Z228" s="113">
        <v>0</v>
      </c>
      <c r="AA228" s="113">
        <v>0</v>
      </c>
      <c r="AB228" s="113">
        <v>0</v>
      </c>
      <c r="AC228" s="113">
        <v>0</v>
      </c>
      <c r="AD228" s="113">
        <v>0</v>
      </c>
      <c r="AE228" s="113">
        <v>0</v>
      </c>
      <c r="AF228" s="113">
        <v>0</v>
      </c>
      <c r="AG228" s="113">
        <v>0</v>
      </c>
    </row>
    <row r="229" spans="1:33">
      <c r="A229" s="113" t="s">
        <v>18690</v>
      </c>
      <c r="B229" s="113" t="s">
        <v>18709</v>
      </c>
      <c r="C229" s="113" t="s">
        <v>1382</v>
      </c>
      <c r="D229" s="113" t="s">
        <v>1332</v>
      </c>
      <c r="E229" s="113" t="s">
        <v>1417</v>
      </c>
      <c r="F229" s="113" t="s">
        <v>598</v>
      </c>
      <c r="G229" s="113" t="s">
        <v>599</v>
      </c>
      <c r="H229" s="113" t="s">
        <v>2266</v>
      </c>
      <c r="I229" s="113" t="s">
        <v>2267</v>
      </c>
      <c r="J229" s="113">
        <v>0</v>
      </c>
      <c r="K229" s="113">
        <v>0</v>
      </c>
      <c r="L229" s="113">
        <v>0</v>
      </c>
      <c r="M229" s="113">
        <v>0</v>
      </c>
      <c r="N229" s="113">
        <v>0</v>
      </c>
      <c r="O229" s="113">
        <v>0</v>
      </c>
      <c r="P229" s="113">
        <v>0</v>
      </c>
      <c r="Q229" s="113">
        <v>0</v>
      </c>
      <c r="R229" s="113"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>
        <v>0</v>
      </c>
      <c r="AB229" s="113">
        <v>0</v>
      </c>
      <c r="AC229" s="113">
        <v>0</v>
      </c>
      <c r="AD229" s="113">
        <v>0</v>
      </c>
      <c r="AE229" s="113">
        <v>0</v>
      </c>
      <c r="AF229" s="113">
        <v>0</v>
      </c>
      <c r="AG229" s="113">
        <v>0</v>
      </c>
    </row>
    <row r="230" spans="1:33">
      <c r="A230" s="113" t="s">
        <v>18690</v>
      </c>
      <c r="B230" s="113" t="s">
        <v>18669</v>
      </c>
      <c r="C230" s="113" t="s">
        <v>1382</v>
      </c>
      <c r="D230" s="113" t="s">
        <v>1332</v>
      </c>
      <c r="E230" s="113" t="s">
        <v>1326</v>
      </c>
      <c r="F230" s="113" t="s">
        <v>598</v>
      </c>
      <c r="G230" s="113" t="s">
        <v>599</v>
      </c>
      <c r="H230" s="113" t="s">
        <v>2266</v>
      </c>
      <c r="I230" s="113" t="s">
        <v>2267</v>
      </c>
      <c r="J230" s="113">
        <v>0</v>
      </c>
      <c r="K230" s="113">
        <v>0</v>
      </c>
      <c r="L230" s="113">
        <v>0</v>
      </c>
      <c r="M230" s="113">
        <v>0</v>
      </c>
      <c r="N230" s="113">
        <v>0</v>
      </c>
      <c r="O230" s="113">
        <v>0</v>
      </c>
      <c r="P230" s="113">
        <v>0</v>
      </c>
      <c r="Q230" s="113">
        <v>0</v>
      </c>
      <c r="R230" s="113"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v>0</v>
      </c>
      <c r="X230" s="113">
        <v>0</v>
      </c>
      <c r="Y230" s="113">
        <v>0</v>
      </c>
      <c r="Z230" s="113">
        <v>0</v>
      </c>
      <c r="AA230" s="113">
        <v>0</v>
      </c>
      <c r="AB230" s="113">
        <v>0</v>
      </c>
      <c r="AC230" s="113">
        <v>0</v>
      </c>
      <c r="AD230" s="113">
        <v>0</v>
      </c>
      <c r="AE230" s="113">
        <v>0</v>
      </c>
      <c r="AF230" s="113">
        <v>0</v>
      </c>
      <c r="AG230" s="113">
        <v>0</v>
      </c>
    </row>
    <row r="231" spans="1:33">
      <c r="A231" s="113" t="s">
        <v>18690</v>
      </c>
      <c r="B231" s="113" t="s">
        <v>18710</v>
      </c>
      <c r="C231" s="113" t="s">
        <v>1382</v>
      </c>
      <c r="D231" s="113" t="s">
        <v>1332</v>
      </c>
      <c r="E231" s="113" t="s">
        <v>1402</v>
      </c>
      <c r="F231" s="113" t="s">
        <v>598</v>
      </c>
      <c r="G231" s="113" t="s">
        <v>599</v>
      </c>
      <c r="H231" s="113" t="s">
        <v>2266</v>
      </c>
      <c r="I231" s="113" t="s">
        <v>2267</v>
      </c>
      <c r="J231" s="113">
        <v>0</v>
      </c>
      <c r="K231" s="113">
        <v>0</v>
      </c>
      <c r="L231" s="113">
        <v>0</v>
      </c>
      <c r="M231" s="113">
        <v>0</v>
      </c>
      <c r="N231" s="113">
        <v>0</v>
      </c>
      <c r="O231" s="113">
        <v>0</v>
      </c>
      <c r="P231" s="113">
        <v>0</v>
      </c>
      <c r="Q231" s="113">
        <v>0</v>
      </c>
      <c r="R231" s="113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v>0</v>
      </c>
      <c r="Z231" s="113">
        <v>0</v>
      </c>
      <c r="AA231" s="113">
        <v>0</v>
      </c>
      <c r="AB231" s="113">
        <v>0</v>
      </c>
      <c r="AC231" s="113">
        <v>0</v>
      </c>
      <c r="AD231" s="113">
        <v>0</v>
      </c>
      <c r="AE231" s="113">
        <v>0</v>
      </c>
      <c r="AF231" s="113">
        <v>0</v>
      </c>
      <c r="AG231" s="113">
        <v>0</v>
      </c>
    </row>
    <row r="232" spans="1:33">
      <c r="A232" s="113" t="s">
        <v>18690</v>
      </c>
      <c r="B232" s="113" t="s">
        <v>18711</v>
      </c>
      <c r="C232" s="113" t="s">
        <v>1382</v>
      </c>
      <c r="D232" s="113" t="s">
        <v>1332</v>
      </c>
      <c r="E232" s="113" t="s">
        <v>669</v>
      </c>
      <c r="F232" s="113" t="s">
        <v>598</v>
      </c>
      <c r="G232" s="113" t="s">
        <v>599</v>
      </c>
      <c r="H232" s="113" t="s">
        <v>2266</v>
      </c>
      <c r="I232" s="113" t="s">
        <v>2267</v>
      </c>
      <c r="J232" s="113">
        <v>0</v>
      </c>
      <c r="K232" s="113">
        <v>0</v>
      </c>
      <c r="L232" s="113">
        <v>0</v>
      </c>
      <c r="M232" s="113">
        <v>0</v>
      </c>
      <c r="N232" s="113">
        <v>0</v>
      </c>
      <c r="O232" s="113">
        <v>0</v>
      </c>
      <c r="P232" s="113">
        <v>0</v>
      </c>
      <c r="Q232" s="113">
        <v>0</v>
      </c>
      <c r="R232" s="113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>
        <v>0</v>
      </c>
      <c r="AB232" s="113">
        <v>0</v>
      </c>
      <c r="AC232" s="113">
        <v>0</v>
      </c>
      <c r="AD232" s="113">
        <v>0</v>
      </c>
      <c r="AE232" s="113">
        <v>0</v>
      </c>
      <c r="AF232" s="113">
        <v>0</v>
      </c>
      <c r="AG232" s="113">
        <v>0</v>
      </c>
    </row>
    <row r="233" spans="1:33">
      <c r="A233" s="113" t="s">
        <v>18690</v>
      </c>
      <c r="B233" s="113" t="s">
        <v>18670</v>
      </c>
      <c r="C233" s="113" t="s">
        <v>1382</v>
      </c>
      <c r="D233" s="113" t="s">
        <v>1332</v>
      </c>
      <c r="E233" s="113" t="s">
        <v>1318</v>
      </c>
      <c r="F233" s="113" t="s">
        <v>598</v>
      </c>
      <c r="G233" s="113" t="s">
        <v>599</v>
      </c>
      <c r="H233" s="113" t="s">
        <v>2266</v>
      </c>
      <c r="I233" s="113" t="s">
        <v>2267</v>
      </c>
      <c r="J233" s="113">
        <v>0</v>
      </c>
      <c r="K233" s="113">
        <v>0</v>
      </c>
      <c r="L233" s="113">
        <v>0</v>
      </c>
      <c r="M233" s="113">
        <v>0</v>
      </c>
      <c r="N233" s="113">
        <v>0</v>
      </c>
      <c r="O233" s="113">
        <v>0</v>
      </c>
      <c r="P233" s="113">
        <v>0</v>
      </c>
      <c r="Q233" s="113">
        <v>0</v>
      </c>
      <c r="R233" s="113"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v>0</v>
      </c>
      <c r="X233" s="113">
        <v>0</v>
      </c>
      <c r="Y233" s="113">
        <v>0</v>
      </c>
      <c r="Z233" s="113">
        <v>0</v>
      </c>
      <c r="AA233" s="113">
        <v>0</v>
      </c>
      <c r="AB233" s="113">
        <v>0</v>
      </c>
      <c r="AC233" s="113">
        <v>0</v>
      </c>
      <c r="AD233" s="113">
        <v>0</v>
      </c>
      <c r="AE233" s="113">
        <v>0</v>
      </c>
      <c r="AF233" s="113">
        <v>0</v>
      </c>
      <c r="AG233" s="113">
        <v>0</v>
      </c>
    </row>
    <row r="234" spans="1:33">
      <c r="A234" s="113" t="s">
        <v>18690</v>
      </c>
      <c r="B234" s="113" t="s">
        <v>18672</v>
      </c>
      <c r="C234" s="113" t="s">
        <v>1382</v>
      </c>
      <c r="D234" s="113" t="s">
        <v>1332</v>
      </c>
      <c r="E234" s="113" t="s">
        <v>1028</v>
      </c>
      <c r="F234" s="113" t="s">
        <v>598</v>
      </c>
      <c r="G234" s="113" t="s">
        <v>599</v>
      </c>
      <c r="H234" s="113" t="s">
        <v>2266</v>
      </c>
      <c r="I234" s="113" t="s">
        <v>2267</v>
      </c>
      <c r="J234" s="113">
        <v>0</v>
      </c>
      <c r="K234" s="113">
        <v>0</v>
      </c>
      <c r="L234" s="113">
        <v>0</v>
      </c>
      <c r="M234" s="113">
        <v>0</v>
      </c>
      <c r="N234" s="113">
        <v>0</v>
      </c>
      <c r="O234" s="113">
        <v>0</v>
      </c>
      <c r="P234" s="113">
        <v>0</v>
      </c>
      <c r="Q234" s="113">
        <v>0</v>
      </c>
      <c r="R234" s="113"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v>0</v>
      </c>
      <c r="X234" s="113">
        <v>0</v>
      </c>
      <c r="Y234" s="113">
        <v>0</v>
      </c>
      <c r="Z234" s="113">
        <v>0</v>
      </c>
      <c r="AA234" s="113">
        <v>0</v>
      </c>
      <c r="AB234" s="113">
        <v>0</v>
      </c>
      <c r="AC234" s="113">
        <v>0</v>
      </c>
      <c r="AD234" s="113">
        <v>0</v>
      </c>
      <c r="AE234" s="113">
        <v>0</v>
      </c>
      <c r="AF234" s="113">
        <v>0</v>
      </c>
      <c r="AG234" s="113">
        <v>0</v>
      </c>
    </row>
    <row r="235" spans="1:33">
      <c r="A235" s="113" t="s">
        <v>18690</v>
      </c>
      <c r="B235" s="113" t="s">
        <v>18712</v>
      </c>
      <c r="C235" s="113" t="s">
        <v>1382</v>
      </c>
      <c r="D235" s="113" t="s">
        <v>1332</v>
      </c>
      <c r="E235" s="113" t="s">
        <v>630</v>
      </c>
      <c r="F235" s="113" t="s">
        <v>598</v>
      </c>
      <c r="G235" s="113" t="s">
        <v>599</v>
      </c>
      <c r="H235" s="113" t="s">
        <v>2266</v>
      </c>
      <c r="I235" s="113" t="s">
        <v>2267</v>
      </c>
      <c r="J235" s="113">
        <v>0</v>
      </c>
      <c r="K235" s="113">
        <v>0</v>
      </c>
      <c r="L235" s="113">
        <v>0</v>
      </c>
      <c r="M235" s="113">
        <v>0</v>
      </c>
      <c r="N235" s="113">
        <v>0</v>
      </c>
      <c r="O235" s="113">
        <v>0</v>
      </c>
      <c r="P235" s="113">
        <v>0</v>
      </c>
      <c r="Q235" s="113">
        <v>0</v>
      </c>
      <c r="R235" s="113">
        <v>0</v>
      </c>
      <c r="S235" s="113">
        <v>0</v>
      </c>
      <c r="T235" s="113">
        <v>0</v>
      </c>
      <c r="U235" s="113">
        <v>0</v>
      </c>
      <c r="V235" s="113">
        <v>0</v>
      </c>
      <c r="W235" s="113">
        <v>0</v>
      </c>
      <c r="X235" s="113">
        <v>0</v>
      </c>
      <c r="Y235" s="113">
        <v>0</v>
      </c>
      <c r="Z235" s="113">
        <v>0</v>
      </c>
      <c r="AA235" s="113">
        <v>0</v>
      </c>
      <c r="AB235" s="113">
        <v>0</v>
      </c>
      <c r="AC235" s="113">
        <v>0</v>
      </c>
      <c r="AD235" s="113">
        <v>0</v>
      </c>
      <c r="AE235" s="113">
        <v>0</v>
      </c>
      <c r="AF235" s="113">
        <v>0</v>
      </c>
      <c r="AG235" s="113">
        <v>0</v>
      </c>
    </row>
    <row r="236" spans="1:33">
      <c r="A236" s="113" t="s">
        <v>18690</v>
      </c>
      <c r="B236" s="113" t="s">
        <v>18713</v>
      </c>
      <c r="C236" s="113" t="s">
        <v>1382</v>
      </c>
      <c r="D236" s="113" t="s">
        <v>1350</v>
      </c>
      <c r="E236" s="113" t="s">
        <v>672</v>
      </c>
      <c r="F236" s="113" t="s">
        <v>598</v>
      </c>
      <c r="G236" s="113" t="s">
        <v>599</v>
      </c>
      <c r="H236" s="113" t="s">
        <v>2266</v>
      </c>
      <c r="I236" s="113" t="s">
        <v>2267</v>
      </c>
      <c r="J236" s="113">
        <v>0</v>
      </c>
      <c r="K236" s="113">
        <v>0</v>
      </c>
      <c r="L236" s="113">
        <v>0</v>
      </c>
      <c r="M236" s="113">
        <v>0</v>
      </c>
      <c r="N236" s="113">
        <v>0</v>
      </c>
      <c r="O236" s="113">
        <v>0</v>
      </c>
      <c r="P236" s="113">
        <v>0</v>
      </c>
      <c r="Q236" s="113">
        <v>0</v>
      </c>
      <c r="R236" s="113"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v>0</v>
      </c>
      <c r="Z236" s="113">
        <v>0</v>
      </c>
      <c r="AA236" s="113">
        <v>0</v>
      </c>
      <c r="AB236" s="113">
        <v>0</v>
      </c>
      <c r="AC236" s="113">
        <v>0</v>
      </c>
      <c r="AD236" s="113">
        <v>0</v>
      </c>
      <c r="AE236" s="113">
        <v>0</v>
      </c>
      <c r="AF236" s="113">
        <v>0</v>
      </c>
      <c r="AG236" s="113">
        <v>0</v>
      </c>
    </row>
    <row r="237" spans="1:33">
      <c r="A237" s="113" t="s">
        <v>18690</v>
      </c>
      <c r="B237" s="113" t="s">
        <v>18714</v>
      </c>
      <c r="C237" s="113" t="s">
        <v>1382</v>
      </c>
      <c r="D237" s="113" t="s">
        <v>1350</v>
      </c>
      <c r="E237" s="113" t="s">
        <v>597</v>
      </c>
      <c r="F237" s="113" t="s">
        <v>598</v>
      </c>
      <c r="G237" s="113" t="s">
        <v>599</v>
      </c>
      <c r="H237" s="113" t="s">
        <v>2266</v>
      </c>
      <c r="I237" s="113" t="s">
        <v>2267</v>
      </c>
      <c r="J237" s="113">
        <v>0</v>
      </c>
      <c r="K237" s="113">
        <v>0</v>
      </c>
      <c r="L237" s="113">
        <v>0</v>
      </c>
      <c r="M237" s="113">
        <v>0</v>
      </c>
      <c r="N237" s="113">
        <v>0</v>
      </c>
      <c r="O237" s="113">
        <v>0</v>
      </c>
      <c r="P237" s="113">
        <v>0</v>
      </c>
      <c r="Q237" s="113">
        <v>0</v>
      </c>
      <c r="R237" s="113"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v>0</v>
      </c>
      <c r="Z237" s="113">
        <v>0</v>
      </c>
      <c r="AA237" s="113">
        <v>0</v>
      </c>
      <c r="AB237" s="113">
        <v>0</v>
      </c>
      <c r="AC237" s="113">
        <v>0</v>
      </c>
      <c r="AD237" s="113">
        <v>0</v>
      </c>
      <c r="AE237" s="113">
        <v>0</v>
      </c>
      <c r="AF237" s="113">
        <v>0</v>
      </c>
      <c r="AG237" s="113">
        <v>0</v>
      </c>
    </row>
    <row r="238" spans="1:33">
      <c r="A238" s="113" t="s">
        <v>18690</v>
      </c>
      <c r="B238" s="113" t="s">
        <v>18675</v>
      </c>
      <c r="C238" s="113" t="s">
        <v>1382</v>
      </c>
      <c r="D238" s="113" t="s">
        <v>1435</v>
      </c>
      <c r="E238" s="113" t="s">
        <v>973</v>
      </c>
      <c r="F238" s="113" t="s">
        <v>598</v>
      </c>
      <c r="G238" s="113" t="s">
        <v>599</v>
      </c>
      <c r="H238" s="113" t="s">
        <v>2266</v>
      </c>
      <c r="I238" s="113" t="s">
        <v>2267</v>
      </c>
      <c r="J238" s="113">
        <v>0</v>
      </c>
      <c r="K238" s="113">
        <v>0</v>
      </c>
      <c r="L238" s="113">
        <v>0</v>
      </c>
      <c r="M238" s="113">
        <v>0</v>
      </c>
      <c r="N238" s="113">
        <v>0</v>
      </c>
      <c r="O238" s="113">
        <v>0</v>
      </c>
      <c r="P238" s="113">
        <v>0</v>
      </c>
      <c r="Q238" s="113">
        <v>0</v>
      </c>
      <c r="R238" s="113"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v>0</v>
      </c>
      <c r="Z238" s="113">
        <v>0</v>
      </c>
      <c r="AA238" s="113">
        <v>0</v>
      </c>
      <c r="AB238" s="113">
        <v>0</v>
      </c>
      <c r="AC238" s="113">
        <v>0</v>
      </c>
      <c r="AD238" s="113">
        <v>0</v>
      </c>
      <c r="AE238" s="113">
        <v>0</v>
      </c>
      <c r="AF238" s="113">
        <v>0</v>
      </c>
      <c r="AG238" s="113">
        <v>0</v>
      </c>
    </row>
    <row r="239" spans="1:33">
      <c r="A239" s="113" t="s">
        <v>18690</v>
      </c>
      <c r="B239" s="113" t="s">
        <v>18676</v>
      </c>
      <c r="C239" s="113" t="s">
        <v>1382</v>
      </c>
      <c r="D239" s="113" t="s">
        <v>1354</v>
      </c>
      <c r="E239" s="113" t="s">
        <v>973</v>
      </c>
      <c r="F239" s="113" t="s">
        <v>598</v>
      </c>
      <c r="G239" s="113" t="s">
        <v>599</v>
      </c>
      <c r="H239" s="113" t="s">
        <v>2266</v>
      </c>
      <c r="I239" s="113" t="s">
        <v>2267</v>
      </c>
      <c r="J239" s="113">
        <v>0</v>
      </c>
      <c r="K239" s="113">
        <v>0</v>
      </c>
      <c r="L239" s="113">
        <v>0</v>
      </c>
      <c r="M239" s="113">
        <v>0</v>
      </c>
      <c r="N239" s="113">
        <v>0</v>
      </c>
      <c r="O239" s="113">
        <v>0</v>
      </c>
      <c r="P239" s="113">
        <v>0</v>
      </c>
      <c r="Q239" s="113">
        <v>0</v>
      </c>
      <c r="R239" s="113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0</v>
      </c>
      <c r="Z239" s="113">
        <v>0</v>
      </c>
      <c r="AA239" s="113">
        <v>0</v>
      </c>
      <c r="AB239" s="113">
        <v>0</v>
      </c>
      <c r="AC239" s="113">
        <v>0</v>
      </c>
      <c r="AD239" s="113">
        <v>0</v>
      </c>
      <c r="AE239" s="113">
        <v>0</v>
      </c>
      <c r="AF239" s="113">
        <v>0</v>
      </c>
      <c r="AG239" s="113">
        <v>0</v>
      </c>
    </row>
    <row r="240" spans="1:33">
      <c r="A240" s="113" t="s">
        <v>18690</v>
      </c>
      <c r="B240" s="113" t="s">
        <v>18715</v>
      </c>
      <c r="C240" s="113" t="s">
        <v>1382</v>
      </c>
      <c r="D240" s="113" t="s">
        <v>1365</v>
      </c>
      <c r="E240" s="113" t="s">
        <v>973</v>
      </c>
      <c r="F240" s="113" t="s">
        <v>598</v>
      </c>
      <c r="G240" s="113" t="s">
        <v>599</v>
      </c>
      <c r="H240" s="113" t="s">
        <v>2266</v>
      </c>
      <c r="I240" s="113" t="s">
        <v>2267</v>
      </c>
      <c r="J240" s="113">
        <v>0</v>
      </c>
      <c r="K240" s="113">
        <v>0</v>
      </c>
      <c r="L240" s="113">
        <v>0</v>
      </c>
      <c r="M240" s="113">
        <v>0</v>
      </c>
      <c r="N240" s="113">
        <v>0</v>
      </c>
      <c r="O240" s="113">
        <v>0</v>
      </c>
      <c r="P240" s="113">
        <v>0</v>
      </c>
      <c r="Q240" s="113">
        <v>0</v>
      </c>
      <c r="R240" s="113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>
        <v>0</v>
      </c>
      <c r="AA240" s="113">
        <v>0</v>
      </c>
      <c r="AB240" s="113">
        <v>0</v>
      </c>
      <c r="AC240" s="113">
        <v>0</v>
      </c>
      <c r="AD240" s="113">
        <v>0</v>
      </c>
      <c r="AE240" s="113">
        <v>0</v>
      </c>
      <c r="AF240" s="113">
        <v>0</v>
      </c>
      <c r="AG240" s="113">
        <v>0</v>
      </c>
    </row>
    <row r="241" spans="1:33">
      <c r="A241" s="113" t="s">
        <v>18690</v>
      </c>
      <c r="B241" s="113" t="s">
        <v>18716</v>
      </c>
      <c r="C241" s="113" t="s">
        <v>1382</v>
      </c>
      <c r="D241" s="113" t="s">
        <v>1365</v>
      </c>
      <c r="E241" s="113" t="s">
        <v>678</v>
      </c>
      <c r="F241" s="113" t="s">
        <v>598</v>
      </c>
      <c r="G241" s="113" t="s">
        <v>599</v>
      </c>
      <c r="H241" s="113" t="s">
        <v>2266</v>
      </c>
      <c r="I241" s="113" t="s">
        <v>2267</v>
      </c>
      <c r="J241" s="113">
        <v>0</v>
      </c>
      <c r="K241" s="113">
        <v>0</v>
      </c>
      <c r="L241" s="113">
        <v>0</v>
      </c>
      <c r="M241" s="113">
        <v>0</v>
      </c>
      <c r="N241" s="113">
        <v>0</v>
      </c>
      <c r="O241" s="113">
        <v>0</v>
      </c>
      <c r="P241" s="113">
        <v>0</v>
      </c>
      <c r="Q241" s="113">
        <v>0</v>
      </c>
      <c r="R241" s="113"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v>0</v>
      </c>
      <c r="X241" s="113">
        <v>0</v>
      </c>
      <c r="Y241" s="113">
        <v>0</v>
      </c>
      <c r="Z241" s="113">
        <v>0</v>
      </c>
      <c r="AA241" s="113">
        <v>0</v>
      </c>
      <c r="AB241" s="113">
        <v>0</v>
      </c>
      <c r="AC241" s="113">
        <v>0</v>
      </c>
      <c r="AD241" s="113">
        <v>0</v>
      </c>
      <c r="AE241" s="113">
        <v>0</v>
      </c>
      <c r="AF241" s="113">
        <v>0</v>
      </c>
      <c r="AG241" s="113">
        <v>0</v>
      </c>
    </row>
    <row r="242" spans="1:33">
      <c r="A242" s="113" t="s">
        <v>18690</v>
      </c>
      <c r="B242" s="113" t="s">
        <v>2268</v>
      </c>
      <c r="C242" s="113" t="s">
        <v>1382</v>
      </c>
      <c r="D242" s="113" t="s">
        <v>648</v>
      </c>
      <c r="E242" s="113" t="s">
        <v>920</v>
      </c>
      <c r="F242" s="113" t="s">
        <v>598</v>
      </c>
      <c r="G242" s="113" t="s">
        <v>599</v>
      </c>
      <c r="H242" s="113" t="s">
        <v>2266</v>
      </c>
      <c r="I242" s="113" t="s">
        <v>2267</v>
      </c>
      <c r="J242" s="113">
        <v>2.0639999999999999E-2</v>
      </c>
      <c r="K242" s="113">
        <v>2.0639999999999999E-2</v>
      </c>
      <c r="L242" s="113">
        <v>2.0639999999999999E-2</v>
      </c>
      <c r="M242" s="113">
        <v>2.0639999999999999E-2</v>
      </c>
      <c r="N242" s="113">
        <v>2.0639999999999999E-2</v>
      </c>
      <c r="O242" s="113">
        <v>2.0639999999999999E-2</v>
      </c>
      <c r="P242" s="113">
        <v>2.0639999999999999E-2</v>
      </c>
      <c r="Q242" s="113">
        <v>2.0639999999999999E-2</v>
      </c>
      <c r="R242" s="113">
        <v>2.0639999999999999E-2</v>
      </c>
      <c r="S242" s="113">
        <v>2.0639999999999999E-2</v>
      </c>
      <c r="T242" s="113">
        <v>2.0639999999999999E-2</v>
      </c>
      <c r="U242" s="113">
        <v>2.0639999999999999E-2</v>
      </c>
      <c r="V242" s="113">
        <v>2.0639999999999999E-2</v>
      </c>
      <c r="W242" s="113">
        <v>2.0639999999999999E-2</v>
      </c>
      <c r="X242" s="113">
        <v>2.0639999999999999E-2</v>
      </c>
      <c r="Y242" s="113">
        <v>2.0639999999999999E-2</v>
      </c>
      <c r="Z242" s="113">
        <v>2.0639999999999999E-2</v>
      </c>
      <c r="AA242" s="113">
        <v>2.0639999999999999E-2</v>
      </c>
      <c r="AB242" s="113">
        <v>2.0639999999999999E-2</v>
      </c>
      <c r="AC242" s="113">
        <v>2.0639999999999999E-2</v>
      </c>
      <c r="AD242" s="113">
        <v>2.0639999999999999E-2</v>
      </c>
      <c r="AE242" s="113">
        <v>2.0639999999999999E-2</v>
      </c>
      <c r="AF242" s="113">
        <v>2.0639999999999999E-2</v>
      </c>
      <c r="AG242" s="113">
        <v>2.0639999999999999E-2</v>
      </c>
    </row>
    <row r="243" spans="1:33">
      <c r="A243" s="113" t="s">
        <v>18690</v>
      </c>
      <c r="B243" s="113" t="s">
        <v>18682</v>
      </c>
      <c r="C243" s="113" t="s">
        <v>1382</v>
      </c>
      <c r="D243" s="113" t="s">
        <v>648</v>
      </c>
      <c r="E243" s="113" t="s">
        <v>973</v>
      </c>
      <c r="F243" s="113" t="s">
        <v>598</v>
      </c>
      <c r="G243" s="113" t="s">
        <v>599</v>
      </c>
      <c r="H243" s="113" t="s">
        <v>2266</v>
      </c>
      <c r="I243" s="113" t="s">
        <v>2267</v>
      </c>
      <c r="J243" s="113">
        <v>0</v>
      </c>
      <c r="K243" s="113">
        <v>0</v>
      </c>
      <c r="L243" s="113">
        <v>0</v>
      </c>
      <c r="M243" s="113">
        <v>0</v>
      </c>
      <c r="N243" s="113">
        <v>0</v>
      </c>
      <c r="O243" s="113">
        <v>0</v>
      </c>
      <c r="P243" s="113">
        <v>0</v>
      </c>
      <c r="Q243" s="113">
        <v>0</v>
      </c>
      <c r="R243" s="113">
        <v>0</v>
      </c>
      <c r="S243" s="113">
        <v>0</v>
      </c>
      <c r="T243" s="113">
        <v>0</v>
      </c>
      <c r="U243" s="113">
        <v>0</v>
      </c>
      <c r="V243" s="113">
        <v>0</v>
      </c>
      <c r="W243" s="113">
        <v>0</v>
      </c>
      <c r="X243" s="113">
        <v>0</v>
      </c>
      <c r="Y243" s="113">
        <v>0</v>
      </c>
      <c r="Z243" s="113">
        <v>0</v>
      </c>
      <c r="AA243" s="113">
        <v>0</v>
      </c>
      <c r="AB243" s="113">
        <v>0</v>
      </c>
      <c r="AC243" s="113">
        <v>0</v>
      </c>
      <c r="AD243" s="113">
        <v>0</v>
      </c>
      <c r="AE243" s="113">
        <v>0</v>
      </c>
      <c r="AF243" s="113">
        <v>0</v>
      </c>
      <c r="AG243" s="113">
        <v>0</v>
      </c>
    </row>
    <row r="244" spans="1:33">
      <c r="A244" s="113" t="s">
        <v>18690</v>
      </c>
      <c r="B244" s="113" t="s">
        <v>18717</v>
      </c>
      <c r="C244" s="113" t="s">
        <v>1382</v>
      </c>
      <c r="D244" s="113" t="s">
        <v>648</v>
      </c>
      <c r="E244" s="113" t="s">
        <v>642</v>
      </c>
      <c r="F244" s="113" t="s">
        <v>598</v>
      </c>
      <c r="G244" s="113" t="s">
        <v>599</v>
      </c>
      <c r="H244" s="113" t="s">
        <v>2266</v>
      </c>
      <c r="I244" s="113" t="s">
        <v>2267</v>
      </c>
      <c r="J244" s="234">
        <v>2.1E-7</v>
      </c>
      <c r="K244" s="234">
        <v>2.1E-7</v>
      </c>
      <c r="L244" s="234">
        <v>2.1E-7</v>
      </c>
      <c r="M244" s="234">
        <v>2.1E-7</v>
      </c>
      <c r="N244" s="234">
        <v>2.1E-7</v>
      </c>
      <c r="O244" s="234">
        <v>2.1E-7</v>
      </c>
      <c r="P244" s="234">
        <v>2.1E-7</v>
      </c>
      <c r="Q244" s="234">
        <v>2.1E-7</v>
      </c>
      <c r="R244" s="234">
        <v>2.1E-7</v>
      </c>
      <c r="S244" s="234">
        <v>2.1E-7</v>
      </c>
      <c r="T244" s="234">
        <v>2.1E-7</v>
      </c>
      <c r="U244" s="234">
        <v>2.1E-7</v>
      </c>
      <c r="V244" s="234">
        <v>2.1E-7</v>
      </c>
      <c r="W244" s="234">
        <v>2.1E-7</v>
      </c>
      <c r="X244" s="234">
        <v>2.1E-7</v>
      </c>
      <c r="Y244" s="234">
        <v>2.1E-7</v>
      </c>
      <c r="Z244" s="234">
        <v>2.1E-7</v>
      </c>
      <c r="AA244" s="234">
        <v>2.1E-7</v>
      </c>
      <c r="AB244" s="234">
        <v>2.1E-7</v>
      </c>
      <c r="AC244" s="234">
        <v>2.1E-7</v>
      </c>
      <c r="AD244" s="234">
        <v>2.1E-7</v>
      </c>
      <c r="AE244" s="234">
        <v>2.1E-7</v>
      </c>
      <c r="AF244" s="234">
        <v>2.1E-7</v>
      </c>
      <c r="AG244" s="234">
        <v>2.1E-7</v>
      </c>
    </row>
    <row r="245" spans="1:33">
      <c r="A245" s="113" t="s">
        <v>18690</v>
      </c>
      <c r="B245" s="113" t="s">
        <v>18718</v>
      </c>
      <c r="C245" s="113" t="s">
        <v>1382</v>
      </c>
      <c r="D245" s="113" t="s">
        <v>648</v>
      </c>
      <c r="E245" s="113" t="s">
        <v>1973</v>
      </c>
      <c r="F245" s="113" t="s">
        <v>598</v>
      </c>
      <c r="G245" s="113" t="s">
        <v>599</v>
      </c>
      <c r="H245" s="113" t="s">
        <v>2266</v>
      </c>
      <c r="I245" s="113" t="s">
        <v>2267</v>
      </c>
      <c r="J245" s="113">
        <v>0</v>
      </c>
      <c r="K245" s="113">
        <v>0</v>
      </c>
      <c r="L245" s="113">
        <v>0</v>
      </c>
      <c r="M245" s="113">
        <v>0</v>
      </c>
      <c r="N245" s="113">
        <v>0</v>
      </c>
      <c r="O245" s="113">
        <v>0</v>
      </c>
      <c r="P245" s="113">
        <v>0</v>
      </c>
      <c r="Q245" s="113">
        <v>0</v>
      </c>
      <c r="R245" s="113"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>
        <v>0</v>
      </c>
      <c r="AA245" s="113">
        <v>0</v>
      </c>
      <c r="AB245" s="113">
        <v>0</v>
      </c>
      <c r="AC245" s="113">
        <v>0</v>
      </c>
      <c r="AD245" s="113">
        <v>0</v>
      </c>
      <c r="AE245" s="113">
        <v>0</v>
      </c>
      <c r="AF245" s="113">
        <v>0</v>
      </c>
      <c r="AG245" s="113">
        <v>0</v>
      </c>
    </row>
    <row r="246" spans="1:33">
      <c r="A246" s="113" t="s">
        <v>18690</v>
      </c>
      <c r="B246" s="113" t="s">
        <v>18683</v>
      </c>
      <c r="C246" s="113" t="s">
        <v>1382</v>
      </c>
      <c r="D246" s="113" t="s">
        <v>648</v>
      </c>
      <c r="E246" s="113" t="s">
        <v>611</v>
      </c>
      <c r="F246" s="113" t="s">
        <v>598</v>
      </c>
      <c r="G246" s="113" t="s">
        <v>599</v>
      </c>
      <c r="H246" s="113" t="s">
        <v>2266</v>
      </c>
      <c r="I246" s="113" t="s">
        <v>2267</v>
      </c>
      <c r="J246" s="113">
        <v>0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0</v>
      </c>
      <c r="R246" s="113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v>0</v>
      </c>
      <c r="Z246" s="113">
        <v>0</v>
      </c>
      <c r="AA246" s="113">
        <v>0</v>
      </c>
      <c r="AB246" s="113">
        <v>0</v>
      </c>
      <c r="AC246" s="113">
        <v>0</v>
      </c>
      <c r="AD246" s="113">
        <v>0</v>
      </c>
      <c r="AE246" s="113">
        <v>0</v>
      </c>
      <c r="AF246" s="113">
        <v>0</v>
      </c>
      <c r="AG246" s="113">
        <v>0</v>
      </c>
    </row>
    <row r="247" spans="1:33">
      <c r="A247" s="113" t="s">
        <v>18690</v>
      </c>
      <c r="B247" s="113" t="s">
        <v>18719</v>
      </c>
      <c r="C247" s="113" t="s">
        <v>1382</v>
      </c>
      <c r="D247" s="113" t="s">
        <v>648</v>
      </c>
      <c r="E247" s="113" t="s">
        <v>1464</v>
      </c>
      <c r="F247" s="113" t="s">
        <v>598</v>
      </c>
      <c r="G247" s="113" t="s">
        <v>599</v>
      </c>
      <c r="H247" s="113" t="s">
        <v>2266</v>
      </c>
      <c r="I247" s="113" t="s">
        <v>2267</v>
      </c>
      <c r="J247" s="113">
        <v>0</v>
      </c>
      <c r="K247" s="113">
        <v>0</v>
      </c>
      <c r="L247" s="113">
        <v>0</v>
      </c>
      <c r="M247" s="113">
        <v>0</v>
      </c>
      <c r="N247" s="113">
        <v>0</v>
      </c>
      <c r="O247" s="113">
        <v>0</v>
      </c>
      <c r="P247" s="113">
        <v>0</v>
      </c>
      <c r="Q247" s="113">
        <v>0</v>
      </c>
      <c r="R247" s="113"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>
        <v>0</v>
      </c>
      <c r="AA247" s="113">
        <v>0</v>
      </c>
      <c r="AB247" s="113">
        <v>0</v>
      </c>
      <c r="AC247" s="113">
        <v>0</v>
      </c>
      <c r="AD247" s="113">
        <v>0</v>
      </c>
      <c r="AE247" s="113">
        <v>0</v>
      </c>
      <c r="AF247" s="113">
        <v>0</v>
      </c>
      <c r="AG247" s="113">
        <v>0</v>
      </c>
    </row>
    <row r="248" spans="1:33">
      <c r="A248" s="113" t="s">
        <v>18690</v>
      </c>
      <c r="B248" s="113" t="s">
        <v>18686</v>
      </c>
      <c r="C248" s="113" t="s">
        <v>1382</v>
      </c>
      <c r="D248" s="113" t="s">
        <v>648</v>
      </c>
      <c r="E248" s="113" t="s">
        <v>1467</v>
      </c>
      <c r="F248" s="113" t="s">
        <v>598</v>
      </c>
      <c r="G248" s="113" t="s">
        <v>599</v>
      </c>
      <c r="H248" s="113" t="s">
        <v>2266</v>
      </c>
      <c r="I248" s="113" t="s">
        <v>2267</v>
      </c>
      <c r="J248" s="113">
        <v>0</v>
      </c>
      <c r="K248" s="113">
        <v>0</v>
      </c>
      <c r="L248" s="113">
        <v>0</v>
      </c>
      <c r="M248" s="113">
        <v>0</v>
      </c>
      <c r="N248" s="113">
        <v>0</v>
      </c>
      <c r="O248" s="113">
        <v>0</v>
      </c>
      <c r="P248" s="113">
        <v>0</v>
      </c>
      <c r="Q248" s="113">
        <v>0</v>
      </c>
      <c r="R248" s="113"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v>0</v>
      </c>
      <c r="X248" s="113">
        <v>0</v>
      </c>
      <c r="Y248" s="113">
        <v>0</v>
      </c>
      <c r="Z248" s="113">
        <v>0</v>
      </c>
      <c r="AA248" s="113">
        <v>0</v>
      </c>
      <c r="AB248" s="113">
        <v>0</v>
      </c>
      <c r="AC248" s="113">
        <v>0</v>
      </c>
      <c r="AD248" s="113">
        <v>0</v>
      </c>
      <c r="AE248" s="113">
        <v>0</v>
      </c>
      <c r="AF248" s="113">
        <v>0</v>
      </c>
      <c r="AG248" s="113">
        <v>0</v>
      </c>
    </row>
    <row r="249" spans="1:33">
      <c r="A249" s="113" t="s">
        <v>18690</v>
      </c>
      <c r="B249" s="113" t="s">
        <v>18720</v>
      </c>
      <c r="C249" s="113" t="s">
        <v>1382</v>
      </c>
      <c r="D249" s="113" t="s">
        <v>648</v>
      </c>
      <c r="E249" s="113" t="s">
        <v>1970</v>
      </c>
      <c r="F249" s="113" t="s">
        <v>598</v>
      </c>
      <c r="G249" s="113" t="s">
        <v>599</v>
      </c>
      <c r="H249" s="113" t="s">
        <v>2266</v>
      </c>
      <c r="I249" s="113" t="s">
        <v>2267</v>
      </c>
      <c r="J249" s="113">
        <v>0</v>
      </c>
      <c r="K249" s="113">
        <v>0</v>
      </c>
      <c r="L249" s="113">
        <v>0</v>
      </c>
      <c r="M249" s="113">
        <v>0</v>
      </c>
      <c r="N249" s="113">
        <v>0</v>
      </c>
      <c r="O249" s="113">
        <v>0</v>
      </c>
      <c r="P249" s="113">
        <v>0</v>
      </c>
      <c r="Q249" s="113">
        <v>0</v>
      </c>
      <c r="R249" s="113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>
        <v>0</v>
      </c>
      <c r="AA249" s="113">
        <v>0</v>
      </c>
      <c r="AB249" s="113">
        <v>0</v>
      </c>
      <c r="AC249" s="113">
        <v>0</v>
      </c>
      <c r="AD249" s="113">
        <v>0</v>
      </c>
      <c r="AE249" s="113">
        <v>0</v>
      </c>
      <c r="AF249" s="113">
        <v>0</v>
      </c>
      <c r="AG249" s="113">
        <v>0</v>
      </c>
    </row>
    <row r="250" spans="1:33">
      <c r="J250" s="281">
        <f>SUM(J196:J249)</f>
        <v>2.3582489999999998E-2</v>
      </c>
      <c r="K250" s="282">
        <f t="shared" ref="K250:AG250" si="28">SUM(K196:K249)</f>
        <v>2.3582489999999998E-2</v>
      </c>
      <c r="L250" s="282">
        <f t="shared" si="28"/>
        <v>2.3582489999999998E-2</v>
      </c>
      <c r="M250" s="282">
        <f t="shared" si="28"/>
        <v>2.3582489999999998E-2</v>
      </c>
      <c r="N250" s="282">
        <f t="shared" si="28"/>
        <v>2.3582489999999998E-2</v>
      </c>
      <c r="O250" s="282">
        <f t="shared" si="28"/>
        <v>2.3582489999999998E-2</v>
      </c>
      <c r="P250" s="282">
        <f t="shared" si="28"/>
        <v>2.3582489999999998E-2</v>
      </c>
      <c r="Q250" s="282">
        <f t="shared" si="28"/>
        <v>2.3582489999999998E-2</v>
      </c>
      <c r="R250" s="282">
        <f t="shared" si="28"/>
        <v>2.3582489999999998E-2</v>
      </c>
      <c r="S250" s="282">
        <f t="shared" si="28"/>
        <v>2.3582489999999998E-2</v>
      </c>
      <c r="T250" s="282">
        <f t="shared" si="28"/>
        <v>2.3582489999999998E-2</v>
      </c>
      <c r="U250" s="282">
        <f t="shared" si="28"/>
        <v>2.3582489999999998E-2</v>
      </c>
      <c r="V250" s="282">
        <f t="shared" si="28"/>
        <v>2.3582489999999998E-2</v>
      </c>
      <c r="W250" s="282">
        <f t="shared" si="28"/>
        <v>2.3582489999999998E-2</v>
      </c>
      <c r="X250" s="282">
        <f t="shared" si="28"/>
        <v>2.3582489999999998E-2</v>
      </c>
      <c r="Y250" s="282">
        <f t="shared" si="28"/>
        <v>2.3582489999999998E-2</v>
      </c>
      <c r="Z250" s="282">
        <f t="shared" si="28"/>
        <v>2.3582489999999998E-2</v>
      </c>
      <c r="AA250" s="282">
        <f t="shared" si="28"/>
        <v>2.3582489999999998E-2</v>
      </c>
      <c r="AB250" s="282">
        <f t="shared" si="28"/>
        <v>2.3582489999999998E-2</v>
      </c>
      <c r="AC250" s="282">
        <f t="shared" si="28"/>
        <v>2.3582489999999998E-2</v>
      </c>
      <c r="AD250" s="282">
        <f t="shared" si="28"/>
        <v>2.3582489999999998E-2</v>
      </c>
      <c r="AE250" s="282">
        <f t="shared" si="28"/>
        <v>2.3582489999999998E-2</v>
      </c>
      <c r="AF250" s="282">
        <f t="shared" si="28"/>
        <v>2.3582489999999998E-2</v>
      </c>
      <c r="AG250" s="283">
        <f t="shared" si="28"/>
        <v>2.3582489999999998E-2</v>
      </c>
    </row>
    <row r="251" spans="1:33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113" t="s">
        <v>18837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85" t="s">
        <v>569</v>
      </c>
      <c r="B253" s="285" t="s">
        <v>570</v>
      </c>
      <c r="C253" s="285" t="s">
        <v>571</v>
      </c>
      <c r="D253" s="285" t="s">
        <v>572</v>
      </c>
      <c r="E253" s="285" t="s">
        <v>573</v>
      </c>
      <c r="F253" s="285" t="s">
        <v>574</v>
      </c>
      <c r="G253" s="285" t="s">
        <v>575</v>
      </c>
      <c r="H253" s="285" t="s">
        <v>576</v>
      </c>
      <c r="I253" s="285" t="s">
        <v>577</v>
      </c>
      <c r="J253" s="285">
        <v>2023</v>
      </c>
      <c r="K253" s="285">
        <v>2024</v>
      </c>
      <c r="L253" s="285">
        <v>2025</v>
      </c>
      <c r="M253" s="285">
        <v>2026</v>
      </c>
      <c r="N253" s="285">
        <v>2027</v>
      </c>
      <c r="O253" s="285">
        <v>2028</v>
      </c>
      <c r="P253" s="285">
        <v>2029</v>
      </c>
      <c r="Q253" s="285">
        <v>2030</v>
      </c>
      <c r="R253" s="285">
        <v>2031</v>
      </c>
      <c r="S253" s="285">
        <v>2032</v>
      </c>
      <c r="T253" s="285">
        <v>2033</v>
      </c>
      <c r="U253" s="285">
        <v>2034</v>
      </c>
      <c r="V253" s="285">
        <v>2035</v>
      </c>
      <c r="W253" s="285">
        <v>2036</v>
      </c>
      <c r="X253" s="285">
        <v>2037</v>
      </c>
      <c r="Y253" s="285">
        <v>2038</v>
      </c>
      <c r="Z253" s="285">
        <v>2039</v>
      </c>
      <c r="AA253" s="285">
        <v>2040</v>
      </c>
      <c r="AB253" s="285">
        <v>2041</v>
      </c>
      <c r="AC253" s="285">
        <v>2042</v>
      </c>
      <c r="AD253" s="285">
        <v>2043</v>
      </c>
      <c r="AE253" s="285">
        <v>2044</v>
      </c>
      <c r="AF253" s="285">
        <v>2045</v>
      </c>
      <c r="AG253" s="285">
        <v>2046</v>
      </c>
    </row>
    <row r="254" spans="1:33">
      <c r="A254" s="203" t="s">
        <v>18690</v>
      </c>
      <c r="B254" s="203" t="s">
        <v>2270</v>
      </c>
      <c r="C254" s="203" t="s">
        <v>710</v>
      </c>
      <c r="D254" s="203" t="s">
        <v>596</v>
      </c>
      <c r="E254" s="203" t="s">
        <v>597</v>
      </c>
      <c r="F254" s="203" t="s">
        <v>598</v>
      </c>
      <c r="G254" s="203" t="s">
        <v>599</v>
      </c>
      <c r="H254" s="203" t="s">
        <v>2266</v>
      </c>
      <c r="I254" s="203" t="s">
        <v>2267</v>
      </c>
      <c r="J254" s="203">
        <v>1.8237730000000001E-2</v>
      </c>
      <c r="K254" s="203">
        <v>1.8237730000000001E-2</v>
      </c>
      <c r="L254" s="203">
        <v>1.8237730000000001E-2</v>
      </c>
      <c r="M254" s="203">
        <v>1.8237730000000001E-2</v>
      </c>
      <c r="N254" s="203">
        <v>1.8237730000000001E-2</v>
      </c>
      <c r="O254" s="203">
        <v>1.8237730000000001E-2</v>
      </c>
      <c r="P254" s="203">
        <v>1.8237730000000001E-2</v>
      </c>
      <c r="Q254" s="203">
        <v>1.8237730000000001E-2</v>
      </c>
      <c r="R254" s="203">
        <v>1.8237730000000001E-2</v>
      </c>
      <c r="S254" s="203">
        <v>1.8237730000000001E-2</v>
      </c>
      <c r="T254" s="203">
        <v>1.8237730000000001E-2</v>
      </c>
      <c r="U254" s="203">
        <v>1.8237730000000001E-2</v>
      </c>
      <c r="V254" s="203">
        <v>1.8237730000000001E-2</v>
      </c>
      <c r="W254" s="203">
        <v>1.8237730000000001E-2</v>
      </c>
      <c r="X254" s="203">
        <v>1.8237730000000001E-2</v>
      </c>
      <c r="Y254" s="203">
        <v>1.8237730000000001E-2</v>
      </c>
      <c r="Z254" s="203">
        <v>1.8237730000000001E-2</v>
      </c>
      <c r="AA254" s="203">
        <v>1.8237730000000001E-2</v>
      </c>
      <c r="AB254" s="203">
        <v>1.8237730000000001E-2</v>
      </c>
      <c r="AC254" s="203">
        <v>1.8237730000000001E-2</v>
      </c>
      <c r="AD254" s="203">
        <v>1.8237730000000001E-2</v>
      </c>
      <c r="AE254" s="203">
        <v>1.8237730000000001E-2</v>
      </c>
      <c r="AF254" s="203">
        <v>1.8237730000000001E-2</v>
      </c>
      <c r="AG254" s="203">
        <v>1.8237730000000001E-2</v>
      </c>
    </row>
    <row r="255" spans="1:33">
      <c r="A255" s="203" t="s">
        <v>18690</v>
      </c>
      <c r="B255" s="203" t="s">
        <v>18691</v>
      </c>
      <c r="C255" s="203" t="s">
        <v>710</v>
      </c>
      <c r="D255" s="203" t="s">
        <v>596</v>
      </c>
      <c r="E255" s="203" t="s">
        <v>603</v>
      </c>
      <c r="F255" s="203" t="s">
        <v>598</v>
      </c>
      <c r="G255" s="203" t="s">
        <v>599</v>
      </c>
      <c r="H255" s="203" t="s">
        <v>2266</v>
      </c>
      <c r="I255" s="203" t="s">
        <v>2267</v>
      </c>
      <c r="J255" s="203">
        <v>0</v>
      </c>
      <c r="K255" s="203">
        <v>0</v>
      </c>
      <c r="L255" s="203">
        <v>0</v>
      </c>
      <c r="M255" s="203">
        <v>0</v>
      </c>
      <c r="N255" s="203">
        <v>0</v>
      </c>
      <c r="O255" s="203">
        <v>0</v>
      </c>
      <c r="P255" s="203">
        <v>0</v>
      </c>
      <c r="Q255" s="203">
        <v>0</v>
      </c>
      <c r="R255" s="203">
        <v>0</v>
      </c>
      <c r="S255" s="203">
        <v>0</v>
      </c>
      <c r="T255" s="203">
        <v>0</v>
      </c>
      <c r="U255" s="203">
        <v>0</v>
      </c>
      <c r="V255" s="203">
        <v>0</v>
      </c>
      <c r="W255" s="203">
        <v>0</v>
      </c>
      <c r="X255" s="203">
        <v>0</v>
      </c>
      <c r="Y255" s="203">
        <v>0</v>
      </c>
      <c r="Z255" s="203">
        <v>0</v>
      </c>
      <c r="AA255" s="203">
        <v>0</v>
      </c>
      <c r="AB255" s="203">
        <v>0</v>
      </c>
      <c r="AC255" s="203">
        <v>0</v>
      </c>
      <c r="AD255" s="203">
        <v>0</v>
      </c>
      <c r="AE255" s="203">
        <v>0</v>
      </c>
      <c r="AF255" s="203">
        <v>0</v>
      </c>
      <c r="AG255" s="203">
        <v>0</v>
      </c>
    </row>
    <row r="256" spans="1:33">
      <c r="A256" s="203" t="s">
        <v>18690</v>
      </c>
      <c r="B256" s="203" t="s">
        <v>2271</v>
      </c>
      <c r="C256" s="203" t="s">
        <v>710</v>
      </c>
      <c r="D256" s="203" t="s">
        <v>596</v>
      </c>
      <c r="E256" s="203" t="s">
        <v>605</v>
      </c>
      <c r="F256" s="203" t="s">
        <v>598</v>
      </c>
      <c r="G256" s="203" t="s">
        <v>599</v>
      </c>
      <c r="H256" s="203" t="s">
        <v>2266</v>
      </c>
      <c r="I256" s="203" t="s">
        <v>2267</v>
      </c>
      <c r="J256" s="203">
        <v>0</v>
      </c>
      <c r="K256" s="203">
        <v>0</v>
      </c>
      <c r="L256" s="203">
        <v>0</v>
      </c>
      <c r="M256" s="203">
        <v>0</v>
      </c>
      <c r="N256" s="203">
        <v>0</v>
      </c>
      <c r="O256" s="203">
        <v>0</v>
      </c>
      <c r="P256" s="203">
        <v>0</v>
      </c>
      <c r="Q256" s="203">
        <v>0</v>
      </c>
      <c r="R256" s="203">
        <v>0</v>
      </c>
      <c r="S256" s="203">
        <v>0</v>
      </c>
      <c r="T256" s="203">
        <v>0</v>
      </c>
      <c r="U256" s="203">
        <v>0</v>
      </c>
      <c r="V256" s="203">
        <v>0</v>
      </c>
      <c r="W256" s="203">
        <v>0</v>
      </c>
      <c r="X256" s="203">
        <v>0</v>
      </c>
      <c r="Y256" s="203">
        <v>0</v>
      </c>
      <c r="Z256" s="203">
        <v>0</v>
      </c>
      <c r="AA256" s="203">
        <v>0</v>
      </c>
      <c r="AB256" s="203">
        <v>0</v>
      </c>
      <c r="AC256" s="203">
        <v>0</v>
      </c>
      <c r="AD256" s="203">
        <v>0</v>
      </c>
      <c r="AE256" s="203">
        <v>0</v>
      </c>
      <c r="AF256" s="203">
        <v>0</v>
      </c>
      <c r="AG256" s="203">
        <v>0</v>
      </c>
    </row>
    <row r="257" spans="1:33">
      <c r="A257" s="203" t="s">
        <v>18690</v>
      </c>
      <c r="B257" s="203" t="s">
        <v>2274</v>
      </c>
      <c r="C257" s="203" t="s">
        <v>710</v>
      </c>
      <c r="D257" s="203" t="s">
        <v>596</v>
      </c>
      <c r="E257" s="203" t="s">
        <v>669</v>
      </c>
      <c r="F257" s="203" t="s">
        <v>598</v>
      </c>
      <c r="G257" s="203" t="s">
        <v>599</v>
      </c>
      <c r="H257" s="203" t="s">
        <v>2266</v>
      </c>
      <c r="I257" s="203" t="s">
        <v>2267</v>
      </c>
      <c r="J257" s="203">
        <v>0</v>
      </c>
      <c r="K257" s="203">
        <v>0</v>
      </c>
      <c r="L257" s="203">
        <v>0</v>
      </c>
      <c r="M257" s="203">
        <v>0</v>
      </c>
      <c r="N257" s="203">
        <v>0</v>
      </c>
      <c r="O257" s="203">
        <v>0</v>
      </c>
      <c r="P257" s="203">
        <v>0</v>
      </c>
      <c r="Q257" s="203">
        <v>0</v>
      </c>
      <c r="R257" s="203">
        <v>0</v>
      </c>
      <c r="S257" s="203">
        <v>0</v>
      </c>
      <c r="T257" s="203">
        <v>0</v>
      </c>
      <c r="U257" s="203">
        <v>0</v>
      </c>
      <c r="V257" s="203">
        <v>0</v>
      </c>
      <c r="W257" s="203">
        <v>0</v>
      </c>
      <c r="X257" s="203">
        <v>0</v>
      </c>
      <c r="Y257" s="203">
        <v>0</v>
      </c>
      <c r="Z257" s="203">
        <v>0</v>
      </c>
      <c r="AA257" s="203">
        <v>0</v>
      </c>
      <c r="AB257" s="203">
        <v>0</v>
      </c>
      <c r="AC257" s="203">
        <v>0</v>
      </c>
      <c r="AD257" s="203">
        <v>0</v>
      </c>
      <c r="AE257" s="203">
        <v>0</v>
      </c>
      <c r="AF257" s="203">
        <v>0</v>
      </c>
      <c r="AG257" s="203">
        <v>0</v>
      </c>
    </row>
    <row r="258" spans="1:33">
      <c r="A258" s="203" t="s">
        <v>18690</v>
      </c>
      <c r="B258" s="203" t="s">
        <v>2275</v>
      </c>
      <c r="C258" s="203" t="s">
        <v>710</v>
      </c>
      <c r="D258" s="203" t="s">
        <v>671</v>
      </c>
      <c r="E258" s="203" t="s">
        <v>672</v>
      </c>
      <c r="F258" s="203" t="s">
        <v>598</v>
      </c>
      <c r="G258" s="203" t="s">
        <v>599</v>
      </c>
      <c r="H258" s="203" t="s">
        <v>2266</v>
      </c>
      <c r="I258" s="203" t="s">
        <v>2267</v>
      </c>
      <c r="J258" s="203">
        <v>1.95685E-3</v>
      </c>
      <c r="K258" s="203">
        <v>1.95685E-3</v>
      </c>
      <c r="L258" s="203">
        <v>1.95685E-3</v>
      </c>
      <c r="M258" s="203">
        <v>1.95685E-3</v>
      </c>
      <c r="N258" s="203">
        <v>1.95685E-3</v>
      </c>
      <c r="O258" s="203">
        <v>1.95685E-3</v>
      </c>
      <c r="P258" s="203">
        <v>1.95685E-3</v>
      </c>
      <c r="Q258" s="203">
        <v>1.95685E-3</v>
      </c>
      <c r="R258" s="203">
        <v>1.95685E-3</v>
      </c>
      <c r="S258" s="203">
        <v>1.95685E-3</v>
      </c>
      <c r="T258" s="203">
        <v>1.95685E-3</v>
      </c>
      <c r="U258" s="203">
        <v>1.95685E-3</v>
      </c>
      <c r="V258" s="203">
        <v>1.95685E-3</v>
      </c>
      <c r="W258" s="203">
        <v>1.95685E-3</v>
      </c>
      <c r="X258" s="203">
        <v>1.95685E-3</v>
      </c>
      <c r="Y258" s="203">
        <v>1.95685E-3</v>
      </c>
      <c r="Z258" s="203">
        <v>1.95685E-3</v>
      </c>
      <c r="AA258" s="203">
        <v>1.95685E-3</v>
      </c>
      <c r="AB258" s="203">
        <v>1.95685E-3</v>
      </c>
      <c r="AC258" s="203">
        <v>1.95685E-3</v>
      </c>
      <c r="AD258" s="203">
        <v>1.95685E-3</v>
      </c>
      <c r="AE258" s="203">
        <v>1.95685E-3</v>
      </c>
      <c r="AF258" s="203">
        <v>1.95685E-3</v>
      </c>
      <c r="AG258" s="203">
        <v>1.95685E-3</v>
      </c>
    </row>
    <row r="259" spans="1:33">
      <c r="A259" s="203" t="s">
        <v>18690</v>
      </c>
      <c r="B259" s="203" t="s">
        <v>2276</v>
      </c>
      <c r="C259" s="203" t="s">
        <v>710</v>
      </c>
      <c r="D259" s="203" t="s">
        <v>671</v>
      </c>
      <c r="E259" s="203" t="s">
        <v>597</v>
      </c>
      <c r="F259" s="203" t="s">
        <v>598</v>
      </c>
      <c r="G259" s="203" t="s">
        <v>599</v>
      </c>
      <c r="H259" s="203" t="s">
        <v>2266</v>
      </c>
      <c r="I259" s="203" t="s">
        <v>2267</v>
      </c>
      <c r="J259" s="203">
        <v>3.1918349999999998E-2</v>
      </c>
      <c r="K259" s="203">
        <v>3.1918349999999998E-2</v>
      </c>
      <c r="L259" s="203">
        <v>3.1918349999999998E-2</v>
      </c>
      <c r="M259" s="203">
        <v>3.1918349999999998E-2</v>
      </c>
      <c r="N259" s="203">
        <v>3.1918349999999998E-2</v>
      </c>
      <c r="O259" s="203">
        <v>3.1918349999999998E-2</v>
      </c>
      <c r="P259" s="203">
        <v>3.1918349999999998E-2</v>
      </c>
      <c r="Q259" s="203">
        <v>3.1918349999999998E-2</v>
      </c>
      <c r="R259" s="203">
        <v>3.1918349999999998E-2</v>
      </c>
      <c r="S259" s="203">
        <v>3.1918349999999998E-2</v>
      </c>
      <c r="T259" s="203">
        <v>3.1918349999999998E-2</v>
      </c>
      <c r="U259" s="203">
        <v>3.1918349999999998E-2</v>
      </c>
      <c r="V259" s="203">
        <v>3.1918349999999998E-2</v>
      </c>
      <c r="W259" s="203">
        <v>3.1918349999999998E-2</v>
      </c>
      <c r="X259" s="203">
        <v>3.1918349999999998E-2</v>
      </c>
      <c r="Y259" s="203">
        <v>3.1918349999999998E-2</v>
      </c>
      <c r="Z259" s="203">
        <v>3.1918349999999998E-2</v>
      </c>
      <c r="AA259" s="203">
        <v>3.1918349999999998E-2</v>
      </c>
      <c r="AB259" s="203">
        <v>3.1918349999999998E-2</v>
      </c>
      <c r="AC259" s="203">
        <v>3.1918349999999998E-2</v>
      </c>
      <c r="AD259" s="203">
        <v>3.1918349999999998E-2</v>
      </c>
      <c r="AE259" s="203">
        <v>3.1918349999999998E-2</v>
      </c>
      <c r="AF259" s="203">
        <v>3.1918349999999998E-2</v>
      </c>
      <c r="AG259" s="203">
        <v>3.1918349999999998E-2</v>
      </c>
    </row>
    <row r="260" spans="1:33">
      <c r="A260" s="203" t="s">
        <v>18690</v>
      </c>
      <c r="B260" s="203" t="s">
        <v>18692</v>
      </c>
      <c r="C260" s="203" t="s">
        <v>710</v>
      </c>
      <c r="D260" s="203" t="s">
        <v>671</v>
      </c>
      <c r="E260" s="203" t="s">
        <v>642</v>
      </c>
      <c r="F260" s="203" t="s">
        <v>598</v>
      </c>
      <c r="G260" s="203" t="s">
        <v>599</v>
      </c>
      <c r="H260" s="203" t="s">
        <v>2266</v>
      </c>
      <c r="I260" s="203" t="s">
        <v>2267</v>
      </c>
      <c r="J260" s="203">
        <v>0</v>
      </c>
      <c r="K260" s="203">
        <v>0</v>
      </c>
      <c r="L260" s="203">
        <v>0</v>
      </c>
      <c r="M260" s="203">
        <v>0</v>
      </c>
      <c r="N260" s="203">
        <v>0</v>
      </c>
      <c r="O260" s="203">
        <v>0</v>
      </c>
      <c r="P260" s="203">
        <v>0</v>
      </c>
      <c r="Q260" s="203">
        <v>0</v>
      </c>
      <c r="R260" s="203">
        <v>0</v>
      </c>
      <c r="S260" s="203">
        <v>0</v>
      </c>
      <c r="T260" s="203">
        <v>0</v>
      </c>
      <c r="U260" s="203">
        <v>0</v>
      </c>
      <c r="V260" s="203">
        <v>0</v>
      </c>
      <c r="W260" s="203">
        <v>0</v>
      </c>
      <c r="X260" s="203">
        <v>0</v>
      </c>
      <c r="Y260" s="203">
        <v>0</v>
      </c>
      <c r="Z260" s="203">
        <v>0</v>
      </c>
      <c r="AA260" s="203">
        <v>0</v>
      </c>
      <c r="AB260" s="203">
        <v>0</v>
      </c>
      <c r="AC260" s="203">
        <v>0</v>
      </c>
      <c r="AD260" s="203">
        <v>0</v>
      </c>
      <c r="AE260" s="203">
        <v>0</v>
      </c>
      <c r="AF260" s="203">
        <v>0</v>
      </c>
      <c r="AG260" s="203">
        <v>0</v>
      </c>
    </row>
    <row r="261" spans="1:33">
      <c r="A261" s="203" t="s">
        <v>18690</v>
      </c>
      <c r="B261" s="203" t="s">
        <v>2277</v>
      </c>
      <c r="C261" s="203" t="s">
        <v>710</v>
      </c>
      <c r="D261" s="203" t="s">
        <v>671</v>
      </c>
      <c r="E261" s="203" t="s">
        <v>605</v>
      </c>
      <c r="F261" s="203" t="s">
        <v>598</v>
      </c>
      <c r="G261" s="203" t="s">
        <v>599</v>
      </c>
      <c r="H261" s="203" t="s">
        <v>2266</v>
      </c>
      <c r="I261" s="203" t="s">
        <v>2267</v>
      </c>
      <c r="J261" s="203">
        <v>6.1311200000000003E-3</v>
      </c>
      <c r="K261" s="203">
        <v>6.1311200000000003E-3</v>
      </c>
      <c r="L261" s="203">
        <v>6.1311200000000003E-3</v>
      </c>
      <c r="M261" s="203">
        <v>6.1311200000000003E-3</v>
      </c>
      <c r="N261" s="203">
        <v>6.1311200000000003E-3</v>
      </c>
      <c r="O261" s="203">
        <v>6.1311200000000003E-3</v>
      </c>
      <c r="P261" s="203">
        <v>6.1311200000000003E-3</v>
      </c>
      <c r="Q261" s="203">
        <v>6.1311200000000003E-3</v>
      </c>
      <c r="R261" s="203">
        <v>6.1311200000000003E-3</v>
      </c>
      <c r="S261" s="203">
        <v>6.1311200000000003E-3</v>
      </c>
      <c r="T261" s="203">
        <v>6.1311200000000003E-3</v>
      </c>
      <c r="U261" s="203">
        <v>6.1311200000000003E-3</v>
      </c>
      <c r="V261" s="203">
        <v>6.1311200000000003E-3</v>
      </c>
      <c r="W261" s="203">
        <v>6.1311200000000003E-3</v>
      </c>
      <c r="X261" s="203">
        <v>6.1311200000000003E-3</v>
      </c>
      <c r="Y261" s="203">
        <v>6.1311200000000003E-3</v>
      </c>
      <c r="Z261" s="203">
        <v>6.1311200000000003E-3</v>
      </c>
      <c r="AA261" s="203">
        <v>6.1311200000000003E-3</v>
      </c>
      <c r="AB261" s="203">
        <v>6.1311200000000003E-3</v>
      </c>
      <c r="AC261" s="203">
        <v>6.1311200000000003E-3</v>
      </c>
      <c r="AD261" s="203">
        <v>6.1311200000000003E-3</v>
      </c>
      <c r="AE261" s="203">
        <v>6.1311200000000003E-3</v>
      </c>
      <c r="AF261" s="203">
        <v>6.1311200000000003E-3</v>
      </c>
      <c r="AG261" s="203">
        <v>6.1311200000000003E-3</v>
      </c>
    </row>
    <row r="262" spans="1:33">
      <c r="A262" s="203" t="s">
        <v>18690</v>
      </c>
      <c r="B262" s="203" t="s">
        <v>2278</v>
      </c>
      <c r="C262" s="203" t="s">
        <v>710</v>
      </c>
      <c r="D262" s="203" t="s">
        <v>671</v>
      </c>
      <c r="E262" s="203" t="s">
        <v>688</v>
      </c>
      <c r="F262" s="203" t="s">
        <v>598</v>
      </c>
      <c r="G262" s="203" t="s">
        <v>599</v>
      </c>
      <c r="H262" s="203" t="s">
        <v>2266</v>
      </c>
      <c r="I262" s="203" t="s">
        <v>2267</v>
      </c>
      <c r="J262" s="203">
        <v>0</v>
      </c>
      <c r="K262" s="203">
        <v>0</v>
      </c>
      <c r="L262" s="203">
        <v>0</v>
      </c>
      <c r="M262" s="203">
        <v>0</v>
      </c>
      <c r="N262" s="203">
        <v>0</v>
      </c>
      <c r="O262" s="203">
        <v>0</v>
      </c>
      <c r="P262" s="203">
        <v>0</v>
      </c>
      <c r="Q262" s="203">
        <v>0</v>
      </c>
      <c r="R262" s="203">
        <v>0</v>
      </c>
      <c r="S262" s="203">
        <v>0</v>
      </c>
      <c r="T262" s="203">
        <v>0</v>
      </c>
      <c r="U262" s="203">
        <v>0</v>
      </c>
      <c r="V262" s="203">
        <v>0</v>
      </c>
      <c r="W262" s="203">
        <v>0</v>
      </c>
      <c r="X262" s="203">
        <v>0</v>
      </c>
      <c r="Y262" s="203">
        <v>0</v>
      </c>
      <c r="Z262" s="203">
        <v>0</v>
      </c>
      <c r="AA262" s="203">
        <v>0</v>
      </c>
      <c r="AB262" s="203">
        <v>0</v>
      </c>
      <c r="AC262" s="203">
        <v>0</v>
      </c>
      <c r="AD262" s="203">
        <v>0</v>
      </c>
      <c r="AE262" s="203">
        <v>0</v>
      </c>
      <c r="AF262" s="203">
        <v>0</v>
      </c>
      <c r="AG262" s="203">
        <v>0</v>
      </c>
    </row>
    <row r="263" spans="1:33">
      <c r="A263" s="203" t="s">
        <v>18690</v>
      </c>
      <c r="B263" s="203" t="s">
        <v>2279</v>
      </c>
      <c r="C263" s="203" t="s">
        <v>710</v>
      </c>
      <c r="D263" s="203" t="s">
        <v>621</v>
      </c>
      <c r="E263" s="203" t="s">
        <v>597</v>
      </c>
      <c r="F263" s="203" t="s">
        <v>598</v>
      </c>
      <c r="G263" s="203" t="s">
        <v>599</v>
      </c>
      <c r="H263" s="203" t="s">
        <v>2266</v>
      </c>
      <c r="I263" s="203" t="s">
        <v>2267</v>
      </c>
      <c r="J263" s="203">
        <v>1.2629900000000001E-3</v>
      </c>
      <c r="K263" s="203">
        <v>1.2629900000000001E-3</v>
      </c>
      <c r="L263" s="203">
        <v>1.2629900000000001E-3</v>
      </c>
      <c r="M263" s="203">
        <v>1.2629900000000001E-3</v>
      </c>
      <c r="N263" s="203">
        <v>1.2629900000000001E-3</v>
      </c>
      <c r="O263" s="203">
        <v>1.2629900000000001E-3</v>
      </c>
      <c r="P263" s="203">
        <v>1.2629900000000001E-3</v>
      </c>
      <c r="Q263" s="203">
        <v>1.2629900000000001E-3</v>
      </c>
      <c r="R263" s="203">
        <v>1.2629900000000001E-3</v>
      </c>
      <c r="S263" s="203">
        <v>1.2629900000000001E-3</v>
      </c>
      <c r="T263" s="203">
        <v>1.2629900000000001E-3</v>
      </c>
      <c r="U263" s="203">
        <v>1.2629900000000001E-3</v>
      </c>
      <c r="V263" s="203">
        <v>1.2629900000000001E-3</v>
      </c>
      <c r="W263" s="203">
        <v>1.2629900000000001E-3</v>
      </c>
      <c r="X263" s="203">
        <v>1.2629900000000001E-3</v>
      </c>
      <c r="Y263" s="203">
        <v>1.2629900000000001E-3</v>
      </c>
      <c r="Z263" s="203">
        <v>1.2629900000000001E-3</v>
      </c>
      <c r="AA263" s="203">
        <v>1.2629900000000001E-3</v>
      </c>
      <c r="AB263" s="203">
        <v>1.2629900000000001E-3</v>
      </c>
      <c r="AC263" s="203">
        <v>1.2629900000000001E-3</v>
      </c>
      <c r="AD263" s="203">
        <v>1.2629900000000001E-3</v>
      </c>
      <c r="AE263" s="203">
        <v>1.2629900000000001E-3</v>
      </c>
      <c r="AF263" s="203">
        <v>1.2629900000000001E-3</v>
      </c>
      <c r="AG263" s="203">
        <v>1.2629900000000001E-3</v>
      </c>
    </row>
    <row r="264" spans="1:33">
      <c r="A264" s="203" t="s">
        <v>18690</v>
      </c>
      <c r="B264" s="203" t="s">
        <v>2284</v>
      </c>
      <c r="C264" s="203" t="s">
        <v>710</v>
      </c>
      <c r="D264" s="203" t="s">
        <v>632</v>
      </c>
      <c r="E264" s="203" t="s">
        <v>723</v>
      </c>
      <c r="F264" s="203" t="s">
        <v>598</v>
      </c>
      <c r="G264" s="203" t="s">
        <v>599</v>
      </c>
      <c r="H264" s="203" t="s">
        <v>2266</v>
      </c>
      <c r="I264" s="203" t="s">
        <v>2267</v>
      </c>
      <c r="J264" s="203">
        <v>0</v>
      </c>
      <c r="K264" s="203">
        <v>0</v>
      </c>
      <c r="L264" s="203">
        <v>0</v>
      </c>
      <c r="M264" s="203">
        <v>0</v>
      </c>
      <c r="N264" s="203">
        <v>0</v>
      </c>
      <c r="O264" s="203">
        <v>0</v>
      </c>
      <c r="P264" s="203">
        <v>0</v>
      </c>
      <c r="Q264" s="203">
        <v>0</v>
      </c>
      <c r="R264" s="203">
        <v>0</v>
      </c>
      <c r="S264" s="203">
        <v>0</v>
      </c>
      <c r="T264" s="203">
        <v>0</v>
      </c>
      <c r="U264" s="203">
        <v>0</v>
      </c>
      <c r="V264" s="203">
        <v>0</v>
      </c>
      <c r="W264" s="203">
        <v>0</v>
      </c>
      <c r="X264" s="203">
        <v>0</v>
      </c>
      <c r="Y264" s="203">
        <v>0</v>
      </c>
      <c r="Z264" s="203">
        <v>0</v>
      </c>
      <c r="AA264" s="203">
        <v>0</v>
      </c>
      <c r="AB264" s="203">
        <v>0</v>
      </c>
      <c r="AC264" s="203">
        <v>0</v>
      </c>
      <c r="AD264" s="203">
        <v>0</v>
      </c>
      <c r="AE264" s="203">
        <v>0</v>
      </c>
      <c r="AF264" s="203">
        <v>0</v>
      </c>
      <c r="AG264" s="203">
        <v>0</v>
      </c>
    </row>
    <row r="265" spans="1:33">
      <c r="A265" s="203" t="s">
        <v>18690</v>
      </c>
      <c r="B265" s="203" t="s">
        <v>18693</v>
      </c>
      <c r="C265" s="203" t="s">
        <v>710</v>
      </c>
      <c r="D265" s="203" t="s">
        <v>632</v>
      </c>
      <c r="E265" s="203" t="s">
        <v>638</v>
      </c>
      <c r="F265" s="203" t="s">
        <v>598</v>
      </c>
      <c r="G265" s="203" t="s">
        <v>599</v>
      </c>
      <c r="H265" s="203" t="s">
        <v>2266</v>
      </c>
      <c r="I265" s="203" t="s">
        <v>2267</v>
      </c>
      <c r="J265" s="203">
        <v>0</v>
      </c>
      <c r="K265" s="203">
        <v>0</v>
      </c>
      <c r="L265" s="203">
        <v>0</v>
      </c>
      <c r="M265" s="203">
        <v>0</v>
      </c>
      <c r="N265" s="203">
        <v>0</v>
      </c>
      <c r="O265" s="203">
        <v>0</v>
      </c>
      <c r="P265" s="203">
        <v>0</v>
      </c>
      <c r="Q265" s="203">
        <v>0</v>
      </c>
      <c r="R265" s="203">
        <v>0</v>
      </c>
      <c r="S265" s="203">
        <v>0</v>
      </c>
      <c r="T265" s="203">
        <v>0</v>
      </c>
      <c r="U265" s="203">
        <v>0</v>
      </c>
      <c r="V265" s="203">
        <v>0</v>
      </c>
      <c r="W265" s="203">
        <v>0</v>
      </c>
      <c r="X265" s="203">
        <v>0</v>
      </c>
      <c r="Y265" s="203">
        <v>0</v>
      </c>
      <c r="Z265" s="203">
        <v>0</v>
      </c>
      <c r="AA265" s="203">
        <v>0</v>
      </c>
      <c r="AB265" s="203">
        <v>0</v>
      </c>
      <c r="AC265" s="203">
        <v>0</v>
      </c>
      <c r="AD265" s="203">
        <v>0</v>
      </c>
      <c r="AE265" s="203">
        <v>0</v>
      </c>
      <c r="AF265" s="203">
        <v>0</v>
      </c>
      <c r="AG265" s="203">
        <v>0</v>
      </c>
    </row>
    <row r="266" spans="1:33">
      <c r="J266" s="15">
        <f>SUM(J254:J265)</f>
        <v>5.9507040000000004E-2</v>
      </c>
      <c r="K266" s="72">
        <f t="shared" ref="K266:AG266" si="29">SUM(K254:K265)</f>
        <v>5.9507040000000004E-2</v>
      </c>
      <c r="L266" s="72">
        <f t="shared" si="29"/>
        <v>5.9507040000000004E-2</v>
      </c>
      <c r="M266" s="72">
        <f t="shared" si="29"/>
        <v>5.9507040000000004E-2</v>
      </c>
      <c r="N266" s="72">
        <f t="shared" si="29"/>
        <v>5.9507040000000004E-2</v>
      </c>
      <c r="O266" s="72">
        <f t="shared" si="29"/>
        <v>5.9507040000000004E-2</v>
      </c>
      <c r="P266" s="72">
        <f t="shared" si="29"/>
        <v>5.9507040000000004E-2</v>
      </c>
      <c r="Q266" s="72">
        <f t="shared" si="29"/>
        <v>5.9507040000000004E-2</v>
      </c>
      <c r="R266" s="72">
        <f t="shared" si="29"/>
        <v>5.9507040000000004E-2</v>
      </c>
      <c r="S266" s="72">
        <f t="shared" si="29"/>
        <v>5.9507040000000004E-2</v>
      </c>
      <c r="T266" s="72">
        <f t="shared" si="29"/>
        <v>5.9507040000000004E-2</v>
      </c>
      <c r="U266" s="72">
        <f t="shared" si="29"/>
        <v>5.9507040000000004E-2</v>
      </c>
      <c r="V266" s="72">
        <f t="shared" si="29"/>
        <v>5.9507040000000004E-2</v>
      </c>
      <c r="W266" s="72">
        <f t="shared" si="29"/>
        <v>5.9507040000000004E-2</v>
      </c>
      <c r="X266" s="72">
        <f t="shared" si="29"/>
        <v>5.9507040000000004E-2</v>
      </c>
      <c r="Y266" s="72">
        <f t="shared" si="29"/>
        <v>5.9507040000000004E-2</v>
      </c>
      <c r="Z266" s="72">
        <f t="shared" si="29"/>
        <v>5.9507040000000004E-2</v>
      </c>
      <c r="AA266" s="72">
        <f t="shared" si="29"/>
        <v>5.9507040000000004E-2</v>
      </c>
      <c r="AB266" s="72">
        <f t="shared" si="29"/>
        <v>5.9507040000000004E-2</v>
      </c>
      <c r="AC266" s="72">
        <f t="shared" si="29"/>
        <v>5.9507040000000004E-2</v>
      </c>
      <c r="AD266" s="72">
        <f t="shared" si="29"/>
        <v>5.9507040000000004E-2</v>
      </c>
      <c r="AE266" s="72">
        <f t="shared" si="29"/>
        <v>5.9507040000000004E-2</v>
      </c>
      <c r="AF266" s="72">
        <f t="shared" si="29"/>
        <v>5.9507040000000004E-2</v>
      </c>
      <c r="AG266" s="73">
        <f t="shared" si="29"/>
        <v>5.9507040000000004E-2</v>
      </c>
    </row>
    <row r="268" spans="1:33">
      <c r="A268" t="s">
        <v>18838</v>
      </c>
    </row>
    <row r="269" spans="1:33">
      <c r="A269" s="240" t="s">
        <v>569</v>
      </c>
      <c r="B269" s="240" t="s">
        <v>570</v>
      </c>
      <c r="C269" s="240" t="s">
        <v>571</v>
      </c>
      <c r="D269" s="240" t="s">
        <v>572</v>
      </c>
      <c r="E269" s="240" t="s">
        <v>573</v>
      </c>
      <c r="F269" s="240" t="s">
        <v>574</v>
      </c>
      <c r="G269" s="240" t="s">
        <v>575</v>
      </c>
      <c r="H269" s="240" t="s">
        <v>576</v>
      </c>
      <c r="I269" s="240" t="s">
        <v>577</v>
      </c>
      <c r="J269" s="240">
        <v>2023</v>
      </c>
      <c r="K269" s="240">
        <v>2024</v>
      </c>
      <c r="L269" s="240">
        <v>2025</v>
      </c>
      <c r="M269" s="240">
        <v>2026</v>
      </c>
      <c r="N269" s="240">
        <v>2027</v>
      </c>
      <c r="O269" s="240">
        <v>2028</v>
      </c>
      <c r="P269" s="240">
        <v>2029</v>
      </c>
      <c r="Q269" s="240">
        <v>2030</v>
      </c>
      <c r="R269" s="240">
        <v>2031</v>
      </c>
      <c r="S269" s="240">
        <v>2032</v>
      </c>
      <c r="T269" s="240">
        <v>2033</v>
      </c>
      <c r="U269" s="240">
        <v>2034</v>
      </c>
      <c r="V269" s="240">
        <v>2035</v>
      </c>
      <c r="W269" s="240">
        <v>2036</v>
      </c>
      <c r="X269" s="240">
        <v>2037</v>
      </c>
      <c r="Y269" s="240">
        <v>2038</v>
      </c>
      <c r="Z269" s="240">
        <v>2039</v>
      </c>
      <c r="AA269" s="240">
        <v>2040</v>
      </c>
      <c r="AB269" s="240">
        <v>2041</v>
      </c>
      <c r="AC269" s="240">
        <v>2042</v>
      </c>
      <c r="AD269" s="240">
        <v>2043</v>
      </c>
      <c r="AE269" s="240">
        <v>2044</v>
      </c>
      <c r="AF269" s="240">
        <v>2045</v>
      </c>
      <c r="AG269" s="240">
        <v>2046</v>
      </c>
    </row>
    <row r="270" spans="1:33">
      <c r="A270" s="113" t="s">
        <v>2269</v>
      </c>
      <c r="B270" s="113" t="s">
        <v>18640</v>
      </c>
      <c r="C270" s="113" t="s">
        <v>1382</v>
      </c>
      <c r="D270" s="113" t="s">
        <v>1274</v>
      </c>
      <c r="E270" s="113" t="s">
        <v>973</v>
      </c>
      <c r="F270" s="113" t="s">
        <v>598</v>
      </c>
      <c r="G270" s="113" t="s">
        <v>599</v>
      </c>
      <c r="H270" s="113" t="s">
        <v>2266</v>
      </c>
      <c r="I270" s="113" t="s">
        <v>2267</v>
      </c>
      <c r="J270" s="113">
        <v>0</v>
      </c>
      <c r="K270" s="113">
        <v>0</v>
      </c>
      <c r="L270" s="113">
        <v>0</v>
      </c>
      <c r="M270" s="113">
        <v>0</v>
      </c>
      <c r="N270" s="113">
        <v>0</v>
      </c>
      <c r="O270" s="113">
        <v>0</v>
      </c>
      <c r="P270" s="113">
        <v>0</v>
      </c>
      <c r="Q270" s="113">
        <v>0</v>
      </c>
      <c r="R270" s="113"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v>0</v>
      </c>
      <c r="X270" s="113">
        <v>0</v>
      </c>
      <c r="Y270" s="113">
        <v>0</v>
      </c>
      <c r="Z270" s="113">
        <v>0</v>
      </c>
      <c r="AA270" s="113">
        <v>0</v>
      </c>
      <c r="AB270" s="113">
        <v>0</v>
      </c>
      <c r="AC270" s="113">
        <v>0</v>
      </c>
      <c r="AD270" s="113">
        <v>0</v>
      </c>
      <c r="AE270" s="113">
        <v>0</v>
      </c>
      <c r="AF270" s="113">
        <v>0</v>
      </c>
      <c r="AG270" s="113">
        <v>0</v>
      </c>
    </row>
    <row r="271" spans="1:33">
      <c r="A271" s="113" t="s">
        <v>2269</v>
      </c>
      <c r="B271" s="113" t="s">
        <v>18641</v>
      </c>
      <c r="C271" s="113" t="s">
        <v>1382</v>
      </c>
      <c r="D271" s="113" t="s">
        <v>1285</v>
      </c>
      <c r="E271" s="113" t="s">
        <v>973</v>
      </c>
      <c r="F271" s="113" t="s">
        <v>598</v>
      </c>
      <c r="G271" s="113" t="s">
        <v>599</v>
      </c>
      <c r="H271" s="113" t="s">
        <v>2266</v>
      </c>
      <c r="I271" s="113" t="s">
        <v>2267</v>
      </c>
      <c r="J271" s="113">
        <v>0</v>
      </c>
      <c r="K271" s="113">
        <v>0</v>
      </c>
      <c r="L271" s="113">
        <v>0</v>
      </c>
      <c r="M271" s="113">
        <v>0</v>
      </c>
      <c r="N271" s="113">
        <v>0</v>
      </c>
      <c r="O271" s="113">
        <v>0</v>
      </c>
      <c r="P271" s="113">
        <v>0</v>
      </c>
      <c r="Q271" s="113">
        <v>0</v>
      </c>
      <c r="R271" s="113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v>0</v>
      </c>
      <c r="Z271" s="113">
        <v>0</v>
      </c>
      <c r="AA271" s="113">
        <v>0</v>
      </c>
      <c r="AB271" s="113">
        <v>0</v>
      </c>
      <c r="AC271" s="113">
        <v>0</v>
      </c>
      <c r="AD271" s="113">
        <v>0</v>
      </c>
      <c r="AE271" s="113">
        <v>0</v>
      </c>
      <c r="AF271" s="113">
        <v>0</v>
      </c>
      <c r="AG271" s="113">
        <v>0</v>
      </c>
    </row>
    <row r="272" spans="1:33">
      <c r="A272" s="113" t="s">
        <v>2269</v>
      </c>
      <c r="B272" s="113" t="s">
        <v>18642</v>
      </c>
      <c r="C272" s="113" t="s">
        <v>1382</v>
      </c>
      <c r="D272" s="113" t="s">
        <v>1305</v>
      </c>
      <c r="E272" s="113" t="s">
        <v>973</v>
      </c>
      <c r="F272" s="113" t="s">
        <v>598</v>
      </c>
      <c r="G272" s="113" t="s">
        <v>599</v>
      </c>
      <c r="H272" s="113" t="s">
        <v>2266</v>
      </c>
      <c r="I272" s="113" t="s">
        <v>2267</v>
      </c>
      <c r="J272" s="113">
        <v>0.52808699999999997</v>
      </c>
      <c r="K272" s="113">
        <v>0.53364599999999995</v>
      </c>
      <c r="L272" s="113">
        <v>0.53874100000000003</v>
      </c>
      <c r="M272" s="113">
        <v>0.54383700000000001</v>
      </c>
      <c r="N272" s="113">
        <v>0.54939499999999997</v>
      </c>
      <c r="O272" s="113">
        <v>0.55495399999999995</v>
      </c>
      <c r="P272" s="113">
        <v>0.56004900000000002</v>
      </c>
      <c r="Q272" s="113">
        <v>0.56607099999999999</v>
      </c>
      <c r="R272" s="113">
        <v>0.56607099999999999</v>
      </c>
      <c r="S272" s="113">
        <v>0.56607099999999999</v>
      </c>
      <c r="T272" s="113">
        <v>0.56607099999999999</v>
      </c>
      <c r="U272" s="113">
        <v>0.56607099999999999</v>
      </c>
      <c r="V272" s="113">
        <v>0.56607099999999999</v>
      </c>
      <c r="W272" s="113">
        <v>0.56607099999999999</v>
      </c>
      <c r="X272" s="113">
        <v>0.56607099999999999</v>
      </c>
      <c r="Y272" s="113">
        <v>0.56607099999999999</v>
      </c>
      <c r="Z272" s="113">
        <v>0.56607099999999999</v>
      </c>
      <c r="AA272" s="113">
        <v>0.56607099999999999</v>
      </c>
      <c r="AB272" s="113">
        <v>0.56607099999999999</v>
      </c>
      <c r="AC272" s="113">
        <v>0.56607099999999999</v>
      </c>
      <c r="AD272" s="113">
        <v>0.56607099999999999</v>
      </c>
      <c r="AE272" s="113">
        <v>0.56607099999999999</v>
      </c>
      <c r="AF272" s="113">
        <v>0.56607099999999999</v>
      </c>
      <c r="AG272" s="113">
        <v>0.56607099999999999</v>
      </c>
    </row>
    <row r="273" spans="1:33">
      <c r="A273" s="113" t="s">
        <v>2269</v>
      </c>
      <c r="B273" s="113" t="s">
        <v>18643</v>
      </c>
      <c r="C273" s="113" t="s">
        <v>1382</v>
      </c>
      <c r="D273" s="113" t="s">
        <v>1311</v>
      </c>
      <c r="E273" s="113" t="s">
        <v>973</v>
      </c>
      <c r="F273" s="113" t="s">
        <v>598</v>
      </c>
      <c r="G273" s="113" t="s">
        <v>599</v>
      </c>
      <c r="H273" s="113" t="s">
        <v>2266</v>
      </c>
      <c r="I273" s="113" t="s">
        <v>2267</v>
      </c>
      <c r="J273" s="113">
        <v>5.365E-3</v>
      </c>
      <c r="K273" s="113">
        <v>5.4130000000000003E-3</v>
      </c>
      <c r="L273" s="113">
        <v>5.4549999999999998E-3</v>
      </c>
      <c r="M273" s="113">
        <v>5.4980000000000003E-3</v>
      </c>
      <c r="N273" s="113">
        <v>5.5449999999999996E-3</v>
      </c>
      <c r="O273" s="113">
        <v>5.6350000000000003E-3</v>
      </c>
      <c r="P273" s="113">
        <v>5.6779999999999999E-3</v>
      </c>
      <c r="Q273" s="113">
        <v>5.7250000000000001E-3</v>
      </c>
      <c r="R273" s="113">
        <v>5.7250000000000001E-3</v>
      </c>
      <c r="S273" s="113">
        <v>5.7250000000000001E-3</v>
      </c>
      <c r="T273" s="113">
        <v>5.7250000000000001E-3</v>
      </c>
      <c r="U273" s="113">
        <v>5.7250000000000001E-3</v>
      </c>
      <c r="V273" s="113">
        <v>5.7250000000000001E-3</v>
      </c>
      <c r="W273" s="113">
        <v>5.7250000000000001E-3</v>
      </c>
      <c r="X273" s="113">
        <v>5.7250000000000001E-3</v>
      </c>
      <c r="Y273" s="113">
        <v>5.7250000000000001E-3</v>
      </c>
      <c r="Z273" s="113">
        <v>5.7250000000000001E-3</v>
      </c>
      <c r="AA273" s="113">
        <v>5.7250000000000001E-3</v>
      </c>
      <c r="AB273" s="113">
        <v>5.7250000000000001E-3</v>
      </c>
      <c r="AC273" s="113">
        <v>5.7250000000000001E-3</v>
      </c>
      <c r="AD273" s="113">
        <v>5.7250000000000001E-3</v>
      </c>
      <c r="AE273" s="113">
        <v>5.7250000000000001E-3</v>
      </c>
      <c r="AF273" s="113">
        <v>5.7250000000000001E-3</v>
      </c>
      <c r="AG273" s="113">
        <v>5.7250000000000001E-3</v>
      </c>
    </row>
    <row r="274" spans="1:33">
      <c r="A274" s="113" t="s">
        <v>2269</v>
      </c>
      <c r="B274" s="113" t="s">
        <v>2265</v>
      </c>
      <c r="C274" s="113" t="s">
        <v>1382</v>
      </c>
      <c r="D274" s="113" t="s">
        <v>1311</v>
      </c>
      <c r="E274" s="113" t="s">
        <v>597</v>
      </c>
      <c r="F274" s="113" t="s">
        <v>598</v>
      </c>
      <c r="G274" s="113" t="s">
        <v>599</v>
      </c>
      <c r="H274" s="113" t="s">
        <v>2266</v>
      </c>
      <c r="I274" s="113" t="s">
        <v>2267</v>
      </c>
      <c r="J274" s="113">
        <v>2.2759999999999998E-3</v>
      </c>
      <c r="K274" s="113">
        <v>2.2959999999999999E-3</v>
      </c>
      <c r="L274" s="113">
        <v>2.3159999999999999E-3</v>
      </c>
      <c r="M274" s="113">
        <v>2.3370000000000001E-3</v>
      </c>
      <c r="N274" s="113">
        <v>2.3570000000000002E-3</v>
      </c>
      <c r="O274" s="113">
        <v>2.3800000000000002E-3</v>
      </c>
      <c r="P274" s="113">
        <v>2.4009999999999999E-3</v>
      </c>
      <c r="Q274" s="113">
        <v>2.4229999999999998E-3</v>
      </c>
      <c r="R274" s="113">
        <v>2.4229999999999998E-3</v>
      </c>
      <c r="S274" s="113">
        <v>2.4229999999999998E-3</v>
      </c>
      <c r="T274" s="113">
        <v>2.4229999999999998E-3</v>
      </c>
      <c r="U274" s="113">
        <v>2.4229999999999998E-3</v>
      </c>
      <c r="V274" s="113">
        <v>2.4229999999999998E-3</v>
      </c>
      <c r="W274" s="113">
        <v>2.4229999999999998E-3</v>
      </c>
      <c r="X274" s="113">
        <v>2.4229999999999998E-3</v>
      </c>
      <c r="Y274" s="113">
        <v>2.4229999999999998E-3</v>
      </c>
      <c r="Z274" s="113">
        <v>2.4229999999999998E-3</v>
      </c>
      <c r="AA274" s="113">
        <v>2.4229999999999998E-3</v>
      </c>
      <c r="AB274" s="113">
        <v>2.4229999999999998E-3</v>
      </c>
      <c r="AC274" s="113">
        <v>2.4229999999999998E-3</v>
      </c>
      <c r="AD274" s="113">
        <v>2.4229999999999998E-3</v>
      </c>
      <c r="AE274" s="113">
        <v>2.4229999999999998E-3</v>
      </c>
      <c r="AF274" s="113">
        <v>2.4229999999999998E-3</v>
      </c>
      <c r="AG274" s="113">
        <v>2.4229999999999998E-3</v>
      </c>
    </row>
    <row r="275" spans="1:33">
      <c r="A275" s="113" t="s">
        <v>2269</v>
      </c>
      <c r="B275" s="113" t="s">
        <v>18644</v>
      </c>
      <c r="C275" s="113" t="s">
        <v>1382</v>
      </c>
      <c r="D275" s="113" t="s">
        <v>1311</v>
      </c>
      <c r="E275" s="113" t="s">
        <v>605</v>
      </c>
      <c r="F275" s="113" t="s">
        <v>598</v>
      </c>
      <c r="G275" s="113" t="s">
        <v>599</v>
      </c>
      <c r="H275" s="113" t="s">
        <v>2266</v>
      </c>
      <c r="I275" s="113" t="s">
        <v>2267</v>
      </c>
      <c r="J275" s="113">
        <v>0</v>
      </c>
      <c r="K275" s="113">
        <v>0</v>
      </c>
      <c r="L275" s="113">
        <v>0</v>
      </c>
      <c r="M275" s="113">
        <v>0</v>
      </c>
      <c r="N275" s="113">
        <v>0</v>
      </c>
      <c r="O275" s="113">
        <v>0</v>
      </c>
      <c r="P275" s="113">
        <v>0</v>
      </c>
      <c r="Q275" s="113">
        <v>0</v>
      </c>
      <c r="R275" s="113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v>0</v>
      </c>
      <c r="Z275" s="113">
        <v>0</v>
      </c>
      <c r="AA275" s="113">
        <v>0</v>
      </c>
      <c r="AB275" s="113">
        <v>0</v>
      </c>
      <c r="AC275" s="113">
        <v>0</v>
      </c>
      <c r="AD275" s="113">
        <v>0</v>
      </c>
      <c r="AE275" s="113">
        <v>0</v>
      </c>
      <c r="AF275" s="113">
        <v>0</v>
      </c>
      <c r="AG275" s="113">
        <v>0</v>
      </c>
    </row>
    <row r="276" spans="1:33">
      <c r="A276" s="113" t="s">
        <v>2269</v>
      </c>
      <c r="B276" s="113" t="s">
        <v>18645</v>
      </c>
      <c r="C276" s="113" t="s">
        <v>1382</v>
      </c>
      <c r="D276" s="113" t="s">
        <v>1392</v>
      </c>
      <c r="E276" s="113" t="s">
        <v>1393</v>
      </c>
      <c r="F276" s="113" t="s">
        <v>598</v>
      </c>
      <c r="G276" s="113" t="s">
        <v>599</v>
      </c>
      <c r="H276" s="113" t="s">
        <v>2266</v>
      </c>
      <c r="I276" s="113" t="s">
        <v>2267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3">
        <v>0</v>
      </c>
      <c r="R276" s="113"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v>0</v>
      </c>
      <c r="X276" s="113">
        <v>0</v>
      </c>
      <c r="Y276" s="113">
        <v>0</v>
      </c>
      <c r="Z276" s="113">
        <v>0</v>
      </c>
      <c r="AA276" s="113">
        <v>0</v>
      </c>
      <c r="AB276" s="113">
        <v>0</v>
      </c>
      <c r="AC276" s="113">
        <v>0</v>
      </c>
      <c r="AD276" s="113">
        <v>0</v>
      </c>
      <c r="AE276" s="113">
        <v>0</v>
      </c>
      <c r="AF276" s="113">
        <v>0</v>
      </c>
      <c r="AG276" s="113">
        <v>0</v>
      </c>
    </row>
    <row r="277" spans="1:33">
      <c r="A277" s="113" t="s">
        <v>2269</v>
      </c>
      <c r="B277" s="113" t="s">
        <v>18646</v>
      </c>
      <c r="C277" s="113" t="s">
        <v>1382</v>
      </c>
      <c r="D277" s="113" t="s">
        <v>1316</v>
      </c>
      <c r="E277" s="113" t="s">
        <v>1018</v>
      </c>
      <c r="F277" s="113" t="s">
        <v>598</v>
      </c>
      <c r="G277" s="113" t="s">
        <v>599</v>
      </c>
      <c r="H277" s="113" t="s">
        <v>2266</v>
      </c>
      <c r="I277" s="113" t="s">
        <v>2267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>
        <v>0</v>
      </c>
      <c r="AB277" s="113">
        <v>0</v>
      </c>
      <c r="AC277" s="113">
        <v>0</v>
      </c>
      <c r="AD277" s="113">
        <v>0</v>
      </c>
      <c r="AE277" s="113">
        <v>0</v>
      </c>
      <c r="AF277" s="113">
        <v>0</v>
      </c>
      <c r="AG277" s="113">
        <v>0</v>
      </c>
    </row>
    <row r="278" spans="1:33">
      <c r="A278" s="113" t="s">
        <v>2269</v>
      </c>
      <c r="B278" s="113" t="s">
        <v>18647</v>
      </c>
      <c r="C278" s="113" t="s">
        <v>1382</v>
      </c>
      <c r="D278" s="113" t="s">
        <v>1316</v>
      </c>
      <c r="E278" s="113" t="s">
        <v>688</v>
      </c>
      <c r="F278" s="113" t="s">
        <v>598</v>
      </c>
      <c r="G278" s="113" t="s">
        <v>599</v>
      </c>
      <c r="H278" s="113" t="s">
        <v>2266</v>
      </c>
      <c r="I278" s="113" t="s">
        <v>2267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3">
        <v>0</v>
      </c>
      <c r="R278" s="113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v>0</v>
      </c>
      <c r="Z278" s="113">
        <v>0</v>
      </c>
      <c r="AA278" s="113">
        <v>0</v>
      </c>
      <c r="AB278" s="113">
        <v>0</v>
      </c>
      <c r="AC278" s="113">
        <v>0</v>
      </c>
      <c r="AD278" s="113">
        <v>0</v>
      </c>
      <c r="AE278" s="113">
        <v>0</v>
      </c>
      <c r="AF278" s="113">
        <v>0</v>
      </c>
      <c r="AG278" s="113">
        <v>0</v>
      </c>
    </row>
    <row r="279" spans="1:33">
      <c r="A279" s="113" t="s">
        <v>2269</v>
      </c>
      <c r="B279" s="113" t="s">
        <v>18648</v>
      </c>
      <c r="C279" s="113" t="s">
        <v>1382</v>
      </c>
      <c r="D279" s="113" t="s">
        <v>1316</v>
      </c>
      <c r="E279" s="113" t="s">
        <v>626</v>
      </c>
      <c r="F279" s="113" t="s">
        <v>598</v>
      </c>
      <c r="G279" s="113" t="s">
        <v>599</v>
      </c>
      <c r="H279" s="113" t="s">
        <v>2266</v>
      </c>
      <c r="I279" s="113" t="s">
        <v>2267</v>
      </c>
      <c r="J279" s="113">
        <v>0</v>
      </c>
      <c r="K279" s="113">
        <v>0</v>
      </c>
      <c r="L279" s="113">
        <v>0</v>
      </c>
      <c r="M279" s="113">
        <v>0</v>
      </c>
      <c r="N279" s="113">
        <v>0</v>
      </c>
      <c r="O279" s="113">
        <v>0</v>
      </c>
      <c r="P279" s="113">
        <v>0</v>
      </c>
      <c r="Q279" s="113">
        <v>0</v>
      </c>
      <c r="R279" s="113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v>0</v>
      </c>
      <c r="X279" s="113">
        <v>0</v>
      </c>
      <c r="Y279" s="113">
        <v>0</v>
      </c>
      <c r="Z279" s="113">
        <v>0</v>
      </c>
      <c r="AA279" s="113">
        <v>0</v>
      </c>
      <c r="AB279" s="113">
        <v>0</v>
      </c>
      <c r="AC279" s="113">
        <v>0</v>
      </c>
      <c r="AD279" s="113">
        <v>0</v>
      </c>
      <c r="AE279" s="113">
        <v>0</v>
      </c>
      <c r="AF279" s="113">
        <v>0</v>
      </c>
      <c r="AG279" s="113">
        <v>0</v>
      </c>
    </row>
    <row r="280" spans="1:33">
      <c r="A280" s="113" t="s">
        <v>2269</v>
      </c>
      <c r="B280" s="113" t="s">
        <v>18649</v>
      </c>
      <c r="C280" s="113" t="s">
        <v>1382</v>
      </c>
      <c r="D280" s="113" t="s">
        <v>1316</v>
      </c>
      <c r="E280" s="113" t="s">
        <v>1334</v>
      </c>
      <c r="F280" s="113" t="s">
        <v>598</v>
      </c>
      <c r="G280" s="113" t="s">
        <v>599</v>
      </c>
      <c r="H280" s="113" t="s">
        <v>2266</v>
      </c>
      <c r="I280" s="113" t="s">
        <v>2267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3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v>0</v>
      </c>
      <c r="AC280" s="113">
        <v>0</v>
      </c>
      <c r="AD280" s="113">
        <v>0</v>
      </c>
      <c r="AE280" s="113">
        <v>0</v>
      </c>
      <c r="AF280" s="113">
        <v>0</v>
      </c>
      <c r="AG280" s="113">
        <v>0</v>
      </c>
    </row>
    <row r="281" spans="1:33">
      <c r="A281" s="113" t="s">
        <v>2269</v>
      </c>
      <c r="B281" s="113" t="s">
        <v>18650</v>
      </c>
      <c r="C281" s="113" t="s">
        <v>1382</v>
      </c>
      <c r="D281" s="113" t="s">
        <v>1316</v>
      </c>
      <c r="E281" s="113" t="s">
        <v>1318</v>
      </c>
      <c r="F281" s="113" t="s">
        <v>598</v>
      </c>
      <c r="G281" s="113" t="s">
        <v>599</v>
      </c>
      <c r="H281" s="113" t="s">
        <v>2266</v>
      </c>
      <c r="I281" s="113" t="s">
        <v>2267</v>
      </c>
      <c r="J281" s="113">
        <v>0</v>
      </c>
      <c r="K281" s="113">
        <v>0</v>
      </c>
      <c r="L281" s="113">
        <v>0</v>
      </c>
      <c r="M281" s="113">
        <v>0</v>
      </c>
      <c r="N281" s="113">
        <v>0</v>
      </c>
      <c r="O281" s="113">
        <v>0</v>
      </c>
      <c r="P281" s="113">
        <v>0</v>
      </c>
      <c r="Q281" s="113">
        <v>0</v>
      </c>
      <c r="R281" s="113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v>0</v>
      </c>
      <c r="X281" s="113">
        <v>0</v>
      </c>
      <c r="Y281" s="113">
        <v>0</v>
      </c>
      <c r="Z281" s="113">
        <v>0</v>
      </c>
      <c r="AA281" s="113">
        <v>0</v>
      </c>
      <c r="AB281" s="113">
        <v>0</v>
      </c>
      <c r="AC281" s="113">
        <v>0</v>
      </c>
      <c r="AD281" s="113">
        <v>0</v>
      </c>
      <c r="AE281" s="113">
        <v>0</v>
      </c>
      <c r="AF281" s="113">
        <v>0</v>
      </c>
      <c r="AG281" s="113">
        <v>0</v>
      </c>
    </row>
    <row r="282" spans="1:33">
      <c r="A282" s="113" t="s">
        <v>2269</v>
      </c>
      <c r="B282" s="113" t="s">
        <v>18651</v>
      </c>
      <c r="C282" s="113" t="s">
        <v>1382</v>
      </c>
      <c r="D282" s="113" t="s">
        <v>1316</v>
      </c>
      <c r="E282" s="113" t="s">
        <v>1198</v>
      </c>
      <c r="F282" s="113" t="s">
        <v>598</v>
      </c>
      <c r="G282" s="113" t="s">
        <v>599</v>
      </c>
      <c r="H282" s="113" t="s">
        <v>2266</v>
      </c>
      <c r="I282" s="113" t="s">
        <v>2267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3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>
        <v>0</v>
      </c>
      <c r="AB282" s="113">
        <v>0</v>
      </c>
      <c r="AC282" s="113">
        <v>0</v>
      </c>
      <c r="AD282" s="113">
        <v>0</v>
      </c>
      <c r="AE282" s="113">
        <v>0</v>
      </c>
      <c r="AF282" s="113">
        <v>0</v>
      </c>
      <c r="AG282" s="113">
        <v>0</v>
      </c>
    </row>
    <row r="283" spans="1:33">
      <c r="A283" s="113" t="s">
        <v>2269</v>
      </c>
      <c r="B283" s="113" t="s">
        <v>18652</v>
      </c>
      <c r="C283" s="113" t="s">
        <v>1382</v>
      </c>
      <c r="D283" s="113" t="s">
        <v>1316</v>
      </c>
      <c r="E283" s="113" t="s">
        <v>630</v>
      </c>
      <c r="F283" s="113" t="s">
        <v>598</v>
      </c>
      <c r="G283" s="113" t="s">
        <v>599</v>
      </c>
      <c r="H283" s="113" t="s">
        <v>2266</v>
      </c>
      <c r="I283" s="113" t="s">
        <v>2267</v>
      </c>
      <c r="J283" s="113">
        <v>0</v>
      </c>
      <c r="K283" s="113">
        <v>0</v>
      </c>
      <c r="L283" s="113">
        <v>0</v>
      </c>
      <c r="M283" s="113">
        <v>0</v>
      </c>
      <c r="N283" s="113">
        <v>0</v>
      </c>
      <c r="O283" s="113">
        <v>0</v>
      </c>
      <c r="P283" s="113">
        <v>0</v>
      </c>
      <c r="Q283" s="113">
        <v>0</v>
      </c>
      <c r="R283" s="113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3">
        <v>0</v>
      </c>
      <c r="Z283" s="113">
        <v>0</v>
      </c>
      <c r="AA283" s="113">
        <v>0</v>
      </c>
      <c r="AB283" s="113">
        <v>0</v>
      </c>
      <c r="AC283" s="113">
        <v>0</v>
      </c>
      <c r="AD283" s="113">
        <v>0</v>
      </c>
      <c r="AE283" s="113">
        <v>0</v>
      </c>
      <c r="AF283" s="113">
        <v>0</v>
      </c>
      <c r="AG283" s="113">
        <v>0</v>
      </c>
    </row>
    <row r="284" spans="1:33">
      <c r="A284" s="113" t="s">
        <v>2269</v>
      </c>
      <c r="B284" s="113" t="s">
        <v>18653</v>
      </c>
      <c r="C284" s="113" t="s">
        <v>1382</v>
      </c>
      <c r="D284" s="113" t="s">
        <v>1320</v>
      </c>
      <c r="E284" s="113" t="s">
        <v>688</v>
      </c>
      <c r="F284" s="113" t="s">
        <v>598</v>
      </c>
      <c r="G284" s="113" t="s">
        <v>599</v>
      </c>
      <c r="H284" s="113" t="s">
        <v>2266</v>
      </c>
      <c r="I284" s="113" t="s">
        <v>2267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3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v>0</v>
      </c>
      <c r="AC284" s="113">
        <v>0</v>
      </c>
      <c r="AD284" s="113">
        <v>0</v>
      </c>
      <c r="AE284" s="113">
        <v>0</v>
      </c>
      <c r="AF284" s="113">
        <v>0</v>
      </c>
      <c r="AG284" s="113">
        <v>0</v>
      </c>
    </row>
    <row r="285" spans="1:33">
      <c r="A285" s="113" t="s">
        <v>2269</v>
      </c>
      <c r="B285" s="113" t="s">
        <v>18654</v>
      </c>
      <c r="C285" s="113" t="s">
        <v>1382</v>
      </c>
      <c r="D285" s="113" t="s">
        <v>1320</v>
      </c>
      <c r="E285" s="113" t="s">
        <v>626</v>
      </c>
      <c r="F285" s="113" t="s">
        <v>598</v>
      </c>
      <c r="G285" s="113" t="s">
        <v>599</v>
      </c>
      <c r="H285" s="113" t="s">
        <v>2266</v>
      </c>
      <c r="I285" s="113" t="s">
        <v>2267</v>
      </c>
      <c r="J285" s="113">
        <v>0</v>
      </c>
      <c r="K285" s="113">
        <v>0</v>
      </c>
      <c r="L285" s="113">
        <v>0</v>
      </c>
      <c r="M285" s="113">
        <v>0</v>
      </c>
      <c r="N285" s="113">
        <v>0</v>
      </c>
      <c r="O285" s="113">
        <v>0</v>
      </c>
      <c r="P285" s="113">
        <v>0</v>
      </c>
      <c r="Q285" s="113">
        <v>0</v>
      </c>
      <c r="R285" s="113"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v>0</v>
      </c>
      <c r="Z285" s="113">
        <v>0</v>
      </c>
      <c r="AA285" s="113">
        <v>0</v>
      </c>
      <c r="AB285" s="113">
        <v>0</v>
      </c>
      <c r="AC285" s="113">
        <v>0</v>
      </c>
      <c r="AD285" s="113">
        <v>0</v>
      </c>
      <c r="AE285" s="113">
        <v>0</v>
      </c>
      <c r="AF285" s="113">
        <v>0</v>
      </c>
      <c r="AG285" s="113">
        <v>0</v>
      </c>
    </row>
    <row r="286" spans="1:33">
      <c r="A286" s="113" t="s">
        <v>2269</v>
      </c>
      <c r="B286" s="113" t="s">
        <v>18655</v>
      </c>
      <c r="C286" s="113" t="s">
        <v>1382</v>
      </c>
      <c r="D286" s="113" t="s">
        <v>1320</v>
      </c>
      <c r="E286" s="113" t="s">
        <v>678</v>
      </c>
      <c r="F286" s="113" t="s">
        <v>598</v>
      </c>
      <c r="G286" s="113" t="s">
        <v>599</v>
      </c>
      <c r="H286" s="113" t="s">
        <v>2266</v>
      </c>
      <c r="I286" s="113" t="s">
        <v>2267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0</v>
      </c>
      <c r="P286" s="113">
        <v>0</v>
      </c>
      <c r="Q286" s="113">
        <v>0</v>
      </c>
      <c r="R286" s="113"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v>0</v>
      </c>
      <c r="Z286" s="113">
        <v>0</v>
      </c>
      <c r="AA286" s="113">
        <v>0</v>
      </c>
      <c r="AB286" s="113">
        <v>0</v>
      </c>
      <c r="AC286" s="113">
        <v>0</v>
      </c>
      <c r="AD286" s="113">
        <v>0</v>
      </c>
      <c r="AE286" s="113">
        <v>0</v>
      </c>
      <c r="AF286" s="113">
        <v>0</v>
      </c>
      <c r="AG286" s="113">
        <v>0</v>
      </c>
    </row>
    <row r="287" spans="1:33">
      <c r="A287" s="113" t="s">
        <v>2269</v>
      </c>
      <c r="B287" s="113" t="s">
        <v>18656</v>
      </c>
      <c r="C287" s="113" t="s">
        <v>1382</v>
      </c>
      <c r="D287" s="113" t="s">
        <v>1324</v>
      </c>
      <c r="E287" s="113" t="s">
        <v>1018</v>
      </c>
      <c r="F287" s="113" t="s">
        <v>598</v>
      </c>
      <c r="G287" s="113" t="s">
        <v>599</v>
      </c>
      <c r="H287" s="113" t="s">
        <v>2266</v>
      </c>
      <c r="I287" s="113" t="s">
        <v>2267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3">
        <v>0</v>
      </c>
      <c r="P287" s="113">
        <v>0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v>0</v>
      </c>
      <c r="AC287" s="113">
        <v>0</v>
      </c>
      <c r="AD287" s="113">
        <v>0</v>
      </c>
      <c r="AE287" s="113">
        <v>0</v>
      </c>
      <c r="AF287" s="113">
        <v>0</v>
      </c>
      <c r="AG287" s="113">
        <v>0</v>
      </c>
    </row>
    <row r="288" spans="1:33">
      <c r="A288" s="113" t="s">
        <v>2269</v>
      </c>
      <c r="B288" s="113" t="s">
        <v>18657</v>
      </c>
      <c r="C288" s="113" t="s">
        <v>1382</v>
      </c>
      <c r="D288" s="113" t="s">
        <v>1324</v>
      </c>
      <c r="E288" s="113" t="s">
        <v>688</v>
      </c>
      <c r="F288" s="113" t="s">
        <v>598</v>
      </c>
      <c r="G288" s="113" t="s">
        <v>599</v>
      </c>
      <c r="H288" s="113" t="s">
        <v>2266</v>
      </c>
      <c r="I288" s="113" t="s">
        <v>2267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3">
        <v>0</v>
      </c>
      <c r="R288" s="113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v>0</v>
      </c>
      <c r="AC288" s="113">
        <v>0</v>
      </c>
      <c r="AD288" s="113">
        <v>0</v>
      </c>
      <c r="AE288" s="113">
        <v>0</v>
      </c>
      <c r="AF288" s="113">
        <v>0</v>
      </c>
      <c r="AG288" s="113">
        <v>0</v>
      </c>
    </row>
    <row r="289" spans="1:33">
      <c r="A289" s="113" t="s">
        <v>2269</v>
      </c>
      <c r="B289" s="113" t="s">
        <v>18658</v>
      </c>
      <c r="C289" s="113" t="s">
        <v>1382</v>
      </c>
      <c r="D289" s="113" t="s">
        <v>1324</v>
      </c>
      <c r="E289" s="113" t="s">
        <v>1326</v>
      </c>
      <c r="F289" s="113" t="s">
        <v>598</v>
      </c>
      <c r="G289" s="113" t="s">
        <v>599</v>
      </c>
      <c r="H289" s="113" t="s">
        <v>2266</v>
      </c>
      <c r="I289" s="113" t="s">
        <v>2267</v>
      </c>
      <c r="J289" s="113">
        <v>0</v>
      </c>
      <c r="K289" s="113">
        <v>0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3">
        <v>0</v>
      </c>
      <c r="R289" s="113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v>0</v>
      </c>
      <c r="Z289" s="113">
        <v>0</v>
      </c>
      <c r="AA289" s="113">
        <v>0</v>
      </c>
      <c r="AB289" s="113">
        <v>0</v>
      </c>
      <c r="AC289" s="113">
        <v>0</v>
      </c>
      <c r="AD289" s="113">
        <v>0</v>
      </c>
      <c r="AE289" s="113">
        <v>0</v>
      </c>
      <c r="AF289" s="113">
        <v>0</v>
      </c>
      <c r="AG289" s="113">
        <v>0</v>
      </c>
    </row>
    <row r="290" spans="1:33">
      <c r="A290" s="113" t="s">
        <v>2269</v>
      </c>
      <c r="B290" s="113" t="s">
        <v>18659</v>
      </c>
      <c r="C290" s="113" t="s">
        <v>1382</v>
      </c>
      <c r="D290" s="113" t="s">
        <v>1324</v>
      </c>
      <c r="E290" s="113" t="s">
        <v>1402</v>
      </c>
      <c r="F290" s="113" t="s">
        <v>598</v>
      </c>
      <c r="G290" s="113" t="s">
        <v>599</v>
      </c>
      <c r="H290" s="113" t="s">
        <v>2266</v>
      </c>
      <c r="I290" s="113" t="s">
        <v>2267</v>
      </c>
      <c r="J290" s="113">
        <v>0</v>
      </c>
      <c r="K290" s="113">
        <v>0</v>
      </c>
      <c r="L290" s="113">
        <v>0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3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  <c r="AC290" s="113">
        <v>0</v>
      </c>
      <c r="AD290" s="113">
        <v>0</v>
      </c>
      <c r="AE290" s="113">
        <v>0</v>
      </c>
      <c r="AF290" s="113">
        <v>0</v>
      </c>
      <c r="AG290" s="113">
        <v>0</v>
      </c>
    </row>
    <row r="291" spans="1:33">
      <c r="A291" s="113" t="s">
        <v>2269</v>
      </c>
      <c r="B291" s="113" t="s">
        <v>18660</v>
      </c>
      <c r="C291" s="113" t="s">
        <v>1382</v>
      </c>
      <c r="D291" s="113" t="s">
        <v>1324</v>
      </c>
      <c r="E291" s="113" t="s">
        <v>1318</v>
      </c>
      <c r="F291" s="113" t="s">
        <v>598</v>
      </c>
      <c r="G291" s="113" t="s">
        <v>599</v>
      </c>
      <c r="H291" s="113" t="s">
        <v>2266</v>
      </c>
      <c r="I291" s="113" t="s">
        <v>2267</v>
      </c>
      <c r="J291" s="113">
        <v>0</v>
      </c>
      <c r="K291" s="113">
        <v>0</v>
      </c>
      <c r="L291" s="113">
        <v>0</v>
      </c>
      <c r="M291" s="113">
        <v>0</v>
      </c>
      <c r="N291" s="113">
        <v>0</v>
      </c>
      <c r="O291" s="113">
        <v>0</v>
      </c>
      <c r="P291" s="113">
        <v>0</v>
      </c>
      <c r="Q291" s="113">
        <v>0</v>
      </c>
      <c r="R291" s="113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v>0</v>
      </c>
      <c r="Z291" s="113">
        <v>0</v>
      </c>
      <c r="AA291" s="113">
        <v>0</v>
      </c>
      <c r="AB291" s="113">
        <v>0</v>
      </c>
      <c r="AC291" s="113">
        <v>0</v>
      </c>
      <c r="AD291" s="113">
        <v>0</v>
      </c>
      <c r="AE291" s="113">
        <v>0</v>
      </c>
      <c r="AF291" s="113">
        <v>0</v>
      </c>
      <c r="AG291" s="113">
        <v>0</v>
      </c>
    </row>
    <row r="292" spans="1:33">
      <c r="A292" s="113" t="s">
        <v>2269</v>
      </c>
      <c r="B292" s="113" t="s">
        <v>18661</v>
      </c>
      <c r="C292" s="113" t="s">
        <v>1382</v>
      </c>
      <c r="D292" s="113" t="s">
        <v>1324</v>
      </c>
      <c r="E292" s="113" t="s">
        <v>1423</v>
      </c>
      <c r="F292" s="113" t="s">
        <v>598</v>
      </c>
      <c r="G292" s="113" t="s">
        <v>599</v>
      </c>
      <c r="H292" s="113" t="s">
        <v>2266</v>
      </c>
      <c r="I292" s="113" t="s">
        <v>2267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3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v>0</v>
      </c>
      <c r="AC292" s="113">
        <v>0</v>
      </c>
      <c r="AD292" s="113">
        <v>0</v>
      </c>
      <c r="AE292" s="113">
        <v>0</v>
      </c>
      <c r="AF292" s="113">
        <v>0</v>
      </c>
      <c r="AG292" s="113">
        <v>0</v>
      </c>
    </row>
    <row r="293" spans="1:33">
      <c r="A293" s="113" t="s">
        <v>2269</v>
      </c>
      <c r="B293" s="113" t="s">
        <v>18662</v>
      </c>
      <c r="C293" s="113" t="s">
        <v>1382</v>
      </c>
      <c r="D293" s="113" t="s">
        <v>1324</v>
      </c>
      <c r="E293" s="113" t="s">
        <v>1469</v>
      </c>
      <c r="F293" s="113" t="s">
        <v>598</v>
      </c>
      <c r="G293" s="113" t="s">
        <v>599</v>
      </c>
      <c r="H293" s="113" t="s">
        <v>2266</v>
      </c>
      <c r="I293" s="113" t="s">
        <v>2267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  <c r="AC293" s="113">
        <v>0</v>
      </c>
      <c r="AD293" s="113">
        <v>0</v>
      </c>
      <c r="AE293" s="113">
        <v>0</v>
      </c>
      <c r="AF293" s="113">
        <v>0</v>
      </c>
      <c r="AG293" s="113">
        <v>0</v>
      </c>
    </row>
    <row r="294" spans="1:33">
      <c r="A294" s="113" t="s">
        <v>2269</v>
      </c>
      <c r="B294" s="113" t="s">
        <v>18663</v>
      </c>
      <c r="C294" s="113" t="s">
        <v>1382</v>
      </c>
      <c r="D294" s="113" t="s">
        <v>1324</v>
      </c>
      <c r="E294" s="113" t="s">
        <v>1028</v>
      </c>
      <c r="F294" s="113" t="s">
        <v>598</v>
      </c>
      <c r="G294" s="113" t="s">
        <v>599</v>
      </c>
      <c r="H294" s="113" t="s">
        <v>2266</v>
      </c>
      <c r="I294" s="113" t="s">
        <v>2267</v>
      </c>
      <c r="J294" s="113">
        <v>0</v>
      </c>
      <c r="K294" s="113">
        <v>0</v>
      </c>
      <c r="L294" s="113">
        <v>0</v>
      </c>
      <c r="M294" s="113">
        <v>0</v>
      </c>
      <c r="N294" s="113">
        <v>0</v>
      </c>
      <c r="O294" s="113">
        <v>0</v>
      </c>
      <c r="P294" s="113">
        <v>0</v>
      </c>
      <c r="Q294" s="113">
        <v>0</v>
      </c>
      <c r="R294" s="113"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v>0</v>
      </c>
      <c r="X294" s="113">
        <v>0</v>
      </c>
      <c r="Y294" s="113">
        <v>0</v>
      </c>
      <c r="Z294" s="113">
        <v>0</v>
      </c>
      <c r="AA294" s="113">
        <v>0</v>
      </c>
      <c r="AB294" s="113">
        <v>0</v>
      </c>
      <c r="AC294" s="113">
        <v>0</v>
      </c>
      <c r="AD294" s="113">
        <v>0</v>
      </c>
      <c r="AE294" s="113">
        <v>0</v>
      </c>
      <c r="AF294" s="113">
        <v>0</v>
      </c>
      <c r="AG294" s="113">
        <v>0</v>
      </c>
    </row>
    <row r="295" spans="1:33">
      <c r="A295" s="113" t="s">
        <v>2269</v>
      </c>
      <c r="B295" s="113" t="s">
        <v>18664</v>
      </c>
      <c r="C295" s="113" t="s">
        <v>1382</v>
      </c>
      <c r="D295" s="113" t="s">
        <v>1324</v>
      </c>
      <c r="E295" s="113" t="s">
        <v>1211</v>
      </c>
      <c r="F295" s="113" t="s">
        <v>598</v>
      </c>
      <c r="G295" s="113" t="s">
        <v>599</v>
      </c>
      <c r="H295" s="113" t="s">
        <v>2266</v>
      </c>
      <c r="I295" s="113" t="s">
        <v>2267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3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v>0</v>
      </c>
      <c r="X295" s="113">
        <v>0</v>
      </c>
      <c r="Y295" s="113">
        <v>0</v>
      </c>
      <c r="Z295" s="113">
        <v>0</v>
      </c>
      <c r="AA295" s="113">
        <v>0</v>
      </c>
      <c r="AB295" s="113">
        <v>0</v>
      </c>
      <c r="AC295" s="113">
        <v>0</v>
      </c>
      <c r="AD295" s="113">
        <v>0</v>
      </c>
      <c r="AE295" s="113">
        <v>0</v>
      </c>
      <c r="AF295" s="113">
        <v>0</v>
      </c>
      <c r="AG295" s="113">
        <v>0</v>
      </c>
    </row>
    <row r="296" spans="1:33">
      <c r="A296" s="113" t="s">
        <v>2269</v>
      </c>
      <c r="B296" s="113" t="s">
        <v>18665</v>
      </c>
      <c r="C296" s="113" t="s">
        <v>1382</v>
      </c>
      <c r="D296" s="113" t="s">
        <v>1324</v>
      </c>
      <c r="E296" s="113" t="s">
        <v>1058</v>
      </c>
      <c r="F296" s="113" t="s">
        <v>598</v>
      </c>
      <c r="G296" s="113" t="s">
        <v>599</v>
      </c>
      <c r="H296" s="113" t="s">
        <v>2266</v>
      </c>
      <c r="I296" s="113" t="s">
        <v>2267</v>
      </c>
      <c r="J296" s="113">
        <v>0</v>
      </c>
      <c r="K296" s="113">
        <v>0</v>
      </c>
      <c r="L296" s="113">
        <v>0</v>
      </c>
      <c r="M296" s="113">
        <v>0</v>
      </c>
      <c r="N296" s="113">
        <v>0</v>
      </c>
      <c r="O296" s="113">
        <v>0</v>
      </c>
      <c r="P296" s="113">
        <v>0</v>
      </c>
      <c r="Q296" s="113">
        <v>0</v>
      </c>
      <c r="R296" s="113"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v>0</v>
      </c>
      <c r="X296" s="113">
        <v>0</v>
      </c>
      <c r="Y296" s="113">
        <v>0</v>
      </c>
      <c r="Z296" s="113">
        <v>0</v>
      </c>
      <c r="AA296" s="113">
        <v>0</v>
      </c>
      <c r="AB296" s="113">
        <v>0</v>
      </c>
      <c r="AC296" s="113">
        <v>0</v>
      </c>
      <c r="AD296" s="113">
        <v>0</v>
      </c>
      <c r="AE296" s="113">
        <v>0</v>
      </c>
      <c r="AF296" s="113">
        <v>0</v>
      </c>
      <c r="AG296" s="113">
        <v>0</v>
      </c>
    </row>
    <row r="297" spans="1:33">
      <c r="A297" s="113" t="s">
        <v>2269</v>
      </c>
      <c r="B297" s="113" t="s">
        <v>18666</v>
      </c>
      <c r="C297" s="113" t="s">
        <v>1382</v>
      </c>
      <c r="D297" s="113" t="s">
        <v>1332</v>
      </c>
      <c r="E297" s="113" t="s">
        <v>1018</v>
      </c>
      <c r="F297" s="113" t="s">
        <v>598</v>
      </c>
      <c r="G297" s="113" t="s">
        <v>599</v>
      </c>
      <c r="H297" s="113" t="s">
        <v>2266</v>
      </c>
      <c r="I297" s="113" t="s">
        <v>2267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3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0</v>
      </c>
      <c r="Z297" s="113">
        <v>0</v>
      </c>
      <c r="AA297" s="113">
        <v>0</v>
      </c>
      <c r="AB297" s="113">
        <v>0</v>
      </c>
      <c r="AC297" s="113">
        <v>0</v>
      </c>
      <c r="AD297" s="113">
        <v>0</v>
      </c>
      <c r="AE297" s="113">
        <v>0</v>
      </c>
      <c r="AF297" s="113">
        <v>0</v>
      </c>
      <c r="AG297" s="113">
        <v>0</v>
      </c>
    </row>
    <row r="298" spans="1:33">
      <c r="A298" s="113" t="s">
        <v>2269</v>
      </c>
      <c r="B298" s="113" t="s">
        <v>18667</v>
      </c>
      <c r="C298" s="113" t="s">
        <v>1382</v>
      </c>
      <c r="D298" s="113" t="s">
        <v>1332</v>
      </c>
      <c r="E298" s="113" t="s">
        <v>688</v>
      </c>
      <c r="F298" s="113" t="s">
        <v>598</v>
      </c>
      <c r="G298" s="113" t="s">
        <v>599</v>
      </c>
      <c r="H298" s="113" t="s">
        <v>2266</v>
      </c>
      <c r="I298" s="113" t="s">
        <v>2267</v>
      </c>
      <c r="J298" s="113">
        <v>0</v>
      </c>
      <c r="K298" s="113">
        <v>0</v>
      </c>
      <c r="L298" s="113">
        <v>0</v>
      </c>
      <c r="M298" s="113">
        <v>0</v>
      </c>
      <c r="N298" s="113">
        <v>0</v>
      </c>
      <c r="O298" s="113">
        <v>0</v>
      </c>
      <c r="P298" s="113">
        <v>0</v>
      </c>
      <c r="Q298" s="113">
        <v>0</v>
      </c>
      <c r="R298" s="113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v>0</v>
      </c>
      <c r="X298" s="113">
        <v>0</v>
      </c>
      <c r="Y298" s="113">
        <v>0</v>
      </c>
      <c r="Z298" s="113">
        <v>0</v>
      </c>
      <c r="AA298" s="113">
        <v>0</v>
      </c>
      <c r="AB298" s="113">
        <v>0</v>
      </c>
      <c r="AC298" s="113">
        <v>0</v>
      </c>
      <c r="AD298" s="113">
        <v>0</v>
      </c>
      <c r="AE298" s="113">
        <v>0</v>
      </c>
      <c r="AF298" s="113">
        <v>0</v>
      </c>
      <c r="AG298" s="113">
        <v>0</v>
      </c>
    </row>
    <row r="299" spans="1:33">
      <c r="A299" s="113" t="s">
        <v>2269</v>
      </c>
      <c r="B299" s="113" t="s">
        <v>18668</v>
      </c>
      <c r="C299" s="113" t="s">
        <v>1382</v>
      </c>
      <c r="D299" s="113" t="s">
        <v>1332</v>
      </c>
      <c r="E299" s="113" t="s">
        <v>1334</v>
      </c>
      <c r="F299" s="113" t="s">
        <v>598</v>
      </c>
      <c r="G299" s="113" t="s">
        <v>599</v>
      </c>
      <c r="H299" s="113" t="s">
        <v>2266</v>
      </c>
      <c r="I299" s="113" t="s">
        <v>2267</v>
      </c>
      <c r="J299" s="113">
        <v>0</v>
      </c>
      <c r="K299" s="113">
        <v>0</v>
      </c>
      <c r="L299" s="113">
        <v>0</v>
      </c>
      <c r="M299" s="113">
        <v>0</v>
      </c>
      <c r="N299" s="113">
        <v>0</v>
      </c>
      <c r="O299" s="113">
        <v>0</v>
      </c>
      <c r="P299" s="113">
        <v>0</v>
      </c>
      <c r="Q299" s="113">
        <v>0</v>
      </c>
      <c r="R299" s="113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v>0</v>
      </c>
      <c r="Z299" s="113">
        <v>0</v>
      </c>
      <c r="AA299" s="113">
        <v>0</v>
      </c>
      <c r="AB299" s="113">
        <v>0</v>
      </c>
      <c r="AC299" s="113">
        <v>0</v>
      </c>
      <c r="AD299" s="113">
        <v>0</v>
      </c>
      <c r="AE299" s="113">
        <v>0</v>
      </c>
      <c r="AF299" s="113">
        <v>0</v>
      </c>
      <c r="AG299" s="113">
        <v>0</v>
      </c>
    </row>
    <row r="300" spans="1:33">
      <c r="A300" s="113" t="s">
        <v>2269</v>
      </c>
      <c r="B300" s="113" t="s">
        <v>18669</v>
      </c>
      <c r="C300" s="113" t="s">
        <v>1382</v>
      </c>
      <c r="D300" s="113" t="s">
        <v>1332</v>
      </c>
      <c r="E300" s="113" t="s">
        <v>1326</v>
      </c>
      <c r="F300" s="113" t="s">
        <v>598</v>
      </c>
      <c r="G300" s="113" t="s">
        <v>599</v>
      </c>
      <c r="H300" s="113" t="s">
        <v>2266</v>
      </c>
      <c r="I300" s="113" t="s">
        <v>2267</v>
      </c>
      <c r="J300" s="113">
        <v>0</v>
      </c>
      <c r="K300" s="11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3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v>0</v>
      </c>
      <c r="AC300" s="113">
        <v>0</v>
      </c>
      <c r="AD300" s="113">
        <v>0</v>
      </c>
      <c r="AE300" s="113">
        <v>0</v>
      </c>
      <c r="AF300" s="113">
        <v>0</v>
      </c>
      <c r="AG300" s="113">
        <v>0</v>
      </c>
    </row>
    <row r="301" spans="1:33">
      <c r="A301" s="113" t="s">
        <v>2269</v>
      </c>
      <c r="B301" s="113" t="s">
        <v>18670</v>
      </c>
      <c r="C301" s="113" t="s">
        <v>1382</v>
      </c>
      <c r="D301" s="113" t="s">
        <v>1332</v>
      </c>
      <c r="E301" s="113" t="s">
        <v>1318</v>
      </c>
      <c r="F301" s="113" t="s">
        <v>598</v>
      </c>
      <c r="G301" s="113" t="s">
        <v>599</v>
      </c>
      <c r="H301" s="113" t="s">
        <v>2266</v>
      </c>
      <c r="I301" s="113" t="s">
        <v>2267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3">
        <v>0</v>
      </c>
      <c r="R301" s="113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0</v>
      </c>
      <c r="Z301" s="113">
        <v>0</v>
      </c>
      <c r="AA301" s="113">
        <v>0</v>
      </c>
      <c r="AB301" s="113">
        <v>0</v>
      </c>
      <c r="AC301" s="113">
        <v>0</v>
      </c>
      <c r="AD301" s="113">
        <v>0</v>
      </c>
      <c r="AE301" s="113">
        <v>0</v>
      </c>
      <c r="AF301" s="113">
        <v>0</v>
      </c>
      <c r="AG301" s="113">
        <v>0</v>
      </c>
    </row>
    <row r="302" spans="1:33">
      <c r="A302" s="113" t="s">
        <v>2269</v>
      </c>
      <c r="B302" s="113" t="s">
        <v>18671</v>
      </c>
      <c r="C302" s="113" t="s">
        <v>1382</v>
      </c>
      <c r="D302" s="113" t="s">
        <v>1332</v>
      </c>
      <c r="E302" s="113" t="s">
        <v>1423</v>
      </c>
      <c r="F302" s="113" t="s">
        <v>598</v>
      </c>
      <c r="G302" s="113" t="s">
        <v>599</v>
      </c>
      <c r="H302" s="113" t="s">
        <v>2266</v>
      </c>
      <c r="I302" s="113" t="s">
        <v>2267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3">
        <v>0</v>
      </c>
      <c r="P302" s="113">
        <v>0</v>
      </c>
      <c r="Q302" s="113">
        <v>0</v>
      </c>
      <c r="R302" s="113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v>0</v>
      </c>
      <c r="Z302" s="113">
        <v>0</v>
      </c>
      <c r="AA302" s="113">
        <v>0</v>
      </c>
      <c r="AB302" s="113">
        <v>0</v>
      </c>
      <c r="AC302" s="113">
        <v>0</v>
      </c>
      <c r="AD302" s="113">
        <v>0</v>
      </c>
      <c r="AE302" s="113">
        <v>0</v>
      </c>
      <c r="AF302" s="113">
        <v>0</v>
      </c>
      <c r="AG302" s="113">
        <v>0</v>
      </c>
    </row>
    <row r="303" spans="1:33">
      <c r="A303" s="113" t="s">
        <v>2269</v>
      </c>
      <c r="B303" s="113" t="s">
        <v>18672</v>
      </c>
      <c r="C303" s="113" t="s">
        <v>1382</v>
      </c>
      <c r="D303" s="113" t="s">
        <v>1332</v>
      </c>
      <c r="E303" s="113" t="s">
        <v>1028</v>
      </c>
      <c r="F303" s="113" t="s">
        <v>598</v>
      </c>
      <c r="G303" s="113" t="s">
        <v>599</v>
      </c>
      <c r="H303" s="113" t="s">
        <v>2266</v>
      </c>
      <c r="I303" s="113" t="s">
        <v>2267</v>
      </c>
      <c r="J303" s="113">
        <v>0</v>
      </c>
      <c r="K303" s="113">
        <v>0</v>
      </c>
      <c r="L303" s="113">
        <v>0</v>
      </c>
      <c r="M303" s="113">
        <v>0</v>
      </c>
      <c r="N303" s="113">
        <v>0</v>
      </c>
      <c r="O303" s="113">
        <v>0</v>
      </c>
      <c r="P303" s="113">
        <v>0</v>
      </c>
      <c r="Q303" s="113">
        <v>0</v>
      </c>
      <c r="R303" s="113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v>0</v>
      </c>
      <c r="X303" s="113">
        <v>0</v>
      </c>
      <c r="Y303" s="113">
        <v>0</v>
      </c>
      <c r="Z303" s="113">
        <v>0</v>
      </c>
      <c r="AA303" s="113">
        <v>0</v>
      </c>
      <c r="AB303" s="113">
        <v>0</v>
      </c>
      <c r="AC303" s="113">
        <v>0</v>
      </c>
      <c r="AD303" s="113">
        <v>0</v>
      </c>
      <c r="AE303" s="113">
        <v>0</v>
      </c>
      <c r="AF303" s="113">
        <v>0</v>
      </c>
      <c r="AG303" s="113">
        <v>0</v>
      </c>
    </row>
    <row r="304" spans="1:33">
      <c r="A304" s="113" t="s">
        <v>2269</v>
      </c>
      <c r="B304" s="113" t="s">
        <v>18673</v>
      </c>
      <c r="C304" s="113" t="s">
        <v>1382</v>
      </c>
      <c r="D304" s="113" t="s">
        <v>1332</v>
      </c>
      <c r="E304" s="113" t="s">
        <v>1000</v>
      </c>
      <c r="F304" s="113" t="s">
        <v>598</v>
      </c>
      <c r="G304" s="113" t="s">
        <v>599</v>
      </c>
      <c r="H304" s="113" t="s">
        <v>2266</v>
      </c>
      <c r="I304" s="113" t="s">
        <v>2267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0</v>
      </c>
      <c r="AC304" s="113">
        <v>0</v>
      </c>
      <c r="AD304" s="113">
        <v>0</v>
      </c>
      <c r="AE304" s="113">
        <v>0</v>
      </c>
      <c r="AF304" s="113">
        <v>0</v>
      </c>
      <c r="AG304" s="113">
        <v>0</v>
      </c>
    </row>
    <row r="305" spans="1:33">
      <c r="A305" s="113" t="s">
        <v>2269</v>
      </c>
      <c r="B305" s="113" t="s">
        <v>18674</v>
      </c>
      <c r="C305" s="113" t="s">
        <v>1382</v>
      </c>
      <c r="D305" s="113" t="s">
        <v>1348</v>
      </c>
      <c r="E305" s="113" t="s">
        <v>688</v>
      </c>
      <c r="F305" s="113" t="s">
        <v>598</v>
      </c>
      <c r="G305" s="113" t="s">
        <v>599</v>
      </c>
      <c r="H305" s="113" t="s">
        <v>2266</v>
      </c>
      <c r="I305" s="113" t="s">
        <v>2267</v>
      </c>
      <c r="J305" s="113">
        <v>0</v>
      </c>
      <c r="K305" s="113">
        <v>0</v>
      </c>
      <c r="L305" s="113">
        <v>0</v>
      </c>
      <c r="M305" s="113">
        <v>0</v>
      </c>
      <c r="N305" s="113">
        <v>0</v>
      </c>
      <c r="O305" s="113">
        <v>0</v>
      </c>
      <c r="P305" s="113">
        <v>0</v>
      </c>
      <c r="Q305" s="113">
        <v>0</v>
      </c>
      <c r="R305" s="113">
        <v>0</v>
      </c>
      <c r="S305" s="113">
        <v>0</v>
      </c>
      <c r="T305" s="113">
        <v>0</v>
      </c>
      <c r="U305" s="113">
        <v>0</v>
      </c>
      <c r="V305" s="113">
        <v>0</v>
      </c>
      <c r="W305" s="113">
        <v>0</v>
      </c>
      <c r="X305" s="113">
        <v>0</v>
      </c>
      <c r="Y305" s="113">
        <v>0</v>
      </c>
      <c r="Z305" s="113">
        <v>0</v>
      </c>
      <c r="AA305" s="113">
        <v>0</v>
      </c>
      <c r="AB305" s="113">
        <v>0</v>
      </c>
      <c r="AC305" s="113">
        <v>0</v>
      </c>
      <c r="AD305" s="113">
        <v>0</v>
      </c>
      <c r="AE305" s="113">
        <v>0</v>
      </c>
      <c r="AF305" s="113">
        <v>0</v>
      </c>
      <c r="AG305" s="113">
        <v>0</v>
      </c>
    </row>
    <row r="306" spans="1:33">
      <c r="A306" s="113" t="s">
        <v>2269</v>
      </c>
      <c r="B306" s="113" t="s">
        <v>18675</v>
      </c>
      <c r="C306" s="113" t="s">
        <v>1382</v>
      </c>
      <c r="D306" s="113" t="s">
        <v>1435</v>
      </c>
      <c r="E306" s="113" t="s">
        <v>973</v>
      </c>
      <c r="F306" s="113" t="s">
        <v>598</v>
      </c>
      <c r="G306" s="113" t="s">
        <v>599</v>
      </c>
      <c r="H306" s="113" t="s">
        <v>2266</v>
      </c>
      <c r="I306" s="113" t="s">
        <v>2267</v>
      </c>
      <c r="J306" s="113">
        <v>1.3536550000000001</v>
      </c>
      <c r="K306" s="113">
        <v>1.3680680000000001</v>
      </c>
      <c r="L306" s="113">
        <v>1.3812800000000001</v>
      </c>
      <c r="M306" s="113">
        <v>1.3944920000000001</v>
      </c>
      <c r="N306" s="113">
        <v>1.408906</v>
      </c>
      <c r="O306" s="113">
        <v>1.423319</v>
      </c>
      <c r="P306" s="113">
        <v>1.436531</v>
      </c>
      <c r="Q306" s="113">
        <v>1.4521459999999999</v>
      </c>
      <c r="R306" s="113">
        <v>1.4521459999999999</v>
      </c>
      <c r="S306" s="113">
        <v>1.4521459999999999</v>
      </c>
      <c r="T306" s="113">
        <v>1.4521459999999999</v>
      </c>
      <c r="U306" s="113">
        <v>1.4521459999999999</v>
      </c>
      <c r="V306" s="113">
        <v>1.4521459999999999</v>
      </c>
      <c r="W306" s="113">
        <v>1.4521459999999999</v>
      </c>
      <c r="X306" s="113">
        <v>1.4521459999999999</v>
      </c>
      <c r="Y306" s="113">
        <v>1.4521459999999999</v>
      </c>
      <c r="Z306" s="113">
        <v>1.4521459999999999</v>
      </c>
      <c r="AA306" s="113">
        <v>1.4521459999999999</v>
      </c>
      <c r="AB306" s="113">
        <v>1.4521459999999999</v>
      </c>
      <c r="AC306" s="113">
        <v>1.4521459999999999</v>
      </c>
      <c r="AD306" s="113">
        <v>1.4521459999999999</v>
      </c>
      <c r="AE306" s="113">
        <v>1.4521459999999999</v>
      </c>
      <c r="AF306" s="113">
        <v>1.4521459999999999</v>
      </c>
      <c r="AG306" s="113">
        <v>1.4521459999999999</v>
      </c>
    </row>
    <row r="307" spans="1:33">
      <c r="A307" s="113" t="s">
        <v>2269</v>
      </c>
      <c r="B307" s="113" t="s">
        <v>18676</v>
      </c>
      <c r="C307" s="113" t="s">
        <v>1382</v>
      </c>
      <c r="D307" s="113" t="s">
        <v>1354</v>
      </c>
      <c r="E307" s="113" t="s">
        <v>973</v>
      </c>
      <c r="F307" s="113" t="s">
        <v>598</v>
      </c>
      <c r="G307" s="113" t="s">
        <v>599</v>
      </c>
      <c r="H307" s="113" t="s">
        <v>2266</v>
      </c>
      <c r="I307" s="113" t="s">
        <v>2267</v>
      </c>
      <c r="J307" s="113">
        <v>0</v>
      </c>
      <c r="K307" s="113">
        <v>0</v>
      </c>
      <c r="L307" s="113">
        <v>0</v>
      </c>
      <c r="M307" s="113">
        <v>0</v>
      </c>
      <c r="N307" s="113">
        <v>0</v>
      </c>
      <c r="O307" s="113">
        <v>0</v>
      </c>
      <c r="P307" s="113">
        <v>0</v>
      </c>
      <c r="Q307" s="113">
        <v>0</v>
      </c>
      <c r="R307" s="113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v>0</v>
      </c>
      <c r="X307" s="113">
        <v>0</v>
      </c>
      <c r="Y307" s="113">
        <v>0</v>
      </c>
      <c r="Z307" s="113">
        <v>0</v>
      </c>
      <c r="AA307" s="113">
        <v>0</v>
      </c>
      <c r="AB307" s="113">
        <v>0</v>
      </c>
      <c r="AC307" s="113">
        <v>0</v>
      </c>
      <c r="AD307" s="113">
        <v>0</v>
      </c>
      <c r="AE307" s="113">
        <v>0</v>
      </c>
      <c r="AF307" s="113">
        <v>0</v>
      </c>
      <c r="AG307" s="113">
        <v>0</v>
      </c>
    </row>
    <row r="308" spans="1:33">
      <c r="A308" s="113" t="s">
        <v>2269</v>
      </c>
      <c r="B308" s="113" t="s">
        <v>18677</v>
      </c>
      <c r="C308" s="113" t="s">
        <v>1382</v>
      </c>
      <c r="D308" s="113" t="s">
        <v>1354</v>
      </c>
      <c r="E308" s="113" t="s">
        <v>1438</v>
      </c>
      <c r="F308" s="113" t="s">
        <v>598</v>
      </c>
      <c r="G308" s="113" t="s">
        <v>599</v>
      </c>
      <c r="H308" s="113" t="s">
        <v>2266</v>
      </c>
      <c r="I308" s="113" t="s">
        <v>2267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3">
        <v>0</v>
      </c>
      <c r="R308" s="113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  <c r="AC308" s="113">
        <v>0</v>
      </c>
      <c r="AD308" s="113">
        <v>0</v>
      </c>
      <c r="AE308" s="113">
        <v>0</v>
      </c>
      <c r="AF308" s="113">
        <v>0</v>
      </c>
      <c r="AG308" s="113">
        <v>0</v>
      </c>
    </row>
    <row r="309" spans="1:33">
      <c r="A309" s="113" t="s">
        <v>2269</v>
      </c>
      <c r="B309" s="113" t="s">
        <v>18678</v>
      </c>
      <c r="C309" s="113" t="s">
        <v>1382</v>
      </c>
      <c r="D309" s="113" t="s">
        <v>1440</v>
      </c>
      <c r="E309" s="113" t="s">
        <v>973</v>
      </c>
      <c r="F309" s="113" t="s">
        <v>598</v>
      </c>
      <c r="G309" s="113" t="s">
        <v>599</v>
      </c>
      <c r="H309" s="113" t="s">
        <v>2266</v>
      </c>
      <c r="I309" s="113" t="s">
        <v>2267</v>
      </c>
      <c r="J309" s="113">
        <v>5.7135999999999999E-2</v>
      </c>
      <c r="K309" s="113">
        <v>5.7744999999999998E-2</v>
      </c>
      <c r="L309" s="113">
        <v>5.8303000000000001E-2</v>
      </c>
      <c r="M309" s="113">
        <v>5.8860000000000003E-2</v>
      </c>
      <c r="N309" s="113">
        <v>5.9469000000000001E-2</v>
      </c>
      <c r="O309" s="113">
        <v>6.0076999999999998E-2</v>
      </c>
      <c r="P309" s="113">
        <v>6.0635000000000001E-2</v>
      </c>
      <c r="Q309" s="113">
        <v>6.1294000000000001E-2</v>
      </c>
      <c r="R309" s="113">
        <v>6.1294000000000001E-2</v>
      </c>
      <c r="S309" s="113">
        <v>6.1294000000000001E-2</v>
      </c>
      <c r="T309" s="113">
        <v>6.1294000000000001E-2</v>
      </c>
      <c r="U309" s="113">
        <v>6.1294000000000001E-2</v>
      </c>
      <c r="V309" s="113">
        <v>6.1294000000000001E-2</v>
      </c>
      <c r="W309" s="113">
        <v>6.1294000000000001E-2</v>
      </c>
      <c r="X309" s="113">
        <v>6.1294000000000001E-2</v>
      </c>
      <c r="Y309" s="113">
        <v>6.1294000000000001E-2</v>
      </c>
      <c r="Z309" s="113">
        <v>6.1294000000000001E-2</v>
      </c>
      <c r="AA309" s="113">
        <v>6.1294000000000001E-2</v>
      </c>
      <c r="AB309" s="113">
        <v>6.1294000000000001E-2</v>
      </c>
      <c r="AC309" s="113">
        <v>6.1294000000000001E-2</v>
      </c>
      <c r="AD309" s="113">
        <v>6.1294000000000001E-2</v>
      </c>
      <c r="AE309" s="113">
        <v>6.1294000000000001E-2</v>
      </c>
      <c r="AF309" s="113">
        <v>6.1294000000000001E-2</v>
      </c>
      <c r="AG309" s="113">
        <v>6.1294000000000001E-2</v>
      </c>
    </row>
    <row r="310" spans="1:33">
      <c r="A310" s="113" t="s">
        <v>2269</v>
      </c>
      <c r="B310" s="113" t="s">
        <v>18679</v>
      </c>
      <c r="C310" s="113" t="s">
        <v>1382</v>
      </c>
      <c r="D310" s="113" t="s">
        <v>1443</v>
      </c>
      <c r="E310" s="113" t="s">
        <v>611</v>
      </c>
      <c r="F310" s="113" t="s">
        <v>598</v>
      </c>
      <c r="G310" s="113" t="s">
        <v>599</v>
      </c>
      <c r="H310" s="113" t="s">
        <v>2266</v>
      </c>
      <c r="I310" s="113" t="s">
        <v>2267</v>
      </c>
      <c r="J310" s="113">
        <v>7.8100000000000001E-4</v>
      </c>
      <c r="K310" s="113">
        <v>7.8100000000000001E-4</v>
      </c>
      <c r="L310" s="113">
        <v>7.8100000000000001E-4</v>
      </c>
      <c r="M310" s="113">
        <v>7.8100000000000001E-4</v>
      </c>
      <c r="N310" s="113">
        <v>7.8100000000000001E-4</v>
      </c>
      <c r="O310" s="113">
        <v>7.8100000000000001E-4</v>
      </c>
      <c r="P310" s="113">
        <v>7.8100000000000001E-4</v>
      </c>
      <c r="Q310" s="113">
        <v>7.8100000000000001E-4</v>
      </c>
      <c r="R310" s="113">
        <v>7.8100000000000001E-4</v>
      </c>
      <c r="S310" s="113">
        <v>7.8100000000000001E-4</v>
      </c>
      <c r="T310" s="113">
        <v>7.8100000000000001E-4</v>
      </c>
      <c r="U310" s="113">
        <v>7.8100000000000001E-4</v>
      </c>
      <c r="V310" s="113">
        <v>7.8100000000000001E-4</v>
      </c>
      <c r="W310" s="113">
        <v>7.8100000000000001E-4</v>
      </c>
      <c r="X310" s="113">
        <v>7.8100000000000001E-4</v>
      </c>
      <c r="Y310" s="113">
        <v>7.8100000000000001E-4</v>
      </c>
      <c r="Z310" s="113">
        <v>7.8100000000000001E-4</v>
      </c>
      <c r="AA310" s="113">
        <v>7.8100000000000001E-4</v>
      </c>
      <c r="AB310" s="113">
        <v>7.8100000000000001E-4</v>
      </c>
      <c r="AC310" s="113">
        <v>7.8100000000000001E-4</v>
      </c>
      <c r="AD310" s="113">
        <v>7.8100000000000001E-4</v>
      </c>
      <c r="AE310" s="113">
        <v>7.8100000000000001E-4</v>
      </c>
      <c r="AF310" s="113">
        <v>7.8100000000000001E-4</v>
      </c>
      <c r="AG310" s="113">
        <v>7.8100000000000001E-4</v>
      </c>
    </row>
    <row r="311" spans="1:33">
      <c r="A311" s="113" t="s">
        <v>2269</v>
      </c>
      <c r="B311" s="113" t="s">
        <v>18680</v>
      </c>
      <c r="C311" s="113" t="s">
        <v>1382</v>
      </c>
      <c r="D311" s="113" t="s">
        <v>1445</v>
      </c>
      <c r="E311" s="113" t="s">
        <v>973</v>
      </c>
      <c r="F311" s="113" t="s">
        <v>598</v>
      </c>
      <c r="G311" s="113" t="s">
        <v>599</v>
      </c>
      <c r="H311" s="113" t="s">
        <v>2266</v>
      </c>
      <c r="I311" s="113" t="s">
        <v>2267</v>
      </c>
      <c r="J311" s="113">
        <v>8.7980000000000003E-3</v>
      </c>
      <c r="K311" s="113">
        <v>8.8909999999999996E-3</v>
      </c>
      <c r="L311" s="113">
        <v>8.9770000000000006E-3</v>
      </c>
      <c r="M311" s="113">
        <v>9.0629999999999999E-3</v>
      </c>
      <c r="N311" s="113">
        <v>9.1570000000000002E-3</v>
      </c>
      <c r="O311" s="113">
        <v>9.2510000000000005E-3</v>
      </c>
      <c r="P311" s="113">
        <v>9.3360000000000005E-3</v>
      </c>
      <c r="Q311" s="113">
        <v>9.4380000000000002E-3</v>
      </c>
      <c r="R311" s="113">
        <v>9.4380000000000002E-3</v>
      </c>
      <c r="S311" s="113">
        <v>9.4380000000000002E-3</v>
      </c>
      <c r="T311" s="113">
        <v>9.4380000000000002E-3</v>
      </c>
      <c r="U311" s="113">
        <v>9.4380000000000002E-3</v>
      </c>
      <c r="V311" s="113">
        <v>9.4380000000000002E-3</v>
      </c>
      <c r="W311" s="113">
        <v>9.4380000000000002E-3</v>
      </c>
      <c r="X311" s="113">
        <v>9.4380000000000002E-3</v>
      </c>
      <c r="Y311" s="113">
        <v>9.4380000000000002E-3</v>
      </c>
      <c r="Z311" s="113">
        <v>9.4380000000000002E-3</v>
      </c>
      <c r="AA311" s="113">
        <v>9.4380000000000002E-3</v>
      </c>
      <c r="AB311" s="113">
        <v>9.4380000000000002E-3</v>
      </c>
      <c r="AC311" s="113">
        <v>9.4380000000000002E-3</v>
      </c>
      <c r="AD311" s="113">
        <v>9.4380000000000002E-3</v>
      </c>
      <c r="AE311" s="113">
        <v>9.4380000000000002E-3</v>
      </c>
      <c r="AF311" s="113">
        <v>9.4380000000000002E-3</v>
      </c>
      <c r="AG311" s="113">
        <v>9.4380000000000002E-3</v>
      </c>
    </row>
    <row r="312" spans="1:33">
      <c r="A312" s="113" t="s">
        <v>2269</v>
      </c>
      <c r="B312" s="113" t="s">
        <v>18681</v>
      </c>
      <c r="C312" s="113" t="s">
        <v>1382</v>
      </c>
      <c r="D312" s="113" t="s">
        <v>1449</v>
      </c>
      <c r="E312" s="113" t="s">
        <v>1450</v>
      </c>
      <c r="F312" s="113" t="s">
        <v>598</v>
      </c>
      <c r="G312" s="113" t="s">
        <v>599</v>
      </c>
      <c r="H312" s="113" t="s">
        <v>2266</v>
      </c>
      <c r="I312" s="113" t="s">
        <v>2267</v>
      </c>
      <c r="J312" s="113">
        <v>2.6373000000000001E-2</v>
      </c>
      <c r="K312" s="113">
        <v>2.6630000000000001E-2</v>
      </c>
      <c r="L312" s="113">
        <v>2.6911000000000001E-2</v>
      </c>
      <c r="M312" s="113">
        <v>2.7168000000000001E-2</v>
      </c>
      <c r="N312" s="113">
        <v>2.7449000000000001E-2</v>
      </c>
      <c r="O312" s="113">
        <v>2.7706000000000001E-2</v>
      </c>
      <c r="P312" s="113">
        <v>2.7987000000000001E-2</v>
      </c>
      <c r="Q312" s="113">
        <v>2.8268000000000001E-2</v>
      </c>
      <c r="R312" s="113">
        <v>2.8268000000000001E-2</v>
      </c>
      <c r="S312" s="113">
        <v>2.8268000000000001E-2</v>
      </c>
      <c r="T312" s="113">
        <v>2.8268000000000001E-2</v>
      </c>
      <c r="U312" s="113">
        <v>2.8268000000000001E-2</v>
      </c>
      <c r="V312" s="113">
        <v>2.8268000000000001E-2</v>
      </c>
      <c r="W312" s="113">
        <v>2.8268000000000001E-2</v>
      </c>
      <c r="X312" s="113">
        <v>2.8268000000000001E-2</v>
      </c>
      <c r="Y312" s="113">
        <v>2.8268000000000001E-2</v>
      </c>
      <c r="Z312" s="113">
        <v>2.8268000000000001E-2</v>
      </c>
      <c r="AA312" s="113">
        <v>2.8268000000000001E-2</v>
      </c>
      <c r="AB312" s="113">
        <v>2.8268000000000001E-2</v>
      </c>
      <c r="AC312" s="113">
        <v>2.8268000000000001E-2</v>
      </c>
      <c r="AD312" s="113">
        <v>2.8268000000000001E-2</v>
      </c>
      <c r="AE312" s="113">
        <v>2.8268000000000001E-2</v>
      </c>
      <c r="AF312" s="113">
        <v>2.8268000000000001E-2</v>
      </c>
      <c r="AG312" s="113">
        <v>2.8268000000000001E-2</v>
      </c>
    </row>
    <row r="313" spans="1:33">
      <c r="A313" s="113" t="s">
        <v>2269</v>
      </c>
      <c r="B313" s="113" t="s">
        <v>2268</v>
      </c>
      <c r="C313" s="113" t="s">
        <v>1382</v>
      </c>
      <c r="D313" s="113" t="s">
        <v>648</v>
      </c>
      <c r="E313" s="113" t="s">
        <v>920</v>
      </c>
      <c r="F313" s="113" t="s">
        <v>598</v>
      </c>
      <c r="G313" s="113" t="s">
        <v>599</v>
      </c>
      <c r="H313" s="113" t="s">
        <v>2266</v>
      </c>
      <c r="I313" s="113" t="s">
        <v>2267</v>
      </c>
      <c r="J313" s="113">
        <v>2.9500000000000001E-4</v>
      </c>
      <c r="K313" s="113">
        <v>2.9799999999999998E-4</v>
      </c>
      <c r="L313" s="113">
        <v>2.9999999999999997E-4</v>
      </c>
      <c r="M313" s="113">
        <v>3.0299999999999999E-4</v>
      </c>
      <c r="N313" s="113">
        <v>3.0499999999999999E-4</v>
      </c>
      <c r="O313" s="113">
        <v>3.1E-4</v>
      </c>
      <c r="P313" s="113">
        <v>3.1300000000000002E-4</v>
      </c>
      <c r="Q313" s="113">
        <v>3.1500000000000001E-4</v>
      </c>
      <c r="R313" s="113">
        <v>3.1500000000000001E-4</v>
      </c>
      <c r="S313" s="113">
        <v>3.1500000000000001E-4</v>
      </c>
      <c r="T313" s="113">
        <v>3.1500000000000001E-4</v>
      </c>
      <c r="U313" s="113">
        <v>3.1500000000000001E-4</v>
      </c>
      <c r="V313" s="113">
        <v>3.1500000000000001E-4</v>
      </c>
      <c r="W313" s="113">
        <v>3.1500000000000001E-4</v>
      </c>
      <c r="X313" s="113">
        <v>3.1500000000000001E-4</v>
      </c>
      <c r="Y313" s="113">
        <v>3.1500000000000001E-4</v>
      </c>
      <c r="Z313" s="113">
        <v>3.1500000000000001E-4</v>
      </c>
      <c r="AA313" s="113">
        <v>3.1500000000000001E-4</v>
      </c>
      <c r="AB313" s="113">
        <v>3.1500000000000001E-4</v>
      </c>
      <c r="AC313" s="113">
        <v>3.1500000000000001E-4</v>
      </c>
      <c r="AD313" s="113">
        <v>3.1500000000000001E-4</v>
      </c>
      <c r="AE313" s="113">
        <v>3.1500000000000001E-4</v>
      </c>
      <c r="AF313" s="113">
        <v>3.1500000000000001E-4</v>
      </c>
      <c r="AG313" s="113">
        <v>3.1500000000000001E-4</v>
      </c>
    </row>
    <row r="314" spans="1:33">
      <c r="A314" s="113" t="s">
        <v>2269</v>
      </c>
      <c r="B314" s="113" t="s">
        <v>18682</v>
      </c>
      <c r="C314" s="113" t="s">
        <v>1382</v>
      </c>
      <c r="D314" s="113" t="s">
        <v>648</v>
      </c>
      <c r="E314" s="113" t="s">
        <v>973</v>
      </c>
      <c r="F314" s="113" t="s">
        <v>598</v>
      </c>
      <c r="G314" s="113" t="s">
        <v>599</v>
      </c>
      <c r="H314" s="113" t="s">
        <v>2266</v>
      </c>
      <c r="I314" s="113" t="s">
        <v>2267</v>
      </c>
      <c r="J314" s="113">
        <v>1.1727E-2</v>
      </c>
      <c r="K314" s="113">
        <v>1.1735000000000001E-2</v>
      </c>
      <c r="L314" s="113">
        <v>1.1741E-2</v>
      </c>
      <c r="M314" s="113">
        <v>1.1747E-2</v>
      </c>
      <c r="N314" s="113">
        <v>1.1754000000000001E-2</v>
      </c>
      <c r="O314" s="113">
        <v>1.1761000000000001E-2</v>
      </c>
      <c r="P314" s="113">
        <v>1.1768000000000001E-2</v>
      </c>
      <c r="Q314" s="113">
        <v>1.1776E-2</v>
      </c>
      <c r="R314" s="113">
        <v>1.1776E-2</v>
      </c>
      <c r="S314" s="113">
        <v>1.1776E-2</v>
      </c>
      <c r="T314" s="113">
        <v>1.1776E-2</v>
      </c>
      <c r="U314" s="113">
        <v>1.1776E-2</v>
      </c>
      <c r="V314" s="113">
        <v>1.1776E-2</v>
      </c>
      <c r="W314" s="113">
        <v>1.1776E-2</v>
      </c>
      <c r="X314" s="113">
        <v>1.1776E-2</v>
      </c>
      <c r="Y314" s="113">
        <v>1.1776E-2</v>
      </c>
      <c r="Z314" s="113">
        <v>1.1776E-2</v>
      </c>
      <c r="AA314" s="113">
        <v>1.1776E-2</v>
      </c>
      <c r="AB314" s="113">
        <v>1.1776E-2</v>
      </c>
      <c r="AC314" s="113">
        <v>1.1776E-2</v>
      </c>
      <c r="AD314" s="113">
        <v>1.1776E-2</v>
      </c>
      <c r="AE314" s="113">
        <v>1.1776E-2</v>
      </c>
      <c r="AF314" s="113">
        <v>1.1776E-2</v>
      </c>
      <c r="AG314" s="113">
        <v>1.1776E-2</v>
      </c>
    </row>
    <row r="315" spans="1:33">
      <c r="A315" s="113" t="s">
        <v>2269</v>
      </c>
      <c r="B315" s="113" t="s">
        <v>18683</v>
      </c>
      <c r="C315" s="113" t="s">
        <v>1382</v>
      </c>
      <c r="D315" s="113" t="s">
        <v>648</v>
      </c>
      <c r="E315" s="113" t="s">
        <v>611</v>
      </c>
      <c r="F315" s="113" t="s">
        <v>598</v>
      </c>
      <c r="G315" s="113" t="s">
        <v>599</v>
      </c>
      <c r="H315" s="113" t="s">
        <v>2266</v>
      </c>
      <c r="I315" s="113" t="s">
        <v>2267</v>
      </c>
      <c r="J315" s="113">
        <v>2.202E-3</v>
      </c>
      <c r="K315" s="113">
        <v>2.2260000000000001E-3</v>
      </c>
      <c r="L315" s="113">
        <v>2.2469999999999999E-3</v>
      </c>
      <c r="M315" s="113">
        <v>2.2690000000000002E-3</v>
      </c>
      <c r="N315" s="113">
        <v>2.2920000000000002E-3</v>
      </c>
      <c r="O315" s="113">
        <v>2.3159999999999999E-3</v>
      </c>
      <c r="P315" s="113">
        <v>2.3370000000000001E-3</v>
      </c>
      <c r="Q315" s="113">
        <v>2.3630000000000001E-3</v>
      </c>
      <c r="R315" s="113">
        <v>2.3630000000000001E-3</v>
      </c>
      <c r="S315" s="113">
        <v>2.3630000000000001E-3</v>
      </c>
      <c r="T315" s="113">
        <v>2.3630000000000001E-3</v>
      </c>
      <c r="U315" s="113">
        <v>2.3630000000000001E-3</v>
      </c>
      <c r="V315" s="113">
        <v>2.3630000000000001E-3</v>
      </c>
      <c r="W315" s="113">
        <v>2.3630000000000001E-3</v>
      </c>
      <c r="X315" s="113">
        <v>2.3630000000000001E-3</v>
      </c>
      <c r="Y315" s="113">
        <v>2.3630000000000001E-3</v>
      </c>
      <c r="Z315" s="113">
        <v>2.3630000000000001E-3</v>
      </c>
      <c r="AA315" s="113">
        <v>2.3630000000000001E-3</v>
      </c>
      <c r="AB315" s="113">
        <v>2.3630000000000001E-3</v>
      </c>
      <c r="AC315" s="113">
        <v>2.3630000000000001E-3</v>
      </c>
      <c r="AD315" s="113">
        <v>2.3630000000000001E-3</v>
      </c>
      <c r="AE315" s="113">
        <v>2.3630000000000001E-3</v>
      </c>
      <c r="AF315" s="113">
        <v>2.3630000000000001E-3</v>
      </c>
      <c r="AG315" s="113">
        <v>2.3630000000000001E-3</v>
      </c>
    </row>
    <row r="316" spans="1:33">
      <c r="A316" s="113" t="s">
        <v>2269</v>
      </c>
      <c r="B316" s="113" t="s">
        <v>18684</v>
      </c>
      <c r="C316" s="113" t="s">
        <v>1382</v>
      </c>
      <c r="D316" s="113" t="s">
        <v>648</v>
      </c>
      <c r="E316" s="113" t="s">
        <v>929</v>
      </c>
      <c r="F316" s="113" t="s">
        <v>598</v>
      </c>
      <c r="G316" s="113" t="s">
        <v>599</v>
      </c>
      <c r="H316" s="113" t="s">
        <v>2266</v>
      </c>
      <c r="I316" s="113" t="s">
        <v>2267</v>
      </c>
      <c r="J316" s="113">
        <v>0</v>
      </c>
      <c r="K316" s="113">
        <v>0</v>
      </c>
      <c r="L316" s="113">
        <v>0</v>
      </c>
      <c r="M316" s="113">
        <v>0</v>
      </c>
      <c r="N316" s="113">
        <v>0</v>
      </c>
      <c r="O316" s="113">
        <v>0</v>
      </c>
      <c r="P316" s="113">
        <v>0</v>
      </c>
      <c r="Q316" s="113">
        <v>0</v>
      </c>
      <c r="R316" s="113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v>0</v>
      </c>
      <c r="Z316" s="113">
        <v>0</v>
      </c>
      <c r="AA316" s="113">
        <v>0</v>
      </c>
      <c r="AB316" s="113">
        <v>0</v>
      </c>
      <c r="AC316" s="113">
        <v>0</v>
      </c>
      <c r="AD316" s="113">
        <v>0</v>
      </c>
      <c r="AE316" s="113">
        <v>0</v>
      </c>
      <c r="AF316" s="113">
        <v>0</v>
      </c>
      <c r="AG316" s="113">
        <v>0</v>
      </c>
    </row>
    <row r="317" spans="1:33">
      <c r="A317" s="113" t="s">
        <v>2269</v>
      </c>
      <c r="B317" s="113" t="s">
        <v>18685</v>
      </c>
      <c r="C317" s="113" t="s">
        <v>1382</v>
      </c>
      <c r="D317" s="113" t="s">
        <v>648</v>
      </c>
      <c r="E317" s="113" t="s">
        <v>1447</v>
      </c>
      <c r="F317" s="113" t="s">
        <v>598</v>
      </c>
      <c r="G317" s="113" t="s">
        <v>599</v>
      </c>
      <c r="H317" s="113" t="s">
        <v>2266</v>
      </c>
      <c r="I317" s="113" t="s">
        <v>2267</v>
      </c>
      <c r="J317" s="113">
        <v>0</v>
      </c>
      <c r="K317" s="113">
        <v>0</v>
      </c>
      <c r="L317" s="113">
        <v>0</v>
      </c>
      <c r="M317" s="113">
        <v>0</v>
      </c>
      <c r="N317" s="113">
        <v>0</v>
      </c>
      <c r="O317" s="113">
        <v>0</v>
      </c>
      <c r="P317" s="113">
        <v>0</v>
      </c>
      <c r="Q317" s="113">
        <v>0</v>
      </c>
      <c r="R317" s="113">
        <v>0</v>
      </c>
      <c r="S317" s="113">
        <v>0</v>
      </c>
      <c r="T317" s="113">
        <v>0</v>
      </c>
      <c r="U317" s="113">
        <v>0</v>
      </c>
      <c r="V317" s="113">
        <v>0</v>
      </c>
      <c r="W317" s="113">
        <v>0</v>
      </c>
      <c r="X317" s="113">
        <v>0</v>
      </c>
      <c r="Y317" s="113">
        <v>0</v>
      </c>
      <c r="Z317" s="113">
        <v>0</v>
      </c>
      <c r="AA317" s="113">
        <v>0</v>
      </c>
      <c r="AB317" s="113">
        <v>0</v>
      </c>
      <c r="AC317" s="113">
        <v>0</v>
      </c>
      <c r="AD317" s="113">
        <v>0</v>
      </c>
      <c r="AE317" s="113">
        <v>0</v>
      </c>
      <c r="AF317" s="113">
        <v>0</v>
      </c>
      <c r="AG317" s="113">
        <v>0</v>
      </c>
    </row>
    <row r="318" spans="1:33">
      <c r="A318" s="113" t="s">
        <v>2269</v>
      </c>
      <c r="B318" s="113" t="s">
        <v>18686</v>
      </c>
      <c r="C318" s="113" t="s">
        <v>1382</v>
      </c>
      <c r="D318" s="113" t="s">
        <v>648</v>
      </c>
      <c r="E318" s="113" t="s">
        <v>1467</v>
      </c>
      <c r="F318" s="113" t="s">
        <v>598</v>
      </c>
      <c r="G318" s="113" t="s">
        <v>599</v>
      </c>
      <c r="H318" s="113" t="s">
        <v>2266</v>
      </c>
      <c r="I318" s="113" t="s">
        <v>2267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3">
        <v>0</v>
      </c>
      <c r="R318" s="113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>
        <v>0</v>
      </c>
      <c r="AA318" s="113">
        <v>0</v>
      </c>
      <c r="AB318" s="113">
        <v>0</v>
      </c>
      <c r="AC318" s="113">
        <v>0</v>
      </c>
      <c r="AD318" s="113">
        <v>0</v>
      </c>
      <c r="AE318" s="113">
        <v>0</v>
      </c>
      <c r="AF318" s="113">
        <v>0</v>
      </c>
      <c r="AG318" s="113">
        <v>0</v>
      </c>
    </row>
    <row r="319" spans="1:33">
      <c r="A319" s="113" t="s">
        <v>2269</v>
      </c>
      <c r="B319" s="113" t="s">
        <v>18687</v>
      </c>
      <c r="C319" s="113" t="s">
        <v>1382</v>
      </c>
      <c r="D319" s="113" t="s">
        <v>648</v>
      </c>
      <c r="E319" s="113" t="s">
        <v>1615</v>
      </c>
      <c r="F319" s="113" t="s">
        <v>598</v>
      </c>
      <c r="G319" s="113" t="s">
        <v>599</v>
      </c>
      <c r="H319" s="113" t="s">
        <v>2266</v>
      </c>
      <c r="I319" s="113" t="s">
        <v>2267</v>
      </c>
      <c r="J319" s="113">
        <v>0</v>
      </c>
      <c r="K319" s="113">
        <v>0</v>
      </c>
      <c r="L319" s="113">
        <v>0</v>
      </c>
      <c r="M319" s="113">
        <v>0</v>
      </c>
      <c r="N319" s="113">
        <v>0</v>
      </c>
      <c r="O319" s="113">
        <v>0</v>
      </c>
      <c r="P319" s="113">
        <v>0</v>
      </c>
      <c r="Q319" s="113">
        <v>0</v>
      </c>
      <c r="R319" s="113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v>0</v>
      </c>
      <c r="AC319" s="113">
        <v>0</v>
      </c>
      <c r="AD319" s="113">
        <v>0</v>
      </c>
      <c r="AE319" s="113">
        <v>0</v>
      </c>
      <c r="AF319" s="113">
        <v>0</v>
      </c>
      <c r="AG319" s="113">
        <v>0</v>
      </c>
    </row>
    <row r="320" spans="1:33">
      <c r="A320" s="113" t="s">
        <v>2269</v>
      </c>
      <c r="B320" s="113" t="s">
        <v>18688</v>
      </c>
      <c r="C320" s="113" t="s">
        <v>1382</v>
      </c>
      <c r="D320" s="113" t="s">
        <v>648</v>
      </c>
      <c r="E320" s="113" t="s">
        <v>1469</v>
      </c>
      <c r="F320" s="113" t="s">
        <v>598</v>
      </c>
      <c r="G320" s="113" t="s">
        <v>599</v>
      </c>
      <c r="H320" s="113" t="s">
        <v>2266</v>
      </c>
      <c r="I320" s="113" t="s">
        <v>2267</v>
      </c>
      <c r="J320" s="113">
        <v>0</v>
      </c>
      <c r="K320" s="113">
        <v>0</v>
      </c>
      <c r="L320" s="113">
        <v>0</v>
      </c>
      <c r="M320" s="113">
        <v>0</v>
      </c>
      <c r="N320" s="113">
        <v>0</v>
      </c>
      <c r="O320" s="113">
        <v>0</v>
      </c>
      <c r="P320" s="113">
        <v>0</v>
      </c>
      <c r="Q320" s="113">
        <v>0</v>
      </c>
      <c r="R320" s="113">
        <v>0</v>
      </c>
      <c r="S320" s="113">
        <v>0</v>
      </c>
      <c r="T320" s="113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0</v>
      </c>
      <c r="Z320" s="113">
        <v>0</v>
      </c>
      <c r="AA320" s="113">
        <v>0</v>
      </c>
      <c r="AB320" s="113">
        <v>0</v>
      </c>
      <c r="AC320" s="113">
        <v>0</v>
      </c>
      <c r="AD320" s="113">
        <v>0</v>
      </c>
      <c r="AE320" s="113">
        <v>0</v>
      </c>
      <c r="AF320" s="113">
        <v>0</v>
      </c>
      <c r="AG320" s="113">
        <v>0</v>
      </c>
    </row>
    <row r="321" spans="1:33">
      <c r="A321" s="113" t="s">
        <v>2269</v>
      </c>
      <c r="B321" s="113" t="s">
        <v>18689</v>
      </c>
      <c r="C321" s="113" t="s">
        <v>1382</v>
      </c>
      <c r="D321" s="113" t="s">
        <v>648</v>
      </c>
      <c r="E321" s="113" t="s">
        <v>1393</v>
      </c>
      <c r="F321" s="113" t="s">
        <v>598</v>
      </c>
      <c r="G321" s="113" t="s">
        <v>599</v>
      </c>
      <c r="H321" s="113" t="s">
        <v>2266</v>
      </c>
      <c r="I321" s="113" t="s">
        <v>2267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3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0</v>
      </c>
      <c r="Y321" s="113">
        <v>0</v>
      </c>
      <c r="Z321" s="113">
        <v>0</v>
      </c>
      <c r="AA321" s="113">
        <v>0</v>
      </c>
      <c r="AB321" s="113">
        <v>0</v>
      </c>
      <c r="AC321" s="113">
        <v>0</v>
      </c>
      <c r="AD321" s="113">
        <v>0</v>
      </c>
      <c r="AE321" s="113">
        <v>0</v>
      </c>
      <c r="AF321" s="113">
        <v>0</v>
      </c>
      <c r="AG321" s="113">
        <v>0</v>
      </c>
    </row>
    <row r="322" spans="1:33">
      <c r="J322" s="281">
        <f t="shared" ref="J322:AG322" si="30">SUM(J270:J321)</f>
        <v>1.9966950000000001</v>
      </c>
      <c r="K322" s="282">
        <f t="shared" si="30"/>
        <v>2.0177289999999992</v>
      </c>
      <c r="L322" s="282">
        <f t="shared" si="30"/>
        <v>2.0370520000000001</v>
      </c>
      <c r="M322" s="282">
        <f t="shared" si="30"/>
        <v>2.0563550000000004</v>
      </c>
      <c r="N322" s="282">
        <f t="shared" si="30"/>
        <v>2.07741</v>
      </c>
      <c r="O322" s="282">
        <f t="shared" si="30"/>
        <v>2.0984899999999995</v>
      </c>
      <c r="P322" s="282">
        <f t="shared" si="30"/>
        <v>2.1178159999999995</v>
      </c>
      <c r="Q322" s="282">
        <f t="shared" si="30"/>
        <v>2.1405999999999996</v>
      </c>
      <c r="R322" s="282">
        <f t="shared" si="30"/>
        <v>2.1405999999999996</v>
      </c>
      <c r="S322" s="282">
        <f t="shared" si="30"/>
        <v>2.1405999999999996</v>
      </c>
      <c r="T322" s="282">
        <f t="shared" si="30"/>
        <v>2.1405999999999996</v>
      </c>
      <c r="U322" s="282">
        <f t="shared" si="30"/>
        <v>2.1405999999999996</v>
      </c>
      <c r="V322" s="282">
        <f t="shared" si="30"/>
        <v>2.1405999999999996</v>
      </c>
      <c r="W322" s="282">
        <f t="shared" si="30"/>
        <v>2.1405999999999996</v>
      </c>
      <c r="X322" s="282">
        <f t="shared" si="30"/>
        <v>2.1405999999999996</v>
      </c>
      <c r="Y322" s="282">
        <f t="shared" si="30"/>
        <v>2.1405999999999996</v>
      </c>
      <c r="Z322" s="282">
        <f t="shared" si="30"/>
        <v>2.1405999999999996</v>
      </c>
      <c r="AA322" s="282">
        <f t="shared" si="30"/>
        <v>2.1405999999999996</v>
      </c>
      <c r="AB322" s="282">
        <f t="shared" si="30"/>
        <v>2.1405999999999996</v>
      </c>
      <c r="AC322" s="282">
        <f t="shared" si="30"/>
        <v>2.1405999999999996</v>
      </c>
      <c r="AD322" s="282">
        <f t="shared" si="30"/>
        <v>2.1405999999999996</v>
      </c>
      <c r="AE322" s="282">
        <f t="shared" si="30"/>
        <v>2.1405999999999996</v>
      </c>
      <c r="AF322" s="282">
        <f t="shared" si="30"/>
        <v>2.1405999999999996</v>
      </c>
      <c r="AG322" s="283">
        <f t="shared" si="30"/>
        <v>2.1405999999999996</v>
      </c>
    </row>
    <row r="323" spans="1:33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113" t="s">
        <v>18839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85" t="s">
        <v>569</v>
      </c>
      <c r="B325" s="285" t="s">
        <v>570</v>
      </c>
      <c r="C325" s="285" t="s">
        <v>571</v>
      </c>
      <c r="D325" s="285" t="s">
        <v>572</v>
      </c>
      <c r="E325" s="285" t="s">
        <v>573</v>
      </c>
      <c r="F325" s="285" t="s">
        <v>574</v>
      </c>
      <c r="G325" s="285" t="s">
        <v>575</v>
      </c>
      <c r="H325" s="285" t="s">
        <v>576</v>
      </c>
      <c r="I325" s="285" t="s">
        <v>577</v>
      </c>
      <c r="J325" s="285">
        <v>2023</v>
      </c>
      <c r="K325" s="285">
        <v>2024</v>
      </c>
      <c r="L325" s="285">
        <v>2025</v>
      </c>
      <c r="M325" s="285">
        <v>2026</v>
      </c>
      <c r="N325" s="285">
        <v>2027</v>
      </c>
      <c r="O325" s="285">
        <v>2028</v>
      </c>
      <c r="P325" s="285">
        <v>2029</v>
      </c>
      <c r="Q325" s="285">
        <v>2030</v>
      </c>
      <c r="R325" s="285">
        <v>2031</v>
      </c>
      <c r="S325" s="285">
        <v>2032</v>
      </c>
      <c r="T325" s="285">
        <v>2033</v>
      </c>
      <c r="U325" s="285">
        <v>2034</v>
      </c>
      <c r="V325" s="285">
        <v>2035</v>
      </c>
      <c r="W325" s="285">
        <v>2036</v>
      </c>
      <c r="X325" s="285">
        <v>2037</v>
      </c>
      <c r="Y325" s="285">
        <v>2038</v>
      </c>
      <c r="Z325" s="285">
        <v>2039</v>
      </c>
      <c r="AA325" s="285">
        <v>2040</v>
      </c>
      <c r="AB325" s="285">
        <v>2041</v>
      </c>
      <c r="AC325" s="285">
        <v>2042</v>
      </c>
      <c r="AD325" s="285">
        <v>2043</v>
      </c>
      <c r="AE325" s="285">
        <v>2044</v>
      </c>
      <c r="AF325" s="285">
        <v>2045</v>
      </c>
      <c r="AG325" s="285">
        <v>2046</v>
      </c>
    </row>
    <row r="326" spans="1:33">
      <c r="A326" s="203" t="s">
        <v>2269</v>
      </c>
      <c r="B326" s="203" t="s">
        <v>2270</v>
      </c>
      <c r="C326" s="203" t="s">
        <v>710</v>
      </c>
      <c r="D326" s="203" t="s">
        <v>596</v>
      </c>
      <c r="E326" s="203" t="s">
        <v>597</v>
      </c>
      <c r="F326" s="203" t="s">
        <v>598</v>
      </c>
      <c r="G326" s="203" t="s">
        <v>599</v>
      </c>
      <c r="H326" s="203" t="s">
        <v>2266</v>
      </c>
      <c r="I326" s="203" t="s">
        <v>2267</v>
      </c>
      <c r="J326" s="203">
        <v>1.0554500000000001E-3</v>
      </c>
      <c r="K326" s="203">
        <v>1.05901E-3</v>
      </c>
      <c r="L326" s="203">
        <v>1.0622699999999999E-3</v>
      </c>
      <c r="M326" s="203">
        <v>1.06554E-3</v>
      </c>
      <c r="N326" s="203">
        <v>1.0690999999999999E-3</v>
      </c>
      <c r="O326" s="203">
        <v>1.0726500000000001E-3</v>
      </c>
      <c r="P326" s="203">
        <v>1.07591E-3</v>
      </c>
      <c r="Q326" s="203">
        <v>1.07978E-3</v>
      </c>
      <c r="R326" s="203">
        <v>1.07978E-3</v>
      </c>
      <c r="S326" s="203">
        <v>1.07978E-3</v>
      </c>
      <c r="T326" s="203">
        <v>1.07978E-3</v>
      </c>
      <c r="U326" s="203">
        <v>1.07978E-3</v>
      </c>
      <c r="V326" s="203">
        <v>1.07978E-3</v>
      </c>
      <c r="W326" s="203">
        <v>1.07978E-3</v>
      </c>
      <c r="X326" s="203">
        <v>1.07978E-3</v>
      </c>
      <c r="Y326" s="203">
        <v>1.07978E-3</v>
      </c>
      <c r="Z326" s="203">
        <v>1.07978E-3</v>
      </c>
      <c r="AA326" s="203">
        <v>1.07978E-3</v>
      </c>
      <c r="AB326" s="203">
        <v>1.07978E-3</v>
      </c>
      <c r="AC326" s="203">
        <v>1.07978E-3</v>
      </c>
      <c r="AD326" s="203">
        <v>1.07978E-3</v>
      </c>
      <c r="AE326" s="203">
        <v>1.07978E-3</v>
      </c>
      <c r="AF326" s="203">
        <v>1.07978E-3</v>
      </c>
      <c r="AG326" s="203">
        <v>1.07978E-3</v>
      </c>
    </row>
    <row r="327" spans="1:33">
      <c r="A327" s="203" t="s">
        <v>2269</v>
      </c>
      <c r="B327" s="203" t="s">
        <v>2271</v>
      </c>
      <c r="C327" s="203" t="s">
        <v>710</v>
      </c>
      <c r="D327" s="203" t="s">
        <v>596</v>
      </c>
      <c r="E327" s="203" t="s">
        <v>605</v>
      </c>
      <c r="F327" s="203" t="s">
        <v>598</v>
      </c>
      <c r="G327" s="203" t="s">
        <v>599</v>
      </c>
      <c r="H327" s="203" t="s">
        <v>2266</v>
      </c>
      <c r="I327" s="203" t="s">
        <v>2267</v>
      </c>
      <c r="J327" s="203">
        <v>0.10662003</v>
      </c>
      <c r="K327" s="203">
        <v>0.1077553</v>
      </c>
      <c r="L327" s="203">
        <v>0.10879593999999999</v>
      </c>
      <c r="M327" s="203">
        <v>0.10983659</v>
      </c>
      <c r="N327" s="203">
        <v>0.11097186000000001</v>
      </c>
      <c r="O327" s="203">
        <v>0.11210711</v>
      </c>
      <c r="P327" s="203">
        <v>0.11314778</v>
      </c>
      <c r="Q327" s="203">
        <v>0.11437765</v>
      </c>
      <c r="R327" s="203">
        <v>0.11437765</v>
      </c>
      <c r="S327" s="203">
        <v>0.11437765</v>
      </c>
      <c r="T327" s="203">
        <v>0.11437765</v>
      </c>
      <c r="U327" s="203">
        <v>0.11437765</v>
      </c>
      <c r="V327" s="203">
        <v>0.11437765</v>
      </c>
      <c r="W327" s="203">
        <v>0.11437765</v>
      </c>
      <c r="X327" s="203">
        <v>0.11437765</v>
      </c>
      <c r="Y327" s="203">
        <v>0.11437765</v>
      </c>
      <c r="Z327" s="203">
        <v>0.11437765</v>
      </c>
      <c r="AA327" s="203">
        <v>0.11437765</v>
      </c>
      <c r="AB327" s="203">
        <v>0.11437765</v>
      </c>
      <c r="AC327" s="203">
        <v>0.11437765</v>
      </c>
      <c r="AD327" s="203">
        <v>0.11437765</v>
      </c>
      <c r="AE327" s="203">
        <v>0.11437765</v>
      </c>
      <c r="AF327" s="203">
        <v>0.11437765</v>
      </c>
      <c r="AG327" s="203">
        <v>0.11437765</v>
      </c>
    </row>
    <row r="328" spans="1:33">
      <c r="A328" s="203" t="s">
        <v>2269</v>
      </c>
      <c r="B328" s="203" t="s">
        <v>2272</v>
      </c>
      <c r="C328" s="203" t="s">
        <v>710</v>
      </c>
      <c r="D328" s="203" t="s">
        <v>596</v>
      </c>
      <c r="E328" s="203" t="s">
        <v>611</v>
      </c>
      <c r="F328" s="203" t="s">
        <v>598</v>
      </c>
      <c r="G328" s="203" t="s">
        <v>599</v>
      </c>
      <c r="H328" s="203" t="s">
        <v>2266</v>
      </c>
      <c r="I328" s="203" t="s">
        <v>2267</v>
      </c>
      <c r="J328" s="203">
        <v>0</v>
      </c>
      <c r="K328" s="203">
        <v>0</v>
      </c>
      <c r="L328" s="203">
        <v>0</v>
      </c>
      <c r="M328" s="203">
        <v>0</v>
      </c>
      <c r="N328" s="203">
        <v>0</v>
      </c>
      <c r="O328" s="203">
        <v>0</v>
      </c>
      <c r="P328" s="203">
        <v>0</v>
      </c>
      <c r="Q328" s="203">
        <v>0</v>
      </c>
      <c r="R328" s="203">
        <v>0</v>
      </c>
      <c r="S328" s="203">
        <v>0</v>
      </c>
      <c r="T328" s="203">
        <v>0</v>
      </c>
      <c r="U328" s="203">
        <v>0</v>
      </c>
      <c r="V328" s="203">
        <v>0</v>
      </c>
      <c r="W328" s="203">
        <v>0</v>
      </c>
      <c r="X328" s="203">
        <v>0</v>
      </c>
      <c r="Y328" s="203">
        <v>0</v>
      </c>
      <c r="Z328" s="203">
        <v>0</v>
      </c>
      <c r="AA328" s="203">
        <v>0</v>
      </c>
      <c r="AB328" s="203">
        <v>0</v>
      </c>
      <c r="AC328" s="203">
        <v>0</v>
      </c>
      <c r="AD328" s="203">
        <v>0</v>
      </c>
      <c r="AE328" s="203">
        <v>0</v>
      </c>
      <c r="AF328" s="203">
        <v>0</v>
      </c>
      <c r="AG328" s="203">
        <v>0</v>
      </c>
    </row>
    <row r="329" spans="1:33">
      <c r="A329" s="203" t="s">
        <v>2269</v>
      </c>
      <c r="B329" s="203" t="s">
        <v>2273</v>
      </c>
      <c r="C329" s="203" t="s">
        <v>710</v>
      </c>
      <c r="D329" s="203" t="s">
        <v>596</v>
      </c>
      <c r="E329" s="203" t="s">
        <v>713</v>
      </c>
      <c r="F329" s="203" t="s">
        <v>598</v>
      </c>
      <c r="G329" s="203" t="s">
        <v>599</v>
      </c>
      <c r="H329" s="203" t="s">
        <v>2266</v>
      </c>
      <c r="I329" s="203" t="s">
        <v>2267</v>
      </c>
      <c r="J329" s="203">
        <v>9.9380000000000001E-5</v>
      </c>
      <c r="K329" s="203">
        <v>1.0043999999999999E-4</v>
      </c>
      <c r="L329" s="203">
        <v>1.0141000000000001E-4</v>
      </c>
      <c r="M329" s="203">
        <v>1.0238000000000001E-4</v>
      </c>
      <c r="N329" s="203">
        <v>1.0344E-4</v>
      </c>
      <c r="O329" s="203">
        <v>1.0450000000000001E-4</v>
      </c>
      <c r="P329" s="203">
        <v>1.0546E-4</v>
      </c>
      <c r="Q329" s="203">
        <v>1.0661E-4</v>
      </c>
      <c r="R329" s="203">
        <v>1.0661E-4</v>
      </c>
      <c r="S329" s="203">
        <v>1.0661E-4</v>
      </c>
      <c r="T329" s="203">
        <v>1.0661E-4</v>
      </c>
      <c r="U329" s="203">
        <v>1.0661E-4</v>
      </c>
      <c r="V329" s="203">
        <v>1.0661E-4</v>
      </c>
      <c r="W329" s="203">
        <v>1.0661E-4</v>
      </c>
      <c r="X329" s="203">
        <v>1.0661E-4</v>
      </c>
      <c r="Y329" s="203">
        <v>1.0661E-4</v>
      </c>
      <c r="Z329" s="203">
        <v>1.0661E-4</v>
      </c>
      <c r="AA329" s="203">
        <v>1.0661E-4</v>
      </c>
      <c r="AB329" s="203">
        <v>1.0661E-4</v>
      </c>
      <c r="AC329" s="203">
        <v>1.0661E-4</v>
      </c>
      <c r="AD329" s="203">
        <v>1.0661E-4</v>
      </c>
      <c r="AE329" s="203">
        <v>1.0661E-4</v>
      </c>
      <c r="AF329" s="203">
        <v>1.0661E-4</v>
      </c>
      <c r="AG329" s="203">
        <v>1.0661E-4</v>
      </c>
    </row>
    <row r="330" spans="1:33">
      <c r="A330" s="203" t="s">
        <v>2269</v>
      </c>
      <c r="B330" s="203" t="s">
        <v>2274</v>
      </c>
      <c r="C330" s="203" t="s">
        <v>710</v>
      </c>
      <c r="D330" s="203" t="s">
        <v>596</v>
      </c>
      <c r="E330" s="203" t="s">
        <v>669</v>
      </c>
      <c r="F330" s="203" t="s">
        <v>598</v>
      </c>
      <c r="G330" s="203" t="s">
        <v>599</v>
      </c>
      <c r="H330" s="203" t="s">
        <v>2266</v>
      </c>
      <c r="I330" s="203" t="s">
        <v>2267</v>
      </c>
      <c r="J330" s="203">
        <v>0</v>
      </c>
      <c r="K330" s="203">
        <v>0</v>
      </c>
      <c r="L330" s="203">
        <v>0</v>
      </c>
      <c r="M330" s="203">
        <v>0</v>
      </c>
      <c r="N330" s="203">
        <v>0</v>
      </c>
      <c r="O330" s="203">
        <v>0</v>
      </c>
      <c r="P330" s="203">
        <v>0</v>
      </c>
      <c r="Q330" s="203">
        <v>0</v>
      </c>
      <c r="R330" s="203">
        <v>0</v>
      </c>
      <c r="S330" s="203">
        <v>0</v>
      </c>
      <c r="T330" s="203">
        <v>0</v>
      </c>
      <c r="U330" s="203">
        <v>0</v>
      </c>
      <c r="V330" s="203">
        <v>0</v>
      </c>
      <c r="W330" s="203">
        <v>0</v>
      </c>
      <c r="X330" s="203">
        <v>0</v>
      </c>
      <c r="Y330" s="203">
        <v>0</v>
      </c>
      <c r="Z330" s="203">
        <v>0</v>
      </c>
      <c r="AA330" s="203">
        <v>0</v>
      </c>
      <c r="AB330" s="203">
        <v>0</v>
      </c>
      <c r="AC330" s="203">
        <v>0</v>
      </c>
      <c r="AD330" s="203">
        <v>0</v>
      </c>
      <c r="AE330" s="203">
        <v>0</v>
      </c>
      <c r="AF330" s="203">
        <v>0</v>
      </c>
      <c r="AG330" s="203">
        <v>0</v>
      </c>
    </row>
    <row r="331" spans="1:33">
      <c r="A331" s="203" t="s">
        <v>2269</v>
      </c>
      <c r="B331" s="203" t="s">
        <v>2275</v>
      </c>
      <c r="C331" s="203" t="s">
        <v>710</v>
      </c>
      <c r="D331" s="203" t="s">
        <v>671</v>
      </c>
      <c r="E331" s="203" t="s">
        <v>672</v>
      </c>
      <c r="F331" s="203" t="s">
        <v>598</v>
      </c>
      <c r="G331" s="203" t="s">
        <v>599</v>
      </c>
      <c r="H331" s="203" t="s">
        <v>2266</v>
      </c>
      <c r="I331" s="203" t="s">
        <v>2267</v>
      </c>
      <c r="J331" s="203">
        <v>2.9034299999999998E-3</v>
      </c>
      <c r="K331" s="203">
        <v>2.9034299999999998E-3</v>
      </c>
      <c r="L331" s="203">
        <v>2.9034299999999998E-3</v>
      </c>
      <c r="M331" s="203">
        <v>2.9034299999999998E-3</v>
      </c>
      <c r="N331" s="203">
        <v>2.9034299999999998E-3</v>
      </c>
      <c r="O331" s="203">
        <v>2.9034299999999998E-3</v>
      </c>
      <c r="P331" s="203">
        <v>2.9034299999999998E-3</v>
      </c>
      <c r="Q331" s="203">
        <v>2.9034299999999998E-3</v>
      </c>
      <c r="R331" s="203">
        <v>2.9034299999999998E-3</v>
      </c>
      <c r="S331" s="203">
        <v>2.9034299999999998E-3</v>
      </c>
      <c r="T331" s="203">
        <v>2.9034299999999998E-3</v>
      </c>
      <c r="U331" s="203">
        <v>2.9034299999999998E-3</v>
      </c>
      <c r="V331" s="203">
        <v>2.9034299999999998E-3</v>
      </c>
      <c r="W331" s="203">
        <v>2.9034299999999998E-3</v>
      </c>
      <c r="X331" s="203">
        <v>2.9034299999999998E-3</v>
      </c>
      <c r="Y331" s="203">
        <v>2.9034299999999998E-3</v>
      </c>
      <c r="Z331" s="203">
        <v>2.9034299999999998E-3</v>
      </c>
      <c r="AA331" s="203">
        <v>2.9034299999999998E-3</v>
      </c>
      <c r="AB331" s="203">
        <v>2.9034299999999998E-3</v>
      </c>
      <c r="AC331" s="203">
        <v>2.9034299999999998E-3</v>
      </c>
      <c r="AD331" s="203">
        <v>2.9034299999999998E-3</v>
      </c>
      <c r="AE331" s="203">
        <v>2.9034299999999998E-3</v>
      </c>
      <c r="AF331" s="203">
        <v>2.9034299999999998E-3</v>
      </c>
      <c r="AG331" s="203">
        <v>2.9034299999999998E-3</v>
      </c>
    </row>
    <row r="332" spans="1:33">
      <c r="A332" s="203" t="s">
        <v>2269</v>
      </c>
      <c r="B332" s="203" t="s">
        <v>2276</v>
      </c>
      <c r="C332" s="203" t="s">
        <v>710</v>
      </c>
      <c r="D332" s="203" t="s">
        <v>671</v>
      </c>
      <c r="E332" s="203" t="s">
        <v>597</v>
      </c>
      <c r="F332" s="203" t="s">
        <v>598</v>
      </c>
      <c r="G332" s="203" t="s">
        <v>599</v>
      </c>
      <c r="H332" s="203" t="s">
        <v>2266</v>
      </c>
      <c r="I332" s="203" t="s">
        <v>2267</v>
      </c>
      <c r="J332" s="203">
        <v>3.1176470000000001E-2</v>
      </c>
      <c r="K332" s="203">
        <v>3.1508439999999999E-2</v>
      </c>
      <c r="L332" s="203">
        <v>3.1812739999999999E-2</v>
      </c>
      <c r="M332" s="203">
        <v>3.2117029999999998E-2</v>
      </c>
      <c r="N332" s="203">
        <v>3.2448989999999997E-2</v>
      </c>
      <c r="O332" s="203">
        <v>3.2780940000000001E-2</v>
      </c>
      <c r="P332" s="203">
        <v>3.3085240000000002E-2</v>
      </c>
      <c r="Q332" s="203">
        <v>3.3444870000000002E-2</v>
      </c>
      <c r="R332" s="203">
        <v>3.3444870000000002E-2</v>
      </c>
      <c r="S332" s="203">
        <v>3.3444870000000002E-2</v>
      </c>
      <c r="T332" s="203">
        <v>3.3444870000000002E-2</v>
      </c>
      <c r="U332" s="203">
        <v>3.3444870000000002E-2</v>
      </c>
      <c r="V332" s="203">
        <v>3.3444870000000002E-2</v>
      </c>
      <c r="W332" s="203">
        <v>3.3444870000000002E-2</v>
      </c>
      <c r="X332" s="203">
        <v>3.3444870000000002E-2</v>
      </c>
      <c r="Y332" s="203">
        <v>3.3444870000000002E-2</v>
      </c>
      <c r="Z332" s="203">
        <v>3.3444870000000002E-2</v>
      </c>
      <c r="AA332" s="203">
        <v>3.3444870000000002E-2</v>
      </c>
      <c r="AB332" s="203">
        <v>3.3444870000000002E-2</v>
      </c>
      <c r="AC332" s="203">
        <v>3.3444870000000002E-2</v>
      </c>
      <c r="AD332" s="203">
        <v>3.3444870000000002E-2</v>
      </c>
      <c r="AE332" s="203">
        <v>3.3444870000000002E-2</v>
      </c>
      <c r="AF332" s="203">
        <v>3.3444870000000002E-2</v>
      </c>
      <c r="AG332" s="203">
        <v>3.3444870000000002E-2</v>
      </c>
    </row>
    <row r="333" spans="1:33">
      <c r="A333" s="203" t="s">
        <v>2269</v>
      </c>
      <c r="B333" s="203" t="s">
        <v>2277</v>
      </c>
      <c r="C333" s="203" t="s">
        <v>710</v>
      </c>
      <c r="D333" s="203" t="s">
        <v>671</v>
      </c>
      <c r="E333" s="203" t="s">
        <v>605</v>
      </c>
      <c r="F333" s="203" t="s">
        <v>598</v>
      </c>
      <c r="G333" s="203" t="s">
        <v>599</v>
      </c>
      <c r="H333" s="203" t="s">
        <v>2266</v>
      </c>
      <c r="I333" s="203" t="s">
        <v>2267</v>
      </c>
      <c r="J333" s="203">
        <v>1.22292169</v>
      </c>
      <c r="K333" s="203">
        <v>1.23594315</v>
      </c>
      <c r="L333" s="203">
        <v>1.2478793100000001</v>
      </c>
      <c r="M333" s="203">
        <v>1.25981561</v>
      </c>
      <c r="N333" s="203">
        <v>1.27283682</v>
      </c>
      <c r="O333" s="203">
        <v>1.28585814</v>
      </c>
      <c r="P333" s="203">
        <v>1.2977944400000001</v>
      </c>
      <c r="Q333" s="203">
        <v>1.31190092</v>
      </c>
      <c r="R333" s="203">
        <v>1.31190092</v>
      </c>
      <c r="S333" s="203">
        <v>1.31190092</v>
      </c>
      <c r="T333" s="203">
        <v>1.31190092</v>
      </c>
      <c r="U333" s="203">
        <v>1.31190092</v>
      </c>
      <c r="V333" s="203">
        <v>1.31190092</v>
      </c>
      <c r="W333" s="203">
        <v>1.31190092</v>
      </c>
      <c r="X333" s="203">
        <v>1.31190092</v>
      </c>
      <c r="Y333" s="203">
        <v>1.31190092</v>
      </c>
      <c r="Z333" s="203">
        <v>1.31190092</v>
      </c>
      <c r="AA333" s="203">
        <v>1.31190092</v>
      </c>
      <c r="AB333" s="203">
        <v>1.31190092</v>
      </c>
      <c r="AC333" s="203">
        <v>1.31190092</v>
      </c>
      <c r="AD333" s="203">
        <v>1.31190092</v>
      </c>
      <c r="AE333" s="203">
        <v>1.31190092</v>
      </c>
      <c r="AF333" s="203">
        <v>1.31190092</v>
      </c>
      <c r="AG333" s="203">
        <v>1.31190092</v>
      </c>
    </row>
    <row r="334" spans="1:33">
      <c r="A334" s="203" t="s">
        <v>2269</v>
      </c>
      <c r="B334" s="203" t="s">
        <v>2278</v>
      </c>
      <c r="C334" s="203" t="s">
        <v>710</v>
      </c>
      <c r="D334" s="203" t="s">
        <v>671</v>
      </c>
      <c r="E334" s="203" t="s">
        <v>688</v>
      </c>
      <c r="F334" s="203" t="s">
        <v>598</v>
      </c>
      <c r="G334" s="203" t="s">
        <v>599</v>
      </c>
      <c r="H334" s="203" t="s">
        <v>2266</v>
      </c>
      <c r="I334" s="203" t="s">
        <v>2267</v>
      </c>
      <c r="J334" s="203">
        <v>0</v>
      </c>
      <c r="K334" s="203">
        <v>0</v>
      </c>
      <c r="L334" s="203">
        <v>0</v>
      </c>
      <c r="M334" s="203">
        <v>0</v>
      </c>
      <c r="N334" s="203">
        <v>0</v>
      </c>
      <c r="O334" s="203">
        <v>0</v>
      </c>
      <c r="P334" s="203">
        <v>0</v>
      </c>
      <c r="Q334" s="203">
        <v>0</v>
      </c>
      <c r="R334" s="203">
        <v>0</v>
      </c>
      <c r="S334" s="203">
        <v>0</v>
      </c>
      <c r="T334" s="203">
        <v>0</v>
      </c>
      <c r="U334" s="203">
        <v>0</v>
      </c>
      <c r="V334" s="203">
        <v>0</v>
      </c>
      <c r="W334" s="203">
        <v>0</v>
      </c>
      <c r="X334" s="203">
        <v>0</v>
      </c>
      <c r="Y334" s="203">
        <v>0</v>
      </c>
      <c r="Z334" s="203">
        <v>0</v>
      </c>
      <c r="AA334" s="203">
        <v>0</v>
      </c>
      <c r="AB334" s="203">
        <v>0</v>
      </c>
      <c r="AC334" s="203">
        <v>0</v>
      </c>
      <c r="AD334" s="203">
        <v>0</v>
      </c>
      <c r="AE334" s="203">
        <v>0</v>
      </c>
      <c r="AF334" s="203">
        <v>0</v>
      </c>
      <c r="AG334" s="203">
        <v>0</v>
      </c>
    </row>
    <row r="335" spans="1:33">
      <c r="A335" s="203" t="s">
        <v>2269</v>
      </c>
      <c r="B335" s="203" t="s">
        <v>2279</v>
      </c>
      <c r="C335" s="203" t="s">
        <v>710</v>
      </c>
      <c r="D335" s="203" t="s">
        <v>621</v>
      </c>
      <c r="E335" s="203" t="s">
        <v>597</v>
      </c>
      <c r="F335" s="203" t="s">
        <v>598</v>
      </c>
      <c r="G335" s="203" t="s">
        <v>599</v>
      </c>
      <c r="H335" s="203" t="s">
        <v>2266</v>
      </c>
      <c r="I335" s="203" t="s">
        <v>2267</v>
      </c>
      <c r="J335" s="203">
        <v>5.5314000000000003E-4</v>
      </c>
      <c r="K335" s="203">
        <v>5.5853999999999995E-4</v>
      </c>
      <c r="L335" s="203">
        <v>5.6442999999999999E-4</v>
      </c>
      <c r="M335" s="203">
        <v>5.6983000000000001E-4</v>
      </c>
      <c r="N335" s="203">
        <v>5.7572000000000005E-4</v>
      </c>
      <c r="O335" s="203">
        <v>5.8111999999999997E-4</v>
      </c>
      <c r="P335" s="203">
        <v>5.8699999999999996E-4</v>
      </c>
      <c r="Q335" s="203">
        <v>5.9289E-4</v>
      </c>
      <c r="R335" s="203">
        <v>5.9289E-4</v>
      </c>
      <c r="S335" s="203">
        <v>5.9289E-4</v>
      </c>
      <c r="T335" s="203">
        <v>5.9289E-4</v>
      </c>
      <c r="U335" s="203">
        <v>5.9289E-4</v>
      </c>
      <c r="V335" s="203">
        <v>5.9289E-4</v>
      </c>
      <c r="W335" s="203">
        <v>5.9289E-4</v>
      </c>
      <c r="X335" s="203">
        <v>5.9289E-4</v>
      </c>
      <c r="Y335" s="203">
        <v>5.9289E-4</v>
      </c>
      <c r="Z335" s="203">
        <v>5.9289E-4</v>
      </c>
      <c r="AA335" s="203">
        <v>5.9289E-4</v>
      </c>
      <c r="AB335" s="203">
        <v>5.9289E-4</v>
      </c>
      <c r="AC335" s="203">
        <v>5.9289E-4</v>
      </c>
      <c r="AD335" s="203">
        <v>5.9289E-4</v>
      </c>
      <c r="AE335" s="203">
        <v>5.9289E-4</v>
      </c>
      <c r="AF335" s="203">
        <v>5.9289E-4</v>
      </c>
      <c r="AG335" s="203">
        <v>5.9289E-4</v>
      </c>
    </row>
    <row r="336" spans="1:33">
      <c r="A336" s="203" t="s">
        <v>2269</v>
      </c>
      <c r="B336" s="203" t="s">
        <v>2280</v>
      </c>
      <c r="C336" s="203" t="s">
        <v>710</v>
      </c>
      <c r="D336" s="203" t="s">
        <v>621</v>
      </c>
      <c r="E336" s="203" t="s">
        <v>692</v>
      </c>
      <c r="F336" s="203" t="s">
        <v>598</v>
      </c>
      <c r="G336" s="203" t="s">
        <v>599</v>
      </c>
      <c r="H336" s="203" t="s">
        <v>2266</v>
      </c>
      <c r="I336" s="203" t="s">
        <v>2267</v>
      </c>
      <c r="J336" s="203">
        <v>4.761E-5</v>
      </c>
      <c r="K336" s="203">
        <v>4.7660000000000001E-5</v>
      </c>
      <c r="L336" s="203">
        <v>4.7649999999999999E-5</v>
      </c>
      <c r="M336" s="203">
        <v>4.888E-5</v>
      </c>
      <c r="N336" s="203">
        <v>4.8860000000000003E-5</v>
      </c>
      <c r="O336" s="203">
        <v>5.011E-5</v>
      </c>
      <c r="P336" s="203">
        <v>5.0170000000000002E-5</v>
      </c>
      <c r="Q336" s="203">
        <v>5.0130000000000003E-5</v>
      </c>
      <c r="R336" s="203">
        <v>5.0130000000000003E-5</v>
      </c>
      <c r="S336" s="203">
        <v>5.0130000000000003E-5</v>
      </c>
      <c r="T336" s="203">
        <v>5.0130000000000003E-5</v>
      </c>
      <c r="U336" s="203">
        <v>5.0130000000000003E-5</v>
      </c>
      <c r="V336" s="203">
        <v>5.0130000000000003E-5</v>
      </c>
      <c r="W336" s="203">
        <v>5.0130000000000003E-5</v>
      </c>
      <c r="X336" s="203">
        <v>5.0130000000000003E-5</v>
      </c>
      <c r="Y336" s="203">
        <v>5.0130000000000003E-5</v>
      </c>
      <c r="Z336" s="203">
        <v>5.0130000000000003E-5</v>
      </c>
      <c r="AA336" s="203">
        <v>5.0130000000000003E-5</v>
      </c>
      <c r="AB336" s="203">
        <v>5.0130000000000003E-5</v>
      </c>
      <c r="AC336" s="203">
        <v>5.0130000000000003E-5</v>
      </c>
      <c r="AD336" s="203">
        <v>5.0130000000000003E-5</v>
      </c>
      <c r="AE336" s="203">
        <v>5.0130000000000003E-5</v>
      </c>
      <c r="AF336" s="203">
        <v>5.0130000000000003E-5</v>
      </c>
      <c r="AG336" s="203">
        <v>5.0130000000000003E-5</v>
      </c>
    </row>
    <row r="337" spans="1:33">
      <c r="A337" s="203" t="s">
        <v>2269</v>
      </c>
      <c r="B337" s="203" t="s">
        <v>2281</v>
      </c>
      <c r="C337" s="203" t="s">
        <v>710</v>
      </c>
      <c r="D337" s="203" t="s">
        <v>621</v>
      </c>
      <c r="E337" s="203" t="s">
        <v>638</v>
      </c>
      <c r="F337" s="203" t="s">
        <v>598</v>
      </c>
      <c r="G337" s="203" t="s">
        <v>599</v>
      </c>
      <c r="H337" s="203" t="s">
        <v>2266</v>
      </c>
      <c r="I337" s="203" t="s">
        <v>2267</v>
      </c>
      <c r="J337" s="203">
        <v>0</v>
      </c>
      <c r="K337" s="203">
        <v>0</v>
      </c>
      <c r="L337" s="203">
        <v>0</v>
      </c>
      <c r="M337" s="203">
        <v>0</v>
      </c>
      <c r="N337" s="203">
        <v>0</v>
      </c>
      <c r="O337" s="203">
        <v>0</v>
      </c>
      <c r="P337" s="203">
        <v>0</v>
      </c>
      <c r="Q337" s="203">
        <v>0</v>
      </c>
      <c r="R337" s="203">
        <v>0</v>
      </c>
      <c r="S337" s="203">
        <v>0</v>
      </c>
      <c r="T337" s="203">
        <v>0</v>
      </c>
      <c r="U337" s="203">
        <v>0</v>
      </c>
      <c r="V337" s="203">
        <v>0</v>
      </c>
      <c r="W337" s="203">
        <v>0</v>
      </c>
      <c r="X337" s="203">
        <v>0</v>
      </c>
      <c r="Y337" s="203">
        <v>0</v>
      </c>
      <c r="Z337" s="203">
        <v>0</v>
      </c>
      <c r="AA337" s="203">
        <v>0</v>
      </c>
      <c r="AB337" s="203">
        <v>0</v>
      </c>
      <c r="AC337" s="203">
        <v>0</v>
      </c>
      <c r="AD337" s="203">
        <v>0</v>
      </c>
      <c r="AE337" s="203">
        <v>0</v>
      </c>
      <c r="AF337" s="203">
        <v>0</v>
      </c>
      <c r="AG337" s="203">
        <v>0</v>
      </c>
    </row>
    <row r="338" spans="1:33">
      <c r="A338" s="203" t="s">
        <v>2269</v>
      </c>
      <c r="B338" s="203" t="s">
        <v>2282</v>
      </c>
      <c r="C338" s="203" t="s">
        <v>710</v>
      </c>
      <c r="D338" s="203" t="s">
        <v>632</v>
      </c>
      <c r="E338" s="203" t="s">
        <v>597</v>
      </c>
      <c r="F338" s="203" t="s">
        <v>598</v>
      </c>
      <c r="G338" s="203" t="s">
        <v>599</v>
      </c>
      <c r="H338" s="203" t="s">
        <v>2266</v>
      </c>
      <c r="I338" s="203" t="s">
        <v>2267</v>
      </c>
      <c r="J338" s="203">
        <v>9.2469430000000005E-2</v>
      </c>
      <c r="K338" s="203">
        <v>9.3591229999999997E-2</v>
      </c>
      <c r="L338" s="203">
        <v>9.4713060000000002E-2</v>
      </c>
      <c r="M338" s="203">
        <v>9.5834870000000003E-2</v>
      </c>
      <c r="N338" s="203">
        <v>9.6956689999999998E-2</v>
      </c>
      <c r="O338" s="203">
        <v>9.8158620000000002E-2</v>
      </c>
      <c r="P338" s="203">
        <v>9.9360569999999995E-2</v>
      </c>
      <c r="Q338" s="203">
        <v>0.10048238</v>
      </c>
      <c r="R338" s="203">
        <v>0.10048238</v>
      </c>
      <c r="S338" s="203">
        <v>0.10048238</v>
      </c>
      <c r="T338" s="203">
        <v>0.10048238</v>
      </c>
      <c r="U338" s="203">
        <v>0.10048238</v>
      </c>
      <c r="V338" s="203">
        <v>0.10048238</v>
      </c>
      <c r="W338" s="203">
        <v>0.10048238</v>
      </c>
      <c r="X338" s="203">
        <v>0.10048238</v>
      </c>
      <c r="Y338" s="203">
        <v>0.10048238</v>
      </c>
      <c r="Z338" s="203">
        <v>0.10048238</v>
      </c>
      <c r="AA338" s="203">
        <v>0.10048238</v>
      </c>
      <c r="AB338" s="203">
        <v>0.10048238</v>
      </c>
      <c r="AC338" s="203">
        <v>0.10048238</v>
      </c>
      <c r="AD338" s="203">
        <v>0.10048238</v>
      </c>
      <c r="AE338" s="203">
        <v>0.10048238</v>
      </c>
      <c r="AF338" s="203">
        <v>0.10048238</v>
      </c>
      <c r="AG338" s="203">
        <v>0.10048238</v>
      </c>
    </row>
    <row r="339" spans="1:33">
      <c r="A339" s="203" t="s">
        <v>2269</v>
      </c>
      <c r="B339" s="203" t="s">
        <v>2283</v>
      </c>
      <c r="C339" s="203" t="s">
        <v>710</v>
      </c>
      <c r="D339" s="203" t="s">
        <v>632</v>
      </c>
      <c r="E339" s="203" t="s">
        <v>642</v>
      </c>
      <c r="F339" s="203" t="s">
        <v>598</v>
      </c>
      <c r="G339" s="203" t="s">
        <v>599</v>
      </c>
      <c r="H339" s="203" t="s">
        <v>2266</v>
      </c>
      <c r="I339" s="203" t="s">
        <v>2267</v>
      </c>
      <c r="J339" s="203">
        <v>0</v>
      </c>
      <c r="K339" s="203">
        <v>0</v>
      </c>
      <c r="L339" s="203">
        <v>0</v>
      </c>
      <c r="M339" s="203">
        <v>0</v>
      </c>
      <c r="N339" s="203">
        <v>0</v>
      </c>
      <c r="O339" s="203">
        <v>0</v>
      </c>
      <c r="P339" s="203">
        <v>0</v>
      </c>
      <c r="Q339" s="203">
        <v>0</v>
      </c>
      <c r="R339" s="203">
        <v>0</v>
      </c>
      <c r="S339" s="203">
        <v>0</v>
      </c>
      <c r="T339" s="203">
        <v>0</v>
      </c>
      <c r="U339" s="203">
        <v>0</v>
      </c>
      <c r="V339" s="203">
        <v>0</v>
      </c>
      <c r="W339" s="203">
        <v>0</v>
      </c>
      <c r="X339" s="203">
        <v>0</v>
      </c>
      <c r="Y339" s="203">
        <v>0</v>
      </c>
      <c r="Z339" s="203">
        <v>0</v>
      </c>
      <c r="AA339" s="203">
        <v>0</v>
      </c>
      <c r="AB339" s="203">
        <v>0</v>
      </c>
      <c r="AC339" s="203">
        <v>0</v>
      </c>
      <c r="AD339" s="203">
        <v>0</v>
      </c>
      <c r="AE339" s="203">
        <v>0</v>
      </c>
      <c r="AF339" s="203">
        <v>0</v>
      </c>
      <c r="AG339" s="203">
        <v>0</v>
      </c>
    </row>
    <row r="340" spans="1:33">
      <c r="A340" s="203" t="s">
        <v>2269</v>
      </c>
      <c r="B340" s="203" t="s">
        <v>2284</v>
      </c>
      <c r="C340" s="203" t="s">
        <v>710</v>
      </c>
      <c r="D340" s="203" t="s">
        <v>632</v>
      </c>
      <c r="E340" s="203" t="s">
        <v>723</v>
      </c>
      <c r="F340" s="203" t="s">
        <v>598</v>
      </c>
      <c r="G340" s="203" t="s">
        <v>599</v>
      </c>
      <c r="H340" s="203" t="s">
        <v>2266</v>
      </c>
      <c r="I340" s="203" t="s">
        <v>2267</v>
      </c>
      <c r="J340" s="203">
        <v>3.8636829999999997E-2</v>
      </c>
      <c r="K340" s="203">
        <v>3.9105540000000001E-2</v>
      </c>
      <c r="L340" s="203">
        <v>3.9574270000000002E-2</v>
      </c>
      <c r="M340" s="203">
        <v>4.0043009999999997E-2</v>
      </c>
      <c r="N340" s="203">
        <v>4.0511739999999997E-2</v>
      </c>
      <c r="O340" s="203">
        <v>4.1013939999999999E-2</v>
      </c>
      <c r="P340" s="203">
        <v>4.1516169999999998E-2</v>
      </c>
      <c r="Q340" s="203">
        <v>4.1984880000000002E-2</v>
      </c>
      <c r="R340" s="203">
        <v>4.1984880000000002E-2</v>
      </c>
      <c r="S340" s="203">
        <v>4.1984880000000002E-2</v>
      </c>
      <c r="T340" s="203">
        <v>4.1984880000000002E-2</v>
      </c>
      <c r="U340" s="203">
        <v>4.1984880000000002E-2</v>
      </c>
      <c r="V340" s="203">
        <v>4.1984880000000002E-2</v>
      </c>
      <c r="W340" s="203">
        <v>4.1984880000000002E-2</v>
      </c>
      <c r="X340" s="203">
        <v>4.1984880000000002E-2</v>
      </c>
      <c r="Y340" s="203">
        <v>4.1984880000000002E-2</v>
      </c>
      <c r="Z340" s="203">
        <v>4.1984880000000002E-2</v>
      </c>
      <c r="AA340" s="203">
        <v>4.1984880000000002E-2</v>
      </c>
      <c r="AB340" s="203">
        <v>4.1984880000000002E-2</v>
      </c>
      <c r="AC340" s="203">
        <v>4.1984880000000002E-2</v>
      </c>
      <c r="AD340" s="203">
        <v>4.1984880000000002E-2</v>
      </c>
      <c r="AE340" s="203">
        <v>4.1984880000000002E-2</v>
      </c>
      <c r="AF340" s="203">
        <v>4.1984880000000002E-2</v>
      </c>
      <c r="AG340" s="203">
        <v>4.1984880000000002E-2</v>
      </c>
    </row>
    <row r="341" spans="1:33">
      <c r="A341" s="203" t="s">
        <v>2269</v>
      </c>
      <c r="B341" s="203" t="s">
        <v>2285</v>
      </c>
      <c r="C341" s="203" t="s">
        <v>710</v>
      </c>
      <c r="D341" s="203" t="s">
        <v>640</v>
      </c>
      <c r="E341" s="203" t="s">
        <v>597</v>
      </c>
      <c r="F341" s="203" t="s">
        <v>598</v>
      </c>
      <c r="G341" s="203" t="s">
        <v>599</v>
      </c>
      <c r="H341" s="203" t="s">
        <v>2266</v>
      </c>
      <c r="I341" s="203" t="s">
        <v>2267</v>
      </c>
      <c r="J341" s="203">
        <v>2.56836E-3</v>
      </c>
      <c r="K341" s="203">
        <v>2.5910500000000001E-3</v>
      </c>
      <c r="L341" s="203">
        <v>2.6114799999999998E-3</v>
      </c>
      <c r="M341" s="203">
        <v>2.63189E-3</v>
      </c>
      <c r="N341" s="203">
        <v>2.6545900000000001E-3</v>
      </c>
      <c r="O341" s="203">
        <v>2.69769E-3</v>
      </c>
      <c r="P341" s="203">
        <v>2.7181100000000001E-3</v>
      </c>
      <c r="Q341" s="203">
        <v>2.7407999999999998E-3</v>
      </c>
      <c r="R341" s="203">
        <v>2.7407999999999998E-3</v>
      </c>
      <c r="S341" s="203">
        <v>2.7407999999999998E-3</v>
      </c>
      <c r="T341" s="203">
        <v>2.7407999999999998E-3</v>
      </c>
      <c r="U341" s="203">
        <v>2.7407999999999998E-3</v>
      </c>
      <c r="V341" s="203">
        <v>2.7407999999999998E-3</v>
      </c>
      <c r="W341" s="203">
        <v>2.7407999999999998E-3</v>
      </c>
      <c r="X341" s="203">
        <v>2.7407999999999998E-3</v>
      </c>
      <c r="Y341" s="203">
        <v>2.7407999999999998E-3</v>
      </c>
      <c r="Z341" s="203">
        <v>2.7407999999999998E-3</v>
      </c>
      <c r="AA341" s="203">
        <v>2.7407999999999998E-3</v>
      </c>
      <c r="AB341" s="203">
        <v>2.7407999999999998E-3</v>
      </c>
      <c r="AC341" s="203">
        <v>2.7407999999999998E-3</v>
      </c>
      <c r="AD341" s="203">
        <v>2.7407999999999998E-3</v>
      </c>
      <c r="AE341" s="203">
        <v>2.7407999999999998E-3</v>
      </c>
      <c r="AF341" s="203">
        <v>2.7407999999999998E-3</v>
      </c>
      <c r="AG341" s="203">
        <v>2.7407999999999998E-3</v>
      </c>
    </row>
    <row r="342" spans="1:33">
      <c r="A342" s="203" t="s">
        <v>2269</v>
      </c>
      <c r="B342" s="203" t="s">
        <v>2286</v>
      </c>
      <c r="C342" s="203" t="s">
        <v>710</v>
      </c>
      <c r="D342" s="203" t="s">
        <v>640</v>
      </c>
      <c r="E342" s="203" t="s">
        <v>642</v>
      </c>
      <c r="F342" s="203" t="s">
        <v>598</v>
      </c>
      <c r="G342" s="203" t="s">
        <v>599</v>
      </c>
      <c r="H342" s="203" t="s">
        <v>2266</v>
      </c>
      <c r="I342" s="203" t="s">
        <v>2267</v>
      </c>
      <c r="J342" s="203">
        <v>9.289E-5</v>
      </c>
      <c r="K342" s="203">
        <v>9.3880000000000002E-5</v>
      </c>
      <c r="L342" s="203">
        <v>9.4790000000000006E-5</v>
      </c>
      <c r="M342" s="203">
        <v>9.569E-5</v>
      </c>
      <c r="N342" s="203">
        <v>9.6680000000000003E-5</v>
      </c>
      <c r="O342" s="203">
        <v>9.7670000000000005E-5</v>
      </c>
      <c r="P342" s="203">
        <v>9.8579999999999995E-5</v>
      </c>
      <c r="Q342" s="203">
        <v>9.9649999999999996E-5</v>
      </c>
      <c r="R342" s="203">
        <v>9.9649999999999996E-5</v>
      </c>
      <c r="S342" s="203">
        <v>9.9649999999999996E-5</v>
      </c>
      <c r="T342" s="203">
        <v>9.9649999999999996E-5</v>
      </c>
      <c r="U342" s="203">
        <v>9.9649999999999996E-5</v>
      </c>
      <c r="V342" s="203">
        <v>9.9649999999999996E-5</v>
      </c>
      <c r="W342" s="203">
        <v>9.9649999999999996E-5</v>
      </c>
      <c r="X342" s="203">
        <v>9.9649999999999996E-5</v>
      </c>
      <c r="Y342" s="203">
        <v>9.9649999999999996E-5</v>
      </c>
      <c r="Z342" s="203">
        <v>9.9649999999999996E-5</v>
      </c>
      <c r="AA342" s="203">
        <v>9.9649999999999996E-5</v>
      </c>
      <c r="AB342" s="203">
        <v>9.9649999999999996E-5</v>
      </c>
      <c r="AC342" s="203">
        <v>9.9649999999999996E-5</v>
      </c>
      <c r="AD342" s="203">
        <v>9.9649999999999996E-5</v>
      </c>
      <c r="AE342" s="203">
        <v>9.9649999999999996E-5</v>
      </c>
      <c r="AF342" s="203">
        <v>9.9649999999999996E-5</v>
      </c>
      <c r="AG342" s="203">
        <v>9.9649999999999996E-5</v>
      </c>
    </row>
    <row r="343" spans="1:33">
      <c r="A343" s="203" t="s">
        <v>2269</v>
      </c>
      <c r="B343" s="203" t="s">
        <v>2287</v>
      </c>
      <c r="C343" s="203" t="s">
        <v>710</v>
      </c>
      <c r="D343" s="203" t="s">
        <v>640</v>
      </c>
      <c r="E343" s="203" t="s">
        <v>605</v>
      </c>
      <c r="F343" s="203" t="s">
        <v>598</v>
      </c>
      <c r="G343" s="203" t="s">
        <v>599</v>
      </c>
      <c r="H343" s="203" t="s">
        <v>2266</v>
      </c>
      <c r="I343" s="203" t="s">
        <v>2267</v>
      </c>
      <c r="J343" s="203">
        <v>6.9298219999999994E-2</v>
      </c>
      <c r="K343" s="203">
        <v>6.9910379999999994E-2</v>
      </c>
      <c r="L343" s="203">
        <v>7.0461350000000006E-2</v>
      </c>
      <c r="M343" s="203">
        <v>7.10123E-2</v>
      </c>
      <c r="N343" s="203">
        <v>7.1624480000000004E-2</v>
      </c>
      <c r="O343" s="203">
        <v>7.2787619999999997E-2</v>
      </c>
      <c r="P343" s="203">
        <v>7.3338559999999997E-2</v>
      </c>
      <c r="Q343" s="203">
        <v>7.3950749999999996E-2</v>
      </c>
      <c r="R343" s="203">
        <v>7.3950749999999996E-2</v>
      </c>
      <c r="S343" s="203">
        <v>7.3950749999999996E-2</v>
      </c>
      <c r="T343" s="203">
        <v>7.3950749999999996E-2</v>
      </c>
      <c r="U343" s="203">
        <v>7.3950749999999996E-2</v>
      </c>
      <c r="V343" s="203">
        <v>7.3950749999999996E-2</v>
      </c>
      <c r="W343" s="203">
        <v>7.3950749999999996E-2</v>
      </c>
      <c r="X343" s="203">
        <v>7.3950749999999996E-2</v>
      </c>
      <c r="Y343" s="203">
        <v>7.3950749999999996E-2</v>
      </c>
      <c r="Z343" s="203">
        <v>7.3950749999999996E-2</v>
      </c>
      <c r="AA343" s="203">
        <v>7.3950749999999996E-2</v>
      </c>
      <c r="AB343" s="203">
        <v>7.3950749999999996E-2</v>
      </c>
      <c r="AC343" s="203">
        <v>7.3950749999999996E-2</v>
      </c>
      <c r="AD343" s="203">
        <v>7.3950749999999996E-2</v>
      </c>
      <c r="AE343" s="203">
        <v>7.3950749999999996E-2</v>
      </c>
      <c r="AF343" s="203">
        <v>7.3950749999999996E-2</v>
      </c>
      <c r="AG343" s="203">
        <v>7.3950749999999996E-2</v>
      </c>
    </row>
    <row r="344" spans="1:33">
      <c r="A344" s="203" t="s">
        <v>2269</v>
      </c>
      <c r="B344" s="203" t="s">
        <v>2288</v>
      </c>
      <c r="C344" s="203" t="s">
        <v>710</v>
      </c>
      <c r="D344" s="203" t="s">
        <v>640</v>
      </c>
      <c r="E344" s="203" t="s">
        <v>613</v>
      </c>
      <c r="F344" s="203" t="s">
        <v>598</v>
      </c>
      <c r="G344" s="203" t="s">
        <v>599</v>
      </c>
      <c r="H344" s="203" t="s">
        <v>2266</v>
      </c>
      <c r="I344" s="203" t="s">
        <v>2267</v>
      </c>
      <c r="J344" s="203">
        <v>0.86933285000000005</v>
      </c>
      <c r="K344" s="203">
        <v>0.87710860000000002</v>
      </c>
      <c r="L344" s="203">
        <v>0.88566197000000002</v>
      </c>
      <c r="M344" s="203">
        <v>0.89343773000000004</v>
      </c>
      <c r="N344" s="203">
        <v>0.90199105000000002</v>
      </c>
      <c r="O344" s="203">
        <v>0.91054442000000002</v>
      </c>
      <c r="P344" s="203">
        <v>0.91909784999999999</v>
      </c>
      <c r="Q344" s="203">
        <v>0.92765111</v>
      </c>
      <c r="R344" s="203">
        <v>0.92765111</v>
      </c>
      <c r="S344" s="203">
        <v>0.92765111</v>
      </c>
      <c r="T344" s="203">
        <v>0.92765111</v>
      </c>
      <c r="U344" s="203">
        <v>0.92765111</v>
      </c>
      <c r="V344" s="203">
        <v>0.92765111</v>
      </c>
      <c r="W344" s="203">
        <v>0.92765111</v>
      </c>
      <c r="X344" s="203">
        <v>0.92765111</v>
      </c>
      <c r="Y344" s="203">
        <v>0.92765111</v>
      </c>
      <c r="Z344" s="203">
        <v>0.92765111</v>
      </c>
      <c r="AA344" s="203">
        <v>0.92765111</v>
      </c>
      <c r="AB344" s="203">
        <v>0.92765111</v>
      </c>
      <c r="AC344" s="203">
        <v>0.92765111</v>
      </c>
      <c r="AD344" s="203">
        <v>0.92765111</v>
      </c>
      <c r="AE344" s="203">
        <v>0.92765111</v>
      </c>
      <c r="AF344" s="203">
        <v>0.92765111</v>
      </c>
      <c r="AG344" s="203">
        <v>0.92765111</v>
      </c>
    </row>
    <row r="345" spans="1:33">
      <c r="J345" s="15">
        <f>SUM(J326:J344)</f>
        <v>2.4377757799999999</v>
      </c>
      <c r="K345" s="72">
        <f t="shared" ref="K345:AF345" si="31">SUM(K326:K344)</f>
        <v>2.4622766500000002</v>
      </c>
      <c r="L345" s="72">
        <f t="shared" si="31"/>
        <v>2.4862840999999998</v>
      </c>
      <c r="M345" s="72">
        <f t="shared" si="31"/>
        <v>2.5095147799999999</v>
      </c>
      <c r="N345" s="72">
        <f t="shared" si="31"/>
        <v>2.53479345</v>
      </c>
      <c r="O345" s="72">
        <f t="shared" si="31"/>
        <v>2.5607579600000001</v>
      </c>
      <c r="P345" s="72">
        <f t="shared" si="31"/>
        <v>2.5848792700000001</v>
      </c>
      <c r="Q345" s="72">
        <f t="shared" si="31"/>
        <v>2.6113658500000003</v>
      </c>
      <c r="R345" s="72">
        <f>SUM(R326:R344)</f>
        <v>2.6113658500000003</v>
      </c>
      <c r="S345" s="72">
        <f t="shared" si="31"/>
        <v>2.6113658500000003</v>
      </c>
      <c r="T345" s="72">
        <f t="shared" si="31"/>
        <v>2.6113658500000003</v>
      </c>
      <c r="U345" s="72">
        <f t="shared" si="31"/>
        <v>2.6113658500000003</v>
      </c>
      <c r="V345" s="72">
        <f t="shared" si="31"/>
        <v>2.6113658500000003</v>
      </c>
      <c r="W345" s="72">
        <f t="shared" si="31"/>
        <v>2.6113658500000003</v>
      </c>
      <c r="X345" s="72">
        <f t="shared" si="31"/>
        <v>2.6113658500000003</v>
      </c>
      <c r="Y345" s="72">
        <f t="shared" si="31"/>
        <v>2.6113658500000003</v>
      </c>
      <c r="Z345" s="72">
        <f t="shared" si="31"/>
        <v>2.6113658500000003</v>
      </c>
      <c r="AA345" s="72">
        <f t="shared" si="31"/>
        <v>2.6113658500000003</v>
      </c>
      <c r="AB345" s="72">
        <f t="shared" si="31"/>
        <v>2.6113658500000003</v>
      </c>
      <c r="AC345" s="72">
        <f t="shared" si="31"/>
        <v>2.6113658500000003</v>
      </c>
      <c r="AD345" s="72">
        <f t="shared" si="31"/>
        <v>2.6113658500000003</v>
      </c>
      <c r="AE345" s="72">
        <f t="shared" si="31"/>
        <v>2.6113658500000003</v>
      </c>
      <c r="AF345" s="72">
        <f t="shared" si="31"/>
        <v>2.6113658500000003</v>
      </c>
      <c r="AG345" s="73">
        <f>SUM(AG326:AG344)</f>
        <v>2.6113658500000003</v>
      </c>
    </row>
    <row r="346" spans="1:33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t="s">
        <v>18840</v>
      </c>
    </row>
    <row r="348" spans="1:33">
      <c r="A348" s="240" t="s">
        <v>569</v>
      </c>
      <c r="B348" s="240" t="s">
        <v>570</v>
      </c>
      <c r="C348" s="240" t="s">
        <v>571</v>
      </c>
      <c r="D348" s="240" t="s">
        <v>572</v>
      </c>
      <c r="E348" s="240" t="s">
        <v>573</v>
      </c>
      <c r="F348" s="240" t="s">
        <v>574</v>
      </c>
      <c r="G348" s="240" t="s">
        <v>575</v>
      </c>
      <c r="H348" s="240" t="s">
        <v>576</v>
      </c>
      <c r="I348" s="240" t="s">
        <v>577</v>
      </c>
      <c r="J348" s="240">
        <v>2023</v>
      </c>
      <c r="K348" s="240">
        <v>2024</v>
      </c>
      <c r="L348" s="240">
        <v>2025</v>
      </c>
      <c r="M348" s="240">
        <v>2026</v>
      </c>
      <c r="N348" s="240">
        <v>2027</v>
      </c>
      <c r="O348" s="240">
        <v>2028</v>
      </c>
      <c r="P348" s="240">
        <v>2029</v>
      </c>
      <c r="Q348" s="240">
        <v>2030</v>
      </c>
      <c r="R348" s="240">
        <v>2031</v>
      </c>
      <c r="S348" s="240">
        <v>2032</v>
      </c>
      <c r="T348" s="240">
        <v>2033</v>
      </c>
      <c r="U348" s="240">
        <v>2034</v>
      </c>
      <c r="V348" s="240">
        <v>2035</v>
      </c>
      <c r="W348" s="240">
        <v>2036</v>
      </c>
      <c r="X348" s="240">
        <v>2037</v>
      </c>
      <c r="Y348" s="240">
        <v>2038</v>
      </c>
      <c r="Z348" s="240">
        <v>2039</v>
      </c>
      <c r="AA348" s="240">
        <v>2040</v>
      </c>
      <c r="AB348" s="240">
        <v>2041</v>
      </c>
      <c r="AC348" s="240">
        <v>2042</v>
      </c>
      <c r="AD348" s="240">
        <v>2043</v>
      </c>
      <c r="AE348" s="240">
        <v>2044</v>
      </c>
      <c r="AF348" s="240">
        <v>2045</v>
      </c>
      <c r="AG348" s="240">
        <v>2046</v>
      </c>
    </row>
    <row r="349" spans="1:33">
      <c r="A349" s="113" t="s">
        <v>2264</v>
      </c>
      <c r="B349" s="113" t="s">
        <v>2265</v>
      </c>
      <c r="C349" s="113" t="s">
        <v>1382</v>
      </c>
      <c r="D349" s="113" t="s">
        <v>1311</v>
      </c>
      <c r="E349" s="113" t="s">
        <v>597</v>
      </c>
      <c r="F349" s="113" t="s">
        <v>598</v>
      </c>
      <c r="G349" s="113" t="s">
        <v>599</v>
      </c>
      <c r="H349" s="113" t="s">
        <v>2266</v>
      </c>
      <c r="I349" s="113" t="s">
        <v>2267</v>
      </c>
      <c r="J349" s="234">
        <v>8.2200000000000006E-5</v>
      </c>
      <c r="K349" s="234">
        <v>8.2200000000000006E-5</v>
      </c>
      <c r="L349" s="234">
        <v>8.2200000000000006E-5</v>
      </c>
      <c r="M349" s="234">
        <v>8.2200000000000006E-5</v>
      </c>
      <c r="N349" s="234">
        <v>8.2200000000000006E-5</v>
      </c>
      <c r="O349" s="234">
        <v>8.2200000000000006E-5</v>
      </c>
      <c r="P349" s="234">
        <v>8.2200000000000006E-5</v>
      </c>
      <c r="Q349" s="234">
        <v>8.2200000000000006E-5</v>
      </c>
      <c r="R349" s="234">
        <v>8.2200000000000006E-5</v>
      </c>
      <c r="S349" s="234">
        <v>8.2200000000000006E-5</v>
      </c>
      <c r="T349" s="234">
        <v>8.2200000000000006E-5</v>
      </c>
      <c r="U349" s="234">
        <v>8.2200000000000006E-5</v>
      </c>
      <c r="V349" s="234">
        <v>8.2200000000000006E-5</v>
      </c>
      <c r="W349" s="234">
        <v>8.2200000000000006E-5</v>
      </c>
      <c r="X349" s="234">
        <v>8.2200000000000006E-5</v>
      </c>
      <c r="Y349" s="234">
        <v>8.2200000000000006E-5</v>
      </c>
      <c r="Z349" s="234">
        <v>8.2200000000000006E-5</v>
      </c>
      <c r="AA349" s="234">
        <v>8.2200000000000006E-5</v>
      </c>
      <c r="AB349" s="234">
        <v>8.2200000000000006E-5</v>
      </c>
      <c r="AC349" s="234">
        <v>8.2200000000000006E-5</v>
      </c>
      <c r="AD349" s="234">
        <v>8.2200000000000006E-5</v>
      </c>
      <c r="AE349" s="234">
        <v>8.2200000000000006E-5</v>
      </c>
      <c r="AF349" s="234">
        <v>8.2200000000000006E-5</v>
      </c>
      <c r="AG349" s="234">
        <v>8.2200000000000006E-5</v>
      </c>
    </row>
    <row r="350" spans="1:33">
      <c r="A350" s="113" t="s">
        <v>2264</v>
      </c>
      <c r="B350" s="113" t="s">
        <v>2268</v>
      </c>
      <c r="C350" s="113" t="s">
        <v>1382</v>
      </c>
      <c r="D350" s="113" t="s">
        <v>648</v>
      </c>
      <c r="E350" s="113" t="s">
        <v>920</v>
      </c>
      <c r="F350" s="113" t="s">
        <v>598</v>
      </c>
      <c r="G350" s="113" t="s">
        <v>599</v>
      </c>
      <c r="H350" s="113" t="s">
        <v>2266</v>
      </c>
      <c r="I350" s="113" t="s">
        <v>2267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3">
        <v>0</v>
      </c>
      <c r="R350" s="113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>
        <v>0</v>
      </c>
      <c r="AA350" s="113">
        <v>0</v>
      </c>
      <c r="AB350" s="113">
        <v>0</v>
      </c>
      <c r="AC350" s="113">
        <v>0</v>
      </c>
      <c r="AD350" s="113">
        <v>0</v>
      </c>
      <c r="AE350" s="113">
        <v>0</v>
      </c>
      <c r="AF350" s="113">
        <v>0</v>
      </c>
      <c r="AG350" s="113">
        <v>0</v>
      </c>
    </row>
    <row r="351" spans="1:33">
      <c r="J351" s="286">
        <f>SUM(J349:J350)</f>
        <v>8.2200000000000006E-5</v>
      </c>
      <c r="K351" s="287">
        <f t="shared" ref="K351:AG351" si="32">SUM(K349:K350)</f>
        <v>8.2200000000000006E-5</v>
      </c>
      <c r="L351" s="287">
        <f t="shared" si="32"/>
        <v>8.2200000000000006E-5</v>
      </c>
      <c r="M351" s="287">
        <f t="shared" si="32"/>
        <v>8.2200000000000006E-5</v>
      </c>
      <c r="N351" s="287">
        <f t="shared" si="32"/>
        <v>8.2200000000000006E-5</v>
      </c>
      <c r="O351" s="287">
        <f t="shared" si="32"/>
        <v>8.2200000000000006E-5</v>
      </c>
      <c r="P351" s="287">
        <f t="shared" si="32"/>
        <v>8.2200000000000006E-5</v>
      </c>
      <c r="Q351" s="287">
        <f t="shared" si="32"/>
        <v>8.2200000000000006E-5</v>
      </c>
      <c r="R351" s="287">
        <f t="shared" si="32"/>
        <v>8.2200000000000006E-5</v>
      </c>
      <c r="S351" s="287">
        <f t="shared" si="32"/>
        <v>8.2200000000000006E-5</v>
      </c>
      <c r="T351" s="287">
        <f t="shared" si="32"/>
        <v>8.2200000000000006E-5</v>
      </c>
      <c r="U351" s="287">
        <f t="shared" si="32"/>
        <v>8.2200000000000006E-5</v>
      </c>
      <c r="V351" s="287">
        <f t="shared" si="32"/>
        <v>8.2200000000000006E-5</v>
      </c>
      <c r="W351" s="287">
        <f t="shared" si="32"/>
        <v>8.2200000000000006E-5</v>
      </c>
      <c r="X351" s="287">
        <f t="shared" si="32"/>
        <v>8.2200000000000006E-5</v>
      </c>
      <c r="Y351" s="287">
        <f t="shared" si="32"/>
        <v>8.2200000000000006E-5</v>
      </c>
      <c r="Z351" s="287">
        <f t="shared" si="32"/>
        <v>8.2200000000000006E-5</v>
      </c>
      <c r="AA351" s="287">
        <f t="shared" si="32"/>
        <v>8.2200000000000006E-5</v>
      </c>
      <c r="AB351" s="287">
        <f t="shared" si="32"/>
        <v>8.2200000000000006E-5</v>
      </c>
      <c r="AC351" s="287">
        <f t="shared" si="32"/>
        <v>8.2200000000000006E-5</v>
      </c>
      <c r="AD351" s="287">
        <f t="shared" si="32"/>
        <v>8.2200000000000006E-5</v>
      </c>
      <c r="AE351" s="287">
        <f t="shared" si="32"/>
        <v>8.2200000000000006E-5</v>
      </c>
      <c r="AF351" s="287">
        <f t="shared" si="32"/>
        <v>8.2200000000000006E-5</v>
      </c>
      <c r="AG351" s="288">
        <f t="shared" si="32"/>
        <v>8.2200000000000006E-5</v>
      </c>
    </row>
    <row r="352" spans="1:33" ht="14.65" customHeight="1"/>
    <row r="353" spans="1:33">
      <c r="A353" t="s">
        <v>18841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187" t="s">
        <v>569</v>
      </c>
      <c r="B354" s="187" t="s">
        <v>570</v>
      </c>
      <c r="C354" s="187" t="s">
        <v>571</v>
      </c>
      <c r="D354" s="187" t="s">
        <v>572</v>
      </c>
      <c r="E354" s="187" t="s">
        <v>573</v>
      </c>
      <c r="F354" s="187" t="s">
        <v>574</v>
      </c>
      <c r="G354" s="187" t="s">
        <v>575</v>
      </c>
      <c r="H354" s="187" t="s">
        <v>576</v>
      </c>
      <c r="I354" s="187" t="s">
        <v>577</v>
      </c>
      <c r="J354" s="187">
        <v>2023</v>
      </c>
      <c r="K354" s="187">
        <v>2024</v>
      </c>
      <c r="L354" s="187">
        <v>2025</v>
      </c>
      <c r="M354" s="187">
        <v>2026</v>
      </c>
      <c r="N354" s="187">
        <v>2027</v>
      </c>
      <c r="O354" s="187">
        <v>2028</v>
      </c>
      <c r="P354" s="187">
        <v>2029</v>
      </c>
      <c r="Q354" s="187">
        <v>2030</v>
      </c>
      <c r="R354" s="187">
        <v>2031</v>
      </c>
      <c r="S354" s="187">
        <v>2032</v>
      </c>
      <c r="T354" s="187">
        <v>2033</v>
      </c>
      <c r="U354" s="187">
        <v>2034</v>
      </c>
      <c r="V354" s="187">
        <v>2035</v>
      </c>
      <c r="W354" s="187">
        <v>2036</v>
      </c>
      <c r="X354" s="187">
        <v>2037</v>
      </c>
      <c r="Y354" s="187">
        <v>2038</v>
      </c>
      <c r="Z354" s="187">
        <v>2039</v>
      </c>
      <c r="AA354" s="187">
        <v>2040</v>
      </c>
      <c r="AB354" s="187">
        <v>2041</v>
      </c>
      <c r="AC354" s="187">
        <v>2042</v>
      </c>
      <c r="AD354" s="187">
        <v>2043</v>
      </c>
      <c r="AE354" s="187">
        <v>2044</v>
      </c>
      <c r="AF354" s="187">
        <v>2045</v>
      </c>
      <c r="AG354" s="187">
        <v>2046</v>
      </c>
    </row>
    <row r="355" spans="1:33">
      <c r="A355" t="s">
        <v>18778</v>
      </c>
      <c r="B355" t="s">
        <v>18642</v>
      </c>
      <c r="C355" t="s">
        <v>1382</v>
      </c>
      <c r="D355" t="s">
        <v>1305</v>
      </c>
      <c r="E355" t="s">
        <v>973</v>
      </c>
      <c r="F355" t="s">
        <v>598</v>
      </c>
      <c r="G355" t="s">
        <v>599</v>
      </c>
      <c r="H355" t="s">
        <v>2266</v>
      </c>
      <c r="I355" t="s">
        <v>2267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</row>
    <row r="356" spans="1:33">
      <c r="A356" t="s">
        <v>18778</v>
      </c>
      <c r="B356" t="s">
        <v>18842</v>
      </c>
      <c r="C356" t="s">
        <v>1382</v>
      </c>
      <c r="D356" t="s">
        <v>1392</v>
      </c>
      <c r="E356" t="s">
        <v>713</v>
      </c>
      <c r="F356" t="s">
        <v>598</v>
      </c>
      <c r="G356" t="s">
        <v>599</v>
      </c>
      <c r="H356" t="s">
        <v>2266</v>
      </c>
      <c r="I356" t="s">
        <v>2267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</row>
    <row r="357" spans="1:33">
      <c r="A357" t="s">
        <v>18778</v>
      </c>
      <c r="B357" t="s">
        <v>18735</v>
      </c>
      <c r="C357" t="s">
        <v>1382</v>
      </c>
      <c r="D357" t="s">
        <v>1316</v>
      </c>
      <c r="E357" t="s">
        <v>1402</v>
      </c>
      <c r="F357" t="s">
        <v>598</v>
      </c>
      <c r="G357" t="s">
        <v>599</v>
      </c>
      <c r="H357" t="s">
        <v>2266</v>
      </c>
      <c r="I357" t="s">
        <v>2267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</row>
    <row r="358" spans="1:33">
      <c r="A358" t="s">
        <v>18778</v>
      </c>
      <c r="B358" t="s">
        <v>18722</v>
      </c>
      <c r="C358" t="s">
        <v>1382</v>
      </c>
      <c r="D358" t="s">
        <v>1320</v>
      </c>
      <c r="E358" t="s">
        <v>1402</v>
      </c>
      <c r="F358" t="s">
        <v>598</v>
      </c>
      <c r="G358" t="s">
        <v>599</v>
      </c>
      <c r="H358" t="s">
        <v>2266</v>
      </c>
      <c r="I358" t="s">
        <v>2267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</row>
    <row r="359" spans="1:33">
      <c r="A359" t="s">
        <v>18778</v>
      </c>
      <c r="B359" t="s">
        <v>18658</v>
      </c>
      <c r="C359" t="s">
        <v>1382</v>
      </c>
      <c r="D359" t="s">
        <v>1324</v>
      </c>
      <c r="E359" t="s">
        <v>1326</v>
      </c>
      <c r="F359" t="s">
        <v>598</v>
      </c>
      <c r="G359" t="s">
        <v>599</v>
      </c>
      <c r="H359" t="s">
        <v>2266</v>
      </c>
      <c r="I359" t="s">
        <v>2267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</row>
    <row r="360" spans="1:33">
      <c r="A360" t="s">
        <v>18778</v>
      </c>
      <c r="B360" t="s">
        <v>18707</v>
      </c>
      <c r="C360" t="s">
        <v>1382</v>
      </c>
      <c r="D360" t="s">
        <v>1332</v>
      </c>
      <c r="E360" t="s">
        <v>1512</v>
      </c>
      <c r="F360" t="s">
        <v>598</v>
      </c>
      <c r="G360" t="s">
        <v>599</v>
      </c>
      <c r="H360" t="s">
        <v>2266</v>
      </c>
      <c r="I360" t="s">
        <v>2267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</row>
    <row r="361" spans="1:33">
      <c r="A361" t="s">
        <v>18778</v>
      </c>
      <c r="B361" t="s">
        <v>2268</v>
      </c>
      <c r="C361" t="s">
        <v>1382</v>
      </c>
      <c r="D361" t="s">
        <v>648</v>
      </c>
      <c r="E361" t="s">
        <v>920</v>
      </c>
      <c r="F361" t="s">
        <v>598</v>
      </c>
      <c r="G361" t="s">
        <v>599</v>
      </c>
      <c r="H361" t="s">
        <v>2266</v>
      </c>
      <c r="I361" t="s">
        <v>2267</v>
      </c>
      <c r="J361">
        <v>1.0469399999999999E-3</v>
      </c>
      <c r="K361">
        <v>1.0469399999999999E-3</v>
      </c>
      <c r="L361">
        <v>1.0469399999999999E-3</v>
      </c>
      <c r="M361">
        <v>1.0469399999999999E-3</v>
      </c>
      <c r="N361">
        <v>1.0469399999999999E-3</v>
      </c>
      <c r="O361">
        <v>1.0469399999999999E-3</v>
      </c>
      <c r="P361">
        <v>1.0469399999999999E-3</v>
      </c>
      <c r="Q361">
        <v>1.0469399999999999E-3</v>
      </c>
      <c r="R361">
        <v>1.0469399999999999E-3</v>
      </c>
      <c r="S361">
        <v>1.0469399999999999E-3</v>
      </c>
      <c r="T361">
        <v>1.0469399999999999E-3</v>
      </c>
      <c r="U361">
        <v>1.0469399999999999E-3</v>
      </c>
      <c r="V361">
        <v>1.0469399999999999E-3</v>
      </c>
      <c r="W361">
        <v>1.0469399999999999E-3</v>
      </c>
      <c r="X361">
        <v>1.0469399999999999E-3</v>
      </c>
      <c r="Y361">
        <v>1.0469399999999999E-3</v>
      </c>
      <c r="Z361">
        <v>1.0469399999999999E-3</v>
      </c>
      <c r="AA361">
        <v>1.0469399999999999E-3</v>
      </c>
      <c r="AB361">
        <v>1.0469399999999999E-3</v>
      </c>
      <c r="AC361">
        <v>1.0469399999999999E-3</v>
      </c>
      <c r="AD361">
        <v>1.0469399999999999E-3</v>
      </c>
      <c r="AE361">
        <v>1.0469399999999999E-3</v>
      </c>
      <c r="AF361">
        <v>1.0469399999999999E-3</v>
      </c>
      <c r="AG361">
        <v>1.0469399999999999E-3</v>
      </c>
    </row>
    <row r="362" spans="1:33">
      <c r="A362" t="s">
        <v>18778</v>
      </c>
      <c r="B362" t="s">
        <v>18682</v>
      </c>
      <c r="C362" t="s">
        <v>1382</v>
      </c>
      <c r="D362" t="s">
        <v>648</v>
      </c>
      <c r="E362" t="s">
        <v>973</v>
      </c>
      <c r="F362" t="s">
        <v>598</v>
      </c>
      <c r="G362" t="s">
        <v>599</v>
      </c>
      <c r="H362" t="s">
        <v>2266</v>
      </c>
      <c r="I362" t="s">
        <v>2267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</row>
    <row r="363" spans="1:33">
      <c r="A363" t="s">
        <v>18778</v>
      </c>
      <c r="B363" t="s">
        <v>18843</v>
      </c>
      <c r="C363" t="s">
        <v>1382</v>
      </c>
      <c r="D363" t="s">
        <v>648</v>
      </c>
      <c r="E363" t="s">
        <v>713</v>
      </c>
      <c r="F363" t="s">
        <v>598</v>
      </c>
      <c r="G363" t="s">
        <v>599</v>
      </c>
      <c r="H363" t="s">
        <v>2266</v>
      </c>
      <c r="I363" t="s">
        <v>2267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</row>
    <row r="364" spans="1:33">
      <c r="J364" s="83">
        <f>SUM(J355:J363)</f>
        <v>1.0469399999999999E-3</v>
      </c>
      <c r="K364" s="83">
        <f t="shared" ref="K364:AF364" si="33">SUM(K355:K363)</f>
        <v>1.0469399999999999E-3</v>
      </c>
      <c r="L364" s="83">
        <f t="shared" si="33"/>
        <v>1.0469399999999999E-3</v>
      </c>
      <c r="M364" s="83">
        <f t="shared" si="33"/>
        <v>1.0469399999999999E-3</v>
      </c>
      <c r="N364" s="83">
        <f t="shared" si="33"/>
        <v>1.0469399999999999E-3</v>
      </c>
      <c r="O364" s="83">
        <f t="shared" si="33"/>
        <v>1.0469399999999999E-3</v>
      </c>
      <c r="P364" s="83">
        <f t="shared" si="33"/>
        <v>1.0469399999999999E-3</v>
      </c>
      <c r="Q364" s="83">
        <f t="shared" si="33"/>
        <v>1.0469399999999999E-3</v>
      </c>
      <c r="R364" s="83">
        <f t="shared" si="33"/>
        <v>1.0469399999999999E-3</v>
      </c>
      <c r="S364" s="83">
        <f t="shared" si="33"/>
        <v>1.0469399999999999E-3</v>
      </c>
      <c r="T364" s="83">
        <f t="shared" si="33"/>
        <v>1.0469399999999999E-3</v>
      </c>
      <c r="U364" s="83">
        <f t="shared" si="33"/>
        <v>1.0469399999999999E-3</v>
      </c>
      <c r="V364" s="83">
        <f t="shared" si="33"/>
        <v>1.0469399999999999E-3</v>
      </c>
      <c r="W364" s="83">
        <f t="shared" si="33"/>
        <v>1.0469399999999999E-3</v>
      </c>
      <c r="X364" s="83">
        <f t="shared" si="33"/>
        <v>1.0469399999999999E-3</v>
      </c>
      <c r="Y364" s="83">
        <f t="shared" si="33"/>
        <v>1.0469399999999999E-3</v>
      </c>
      <c r="Z364" s="83">
        <f t="shared" si="33"/>
        <v>1.0469399999999999E-3</v>
      </c>
      <c r="AA364" s="83">
        <f t="shared" si="33"/>
        <v>1.0469399999999999E-3</v>
      </c>
      <c r="AB364" s="83">
        <f t="shared" si="33"/>
        <v>1.0469399999999999E-3</v>
      </c>
      <c r="AC364" s="83">
        <f>SUM(AC355:AC363)</f>
        <v>1.0469399999999999E-3</v>
      </c>
      <c r="AD364" s="83">
        <f t="shared" si="33"/>
        <v>1.0469399999999999E-3</v>
      </c>
      <c r="AE364" s="83">
        <f t="shared" si="33"/>
        <v>1.0469399999999999E-3</v>
      </c>
      <c r="AF364" s="83">
        <f t="shared" si="33"/>
        <v>1.0469399999999999E-3</v>
      </c>
      <c r="AG364" s="83">
        <f>SUM(AG355:AG363)</f>
        <v>1.0469399999999999E-3</v>
      </c>
    </row>
    <row r="370" spans="10:33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0F2D1-A0B0-469B-9B03-A84791C548BE}">
  <sheetPr>
    <tabColor rgb="FFFFC000"/>
  </sheetPr>
  <dimension ref="A1:AG153"/>
  <sheetViews>
    <sheetView workbookViewId="0">
      <selection activeCell="G30" sqref="G30"/>
    </sheetView>
  </sheetViews>
  <sheetFormatPr defaultRowHeight="15"/>
  <cols>
    <col min="1" max="1" width="21.28515625" customWidth="1"/>
    <col min="10" max="30" width="11" bestFit="1" customWidth="1"/>
    <col min="31" max="33" width="10.7109375" bestFit="1" customWidth="1"/>
  </cols>
  <sheetData>
    <row r="1" spans="1:26">
      <c r="A1" s="2" t="s">
        <v>18814</v>
      </c>
      <c r="B1" s="2" t="s">
        <v>1</v>
      </c>
      <c r="C1" s="31" t="s">
        <v>586</v>
      </c>
      <c r="D1" s="31" t="s">
        <v>587</v>
      </c>
      <c r="E1" s="31" t="s">
        <v>588</v>
      </c>
      <c r="F1" s="31" t="s">
        <v>589</v>
      </c>
      <c r="G1" s="31" t="s">
        <v>590</v>
      </c>
      <c r="H1" s="31" t="s">
        <v>591</v>
      </c>
      <c r="I1" s="31" t="s">
        <v>592</v>
      </c>
      <c r="J1" s="31" t="s">
        <v>593</v>
      </c>
      <c r="K1" s="31" t="s">
        <v>2248</v>
      </c>
      <c r="L1" s="31" t="s">
        <v>2249</v>
      </c>
      <c r="M1" s="31" t="s">
        <v>2250</v>
      </c>
      <c r="N1" s="31" t="s">
        <v>2251</v>
      </c>
      <c r="O1" s="31" t="s">
        <v>2252</v>
      </c>
      <c r="P1" s="31" t="s">
        <v>2253</v>
      </c>
      <c r="Q1" s="31" t="s">
        <v>2254</v>
      </c>
      <c r="R1" s="31" t="s">
        <v>2255</v>
      </c>
      <c r="S1" s="31" t="s">
        <v>2256</v>
      </c>
      <c r="T1" s="31" t="s">
        <v>2257</v>
      </c>
      <c r="U1" s="31" t="s">
        <v>2258</v>
      </c>
      <c r="V1" s="31" t="s">
        <v>2259</v>
      </c>
      <c r="W1" s="31" t="s">
        <v>2260</v>
      </c>
      <c r="X1" s="31" t="s">
        <v>2261</v>
      </c>
      <c r="Y1" s="31" t="s">
        <v>2262</v>
      </c>
      <c r="Z1" s="31" t="s">
        <v>2263</v>
      </c>
    </row>
    <row r="2" spans="1:26">
      <c r="A2" s="2" t="s">
        <v>18762</v>
      </c>
      <c r="B2" s="2" t="s">
        <v>18763</v>
      </c>
      <c r="C2">
        <f t="shared" ref="C2:Z2" si="0">J41</f>
        <v>1.7221E-2</v>
      </c>
      <c r="D2">
        <f t="shared" si="0"/>
        <v>1.7221E-2</v>
      </c>
      <c r="E2">
        <f t="shared" si="0"/>
        <v>1.7221E-2</v>
      </c>
      <c r="F2">
        <f t="shared" si="0"/>
        <v>1.7221E-2</v>
      </c>
      <c r="G2">
        <f t="shared" si="0"/>
        <v>1.7221E-2</v>
      </c>
      <c r="H2">
        <f t="shared" si="0"/>
        <v>1.7221E-2</v>
      </c>
      <c r="I2">
        <f t="shared" si="0"/>
        <v>1.7221E-2</v>
      </c>
      <c r="J2">
        <f t="shared" si="0"/>
        <v>1.7221E-2</v>
      </c>
      <c r="K2">
        <f t="shared" si="0"/>
        <v>1.7221E-2</v>
      </c>
      <c r="L2">
        <f t="shared" si="0"/>
        <v>1.7221E-2</v>
      </c>
      <c r="M2">
        <f t="shared" si="0"/>
        <v>1.7221E-2</v>
      </c>
      <c r="N2">
        <f t="shared" si="0"/>
        <v>1.7221E-2</v>
      </c>
      <c r="O2">
        <f t="shared" si="0"/>
        <v>1.7221E-2</v>
      </c>
      <c r="P2">
        <f t="shared" si="0"/>
        <v>1.7221E-2</v>
      </c>
      <c r="Q2">
        <f t="shared" si="0"/>
        <v>1.7221E-2</v>
      </c>
      <c r="R2">
        <f t="shared" si="0"/>
        <v>1.7221E-2</v>
      </c>
      <c r="S2">
        <f t="shared" si="0"/>
        <v>1.7221E-2</v>
      </c>
      <c r="T2">
        <f t="shared" si="0"/>
        <v>1.7221E-2</v>
      </c>
      <c r="U2">
        <f t="shared" si="0"/>
        <v>1.7221E-2</v>
      </c>
      <c r="V2">
        <f t="shared" si="0"/>
        <v>1.7221E-2</v>
      </c>
      <c r="W2">
        <f t="shared" si="0"/>
        <v>1.7221E-2</v>
      </c>
      <c r="X2">
        <f t="shared" si="0"/>
        <v>1.7221E-2</v>
      </c>
      <c r="Y2">
        <f t="shared" si="0"/>
        <v>1.7221E-2</v>
      </c>
      <c r="Z2">
        <f t="shared" si="0"/>
        <v>1.7221E-2</v>
      </c>
    </row>
    <row r="3" spans="1:26">
      <c r="A3" s="2" t="s">
        <v>251</v>
      </c>
      <c r="B3" s="2" t="s">
        <v>18763</v>
      </c>
      <c r="C3">
        <f t="shared" ref="C3:Z3" si="1">J45</f>
        <v>2.6499999999999999E-4</v>
      </c>
      <c r="D3">
        <f t="shared" si="1"/>
        <v>2.6499999999999999E-4</v>
      </c>
      <c r="E3">
        <f t="shared" si="1"/>
        <v>2.6499999999999999E-4</v>
      </c>
      <c r="F3">
        <f t="shared" si="1"/>
        <v>2.6499999999999999E-4</v>
      </c>
      <c r="G3">
        <f t="shared" si="1"/>
        <v>2.6499999999999999E-4</v>
      </c>
      <c r="H3">
        <f t="shared" si="1"/>
        <v>2.6499999999999999E-4</v>
      </c>
      <c r="I3">
        <f t="shared" si="1"/>
        <v>2.6499999999999999E-4</v>
      </c>
      <c r="J3">
        <f t="shared" si="1"/>
        <v>2.6499999999999999E-4</v>
      </c>
      <c r="K3">
        <f t="shared" si="1"/>
        <v>2.6499999999999999E-4</v>
      </c>
      <c r="L3">
        <f t="shared" si="1"/>
        <v>2.6499999999999999E-4</v>
      </c>
      <c r="M3">
        <f t="shared" si="1"/>
        <v>2.6499999999999999E-4</v>
      </c>
      <c r="N3">
        <f t="shared" si="1"/>
        <v>2.6499999999999999E-4</v>
      </c>
      <c r="O3">
        <f t="shared" si="1"/>
        <v>2.6499999999999999E-4</v>
      </c>
      <c r="P3">
        <f t="shared" si="1"/>
        <v>2.6499999999999999E-4</v>
      </c>
      <c r="Q3">
        <f t="shared" si="1"/>
        <v>2.6499999999999999E-4</v>
      </c>
      <c r="R3">
        <f t="shared" si="1"/>
        <v>2.6499999999999999E-4</v>
      </c>
      <c r="S3">
        <f t="shared" si="1"/>
        <v>2.6499999999999999E-4</v>
      </c>
      <c r="T3">
        <f t="shared" si="1"/>
        <v>2.6499999999999999E-4</v>
      </c>
      <c r="U3">
        <f t="shared" si="1"/>
        <v>2.6499999999999999E-4</v>
      </c>
      <c r="V3">
        <f t="shared" si="1"/>
        <v>2.6499999999999999E-4</v>
      </c>
      <c r="W3">
        <f t="shared" si="1"/>
        <v>2.6499999999999999E-4</v>
      </c>
      <c r="X3">
        <f t="shared" si="1"/>
        <v>2.6499999999999999E-4</v>
      </c>
      <c r="Y3">
        <f t="shared" si="1"/>
        <v>2.6499999999999999E-4</v>
      </c>
      <c r="Z3">
        <f t="shared" si="1"/>
        <v>2.6499999999999999E-4</v>
      </c>
    </row>
    <row r="4" spans="1:26">
      <c r="A4" s="2" t="s">
        <v>253</v>
      </c>
      <c r="B4" s="2" t="s">
        <v>18763</v>
      </c>
      <c r="C4">
        <f t="shared" ref="C4:Z4" si="2">J50</f>
        <v>0.10835499999999999</v>
      </c>
      <c r="D4">
        <f t="shared" si="2"/>
        <v>0.109792</v>
      </c>
      <c r="E4">
        <f t="shared" si="2"/>
        <v>0.11123000000000001</v>
      </c>
      <c r="F4">
        <f t="shared" si="2"/>
        <v>0.112667</v>
      </c>
      <c r="G4">
        <f t="shared" si="2"/>
        <v>0.114105</v>
      </c>
      <c r="H4">
        <f t="shared" si="2"/>
        <v>0.11554199999999999</v>
      </c>
      <c r="I4">
        <f t="shared" si="2"/>
        <v>0.11698</v>
      </c>
      <c r="J4">
        <f t="shared" si="2"/>
        <v>0.118418</v>
      </c>
      <c r="K4">
        <f t="shared" si="2"/>
        <v>0.119856</v>
      </c>
      <c r="L4">
        <f t="shared" si="2"/>
        <v>0.121293</v>
      </c>
      <c r="M4">
        <f t="shared" si="2"/>
        <v>0.12273100000000001</v>
      </c>
      <c r="N4">
        <f t="shared" si="2"/>
        <v>0.124169</v>
      </c>
      <c r="O4">
        <f t="shared" si="2"/>
        <v>0.125607</v>
      </c>
      <c r="P4">
        <f t="shared" si="2"/>
        <v>0.12704299999999999</v>
      </c>
      <c r="Q4">
        <f t="shared" si="2"/>
        <v>0.12848099999999998</v>
      </c>
      <c r="R4">
        <f t="shared" si="2"/>
        <v>0.12991900000000001</v>
      </c>
      <c r="S4">
        <f t="shared" si="2"/>
        <v>0.131357</v>
      </c>
      <c r="T4">
        <f t="shared" si="2"/>
        <v>0.132794</v>
      </c>
      <c r="U4">
        <f t="shared" si="2"/>
        <v>0.13423199999999999</v>
      </c>
      <c r="V4">
        <f t="shared" si="2"/>
        <v>0.13567000000000001</v>
      </c>
      <c r="W4">
        <f t="shared" si="2"/>
        <v>0.13710800000000001</v>
      </c>
      <c r="X4">
        <f t="shared" si="2"/>
        <v>0.138545</v>
      </c>
      <c r="Y4">
        <f t="shared" si="2"/>
        <v>0.139983</v>
      </c>
      <c r="Z4">
        <f t="shared" si="2"/>
        <v>0.14141999999999999</v>
      </c>
    </row>
    <row r="5" spans="1:26">
      <c r="A5" s="2" t="s">
        <v>18844</v>
      </c>
      <c r="B5" s="2" t="s">
        <v>18763</v>
      </c>
      <c r="C5">
        <f t="shared" ref="C5:Z5" si="3">J61</f>
        <v>3.0302479999999998</v>
      </c>
      <c r="D5">
        <f t="shared" si="3"/>
        <v>3.0316380000000001</v>
      </c>
      <c r="E5">
        <f t="shared" si="3"/>
        <v>3.032988</v>
      </c>
      <c r="F5">
        <f t="shared" si="3"/>
        <v>3.0342349999999998</v>
      </c>
      <c r="G5">
        <f t="shared" si="3"/>
        <v>3.035482</v>
      </c>
      <c r="H5">
        <f t="shared" si="3"/>
        <v>3.0367100000000002</v>
      </c>
      <c r="I5">
        <f t="shared" si="3"/>
        <v>3.0378809999999996</v>
      </c>
      <c r="J5">
        <f t="shared" si="3"/>
        <v>3.0390159999999997</v>
      </c>
      <c r="K5">
        <f t="shared" si="3"/>
        <v>3.0401180000000001</v>
      </c>
      <c r="L5">
        <f t="shared" si="3"/>
        <v>3.0411390000000003</v>
      </c>
      <c r="M5">
        <f t="shared" si="3"/>
        <v>3.0421710000000002</v>
      </c>
      <c r="N5">
        <f t="shared" si="3"/>
        <v>3.043158</v>
      </c>
      <c r="O5">
        <f t="shared" si="3"/>
        <v>3.0441099999999999</v>
      </c>
      <c r="P5">
        <f t="shared" si="3"/>
        <v>3.0450469999999998</v>
      </c>
      <c r="Q5">
        <f t="shared" si="3"/>
        <v>3.045947</v>
      </c>
      <c r="R5">
        <f t="shared" si="3"/>
        <v>3.046818</v>
      </c>
      <c r="S5">
        <f t="shared" si="3"/>
        <v>3.0476289999999997</v>
      </c>
      <c r="T5">
        <f t="shared" si="3"/>
        <v>3.048432</v>
      </c>
      <c r="U5">
        <f t="shared" si="3"/>
        <v>3.0491619999999999</v>
      </c>
      <c r="V5">
        <f t="shared" si="3"/>
        <v>3.0498769999999999</v>
      </c>
      <c r="W5">
        <f t="shared" si="3"/>
        <v>3.050567</v>
      </c>
      <c r="X5">
        <f t="shared" si="3"/>
        <v>3.0511870000000001</v>
      </c>
      <c r="Y5">
        <f t="shared" si="3"/>
        <v>3.0517859999999999</v>
      </c>
      <c r="Z5">
        <f t="shared" si="3"/>
        <v>3.0523259999999999</v>
      </c>
    </row>
    <row r="6" spans="1:26">
      <c r="A6" s="2" t="s">
        <v>419</v>
      </c>
      <c r="B6" s="2" t="s">
        <v>18763</v>
      </c>
      <c r="C6">
        <f t="shared" ref="C6:Z6" si="4">J66</f>
        <v>6.2199999999999998E-3</v>
      </c>
      <c r="D6">
        <f t="shared" si="4"/>
        <v>6.2249999999999996E-3</v>
      </c>
      <c r="E6">
        <f t="shared" si="4"/>
        <v>6.2300000000000003E-3</v>
      </c>
      <c r="F6">
        <f t="shared" si="4"/>
        <v>6.2350000000000001E-3</v>
      </c>
      <c r="G6">
        <f t="shared" si="4"/>
        <v>6.2399999999999999E-3</v>
      </c>
      <c r="H6">
        <f t="shared" si="4"/>
        <v>6.2459999999999998E-3</v>
      </c>
      <c r="I6">
        <f t="shared" si="4"/>
        <v>6.2509999999999996E-3</v>
      </c>
      <c r="J6">
        <f t="shared" si="4"/>
        <v>6.2560000000000003E-3</v>
      </c>
      <c r="K6">
        <f t="shared" si="4"/>
        <v>6.2610000000000001E-3</v>
      </c>
      <c r="L6">
        <f t="shared" si="4"/>
        <v>6.2659999999999999E-3</v>
      </c>
      <c r="M6">
        <f t="shared" si="4"/>
        <v>6.2719999999999998E-3</v>
      </c>
      <c r="N6">
        <f t="shared" si="4"/>
        <v>6.2769999999999996E-3</v>
      </c>
      <c r="O6">
        <f t="shared" si="4"/>
        <v>6.2820000000000003E-3</v>
      </c>
      <c r="P6">
        <f t="shared" si="4"/>
        <v>6.2870000000000001E-3</v>
      </c>
      <c r="Q6">
        <f t="shared" si="4"/>
        <v>6.2919999999999998E-3</v>
      </c>
      <c r="R6">
        <f t="shared" si="4"/>
        <v>6.2979999999999998E-3</v>
      </c>
      <c r="S6">
        <f t="shared" si="4"/>
        <v>6.3029999999999996E-3</v>
      </c>
      <c r="T6">
        <f t="shared" si="4"/>
        <v>6.3080000000000002E-3</v>
      </c>
      <c r="U6">
        <f t="shared" si="4"/>
        <v>6.313E-3</v>
      </c>
      <c r="V6">
        <f t="shared" si="4"/>
        <v>6.3179999999999998E-3</v>
      </c>
      <c r="W6">
        <f t="shared" si="4"/>
        <v>6.3229999999999996E-3</v>
      </c>
      <c r="X6">
        <f t="shared" si="4"/>
        <v>6.3290000000000004E-3</v>
      </c>
      <c r="Y6">
        <f t="shared" si="4"/>
        <v>6.3340000000000002E-3</v>
      </c>
      <c r="Z6">
        <f t="shared" si="4"/>
        <v>6.339E-3</v>
      </c>
    </row>
    <row r="7" spans="1:26">
      <c r="A7" s="2" t="s">
        <v>420</v>
      </c>
      <c r="B7" s="2" t="s">
        <v>18763</v>
      </c>
      <c r="C7">
        <f t="shared" ref="C7:Z7" si="5">J73</f>
        <v>7.1483000000000005E-2</v>
      </c>
      <c r="D7">
        <f t="shared" si="5"/>
        <v>7.2007000000000002E-2</v>
      </c>
      <c r="E7">
        <f t="shared" si="5"/>
        <v>7.2531999999999999E-2</v>
      </c>
      <c r="F7">
        <f t="shared" si="5"/>
        <v>7.3056999999999997E-2</v>
      </c>
      <c r="G7">
        <f t="shared" si="5"/>
        <v>7.3581999999999995E-2</v>
      </c>
      <c r="H7">
        <f t="shared" si="5"/>
        <v>7.4107999999999993E-2</v>
      </c>
      <c r="I7">
        <f t="shared" si="5"/>
        <v>7.4632000000000004E-2</v>
      </c>
      <c r="J7">
        <f t="shared" si="5"/>
        <v>7.5158699999999995E-2</v>
      </c>
      <c r="K7">
        <f t="shared" si="5"/>
        <v>7.568430000000001E-2</v>
      </c>
      <c r="L7">
        <f t="shared" si="5"/>
        <v>7.6210899999999998E-2</v>
      </c>
      <c r="M7">
        <f t="shared" si="5"/>
        <v>7.6737399999999997E-2</v>
      </c>
      <c r="N7">
        <f t="shared" si="5"/>
        <v>7.7263999999999999E-2</v>
      </c>
      <c r="O7">
        <f t="shared" si="5"/>
        <v>7.77896E-2</v>
      </c>
      <c r="P7">
        <f t="shared" si="5"/>
        <v>7.8317200000000003E-2</v>
      </c>
      <c r="Q7">
        <f t="shared" si="5"/>
        <v>7.8843799999999992E-2</v>
      </c>
      <c r="R7">
        <f t="shared" si="5"/>
        <v>7.9370400000000008E-2</v>
      </c>
      <c r="S7">
        <f t="shared" si="5"/>
        <v>7.9896999999999996E-2</v>
      </c>
      <c r="T7">
        <f t="shared" si="5"/>
        <v>8.0422599999999997E-2</v>
      </c>
      <c r="U7">
        <f t="shared" si="5"/>
        <v>8.0950099999999997E-2</v>
      </c>
      <c r="V7">
        <f t="shared" si="5"/>
        <v>8.1475700000000012E-2</v>
      </c>
      <c r="W7">
        <f t="shared" si="5"/>
        <v>8.2003299999999987E-2</v>
      </c>
      <c r="X7">
        <f t="shared" si="5"/>
        <v>8.2528900000000002E-2</v>
      </c>
      <c r="Y7">
        <f t="shared" si="5"/>
        <v>8.3055500000000004E-2</v>
      </c>
      <c r="Z7">
        <f t="shared" si="5"/>
        <v>8.3582099999999993E-2</v>
      </c>
    </row>
    <row r="8" spans="1:26">
      <c r="A8" s="2" t="s">
        <v>258</v>
      </c>
      <c r="B8" s="2" t="s">
        <v>18763</v>
      </c>
      <c r="C8">
        <f t="shared" ref="C8:Z8" si="6">J82</f>
        <v>1.325E-3</v>
      </c>
      <c r="D8">
        <f t="shared" si="6"/>
        <v>1.325E-3</v>
      </c>
      <c r="E8">
        <f t="shared" si="6"/>
        <v>1.325E-3</v>
      </c>
      <c r="F8">
        <f t="shared" si="6"/>
        <v>1.325E-3</v>
      </c>
      <c r="G8">
        <f t="shared" si="6"/>
        <v>1.325E-3</v>
      </c>
      <c r="H8">
        <f t="shared" si="6"/>
        <v>1.325E-3</v>
      </c>
      <c r="I8">
        <f t="shared" si="6"/>
        <v>1.325E-3</v>
      </c>
      <c r="J8">
        <f t="shared" si="6"/>
        <v>1.325E-3</v>
      </c>
      <c r="K8">
        <f t="shared" si="6"/>
        <v>1.325E-3</v>
      </c>
      <c r="L8">
        <f t="shared" si="6"/>
        <v>1.325E-3</v>
      </c>
      <c r="M8">
        <f t="shared" si="6"/>
        <v>1.325E-3</v>
      </c>
      <c r="N8">
        <f t="shared" si="6"/>
        <v>1.325E-3</v>
      </c>
      <c r="O8">
        <f t="shared" si="6"/>
        <v>1.325E-3</v>
      </c>
      <c r="P8">
        <f t="shared" si="6"/>
        <v>1.325E-3</v>
      </c>
      <c r="Q8">
        <f t="shared" si="6"/>
        <v>1.325E-3</v>
      </c>
      <c r="R8">
        <f t="shared" si="6"/>
        <v>1.325E-3</v>
      </c>
      <c r="S8">
        <f t="shared" si="6"/>
        <v>1.325E-3</v>
      </c>
      <c r="T8">
        <f t="shared" si="6"/>
        <v>1.325E-3</v>
      </c>
      <c r="U8">
        <f t="shared" si="6"/>
        <v>1.325E-3</v>
      </c>
      <c r="V8">
        <f t="shared" si="6"/>
        <v>1.325E-3</v>
      </c>
      <c r="W8">
        <f t="shared" si="6"/>
        <v>1.325E-3</v>
      </c>
      <c r="X8">
        <f t="shared" si="6"/>
        <v>1.325E-3</v>
      </c>
      <c r="Y8">
        <f t="shared" si="6"/>
        <v>1.325E-3</v>
      </c>
      <c r="Z8">
        <f t="shared" si="6"/>
        <v>1.325E-3</v>
      </c>
    </row>
    <row r="9" spans="1:26">
      <c r="A9" s="2" t="s">
        <v>259</v>
      </c>
      <c r="B9" s="2" t="s">
        <v>18763</v>
      </c>
      <c r="C9">
        <f t="shared" ref="C9:Z9" si="7">J87</f>
        <v>5.2999999999999998E-4</v>
      </c>
      <c r="D9">
        <f t="shared" si="7"/>
        <v>5.2999999999999998E-4</v>
      </c>
      <c r="E9">
        <f t="shared" si="7"/>
        <v>5.2999999999999998E-4</v>
      </c>
      <c r="F9">
        <f t="shared" si="7"/>
        <v>5.2999999999999998E-4</v>
      </c>
      <c r="G9">
        <f t="shared" si="7"/>
        <v>5.2999999999999998E-4</v>
      </c>
      <c r="H9">
        <f t="shared" si="7"/>
        <v>5.2999999999999998E-4</v>
      </c>
      <c r="I9">
        <f t="shared" si="7"/>
        <v>5.2999999999999998E-4</v>
      </c>
      <c r="J9">
        <f t="shared" si="7"/>
        <v>5.2999999999999998E-4</v>
      </c>
      <c r="K9">
        <f t="shared" si="7"/>
        <v>5.2999999999999998E-4</v>
      </c>
      <c r="L9">
        <f t="shared" si="7"/>
        <v>5.2999999999999998E-4</v>
      </c>
      <c r="M9">
        <f t="shared" si="7"/>
        <v>5.2999999999999998E-4</v>
      </c>
      <c r="N9">
        <f t="shared" si="7"/>
        <v>5.2999999999999998E-4</v>
      </c>
      <c r="O9">
        <f t="shared" si="7"/>
        <v>5.2999999999999998E-4</v>
      </c>
      <c r="P9">
        <f t="shared" si="7"/>
        <v>5.2999999999999998E-4</v>
      </c>
      <c r="Q9">
        <f t="shared" si="7"/>
        <v>5.2999999999999998E-4</v>
      </c>
      <c r="R9">
        <f t="shared" si="7"/>
        <v>5.2999999999999998E-4</v>
      </c>
      <c r="S9">
        <f t="shared" si="7"/>
        <v>5.2999999999999998E-4</v>
      </c>
      <c r="T9">
        <f t="shared" si="7"/>
        <v>5.2999999999999998E-4</v>
      </c>
      <c r="U9">
        <f t="shared" si="7"/>
        <v>5.2999999999999998E-4</v>
      </c>
      <c r="V9">
        <f t="shared" si="7"/>
        <v>5.2999999999999998E-4</v>
      </c>
      <c r="W9">
        <f t="shared" si="7"/>
        <v>5.2999999999999998E-4</v>
      </c>
      <c r="X9">
        <f t="shared" si="7"/>
        <v>5.2999999999999998E-4</v>
      </c>
      <c r="Y9">
        <f t="shared" si="7"/>
        <v>5.2999999999999998E-4</v>
      </c>
      <c r="Z9">
        <f t="shared" si="7"/>
        <v>5.2999999999999998E-4</v>
      </c>
    </row>
    <row r="10" spans="1:26">
      <c r="A10" s="2" t="s">
        <v>260</v>
      </c>
      <c r="B10" s="2" t="s">
        <v>18763</v>
      </c>
      <c r="C10" s="29">
        <f t="shared" ref="C10:Z10" si="8">J97</f>
        <v>0.14736504</v>
      </c>
      <c r="D10" s="29">
        <f t="shared" si="8"/>
        <v>0.14821403999999999</v>
      </c>
      <c r="E10" s="29">
        <f t="shared" si="8"/>
        <v>0.14905404</v>
      </c>
      <c r="F10" s="29">
        <f t="shared" si="8"/>
        <v>0.14988604</v>
      </c>
      <c r="G10" s="29">
        <f t="shared" si="8"/>
        <v>0.15073803999999999</v>
      </c>
      <c r="H10" s="29">
        <f t="shared" si="8"/>
        <v>0.15161103999999997</v>
      </c>
      <c r="I10" s="29">
        <f t="shared" si="8"/>
        <v>0.15249504</v>
      </c>
      <c r="J10" s="29">
        <f t="shared" si="8"/>
        <v>0.15340004000000002</v>
      </c>
      <c r="K10" s="29">
        <f t="shared" si="8"/>
        <v>0.15430604000000001</v>
      </c>
      <c r="L10" s="29">
        <f t="shared" si="8"/>
        <v>0.15520703999999999</v>
      </c>
      <c r="M10" s="29">
        <f t="shared" si="8"/>
        <v>0.15610904</v>
      </c>
      <c r="N10" s="29">
        <f t="shared" si="8"/>
        <v>0.15701704</v>
      </c>
      <c r="O10" s="29">
        <f t="shared" si="8"/>
        <v>0.15794004</v>
      </c>
      <c r="P10" s="29">
        <f t="shared" si="8"/>
        <v>0.15886204000000001</v>
      </c>
      <c r="Q10" s="29">
        <f t="shared" si="8"/>
        <v>0.15978504000000002</v>
      </c>
      <c r="R10" s="29">
        <f t="shared" si="8"/>
        <v>0.16070704</v>
      </c>
      <c r="S10" s="29">
        <f t="shared" si="8"/>
        <v>0.16162904</v>
      </c>
      <c r="T10" s="29">
        <f t="shared" si="8"/>
        <v>0.16255204000000001</v>
      </c>
      <c r="U10" s="29">
        <f t="shared" si="8"/>
        <v>0.16347503999999999</v>
      </c>
      <c r="V10" s="29">
        <f t="shared" si="8"/>
        <v>0.16439804</v>
      </c>
      <c r="W10" s="29">
        <f t="shared" si="8"/>
        <v>0.16532104</v>
      </c>
      <c r="X10" s="29">
        <f t="shared" si="8"/>
        <v>0.16624304000000001</v>
      </c>
      <c r="Y10" s="29">
        <f t="shared" si="8"/>
        <v>0.16716504000000001</v>
      </c>
      <c r="Z10" s="29">
        <f t="shared" si="8"/>
        <v>0.16808803999999999</v>
      </c>
    </row>
    <row r="11" spans="1:26">
      <c r="A11" s="2" t="s">
        <v>261</v>
      </c>
      <c r="B11" s="2" t="s">
        <v>18763</v>
      </c>
      <c r="C11">
        <f t="shared" ref="C11:Z11" si="9">J108</f>
        <v>1.3898359999999998</v>
      </c>
      <c r="D11">
        <f t="shared" si="9"/>
        <v>1.4053529999999996</v>
      </c>
      <c r="E11">
        <f t="shared" si="9"/>
        <v>1.4201299999999999</v>
      </c>
      <c r="F11">
        <f t="shared" si="9"/>
        <v>1.434194</v>
      </c>
      <c r="G11">
        <f t="shared" si="9"/>
        <v>1.4489730000000001</v>
      </c>
      <c r="H11">
        <f t="shared" si="9"/>
        <v>1.4630179999999997</v>
      </c>
      <c r="I11">
        <f t="shared" si="9"/>
        <v>1.477066</v>
      </c>
      <c r="J11">
        <f t="shared" si="9"/>
        <v>1.4918619999999998</v>
      </c>
      <c r="K11">
        <f t="shared" si="9"/>
        <v>1.505911</v>
      </c>
      <c r="L11">
        <f t="shared" si="9"/>
        <v>1.5198869999999998</v>
      </c>
      <c r="M11">
        <f t="shared" si="9"/>
        <v>1.5338669999999996</v>
      </c>
      <c r="N11">
        <f t="shared" si="9"/>
        <v>1.5486</v>
      </c>
      <c r="O11">
        <f t="shared" si="9"/>
        <v>1.5625819999999997</v>
      </c>
      <c r="P11">
        <f t="shared" si="9"/>
        <v>1.5787689999999996</v>
      </c>
      <c r="Q11">
        <f t="shared" si="9"/>
        <v>1.5949559999999998</v>
      </c>
      <c r="R11">
        <f t="shared" si="9"/>
        <v>1.6111349999999998</v>
      </c>
      <c r="S11">
        <f t="shared" si="9"/>
        <v>1.6273149999999998</v>
      </c>
      <c r="T11">
        <f t="shared" si="9"/>
        <v>1.6434939999999998</v>
      </c>
      <c r="U11">
        <f t="shared" si="9"/>
        <v>1.6596729999999997</v>
      </c>
      <c r="V11">
        <f t="shared" si="9"/>
        <v>1.6758519999999999</v>
      </c>
      <c r="W11">
        <f t="shared" si="9"/>
        <v>1.6920309999999998</v>
      </c>
      <c r="X11">
        <f t="shared" si="9"/>
        <v>1.7082109999999997</v>
      </c>
      <c r="Y11">
        <f t="shared" si="9"/>
        <v>1.7243899999999996</v>
      </c>
      <c r="Z11">
        <f t="shared" si="9"/>
        <v>1.739833</v>
      </c>
    </row>
    <row r="12" spans="1:26">
      <c r="A12" s="2" t="s">
        <v>262</v>
      </c>
      <c r="B12" s="2" t="s">
        <v>18763</v>
      </c>
      <c r="C12">
        <f t="shared" ref="C12:Z12" si="10">J117</f>
        <v>1.719571</v>
      </c>
      <c r="D12">
        <f t="shared" si="10"/>
        <v>1.721117</v>
      </c>
      <c r="E12">
        <f t="shared" si="10"/>
        <v>1.7226939999999999</v>
      </c>
      <c r="F12">
        <f t="shared" si="10"/>
        <v>1.72424</v>
      </c>
      <c r="G12">
        <f t="shared" si="10"/>
        <v>1.7257849999999999</v>
      </c>
      <c r="H12">
        <f t="shared" si="10"/>
        <v>1.7273309999999999</v>
      </c>
      <c r="I12">
        <f t="shared" si="10"/>
        <v>1.7288769999999998</v>
      </c>
      <c r="J12">
        <f t="shared" si="10"/>
        <v>1.7304229999999998</v>
      </c>
      <c r="K12">
        <f t="shared" si="10"/>
        <v>1.7318119999999999</v>
      </c>
      <c r="L12">
        <f t="shared" si="10"/>
        <v>1.7332019999999999</v>
      </c>
      <c r="M12">
        <f t="shared" si="10"/>
        <v>1.7345919999999999</v>
      </c>
      <c r="N12">
        <f t="shared" si="10"/>
        <v>1.7359819999999999</v>
      </c>
      <c r="O12">
        <f t="shared" si="10"/>
        <v>1.737371</v>
      </c>
      <c r="P12">
        <f t="shared" si="10"/>
        <v>1.738729</v>
      </c>
      <c r="Q12">
        <f t="shared" si="10"/>
        <v>1.740119</v>
      </c>
      <c r="R12">
        <f t="shared" si="10"/>
        <v>1.741509</v>
      </c>
      <c r="S12">
        <f t="shared" si="10"/>
        <v>1.7428979999999998</v>
      </c>
      <c r="T12">
        <f t="shared" si="10"/>
        <v>1.7442879999999998</v>
      </c>
      <c r="U12">
        <f t="shared" si="10"/>
        <v>1.7456779999999998</v>
      </c>
      <c r="V12">
        <f t="shared" si="10"/>
        <v>1.7470659999999998</v>
      </c>
      <c r="W12">
        <f t="shared" si="10"/>
        <v>1.748456</v>
      </c>
      <c r="X12">
        <f t="shared" si="10"/>
        <v>1.7498459999999998</v>
      </c>
      <c r="Y12">
        <f t="shared" si="10"/>
        <v>1.751236</v>
      </c>
      <c r="Z12">
        <f t="shared" si="10"/>
        <v>1.7526249999999999</v>
      </c>
    </row>
    <row r="13" spans="1:26">
      <c r="A13" s="2" t="s">
        <v>18766</v>
      </c>
      <c r="B13" s="2" t="s">
        <v>18763</v>
      </c>
      <c r="C13">
        <f t="shared" ref="C13:Z13" si="11">J127</f>
        <v>0.350213</v>
      </c>
      <c r="D13">
        <f t="shared" si="11"/>
        <v>0.36143200000000003</v>
      </c>
      <c r="E13">
        <f t="shared" si="11"/>
        <v>0.365041</v>
      </c>
      <c r="F13">
        <f t="shared" si="11"/>
        <v>0.36641400000000002</v>
      </c>
      <c r="G13">
        <f t="shared" si="11"/>
        <v>0.36960699999999996</v>
      </c>
      <c r="H13">
        <f t="shared" si="11"/>
        <v>0.38428699999999999</v>
      </c>
      <c r="I13">
        <f t="shared" si="11"/>
        <v>0.38713800000000004</v>
      </c>
      <c r="J13">
        <f t="shared" si="11"/>
        <v>0.391488</v>
      </c>
      <c r="K13">
        <f t="shared" si="11"/>
        <v>0.391488</v>
      </c>
      <c r="L13">
        <f t="shared" si="11"/>
        <v>0.391488</v>
      </c>
      <c r="M13">
        <f t="shared" si="11"/>
        <v>0.391488</v>
      </c>
      <c r="N13">
        <f t="shared" si="11"/>
        <v>0.391488</v>
      </c>
      <c r="O13">
        <f t="shared" si="11"/>
        <v>0.391488</v>
      </c>
      <c r="P13">
        <f t="shared" si="11"/>
        <v>0.391488</v>
      </c>
      <c r="Q13">
        <f t="shared" si="11"/>
        <v>0.391488</v>
      </c>
      <c r="R13">
        <f t="shared" si="11"/>
        <v>0.391488</v>
      </c>
      <c r="S13">
        <f t="shared" si="11"/>
        <v>0.391488</v>
      </c>
      <c r="T13">
        <f t="shared" si="11"/>
        <v>0.391488</v>
      </c>
      <c r="U13">
        <f t="shared" si="11"/>
        <v>0.391488</v>
      </c>
      <c r="V13">
        <f t="shared" si="11"/>
        <v>0.391488</v>
      </c>
      <c r="W13">
        <f t="shared" si="11"/>
        <v>0.391488</v>
      </c>
      <c r="X13">
        <f t="shared" si="11"/>
        <v>0.391488</v>
      </c>
      <c r="Y13">
        <f t="shared" si="11"/>
        <v>0.391488</v>
      </c>
      <c r="Z13">
        <f t="shared" si="11"/>
        <v>0.391488</v>
      </c>
    </row>
    <row r="14" spans="1:26">
      <c r="A14" s="2" t="s">
        <v>18845</v>
      </c>
      <c r="B14" s="2" t="s">
        <v>18763</v>
      </c>
      <c r="C14">
        <f t="shared" ref="C14:Z14" si="12">J136</f>
        <v>1.68241</v>
      </c>
      <c r="D14">
        <f t="shared" si="12"/>
        <v>1.6834150000000001</v>
      </c>
      <c r="E14">
        <f t="shared" si="12"/>
        <v>1.684423</v>
      </c>
      <c r="F14">
        <f t="shared" si="12"/>
        <v>1.68543</v>
      </c>
      <c r="G14">
        <f t="shared" si="12"/>
        <v>1.686436</v>
      </c>
      <c r="H14">
        <f t="shared" si="12"/>
        <v>1.687443</v>
      </c>
      <c r="I14">
        <f t="shared" si="12"/>
        <v>1.68845</v>
      </c>
      <c r="J14">
        <f t="shared" si="12"/>
        <v>1.689457</v>
      </c>
      <c r="K14">
        <f t="shared" si="12"/>
        <v>1.690472</v>
      </c>
      <c r="L14">
        <f t="shared" si="12"/>
        <v>1.6914870000000002</v>
      </c>
      <c r="M14">
        <f t="shared" si="12"/>
        <v>1.6925020000000002</v>
      </c>
      <c r="N14">
        <f t="shared" si="12"/>
        <v>1.693519</v>
      </c>
      <c r="O14">
        <f t="shared" si="12"/>
        <v>1.6945330000000001</v>
      </c>
      <c r="P14">
        <f t="shared" si="12"/>
        <v>1.695549</v>
      </c>
      <c r="Q14">
        <f t="shared" si="12"/>
        <v>1.696564</v>
      </c>
      <c r="R14">
        <f t="shared" si="12"/>
        <v>1.6975790000000002</v>
      </c>
      <c r="S14">
        <f t="shared" si="12"/>
        <v>1.6985960000000002</v>
      </c>
      <c r="T14">
        <f t="shared" si="12"/>
        <v>1.6996110000000002</v>
      </c>
      <c r="U14">
        <f t="shared" si="12"/>
        <v>1.700626</v>
      </c>
      <c r="V14">
        <f t="shared" si="12"/>
        <v>1.7016419999999999</v>
      </c>
      <c r="W14">
        <f t="shared" si="12"/>
        <v>1.7026560000000002</v>
      </c>
      <c r="X14">
        <f t="shared" si="12"/>
        <v>1.7036730000000002</v>
      </c>
      <c r="Y14">
        <f t="shared" si="12"/>
        <v>1.704688</v>
      </c>
      <c r="Z14">
        <f t="shared" si="12"/>
        <v>1.705703</v>
      </c>
    </row>
    <row r="15" spans="1:26">
      <c r="A15" s="2" t="s">
        <v>267</v>
      </c>
      <c r="B15" s="2" t="s">
        <v>18763</v>
      </c>
      <c r="C15" s="29">
        <f t="shared" ref="C15:Z15" si="13">J145</f>
        <v>0.26564740000000003</v>
      </c>
      <c r="D15" s="29">
        <f t="shared" si="13"/>
        <v>0.28300639999999994</v>
      </c>
      <c r="E15" s="29">
        <f t="shared" si="13"/>
        <v>0.31239739999999999</v>
      </c>
      <c r="F15" s="29">
        <f t="shared" si="13"/>
        <v>0.31250539999999999</v>
      </c>
      <c r="G15" s="29">
        <f t="shared" si="13"/>
        <v>0.31437339999999997</v>
      </c>
      <c r="H15" s="29">
        <f t="shared" si="13"/>
        <v>0.33855639999999998</v>
      </c>
      <c r="I15" s="29">
        <f t="shared" si="13"/>
        <v>0.33801740000000002</v>
      </c>
      <c r="J15" s="29">
        <f t="shared" si="13"/>
        <v>0.36314040000000003</v>
      </c>
      <c r="K15" s="29">
        <f t="shared" si="13"/>
        <v>0.36357240000000002</v>
      </c>
      <c r="L15" s="29">
        <f t="shared" si="13"/>
        <v>0.38970739999999998</v>
      </c>
      <c r="M15" s="29">
        <f t="shared" si="13"/>
        <v>0.3911809</v>
      </c>
      <c r="N15" s="29">
        <f t="shared" si="13"/>
        <v>0.41841630000000002</v>
      </c>
      <c r="O15" s="29">
        <f t="shared" si="13"/>
        <v>0.42102070000000003</v>
      </c>
      <c r="P15" s="29">
        <f t="shared" si="13"/>
        <v>0.44942820000000006</v>
      </c>
      <c r="Q15" s="29">
        <f t="shared" si="13"/>
        <v>0.45326459999999996</v>
      </c>
      <c r="R15" s="29">
        <f t="shared" si="13"/>
        <v>0.48293599999999998</v>
      </c>
      <c r="S15" s="29">
        <f t="shared" si="13"/>
        <v>0.48810750000000003</v>
      </c>
      <c r="T15" s="29">
        <f t="shared" si="13"/>
        <v>0.51915489999999997</v>
      </c>
      <c r="U15" s="29">
        <f t="shared" si="13"/>
        <v>0.52576430000000007</v>
      </c>
      <c r="V15" s="29">
        <f t="shared" si="13"/>
        <v>0.55831170000000008</v>
      </c>
      <c r="W15" s="29">
        <f t="shared" si="13"/>
        <v>0.56645919999999994</v>
      </c>
      <c r="X15" s="29">
        <f t="shared" si="13"/>
        <v>0.60062059999999995</v>
      </c>
      <c r="Y15" s="29">
        <f t="shared" si="13"/>
        <v>0.61044100000000001</v>
      </c>
      <c r="Z15" s="29">
        <f t="shared" si="13"/>
        <v>0.64634950000000002</v>
      </c>
    </row>
    <row r="16" spans="1:26">
      <c r="A16" s="2" t="s">
        <v>268</v>
      </c>
      <c r="B16" s="2" t="s">
        <v>18763</v>
      </c>
      <c r="C16">
        <f t="shared" ref="C16:Z16" si="14">J153</f>
        <v>0.51887000000000005</v>
      </c>
      <c r="D16">
        <f t="shared" si="14"/>
        <v>0.52517099999999994</v>
      </c>
      <c r="E16">
        <f t="shared" si="14"/>
        <v>0.53148699999999993</v>
      </c>
      <c r="F16">
        <f t="shared" si="14"/>
        <v>0.53786200000000006</v>
      </c>
      <c r="G16">
        <f t="shared" si="14"/>
        <v>0.54423699999999997</v>
      </c>
      <c r="H16">
        <f t="shared" si="14"/>
        <v>0.55045600000000006</v>
      </c>
      <c r="I16">
        <f t="shared" si="14"/>
        <v>0.55677299999999996</v>
      </c>
      <c r="J16">
        <f t="shared" si="14"/>
        <v>0.56314500000000001</v>
      </c>
      <c r="K16">
        <f t="shared" si="14"/>
        <v>0.56945800000000002</v>
      </c>
      <c r="L16">
        <f t="shared" si="14"/>
        <v>0.57088300000000003</v>
      </c>
      <c r="M16">
        <f t="shared" si="14"/>
        <v>0.57216199999999995</v>
      </c>
      <c r="N16">
        <f t="shared" si="14"/>
        <v>0.57356700000000005</v>
      </c>
      <c r="O16">
        <f t="shared" si="14"/>
        <v>0.57480799999999999</v>
      </c>
      <c r="P16">
        <f t="shared" si="14"/>
        <v>0.576264</v>
      </c>
      <c r="Q16">
        <f t="shared" si="14"/>
        <v>0.577569</v>
      </c>
      <c r="R16">
        <f t="shared" si="14"/>
        <v>0.577569</v>
      </c>
      <c r="S16">
        <f t="shared" si="14"/>
        <v>0.577569</v>
      </c>
      <c r="T16">
        <f t="shared" si="14"/>
        <v>0.577569</v>
      </c>
      <c r="U16">
        <f t="shared" si="14"/>
        <v>0.577569</v>
      </c>
      <c r="V16">
        <f t="shared" si="14"/>
        <v>0.577569</v>
      </c>
      <c r="W16">
        <f t="shared" si="14"/>
        <v>0.577569</v>
      </c>
      <c r="X16">
        <f t="shared" si="14"/>
        <v>0.577569</v>
      </c>
      <c r="Y16">
        <f t="shared" si="14"/>
        <v>0.577569</v>
      </c>
      <c r="Z16">
        <f t="shared" si="14"/>
        <v>0.577569</v>
      </c>
    </row>
    <row r="17" spans="1:26">
      <c r="A17" s="2" t="s">
        <v>270</v>
      </c>
      <c r="B17" s="2" t="s">
        <v>18763</v>
      </c>
      <c r="C17">
        <f t="shared" ref="C17:Z17" si="15">SUM(C2:C16)</f>
        <v>9.3095594399999992</v>
      </c>
      <c r="D17">
        <f t="shared" si="15"/>
        <v>9.3667114400000013</v>
      </c>
      <c r="E17">
        <f t="shared" si="15"/>
        <v>9.4275474399999997</v>
      </c>
      <c r="F17">
        <f t="shared" si="15"/>
        <v>9.456066439999999</v>
      </c>
      <c r="G17">
        <f t="shared" si="15"/>
        <v>9.4888994400000009</v>
      </c>
      <c r="H17">
        <f t="shared" si="15"/>
        <v>9.5546494400000004</v>
      </c>
      <c r="I17">
        <f t="shared" si="15"/>
        <v>9.5839014399999982</v>
      </c>
      <c r="J17">
        <f t="shared" si="15"/>
        <v>9.6411051400000005</v>
      </c>
      <c r="K17">
        <f t="shared" si="15"/>
        <v>9.6682797399999991</v>
      </c>
      <c r="L17">
        <f t="shared" si="15"/>
        <v>9.7161113400000012</v>
      </c>
      <c r="M17">
        <f t="shared" si="15"/>
        <v>9.7391533400000014</v>
      </c>
      <c r="N17">
        <f t="shared" si="15"/>
        <v>9.7887983399999996</v>
      </c>
      <c r="O17">
        <f t="shared" si="15"/>
        <v>9.8128723399999984</v>
      </c>
      <c r="P17">
        <f t="shared" si="15"/>
        <v>9.8651244399999989</v>
      </c>
      <c r="Q17">
        <f t="shared" si="15"/>
        <v>9.8926504400000006</v>
      </c>
      <c r="R17">
        <f t="shared" si="15"/>
        <v>9.9446694400000002</v>
      </c>
      <c r="S17">
        <f t="shared" si="15"/>
        <v>9.9721295399999992</v>
      </c>
      <c r="T17">
        <f t="shared" si="15"/>
        <v>10.02545454</v>
      </c>
      <c r="U17">
        <f t="shared" si="15"/>
        <v>10.054271440000001</v>
      </c>
      <c r="V17">
        <f t="shared" si="15"/>
        <v>10.109008440000002</v>
      </c>
      <c r="W17">
        <f t="shared" si="15"/>
        <v>10.13932254</v>
      </c>
      <c r="X17">
        <f t="shared" si="15"/>
        <v>10.195581539999999</v>
      </c>
      <c r="Y17">
        <f t="shared" si="15"/>
        <v>10.22747654</v>
      </c>
      <c r="Z17">
        <f t="shared" si="15"/>
        <v>10.28466364</v>
      </c>
    </row>
    <row r="19" spans="1:26">
      <c r="A19" s="2" t="s">
        <v>18814</v>
      </c>
      <c r="B19" s="2" t="s">
        <v>1</v>
      </c>
      <c r="C19" s="31" t="s">
        <v>586</v>
      </c>
      <c r="D19" s="31" t="s">
        <v>587</v>
      </c>
      <c r="E19" s="31" t="s">
        <v>588</v>
      </c>
      <c r="F19" s="31" t="s">
        <v>589</v>
      </c>
      <c r="G19" s="31" t="s">
        <v>590</v>
      </c>
      <c r="H19" s="31" t="s">
        <v>591</v>
      </c>
      <c r="I19" s="31" t="s">
        <v>592</v>
      </c>
      <c r="J19" s="31" t="s">
        <v>593</v>
      </c>
      <c r="K19" s="31" t="s">
        <v>2248</v>
      </c>
      <c r="L19" s="31" t="s">
        <v>2249</v>
      </c>
      <c r="M19" s="31" t="s">
        <v>2250</v>
      </c>
      <c r="N19" s="31" t="s">
        <v>2251</v>
      </c>
      <c r="O19" s="31" t="s">
        <v>2252</v>
      </c>
      <c r="P19" s="31" t="s">
        <v>2253</v>
      </c>
      <c r="Q19" s="31" t="s">
        <v>2254</v>
      </c>
      <c r="R19" s="31" t="s">
        <v>2255</v>
      </c>
      <c r="S19" s="31" t="s">
        <v>2256</v>
      </c>
      <c r="T19" s="31" t="s">
        <v>2257</v>
      </c>
      <c r="U19" s="31" t="s">
        <v>2258</v>
      </c>
      <c r="V19" s="31" t="s">
        <v>2259</v>
      </c>
      <c r="W19" s="31" t="s">
        <v>2260</v>
      </c>
      <c r="X19" s="31" t="s">
        <v>2261</v>
      </c>
      <c r="Y19" s="31" t="s">
        <v>2262</v>
      </c>
      <c r="Z19" s="31" t="s">
        <v>2263</v>
      </c>
    </row>
    <row r="20" spans="1:26">
      <c r="A20" s="2" t="s">
        <v>18762</v>
      </c>
      <c r="B20" s="2" t="s">
        <v>101</v>
      </c>
      <c r="C20" s="14">
        <f t="shared" ref="C20:Z20" si="16">C2/C$17</f>
        <v>1.8498190071172694E-3</v>
      </c>
      <c r="D20" s="14">
        <f t="shared" si="16"/>
        <v>1.8385321369524326E-3</v>
      </c>
      <c r="E20" s="14">
        <f t="shared" si="16"/>
        <v>1.8266680819799725E-3</v>
      </c>
      <c r="F20" s="14">
        <f t="shared" si="16"/>
        <v>1.8211589469331185E-3</v>
      </c>
      <c r="G20" s="14">
        <f t="shared" si="16"/>
        <v>1.8148574667580205E-3</v>
      </c>
      <c r="H20" s="14">
        <f t="shared" si="16"/>
        <v>1.8023685859059628E-3</v>
      </c>
      <c r="I20" s="14">
        <f t="shared" si="16"/>
        <v>1.7968673934943976E-3</v>
      </c>
      <c r="J20" s="14">
        <f t="shared" si="16"/>
        <v>1.7862060157970644E-3</v>
      </c>
      <c r="K20" s="14">
        <f t="shared" si="16"/>
        <v>1.7811855328050325E-3</v>
      </c>
      <c r="L20" s="14">
        <f t="shared" si="16"/>
        <v>1.7724169060417537E-3</v>
      </c>
      <c r="M20" s="14">
        <f t="shared" si="16"/>
        <v>1.7682235199307373E-3</v>
      </c>
      <c r="N20" s="14">
        <f t="shared" si="16"/>
        <v>1.759255773982979E-3</v>
      </c>
      <c r="O20" s="14">
        <f t="shared" si="16"/>
        <v>1.7549397773985514E-3</v>
      </c>
      <c r="P20" s="14">
        <f t="shared" si="16"/>
        <v>1.7456444776483733E-3</v>
      </c>
      <c r="Q20" s="14">
        <f t="shared" si="16"/>
        <v>1.7407872748003415E-3</v>
      </c>
      <c r="R20" s="14">
        <f t="shared" si="16"/>
        <v>1.7316814906619964E-3</v>
      </c>
      <c r="S20" s="14">
        <f t="shared" si="16"/>
        <v>1.7269129859297837E-3</v>
      </c>
      <c r="T20" s="14">
        <f t="shared" si="16"/>
        <v>1.7177276034010124E-3</v>
      </c>
      <c r="U20" s="14">
        <f t="shared" si="16"/>
        <v>1.7128043640723509E-3</v>
      </c>
      <c r="V20" s="14">
        <f t="shared" si="16"/>
        <v>1.7035300843017199E-3</v>
      </c>
      <c r="W20" s="14">
        <f t="shared" si="16"/>
        <v>1.6984369450781867E-3</v>
      </c>
      <c r="X20" s="14">
        <f t="shared" si="16"/>
        <v>1.6890650064871142E-3</v>
      </c>
      <c r="Y20" s="14">
        <f t="shared" si="16"/>
        <v>1.6837975557947357E-3</v>
      </c>
      <c r="Z20" s="14">
        <f t="shared" si="16"/>
        <v>1.6744349259048788E-3</v>
      </c>
    </row>
    <row r="21" spans="1:26">
      <c r="A21" s="2" t="s">
        <v>251</v>
      </c>
      <c r="B21" s="2" t="s">
        <v>101</v>
      </c>
      <c r="C21" s="14">
        <f t="shared" ref="C21:Z21" si="17">C3/C$17</f>
        <v>2.846536419987668E-5</v>
      </c>
      <c r="D21" s="14">
        <f t="shared" si="17"/>
        <v>2.8291679710376553E-5</v>
      </c>
      <c r="E21" s="14">
        <f t="shared" si="17"/>
        <v>2.8109113392061594E-5</v>
      </c>
      <c r="F21" s="14">
        <f t="shared" si="17"/>
        <v>2.8024337781619903E-5</v>
      </c>
      <c r="G21" s="14">
        <f t="shared" si="17"/>
        <v>2.7927369414718971E-5</v>
      </c>
      <c r="H21" s="14">
        <f t="shared" si="17"/>
        <v>2.7735188157777141E-5</v>
      </c>
      <c r="I21" s="14">
        <f t="shared" si="17"/>
        <v>2.7650534770107155E-5</v>
      </c>
      <c r="J21" s="14">
        <f t="shared" si="17"/>
        <v>2.7486475476814474E-5</v>
      </c>
      <c r="K21" s="14">
        <f t="shared" si="17"/>
        <v>2.7409219336469056E-5</v>
      </c>
      <c r="L21" s="14">
        <f t="shared" si="17"/>
        <v>2.7274286051975188E-5</v>
      </c>
      <c r="M21" s="14">
        <f t="shared" si="17"/>
        <v>2.7209757434623157E-5</v>
      </c>
      <c r="N21" s="14">
        <f t="shared" si="17"/>
        <v>2.7071760066517011E-5</v>
      </c>
      <c r="O21" s="14">
        <f t="shared" si="17"/>
        <v>2.7005344696046462E-5</v>
      </c>
      <c r="P21" s="14">
        <f t="shared" si="17"/>
        <v>2.6862306868173678E-5</v>
      </c>
      <c r="Q21" s="14">
        <f t="shared" si="17"/>
        <v>2.6787563313517827E-5</v>
      </c>
      <c r="R21" s="14">
        <f t="shared" si="17"/>
        <v>2.6647441787667905E-5</v>
      </c>
      <c r="S21" s="14">
        <f t="shared" si="17"/>
        <v>2.6574063136367963E-5</v>
      </c>
      <c r="T21" s="14">
        <f t="shared" si="17"/>
        <v>2.6432716735454868E-5</v>
      </c>
      <c r="U21" s="14">
        <f t="shared" si="17"/>
        <v>2.6356956998964808E-5</v>
      </c>
      <c r="V21" s="14">
        <f t="shared" si="17"/>
        <v>2.621424263050669E-5</v>
      </c>
      <c r="W21" s="14">
        <f t="shared" si="17"/>
        <v>2.6135868442350587E-5</v>
      </c>
      <c r="X21" s="14">
        <f t="shared" si="17"/>
        <v>2.5991651281521703E-5</v>
      </c>
      <c r="Y21" s="14">
        <f t="shared" si="17"/>
        <v>2.5910594755566165E-5</v>
      </c>
      <c r="Z21" s="14">
        <f t="shared" si="17"/>
        <v>2.5766520838789436E-5</v>
      </c>
    </row>
    <row r="22" spans="1:26">
      <c r="A22" s="2" t="s">
        <v>253</v>
      </c>
      <c r="B22" s="2" t="s">
        <v>101</v>
      </c>
      <c r="C22" s="14">
        <f t="shared" ref="C22:Z22" si="18">C4/C$17</f>
        <v>1.1639111463689199E-2</v>
      </c>
      <c r="D22" s="14">
        <f t="shared" si="18"/>
        <v>1.1721509806647783E-2</v>
      </c>
      <c r="E22" s="14">
        <f t="shared" si="18"/>
        <v>1.1798402575845326E-2</v>
      </c>
      <c r="F22" s="14">
        <f t="shared" si="18"/>
        <v>1.1914785150346302E-2</v>
      </c>
      <c r="G22" s="14">
        <f t="shared" si="18"/>
        <v>1.2025103724779275E-2</v>
      </c>
      <c r="H22" s="14">
        <f t="shared" si="18"/>
        <v>1.2092751358965608E-2</v>
      </c>
      <c r="I22" s="14">
        <f t="shared" si="18"/>
        <v>1.2205885122291076E-2</v>
      </c>
      <c r="J22" s="14">
        <f t="shared" si="18"/>
        <v>1.2282616803824213E-2</v>
      </c>
      <c r="K22" s="14">
        <f t="shared" si="18"/>
        <v>1.239682789732768E-2</v>
      </c>
      <c r="L22" s="14">
        <f t="shared" si="18"/>
        <v>1.248369803057444E-2</v>
      </c>
      <c r="M22" s="14">
        <f t="shared" si="18"/>
        <v>1.2601814112108435E-2</v>
      </c>
      <c r="N22" s="14">
        <f t="shared" si="18"/>
        <v>1.2684805191318305E-2</v>
      </c>
      <c r="O22" s="14">
        <f t="shared" si="18"/>
        <v>1.2800227665042671E-2</v>
      </c>
      <c r="P22" s="14">
        <f t="shared" si="18"/>
        <v>1.287799264699392E-2</v>
      </c>
      <c r="Q22" s="14">
        <f t="shared" si="18"/>
        <v>1.2987520460694655E-2</v>
      </c>
      <c r="R22" s="14">
        <f t="shared" si="18"/>
        <v>1.3064184866460479E-2</v>
      </c>
      <c r="S22" s="14">
        <f t="shared" si="18"/>
        <v>1.3172412118505233E-2</v>
      </c>
      <c r="T22" s="14">
        <f t="shared" si="18"/>
        <v>1.3245683721388657E-2</v>
      </c>
      <c r="U22" s="14">
        <f t="shared" si="18"/>
        <v>1.3350743592019033E-2</v>
      </c>
      <c r="V22" s="14">
        <f t="shared" si="18"/>
        <v>1.3420703010116389E-2</v>
      </c>
      <c r="W22" s="14">
        <f t="shared" si="18"/>
        <v>1.3522402454316244E-2</v>
      </c>
      <c r="X22" s="14">
        <f t="shared" si="18"/>
        <v>1.3588729535088395E-2</v>
      </c>
      <c r="Y22" s="14">
        <f t="shared" si="18"/>
        <v>1.3686953908182711E-2</v>
      </c>
      <c r="Z22" s="14">
        <f t="shared" si="18"/>
        <v>1.3750571234043781E-2</v>
      </c>
    </row>
    <row r="23" spans="1:26">
      <c r="A23" s="2" t="s">
        <v>18844</v>
      </c>
      <c r="B23" s="2" t="s">
        <v>101</v>
      </c>
      <c r="C23" s="14">
        <f t="shared" ref="C23:Z23" si="19">C5/C$17</f>
        <v>0.32549853938093554</v>
      </c>
      <c r="D23" s="14">
        <f t="shared" si="19"/>
        <v>0.32366087280681721</v>
      </c>
      <c r="E23" s="14">
        <f t="shared" si="19"/>
        <v>0.32171548531608346</v>
      </c>
      <c r="F23" s="14">
        <f t="shared" si="19"/>
        <v>0.32087708131627724</v>
      </c>
      <c r="G23" s="14">
        <f t="shared" si="19"/>
        <v>0.31989821571973576</v>
      </c>
      <c r="H23" s="14">
        <f t="shared" si="19"/>
        <v>0.31782537068152239</v>
      </c>
      <c r="I23" s="14">
        <f t="shared" si="19"/>
        <v>0.31697748761489769</v>
      </c>
      <c r="J23" s="14">
        <f t="shared" si="19"/>
        <v>0.31521448587791251</v>
      </c>
      <c r="K23" s="14">
        <f t="shared" si="19"/>
        <v>0.31444249460659485</v>
      </c>
      <c r="L23" s="14">
        <f t="shared" si="19"/>
        <v>0.31299960381063313</v>
      </c>
      <c r="M23" s="14">
        <f t="shared" si="19"/>
        <v>0.31236503767790558</v>
      </c>
      <c r="N23" s="14">
        <f t="shared" si="19"/>
        <v>0.31088167253019539</v>
      </c>
      <c r="O23" s="14">
        <f t="shared" si="19"/>
        <v>0.31021599940634714</v>
      </c>
      <c r="P23" s="14">
        <f t="shared" si="19"/>
        <v>0.30866787525287415</v>
      </c>
      <c r="Q23" s="14">
        <f t="shared" si="19"/>
        <v>0.30789999287592335</v>
      </c>
      <c r="R23" s="14">
        <f t="shared" si="19"/>
        <v>0.30637700110422172</v>
      </c>
      <c r="S23" s="14">
        <f t="shared" si="19"/>
        <v>0.30561466212160737</v>
      </c>
      <c r="T23" s="14">
        <f t="shared" si="19"/>
        <v>0.30406920582375907</v>
      </c>
      <c r="U23" s="14">
        <f t="shared" si="19"/>
        <v>0.30327030836557556</v>
      </c>
      <c r="V23" s="14">
        <f t="shared" si="19"/>
        <v>0.3016989270611391</v>
      </c>
      <c r="W23" s="14">
        <f t="shared" si="19"/>
        <v>0.30086497277953245</v>
      </c>
      <c r="X23" s="14">
        <f t="shared" si="19"/>
        <v>0.29926561697627307</v>
      </c>
      <c r="Y23" s="14">
        <f t="shared" si="19"/>
        <v>0.29839090689324621</v>
      </c>
      <c r="Z23" s="14">
        <f t="shared" si="19"/>
        <v>0.29678423202180676</v>
      </c>
    </row>
    <row r="24" spans="1:26">
      <c r="A24" s="2" t="s">
        <v>419</v>
      </c>
      <c r="B24" s="2" t="s">
        <v>101</v>
      </c>
      <c r="C24" s="14">
        <f t="shared" ref="C24:Z24" si="20">C6/C$17</f>
        <v>6.6813043518201116E-4</v>
      </c>
      <c r="D24" s="14">
        <f t="shared" si="20"/>
        <v>6.6458757055507184E-4</v>
      </c>
      <c r="E24" s="14">
        <f t="shared" si="20"/>
        <v>6.6082934502846699E-4</v>
      </c>
      <c r="F24" s="14">
        <f t="shared" si="20"/>
        <v>6.5936507950339668E-4</v>
      </c>
      <c r="G24" s="14">
        <f t="shared" si="20"/>
        <v>6.5761050999187315E-4</v>
      </c>
      <c r="H24" s="14">
        <f t="shared" si="20"/>
        <v>6.5371315182443778E-4</v>
      </c>
      <c r="I24" s="14">
        <f t="shared" si="20"/>
        <v>6.5223959565260308E-4</v>
      </c>
      <c r="J24" s="14">
        <f t="shared" si="20"/>
        <v>6.4888826635075983E-4</v>
      </c>
      <c r="K24" s="14">
        <f t="shared" si="20"/>
        <v>6.4758159345521796E-4</v>
      </c>
      <c r="L24" s="14">
        <f t="shared" si="20"/>
        <v>6.4490821283651526E-4</v>
      </c>
      <c r="M24" s="14">
        <f t="shared" si="20"/>
        <v>6.43998485396062E-4</v>
      </c>
      <c r="N24" s="14">
        <f t="shared" si="20"/>
        <v>6.412431620284048E-4</v>
      </c>
      <c r="O24" s="14">
        <f t="shared" si="20"/>
        <v>6.4017952973797695E-4</v>
      </c>
      <c r="P24" s="14">
        <f t="shared" si="20"/>
        <v>6.3729555954795448E-4</v>
      </c>
      <c r="Q24" s="14">
        <f t="shared" si="20"/>
        <v>6.3602772969303457E-4</v>
      </c>
      <c r="R24" s="14">
        <f t="shared" si="20"/>
        <v>6.3330410708955652E-4</v>
      </c>
      <c r="S24" s="14">
        <f t="shared" si="20"/>
        <v>6.3206158471142365E-4</v>
      </c>
      <c r="T24" s="14">
        <f t="shared" si="20"/>
        <v>6.2919840440471444E-4</v>
      </c>
      <c r="U24" s="14">
        <f t="shared" si="20"/>
        <v>6.2789233786590508E-4</v>
      </c>
      <c r="V24" s="14">
        <f t="shared" si="20"/>
        <v>6.2498711297940103E-4</v>
      </c>
      <c r="W24" s="14">
        <f t="shared" si="20"/>
        <v>6.2361168362635002E-4</v>
      </c>
      <c r="X24" s="14">
        <f t="shared" si="20"/>
        <v>6.2075909796509765E-4</v>
      </c>
      <c r="Y24" s="14">
        <f t="shared" si="20"/>
        <v>6.1931210257266456E-4</v>
      </c>
      <c r="Z24" s="14">
        <f t="shared" si="20"/>
        <v>6.1635462489466504E-4</v>
      </c>
    </row>
    <row r="25" spans="1:26">
      <c r="A25" s="2" t="s">
        <v>420</v>
      </c>
      <c r="B25" s="2" t="s">
        <v>101</v>
      </c>
      <c r="C25" s="14">
        <f t="shared" ref="C25:Z25" si="21">C7/C$17</f>
        <v>7.6784514305652269E-3</v>
      </c>
      <c r="D25" s="14">
        <f t="shared" si="21"/>
        <v>7.6875433241701306E-3</v>
      </c>
      <c r="E25" s="14">
        <f t="shared" si="21"/>
        <v>7.6936234435962701E-3</v>
      </c>
      <c r="F25" s="14">
        <f t="shared" si="21"/>
        <v>7.7259397936294541E-3</v>
      </c>
      <c r="G25" s="14">
        <f t="shared" si="21"/>
        <v>7.754534702920193E-3</v>
      </c>
      <c r="H25" s="14">
        <f t="shared" si="21"/>
        <v>7.7562238641379179E-3</v>
      </c>
      <c r="I25" s="14">
        <f t="shared" si="21"/>
        <v>7.7872253243873113E-3</v>
      </c>
      <c r="J25" s="14">
        <f t="shared" si="21"/>
        <v>7.7956519412047398E-3</v>
      </c>
      <c r="K25" s="14">
        <f t="shared" si="21"/>
        <v>7.8281040718004725E-3</v>
      </c>
      <c r="L25" s="14">
        <f t="shared" si="21"/>
        <v>7.8437656108621724E-3</v>
      </c>
      <c r="M25" s="14">
        <f t="shared" si="21"/>
        <v>7.8792680760892495E-3</v>
      </c>
      <c r="N25" s="14">
        <f t="shared" si="21"/>
        <v>7.8931036595447941E-3</v>
      </c>
      <c r="O25" s="14">
        <f t="shared" si="21"/>
        <v>7.927301742519155E-3</v>
      </c>
      <c r="P25" s="14">
        <f t="shared" si="21"/>
        <v>7.9387949413438942E-3</v>
      </c>
      <c r="Q25" s="14">
        <f t="shared" si="21"/>
        <v>7.969936922182402E-3</v>
      </c>
      <c r="R25" s="14">
        <f t="shared" si="21"/>
        <v>7.9812004289204416E-3</v>
      </c>
      <c r="S25" s="14">
        <f t="shared" si="21"/>
        <v>8.0120298958731746E-3</v>
      </c>
      <c r="T25" s="14">
        <f t="shared" si="21"/>
        <v>8.0218407733161981E-3</v>
      </c>
      <c r="U25" s="14">
        <f t="shared" si="21"/>
        <v>8.0513143575920796E-3</v>
      </c>
      <c r="V25" s="14">
        <f t="shared" si="21"/>
        <v>8.0597123331712234E-3</v>
      </c>
      <c r="W25" s="14">
        <f t="shared" si="21"/>
        <v>8.0876507948626705E-3</v>
      </c>
      <c r="X25" s="14">
        <f t="shared" si="21"/>
        <v>8.0945750545191562E-3</v>
      </c>
      <c r="Y25" s="14">
        <f t="shared" si="21"/>
        <v>8.1208203876261351E-3</v>
      </c>
      <c r="Z25" s="14">
        <f t="shared" si="21"/>
        <v>8.1268676279237072E-3</v>
      </c>
    </row>
    <row r="26" spans="1:26">
      <c r="A26" s="2" t="s">
        <v>258</v>
      </c>
      <c r="B26" s="2" t="s">
        <v>101</v>
      </c>
      <c r="C26" s="14">
        <f t="shared" ref="C26:Z26" si="22">C8/C$17</f>
        <v>1.4232682099938341E-4</v>
      </c>
      <c r="D26" s="14">
        <f t="shared" si="22"/>
        <v>1.4145839855188278E-4</v>
      </c>
      <c r="E26" s="14">
        <f t="shared" si="22"/>
        <v>1.4054556696030797E-4</v>
      </c>
      <c r="F26" s="14">
        <f t="shared" si="22"/>
        <v>1.4012168890809953E-4</v>
      </c>
      <c r="G26" s="14">
        <f t="shared" si="22"/>
        <v>1.3963684707359486E-4</v>
      </c>
      <c r="H26" s="14">
        <f t="shared" si="22"/>
        <v>1.386759407888857E-4</v>
      </c>
      <c r="I26" s="14">
        <f t="shared" si="22"/>
        <v>1.3825267385053579E-4</v>
      </c>
      <c r="J26" s="14">
        <f t="shared" si="22"/>
        <v>1.3743237738407236E-4</v>
      </c>
      <c r="K26" s="14">
        <f t="shared" si="22"/>
        <v>1.3704609668234528E-4</v>
      </c>
      <c r="L26" s="14">
        <f t="shared" si="22"/>
        <v>1.3637143025987594E-4</v>
      </c>
      <c r="M26" s="14">
        <f t="shared" si="22"/>
        <v>1.360487871731158E-4</v>
      </c>
      <c r="N26" s="14">
        <f t="shared" si="22"/>
        <v>1.3535880033258506E-4</v>
      </c>
      <c r="O26" s="14">
        <f t="shared" si="22"/>
        <v>1.3502672348023232E-4</v>
      </c>
      <c r="P26" s="14">
        <f t="shared" si="22"/>
        <v>1.343115343408684E-4</v>
      </c>
      <c r="Q26" s="14">
        <f t="shared" si="22"/>
        <v>1.3393781656758914E-4</v>
      </c>
      <c r="R26" s="14">
        <f t="shared" si="22"/>
        <v>1.3323720893833953E-4</v>
      </c>
      <c r="S26" s="14">
        <f t="shared" si="22"/>
        <v>1.3287031568183982E-4</v>
      </c>
      <c r="T26" s="14">
        <f t="shared" si="22"/>
        <v>1.3216358367727435E-4</v>
      </c>
      <c r="U26" s="14">
        <f t="shared" si="22"/>
        <v>1.3178478499482405E-4</v>
      </c>
      <c r="V26" s="14">
        <f t="shared" si="22"/>
        <v>1.3107121315253346E-4</v>
      </c>
      <c r="W26" s="14">
        <f t="shared" si="22"/>
        <v>1.3067934221175294E-4</v>
      </c>
      <c r="X26" s="14">
        <f t="shared" si="22"/>
        <v>1.2995825640760853E-4</v>
      </c>
      <c r="Y26" s="14">
        <f t="shared" si="22"/>
        <v>1.2955297377783084E-4</v>
      </c>
      <c r="Z26" s="14">
        <f t="shared" si="22"/>
        <v>1.2883260419394718E-4</v>
      </c>
    </row>
    <row r="27" spans="1:26">
      <c r="A27" s="2" t="s">
        <v>259</v>
      </c>
      <c r="B27" s="2" t="s">
        <v>101</v>
      </c>
      <c r="C27" s="14">
        <f t="shared" ref="C27:Z27" si="23">C9/C$17</f>
        <v>5.6930728399753361E-5</v>
      </c>
      <c r="D27" s="14">
        <f t="shared" si="23"/>
        <v>5.6583359420753105E-5</v>
      </c>
      <c r="E27" s="14">
        <f t="shared" si="23"/>
        <v>5.6218226784123188E-5</v>
      </c>
      <c r="F27" s="14">
        <f t="shared" si="23"/>
        <v>5.6048675563239806E-5</v>
      </c>
      <c r="G27" s="14">
        <f t="shared" si="23"/>
        <v>5.5854738829437941E-5</v>
      </c>
      <c r="H27" s="14">
        <f t="shared" si="23"/>
        <v>5.5470376315554282E-5</v>
      </c>
      <c r="I27" s="14">
        <f t="shared" si="23"/>
        <v>5.530106954021431E-5</v>
      </c>
      <c r="J27" s="14">
        <f t="shared" si="23"/>
        <v>5.4972950953628947E-5</v>
      </c>
      <c r="K27" s="14">
        <f t="shared" si="23"/>
        <v>5.4818438672938113E-5</v>
      </c>
      <c r="L27" s="14">
        <f t="shared" si="23"/>
        <v>5.4548572103950375E-5</v>
      </c>
      <c r="M27" s="14">
        <f t="shared" si="23"/>
        <v>5.4419514869246313E-5</v>
      </c>
      <c r="N27" s="14">
        <f t="shared" si="23"/>
        <v>5.4143520133034021E-5</v>
      </c>
      <c r="O27" s="14">
        <f t="shared" si="23"/>
        <v>5.4010689392092924E-5</v>
      </c>
      <c r="P27" s="14">
        <f t="shared" si="23"/>
        <v>5.3724613736347357E-5</v>
      </c>
      <c r="Q27" s="14">
        <f t="shared" si="23"/>
        <v>5.3575126627035654E-5</v>
      </c>
      <c r="R27" s="14">
        <f t="shared" si="23"/>
        <v>5.329488357533581E-5</v>
      </c>
      <c r="S27" s="14">
        <f t="shared" si="23"/>
        <v>5.3148126272735927E-5</v>
      </c>
      <c r="T27" s="14">
        <f t="shared" si="23"/>
        <v>5.2865433470909736E-5</v>
      </c>
      <c r="U27" s="14">
        <f t="shared" si="23"/>
        <v>5.2713913997929616E-5</v>
      </c>
      <c r="V27" s="14">
        <f t="shared" si="23"/>
        <v>5.2428485261013379E-5</v>
      </c>
      <c r="W27" s="14">
        <f t="shared" si="23"/>
        <v>5.2271736884701175E-5</v>
      </c>
      <c r="X27" s="14">
        <f t="shared" si="23"/>
        <v>5.1983302563043406E-5</v>
      </c>
      <c r="Y27" s="14">
        <f t="shared" si="23"/>
        <v>5.1821189511132329E-5</v>
      </c>
      <c r="Z27" s="14">
        <f t="shared" si="23"/>
        <v>5.1533041677578871E-5</v>
      </c>
    </row>
    <row r="28" spans="1:26">
      <c r="A28" s="2" t="s">
        <v>260</v>
      </c>
      <c r="B28" s="2" t="s">
        <v>101</v>
      </c>
      <c r="C28" s="14">
        <f t="shared" ref="C28:Z28" si="24">C10/C$17</f>
        <v>1.5829432203507153E-2</v>
      </c>
      <c r="D28" s="14">
        <f t="shared" si="24"/>
        <v>1.5823487351928071E-2</v>
      </c>
      <c r="E28" s="14">
        <f t="shared" si="24"/>
        <v>1.5810478912848622E-2</v>
      </c>
      <c r="F28" s="14">
        <f t="shared" si="24"/>
        <v>1.5850781183809028E-2</v>
      </c>
      <c r="G28" s="14">
        <f>G10/G$17</f>
        <v>1.5885724256342205E-2</v>
      </c>
      <c r="H28" s="14">
        <f t="shared" si="24"/>
        <v>1.586777630640104E-2</v>
      </c>
      <c r="I28" s="14">
        <f t="shared" si="24"/>
        <v>1.5911582663354271E-2</v>
      </c>
      <c r="J28" s="14">
        <f t="shared" si="24"/>
        <v>1.5911043160763621E-2</v>
      </c>
      <c r="K28" s="14">
        <f t="shared" si="24"/>
        <v>1.5960030548309311E-2</v>
      </c>
      <c r="L28" s="14">
        <f t="shared" si="24"/>
        <v>1.5974193231095678E-2</v>
      </c>
      <c r="M28" s="14">
        <f t="shared" si="24"/>
        <v>1.6029015516044846E-2</v>
      </c>
      <c r="N28" s="14">
        <f t="shared" si="24"/>
        <v>1.604048163484794E-2</v>
      </c>
      <c r="O28" s="14">
        <f t="shared" si="24"/>
        <v>1.6095189515122135E-2</v>
      </c>
      <c r="P28" s="14">
        <f t="shared" si="24"/>
        <v>1.6103399502581443E-2</v>
      </c>
      <c r="Q28" s="14">
        <f t="shared" si="24"/>
        <v>1.6151893870011241E-2</v>
      </c>
      <c r="R28" s="14">
        <f t="shared" si="24"/>
        <v>1.6160118842522331E-2</v>
      </c>
      <c r="S28" s="14">
        <f t="shared" si="24"/>
        <v>1.6208076655209597E-2</v>
      </c>
      <c r="T28" s="14">
        <f t="shared" si="24"/>
        <v>1.6213932181472941E-2</v>
      </c>
      <c r="U28" s="14">
        <f t="shared" si="24"/>
        <v>1.6259262640317174E-2</v>
      </c>
      <c r="V28" s="14">
        <f t="shared" si="24"/>
        <v>1.6262528711470731E-2</v>
      </c>
      <c r="W28" s="14">
        <f t="shared" si="24"/>
        <v>1.6304939442236148E-2</v>
      </c>
      <c r="X28" s="14">
        <f t="shared" si="24"/>
        <v>1.6305400466641751E-2</v>
      </c>
      <c r="Y28" s="14">
        <f t="shared" si="24"/>
        <v>1.6344700410332109E-2</v>
      </c>
      <c r="Z28" s="14">
        <f t="shared" si="24"/>
        <v>1.634356220909914E-2</v>
      </c>
    </row>
    <row r="29" spans="1:26">
      <c r="A29" s="2" t="s">
        <v>261</v>
      </c>
      <c r="B29" s="2" t="s">
        <v>101</v>
      </c>
      <c r="C29" s="14">
        <f t="shared" ref="C29:Z29" si="25">C11/C$17</f>
        <v>0.14929127516264076</v>
      </c>
      <c r="D29" s="14">
        <f t="shared" si="25"/>
        <v>0.15003696964534646</v>
      </c>
      <c r="E29" s="14">
        <f t="shared" si="25"/>
        <v>0.15063620830742805</v>
      </c>
      <c r="F29" s="14">
        <f t="shared" si="25"/>
        <v>0.15166919660517952</v>
      </c>
      <c r="G29" s="14">
        <f t="shared" si="25"/>
        <v>0.15270190280359847</v>
      </c>
      <c r="H29" s="14">
        <f t="shared" si="25"/>
        <v>0.15312105474798032</v>
      </c>
      <c r="I29" s="14">
        <f t="shared" si="25"/>
        <v>0.15411948977638903</v>
      </c>
      <c r="J29" s="14">
        <f t="shared" si="25"/>
        <v>0.1547397293501562</v>
      </c>
      <c r="K29" s="14">
        <f t="shared" si="25"/>
        <v>0.15575790528377906</v>
      </c>
      <c r="L29" s="14">
        <f t="shared" si="25"/>
        <v>0.15642955775350342</v>
      </c>
      <c r="M29" s="14">
        <f t="shared" si="25"/>
        <v>0.15749490191310608</v>
      </c>
      <c r="N29" s="14">
        <f t="shared" si="25"/>
        <v>0.15820123637361602</v>
      </c>
      <c r="O29" s="14">
        <f t="shared" si="25"/>
        <v>0.15923798311636855</v>
      </c>
      <c r="P29" s="14">
        <f t="shared" si="25"/>
        <v>0.16003538623381011</v>
      </c>
      <c r="Q29" s="14">
        <f t="shared" si="25"/>
        <v>0.161226357857642</v>
      </c>
      <c r="R29" s="14">
        <f t="shared" si="25"/>
        <v>0.16200990990405406</v>
      </c>
      <c r="S29" s="14">
        <f t="shared" si="25"/>
        <v>0.16318630774625897</v>
      </c>
      <c r="T29" s="14">
        <f t="shared" si="25"/>
        <v>0.16393211833365909</v>
      </c>
      <c r="U29" s="14">
        <f t="shared" si="25"/>
        <v>0.16507143355978457</v>
      </c>
      <c r="V29" s="14">
        <f t="shared" si="25"/>
        <v>0.16577807902196187</v>
      </c>
      <c r="W29" s="14">
        <f t="shared" si="25"/>
        <v>0.16687811175992037</v>
      </c>
      <c r="X29" s="14">
        <f t="shared" si="25"/>
        <v>0.16754424387645081</v>
      </c>
      <c r="Y29" s="14">
        <f t="shared" si="25"/>
        <v>0.16860366222849332</v>
      </c>
      <c r="Z29" s="14">
        <f t="shared" si="25"/>
        <v>0.16916771037929637</v>
      </c>
    </row>
    <row r="30" spans="1:26">
      <c r="A30" s="2" t="s">
        <v>262</v>
      </c>
      <c r="B30" s="2" t="s">
        <v>101</v>
      </c>
      <c r="C30" s="14">
        <f t="shared" ref="C30:Z30" si="26">C12/C$17</f>
        <v>0.18471024446243828</v>
      </c>
      <c r="D30" s="14">
        <f t="shared" si="26"/>
        <v>0.18374826757767609</v>
      </c>
      <c r="E30" s="14">
        <f t="shared" si="26"/>
        <v>0.18272981504084587</v>
      </c>
      <c r="F30" s="14">
        <f t="shared" si="26"/>
        <v>0.18234220443992569</v>
      </c>
      <c r="G30" s="14">
        <f t="shared" si="26"/>
        <v>0.18187409519011613</v>
      </c>
      <c r="H30" s="14">
        <f t="shared" si="26"/>
        <v>0.18078434073872204</v>
      </c>
      <c r="I30" s="14">
        <f t="shared" si="26"/>
        <v>0.18039386264806997</v>
      </c>
      <c r="J30" s="14">
        <f t="shared" si="26"/>
        <v>0.17948388435477633</v>
      </c>
      <c r="K30" s="14">
        <f t="shared" si="26"/>
        <v>0.17912307531143074</v>
      </c>
      <c r="L30" s="14">
        <f t="shared" si="26"/>
        <v>0.17838432880700189</v>
      </c>
      <c r="M30" s="14">
        <f t="shared" si="26"/>
        <v>0.17810500969070886</v>
      </c>
      <c r="N30" s="14">
        <f t="shared" si="26"/>
        <v>0.17734372899544276</v>
      </c>
      <c r="O30" s="14">
        <f t="shared" si="26"/>
        <v>0.17705019894307525</v>
      </c>
      <c r="P30" s="14">
        <f t="shared" si="26"/>
        <v>0.17625008286261418</v>
      </c>
      <c r="Q30" s="14">
        <f t="shared" si="26"/>
        <v>0.17590018070020877</v>
      </c>
      <c r="R30" s="14">
        <f t="shared" si="26"/>
        <v>0.17511984792528207</v>
      </c>
      <c r="S30" s="14">
        <f t="shared" si="26"/>
        <v>0.17477691129150735</v>
      </c>
      <c r="T30" s="14">
        <f t="shared" si="26"/>
        <v>0.17398592682661546</v>
      </c>
      <c r="U30" s="14">
        <f t="shared" si="26"/>
        <v>0.1736255093586373</v>
      </c>
      <c r="V30" s="14">
        <f t="shared" si="26"/>
        <v>0.1728226868509766</v>
      </c>
      <c r="W30" s="14">
        <f t="shared" si="26"/>
        <v>0.17244307921976806</v>
      </c>
      <c r="X30" s="14">
        <f t="shared" si="26"/>
        <v>0.17162787557873818</v>
      </c>
      <c r="Y30" s="14">
        <f t="shared" si="26"/>
        <v>0.17122855214097613</v>
      </c>
      <c r="Z30" s="14">
        <f t="shared" si="26"/>
        <v>0.17041150409465408</v>
      </c>
    </row>
    <row r="31" spans="1:26">
      <c r="A31" s="2" t="s">
        <v>18766</v>
      </c>
      <c r="B31" s="2" t="s">
        <v>101</v>
      </c>
      <c r="C31" s="14">
        <f t="shared" ref="C31:Z31" si="27">C13/C$17</f>
        <v>3.761864374540156E-2</v>
      </c>
      <c r="D31" s="14">
        <f t="shared" si="27"/>
        <v>3.8586861815399318E-2</v>
      </c>
      <c r="E31" s="14">
        <f t="shared" si="27"/>
        <v>3.8720674950005876E-2</v>
      </c>
      <c r="F31" s="14">
        <f t="shared" si="27"/>
        <v>3.874909322231878E-2</v>
      </c>
      <c r="G31" s="14">
        <f t="shared" si="27"/>
        <v>3.8951514065154846E-2</v>
      </c>
      <c r="H31" s="14">
        <f t="shared" si="27"/>
        <v>4.0219895289010203E-2</v>
      </c>
      <c r="I31" s="14">
        <f t="shared" si="27"/>
        <v>4.0394614074829228E-2</v>
      </c>
      <c r="J31" s="14">
        <f t="shared" si="27"/>
        <v>4.0606133250819416E-2</v>
      </c>
      <c r="K31" s="14">
        <f t="shared" si="27"/>
        <v>4.0492001734323012E-2</v>
      </c>
      <c r="L31" s="14">
        <f t="shared" si="27"/>
        <v>4.0292663011002504E-2</v>
      </c>
      <c r="M31" s="14">
        <f t="shared" si="27"/>
        <v>4.0197334032323589E-2</v>
      </c>
      <c r="N31" s="14">
        <f t="shared" si="27"/>
        <v>3.9993468697813631E-2</v>
      </c>
      <c r="O31" s="14">
        <f t="shared" si="27"/>
        <v>3.989535239383335E-2</v>
      </c>
      <c r="P31" s="14">
        <f t="shared" si="27"/>
        <v>3.9684040721538028E-2</v>
      </c>
      <c r="Q31" s="14">
        <f t="shared" si="27"/>
        <v>3.9573621081065914E-2</v>
      </c>
      <c r="R31" s="14">
        <f t="shared" si="27"/>
        <v>3.9366617700266164E-2</v>
      </c>
      <c r="S31" s="14">
        <f t="shared" si="27"/>
        <v>3.9258214449548759E-2</v>
      </c>
      <c r="T31" s="14">
        <f t="shared" si="27"/>
        <v>3.9049401544640587E-2</v>
      </c>
      <c r="U31" s="14">
        <f t="shared" si="27"/>
        <v>3.8937480685323531E-2</v>
      </c>
      <c r="V31" s="14">
        <f t="shared" si="27"/>
        <v>3.8726646863893599E-2</v>
      </c>
      <c r="W31" s="14">
        <f t="shared" si="27"/>
        <v>3.8610863640599798E-2</v>
      </c>
      <c r="X31" s="14">
        <f t="shared" si="27"/>
        <v>3.8397809724152333E-2</v>
      </c>
      <c r="Y31" s="14">
        <f t="shared" si="27"/>
        <v>3.8278063847800331E-2</v>
      </c>
      <c r="Z31" s="14">
        <f t="shared" si="27"/>
        <v>3.8065221547683013E-2</v>
      </c>
    </row>
    <row r="32" spans="1:26">
      <c r="A32" s="2" t="s">
        <v>18845</v>
      </c>
      <c r="B32" s="2" t="s">
        <v>101</v>
      </c>
      <c r="C32" s="14">
        <f t="shared" ref="C32:Z32" si="28">C14/C$17</f>
        <v>0.18071854106986615</v>
      </c>
      <c r="D32" s="14">
        <f t="shared" si="28"/>
        <v>0.17972316226280585</v>
      </c>
      <c r="E32" s="14">
        <f t="shared" si="28"/>
        <v>0.17867032870640215</v>
      </c>
      <c r="F32" s="14">
        <f t="shared" si="28"/>
        <v>0.1782379608576439</v>
      </c>
      <c r="G32" s="14">
        <f t="shared" si="28"/>
        <v>0.17772724968407927</v>
      </c>
      <c r="H32" s="14">
        <f t="shared" si="28"/>
        <v>0.17660961928499597</v>
      </c>
      <c r="I32" s="14">
        <f t="shared" si="28"/>
        <v>0.17617564314183937</v>
      </c>
      <c r="J32" s="14">
        <f t="shared" si="28"/>
        <v>0.17523478641370774</v>
      </c>
      <c r="K32" s="14">
        <f t="shared" si="28"/>
        <v>0.17484723709494157</v>
      </c>
      <c r="L32" s="14">
        <f t="shared" si="28"/>
        <v>0.17409094449508439</v>
      </c>
      <c r="M32" s="14">
        <f t="shared" si="28"/>
        <v>0.17378327878345121</v>
      </c>
      <c r="N32" s="14">
        <f t="shared" si="28"/>
        <v>0.17300581145693517</v>
      </c>
      <c r="O32" s="14">
        <f t="shared" si="28"/>
        <v>0.17268470854273851</v>
      </c>
      <c r="P32" s="14">
        <f t="shared" si="28"/>
        <v>0.17187304735103778</v>
      </c>
      <c r="Q32" s="14">
        <f t="shared" si="28"/>
        <v>0.17149741722805681</v>
      </c>
      <c r="R32" s="14">
        <f t="shared" si="28"/>
        <v>0.17070240597157549</v>
      </c>
      <c r="S32" s="14">
        <f t="shared" si="28"/>
        <v>0.17033432961200787</v>
      </c>
      <c r="T32" s="14">
        <f t="shared" si="28"/>
        <v>0.1695295702772196</v>
      </c>
      <c r="U32" s="14">
        <f t="shared" si="28"/>
        <v>0.16914462774838313</v>
      </c>
      <c r="V32" s="14">
        <f t="shared" si="28"/>
        <v>0.16832926889909686</v>
      </c>
      <c r="W32" s="14">
        <f t="shared" si="28"/>
        <v>0.1679260121455807</v>
      </c>
      <c r="X32" s="14">
        <f t="shared" si="28"/>
        <v>0.16709914910846765</v>
      </c>
      <c r="Y32" s="14">
        <f t="shared" si="28"/>
        <v>0.16667728284028899</v>
      </c>
      <c r="Z32" s="14">
        <f t="shared" si="28"/>
        <v>0.16584917695956852</v>
      </c>
    </row>
    <row r="33" spans="1:33">
      <c r="A33" s="2" t="s">
        <v>267</v>
      </c>
      <c r="B33" s="2" t="s">
        <v>101</v>
      </c>
      <c r="C33" s="14">
        <f t="shared" ref="C33:Z33" si="29">C15/C$17</f>
        <v>2.853490562169933E-2</v>
      </c>
      <c r="D33" s="14">
        <f t="shared" si="29"/>
        <v>3.0214061980327205E-2</v>
      </c>
      <c r="E33" s="14">
        <f t="shared" si="29"/>
        <v>3.3136656377302724E-2</v>
      </c>
      <c r="F33" s="14">
        <f t="shared" si="29"/>
        <v>3.304813920068015E-2</v>
      </c>
      <c r="G33" s="14">
        <f t="shared" si="29"/>
        <v>3.3130649343249857E-2</v>
      </c>
      <c r="H33" s="14">
        <f t="shared" si="29"/>
        <v>3.5433680966111929E-2</v>
      </c>
      <c r="I33" s="14">
        <f t="shared" si="29"/>
        <v>3.5269290081514033E-2</v>
      </c>
      <c r="J33" s="14">
        <f t="shared" si="29"/>
        <v>3.7665847921662644E-2</v>
      </c>
      <c r="K33" s="14">
        <f t="shared" si="29"/>
        <v>3.7604662853911182E-2</v>
      </c>
      <c r="L33" s="14">
        <f t="shared" si="29"/>
        <v>4.0109400393100056E-2</v>
      </c>
      <c r="M33" s="14">
        <f t="shared" si="29"/>
        <v>4.016580151719841E-2</v>
      </c>
      <c r="N33" s="14">
        <f t="shared" si="29"/>
        <v>4.2744398798187935E-2</v>
      </c>
      <c r="O33" s="14">
        <f t="shared" si="29"/>
        <v>4.2904940104417998E-2</v>
      </c>
      <c r="P33" s="14">
        <f t="shared" si="29"/>
        <v>4.5557276315512964E-2</v>
      </c>
      <c r="Q33" s="14">
        <f t="shared" si="29"/>
        <v>4.5818317623684268E-2</v>
      </c>
      <c r="R33" s="14">
        <f t="shared" si="29"/>
        <v>4.8562297913845989E-2</v>
      </c>
      <c r="S33" s="14">
        <f t="shared" si="29"/>
        <v>4.8947168008810292E-2</v>
      </c>
      <c r="T33" s="14">
        <f t="shared" si="29"/>
        <v>5.1783677032163765E-2</v>
      </c>
      <c r="U33" s="14">
        <f t="shared" si="29"/>
        <v>5.2292630364871077E-2</v>
      </c>
      <c r="V33" s="14">
        <f t="shared" si="29"/>
        <v>5.5229125914153451E-2</v>
      </c>
      <c r="W33" s="14">
        <f t="shared" si="29"/>
        <v>5.5867558977959086E-2</v>
      </c>
      <c r="X33" s="14">
        <f t="shared" si="29"/>
        <v>5.8909891274333333E-2</v>
      </c>
      <c r="Y33" s="14">
        <f t="shared" si="29"/>
        <v>5.9686374993141764E-2</v>
      </c>
      <c r="Z33" s="14">
        <f t="shared" si="29"/>
        <v>6.2845954192042017E-2</v>
      </c>
    </row>
    <row r="34" spans="1:33">
      <c r="A34" s="2" t="s">
        <v>268</v>
      </c>
      <c r="B34" s="2" t="s">
        <v>101</v>
      </c>
      <c r="C34" s="14">
        <f t="shared" ref="C34:Z34" si="30">C16/C$17</f>
        <v>5.5735183103358552E-2</v>
      </c>
      <c r="D34" s="14">
        <f t="shared" si="30"/>
        <v>5.6067810283691184E-2</v>
      </c>
      <c r="E34" s="14">
        <f t="shared" si="30"/>
        <v>5.6375956035496749E-2</v>
      </c>
      <c r="F34" s="14">
        <f t="shared" si="30"/>
        <v>5.6880099501500553E-2</v>
      </c>
      <c r="G34" s="14">
        <f t="shared" si="30"/>
        <v>5.735512357795626E-2</v>
      </c>
      <c r="H34" s="14">
        <f t="shared" si="30"/>
        <v>5.7611323519159909E-2</v>
      </c>
      <c r="I34" s="14">
        <f t="shared" si="30"/>
        <v>5.8094608285120267E-2</v>
      </c>
      <c r="J34" s="14">
        <f t="shared" si="30"/>
        <v>5.8410834839210141E-2</v>
      </c>
      <c r="K34" s="14">
        <f t="shared" si="30"/>
        <v>5.8899619716630179E-2</v>
      </c>
      <c r="L34" s="14">
        <f t="shared" si="30"/>
        <v>5.8756325449848122E-2</v>
      </c>
      <c r="M34" s="14">
        <f t="shared" si="30"/>
        <v>5.8748638616259827E-2</v>
      </c>
      <c r="N34" s="14">
        <f t="shared" si="30"/>
        <v>5.8594219645554578E-2</v>
      </c>
      <c r="O34" s="14">
        <f t="shared" si="30"/>
        <v>5.8576936505830471E-2</v>
      </c>
      <c r="P34" s="14">
        <f t="shared" si="30"/>
        <v>5.8414265679551838E-2</v>
      </c>
      <c r="Q34" s="14">
        <f t="shared" si="30"/>
        <v>5.8383645869528975E-2</v>
      </c>
      <c r="R34" s="14">
        <f t="shared" si="30"/>
        <v>5.8078250210798356E-2</v>
      </c>
      <c r="S34" s="14">
        <f t="shared" si="30"/>
        <v>5.7918321024939275E-2</v>
      </c>
      <c r="T34" s="14">
        <f t="shared" si="30"/>
        <v>5.7610255744075217E-2</v>
      </c>
      <c r="U34" s="14">
        <f t="shared" si="30"/>
        <v>5.7445136969566435E-2</v>
      </c>
      <c r="V34" s="14">
        <f t="shared" si="30"/>
        <v>5.7134090195694792E-2</v>
      </c>
      <c r="W34" s="14">
        <f t="shared" si="30"/>
        <v>5.6963273208981077E-2</v>
      </c>
      <c r="X34" s="14">
        <f t="shared" si="30"/>
        <v>5.6648951090630978E-2</v>
      </c>
      <c r="Y34" s="14">
        <f t="shared" si="30"/>
        <v>5.6472287933500363E-2</v>
      </c>
      <c r="Z34" s="14">
        <f t="shared" si="30"/>
        <v>5.6158278016372735E-2</v>
      </c>
    </row>
    <row r="35" spans="1:33">
      <c r="A35" s="2" t="s">
        <v>270</v>
      </c>
      <c r="B35" s="2" t="s">
        <v>101</v>
      </c>
      <c r="C35" s="14">
        <f t="shared" ref="C35:Z35" si="31">C17/C$17</f>
        <v>1</v>
      </c>
      <c r="D35" s="14">
        <f t="shared" si="31"/>
        <v>1</v>
      </c>
      <c r="E35" s="14">
        <f t="shared" si="31"/>
        <v>1</v>
      </c>
      <c r="F35" s="14">
        <f t="shared" si="31"/>
        <v>1</v>
      </c>
      <c r="G35" s="14">
        <f t="shared" si="31"/>
        <v>1</v>
      </c>
      <c r="H35" s="14">
        <f t="shared" si="31"/>
        <v>1</v>
      </c>
      <c r="I35" s="14">
        <f t="shared" si="31"/>
        <v>1</v>
      </c>
      <c r="J35" s="14">
        <f t="shared" si="31"/>
        <v>1</v>
      </c>
      <c r="K35" s="14">
        <f t="shared" si="31"/>
        <v>1</v>
      </c>
      <c r="L35" s="14">
        <f t="shared" si="31"/>
        <v>1</v>
      </c>
      <c r="M35" s="14">
        <f t="shared" si="31"/>
        <v>1</v>
      </c>
      <c r="N35" s="14">
        <f t="shared" si="31"/>
        <v>1</v>
      </c>
      <c r="O35" s="14">
        <f t="shared" si="31"/>
        <v>1</v>
      </c>
      <c r="P35" s="14">
        <f t="shared" si="31"/>
        <v>1</v>
      </c>
      <c r="Q35" s="14">
        <f t="shared" si="31"/>
        <v>1</v>
      </c>
      <c r="R35" s="14">
        <f t="shared" si="31"/>
        <v>1</v>
      </c>
      <c r="S35" s="14">
        <f t="shared" si="31"/>
        <v>1</v>
      </c>
      <c r="T35" s="14">
        <f t="shared" si="31"/>
        <v>1</v>
      </c>
      <c r="U35" s="14">
        <f t="shared" si="31"/>
        <v>1</v>
      </c>
      <c r="V35" s="14">
        <f t="shared" si="31"/>
        <v>1</v>
      </c>
      <c r="W35" s="14">
        <f t="shared" si="31"/>
        <v>1</v>
      </c>
      <c r="X35" s="14">
        <f t="shared" si="31"/>
        <v>1</v>
      </c>
      <c r="Y35" s="14">
        <f t="shared" si="31"/>
        <v>1</v>
      </c>
      <c r="Z35" s="14">
        <f t="shared" si="31"/>
        <v>1</v>
      </c>
    </row>
    <row r="37" spans="1:33" ht="15.75" thickBot="1">
      <c r="A37" s="235" t="s">
        <v>569</v>
      </c>
      <c r="B37" s="235" t="s">
        <v>570</v>
      </c>
      <c r="C37" s="235" t="s">
        <v>571</v>
      </c>
      <c r="D37" s="235" t="s">
        <v>572</v>
      </c>
      <c r="E37" s="235" t="s">
        <v>573</v>
      </c>
      <c r="F37" s="235" t="s">
        <v>574</v>
      </c>
      <c r="G37" s="235" t="s">
        <v>575</v>
      </c>
      <c r="H37" s="235" t="s">
        <v>576</v>
      </c>
      <c r="I37" s="235" t="s">
        <v>577</v>
      </c>
      <c r="J37" s="235">
        <v>2023</v>
      </c>
      <c r="K37" s="235">
        <v>2024</v>
      </c>
      <c r="L37" s="235">
        <v>2025</v>
      </c>
      <c r="M37" s="235">
        <v>2026</v>
      </c>
      <c r="N37" s="235">
        <v>2027</v>
      </c>
      <c r="O37" s="235">
        <v>2028</v>
      </c>
      <c r="P37" s="235">
        <v>2029</v>
      </c>
      <c r="Q37" s="235">
        <v>2030</v>
      </c>
      <c r="R37" s="235">
        <v>2031</v>
      </c>
      <c r="S37" s="235">
        <v>2032</v>
      </c>
      <c r="T37" s="235">
        <v>2033</v>
      </c>
      <c r="U37" s="235">
        <v>2034</v>
      </c>
      <c r="V37" s="235">
        <v>2035</v>
      </c>
      <c r="W37" s="235">
        <v>2036</v>
      </c>
      <c r="X37" s="235">
        <v>2037</v>
      </c>
      <c r="Y37" s="235">
        <v>2038</v>
      </c>
      <c r="Z37" s="235">
        <v>2039</v>
      </c>
      <c r="AA37" s="235">
        <v>2040</v>
      </c>
      <c r="AB37" s="235">
        <v>2041</v>
      </c>
      <c r="AC37" s="235">
        <v>2042</v>
      </c>
      <c r="AD37" s="235">
        <v>2043</v>
      </c>
      <c r="AE37" s="235">
        <v>2044</v>
      </c>
      <c r="AF37" s="235">
        <v>2045</v>
      </c>
      <c r="AG37" s="235">
        <v>2046</v>
      </c>
    </row>
    <row r="38" spans="1:33">
      <c r="A38" s="113" t="s">
        <v>18767</v>
      </c>
      <c r="B38" s="113" t="s">
        <v>18768</v>
      </c>
      <c r="C38" s="113" t="s">
        <v>18769</v>
      </c>
      <c r="D38" s="113" t="s">
        <v>18770</v>
      </c>
      <c r="E38" s="113" t="s">
        <v>781</v>
      </c>
      <c r="F38" s="113" t="s">
        <v>598</v>
      </c>
      <c r="G38" s="113" t="s">
        <v>599</v>
      </c>
      <c r="H38" s="113" t="s">
        <v>2266</v>
      </c>
      <c r="I38" s="113" t="s">
        <v>2267</v>
      </c>
      <c r="J38" s="113">
        <v>0</v>
      </c>
      <c r="K38" s="113">
        <v>0</v>
      </c>
      <c r="L38" s="113">
        <v>0</v>
      </c>
      <c r="M38" s="113">
        <v>0</v>
      </c>
      <c r="N38" s="113">
        <v>0</v>
      </c>
      <c r="O38" s="113">
        <v>0</v>
      </c>
      <c r="P38" s="113">
        <v>0</v>
      </c>
      <c r="Q38" s="113">
        <v>0</v>
      </c>
      <c r="R38" s="113"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v>0</v>
      </c>
      <c r="Z38" s="113">
        <v>0</v>
      </c>
      <c r="AA38" s="113">
        <v>0</v>
      </c>
      <c r="AB38" s="113">
        <v>0</v>
      </c>
      <c r="AC38" s="113">
        <v>0</v>
      </c>
      <c r="AD38" s="113">
        <v>0</v>
      </c>
      <c r="AE38" s="113">
        <v>0</v>
      </c>
      <c r="AF38" s="113">
        <v>0</v>
      </c>
      <c r="AG38" s="113">
        <v>0</v>
      </c>
    </row>
    <row r="39" spans="1:33">
      <c r="A39" s="113" t="s">
        <v>18767</v>
      </c>
      <c r="B39" s="113" t="s">
        <v>18771</v>
      </c>
      <c r="C39" s="113" t="s">
        <v>18769</v>
      </c>
      <c r="D39" s="113" t="s">
        <v>18772</v>
      </c>
      <c r="E39" s="113" t="s">
        <v>781</v>
      </c>
      <c r="F39" s="113" t="s">
        <v>598</v>
      </c>
      <c r="G39" s="113" t="s">
        <v>599</v>
      </c>
      <c r="H39" s="113" t="s">
        <v>2266</v>
      </c>
      <c r="I39" s="113" t="s">
        <v>2267</v>
      </c>
      <c r="J39" s="113">
        <v>1.6691000000000001E-2</v>
      </c>
      <c r="K39" s="113">
        <v>1.6691000000000001E-2</v>
      </c>
      <c r="L39" s="113">
        <v>1.6691000000000001E-2</v>
      </c>
      <c r="M39" s="113">
        <v>1.6691000000000001E-2</v>
      </c>
      <c r="N39" s="113">
        <v>1.6691000000000001E-2</v>
      </c>
      <c r="O39" s="113">
        <v>1.6691000000000001E-2</v>
      </c>
      <c r="P39" s="113">
        <v>1.6691000000000001E-2</v>
      </c>
      <c r="Q39" s="113">
        <v>1.6691000000000001E-2</v>
      </c>
      <c r="R39" s="113">
        <v>1.6691000000000001E-2</v>
      </c>
      <c r="S39" s="113">
        <v>1.6691000000000001E-2</v>
      </c>
      <c r="T39" s="113">
        <v>1.6691000000000001E-2</v>
      </c>
      <c r="U39" s="113">
        <v>1.6691000000000001E-2</v>
      </c>
      <c r="V39" s="113">
        <v>1.6691000000000001E-2</v>
      </c>
      <c r="W39" s="113">
        <v>1.6691000000000001E-2</v>
      </c>
      <c r="X39" s="113">
        <v>1.6691000000000001E-2</v>
      </c>
      <c r="Y39" s="113">
        <v>1.6691000000000001E-2</v>
      </c>
      <c r="Z39" s="113">
        <v>1.6691000000000001E-2</v>
      </c>
      <c r="AA39" s="113">
        <v>1.6691000000000001E-2</v>
      </c>
      <c r="AB39" s="113">
        <v>1.6691000000000001E-2</v>
      </c>
      <c r="AC39" s="113">
        <v>1.6691000000000001E-2</v>
      </c>
      <c r="AD39" s="113">
        <v>1.6691000000000001E-2</v>
      </c>
      <c r="AE39" s="113">
        <v>1.6691000000000001E-2</v>
      </c>
      <c r="AF39" s="113">
        <v>1.6691000000000001E-2</v>
      </c>
      <c r="AG39" s="113">
        <v>1.6691000000000001E-2</v>
      </c>
    </row>
    <row r="40" spans="1:33" ht="15.75" thickBot="1">
      <c r="A40" s="236" t="s">
        <v>18767</v>
      </c>
      <c r="B40" s="236" t="s">
        <v>18773</v>
      </c>
      <c r="C40" s="236" t="s">
        <v>18769</v>
      </c>
      <c r="D40" s="236" t="s">
        <v>18774</v>
      </c>
      <c r="E40" s="236" t="s">
        <v>781</v>
      </c>
      <c r="F40" s="236" t="s">
        <v>598</v>
      </c>
      <c r="G40" s="236" t="s">
        <v>599</v>
      </c>
      <c r="H40" s="236" t="s">
        <v>2266</v>
      </c>
      <c r="I40" s="236" t="s">
        <v>2267</v>
      </c>
      <c r="J40" s="236">
        <v>5.2999999999999998E-4</v>
      </c>
      <c r="K40" s="236">
        <v>5.2999999999999998E-4</v>
      </c>
      <c r="L40" s="236">
        <v>5.2999999999999998E-4</v>
      </c>
      <c r="M40" s="236">
        <v>5.2999999999999998E-4</v>
      </c>
      <c r="N40" s="236">
        <v>5.2999999999999998E-4</v>
      </c>
      <c r="O40" s="236">
        <v>5.2999999999999998E-4</v>
      </c>
      <c r="P40" s="236">
        <v>5.2999999999999998E-4</v>
      </c>
      <c r="Q40" s="236">
        <v>5.2999999999999998E-4</v>
      </c>
      <c r="R40" s="236">
        <v>5.2999999999999998E-4</v>
      </c>
      <c r="S40" s="236">
        <v>5.2999999999999998E-4</v>
      </c>
      <c r="T40" s="236">
        <v>5.2999999999999998E-4</v>
      </c>
      <c r="U40" s="236">
        <v>5.2999999999999998E-4</v>
      </c>
      <c r="V40" s="236">
        <v>5.2999999999999998E-4</v>
      </c>
      <c r="W40" s="236">
        <v>5.2999999999999998E-4</v>
      </c>
      <c r="X40" s="236">
        <v>5.2999999999999998E-4</v>
      </c>
      <c r="Y40" s="236">
        <v>5.2999999999999998E-4</v>
      </c>
      <c r="Z40" s="236">
        <v>5.2999999999999998E-4</v>
      </c>
      <c r="AA40" s="236">
        <v>5.2999999999999998E-4</v>
      </c>
      <c r="AB40" s="236">
        <v>5.2999999999999998E-4</v>
      </c>
      <c r="AC40" s="236">
        <v>5.2999999999999998E-4</v>
      </c>
      <c r="AD40" s="236">
        <v>5.2999999999999998E-4</v>
      </c>
      <c r="AE40" s="236">
        <v>5.2999999999999998E-4</v>
      </c>
      <c r="AF40" s="236">
        <v>5.2999999999999998E-4</v>
      </c>
      <c r="AG40" s="236">
        <v>5.2999999999999998E-4</v>
      </c>
    </row>
    <row r="41" spans="1:33">
      <c r="A41" s="2" t="s">
        <v>18775</v>
      </c>
      <c r="J41">
        <f t="shared" ref="J41:AG41" si="32">SUM(J38:J40)</f>
        <v>1.7221E-2</v>
      </c>
      <c r="K41">
        <f t="shared" si="32"/>
        <v>1.7221E-2</v>
      </c>
      <c r="L41">
        <f t="shared" si="32"/>
        <v>1.7221E-2</v>
      </c>
      <c r="M41">
        <f t="shared" si="32"/>
        <v>1.7221E-2</v>
      </c>
      <c r="N41">
        <f t="shared" si="32"/>
        <v>1.7221E-2</v>
      </c>
      <c r="O41">
        <f t="shared" si="32"/>
        <v>1.7221E-2</v>
      </c>
      <c r="P41">
        <f t="shared" si="32"/>
        <v>1.7221E-2</v>
      </c>
      <c r="Q41">
        <f t="shared" si="32"/>
        <v>1.7221E-2</v>
      </c>
      <c r="R41">
        <f t="shared" si="32"/>
        <v>1.7221E-2</v>
      </c>
      <c r="S41">
        <f t="shared" si="32"/>
        <v>1.7221E-2</v>
      </c>
      <c r="T41">
        <f t="shared" si="32"/>
        <v>1.7221E-2</v>
      </c>
      <c r="U41">
        <f t="shared" si="32"/>
        <v>1.7221E-2</v>
      </c>
      <c r="V41">
        <f t="shared" si="32"/>
        <v>1.7221E-2</v>
      </c>
      <c r="W41">
        <f t="shared" si="32"/>
        <v>1.7221E-2</v>
      </c>
      <c r="X41">
        <f t="shared" si="32"/>
        <v>1.7221E-2</v>
      </c>
      <c r="Y41">
        <f t="shared" si="32"/>
        <v>1.7221E-2</v>
      </c>
      <c r="Z41">
        <f t="shared" si="32"/>
        <v>1.7221E-2</v>
      </c>
      <c r="AA41">
        <f t="shared" si="32"/>
        <v>1.7221E-2</v>
      </c>
      <c r="AB41">
        <f t="shared" si="32"/>
        <v>1.7221E-2</v>
      </c>
      <c r="AC41">
        <f t="shared" si="32"/>
        <v>1.7221E-2</v>
      </c>
      <c r="AD41">
        <f t="shared" si="32"/>
        <v>1.7221E-2</v>
      </c>
      <c r="AE41">
        <f t="shared" si="32"/>
        <v>1.7221E-2</v>
      </c>
      <c r="AF41">
        <f t="shared" si="32"/>
        <v>1.7221E-2</v>
      </c>
      <c r="AG41">
        <f t="shared" si="32"/>
        <v>1.7221E-2</v>
      </c>
    </row>
    <row r="43" spans="1:33">
      <c r="A43" s="237" t="s">
        <v>569</v>
      </c>
      <c r="B43" s="237" t="s">
        <v>570</v>
      </c>
      <c r="C43" s="237" t="s">
        <v>571</v>
      </c>
      <c r="D43" s="237" t="s">
        <v>572</v>
      </c>
      <c r="E43" s="237" t="s">
        <v>573</v>
      </c>
      <c r="F43" s="237" t="s">
        <v>574</v>
      </c>
      <c r="G43" s="237" t="s">
        <v>575</v>
      </c>
      <c r="H43" s="237" t="s">
        <v>576</v>
      </c>
      <c r="I43" s="237" t="s">
        <v>577</v>
      </c>
      <c r="J43" s="237">
        <v>2023</v>
      </c>
      <c r="K43" s="237">
        <v>2024</v>
      </c>
      <c r="L43" s="237">
        <v>2025</v>
      </c>
      <c r="M43" s="237">
        <v>2026</v>
      </c>
      <c r="N43" s="237">
        <v>2027</v>
      </c>
      <c r="O43" s="237">
        <v>2028</v>
      </c>
      <c r="P43" s="237">
        <v>2029</v>
      </c>
      <c r="Q43" s="237">
        <v>2030</v>
      </c>
      <c r="R43" s="237">
        <v>2031</v>
      </c>
      <c r="S43" s="237">
        <v>2032</v>
      </c>
      <c r="T43" s="237">
        <v>2033</v>
      </c>
      <c r="U43" s="237">
        <v>2034</v>
      </c>
      <c r="V43" s="237">
        <v>2035</v>
      </c>
      <c r="W43" s="237">
        <v>2036</v>
      </c>
      <c r="X43" s="237">
        <v>2037</v>
      </c>
      <c r="Y43" s="237">
        <v>2038</v>
      </c>
      <c r="Z43" s="237">
        <v>2039</v>
      </c>
      <c r="AA43" s="237">
        <v>2040</v>
      </c>
      <c r="AB43" s="237">
        <v>2041</v>
      </c>
      <c r="AC43" s="237">
        <v>2042</v>
      </c>
      <c r="AD43" s="237">
        <v>2043</v>
      </c>
      <c r="AE43" s="237">
        <v>2044</v>
      </c>
      <c r="AF43" s="237">
        <v>2045</v>
      </c>
      <c r="AG43" s="237">
        <v>2046</v>
      </c>
    </row>
    <row r="44" spans="1:33" ht="15.75" thickBot="1">
      <c r="A44" s="236" t="s">
        <v>18776</v>
      </c>
      <c r="B44" s="236" t="s">
        <v>18773</v>
      </c>
      <c r="C44" s="236" t="s">
        <v>18769</v>
      </c>
      <c r="D44" s="236" t="s">
        <v>18774</v>
      </c>
      <c r="E44" s="236" t="s">
        <v>781</v>
      </c>
      <c r="F44" s="236" t="s">
        <v>598</v>
      </c>
      <c r="G44" s="236" t="s">
        <v>599</v>
      </c>
      <c r="H44" s="236" t="s">
        <v>2266</v>
      </c>
      <c r="I44" s="236" t="s">
        <v>2267</v>
      </c>
      <c r="J44" s="236">
        <v>2.6499999999999999E-4</v>
      </c>
      <c r="K44" s="236">
        <v>2.6499999999999999E-4</v>
      </c>
      <c r="L44" s="236">
        <v>2.6499999999999999E-4</v>
      </c>
      <c r="M44" s="236">
        <v>2.6499999999999999E-4</v>
      </c>
      <c r="N44" s="236">
        <v>2.6499999999999999E-4</v>
      </c>
      <c r="O44" s="236">
        <v>2.6499999999999999E-4</v>
      </c>
      <c r="P44" s="236">
        <v>2.6499999999999999E-4</v>
      </c>
      <c r="Q44" s="236">
        <v>2.6499999999999999E-4</v>
      </c>
      <c r="R44" s="236">
        <v>2.6499999999999999E-4</v>
      </c>
      <c r="S44" s="236">
        <v>2.6499999999999999E-4</v>
      </c>
      <c r="T44" s="236">
        <v>2.6499999999999999E-4</v>
      </c>
      <c r="U44" s="236">
        <v>2.6499999999999999E-4</v>
      </c>
      <c r="V44" s="236">
        <v>2.6499999999999999E-4</v>
      </c>
      <c r="W44" s="236">
        <v>2.6499999999999999E-4</v>
      </c>
      <c r="X44" s="236">
        <v>2.6499999999999999E-4</v>
      </c>
      <c r="Y44" s="236">
        <v>2.6499999999999999E-4</v>
      </c>
      <c r="Z44" s="236">
        <v>2.6499999999999999E-4</v>
      </c>
      <c r="AA44" s="236">
        <v>2.6499999999999999E-4</v>
      </c>
      <c r="AB44" s="236">
        <v>2.6499999999999999E-4</v>
      </c>
      <c r="AC44" s="236">
        <v>2.6499999999999999E-4</v>
      </c>
      <c r="AD44" s="236">
        <v>2.6499999999999999E-4</v>
      </c>
      <c r="AE44" s="236">
        <v>2.6499999999999999E-4</v>
      </c>
      <c r="AF44" s="236">
        <v>2.6499999999999999E-4</v>
      </c>
      <c r="AG44" s="236">
        <v>2.6499999999999999E-4</v>
      </c>
    </row>
    <row r="45" spans="1:33">
      <c r="A45" s="172" t="s">
        <v>18775</v>
      </c>
      <c r="B45" s="113"/>
      <c r="C45" s="113"/>
      <c r="D45" s="113"/>
      <c r="E45" s="113"/>
      <c r="F45" s="113"/>
      <c r="G45" s="113"/>
      <c r="H45" s="113"/>
      <c r="I45" s="113"/>
      <c r="J45" s="113">
        <f t="shared" ref="J45:AG45" si="33">SUM(J44)</f>
        <v>2.6499999999999999E-4</v>
      </c>
      <c r="K45" s="113">
        <f t="shared" si="33"/>
        <v>2.6499999999999999E-4</v>
      </c>
      <c r="L45" s="113">
        <f t="shared" si="33"/>
        <v>2.6499999999999999E-4</v>
      </c>
      <c r="M45" s="113">
        <f t="shared" si="33"/>
        <v>2.6499999999999999E-4</v>
      </c>
      <c r="N45" s="113">
        <f t="shared" si="33"/>
        <v>2.6499999999999999E-4</v>
      </c>
      <c r="O45" s="113">
        <f t="shared" si="33"/>
        <v>2.6499999999999999E-4</v>
      </c>
      <c r="P45" s="113">
        <f t="shared" si="33"/>
        <v>2.6499999999999999E-4</v>
      </c>
      <c r="Q45" s="113">
        <f t="shared" si="33"/>
        <v>2.6499999999999999E-4</v>
      </c>
      <c r="R45" s="113">
        <f t="shared" si="33"/>
        <v>2.6499999999999999E-4</v>
      </c>
      <c r="S45" s="113">
        <f t="shared" si="33"/>
        <v>2.6499999999999999E-4</v>
      </c>
      <c r="T45" s="113">
        <f t="shared" si="33"/>
        <v>2.6499999999999999E-4</v>
      </c>
      <c r="U45" s="113">
        <f t="shared" si="33"/>
        <v>2.6499999999999999E-4</v>
      </c>
      <c r="V45" s="113">
        <f t="shared" si="33"/>
        <v>2.6499999999999999E-4</v>
      </c>
      <c r="W45" s="113">
        <f t="shared" si="33"/>
        <v>2.6499999999999999E-4</v>
      </c>
      <c r="X45" s="113">
        <f t="shared" si="33"/>
        <v>2.6499999999999999E-4</v>
      </c>
      <c r="Y45" s="113">
        <f t="shared" si="33"/>
        <v>2.6499999999999999E-4</v>
      </c>
      <c r="Z45" s="113">
        <f t="shared" si="33"/>
        <v>2.6499999999999999E-4</v>
      </c>
      <c r="AA45" s="113">
        <f t="shared" si="33"/>
        <v>2.6499999999999999E-4</v>
      </c>
      <c r="AB45" s="113">
        <f t="shared" si="33"/>
        <v>2.6499999999999999E-4</v>
      </c>
      <c r="AC45" s="113">
        <f t="shared" si="33"/>
        <v>2.6499999999999999E-4</v>
      </c>
      <c r="AD45" s="113">
        <f t="shared" si="33"/>
        <v>2.6499999999999999E-4</v>
      </c>
      <c r="AE45" s="113">
        <f t="shared" si="33"/>
        <v>2.6499999999999999E-4</v>
      </c>
      <c r="AF45" s="113">
        <f t="shared" si="33"/>
        <v>2.6499999999999999E-4</v>
      </c>
      <c r="AG45" s="113">
        <f t="shared" si="33"/>
        <v>2.6499999999999999E-4</v>
      </c>
    </row>
    <row r="47" spans="1:33" ht="15.75" thickBot="1">
      <c r="A47" s="235" t="s">
        <v>569</v>
      </c>
      <c r="B47" s="235" t="s">
        <v>570</v>
      </c>
      <c r="C47" s="235" t="s">
        <v>571</v>
      </c>
      <c r="D47" s="235" t="s">
        <v>572</v>
      </c>
      <c r="E47" s="235" t="s">
        <v>573</v>
      </c>
      <c r="F47" s="235" t="s">
        <v>574</v>
      </c>
      <c r="G47" s="235" t="s">
        <v>575</v>
      </c>
      <c r="H47" s="235" t="s">
        <v>576</v>
      </c>
      <c r="I47" s="235" t="s">
        <v>577</v>
      </c>
      <c r="J47" s="235">
        <v>2023</v>
      </c>
      <c r="K47" s="235">
        <v>2024</v>
      </c>
      <c r="L47" s="235">
        <v>2025</v>
      </c>
      <c r="M47" s="235">
        <v>2026</v>
      </c>
      <c r="N47" s="235">
        <v>2027</v>
      </c>
      <c r="O47" s="235">
        <v>2028</v>
      </c>
      <c r="P47" s="235">
        <v>2029</v>
      </c>
      <c r="Q47" s="235">
        <v>2030</v>
      </c>
      <c r="R47" s="235">
        <v>2031</v>
      </c>
      <c r="S47" s="235">
        <v>2032</v>
      </c>
      <c r="T47" s="235">
        <v>2033</v>
      </c>
      <c r="U47" s="235">
        <v>2034</v>
      </c>
      <c r="V47" s="235">
        <v>2035</v>
      </c>
      <c r="W47" s="235">
        <v>2036</v>
      </c>
      <c r="X47" s="235">
        <v>2037</v>
      </c>
      <c r="Y47" s="235">
        <v>2038</v>
      </c>
      <c r="Z47" s="235">
        <v>2039</v>
      </c>
      <c r="AA47" s="235">
        <v>2040</v>
      </c>
      <c r="AB47" s="235">
        <v>2041</v>
      </c>
      <c r="AC47" s="235">
        <v>2042</v>
      </c>
      <c r="AD47" s="235">
        <v>2043</v>
      </c>
      <c r="AE47" s="235">
        <v>2044</v>
      </c>
      <c r="AF47" s="235">
        <v>2045</v>
      </c>
      <c r="AG47" s="235">
        <v>2046</v>
      </c>
    </row>
    <row r="48" spans="1:33">
      <c r="A48" s="113" t="s">
        <v>18777</v>
      </c>
      <c r="B48" s="113" t="s">
        <v>18771</v>
      </c>
      <c r="C48" s="113" t="s">
        <v>18769</v>
      </c>
      <c r="D48" s="113" t="s">
        <v>18772</v>
      </c>
      <c r="E48" s="113" t="s">
        <v>781</v>
      </c>
      <c r="F48" s="113" t="s">
        <v>598</v>
      </c>
      <c r="G48" s="113" t="s">
        <v>599</v>
      </c>
      <c r="H48" s="113" t="s">
        <v>2266</v>
      </c>
      <c r="I48" s="113" t="s">
        <v>2267</v>
      </c>
      <c r="J48" s="113">
        <v>0.10444299999999999</v>
      </c>
      <c r="K48" s="113">
        <v>0.10582800000000001</v>
      </c>
      <c r="L48" s="113">
        <v>0.107214</v>
      </c>
      <c r="M48" s="113">
        <v>0.1086</v>
      </c>
      <c r="N48" s="113">
        <v>0.109986</v>
      </c>
      <c r="O48" s="113">
        <v>0.111371</v>
      </c>
      <c r="P48" s="113">
        <v>0.112757</v>
      </c>
      <c r="Q48" s="113">
        <v>0.11414299999999999</v>
      </c>
      <c r="R48" s="113">
        <v>0.11552900000000001</v>
      </c>
      <c r="S48" s="113">
        <v>0.116914</v>
      </c>
      <c r="T48" s="113">
        <v>0.1183</v>
      </c>
      <c r="U48" s="113">
        <v>0.119686</v>
      </c>
      <c r="V48" s="113">
        <v>0.121072</v>
      </c>
      <c r="W48" s="113">
        <v>0.122457</v>
      </c>
      <c r="X48" s="113">
        <v>0.12384299999999999</v>
      </c>
      <c r="Y48" s="113">
        <v>0.12522900000000001</v>
      </c>
      <c r="Z48" s="113">
        <v>0.12661500000000001</v>
      </c>
      <c r="AA48" s="113">
        <v>0.128</v>
      </c>
      <c r="AB48" s="113">
        <v>0.129386</v>
      </c>
      <c r="AC48" s="113">
        <v>0.130772</v>
      </c>
      <c r="AD48" s="113">
        <v>0.132158</v>
      </c>
      <c r="AE48" s="113">
        <v>0.133543</v>
      </c>
      <c r="AF48" s="113">
        <v>0.13492899999999999</v>
      </c>
      <c r="AG48" s="113">
        <v>0.13631499999999999</v>
      </c>
    </row>
    <row r="49" spans="1:33" ht="15.75" thickBot="1">
      <c r="A49" s="236" t="s">
        <v>18777</v>
      </c>
      <c r="B49" s="236" t="s">
        <v>18773</v>
      </c>
      <c r="C49" s="236" t="s">
        <v>18769</v>
      </c>
      <c r="D49" s="236" t="s">
        <v>18774</v>
      </c>
      <c r="E49" s="236" t="s">
        <v>781</v>
      </c>
      <c r="F49" s="236" t="s">
        <v>598</v>
      </c>
      <c r="G49" s="236" t="s">
        <v>599</v>
      </c>
      <c r="H49" s="236" t="s">
        <v>2266</v>
      </c>
      <c r="I49" s="236" t="s">
        <v>2267</v>
      </c>
      <c r="J49" s="236">
        <v>3.9119999999999997E-3</v>
      </c>
      <c r="K49" s="236">
        <v>3.9639999999999996E-3</v>
      </c>
      <c r="L49" s="236">
        <v>4.0159999999999996E-3</v>
      </c>
      <c r="M49" s="236">
        <v>4.0670000000000003E-3</v>
      </c>
      <c r="N49" s="236">
        <v>4.1190000000000003E-3</v>
      </c>
      <c r="O49" s="236">
        <v>4.1710000000000002E-3</v>
      </c>
      <c r="P49" s="236">
        <v>4.2230000000000002E-3</v>
      </c>
      <c r="Q49" s="236">
        <v>4.2750000000000002E-3</v>
      </c>
      <c r="R49" s="236">
        <v>4.3270000000000001E-3</v>
      </c>
      <c r="S49" s="236">
        <v>4.3790000000000001E-3</v>
      </c>
      <c r="T49" s="236">
        <v>4.431E-3</v>
      </c>
      <c r="U49" s="236">
        <v>4.483E-3</v>
      </c>
      <c r="V49" s="236">
        <v>4.535E-3</v>
      </c>
      <c r="W49" s="236">
        <v>4.5859999999999998E-3</v>
      </c>
      <c r="X49" s="236">
        <v>4.6379999999999998E-3</v>
      </c>
      <c r="Y49" s="236">
        <v>4.6899999999999997E-3</v>
      </c>
      <c r="Z49" s="236">
        <v>4.7419999999999997E-3</v>
      </c>
      <c r="AA49" s="236">
        <v>4.7939999999999997E-3</v>
      </c>
      <c r="AB49" s="236">
        <v>4.8459999999999996E-3</v>
      </c>
      <c r="AC49" s="236">
        <v>4.8979999999999996E-3</v>
      </c>
      <c r="AD49" s="236">
        <v>4.9500000000000004E-3</v>
      </c>
      <c r="AE49" s="236">
        <v>5.0020000000000004E-3</v>
      </c>
      <c r="AF49" s="236">
        <v>5.0540000000000003E-3</v>
      </c>
      <c r="AG49" s="236">
        <v>5.1050000000000002E-3</v>
      </c>
    </row>
    <row r="50" spans="1:33">
      <c r="A50" s="2" t="s">
        <v>18775</v>
      </c>
      <c r="J50">
        <f t="shared" ref="J50:AG50" si="34">SUM(J48:J49)</f>
        <v>0.10835499999999999</v>
      </c>
      <c r="K50">
        <f t="shared" si="34"/>
        <v>0.109792</v>
      </c>
      <c r="L50">
        <f t="shared" si="34"/>
        <v>0.11123000000000001</v>
      </c>
      <c r="M50">
        <f t="shared" si="34"/>
        <v>0.112667</v>
      </c>
      <c r="N50">
        <f t="shared" si="34"/>
        <v>0.114105</v>
      </c>
      <c r="O50">
        <f t="shared" si="34"/>
        <v>0.11554199999999999</v>
      </c>
      <c r="P50">
        <f t="shared" si="34"/>
        <v>0.11698</v>
      </c>
      <c r="Q50">
        <f t="shared" si="34"/>
        <v>0.118418</v>
      </c>
      <c r="R50">
        <f t="shared" si="34"/>
        <v>0.119856</v>
      </c>
      <c r="S50">
        <f t="shared" si="34"/>
        <v>0.121293</v>
      </c>
      <c r="T50">
        <f t="shared" si="34"/>
        <v>0.12273100000000001</v>
      </c>
      <c r="U50">
        <f t="shared" si="34"/>
        <v>0.124169</v>
      </c>
      <c r="V50">
        <f t="shared" si="34"/>
        <v>0.125607</v>
      </c>
      <c r="W50">
        <f t="shared" si="34"/>
        <v>0.12704299999999999</v>
      </c>
      <c r="X50">
        <f t="shared" si="34"/>
        <v>0.12848099999999998</v>
      </c>
      <c r="Y50">
        <f t="shared" si="34"/>
        <v>0.12991900000000001</v>
      </c>
      <c r="Z50">
        <f t="shared" si="34"/>
        <v>0.131357</v>
      </c>
      <c r="AA50">
        <f t="shared" si="34"/>
        <v>0.132794</v>
      </c>
      <c r="AB50">
        <f t="shared" si="34"/>
        <v>0.13423199999999999</v>
      </c>
      <c r="AC50">
        <f t="shared" si="34"/>
        <v>0.13567000000000001</v>
      </c>
      <c r="AD50">
        <f t="shared" si="34"/>
        <v>0.13710800000000001</v>
      </c>
      <c r="AE50">
        <f t="shared" si="34"/>
        <v>0.138545</v>
      </c>
      <c r="AF50">
        <f t="shared" si="34"/>
        <v>0.139983</v>
      </c>
      <c r="AG50">
        <f t="shared" si="34"/>
        <v>0.14141999999999999</v>
      </c>
    </row>
    <row r="52" spans="1:33" ht="15.75" thickBot="1">
      <c r="A52" s="235" t="s">
        <v>569</v>
      </c>
      <c r="B52" s="235" t="s">
        <v>570</v>
      </c>
      <c r="C52" s="235" t="s">
        <v>571</v>
      </c>
      <c r="D52" s="235" t="s">
        <v>572</v>
      </c>
      <c r="E52" s="235" t="s">
        <v>573</v>
      </c>
      <c r="F52" s="235" t="s">
        <v>574</v>
      </c>
      <c r="G52" s="235" t="s">
        <v>575</v>
      </c>
      <c r="H52" s="235" t="s">
        <v>576</v>
      </c>
      <c r="I52" s="235" t="s">
        <v>577</v>
      </c>
      <c r="J52" s="235">
        <v>2023</v>
      </c>
      <c r="K52" s="235">
        <v>2024</v>
      </c>
      <c r="L52" s="235">
        <v>2025</v>
      </c>
      <c r="M52" s="235">
        <v>2026</v>
      </c>
      <c r="N52" s="235">
        <v>2027</v>
      </c>
      <c r="O52" s="235">
        <v>2028</v>
      </c>
      <c r="P52" s="235">
        <v>2029</v>
      </c>
      <c r="Q52" s="235">
        <v>2030</v>
      </c>
      <c r="R52" s="235">
        <v>2031</v>
      </c>
      <c r="S52" s="235">
        <v>2032</v>
      </c>
      <c r="T52" s="235">
        <v>2033</v>
      </c>
      <c r="U52" s="235">
        <v>2034</v>
      </c>
      <c r="V52" s="235">
        <v>2035</v>
      </c>
      <c r="W52" s="235">
        <v>2036</v>
      </c>
      <c r="X52" s="235">
        <v>2037</v>
      </c>
      <c r="Y52" s="235">
        <v>2038</v>
      </c>
      <c r="Z52" s="235">
        <v>2039</v>
      </c>
      <c r="AA52" s="235">
        <v>2040</v>
      </c>
      <c r="AB52" s="235">
        <v>2041</v>
      </c>
      <c r="AC52" s="235">
        <v>2042</v>
      </c>
      <c r="AD52" s="235">
        <v>2043</v>
      </c>
      <c r="AE52" s="235">
        <v>2044</v>
      </c>
      <c r="AF52" s="235">
        <v>2045</v>
      </c>
      <c r="AG52" s="235">
        <v>2046</v>
      </c>
    </row>
    <row r="53" spans="1:33">
      <c r="A53" s="113" t="s">
        <v>18778</v>
      </c>
      <c r="B53" s="113" t="s">
        <v>18779</v>
      </c>
      <c r="C53" s="113" t="s">
        <v>18769</v>
      </c>
      <c r="D53" s="113" t="s">
        <v>18780</v>
      </c>
      <c r="E53" s="113" t="s">
        <v>1544</v>
      </c>
      <c r="F53" s="113" t="s">
        <v>598</v>
      </c>
      <c r="G53" s="113" t="s">
        <v>599</v>
      </c>
      <c r="H53" s="113" t="s">
        <v>2266</v>
      </c>
      <c r="I53" s="113" t="s">
        <v>2267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  <c r="O53" s="113">
        <v>0</v>
      </c>
      <c r="P53" s="113">
        <v>0</v>
      </c>
      <c r="Q53" s="113">
        <v>0</v>
      </c>
      <c r="R53" s="113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113">
        <v>0</v>
      </c>
    </row>
    <row r="54" spans="1:33">
      <c r="A54" s="113" t="s">
        <v>18778</v>
      </c>
      <c r="B54" s="113" t="s">
        <v>18781</v>
      </c>
      <c r="C54" s="113" t="s">
        <v>18769</v>
      </c>
      <c r="D54" s="113" t="s">
        <v>18782</v>
      </c>
      <c r="E54" s="113" t="s">
        <v>1544</v>
      </c>
      <c r="F54" s="113" t="s">
        <v>598</v>
      </c>
      <c r="G54" s="113" t="s">
        <v>599</v>
      </c>
      <c r="H54" s="113" t="s">
        <v>2266</v>
      </c>
      <c r="I54" s="113" t="s">
        <v>2267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3">
        <v>0</v>
      </c>
      <c r="R54" s="113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v>0</v>
      </c>
      <c r="Z54" s="113">
        <v>0</v>
      </c>
      <c r="AA54" s="113">
        <v>0</v>
      </c>
      <c r="AB54" s="113">
        <v>0</v>
      </c>
      <c r="AC54" s="113">
        <v>0</v>
      </c>
      <c r="AD54" s="113">
        <v>0</v>
      </c>
      <c r="AE54" s="113">
        <v>0</v>
      </c>
      <c r="AF54" s="113">
        <v>0</v>
      </c>
      <c r="AG54" s="113">
        <v>0</v>
      </c>
    </row>
    <row r="55" spans="1:33">
      <c r="A55" s="113" t="s">
        <v>18778</v>
      </c>
      <c r="B55" s="113" t="s">
        <v>18783</v>
      </c>
      <c r="C55" s="113" t="s">
        <v>18769</v>
      </c>
      <c r="D55" s="113" t="s">
        <v>18784</v>
      </c>
      <c r="E55" s="113" t="s">
        <v>1544</v>
      </c>
      <c r="F55" s="113" t="s">
        <v>598</v>
      </c>
      <c r="G55" s="113" t="s">
        <v>599</v>
      </c>
      <c r="H55" s="113" t="s">
        <v>2266</v>
      </c>
      <c r="I55" s="113" t="s">
        <v>2267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  <c r="O55" s="113">
        <v>0</v>
      </c>
      <c r="P55" s="113">
        <v>0</v>
      </c>
      <c r="Q55" s="113">
        <v>0</v>
      </c>
      <c r="R55" s="113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13">
        <v>0</v>
      </c>
      <c r="AG55" s="113">
        <v>0</v>
      </c>
    </row>
    <row r="56" spans="1:33">
      <c r="A56" s="113" t="s">
        <v>18778</v>
      </c>
      <c r="B56" s="113" t="s">
        <v>18785</v>
      </c>
      <c r="C56" s="113" t="s">
        <v>18769</v>
      </c>
      <c r="D56" s="113" t="s">
        <v>18786</v>
      </c>
      <c r="E56" s="113" t="s">
        <v>1544</v>
      </c>
      <c r="F56" s="113" t="s">
        <v>598</v>
      </c>
      <c r="G56" s="113" t="s">
        <v>599</v>
      </c>
      <c r="H56" s="113" t="s">
        <v>2266</v>
      </c>
      <c r="I56" s="113" t="s">
        <v>2267</v>
      </c>
      <c r="J56" s="113">
        <v>0</v>
      </c>
      <c r="K56" s="113">
        <v>0</v>
      </c>
      <c r="L56" s="113">
        <v>0</v>
      </c>
      <c r="M56" s="113">
        <v>0</v>
      </c>
      <c r="N56" s="113">
        <v>0</v>
      </c>
      <c r="O56" s="113">
        <v>0</v>
      </c>
      <c r="P56" s="113">
        <v>0</v>
      </c>
      <c r="Q56" s="113">
        <v>0</v>
      </c>
      <c r="R56" s="113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v>0</v>
      </c>
      <c r="Z56" s="113">
        <v>0</v>
      </c>
      <c r="AA56" s="113">
        <v>0</v>
      </c>
      <c r="AB56" s="113">
        <v>0</v>
      </c>
      <c r="AC56" s="113">
        <v>0</v>
      </c>
      <c r="AD56" s="113">
        <v>0</v>
      </c>
      <c r="AE56" s="113">
        <v>0</v>
      </c>
      <c r="AF56" s="113">
        <v>0</v>
      </c>
      <c r="AG56" s="113">
        <v>0</v>
      </c>
    </row>
    <row r="57" spans="1:33">
      <c r="A57" s="113" t="s">
        <v>18778</v>
      </c>
      <c r="B57" s="232" t="s">
        <v>18787</v>
      </c>
      <c r="C57" s="113" t="s">
        <v>18788</v>
      </c>
      <c r="D57" s="113" t="s">
        <v>18788</v>
      </c>
      <c r="E57" s="113" t="s">
        <v>18789</v>
      </c>
      <c r="F57" s="113" t="s">
        <v>18789</v>
      </c>
      <c r="G57" s="113" t="s">
        <v>599</v>
      </c>
      <c r="H57" s="113" t="s">
        <v>2266</v>
      </c>
      <c r="I57" s="113" t="s">
        <v>2267</v>
      </c>
      <c r="J57" s="113">
        <v>0</v>
      </c>
      <c r="K57" s="113">
        <v>0</v>
      </c>
      <c r="L57" s="113">
        <v>0</v>
      </c>
      <c r="M57" s="113">
        <v>0</v>
      </c>
      <c r="N57" s="113">
        <v>0</v>
      </c>
      <c r="O57" s="113">
        <v>0</v>
      </c>
      <c r="P57" s="113">
        <v>0</v>
      </c>
      <c r="Q57" s="113">
        <v>0</v>
      </c>
      <c r="R57" s="113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v>0</v>
      </c>
      <c r="Z57" s="113">
        <v>0</v>
      </c>
      <c r="AA57" s="113">
        <v>0</v>
      </c>
      <c r="AB57" s="113">
        <v>0</v>
      </c>
      <c r="AC57" s="113">
        <v>0</v>
      </c>
      <c r="AD57" s="113">
        <v>0</v>
      </c>
      <c r="AE57" s="113">
        <v>0</v>
      </c>
      <c r="AF57" s="113">
        <v>0</v>
      </c>
      <c r="AG57" s="113">
        <v>0</v>
      </c>
    </row>
    <row r="58" spans="1:33">
      <c r="A58" s="113" t="s">
        <v>18778</v>
      </c>
      <c r="B58" s="113" t="s">
        <v>18768</v>
      </c>
      <c r="C58" s="113" t="s">
        <v>18769</v>
      </c>
      <c r="D58" s="113" t="s">
        <v>18770</v>
      </c>
      <c r="E58" s="113" t="s">
        <v>781</v>
      </c>
      <c r="F58" s="113" t="s">
        <v>598</v>
      </c>
      <c r="G58" s="113" t="s">
        <v>599</v>
      </c>
      <c r="H58" s="113" t="s">
        <v>2266</v>
      </c>
      <c r="I58" s="113" t="s">
        <v>2267</v>
      </c>
      <c r="J58" s="113">
        <v>3.0291039999999998</v>
      </c>
      <c r="K58" s="113">
        <v>3.0304890000000002</v>
      </c>
      <c r="L58" s="113">
        <v>3.0318339999999999</v>
      </c>
      <c r="M58" s="113">
        <v>3.0330759999999999</v>
      </c>
      <c r="N58" s="113">
        <v>3.034319</v>
      </c>
      <c r="O58" s="113">
        <v>3.0355430000000001</v>
      </c>
      <c r="P58" s="113">
        <v>3.0367099999999998</v>
      </c>
      <c r="Q58" s="113">
        <v>3.0378409999999998</v>
      </c>
      <c r="R58" s="113">
        <v>3.0389390000000001</v>
      </c>
      <c r="S58" s="113">
        <v>3.0399560000000001</v>
      </c>
      <c r="T58" s="113">
        <v>3.040985</v>
      </c>
      <c r="U58" s="113">
        <v>3.0419689999999999</v>
      </c>
      <c r="V58" s="113">
        <v>3.0429179999999998</v>
      </c>
      <c r="W58" s="113">
        <v>3.0438519999999998</v>
      </c>
      <c r="X58" s="113">
        <v>3.0447489999999999</v>
      </c>
      <c r="Y58" s="113">
        <v>3.045617</v>
      </c>
      <c r="Z58" s="113">
        <v>3.0464259999999999</v>
      </c>
      <c r="AA58" s="113">
        <v>3.0472269999999999</v>
      </c>
      <c r="AB58" s="113">
        <v>3.047955</v>
      </c>
      <c r="AC58" s="113">
        <v>3.0486680000000002</v>
      </c>
      <c r="AD58" s="113">
        <v>3.049356</v>
      </c>
      <c r="AE58" s="113">
        <v>3.0499749999999999</v>
      </c>
      <c r="AF58" s="113">
        <v>3.050573</v>
      </c>
      <c r="AG58" s="113">
        <v>3.0511119999999998</v>
      </c>
    </row>
    <row r="59" spans="1:33">
      <c r="A59" s="113" t="s">
        <v>18778</v>
      </c>
      <c r="B59" s="113" t="s">
        <v>18771</v>
      </c>
      <c r="C59" s="113" t="s">
        <v>18769</v>
      </c>
      <c r="D59" s="113" t="s">
        <v>18772</v>
      </c>
      <c r="E59" s="113" t="s">
        <v>781</v>
      </c>
      <c r="F59" s="113" t="s">
        <v>598</v>
      </c>
      <c r="G59" s="113" t="s">
        <v>599</v>
      </c>
      <c r="H59" s="113" t="s">
        <v>2266</v>
      </c>
      <c r="I59" s="113" t="s">
        <v>2267</v>
      </c>
      <c r="J59" s="113">
        <v>1.1440000000000001E-3</v>
      </c>
      <c r="K59" s="113">
        <v>1.1490000000000001E-3</v>
      </c>
      <c r="L59" s="113">
        <v>1.1540000000000001E-3</v>
      </c>
      <c r="M59" s="113">
        <v>1.1590000000000001E-3</v>
      </c>
      <c r="N59" s="113">
        <v>1.163E-3</v>
      </c>
      <c r="O59" s="113">
        <v>1.1670000000000001E-3</v>
      </c>
      <c r="P59" s="113">
        <v>1.1709999999999999E-3</v>
      </c>
      <c r="Q59" s="113">
        <v>1.175E-3</v>
      </c>
      <c r="R59" s="113">
        <v>1.1789999999999999E-3</v>
      </c>
      <c r="S59" s="113">
        <v>1.183E-3</v>
      </c>
      <c r="T59" s="113">
        <v>1.186E-3</v>
      </c>
      <c r="U59" s="113">
        <v>1.189E-3</v>
      </c>
      <c r="V59" s="113">
        <v>1.1919999999999999E-3</v>
      </c>
      <c r="W59" s="113">
        <v>1.1950000000000001E-3</v>
      </c>
      <c r="X59" s="113">
        <v>1.1980000000000001E-3</v>
      </c>
      <c r="Y59" s="113">
        <v>1.201E-3</v>
      </c>
      <c r="Z59" s="113">
        <v>1.2030000000000001E-3</v>
      </c>
      <c r="AA59" s="113">
        <v>1.2049999999999999E-3</v>
      </c>
      <c r="AB59" s="113">
        <v>1.207E-3</v>
      </c>
      <c r="AC59" s="113">
        <v>1.209E-3</v>
      </c>
      <c r="AD59" s="113">
        <v>1.2110000000000001E-3</v>
      </c>
      <c r="AE59" s="113">
        <v>1.212E-3</v>
      </c>
      <c r="AF59" s="113">
        <v>1.2130000000000001E-3</v>
      </c>
      <c r="AG59" s="113">
        <v>1.214E-3</v>
      </c>
    </row>
    <row r="60" spans="1:33" ht="15.75" thickBot="1">
      <c r="A60" s="236" t="s">
        <v>18778</v>
      </c>
      <c r="B60" s="236" t="s">
        <v>18773</v>
      </c>
      <c r="C60" s="236" t="s">
        <v>18769</v>
      </c>
      <c r="D60" s="236" t="s">
        <v>18774</v>
      </c>
      <c r="E60" s="236" t="s">
        <v>781</v>
      </c>
      <c r="F60" s="236" t="s">
        <v>598</v>
      </c>
      <c r="G60" s="236" t="s">
        <v>599</v>
      </c>
      <c r="H60" s="236" t="s">
        <v>2266</v>
      </c>
      <c r="I60" s="236" t="s">
        <v>2267</v>
      </c>
      <c r="J60" s="236">
        <v>0</v>
      </c>
      <c r="K60" s="236">
        <v>0</v>
      </c>
      <c r="L60" s="236">
        <v>0</v>
      </c>
      <c r="M60" s="236">
        <v>0</v>
      </c>
      <c r="N60" s="236">
        <v>0</v>
      </c>
      <c r="O60" s="23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236">
        <v>0</v>
      </c>
      <c r="Z60" s="236">
        <v>0</v>
      </c>
      <c r="AA60" s="236">
        <v>0</v>
      </c>
      <c r="AB60" s="236">
        <v>0</v>
      </c>
      <c r="AC60" s="236">
        <v>0</v>
      </c>
      <c r="AD60" s="236">
        <v>0</v>
      </c>
      <c r="AE60" s="236">
        <v>0</v>
      </c>
      <c r="AF60" s="236">
        <v>0</v>
      </c>
      <c r="AG60" s="236">
        <v>0</v>
      </c>
    </row>
    <row r="61" spans="1:33">
      <c r="A61" s="2" t="s">
        <v>18775</v>
      </c>
      <c r="J61">
        <f t="shared" ref="J61:AG61" si="35">SUM(J53:J60)</f>
        <v>3.0302479999999998</v>
      </c>
      <c r="K61">
        <f t="shared" si="35"/>
        <v>3.0316380000000001</v>
      </c>
      <c r="L61">
        <f t="shared" si="35"/>
        <v>3.032988</v>
      </c>
      <c r="M61">
        <f t="shared" si="35"/>
        <v>3.0342349999999998</v>
      </c>
      <c r="N61">
        <f t="shared" si="35"/>
        <v>3.035482</v>
      </c>
      <c r="O61">
        <f t="shared" si="35"/>
        <v>3.0367100000000002</v>
      </c>
      <c r="P61">
        <f t="shared" si="35"/>
        <v>3.0378809999999996</v>
      </c>
      <c r="Q61">
        <f t="shared" si="35"/>
        <v>3.0390159999999997</v>
      </c>
      <c r="R61">
        <f t="shared" si="35"/>
        <v>3.0401180000000001</v>
      </c>
      <c r="S61">
        <f t="shared" si="35"/>
        <v>3.0411390000000003</v>
      </c>
      <c r="T61">
        <f t="shared" si="35"/>
        <v>3.0421710000000002</v>
      </c>
      <c r="U61">
        <f t="shared" si="35"/>
        <v>3.043158</v>
      </c>
      <c r="V61">
        <f t="shared" si="35"/>
        <v>3.0441099999999999</v>
      </c>
      <c r="W61">
        <f t="shared" si="35"/>
        <v>3.0450469999999998</v>
      </c>
      <c r="X61">
        <f t="shared" si="35"/>
        <v>3.045947</v>
      </c>
      <c r="Y61">
        <f t="shared" si="35"/>
        <v>3.046818</v>
      </c>
      <c r="Z61">
        <f t="shared" si="35"/>
        <v>3.0476289999999997</v>
      </c>
      <c r="AA61">
        <f t="shared" si="35"/>
        <v>3.048432</v>
      </c>
      <c r="AB61">
        <f t="shared" si="35"/>
        <v>3.0491619999999999</v>
      </c>
      <c r="AC61">
        <f t="shared" si="35"/>
        <v>3.0498769999999999</v>
      </c>
      <c r="AD61">
        <f t="shared" si="35"/>
        <v>3.050567</v>
      </c>
      <c r="AE61">
        <f t="shared" si="35"/>
        <v>3.0511870000000001</v>
      </c>
      <c r="AF61">
        <f t="shared" si="35"/>
        <v>3.0517859999999999</v>
      </c>
      <c r="AG61">
        <f t="shared" si="35"/>
        <v>3.0523259999999999</v>
      </c>
    </row>
    <row r="63" spans="1:33" ht="15.75" thickBot="1">
      <c r="A63" s="235" t="s">
        <v>569</v>
      </c>
      <c r="B63" s="235" t="s">
        <v>570</v>
      </c>
      <c r="C63" s="235" t="s">
        <v>571</v>
      </c>
      <c r="D63" s="235" t="s">
        <v>572</v>
      </c>
      <c r="E63" s="235" t="s">
        <v>573</v>
      </c>
      <c r="F63" s="235" t="s">
        <v>574</v>
      </c>
      <c r="G63" s="235" t="s">
        <v>575</v>
      </c>
      <c r="H63" s="235" t="s">
        <v>576</v>
      </c>
      <c r="I63" s="235" t="s">
        <v>577</v>
      </c>
      <c r="J63" s="235">
        <v>2023</v>
      </c>
      <c r="K63" s="235">
        <v>2024</v>
      </c>
      <c r="L63" s="235">
        <v>2025</v>
      </c>
      <c r="M63" s="235">
        <v>2026</v>
      </c>
      <c r="N63" s="235">
        <v>2027</v>
      </c>
      <c r="O63" s="235">
        <v>2028</v>
      </c>
      <c r="P63" s="235">
        <v>2029</v>
      </c>
      <c r="Q63" s="235">
        <v>2030</v>
      </c>
      <c r="R63" s="235">
        <v>2031</v>
      </c>
      <c r="S63" s="235">
        <v>2032</v>
      </c>
      <c r="T63" s="235">
        <v>2033</v>
      </c>
      <c r="U63" s="235">
        <v>2034</v>
      </c>
      <c r="V63" s="235">
        <v>2035</v>
      </c>
      <c r="W63" s="235">
        <v>2036</v>
      </c>
      <c r="X63" s="235">
        <v>2037</v>
      </c>
      <c r="Y63" s="235">
        <v>2038</v>
      </c>
      <c r="Z63" s="235">
        <v>2039</v>
      </c>
      <c r="AA63" s="235">
        <v>2040</v>
      </c>
      <c r="AB63" s="235">
        <v>2041</v>
      </c>
      <c r="AC63" s="235">
        <v>2042</v>
      </c>
      <c r="AD63" s="235">
        <v>2043</v>
      </c>
      <c r="AE63" s="235">
        <v>2044</v>
      </c>
      <c r="AF63" s="235">
        <v>2045</v>
      </c>
      <c r="AG63" s="235">
        <v>2046</v>
      </c>
    </row>
    <row r="64" spans="1:33">
      <c r="A64" s="113" t="s">
        <v>18790</v>
      </c>
      <c r="B64" s="113" t="s">
        <v>18785</v>
      </c>
      <c r="C64" s="113" t="s">
        <v>18769</v>
      </c>
      <c r="D64" s="113" t="s">
        <v>18786</v>
      </c>
      <c r="E64" s="113" t="s">
        <v>1544</v>
      </c>
      <c r="F64" s="113" t="s">
        <v>598</v>
      </c>
      <c r="G64" s="113" t="s">
        <v>599</v>
      </c>
      <c r="H64" s="113" t="s">
        <v>2266</v>
      </c>
      <c r="I64" s="113" t="s">
        <v>2267</v>
      </c>
      <c r="J64" s="113">
        <v>0</v>
      </c>
      <c r="K64" s="113">
        <v>0</v>
      </c>
      <c r="L64" s="113">
        <v>0</v>
      </c>
      <c r="M64" s="113">
        <v>0</v>
      </c>
      <c r="N64" s="113">
        <v>0</v>
      </c>
      <c r="O64" s="113">
        <v>0</v>
      </c>
      <c r="P64" s="113">
        <v>0</v>
      </c>
      <c r="Q64" s="113">
        <v>0</v>
      </c>
      <c r="R64" s="113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v>0</v>
      </c>
      <c r="Z64" s="113">
        <v>0</v>
      </c>
      <c r="AA64" s="113">
        <v>0</v>
      </c>
      <c r="AB64" s="113">
        <v>0</v>
      </c>
      <c r="AC64" s="113">
        <v>0</v>
      </c>
      <c r="AD64" s="113">
        <v>0</v>
      </c>
      <c r="AE64" s="113">
        <v>0</v>
      </c>
      <c r="AF64" s="113">
        <v>0</v>
      </c>
      <c r="AG64" s="113">
        <v>0</v>
      </c>
    </row>
    <row r="65" spans="1:33" ht="15.75" thickBot="1">
      <c r="A65" s="236" t="s">
        <v>18790</v>
      </c>
      <c r="B65" s="236" t="s">
        <v>18773</v>
      </c>
      <c r="C65" s="236" t="s">
        <v>18769</v>
      </c>
      <c r="D65" s="236" t="s">
        <v>18774</v>
      </c>
      <c r="E65" s="236" t="s">
        <v>781</v>
      </c>
      <c r="F65" s="236" t="s">
        <v>598</v>
      </c>
      <c r="G65" s="236" t="s">
        <v>599</v>
      </c>
      <c r="H65" s="236" t="s">
        <v>2266</v>
      </c>
      <c r="I65" s="236" t="s">
        <v>2267</v>
      </c>
      <c r="J65" s="236">
        <v>6.2199999999999998E-3</v>
      </c>
      <c r="K65" s="236">
        <v>6.2249999999999996E-3</v>
      </c>
      <c r="L65" s="236">
        <v>6.2300000000000003E-3</v>
      </c>
      <c r="M65" s="236">
        <v>6.2350000000000001E-3</v>
      </c>
      <c r="N65" s="236">
        <v>6.2399999999999999E-3</v>
      </c>
      <c r="O65" s="236">
        <v>6.2459999999999998E-3</v>
      </c>
      <c r="P65" s="236">
        <v>6.2509999999999996E-3</v>
      </c>
      <c r="Q65" s="236">
        <v>6.2560000000000003E-3</v>
      </c>
      <c r="R65" s="236">
        <v>6.2610000000000001E-3</v>
      </c>
      <c r="S65" s="236">
        <v>6.2659999999999999E-3</v>
      </c>
      <c r="T65" s="236">
        <v>6.2719999999999998E-3</v>
      </c>
      <c r="U65" s="236">
        <v>6.2769999999999996E-3</v>
      </c>
      <c r="V65" s="236">
        <v>6.2820000000000003E-3</v>
      </c>
      <c r="W65" s="236">
        <v>6.2870000000000001E-3</v>
      </c>
      <c r="X65" s="236">
        <v>6.2919999999999998E-3</v>
      </c>
      <c r="Y65" s="236">
        <v>6.2979999999999998E-3</v>
      </c>
      <c r="Z65" s="236">
        <v>6.3029999999999996E-3</v>
      </c>
      <c r="AA65" s="236">
        <v>6.3080000000000002E-3</v>
      </c>
      <c r="AB65" s="236">
        <v>6.313E-3</v>
      </c>
      <c r="AC65" s="236">
        <v>6.3179999999999998E-3</v>
      </c>
      <c r="AD65" s="236">
        <v>6.3229999999999996E-3</v>
      </c>
      <c r="AE65" s="236">
        <v>6.3290000000000004E-3</v>
      </c>
      <c r="AF65" s="236">
        <v>6.3340000000000002E-3</v>
      </c>
      <c r="AG65" s="236">
        <v>6.339E-3</v>
      </c>
    </row>
    <row r="66" spans="1:33">
      <c r="A66" s="2" t="s">
        <v>18775</v>
      </c>
      <c r="J66">
        <f t="shared" ref="J66:AG66" si="36">SUM(J64:J65)</f>
        <v>6.2199999999999998E-3</v>
      </c>
      <c r="K66">
        <f t="shared" si="36"/>
        <v>6.2249999999999996E-3</v>
      </c>
      <c r="L66">
        <f t="shared" si="36"/>
        <v>6.2300000000000003E-3</v>
      </c>
      <c r="M66">
        <f t="shared" si="36"/>
        <v>6.2350000000000001E-3</v>
      </c>
      <c r="N66">
        <f t="shared" si="36"/>
        <v>6.2399999999999999E-3</v>
      </c>
      <c r="O66">
        <f t="shared" si="36"/>
        <v>6.2459999999999998E-3</v>
      </c>
      <c r="P66">
        <f t="shared" si="36"/>
        <v>6.2509999999999996E-3</v>
      </c>
      <c r="Q66">
        <f t="shared" si="36"/>
        <v>6.2560000000000003E-3</v>
      </c>
      <c r="R66">
        <f t="shared" si="36"/>
        <v>6.2610000000000001E-3</v>
      </c>
      <c r="S66">
        <f t="shared" si="36"/>
        <v>6.2659999999999999E-3</v>
      </c>
      <c r="T66">
        <f t="shared" si="36"/>
        <v>6.2719999999999998E-3</v>
      </c>
      <c r="U66">
        <f t="shared" si="36"/>
        <v>6.2769999999999996E-3</v>
      </c>
      <c r="V66">
        <f t="shared" si="36"/>
        <v>6.2820000000000003E-3</v>
      </c>
      <c r="W66">
        <f t="shared" si="36"/>
        <v>6.2870000000000001E-3</v>
      </c>
      <c r="X66">
        <f t="shared" si="36"/>
        <v>6.2919999999999998E-3</v>
      </c>
      <c r="Y66">
        <f t="shared" si="36"/>
        <v>6.2979999999999998E-3</v>
      </c>
      <c r="Z66">
        <f t="shared" si="36"/>
        <v>6.3029999999999996E-3</v>
      </c>
      <c r="AA66">
        <f t="shared" si="36"/>
        <v>6.3080000000000002E-3</v>
      </c>
      <c r="AB66">
        <f t="shared" si="36"/>
        <v>6.313E-3</v>
      </c>
      <c r="AC66">
        <f t="shared" si="36"/>
        <v>6.3179999999999998E-3</v>
      </c>
      <c r="AD66">
        <f t="shared" si="36"/>
        <v>6.3229999999999996E-3</v>
      </c>
      <c r="AE66">
        <f t="shared" si="36"/>
        <v>6.3290000000000004E-3</v>
      </c>
      <c r="AF66">
        <f t="shared" si="36"/>
        <v>6.3340000000000002E-3</v>
      </c>
      <c r="AG66">
        <f t="shared" si="36"/>
        <v>6.339E-3</v>
      </c>
    </row>
    <row r="68" spans="1:33" ht="15.75" thickBot="1">
      <c r="A68" s="235" t="s">
        <v>569</v>
      </c>
      <c r="B68" s="235" t="s">
        <v>570</v>
      </c>
      <c r="C68" s="235" t="s">
        <v>571</v>
      </c>
      <c r="D68" s="235" t="s">
        <v>572</v>
      </c>
      <c r="E68" s="235" t="s">
        <v>573</v>
      </c>
      <c r="F68" s="235" t="s">
        <v>574</v>
      </c>
      <c r="G68" s="235" t="s">
        <v>575</v>
      </c>
      <c r="H68" s="235" t="s">
        <v>576</v>
      </c>
      <c r="I68" s="235" t="s">
        <v>577</v>
      </c>
      <c r="J68" s="235">
        <v>2023</v>
      </c>
      <c r="K68" s="235">
        <v>2024</v>
      </c>
      <c r="L68" s="235">
        <v>2025</v>
      </c>
      <c r="M68" s="235">
        <v>2026</v>
      </c>
      <c r="N68" s="235">
        <v>2027</v>
      </c>
      <c r="O68" s="235">
        <v>2028</v>
      </c>
      <c r="P68" s="235">
        <v>2029</v>
      </c>
      <c r="Q68" s="235">
        <v>2030</v>
      </c>
      <c r="R68" s="235">
        <v>2031</v>
      </c>
      <c r="S68" s="235">
        <v>2032</v>
      </c>
      <c r="T68" s="235">
        <v>2033</v>
      </c>
      <c r="U68" s="235">
        <v>2034</v>
      </c>
      <c r="V68" s="235">
        <v>2035</v>
      </c>
      <c r="W68" s="235">
        <v>2036</v>
      </c>
      <c r="X68" s="235">
        <v>2037</v>
      </c>
      <c r="Y68" s="235">
        <v>2038</v>
      </c>
      <c r="Z68" s="235">
        <v>2039</v>
      </c>
      <c r="AA68" s="235">
        <v>2040</v>
      </c>
      <c r="AB68" s="235">
        <v>2041</v>
      </c>
      <c r="AC68" s="235">
        <v>2042</v>
      </c>
      <c r="AD68" s="235">
        <v>2043</v>
      </c>
      <c r="AE68" s="235">
        <v>2044</v>
      </c>
      <c r="AF68" s="235">
        <v>2045</v>
      </c>
      <c r="AG68" s="235">
        <v>2046</v>
      </c>
    </row>
    <row r="69" spans="1:33">
      <c r="A69" s="113" t="s">
        <v>2264</v>
      </c>
      <c r="B69" s="113" t="s">
        <v>18785</v>
      </c>
      <c r="C69" s="113" t="s">
        <v>18769</v>
      </c>
      <c r="D69" s="113" t="s">
        <v>18786</v>
      </c>
      <c r="E69" s="113" t="s">
        <v>1544</v>
      </c>
      <c r="F69" s="113" t="s">
        <v>598</v>
      </c>
      <c r="G69" s="113" t="s">
        <v>599</v>
      </c>
      <c r="H69" s="113" t="s">
        <v>2266</v>
      </c>
      <c r="I69" s="113" t="s">
        <v>2267</v>
      </c>
      <c r="J69" s="113">
        <v>1.26E-4</v>
      </c>
      <c r="K69" s="113">
        <v>1.21E-4</v>
      </c>
      <c r="L69" s="113">
        <v>1.17E-4</v>
      </c>
      <c r="M69" s="113">
        <v>1.13E-4</v>
      </c>
      <c r="N69" s="113">
        <v>1.1E-4</v>
      </c>
      <c r="O69" s="113">
        <v>1.06E-4</v>
      </c>
      <c r="P69" s="113">
        <v>1.02E-4</v>
      </c>
      <c r="Q69" s="234">
        <v>9.87E-5</v>
      </c>
      <c r="R69" s="234">
        <v>9.6299999999999996E-5</v>
      </c>
      <c r="S69" s="234">
        <v>9.3900000000000006E-5</v>
      </c>
      <c r="T69" s="234">
        <v>9.1399999999999999E-5</v>
      </c>
      <c r="U69" s="234">
        <v>8.8999999999999995E-5</v>
      </c>
      <c r="V69" s="234">
        <v>8.6600000000000004E-5</v>
      </c>
      <c r="W69" s="234">
        <v>8.42E-5</v>
      </c>
      <c r="X69" s="234">
        <v>8.1799999999999996E-5</v>
      </c>
      <c r="Y69" s="234">
        <v>7.9400000000000006E-5</v>
      </c>
      <c r="Z69" s="234">
        <v>7.7000000000000001E-5</v>
      </c>
      <c r="AA69" s="234">
        <v>7.4599999999999997E-5</v>
      </c>
      <c r="AB69" s="234">
        <v>7.2100000000000004E-5</v>
      </c>
      <c r="AC69" s="234">
        <v>6.97E-5</v>
      </c>
      <c r="AD69" s="234">
        <v>6.7299999999999996E-5</v>
      </c>
      <c r="AE69" s="234">
        <v>6.4900000000000005E-5</v>
      </c>
      <c r="AF69" s="234">
        <v>6.2500000000000001E-5</v>
      </c>
      <c r="AG69" s="234">
        <v>6.0099999999999997E-5</v>
      </c>
    </row>
    <row r="70" spans="1:33">
      <c r="A70" s="113" t="s">
        <v>2264</v>
      </c>
      <c r="B70" s="113" t="s">
        <v>18768</v>
      </c>
      <c r="C70" s="113" t="s">
        <v>18769</v>
      </c>
      <c r="D70" s="113" t="s">
        <v>18770</v>
      </c>
      <c r="E70" s="113" t="s">
        <v>781</v>
      </c>
      <c r="F70" s="113" t="s">
        <v>598</v>
      </c>
      <c r="G70" s="113" t="s">
        <v>599</v>
      </c>
      <c r="H70" s="113" t="s">
        <v>2266</v>
      </c>
      <c r="I70" s="113" t="s">
        <v>2267</v>
      </c>
      <c r="J70" s="113">
        <v>2.7288E-2</v>
      </c>
      <c r="K70" s="113">
        <v>2.7288E-2</v>
      </c>
      <c r="L70" s="113">
        <v>2.7288E-2</v>
      </c>
      <c r="M70" s="113">
        <v>2.7288E-2</v>
      </c>
      <c r="N70" s="113">
        <v>2.7288E-2</v>
      </c>
      <c r="O70" s="113">
        <v>2.7288E-2</v>
      </c>
      <c r="P70" s="113">
        <v>2.7288E-2</v>
      </c>
      <c r="Q70" s="113">
        <v>2.7288E-2</v>
      </c>
      <c r="R70" s="113">
        <v>2.7288E-2</v>
      </c>
      <c r="S70" s="113">
        <v>2.7288E-2</v>
      </c>
      <c r="T70" s="113">
        <v>2.7288E-2</v>
      </c>
      <c r="U70" s="113">
        <v>2.7288E-2</v>
      </c>
      <c r="V70" s="113">
        <v>2.7288E-2</v>
      </c>
      <c r="W70" s="113">
        <v>2.7288E-2</v>
      </c>
      <c r="X70" s="113">
        <v>2.7288E-2</v>
      </c>
      <c r="Y70" s="113">
        <v>2.7288E-2</v>
      </c>
      <c r="Z70" s="113">
        <v>2.7288E-2</v>
      </c>
      <c r="AA70" s="113">
        <v>2.7288E-2</v>
      </c>
      <c r="AB70" s="113">
        <v>2.7288E-2</v>
      </c>
      <c r="AC70" s="113">
        <v>2.7288E-2</v>
      </c>
      <c r="AD70" s="113">
        <v>2.7288E-2</v>
      </c>
      <c r="AE70" s="113">
        <v>2.7288E-2</v>
      </c>
      <c r="AF70" s="113">
        <v>2.7288E-2</v>
      </c>
      <c r="AG70" s="113">
        <v>2.7288E-2</v>
      </c>
    </row>
    <row r="71" spans="1:33">
      <c r="A71" s="238" t="s">
        <v>2264</v>
      </c>
      <c r="B71" s="238" t="s">
        <v>18771</v>
      </c>
      <c r="C71" s="238" t="s">
        <v>18769</v>
      </c>
      <c r="D71" s="238" t="s">
        <v>18772</v>
      </c>
      <c r="E71" s="238" t="s">
        <v>781</v>
      </c>
      <c r="F71" s="238" t="s">
        <v>598</v>
      </c>
      <c r="G71" s="238" t="s">
        <v>599</v>
      </c>
      <c r="H71" s="238" t="s">
        <v>2266</v>
      </c>
      <c r="I71" s="238" t="s">
        <v>2267</v>
      </c>
      <c r="J71" s="238">
        <v>3.0979E-2</v>
      </c>
      <c r="K71" s="238">
        <v>3.1390000000000001E-2</v>
      </c>
      <c r="L71" s="238">
        <v>3.1801999999999997E-2</v>
      </c>
      <c r="M71" s="238">
        <v>3.2212999999999999E-2</v>
      </c>
      <c r="N71" s="238">
        <v>3.2624E-2</v>
      </c>
      <c r="O71" s="238">
        <v>3.3036000000000003E-2</v>
      </c>
      <c r="P71" s="238">
        <v>3.3446999999999998E-2</v>
      </c>
      <c r="Q71" s="238">
        <v>3.3859E-2</v>
      </c>
      <c r="R71" s="238">
        <v>3.4270000000000002E-2</v>
      </c>
      <c r="S71" s="238">
        <v>3.4680999999999997E-2</v>
      </c>
      <c r="T71" s="238">
        <v>3.5092999999999999E-2</v>
      </c>
      <c r="U71" s="238">
        <v>3.5504000000000001E-2</v>
      </c>
      <c r="V71" s="238">
        <v>3.5915000000000002E-2</v>
      </c>
      <c r="W71" s="238">
        <v>3.6326999999999998E-2</v>
      </c>
      <c r="X71" s="238">
        <v>3.6738E-2</v>
      </c>
      <c r="Y71" s="238">
        <v>3.7150000000000002E-2</v>
      </c>
      <c r="Z71" s="238">
        <v>3.7560999999999997E-2</v>
      </c>
      <c r="AA71" s="238">
        <v>3.7971999999999999E-2</v>
      </c>
      <c r="AB71" s="238">
        <v>3.8384000000000001E-2</v>
      </c>
      <c r="AC71" s="238">
        <v>3.8795000000000003E-2</v>
      </c>
      <c r="AD71" s="238">
        <v>3.9206999999999999E-2</v>
      </c>
      <c r="AE71" s="238">
        <v>3.9618E-2</v>
      </c>
      <c r="AF71" s="238">
        <v>4.0029000000000002E-2</v>
      </c>
      <c r="AG71" s="238">
        <v>4.0440999999999998E-2</v>
      </c>
    </row>
    <row r="72" spans="1:33" ht="15.75" thickBot="1">
      <c r="A72" s="239" t="s">
        <v>2264</v>
      </c>
      <c r="B72" s="239" t="s">
        <v>18773</v>
      </c>
      <c r="C72" s="239" t="s">
        <v>18769</v>
      </c>
      <c r="D72" s="239" t="s">
        <v>18774</v>
      </c>
      <c r="E72" s="239" t="s">
        <v>781</v>
      </c>
      <c r="F72" s="239" t="s">
        <v>598</v>
      </c>
      <c r="G72" s="239" t="s">
        <v>599</v>
      </c>
      <c r="H72" s="239" t="s">
        <v>2266</v>
      </c>
      <c r="I72" s="239" t="s">
        <v>2267</v>
      </c>
      <c r="J72" s="239">
        <v>1.3089999999999999E-2</v>
      </c>
      <c r="K72" s="239">
        <v>1.3207999999999999E-2</v>
      </c>
      <c r="L72" s="239">
        <v>1.3325E-2</v>
      </c>
      <c r="M72" s="239">
        <v>1.3443E-2</v>
      </c>
      <c r="N72" s="239">
        <v>1.3559999999999999E-2</v>
      </c>
      <c r="O72" s="239">
        <v>1.3677999999999999E-2</v>
      </c>
      <c r="P72" s="239">
        <v>1.3795E-2</v>
      </c>
      <c r="Q72" s="239">
        <v>1.3913E-2</v>
      </c>
      <c r="R72" s="239">
        <v>1.4030000000000001E-2</v>
      </c>
      <c r="S72" s="239">
        <v>1.4148000000000001E-2</v>
      </c>
      <c r="T72" s="239">
        <v>1.4265E-2</v>
      </c>
      <c r="U72" s="239">
        <v>1.4383E-2</v>
      </c>
      <c r="V72" s="239">
        <v>1.4500000000000001E-2</v>
      </c>
      <c r="W72" s="239">
        <v>1.4618000000000001E-2</v>
      </c>
      <c r="X72" s="239">
        <v>1.4736000000000001E-2</v>
      </c>
      <c r="Y72" s="239">
        <v>1.4853E-2</v>
      </c>
      <c r="Z72" s="239">
        <v>1.4971E-2</v>
      </c>
      <c r="AA72" s="239">
        <v>1.5088000000000001E-2</v>
      </c>
      <c r="AB72" s="239">
        <v>1.5206000000000001E-2</v>
      </c>
      <c r="AC72" s="239">
        <v>1.5323E-2</v>
      </c>
      <c r="AD72" s="239">
        <v>1.5441E-2</v>
      </c>
      <c r="AE72" s="239">
        <v>1.5558000000000001E-2</v>
      </c>
      <c r="AF72" s="239">
        <v>1.5675999999999999E-2</v>
      </c>
      <c r="AG72" s="239">
        <v>1.5793000000000001E-2</v>
      </c>
    </row>
    <row r="73" spans="1:33">
      <c r="A73" s="2" t="s">
        <v>18775</v>
      </c>
      <c r="J73">
        <f t="shared" ref="J73:AG73" si="37">SUM(J69:J72)</f>
        <v>7.1483000000000005E-2</v>
      </c>
      <c r="K73">
        <f t="shared" si="37"/>
        <v>7.2007000000000002E-2</v>
      </c>
      <c r="L73">
        <f t="shared" si="37"/>
        <v>7.2531999999999999E-2</v>
      </c>
      <c r="M73">
        <f t="shared" si="37"/>
        <v>7.3056999999999997E-2</v>
      </c>
      <c r="N73">
        <f t="shared" si="37"/>
        <v>7.3581999999999995E-2</v>
      </c>
      <c r="O73">
        <f t="shared" si="37"/>
        <v>7.4107999999999993E-2</v>
      </c>
      <c r="P73">
        <f t="shared" si="37"/>
        <v>7.4632000000000004E-2</v>
      </c>
      <c r="Q73">
        <f t="shared" si="37"/>
        <v>7.5158699999999995E-2</v>
      </c>
      <c r="R73">
        <f t="shared" si="37"/>
        <v>7.568430000000001E-2</v>
      </c>
      <c r="S73">
        <f t="shared" si="37"/>
        <v>7.6210899999999998E-2</v>
      </c>
      <c r="T73">
        <f t="shared" si="37"/>
        <v>7.6737399999999997E-2</v>
      </c>
      <c r="U73">
        <f t="shared" si="37"/>
        <v>7.7263999999999999E-2</v>
      </c>
      <c r="V73">
        <f t="shared" si="37"/>
        <v>7.77896E-2</v>
      </c>
      <c r="W73">
        <f t="shared" si="37"/>
        <v>7.8317200000000003E-2</v>
      </c>
      <c r="X73">
        <f t="shared" si="37"/>
        <v>7.8843799999999992E-2</v>
      </c>
      <c r="Y73">
        <f t="shared" si="37"/>
        <v>7.9370400000000008E-2</v>
      </c>
      <c r="Z73">
        <f t="shared" si="37"/>
        <v>7.9896999999999996E-2</v>
      </c>
      <c r="AA73">
        <f t="shared" si="37"/>
        <v>8.0422599999999997E-2</v>
      </c>
      <c r="AB73">
        <f t="shared" si="37"/>
        <v>8.0950099999999997E-2</v>
      </c>
      <c r="AC73">
        <f t="shared" si="37"/>
        <v>8.1475700000000012E-2</v>
      </c>
      <c r="AD73">
        <f t="shared" si="37"/>
        <v>8.2003299999999987E-2</v>
      </c>
      <c r="AE73">
        <f t="shared" si="37"/>
        <v>8.2528900000000002E-2</v>
      </c>
      <c r="AF73">
        <f t="shared" si="37"/>
        <v>8.3055500000000004E-2</v>
      </c>
      <c r="AG73">
        <f t="shared" si="37"/>
        <v>8.3582099999999993E-2</v>
      </c>
    </row>
    <row r="75" spans="1:33" ht="15.75" thickBot="1">
      <c r="A75" s="235" t="s">
        <v>569</v>
      </c>
      <c r="B75" s="235" t="s">
        <v>570</v>
      </c>
      <c r="C75" s="235" t="s">
        <v>571</v>
      </c>
      <c r="D75" s="235" t="s">
        <v>572</v>
      </c>
      <c r="E75" s="235" t="s">
        <v>573</v>
      </c>
      <c r="F75" s="235" t="s">
        <v>574</v>
      </c>
      <c r="G75" s="235" t="s">
        <v>575</v>
      </c>
      <c r="H75" s="235" t="s">
        <v>576</v>
      </c>
      <c r="I75" s="235" t="s">
        <v>577</v>
      </c>
      <c r="J75" s="235">
        <v>2023</v>
      </c>
      <c r="K75" s="235">
        <v>2024</v>
      </c>
      <c r="L75" s="235">
        <v>2025</v>
      </c>
      <c r="M75" s="235">
        <v>2026</v>
      </c>
      <c r="N75" s="235">
        <v>2027</v>
      </c>
      <c r="O75" s="235">
        <v>2028</v>
      </c>
      <c r="P75" s="235">
        <v>2029</v>
      </c>
      <c r="Q75" s="235">
        <v>2030</v>
      </c>
      <c r="R75" s="235">
        <v>2031</v>
      </c>
      <c r="S75" s="235">
        <v>2032</v>
      </c>
      <c r="T75" s="235">
        <v>2033</v>
      </c>
      <c r="U75" s="235">
        <v>2034</v>
      </c>
      <c r="V75" s="235">
        <v>2035</v>
      </c>
      <c r="W75" s="235">
        <v>2036</v>
      </c>
      <c r="X75" s="235">
        <v>2037</v>
      </c>
      <c r="Y75" s="235">
        <v>2038</v>
      </c>
      <c r="Z75" s="235">
        <v>2039</v>
      </c>
      <c r="AA75" s="235">
        <v>2040</v>
      </c>
      <c r="AB75" s="235">
        <v>2041</v>
      </c>
      <c r="AC75" s="235">
        <v>2042</v>
      </c>
      <c r="AD75" s="235">
        <v>2043</v>
      </c>
      <c r="AE75" s="235">
        <v>2044</v>
      </c>
      <c r="AF75" s="235">
        <v>2045</v>
      </c>
      <c r="AG75" s="235">
        <v>2046</v>
      </c>
    </row>
    <row r="76" spans="1:33">
      <c r="A76" s="113" t="s">
        <v>18791</v>
      </c>
      <c r="B76" s="113" t="s">
        <v>18779</v>
      </c>
      <c r="C76" s="113" t="s">
        <v>18769</v>
      </c>
      <c r="D76" s="113" t="s">
        <v>18780</v>
      </c>
      <c r="E76" s="113" t="s">
        <v>1544</v>
      </c>
      <c r="F76" s="113" t="s">
        <v>598</v>
      </c>
      <c r="G76" s="113" t="s">
        <v>599</v>
      </c>
      <c r="H76" s="113" t="s">
        <v>2266</v>
      </c>
      <c r="I76" s="113" t="s">
        <v>2267</v>
      </c>
      <c r="J76" s="113">
        <v>0</v>
      </c>
      <c r="K76" s="113">
        <v>0</v>
      </c>
      <c r="L76" s="113">
        <v>0</v>
      </c>
      <c r="M76" s="113">
        <v>0</v>
      </c>
      <c r="N76" s="113">
        <v>0</v>
      </c>
      <c r="O76" s="113">
        <v>0</v>
      </c>
      <c r="P76" s="113">
        <v>0</v>
      </c>
      <c r="Q76" s="113">
        <v>0</v>
      </c>
      <c r="R76" s="113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v>0</v>
      </c>
      <c r="Z76" s="113">
        <v>0</v>
      </c>
      <c r="AA76" s="113">
        <v>0</v>
      </c>
      <c r="AB76" s="113">
        <v>0</v>
      </c>
      <c r="AC76" s="113">
        <v>0</v>
      </c>
      <c r="AD76" s="113">
        <v>0</v>
      </c>
      <c r="AE76" s="113">
        <v>0</v>
      </c>
      <c r="AF76" s="113">
        <v>0</v>
      </c>
      <c r="AG76" s="113">
        <v>0</v>
      </c>
    </row>
    <row r="77" spans="1:33">
      <c r="A77" s="113" t="s">
        <v>18791</v>
      </c>
      <c r="B77" s="113" t="s">
        <v>18781</v>
      </c>
      <c r="C77" s="113" t="s">
        <v>18769</v>
      </c>
      <c r="D77" s="113" t="s">
        <v>18782</v>
      </c>
      <c r="E77" s="113" t="s">
        <v>1544</v>
      </c>
      <c r="F77" s="113" t="s">
        <v>598</v>
      </c>
      <c r="G77" s="113" t="s">
        <v>599</v>
      </c>
      <c r="H77" s="113" t="s">
        <v>2266</v>
      </c>
      <c r="I77" s="113" t="s">
        <v>2267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18791</v>
      </c>
      <c r="B78" s="113" t="s">
        <v>18783</v>
      </c>
      <c r="C78" s="113" t="s">
        <v>18769</v>
      </c>
      <c r="D78" s="113" t="s">
        <v>18784</v>
      </c>
      <c r="E78" s="113" t="s">
        <v>1544</v>
      </c>
      <c r="F78" s="113" t="s">
        <v>598</v>
      </c>
      <c r="G78" s="113" t="s">
        <v>599</v>
      </c>
      <c r="H78" s="113" t="s">
        <v>2266</v>
      </c>
      <c r="I78" s="113" t="s">
        <v>2267</v>
      </c>
      <c r="J78" s="113">
        <v>0</v>
      </c>
      <c r="K78" s="113">
        <v>0</v>
      </c>
      <c r="L78" s="113">
        <v>0</v>
      </c>
      <c r="M78" s="113">
        <v>0</v>
      </c>
      <c r="N78" s="113">
        <v>0</v>
      </c>
      <c r="O78" s="113">
        <v>0</v>
      </c>
      <c r="P78" s="113">
        <v>0</v>
      </c>
      <c r="Q78" s="113">
        <v>0</v>
      </c>
      <c r="R78" s="113"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v>0</v>
      </c>
      <c r="Z78" s="113">
        <v>0</v>
      </c>
      <c r="AA78" s="113">
        <v>0</v>
      </c>
      <c r="AB78" s="113">
        <v>0</v>
      </c>
      <c r="AC78" s="113">
        <v>0</v>
      </c>
      <c r="AD78" s="113">
        <v>0</v>
      </c>
      <c r="AE78" s="113">
        <v>0</v>
      </c>
      <c r="AF78" s="113">
        <v>0</v>
      </c>
      <c r="AG78" s="113">
        <v>0</v>
      </c>
    </row>
    <row r="79" spans="1:33">
      <c r="A79" s="113" t="s">
        <v>18791</v>
      </c>
      <c r="B79" s="113" t="s">
        <v>18785</v>
      </c>
      <c r="C79" s="113" t="s">
        <v>18769</v>
      </c>
      <c r="D79" s="113" t="s">
        <v>18786</v>
      </c>
      <c r="E79" s="113" t="s">
        <v>1544</v>
      </c>
      <c r="F79" s="113" t="s">
        <v>598</v>
      </c>
      <c r="G79" s="113" t="s">
        <v>599</v>
      </c>
      <c r="H79" s="113" t="s">
        <v>2266</v>
      </c>
      <c r="I79" s="113" t="s">
        <v>2267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0</v>
      </c>
      <c r="AD79" s="113">
        <v>0</v>
      </c>
      <c r="AE79" s="113">
        <v>0</v>
      </c>
      <c r="AF79" s="113">
        <v>0</v>
      </c>
      <c r="AG79" s="113">
        <v>0</v>
      </c>
    </row>
    <row r="80" spans="1:33">
      <c r="A80" s="113" t="s">
        <v>18791</v>
      </c>
      <c r="B80" s="113" t="s">
        <v>18768</v>
      </c>
      <c r="C80" s="113" t="s">
        <v>18769</v>
      </c>
      <c r="D80" s="113" t="s">
        <v>18770</v>
      </c>
      <c r="E80" s="113" t="s">
        <v>781</v>
      </c>
      <c r="F80" s="113" t="s">
        <v>598</v>
      </c>
      <c r="G80" s="113" t="s">
        <v>599</v>
      </c>
      <c r="H80" s="113" t="s">
        <v>2266</v>
      </c>
      <c r="I80" s="113" t="s">
        <v>2267</v>
      </c>
      <c r="J80" s="113">
        <v>2.6499999999999999E-4</v>
      </c>
      <c r="K80" s="113">
        <v>2.6499999999999999E-4</v>
      </c>
      <c r="L80" s="113">
        <v>2.6499999999999999E-4</v>
      </c>
      <c r="M80" s="113">
        <v>2.6499999999999999E-4</v>
      </c>
      <c r="N80" s="113">
        <v>2.6499999999999999E-4</v>
      </c>
      <c r="O80" s="113">
        <v>2.6499999999999999E-4</v>
      </c>
      <c r="P80" s="113">
        <v>2.6499999999999999E-4</v>
      </c>
      <c r="Q80" s="113">
        <v>2.6499999999999999E-4</v>
      </c>
      <c r="R80" s="113">
        <v>2.6499999999999999E-4</v>
      </c>
      <c r="S80" s="113">
        <v>2.6499999999999999E-4</v>
      </c>
      <c r="T80" s="113">
        <v>2.6499999999999999E-4</v>
      </c>
      <c r="U80" s="113">
        <v>2.6499999999999999E-4</v>
      </c>
      <c r="V80" s="113">
        <v>2.6499999999999999E-4</v>
      </c>
      <c r="W80" s="113">
        <v>2.6499999999999999E-4</v>
      </c>
      <c r="X80" s="113">
        <v>2.6499999999999999E-4</v>
      </c>
      <c r="Y80" s="113">
        <v>2.6499999999999999E-4</v>
      </c>
      <c r="Z80" s="113">
        <v>2.6499999999999999E-4</v>
      </c>
      <c r="AA80" s="113">
        <v>2.6499999999999999E-4</v>
      </c>
      <c r="AB80" s="113">
        <v>2.6499999999999999E-4</v>
      </c>
      <c r="AC80" s="113">
        <v>2.6499999999999999E-4</v>
      </c>
      <c r="AD80" s="113">
        <v>2.6499999999999999E-4</v>
      </c>
      <c r="AE80" s="113">
        <v>2.6499999999999999E-4</v>
      </c>
      <c r="AF80" s="113">
        <v>2.6499999999999999E-4</v>
      </c>
      <c r="AG80" s="113">
        <v>2.6499999999999999E-4</v>
      </c>
    </row>
    <row r="81" spans="1:33" ht="15.75" thickBot="1">
      <c r="A81" s="236" t="s">
        <v>18791</v>
      </c>
      <c r="B81" s="236" t="s">
        <v>18771</v>
      </c>
      <c r="C81" s="236" t="s">
        <v>18769</v>
      </c>
      <c r="D81" s="236" t="s">
        <v>18772</v>
      </c>
      <c r="E81" s="236" t="s">
        <v>781</v>
      </c>
      <c r="F81" s="236" t="s">
        <v>598</v>
      </c>
      <c r="G81" s="236" t="s">
        <v>599</v>
      </c>
      <c r="H81" s="236" t="s">
        <v>2266</v>
      </c>
      <c r="I81" s="236" t="s">
        <v>2267</v>
      </c>
      <c r="J81" s="236">
        <v>1.06E-3</v>
      </c>
      <c r="K81" s="236">
        <v>1.06E-3</v>
      </c>
      <c r="L81" s="236">
        <v>1.06E-3</v>
      </c>
      <c r="M81" s="236">
        <v>1.06E-3</v>
      </c>
      <c r="N81" s="236">
        <v>1.06E-3</v>
      </c>
      <c r="O81" s="236">
        <v>1.06E-3</v>
      </c>
      <c r="P81" s="236">
        <v>1.06E-3</v>
      </c>
      <c r="Q81" s="236">
        <v>1.06E-3</v>
      </c>
      <c r="R81" s="236">
        <v>1.06E-3</v>
      </c>
      <c r="S81" s="236">
        <v>1.06E-3</v>
      </c>
      <c r="T81" s="236">
        <v>1.06E-3</v>
      </c>
      <c r="U81" s="236">
        <v>1.06E-3</v>
      </c>
      <c r="V81" s="236">
        <v>1.06E-3</v>
      </c>
      <c r="W81" s="236">
        <v>1.06E-3</v>
      </c>
      <c r="X81" s="236">
        <v>1.06E-3</v>
      </c>
      <c r="Y81" s="236">
        <v>1.06E-3</v>
      </c>
      <c r="Z81" s="236">
        <v>1.06E-3</v>
      </c>
      <c r="AA81" s="236">
        <v>1.06E-3</v>
      </c>
      <c r="AB81" s="236">
        <v>1.06E-3</v>
      </c>
      <c r="AC81" s="236">
        <v>1.06E-3</v>
      </c>
      <c r="AD81" s="236">
        <v>1.06E-3</v>
      </c>
      <c r="AE81" s="236">
        <v>1.06E-3</v>
      </c>
      <c r="AF81" s="236">
        <v>1.06E-3</v>
      </c>
      <c r="AG81" s="236">
        <v>1.06E-3</v>
      </c>
    </row>
    <row r="82" spans="1:33">
      <c r="A82" s="2" t="s">
        <v>18775</v>
      </c>
      <c r="J82">
        <f t="shared" ref="J82:AG82" si="38">SUM(J76:J81)</f>
        <v>1.325E-3</v>
      </c>
      <c r="K82">
        <f t="shared" si="38"/>
        <v>1.325E-3</v>
      </c>
      <c r="L82">
        <f t="shared" si="38"/>
        <v>1.325E-3</v>
      </c>
      <c r="M82">
        <f t="shared" si="38"/>
        <v>1.325E-3</v>
      </c>
      <c r="N82">
        <f t="shared" si="38"/>
        <v>1.325E-3</v>
      </c>
      <c r="O82">
        <f t="shared" si="38"/>
        <v>1.325E-3</v>
      </c>
      <c r="P82">
        <f t="shared" si="38"/>
        <v>1.325E-3</v>
      </c>
      <c r="Q82">
        <f t="shared" si="38"/>
        <v>1.325E-3</v>
      </c>
      <c r="R82">
        <f t="shared" si="38"/>
        <v>1.325E-3</v>
      </c>
      <c r="S82">
        <f t="shared" si="38"/>
        <v>1.325E-3</v>
      </c>
      <c r="T82">
        <f t="shared" si="38"/>
        <v>1.325E-3</v>
      </c>
      <c r="U82">
        <f t="shared" si="38"/>
        <v>1.325E-3</v>
      </c>
      <c r="V82">
        <f t="shared" si="38"/>
        <v>1.325E-3</v>
      </c>
      <c r="W82">
        <f t="shared" si="38"/>
        <v>1.325E-3</v>
      </c>
      <c r="X82">
        <f t="shared" si="38"/>
        <v>1.325E-3</v>
      </c>
      <c r="Y82">
        <f t="shared" si="38"/>
        <v>1.325E-3</v>
      </c>
      <c r="Z82">
        <f t="shared" si="38"/>
        <v>1.325E-3</v>
      </c>
      <c r="AA82">
        <f t="shared" si="38"/>
        <v>1.325E-3</v>
      </c>
      <c r="AB82">
        <f t="shared" si="38"/>
        <v>1.325E-3</v>
      </c>
      <c r="AC82">
        <f t="shared" si="38"/>
        <v>1.325E-3</v>
      </c>
      <c r="AD82">
        <f t="shared" si="38"/>
        <v>1.325E-3</v>
      </c>
      <c r="AE82">
        <f t="shared" si="38"/>
        <v>1.325E-3</v>
      </c>
      <c r="AF82">
        <f t="shared" si="38"/>
        <v>1.325E-3</v>
      </c>
      <c r="AG82">
        <f t="shared" si="38"/>
        <v>1.325E-3</v>
      </c>
    </row>
    <row r="84" spans="1:33" ht="15.75" thickBot="1">
      <c r="A84" s="235" t="s">
        <v>569</v>
      </c>
      <c r="B84" s="235" t="s">
        <v>570</v>
      </c>
      <c r="C84" s="235" t="s">
        <v>571</v>
      </c>
      <c r="D84" s="235" t="s">
        <v>572</v>
      </c>
      <c r="E84" s="235" t="s">
        <v>573</v>
      </c>
      <c r="F84" s="235" t="s">
        <v>574</v>
      </c>
      <c r="G84" s="235" t="s">
        <v>575</v>
      </c>
      <c r="H84" s="235" t="s">
        <v>576</v>
      </c>
      <c r="I84" s="235" t="s">
        <v>577</v>
      </c>
      <c r="J84" s="235">
        <v>2023</v>
      </c>
      <c r="K84" s="235">
        <v>2024</v>
      </c>
      <c r="L84" s="235">
        <v>2025</v>
      </c>
      <c r="M84" s="235">
        <v>2026</v>
      </c>
      <c r="N84" s="235">
        <v>2027</v>
      </c>
      <c r="O84" s="235">
        <v>2028</v>
      </c>
      <c r="P84" s="235">
        <v>2029</v>
      </c>
      <c r="Q84" s="235">
        <v>2030</v>
      </c>
      <c r="R84" s="235">
        <v>2031</v>
      </c>
      <c r="S84" s="235">
        <v>2032</v>
      </c>
      <c r="T84" s="235">
        <v>2033</v>
      </c>
      <c r="U84" s="235">
        <v>2034</v>
      </c>
      <c r="V84" s="235">
        <v>2035</v>
      </c>
      <c r="W84" s="235">
        <v>2036</v>
      </c>
      <c r="X84" s="235">
        <v>2037</v>
      </c>
      <c r="Y84" s="235">
        <v>2038</v>
      </c>
      <c r="Z84" s="235">
        <v>2039</v>
      </c>
      <c r="AA84" s="235">
        <v>2040</v>
      </c>
      <c r="AB84" s="235">
        <v>2041</v>
      </c>
      <c r="AC84" s="235">
        <v>2042</v>
      </c>
      <c r="AD84" s="235">
        <v>2043</v>
      </c>
      <c r="AE84" s="235">
        <v>2044</v>
      </c>
      <c r="AF84" s="235">
        <v>2045</v>
      </c>
      <c r="AG84" s="235">
        <v>2046</v>
      </c>
    </row>
    <row r="85" spans="1:33">
      <c r="A85" s="113" t="s">
        <v>18792</v>
      </c>
      <c r="B85" s="113" t="s">
        <v>18785</v>
      </c>
      <c r="C85" s="113" t="s">
        <v>18769</v>
      </c>
      <c r="D85" s="113" t="s">
        <v>18786</v>
      </c>
      <c r="E85" s="113" t="s">
        <v>1544</v>
      </c>
      <c r="F85" s="113" t="s">
        <v>598</v>
      </c>
      <c r="G85" s="113" t="s">
        <v>599</v>
      </c>
      <c r="H85" s="113" t="s">
        <v>2266</v>
      </c>
      <c r="I85" s="113" t="s">
        <v>2267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</row>
    <row r="86" spans="1:33" ht="15.75" thickBot="1">
      <c r="A86" s="236" t="s">
        <v>18792</v>
      </c>
      <c r="B86" s="236" t="s">
        <v>18773</v>
      </c>
      <c r="C86" s="236" t="s">
        <v>18769</v>
      </c>
      <c r="D86" s="236" t="s">
        <v>18774</v>
      </c>
      <c r="E86" s="236" t="s">
        <v>781</v>
      </c>
      <c r="F86" s="236" t="s">
        <v>598</v>
      </c>
      <c r="G86" s="236" t="s">
        <v>599</v>
      </c>
      <c r="H86" s="236" t="s">
        <v>2266</v>
      </c>
      <c r="I86" s="236" t="s">
        <v>2267</v>
      </c>
      <c r="J86" s="236">
        <v>5.2999999999999998E-4</v>
      </c>
      <c r="K86" s="236">
        <v>5.2999999999999998E-4</v>
      </c>
      <c r="L86" s="236">
        <v>5.2999999999999998E-4</v>
      </c>
      <c r="M86" s="236">
        <v>5.2999999999999998E-4</v>
      </c>
      <c r="N86" s="236">
        <v>5.2999999999999998E-4</v>
      </c>
      <c r="O86" s="236">
        <v>5.2999999999999998E-4</v>
      </c>
      <c r="P86" s="236">
        <v>5.2999999999999998E-4</v>
      </c>
      <c r="Q86" s="236">
        <v>5.2999999999999998E-4</v>
      </c>
      <c r="R86" s="236">
        <v>5.2999999999999998E-4</v>
      </c>
      <c r="S86" s="236">
        <v>5.2999999999999998E-4</v>
      </c>
      <c r="T86" s="236">
        <v>5.2999999999999998E-4</v>
      </c>
      <c r="U86" s="236">
        <v>5.2999999999999998E-4</v>
      </c>
      <c r="V86" s="236">
        <v>5.2999999999999998E-4</v>
      </c>
      <c r="W86" s="236">
        <v>5.2999999999999998E-4</v>
      </c>
      <c r="X86" s="236">
        <v>5.2999999999999998E-4</v>
      </c>
      <c r="Y86" s="236">
        <v>5.2999999999999998E-4</v>
      </c>
      <c r="Z86" s="236">
        <v>5.2999999999999998E-4</v>
      </c>
      <c r="AA86" s="236">
        <v>5.2999999999999998E-4</v>
      </c>
      <c r="AB86" s="236">
        <v>5.2999999999999998E-4</v>
      </c>
      <c r="AC86" s="236">
        <v>5.2999999999999998E-4</v>
      </c>
      <c r="AD86" s="236">
        <v>5.2999999999999998E-4</v>
      </c>
      <c r="AE86" s="236">
        <v>5.2999999999999998E-4</v>
      </c>
      <c r="AF86" s="236">
        <v>5.2999999999999998E-4</v>
      </c>
      <c r="AG86" s="236">
        <v>5.2999999999999998E-4</v>
      </c>
    </row>
    <row r="87" spans="1:33">
      <c r="A87" s="2" t="s">
        <v>18775</v>
      </c>
      <c r="J87">
        <f t="shared" ref="J87:AG87" si="39">SUM(J85:J86)</f>
        <v>5.2999999999999998E-4</v>
      </c>
      <c r="K87">
        <f t="shared" si="39"/>
        <v>5.2999999999999998E-4</v>
      </c>
      <c r="L87">
        <f t="shared" si="39"/>
        <v>5.2999999999999998E-4</v>
      </c>
      <c r="M87">
        <f t="shared" si="39"/>
        <v>5.2999999999999998E-4</v>
      </c>
      <c r="N87">
        <f t="shared" si="39"/>
        <v>5.2999999999999998E-4</v>
      </c>
      <c r="O87">
        <f t="shared" si="39"/>
        <v>5.2999999999999998E-4</v>
      </c>
      <c r="P87">
        <f t="shared" si="39"/>
        <v>5.2999999999999998E-4</v>
      </c>
      <c r="Q87">
        <f t="shared" si="39"/>
        <v>5.2999999999999998E-4</v>
      </c>
      <c r="R87">
        <f t="shared" si="39"/>
        <v>5.2999999999999998E-4</v>
      </c>
      <c r="S87">
        <f t="shared" si="39"/>
        <v>5.2999999999999998E-4</v>
      </c>
      <c r="T87">
        <f t="shared" si="39"/>
        <v>5.2999999999999998E-4</v>
      </c>
      <c r="U87">
        <f t="shared" si="39"/>
        <v>5.2999999999999998E-4</v>
      </c>
      <c r="V87">
        <f t="shared" si="39"/>
        <v>5.2999999999999998E-4</v>
      </c>
      <c r="W87">
        <f t="shared" si="39"/>
        <v>5.2999999999999998E-4</v>
      </c>
      <c r="X87">
        <f t="shared" si="39"/>
        <v>5.2999999999999998E-4</v>
      </c>
      <c r="Y87">
        <f t="shared" si="39"/>
        <v>5.2999999999999998E-4</v>
      </c>
      <c r="Z87">
        <f t="shared" si="39"/>
        <v>5.2999999999999998E-4</v>
      </c>
      <c r="AA87">
        <f t="shared" si="39"/>
        <v>5.2999999999999998E-4</v>
      </c>
      <c r="AB87">
        <f t="shared" si="39"/>
        <v>5.2999999999999998E-4</v>
      </c>
      <c r="AC87">
        <f t="shared" si="39"/>
        <v>5.2999999999999998E-4</v>
      </c>
      <c r="AD87">
        <f t="shared" si="39"/>
        <v>5.2999999999999998E-4</v>
      </c>
      <c r="AE87">
        <f t="shared" si="39"/>
        <v>5.2999999999999998E-4</v>
      </c>
      <c r="AF87">
        <f t="shared" si="39"/>
        <v>5.2999999999999998E-4</v>
      </c>
      <c r="AG87">
        <f t="shared" si="39"/>
        <v>5.2999999999999998E-4</v>
      </c>
    </row>
    <row r="89" spans="1:33" ht="15.75" thickBot="1">
      <c r="A89" s="235" t="s">
        <v>569</v>
      </c>
      <c r="B89" s="235" t="s">
        <v>570</v>
      </c>
      <c r="C89" s="235" t="s">
        <v>571</v>
      </c>
      <c r="D89" s="235" t="s">
        <v>572</v>
      </c>
      <c r="E89" s="235" t="s">
        <v>573</v>
      </c>
      <c r="F89" s="235" t="s">
        <v>574</v>
      </c>
      <c r="G89" s="235" t="s">
        <v>575</v>
      </c>
      <c r="H89" s="235" t="s">
        <v>576</v>
      </c>
      <c r="I89" s="235" t="s">
        <v>577</v>
      </c>
      <c r="J89" s="235">
        <v>2023</v>
      </c>
      <c r="K89" s="235">
        <v>2024</v>
      </c>
      <c r="L89" s="235">
        <v>2025</v>
      </c>
      <c r="M89" s="235">
        <v>2026</v>
      </c>
      <c r="N89" s="235">
        <v>2027</v>
      </c>
      <c r="O89" s="235">
        <v>2028</v>
      </c>
      <c r="P89" s="235">
        <v>2029</v>
      </c>
      <c r="Q89" s="235">
        <v>2030</v>
      </c>
      <c r="R89" s="235">
        <v>2031</v>
      </c>
      <c r="S89" s="235">
        <v>2032</v>
      </c>
      <c r="T89" s="235">
        <v>2033</v>
      </c>
      <c r="U89" s="235">
        <v>2034</v>
      </c>
      <c r="V89" s="235">
        <v>2035</v>
      </c>
      <c r="W89" s="235">
        <v>2036</v>
      </c>
      <c r="X89" s="235">
        <v>2037</v>
      </c>
      <c r="Y89" s="235">
        <v>2038</v>
      </c>
      <c r="Z89" s="235">
        <v>2039</v>
      </c>
      <c r="AA89" s="235">
        <v>2040</v>
      </c>
      <c r="AB89" s="235">
        <v>2041</v>
      </c>
      <c r="AC89" s="235">
        <v>2042</v>
      </c>
      <c r="AD89" s="235">
        <v>2043</v>
      </c>
      <c r="AE89" s="235">
        <v>2044</v>
      </c>
      <c r="AF89" s="235">
        <v>2045</v>
      </c>
      <c r="AG89" s="235">
        <v>2046</v>
      </c>
    </row>
    <row r="90" spans="1:33">
      <c r="A90" s="113" t="s">
        <v>18793</v>
      </c>
      <c r="B90" s="113" t="s">
        <v>18779</v>
      </c>
      <c r="C90" s="113" t="s">
        <v>18769</v>
      </c>
      <c r="D90" s="113" t="s">
        <v>18780</v>
      </c>
      <c r="E90" s="113" t="s">
        <v>1544</v>
      </c>
      <c r="F90" s="113" t="s">
        <v>598</v>
      </c>
      <c r="G90" s="113" t="s">
        <v>599</v>
      </c>
      <c r="H90" s="113" t="s">
        <v>2266</v>
      </c>
      <c r="I90" s="113" t="s">
        <v>2267</v>
      </c>
      <c r="J90" s="234">
        <v>6.0399999999999998E-6</v>
      </c>
      <c r="K90" s="234">
        <v>6.0399999999999998E-6</v>
      </c>
      <c r="L90" s="234">
        <v>6.0399999999999998E-6</v>
      </c>
      <c r="M90" s="234">
        <v>6.0399999999999998E-6</v>
      </c>
      <c r="N90" s="234">
        <v>6.0399999999999998E-6</v>
      </c>
      <c r="O90" s="234">
        <v>6.0399999999999998E-6</v>
      </c>
      <c r="P90" s="234">
        <v>6.0399999999999998E-6</v>
      </c>
      <c r="Q90" s="234">
        <v>6.0399999999999998E-6</v>
      </c>
      <c r="R90" s="234">
        <v>6.0399999999999998E-6</v>
      </c>
      <c r="S90" s="234">
        <v>6.0399999999999998E-6</v>
      </c>
      <c r="T90" s="234">
        <v>6.0399999999999998E-6</v>
      </c>
      <c r="U90" s="234">
        <v>6.0399999999999998E-6</v>
      </c>
      <c r="V90" s="234">
        <v>6.0399999999999998E-6</v>
      </c>
      <c r="W90" s="234">
        <v>6.0399999999999998E-6</v>
      </c>
      <c r="X90" s="234">
        <v>6.0399999999999998E-6</v>
      </c>
      <c r="Y90" s="234">
        <v>6.0399999999999998E-6</v>
      </c>
      <c r="Z90" s="234">
        <v>6.0399999999999998E-6</v>
      </c>
      <c r="AA90" s="234">
        <v>6.0399999999999998E-6</v>
      </c>
      <c r="AB90" s="234">
        <v>6.0399999999999998E-6</v>
      </c>
      <c r="AC90" s="234">
        <v>6.0399999999999998E-6</v>
      </c>
      <c r="AD90" s="234">
        <v>6.0399999999999998E-6</v>
      </c>
      <c r="AE90" s="234">
        <v>6.0399999999999998E-6</v>
      </c>
      <c r="AF90" s="234">
        <v>6.0399999999999998E-6</v>
      </c>
      <c r="AG90" s="234">
        <v>6.0399999999999998E-6</v>
      </c>
    </row>
    <row r="91" spans="1:33">
      <c r="A91" s="113" t="s">
        <v>18793</v>
      </c>
      <c r="B91" s="113" t="s">
        <v>18781</v>
      </c>
      <c r="C91" s="113" t="s">
        <v>18769</v>
      </c>
      <c r="D91" s="113" t="s">
        <v>18782</v>
      </c>
      <c r="E91" s="113" t="s">
        <v>1544</v>
      </c>
      <c r="F91" s="113" t="s">
        <v>598</v>
      </c>
      <c r="G91" s="113" t="s">
        <v>599</v>
      </c>
      <c r="H91" s="113" t="s">
        <v>2266</v>
      </c>
      <c r="I91" s="113" t="s">
        <v>2267</v>
      </c>
      <c r="J91" s="113">
        <v>4.4700000000000002E-4</v>
      </c>
      <c r="K91" s="113">
        <v>4.5100000000000001E-4</v>
      </c>
      <c r="L91" s="113">
        <v>4.5600000000000003E-4</v>
      </c>
      <c r="M91" s="113">
        <v>4.6000000000000001E-4</v>
      </c>
      <c r="N91" s="113">
        <v>4.6500000000000003E-4</v>
      </c>
      <c r="O91" s="113">
        <v>4.6900000000000002E-4</v>
      </c>
      <c r="P91" s="113">
        <v>4.7399999999999997E-4</v>
      </c>
      <c r="Q91" s="113">
        <v>4.7899999999999999E-4</v>
      </c>
      <c r="R91" s="113">
        <v>4.8299999999999998E-4</v>
      </c>
      <c r="S91" s="113">
        <v>4.8799999999999999E-4</v>
      </c>
      <c r="T91" s="113">
        <v>4.9200000000000003E-4</v>
      </c>
      <c r="U91" s="113">
        <v>4.9700000000000005E-4</v>
      </c>
      <c r="V91" s="113">
        <v>5.0199999999999995E-4</v>
      </c>
      <c r="W91" s="113">
        <v>5.0600000000000005E-4</v>
      </c>
      <c r="X91" s="113">
        <v>5.1099999999999995E-4</v>
      </c>
      <c r="Y91" s="113">
        <v>5.1599999999999997E-4</v>
      </c>
      <c r="Z91" s="113">
        <v>5.1999999999999995E-4</v>
      </c>
      <c r="AA91" s="113">
        <v>5.2499999999999997E-4</v>
      </c>
      <c r="AB91" s="113">
        <v>5.2899999999999996E-4</v>
      </c>
      <c r="AC91" s="113">
        <v>5.3399999999999997E-4</v>
      </c>
      <c r="AD91" s="113">
        <v>5.3899999999999998E-4</v>
      </c>
      <c r="AE91" s="113">
        <v>5.4299999999999997E-4</v>
      </c>
      <c r="AF91" s="113">
        <v>5.4799999999999998E-4</v>
      </c>
      <c r="AG91" s="113">
        <v>5.53E-4</v>
      </c>
    </row>
    <row r="92" spans="1:33">
      <c r="A92" s="113" t="s">
        <v>18793</v>
      </c>
      <c r="B92" s="113" t="s">
        <v>18783</v>
      </c>
      <c r="C92" s="113" t="s">
        <v>18769</v>
      </c>
      <c r="D92" s="113" t="s">
        <v>18784</v>
      </c>
      <c r="E92" s="113" t="s">
        <v>1544</v>
      </c>
      <c r="F92" s="113" t="s">
        <v>598</v>
      </c>
      <c r="G92" s="113" t="s">
        <v>599</v>
      </c>
      <c r="H92" s="113" t="s">
        <v>2266</v>
      </c>
      <c r="I92" s="113" t="s">
        <v>2267</v>
      </c>
      <c r="J92" s="113">
        <v>4.4646999999999999E-2</v>
      </c>
      <c r="K92" s="113">
        <v>4.4717E-2</v>
      </c>
      <c r="L92" s="113">
        <v>4.4787E-2</v>
      </c>
      <c r="M92" s="113">
        <v>4.4858000000000002E-2</v>
      </c>
      <c r="N92" s="113">
        <v>4.4928999999999997E-2</v>
      </c>
      <c r="O92" s="113">
        <v>4.4999999999999998E-2</v>
      </c>
      <c r="P92" s="113">
        <v>4.5071E-2</v>
      </c>
      <c r="Q92" s="113">
        <v>4.5142000000000002E-2</v>
      </c>
      <c r="R92" s="113">
        <v>4.5213999999999997E-2</v>
      </c>
      <c r="S92" s="113">
        <v>4.5286E-2</v>
      </c>
      <c r="T92" s="113">
        <v>4.5358000000000002E-2</v>
      </c>
      <c r="U92" s="113">
        <v>4.5430999999999999E-2</v>
      </c>
      <c r="V92" s="113">
        <v>4.5504000000000003E-2</v>
      </c>
      <c r="W92" s="113">
        <v>4.5576999999999999E-2</v>
      </c>
      <c r="X92" s="113">
        <v>4.5650000000000003E-2</v>
      </c>
      <c r="Y92" s="113">
        <v>4.5721999999999999E-2</v>
      </c>
      <c r="Z92" s="113">
        <v>4.5795000000000002E-2</v>
      </c>
      <c r="AA92" s="113">
        <v>4.5867999999999999E-2</v>
      </c>
      <c r="AB92" s="113">
        <v>4.5941000000000003E-2</v>
      </c>
      <c r="AC92" s="113">
        <v>4.6013999999999999E-2</v>
      </c>
      <c r="AD92" s="113">
        <v>4.6087000000000003E-2</v>
      </c>
      <c r="AE92" s="113">
        <v>4.616E-2</v>
      </c>
      <c r="AF92" s="113">
        <v>4.6232000000000002E-2</v>
      </c>
      <c r="AG92" s="113">
        <v>4.6304999999999999E-2</v>
      </c>
    </row>
    <row r="93" spans="1:33">
      <c r="A93" s="113" t="s">
        <v>18793</v>
      </c>
      <c r="B93" s="113" t="s">
        <v>18785</v>
      </c>
      <c r="C93" s="113" t="s">
        <v>18769</v>
      </c>
      <c r="D93" s="113" t="s">
        <v>18786</v>
      </c>
      <c r="E93" s="113" t="s">
        <v>1544</v>
      </c>
      <c r="F93" s="113" t="s">
        <v>598</v>
      </c>
      <c r="G93" s="113" t="s">
        <v>599</v>
      </c>
      <c r="H93" s="113" t="s">
        <v>2266</v>
      </c>
      <c r="I93" s="113" t="s">
        <v>2267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3">
        <v>0</v>
      </c>
      <c r="R93" s="113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13">
        <v>0</v>
      </c>
      <c r="AG93" s="113">
        <v>0</v>
      </c>
    </row>
    <row r="94" spans="1:33">
      <c r="A94" s="113" t="s">
        <v>18793</v>
      </c>
      <c r="B94" s="113" t="s">
        <v>18768</v>
      </c>
      <c r="C94" s="113" t="s">
        <v>18769</v>
      </c>
      <c r="D94" s="113" t="s">
        <v>18770</v>
      </c>
      <c r="E94" s="113" t="s">
        <v>781</v>
      </c>
      <c r="F94" s="113" t="s">
        <v>598</v>
      </c>
      <c r="G94" s="113" t="s">
        <v>599</v>
      </c>
      <c r="H94" s="113" t="s">
        <v>2266</v>
      </c>
      <c r="I94" s="113" t="s">
        <v>2267</v>
      </c>
      <c r="J94" s="113">
        <v>4.3379000000000001E-2</v>
      </c>
      <c r="K94" s="113">
        <v>4.3379000000000001E-2</v>
      </c>
      <c r="L94" s="113">
        <v>4.3379000000000001E-2</v>
      </c>
      <c r="M94" s="113">
        <v>4.3379000000000001E-2</v>
      </c>
      <c r="N94" s="113">
        <v>4.3379000000000001E-2</v>
      </c>
      <c r="O94" s="113">
        <v>4.3379000000000001E-2</v>
      </c>
      <c r="P94" s="113">
        <v>4.3379000000000001E-2</v>
      </c>
      <c r="Q94" s="113">
        <v>4.3379000000000001E-2</v>
      </c>
      <c r="R94" s="113">
        <v>4.3379000000000001E-2</v>
      </c>
      <c r="S94" s="113">
        <v>4.3379000000000001E-2</v>
      </c>
      <c r="T94" s="113">
        <v>4.3379000000000001E-2</v>
      </c>
      <c r="U94" s="113">
        <v>4.3379000000000001E-2</v>
      </c>
      <c r="V94" s="113">
        <v>4.3379000000000001E-2</v>
      </c>
      <c r="W94" s="113">
        <v>4.3379000000000001E-2</v>
      </c>
      <c r="X94" s="113">
        <v>4.3379000000000001E-2</v>
      </c>
      <c r="Y94" s="113">
        <v>4.3379000000000001E-2</v>
      </c>
      <c r="Z94" s="113">
        <v>4.3379000000000001E-2</v>
      </c>
      <c r="AA94" s="113">
        <v>4.3379000000000001E-2</v>
      </c>
      <c r="AB94" s="113">
        <v>4.3379000000000001E-2</v>
      </c>
      <c r="AC94" s="113">
        <v>4.3379000000000001E-2</v>
      </c>
      <c r="AD94" s="113">
        <v>4.3379000000000001E-2</v>
      </c>
      <c r="AE94" s="113">
        <v>4.3379000000000001E-2</v>
      </c>
      <c r="AF94" s="113">
        <v>4.3379000000000001E-2</v>
      </c>
      <c r="AG94" s="113">
        <v>4.3379000000000001E-2</v>
      </c>
    </row>
    <row r="95" spans="1:33">
      <c r="A95" s="238" t="s">
        <v>18793</v>
      </c>
      <c r="B95" s="238" t="s">
        <v>18771</v>
      </c>
      <c r="C95" s="238" t="s">
        <v>18769</v>
      </c>
      <c r="D95" s="238" t="s">
        <v>18772</v>
      </c>
      <c r="E95" s="238" t="s">
        <v>781</v>
      </c>
      <c r="F95" s="238" t="s">
        <v>598</v>
      </c>
      <c r="G95" s="238" t="s">
        <v>599</v>
      </c>
      <c r="H95" s="238" t="s">
        <v>2266</v>
      </c>
      <c r="I95" s="238" t="s">
        <v>2267</v>
      </c>
      <c r="J95" s="238">
        <v>2.6927E-2</v>
      </c>
      <c r="K95" s="238">
        <v>2.7401999999999999E-2</v>
      </c>
      <c r="L95" s="238">
        <v>2.7868E-2</v>
      </c>
      <c r="M95" s="238">
        <v>2.8324999999999999E-2</v>
      </c>
      <c r="N95" s="238">
        <v>2.8801E-2</v>
      </c>
      <c r="O95" s="238">
        <v>2.9298999999999999E-2</v>
      </c>
      <c r="P95" s="238">
        <v>2.9808000000000001E-2</v>
      </c>
      <c r="Q95" s="238">
        <v>3.0336999999999999E-2</v>
      </c>
      <c r="R95" s="238">
        <v>3.0866999999999999E-2</v>
      </c>
      <c r="S95" s="238">
        <v>3.1391000000000002E-2</v>
      </c>
      <c r="T95" s="238">
        <v>3.1917000000000001E-2</v>
      </c>
      <c r="U95" s="238">
        <v>3.2446000000000003E-2</v>
      </c>
      <c r="V95" s="238">
        <v>3.2990999999999999E-2</v>
      </c>
      <c r="W95" s="238">
        <v>3.3536000000000003E-2</v>
      </c>
      <c r="X95" s="238">
        <v>3.4081E-2</v>
      </c>
      <c r="Y95" s="238">
        <v>3.4625999999999997E-2</v>
      </c>
      <c r="Z95" s="238">
        <v>3.5171000000000001E-2</v>
      </c>
      <c r="AA95" s="238">
        <v>3.5715999999999998E-2</v>
      </c>
      <c r="AB95" s="238">
        <v>3.6261000000000002E-2</v>
      </c>
      <c r="AC95" s="238">
        <v>3.6805999999999998E-2</v>
      </c>
      <c r="AD95" s="238">
        <v>3.7351000000000002E-2</v>
      </c>
      <c r="AE95" s="238">
        <v>3.7895999999999999E-2</v>
      </c>
      <c r="AF95" s="238">
        <v>3.8441000000000003E-2</v>
      </c>
      <c r="AG95" s="238">
        <v>3.8986E-2</v>
      </c>
    </row>
    <row r="96" spans="1:33" ht="15.75" thickBot="1">
      <c r="A96" s="239" t="s">
        <v>18793</v>
      </c>
      <c r="B96" s="239" t="s">
        <v>18773</v>
      </c>
      <c r="C96" s="239" t="s">
        <v>18769</v>
      </c>
      <c r="D96" s="239" t="s">
        <v>18774</v>
      </c>
      <c r="E96" s="239" t="s">
        <v>781</v>
      </c>
      <c r="F96" s="239" t="s">
        <v>598</v>
      </c>
      <c r="G96" s="239" t="s">
        <v>599</v>
      </c>
      <c r="H96" s="239" t="s">
        <v>2266</v>
      </c>
      <c r="I96" s="239" t="s">
        <v>2267</v>
      </c>
      <c r="J96" s="239">
        <v>3.1959000000000001E-2</v>
      </c>
      <c r="K96" s="239">
        <v>3.2259000000000003E-2</v>
      </c>
      <c r="L96" s="239">
        <v>3.2557999999999997E-2</v>
      </c>
      <c r="M96" s="239">
        <v>3.2857999999999998E-2</v>
      </c>
      <c r="N96" s="239">
        <v>3.3158E-2</v>
      </c>
      <c r="O96" s="239">
        <v>3.3458000000000002E-2</v>
      </c>
      <c r="P96" s="239">
        <v>3.3757000000000002E-2</v>
      </c>
      <c r="Q96" s="239">
        <v>3.4056999999999997E-2</v>
      </c>
      <c r="R96" s="239">
        <v>3.4356999999999999E-2</v>
      </c>
      <c r="S96" s="239">
        <v>3.4657E-2</v>
      </c>
      <c r="T96" s="239">
        <v>3.4957000000000002E-2</v>
      </c>
      <c r="U96" s="239">
        <v>3.5257999999999998E-2</v>
      </c>
      <c r="V96" s="239">
        <v>3.5557999999999999E-2</v>
      </c>
      <c r="W96" s="239">
        <v>3.5858000000000001E-2</v>
      </c>
      <c r="X96" s="239">
        <v>3.6158000000000003E-2</v>
      </c>
      <c r="Y96" s="239">
        <v>3.6457999999999997E-2</v>
      </c>
      <c r="Z96" s="239">
        <v>3.6757999999999999E-2</v>
      </c>
      <c r="AA96" s="239">
        <v>3.7058000000000001E-2</v>
      </c>
      <c r="AB96" s="239">
        <v>3.7359000000000003E-2</v>
      </c>
      <c r="AC96" s="239">
        <v>3.7658999999999998E-2</v>
      </c>
      <c r="AD96" s="239">
        <v>3.7959E-2</v>
      </c>
      <c r="AE96" s="239">
        <v>3.8259000000000001E-2</v>
      </c>
      <c r="AF96" s="239">
        <v>3.8559000000000003E-2</v>
      </c>
      <c r="AG96" s="239">
        <v>3.8858999999999998E-2</v>
      </c>
    </row>
    <row r="97" spans="1:33">
      <c r="A97" s="2" t="s">
        <v>18775</v>
      </c>
      <c r="J97" s="29">
        <f t="shared" ref="J97:AG97" si="40">SUM(J90:J96)</f>
        <v>0.14736504</v>
      </c>
      <c r="K97" s="29">
        <f t="shared" si="40"/>
        <v>0.14821403999999999</v>
      </c>
      <c r="L97" s="29">
        <f t="shared" si="40"/>
        <v>0.14905404</v>
      </c>
      <c r="M97" s="29">
        <f t="shared" si="40"/>
        <v>0.14988604</v>
      </c>
      <c r="N97" s="29">
        <f>SUM(N90:N96)</f>
        <v>0.15073803999999999</v>
      </c>
      <c r="O97" s="29">
        <f t="shared" si="40"/>
        <v>0.15161103999999997</v>
      </c>
      <c r="P97" s="29">
        <f t="shared" si="40"/>
        <v>0.15249504</v>
      </c>
      <c r="Q97" s="29">
        <f t="shared" si="40"/>
        <v>0.15340004000000002</v>
      </c>
      <c r="R97" s="29">
        <f t="shared" si="40"/>
        <v>0.15430604000000001</v>
      </c>
      <c r="S97" s="29">
        <f t="shared" si="40"/>
        <v>0.15520703999999999</v>
      </c>
      <c r="T97" s="29">
        <f t="shared" si="40"/>
        <v>0.15610904</v>
      </c>
      <c r="U97" s="29">
        <f t="shared" si="40"/>
        <v>0.15701704</v>
      </c>
      <c r="V97" s="29">
        <f t="shared" si="40"/>
        <v>0.15794004</v>
      </c>
      <c r="W97" s="29">
        <f t="shared" si="40"/>
        <v>0.15886204000000001</v>
      </c>
      <c r="X97" s="29">
        <f t="shared" si="40"/>
        <v>0.15978504000000002</v>
      </c>
      <c r="Y97" s="29">
        <f t="shared" si="40"/>
        <v>0.16070704</v>
      </c>
      <c r="Z97" s="29">
        <f t="shared" si="40"/>
        <v>0.16162904</v>
      </c>
      <c r="AA97" s="29">
        <f t="shared" si="40"/>
        <v>0.16255204000000001</v>
      </c>
      <c r="AB97" s="29">
        <f t="shared" si="40"/>
        <v>0.16347503999999999</v>
      </c>
      <c r="AC97" s="29">
        <f t="shared" si="40"/>
        <v>0.16439804</v>
      </c>
      <c r="AD97" s="29">
        <f t="shared" si="40"/>
        <v>0.16532104</v>
      </c>
      <c r="AE97" s="29">
        <f t="shared" si="40"/>
        <v>0.16624304000000001</v>
      </c>
      <c r="AF97" s="29">
        <f t="shared" si="40"/>
        <v>0.16716504000000001</v>
      </c>
      <c r="AG97" s="29">
        <f t="shared" si="40"/>
        <v>0.16808803999999999</v>
      </c>
    </row>
    <row r="99" spans="1:33" ht="15.75" thickBot="1">
      <c r="A99" s="235" t="s">
        <v>569</v>
      </c>
      <c r="B99" s="235" t="s">
        <v>570</v>
      </c>
      <c r="C99" s="235" t="s">
        <v>571</v>
      </c>
      <c r="D99" s="235" t="s">
        <v>572</v>
      </c>
      <c r="E99" s="235" t="s">
        <v>573</v>
      </c>
      <c r="F99" s="235" t="s">
        <v>574</v>
      </c>
      <c r="G99" s="235" t="s">
        <v>575</v>
      </c>
      <c r="H99" s="235" t="s">
        <v>576</v>
      </c>
      <c r="I99" s="235" t="s">
        <v>577</v>
      </c>
      <c r="J99" s="235">
        <v>2023</v>
      </c>
      <c r="K99" s="235">
        <v>2024</v>
      </c>
      <c r="L99" s="235">
        <v>2025</v>
      </c>
      <c r="M99" s="235">
        <v>2026</v>
      </c>
      <c r="N99" s="235">
        <v>2027</v>
      </c>
      <c r="O99" s="235">
        <v>2028</v>
      </c>
      <c r="P99" s="235">
        <v>2029</v>
      </c>
      <c r="Q99" s="235">
        <v>2030</v>
      </c>
      <c r="R99" s="235">
        <v>2031</v>
      </c>
      <c r="S99" s="235">
        <v>2032</v>
      </c>
      <c r="T99" s="235">
        <v>2033</v>
      </c>
      <c r="U99" s="235">
        <v>2034</v>
      </c>
      <c r="V99" s="235">
        <v>2035</v>
      </c>
      <c r="W99" s="235">
        <v>2036</v>
      </c>
      <c r="X99" s="235">
        <v>2037</v>
      </c>
      <c r="Y99" s="235">
        <v>2038</v>
      </c>
      <c r="Z99" s="235">
        <v>2039</v>
      </c>
      <c r="AA99" s="235">
        <v>2040</v>
      </c>
      <c r="AB99" s="235">
        <v>2041</v>
      </c>
      <c r="AC99" s="235">
        <v>2042</v>
      </c>
      <c r="AD99" s="235">
        <v>2043</v>
      </c>
      <c r="AE99" s="235">
        <v>2044</v>
      </c>
      <c r="AF99" s="235">
        <v>2045</v>
      </c>
      <c r="AG99" s="235">
        <v>2046</v>
      </c>
    </row>
    <row r="100" spans="1:33">
      <c r="A100" s="113" t="s">
        <v>18794</v>
      </c>
      <c r="B100" s="113" t="s">
        <v>18783</v>
      </c>
      <c r="C100" s="113" t="s">
        <v>18769</v>
      </c>
      <c r="D100" s="113" t="s">
        <v>18784</v>
      </c>
      <c r="E100" s="113" t="s">
        <v>1544</v>
      </c>
      <c r="F100" s="113" t="s">
        <v>598</v>
      </c>
      <c r="G100" s="113" t="s">
        <v>599</v>
      </c>
      <c r="H100" s="113" t="s">
        <v>2266</v>
      </c>
      <c r="I100" s="113" t="s">
        <v>2267</v>
      </c>
      <c r="J100" s="113">
        <v>1.0392999999999999E-2</v>
      </c>
      <c r="K100" s="113">
        <v>1.0414E-2</v>
      </c>
      <c r="L100" s="113">
        <v>1.0435E-2</v>
      </c>
      <c r="M100" s="113">
        <v>1.0467000000000001E-2</v>
      </c>
      <c r="N100" s="113">
        <v>1.0488000000000001E-2</v>
      </c>
      <c r="O100" s="113">
        <v>1.0508999999999999E-2</v>
      </c>
      <c r="P100" s="113">
        <v>1.0529999999999999E-2</v>
      </c>
      <c r="Q100" s="113">
        <v>1.0562E-2</v>
      </c>
      <c r="R100" s="113">
        <v>1.0583E-2</v>
      </c>
      <c r="S100" s="113">
        <v>1.0583E-2</v>
      </c>
      <c r="T100" s="113">
        <v>1.0583E-2</v>
      </c>
      <c r="U100" s="113">
        <v>1.0593E-2</v>
      </c>
      <c r="V100" s="113">
        <v>1.0593E-2</v>
      </c>
      <c r="W100" s="113">
        <v>1.0593E-2</v>
      </c>
      <c r="X100" s="113">
        <v>1.0593E-2</v>
      </c>
      <c r="Y100" s="113">
        <v>1.0593E-2</v>
      </c>
      <c r="Z100" s="113">
        <v>1.0593E-2</v>
      </c>
      <c r="AA100" s="113">
        <v>1.0593E-2</v>
      </c>
      <c r="AB100" s="113">
        <v>1.0593E-2</v>
      </c>
      <c r="AC100" s="113">
        <v>1.0593E-2</v>
      </c>
      <c r="AD100" s="113">
        <v>1.0593E-2</v>
      </c>
      <c r="AE100" s="113">
        <v>1.0593E-2</v>
      </c>
      <c r="AF100" s="113">
        <v>1.0593E-2</v>
      </c>
      <c r="AG100" s="113">
        <v>1.0593E-2</v>
      </c>
    </row>
    <row r="101" spans="1:33">
      <c r="A101" s="113" t="s">
        <v>18794</v>
      </c>
      <c r="B101" s="113" t="s">
        <v>18785</v>
      </c>
      <c r="C101" s="113" t="s">
        <v>18769</v>
      </c>
      <c r="D101" s="113" t="s">
        <v>18786</v>
      </c>
      <c r="E101" s="113" t="s">
        <v>1544</v>
      </c>
      <c r="F101" s="113" t="s">
        <v>598</v>
      </c>
      <c r="G101" s="113" t="s">
        <v>599</v>
      </c>
      <c r="H101" s="113" t="s">
        <v>2266</v>
      </c>
      <c r="I101" s="113" t="s">
        <v>2267</v>
      </c>
      <c r="J101" s="113">
        <v>2.5999999999999998E-4</v>
      </c>
      <c r="K101" s="113">
        <v>2.5099999999999998E-4</v>
      </c>
      <c r="L101" s="113">
        <v>2.42E-4</v>
      </c>
      <c r="M101" s="113">
        <v>2.34E-4</v>
      </c>
      <c r="N101" s="113">
        <v>2.2699999999999999E-4</v>
      </c>
      <c r="O101" s="113">
        <v>2.1900000000000001E-4</v>
      </c>
      <c r="P101" s="113">
        <v>2.12E-4</v>
      </c>
      <c r="Q101" s="113">
        <v>2.04E-4</v>
      </c>
      <c r="R101" s="113">
        <v>1.9900000000000001E-4</v>
      </c>
      <c r="S101" s="113">
        <v>1.94E-4</v>
      </c>
      <c r="T101" s="113">
        <v>1.8900000000000001E-4</v>
      </c>
      <c r="U101" s="113">
        <v>1.84E-4</v>
      </c>
      <c r="V101" s="113">
        <v>1.7899999999999999E-4</v>
      </c>
      <c r="W101" s="113">
        <v>1.74E-4</v>
      </c>
      <c r="X101" s="113">
        <v>1.6899999999999999E-4</v>
      </c>
      <c r="Y101" s="113">
        <v>1.64E-4</v>
      </c>
      <c r="Z101" s="113">
        <v>1.5899999999999999E-4</v>
      </c>
      <c r="AA101" s="113">
        <v>1.54E-4</v>
      </c>
      <c r="AB101" s="113">
        <v>1.4899999999999999E-4</v>
      </c>
      <c r="AC101" s="113">
        <v>1.44E-4</v>
      </c>
      <c r="AD101" s="113">
        <v>1.3899999999999999E-4</v>
      </c>
      <c r="AE101" s="113">
        <v>1.34E-4</v>
      </c>
      <c r="AF101" s="113">
        <v>1.2899999999999999E-4</v>
      </c>
      <c r="AG101" s="113">
        <v>1.2400000000000001E-4</v>
      </c>
    </row>
    <row r="102" spans="1:33">
      <c r="A102" s="113" t="s">
        <v>18794</v>
      </c>
      <c r="B102" s="113" t="s">
        <v>18768</v>
      </c>
      <c r="C102" s="113" t="s">
        <v>18769</v>
      </c>
      <c r="D102" s="113" t="s">
        <v>18770</v>
      </c>
      <c r="E102" s="113" t="s">
        <v>781</v>
      </c>
      <c r="F102" s="113" t="s">
        <v>598</v>
      </c>
      <c r="G102" s="113" t="s">
        <v>599</v>
      </c>
      <c r="H102" s="113" t="s">
        <v>2266</v>
      </c>
      <c r="I102" s="113" t="s">
        <v>2267</v>
      </c>
      <c r="J102" s="113">
        <v>1.3285769999999999</v>
      </c>
      <c r="K102" s="113">
        <v>1.3440259999999999</v>
      </c>
      <c r="L102" s="113">
        <v>1.3587389999999999</v>
      </c>
      <c r="M102" s="113">
        <v>1.372716</v>
      </c>
      <c r="N102" s="113">
        <v>1.387429</v>
      </c>
      <c r="O102" s="113">
        <v>1.4014059999999999</v>
      </c>
      <c r="P102" s="113">
        <v>1.415384</v>
      </c>
      <c r="Q102" s="113">
        <v>1.430097</v>
      </c>
      <c r="R102" s="113">
        <v>1.4440740000000001</v>
      </c>
      <c r="S102" s="113">
        <v>1.458051</v>
      </c>
      <c r="T102" s="113">
        <v>1.4720279999999999</v>
      </c>
      <c r="U102" s="113">
        <v>1.4867410000000001</v>
      </c>
      <c r="V102" s="113">
        <v>1.5007189999999999</v>
      </c>
      <c r="W102" s="113">
        <v>1.5169029999999999</v>
      </c>
      <c r="X102" s="113">
        <v>1.5330870000000001</v>
      </c>
      <c r="Y102" s="113">
        <v>1.5492710000000001</v>
      </c>
      <c r="Z102" s="113">
        <v>1.565456</v>
      </c>
      <c r="AA102" s="113">
        <v>1.5816399999999999</v>
      </c>
      <c r="AB102" s="113">
        <v>1.5978239999999999</v>
      </c>
      <c r="AC102" s="113">
        <v>1.6140080000000001</v>
      </c>
      <c r="AD102" s="113">
        <v>1.6301920000000001</v>
      </c>
      <c r="AE102" s="113">
        <v>1.646377</v>
      </c>
      <c r="AF102" s="113">
        <v>1.662561</v>
      </c>
      <c r="AG102" s="113">
        <v>1.6780090000000001</v>
      </c>
    </row>
    <row r="103" spans="1:33">
      <c r="A103" s="113" t="s">
        <v>18794</v>
      </c>
      <c r="B103" s="113" t="s">
        <v>18795</v>
      </c>
      <c r="C103" s="113" t="s">
        <v>18769</v>
      </c>
      <c r="D103" s="113" t="s">
        <v>18770</v>
      </c>
      <c r="E103" s="113" t="s">
        <v>894</v>
      </c>
      <c r="F103" s="113" t="s">
        <v>598</v>
      </c>
      <c r="G103" s="113" t="s">
        <v>599</v>
      </c>
      <c r="H103" s="113" t="s">
        <v>2266</v>
      </c>
      <c r="I103" s="113" t="s">
        <v>2267</v>
      </c>
      <c r="J103" s="113">
        <v>1.838E-3</v>
      </c>
      <c r="K103" s="113">
        <v>1.838E-3</v>
      </c>
      <c r="L103" s="113">
        <v>1.838E-3</v>
      </c>
      <c r="M103" s="113">
        <v>1.838E-3</v>
      </c>
      <c r="N103" s="113">
        <v>1.838E-3</v>
      </c>
      <c r="O103" s="113">
        <v>1.838E-3</v>
      </c>
      <c r="P103" s="113">
        <v>1.838E-3</v>
      </c>
      <c r="Q103" s="113">
        <v>1.838E-3</v>
      </c>
      <c r="R103" s="113">
        <v>1.838E-3</v>
      </c>
      <c r="S103" s="113">
        <v>1.838E-3</v>
      </c>
      <c r="T103" s="113">
        <v>1.838E-3</v>
      </c>
      <c r="U103" s="113">
        <v>1.838E-3</v>
      </c>
      <c r="V103" s="113">
        <v>1.838E-3</v>
      </c>
      <c r="W103" s="113">
        <v>1.838E-3</v>
      </c>
      <c r="X103" s="113">
        <v>1.838E-3</v>
      </c>
      <c r="Y103" s="113">
        <v>1.838E-3</v>
      </c>
      <c r="Z103" s="113">
        <v>1.838E-3</v>
      </c>
      <c r="AA103" s="113">
        <v>1.838E-3</v>
      </c>
      <c r="AB103" s="113">
        <v>1.838E-3</v>
      </c>
      <c r="AC103" s="113">
        <v>1.838E-3</v>
      </c>
      <c r="AD103" s="113">
        <v>1.838E-3</v>
      </c>
      <c r="AE103" s="113">
        <v>1.838E-3</v>
      </c>
      <c r="AF103" s="113">
        <v>1.838E-3</v>
      </c>
      <c r="AG103" s="113">
        <v>1.838E-3</v>
      </c>
    </row>
    <row r="104" spans="1:33">
      <c r="A104" s="113" t="s">
        <v>18794</v>
      </c>
      <c r="B104" s="113" t="s">
        <v>18771</v>
      </c>
      <c r="C104" s="113" t="s">
        <v>18769</v>
      </c>
      <c r="D104" s="113" t="s">
        <v>18772</v>
      </c>
      <c r="E104" s="113" t="s">
        <v>781</v>
      </c>
      <c r="F104" s="113" t="s">
        <v>598</v>
      </c>
      <c r="G104" s="113" t="s">
        <v>599</v>
      </c>
      <c r="H104" s="113" t="s">
        <v>2266</v>
      </c>
      <c r="I104" s="113" t="s">
        <v>2267</v>
      </c>
      <c r="J104" s="113">
        <v>3.6031000000000001E-2</v>
      </c>
      <c r="K104" s="113">
        <v>3.6031000000000001E-2</v>
      </c>
      <c r="L104" s="113">
        <v>3.6031000000000001E-2</v>
      </c>
      <c r="M104" s="113">
        <v>3.6031000000000001E-2</v>
      </c>
      <c r="N104" s="113">
        <v>3.6031000000000001E-2</v>
      </c>
      <c r="O104" s="113">
        <v>3.6031000000000001E-2</v>
      </c>
      <c r="P104" s="113">
        <v>3.6031000000000001E-2</v>
      </c>
      <c r="Q104" s="113">
        <v>3.6031000000000001E-2</v>
      </c>
      <c r="R104" s="113">
        <v>3.6031000000000001E-2</v>
      </c>
      <c r="S104" s="113">
        <v>3.6031000000000001E-2</v>
      </c>
      <c r="T104" s="113">
        <v>3.6031000000000001E-2</v>
      </c>
      <c r="U104" s="113">
        <v>3.6031000000000001E-2</v>
      </c>
      <c r="V104" s="113">
        <v>3.6031000000000001E-2</v>
      </c>
      <c r="W104" s="113">
        <v>3.6031000000000001E-2</v>
      </c>
      <c r="X104" s="113">
        <v>3.6031000000000001E-2</v>
      </c>
      <c r="Y104" s="113">
        <v>3.6031000000000001E-2</v>
      </c>
      <c r="Z104" s="113">
        <v>3.6031000000000001E-2</v>
      </c>
      <c r="AA104" s="113">
        <v>3.6031000000000001E-2</v>
      </c>
      <c r="AB104" s="113">
        <v>3.6031000000000001E-2</v>
      </c>
      <c r="AC104" s="113">
        <v>3.6031000000000001E-2</v>
      </c>
      <c r="AD104" s="113">
        <v>3.6031000000000001E-2</v>
      </c>
      <c r="AE104" s="113">
        <v>3.6031000000000001E-2</v>
      </c>
      <c r="AF104" s="113">
        <v>3.6031000000000001E-2</v>
      </c>
      <c r="AG104" s="113">
        <v>3.6031000000000001E-2</v>
      </c>
    </row>
    <row r="105" spans="1:33">
      <c r="A105" s="113" t="s">
        <v>18794</v>
      </c>
      <c r="B105" s="113" t="s">
        <v>18796</v>
      </c>
      <c r="C105" s="113" t="s">
        <v>18769</v>
      </c>
      <c r="D105" s="113" t="s">
        <v>18772</v>
      </c>
      <c r="E105" s="113" t="s">
        <v>784</v>
      </c>
      <c r="F105" s="113" t="s">
        <v>598</v>
      </c>
      <c r="G105" s="113" t="s">
        <v>599</v>
      </c>
      <c r="H105" s="113" t="s">
        <v>2266</v>
      </c>
      <c r="I105" s="113" t="s">
        <v>2267</v>
      </c>
      <c r="J105" s="113">
        <v>2.7499999999999998E-3</v>
      </c>
      <c r="K105" s="113">
        <v>2.7910000000000001E-3</v>
      </c>
      <c r="L105" s="113">
        <v>2.8279999999999998E-3</v>
      </c>
      <c r="M105" s="113">
        <v>2.869E-3</v>
      </c>
      <c r="N105" s="113">
        <v>2.9060000000000002E-3</v>
      </c>
      <c r="O105" s="113">
        <v>2.9459999999999998E-3</v>
      </c>
      <c r="P105" s="113">
        <v>2.9870000000000001E-3</v>
      </c>
      <c r="Q105" s="113">
        <v>3.0240000000000002E-3</v>
      </c>
      <c r="R105" s="113">
        <v>3.065E-3</v>
      </c>
      <c r="S105" s="113">
        <v>3.0690000000000001E-3</v>
      </c>
      <c r="T105" s="113">
        <v>3.0769999999999999E-3</v>
      </c>
      <c r="U105" s="113">
        <v>3.0850000000000001E-3</v>
      </c>
      <c r="V105" s="113">
        <v>3.094E-3</v>
      </c>
      <c r="W105" s="113">
        <v>3.1020000000000002E-3</v>
      </c>
      <c r="X105" s="113">
        <v>3.1099999999999999E-3</v>
      </c>
      <c r="Y105" s="113">
        <v>3.1099999999999999E-3</v>
      </c>
      <c r="Z105" s="113">
        <v>3.1099999999999999E-3</v>
      </c>
      <c r="AA105" s="113">
        <v>3.1099999999999999E-3</v>
      </c>
      <c r="AB105" s="113">
        <v>3.1099999999999999E-3</v>
      </c>
      <c r="AC105" s="113">
        <v>3.1099999999999999E-3</v>
      </c>
      <c r="AD105" s="113">
        <v>3.1099999999999999E-3</v>
      </c>
      <c r="AE105" s="113">
        <v>3.1099999999999999E-3</v>
      </c>
      <c r="AF105" s="113">
        <v>3.1099999999999999E-3</v>
      </c>
      <c r="AG105" s="113">
        <v>3.1099999999999999E-3</v>
      </c>
    </row>
    <row r="106" spans="1:33">
      <c r="A106" s="113" t="s">
        <v>18794</v>
      </c>
      <c r="B106" s="113" t="s">
        <v>18773</v>
      </c>
      <c r="C106" s="113" t="s">
        <v>18769</v>
      </c>
      <c r="D106" s="113" t="s">
        <v>18774</v>
      </c>
      <c r="E106" s="113" t="s">
        <v>781</v>
      </c>
      <c r="F106" s="113" t="s">
        <v>598</v>
      </c>
      <c r="G106" s="113" t="s">
        <v>599</v>
      </c>
      <c r="H106" s="113" t="s">
        <v>2266</v>
      </c>
      <c r="I106" s="113" t="s">
        <v>2267</v>
      </c>
      <c r="J106" s="113">
        <v>2.6489999999999999E-3</v>
      </c>
      <c r="K106" s="113">
        <v>2.6489999999999999E-3</v>
      </c>
      <c r="L106" s="113">
        <v>2.6489999999999999E-3</v>
      </c>
      <c r="M106" s="113">
        <v>2.6489999999999999E-3</v>
      </c>
      <c r="N106" s="113">
        <v>2.6489999999999999E-3</v>
      </c>
      <c r="O106" s="113">
        <v>2.6489999999999999E-3</v>
      </c>
      <c r="P106" s="113">
        <v>2.6489999999999999E-3</v>
      </c>
      <c r="Q106" s="113">
        <v>2.6489999999999999E-3</v>
      </c>
      <c r="R106" s="113">
        <v>2.6489999999999999E-3</v>
      </c>
      <c r="S106" s="113">
        <v>2.6489999999999999E-3</v>
      </c>
      <c r="T106" s="113">
        <v>2.6489999999999999E-3</v>
      </c>
      <c r="U106" s="113">
        <v>2.6489999999999999E-3</v>
      </c>
      <c r="V106" s="113">
        <v>2.6489999999999999E-3</v>
      </c>
      <c r="W106" s="113">
        <v>2.6489999999999999E-3</v>
      </c>
      <c r="X106" s="113">
        <v>2.6489999999999999E-3</v>
      </c>
      <c r="Y106" s="113">
        <v>2.6489999999999999E-3</v>
      </c>
      <c r="Z106" s="113">
        <v>2.6489999999999999E-3</v>
      </c>
      <c r="AA106" s="113">
        <v>2.6489999999999999E-3</v>
      </c>
      <c r="AB106" s="113">
        <v>2.6489999999999999E-3</v>
      </c>
      <c r="AC106" s="113">
        <v>2.6489999999999999E-3</v>
      </c>
      <c r="AD106" s="113">
        <v>2.6489999999999999E-3</v>
      </c>
      <c r="AE106" s="113">
        <v>2.6489999999999999E-3</v>
      </c>
      <c r="AF106" s="113">
        <v>2.6489999999999999E-3</v>
      </c>
      <c r="AG106" s="113">
        <v>2.6489999999999999E-3</v>
      </c>
    </row>
    <row r="107" spans="1:33" ht="15.75" thickBot="1">
      <c r="A107" s="236" t="s">
        <v>18794</v>
      </c>
      <c r="B107" s="236" t="s">
        <v>18797</v>
      </c>
      <c r="C107" s="236" t="s">
        <v>18769</v>
      </c>
      <c r="D107" s="236" t="s">
        <v>18774</v>
      </c>
      <c r="E107" s="236" t="s">
        <v>784</v>
      </c>
      <c r="F107" s="236" t="s">
        <v>598</v>
      </c>
      <c r="G107" s="236" t="s">
        <v>599</v>
      </c>
      <c r="H107" s="236" t="s">
        <v>2266</v>
      </c>
      <c r="I107" s="236" t="s">
        <v>2267</v>
      </c>
      <c r="J107" s="236">
        <v>7.3379999999999999E-3</v>
      </c>
      <c r="K107" s="236">
        <v>7.3530000000000002E-3</v>
      </c>
      <c r="L107" s="236">
        <v>7.3680000000000004E-3</v>
      </c>
      <c r="M107" s="236">
        <v>7.3899999999999999E-3</v>
      </c>
      <c r="N107" s="236">
        <v>7.4050000000000001E-3</v>
      </c>
      <c r="O107" s="236">
        <v>7.4200000000000004E-3</v>
      </c>
      <c r="P107" s="236">
        <v>7.4349999999999998E-3</v>
      </c>
      <c r="Q107" s="236">
        <v>7.4570000000000001E-3</v>
      </c>
      <c r="R107" s="236">
        <v>7.4720000000000003E-3</v>
      </c>
      <c r="S107" s="236">
        <v>7.4720000000000003E-3</v>
      </c>
      <c r="T107" s="236">
        <v>7.4720000000000003E-3</v>
      </c>
      <c r="U107" s="236">
        <v>7.4790000000000004E-3</v>
      </c>
      <c r="V107" s="236">
        <v>7.4790000000000004E-3</v>
      </c>
      <c r="W107" s="236">
        <v>7.4790000000000004E-3</v>
      </c>
      <c r="X107" s="236">
        <v>7.4790000000000004E-3</v>
      </c>
      <c r="Y107" s="236">
        <v>7.4790000000000004E-3</v>
      </c>
      <c r="Z107" s="236">
        <v>7.4790000000000004E-3</v>
      </c>
      <c r="AA107" s="236">
        <v>7.4790000000000004E-3</v>
      </c>
      <c r="AB107" s="236">
        <v>7.4790000000000004E-3</v>
      </c>
      <c r="AC107" s="236">
        <v>7.4790000000000004E-3</v>
      </c>
      <c r="AD107" s="236">
        <v>7.4790000000000004E-3</v>
      </c>
      <c r="AE107" s="236">
        <v>7.4790000000000004E-3</v>
      </c>
      <c r="AF107" s="236">
        <v>7.4790000000000004E-3</v>
      </c>
      <c r="AG107" s="236">
        <v>7.4790000000000004E-3</v>
      </c>
    </row>
    <row r="108" spans="1:33">
      <c r="A108" s="2" t="s">
        <v>18775</v>
      </c>
      <c r="J108">
        <f t="shared" ref="J108:AG108" si="41">SUM(J100:J107)</f>
        <v>1.3898359999999998</v>
      </c>
      <c r="K108">
        <f t="shared" si="41"/>
        <v>1.4053529999999996</v>
      </c>
      <c r="L108">
        <f t="shared" si="41"/>
        <v>1.4201299999999999</v>
      </c>
      <c r="M108">
        <f t="shared" si="41"/>
        <v>1.434194</v>
      </c>
      <c r="N108">
        <f t="shared" si="41"/>
        <v>1.4489730000000001</v>
      </c>
      <c r="O108">
        <f t="shared" si="41"/>
        <v>1.4630179999999997</v>
      </c>
      <c r="P108">
        <f t="shared" si="41"/>
        <v>1.477066</v>
      </c>
      <c r="Q108">
        <f t="shared" si="41"/>
        <v>1.4918619999999998</v>
      </c>
      <c r="R108">
        <f t="shared" si="41"/>
        <v>1.505911</v>
      </c>
      <c r="S108">
        <f t="shared" si="41"/>
        <v>1.5198869999999998</v>
      </c>
      <c r="T108">
        <f t="shared" si="41"/>
        <v>1.5338669999999996</v>
      </c>
      <c r="U108">
        <f t="shared" si="41"/>
        <v>1.5486</v>
      </c>
      <c r="V108">
        <f t="shared" si="41"/>
        <v>1.5625819999999997</v>
      </c>
      <c r="W108">
        <f t="shared" si="41"/>
        <v>1.5787689999999996</v>
      </c>
      <c r="X108">
        <f t="shared" si="41"/>
        <v>1.5949559999999998</v>
      </c>
      <c r="Y108">
        <f t="shared" si="41"/>
        <v>1.6111349999999998</v>
      </c>
      <c r="Z108">
        <f t="shared" si="41"/>
        <v>1.6273149999999998</v>
      </c>
      <c r="AA108">
        <f t="shared" si="41"/>
        <v>1.6434939999999998</v>
      </c>
      <c r="AB108">
        <f t="shared" si="41"/>
        <v>1.6596729999999997</v>
      </c>
      <c r="AC108">
        <f t="shared" si="41"/>
        <v>1.6758519999999999</v>
      </c>
      <c r="AD108">
        <f t="shared" si="41"/>
        <v>1.6920309999999998</v>
      </c>
      <c r="AE108">
        <f t="shared" si="41"/>
        <v>1.7082109999999997</v>
      </c>
      <c r="AF108">
        <f t="shared" si="41"/>
        <v>1.7243899999999996</v>
      </c>
      <c r="AG108">
        <f t="shared" si="41"/>
        <v>1.739833</v>
      </c>
    </row>
    <row r="110" spans="1:33" ht="15.75" thickBot="1">
      <c r="A110" s="235" t="s">
        <v>569</v>
      </c>
      <c r="B110" s="235" t="s">
        <v>570</v>
      </c>
      <c r="C110" s="235" t="s">
        <v>571</v>
      </c>
      <c r="D110" s="235" t="s">
        <v>572</v>
      </c>
      <c r="E110" s="235" t="s">
        <v>573</v>
      </c>
      <c r="F110" s="235" t="s">
        <v>574</v>
      </c>
      <c r="G110" s="235" t="s">
        <v>575</v>
      </c>
      <c r="H110" s="235" t="s">
        <v>576</v>
      </c>
      <c r="I110" s="235" t="s">
        <v>577</v>
      </c>
      <c r="J110" s="235">
        <v>2023</v>
      </c>
      <c r="K110" s="235">
        <v>2024</v>
      </c>
      <c r="L110" s="235">
        <v>2025</v>
      </c>
      <c r="M110" s="235">
        <v>2026</v>
      </c>
      <c r="N110" s="235">
        <v>2027</v>
      </c>
      <c r="O110" s="235">
        <v>2028</v>
      </c>
      <c r="P110" s="235">
        <v>2029</v>
      </c>
      <c r="Q110" s="235">
        <v>2030</v>
      </c>
      <c r="R110" s="235">
        <v>2031</v>
      </c>
      <c r="S110" s="235">
        <v>2032</v>
      </c>
      <c r="T110" s="235">
        <v>2033</v>
      </c>
      <c r="U110" s="235">
        <v>2034</v>
      </c>
      <c r="V110" s="235">
        <v>2035</v>
      </c>
      <c r="W110" s="235">
        <v>2036</v>
      </c>
      <c r="X110" s="235">
        <v>2037</v>
      </c>
      <c r="Y110" s="235">
        <v>2038</v>
      </c>
      <c r="Z110" s="235">
        <v>2039</v>
      </c>
      <c r="AA110" s="235">
        <v>2040</v>
      </c>
      <c r="AB110" s="235">
        <v>2041</v>
      </c>
      <c r="AC110" s="235">
        <v>2042</v>
      </c>
      <c r="AD110" s="235">
        <v>2043</v>
      </c>
      <c r="AE110" s="235">
        <v>2044</v>
      </c>
      <c r="AF110" s="235">
        <v>2045</v>
      </c>
      <c r="AG110" s="235">
        <v>2046</v>
      </c>
    </row>
    <row r="111" spans="1:33">
      <c r="A111" s="113" t="s">
        <v>18798</v>
      </c>
      <c r="B111" s="113" t="s">
        <v>18779</v>
      </c>
      <c r="C111" s="113" t="s">
        <v>18769</v>
      </c>
      <c r="D111" s="113" t="s">
        <v>18780</v>
      </c>
      <c r="E111" s="113" t="s">
        <v>1544</v>
      </c>
      <c r="F111" s="113" t="s">
        <v>598</v>
      </c>
      <c r="G111" s="113" t="s">
        <v>599</v>
      </c>
      <c r="H111" s="113" t="s">
        <v>2266</v>
      </c>
      <c r="I111" s="113" t="s">
        <v>2267</v>
      </c>
      <c r="J111" s="113">
        <v>5.0199999999999995E-4</v>
      </c>
      <c r="K111" s="113">
        <v>5.0199999999999995E-4</v>
      </c>
      <c r="L111" s="113">
        <v>5.0199999999999995E-4</v>
      </c>
      <c r="M111" s="113">
        <v>5.0199999999999995E-4</v>
      </c>
      <c r="N111" s="113">
        <v>5.0199999999999995E-4</v>
      </c>
      <c r="O111" s="113">
        <v>5.0199999999999995E-4</v>
      </c>
      <c r="P111" s="113">
        <v>5.0199999999999995E-4</v>
      </c>
      <c r="Q111" s="113">
        <v>5.0199999999999995E-4</v>
      </c>
      <c r="R111" s="113">
        <v>5.0199999999999995E-4</v>
      </c>
      <c r="S111" s="113">
        <v>5.0199999999999995E-4</v>
      </c>
      <c r="T111" s="113">
        <v>5.0199999999999995E-4</v>
      </c>
      <c r="U111" s="113">
        <v>5.0199999999999995E-4</v>
      </c>
      <c r="V111" s="113">
        <v>5.0199999999999995E-4</v>
      </c>
      <c r="W111" s="113">
        <v>5.0199999999999995E-4</v>
      </c>
      <c r="X111" s="113">
        <v>5.0199999999999995E-4</v>
      </c>
      <c r="Y111" s="113">
        <v>5.0199999999999995E-4</v>
      </c>
      <c r="Z111" s="113">
        <v>5.0199999999999995E-4</v>
      </c>
      <c r="AA111" s="113">
        <v>5.0199999999999995E-4</v>
      </c>
      <c r="AB111" s="113">
        <v>5.0199999999999995E-4</v>
      </c>
      <c r="AC111" s="113">
        <v>5.0199999999999995E-4</v>
      </c>
      <c r="AD111" s="113">
        <v>5.0199999999999995E-4</v>
      </c>
      <c r="AE111" s="113">
        <v>5.0199999999999995E-4</v>
      </c>
      <c r="AF111" s="113">
        <v>5.0199999999999995E-4</v>
      </c>
      <c r="AG111" s="113">
        <v>5.0199999999999995E-4</v>
      </c>
    </row>
    <row r="112" spans="1:33">
      <c r="A112" s="113" t="s">
        <v>18798</v>
      </c>
      <c r="B112" s="113" t="s">
        <v>18783</v>
      </c>
      <c r="C112" s="113" t="s">
        <v>18769</v>
      </c>
      <c r="D112" s="113" t="s">
        <v>18784</v>
      </c>
      <c r="E112" s="113" t="s">
        <v>1544</v>
      </c>
      <c r="F112" s="113" t="s">
        <v>598</v>
      </c>
      <c r="G112" s="113" t="s">
        <v>599</v>
      </c>
      <c r="H112" s="113" t="s">
        <v>2266</v>
      </c>
      <c r="I112" s="113" t="s">
        <v>2267</v>
      </c>
      <c r="J112" s="113">
        <v>3.5920000000000001E-3</v>
      </c>
      <c r="K112" s="113">
        <v>3.6059999999999998E-3</v>
      </c>
      <c r="L112" s="113">
        <v>3.6210000000000001E-3</v>
      </c>
      <c r="M112" s="113">
        <v>3.6359999999999999E-3</v>
      </c>
      <c r="N112" s="113">
        <v>3.65E-3</v>
      </c>
      <c r="O112" s="113">
        <v>3.6649999999999999E-3</v>
      </c>
      <c r="P112" s="113">
        <v>3.6800000000000001E-3</v>
      </c>
      <c r="Q112" s="113">
        <v>3.6949999999999999E-3</v>
      </c>
      <c r="R112" s="113">
        <v>3.7090000000000001E-3</v>
      </c>
      <c r="S112" s="113">
        <v>3.7239999999999999E-3</v>
      </c>
      <c r="T112" s="113">
        <v>3.7390000000000001E-3</v>
      </c>
      <c r="U112" s="113">
        <v>3.754E-3</v>
      </c>
      <c r="V112" s="113">
        <v>3.7680000000000001E-3</v>
      </c>
      <c r="W112" s="113">
        <v>3.7829999999999999E-3</v>
      </c>
      <c r="X112" s="113">
        <v>3.7980000000000002E-3</v>
      </c>
      <c r="Y112" s="113">
        <v>3.813E-3</v>
      </c>
      <c r="Z112" s="113">
        <v>3.8270000000000001E-3</v>
      </c>
      <c r="AA112" s="113">
        <v>3.8419999999999999E-3</v>
      </c>
      <c r="AB112" s="113">
        <v>3.8570000000000002E-3</v>
      </c>
      <c r="AC112" s="113">
        <v>3.8709999999999999E-3</v>
      </c>
      <c r="AD112" s="113">
        <v>3.8860000000000001E-3</v>
      </c>
      <c r="AE112" s="113">
        <v>3.901E-3</v>
      </c>
      <c r="AF112" s="113">
        <v>3.9160000000000002E-3</v>
      </c>
      <c r="AG112" s="113">
        <v>3.9300000000000003E-3</v>
      </c>
    </row>
    <row r="113" spans="1:33">
      <c r="A113" s="113" t="s">
        <v>18798</v>
      </c>
      <c r="B113" s="113" t="s">
        <v>18785</v>
      </c>
      <c r="C113" s="113" t="s">
        <v>18769</v>
      </c>
      <c r="D113" s="113" t="s">
        <v>18786</v>
      </c>
      <c r="E113" s="113" t="s">
        <v>1544</v>
      </c>
      <c r="F113" s="113" t="s">
        <v>598</v>
      </c>
      <c r="G113" s="113" t="s">
        <v>599</v>
      </c>
      <c r="H113" s="113" t="s">
        <v>2266</v>
      </c>
      <c r="I113" s="113" t="s">
        <v>2267</v>
      </c>
      <c r="J113" s="113">
        <v>0</v>
      </c>
      <c r="K113" s="113">
        <v>0</v>
      </c>
      <c r="L113" s="113">
        <v>0</v>
      </c>
      <c r="M113" s="113">
        <v>0</v>
      </c>
      <c r="N113" s="113">
        <v>0</v>
      </c>
      <c r="O113" s="113"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113">
        <v>0</v>
      </c>
      <c r="AE113" s="113">
        <v>0</v>
      </c>
      <c r="AF113" s="113">
        <v>0</v>
      </c>
      <c r="AG113" s="113">
        <v>0</v>
      </c>
    </row>
    <row r="114" spans="1:33">
      <c r="A114" s="113" t="s">
        <v>18798</v>
      </c>
      <c r="B114" s="113" t="s">
        <v>18768</v>
      </c>
      <c r="C114" s="113" t="s">
        <v>18769</v>
      </c>
      <c r="D114" s="113" t="s">
        <v>18770</v>
      </c>
      <c r="E114" s="113" t="s">
        <v>781</v>
      </c>
      <c r="F114" s="113" t="s">
        <v>598</v>
      </c>
      <c r="G114" s="113" t="s">
        <v>599</v>
      </c>
      <c r="H114" s="113" t="s">
        <v>2266</v>
      </c>
      <c r="I114" s="113" t="s">
        <v>2267</v>
      </c>
      <c r="J114" s="113">
        <v>1.6725129999999999</v>
      </c>
      <c r="K114" s="113">
        <v>1.6725129999999999</v>
      </c>
      <c r="L114" s="113">
        <v>1.6725129999999999</v>
      </c>
      <c r="M114" s="113">
        <v>1.6725129999999999</v>
      </c>
      <c r="N114" s="113">
        <v>1.6725129999999999</v>
      </c>
      <c r="O114" s="113">
        <v>1.6725129999999999</v>
      </c>
      <c r="P114" s="113">
        <v>1.6725129999999999</v>
      </c>
      <c r="Q114" s="113">
        <v>1.6725129999999999</v>
      </c>
      <c r="R114" s="113">
        <v>1.6725129999999999</v>
      </c>
      <c r="S114" s="113">
        <v>1.6725129999999999</v>
      </c>
      <c r="T114" s="113">
        <v>1.6725129999999999</v>
      </c>
      <c r="U114" s="113">
        <v>1.6725129999999999</v>
      </c>
      <c r="V114" s="113">
        <v>1.6725129999999999</v>
      </c>
      <c r="W114" s="113">
        <v>1.6725129999999999</v>
      </c>
      <c r="X114" s="113">
        <v>1.6725129999999999</v>
      </c>
      <c r="Y114" s="113">
        <v>1.6725129999999999</v>
      </c>
      <c r="Z114" s="113">
        <v>1.6725129999999999</v>
      </c>
      <c r="AA114" s="113">
        <v>1.6725129999999999</v>
      </c>
      <c r="AB114" s="113">
        <v>1.6725129999999999</v>
      </c>
      <c r="AC114" s="113">
        <v>1.6725129999999999</v>
      </c>
      <c r="AD114" s="113">
        <v>1.6725129999999999</v>
      </c>
      <c r="AE114" s="113">
        <v>1.6725129999999999</v>
      </c>
      <c r="AF114" s="113">
        <v>1.6725129999999999</v>
      </c>
      <c r="AG114" s="113">
        <v>1.6725129999999999</v>
      </c>
    </row>
    <row r="115" spans="1:33">
      <c r="A115" s="113" t="s">
        <v>18798</v>
      </c>
      <c r="B115" s="113" t="s">
        <v>18771</v>
      </c>
      <c r="C115" s="113" t="s">
        <v>18769</v>
      </c>
      <c r="D115" s="113" t="s">
        <v>18772</v>
      </c>
      <c r="E115" s="113" t="s">
        <v>781</v>
      </c>
      <c r="F115" s="113" t="s">
        <v>598</v>
      </c>
      <c r="G115" s="113" t="s">
        <v>599</v>
      </c>
      <c r="H115" s="113" t="s">
        <v>2266</v>
      </c>
      <c r="I115" s="113" t="s">
        <v>2267</v>
      </c>
      <c r="J115" s="113">
        <v>4.2964000000000002E-2</v>
      </c>
      <c r="K115" s="113">
        <v>4.4496000000000001E-2</v>
      </c>
      <c r="L115" s="113">
        <v>4.6058000000000002E-2</v>
      </c>
      <c r="M115" s="113">
        <v>4.7588999999999999E-2</v>
      </c>
      <c r="N115" s="113">
        <v>4.9119999999999997E-2</v>
      </c>
      <c r="O115" s="113">
        <v>5.0651000000000002E-2</v>
      </c>
      <c r="P115" s="113">
        <v>5.2181999999999999E-2</v>
      </c>
      <c r="Q115" s="113">
        <v>5.3712999999999997E-2</v>
      </c>
      <c r="R115" s="113">
        <v>5.5087999999999998E-2</v>
      </c>
      <c r="S115" s="113">
        <v>5.6462999999999999E-2</v>
      </c>
      <c r="T115" s="113">
        <v>5.7838000000000001E-2</v>
      </c>
      <c r="U115" s="113">
        <v>5.9213000000000002E-2</v>
      </c>
      <c r="V115" s="113">
        <v>6.0588000000000003E-2</v>
      </c>
      <c r="W115" s="113">
        <v>6.1931E-2</v>
      </c>
      <c r="X115" s="113">
        <v>6.3306000000000001E-2</v>
      </c>
      <c r="Y115" s="113">
        <v>6.4681000000000002E-2</v>
      </c>
      <c r="Z115" s="113">
        <v>6.6056000000000004E-2</v>
      </c>
      <c r="AA115" s="113">
        <v>6.7431000000000005E-2</v>
      </c>
      <c r="AB115" s="113">
        <v>6.8806000000000006E-2</v>
      </c>
      <c r="AC115" s="113">
        <v>7.0180000000000006E-2</v>
      </c>
      <c r="AD115" s="113">
        <v>7.1554999999999994E-2</v>
      </c>
      <c r="AE115" s="113">
        <v>7.2929999999999995E-2</v>
      </c>
      <c r="AF115" s="113">
        <v>7.4304999999999996E-2</v>
      </c>
      <c r="AG115" s="113">
        <v>7.5679999999999997E-2</v>
      </c>
    </row>
    <row r="116" spans="1:33" ht="15.75" thickBot="1">
      <c r="A116" s="236" t="s">
        <v>18798</v>
      </c>
      <c r="B116" s="236" t="s">
        <v>18773</v>
      </c>
      <c r="C116" s="236" t="s">
        <v>18769</v>
      </c>
      <c r="D116" s="236" t="s">
        <v>18774</v>
      </c>
      <c r="E116" s="236" t="s">
        <v>781</v>
      </c>
      <c r="F116" s="236" t="s">
        <v>598</v>
      </c>
      <c r="G116" s="236" t="s">
        <v>599</v>
      </c>
      <c r="H116" s="236" t="s">
        <v>2266</v>
      </c>
      <c r="I116" s="236" t="s">
        <v>2267</v>
      </c>
      <c r="J116" s="236">
        <v>0</v>
      </c>
      <c r="K116" s="236">
        <v>0</v>
      </c>
      <c r="L116" s="236">
        <v>0</v>
      </c>
      <c r="M116" s="236">
        <v>0</v>
      </c>
      <c r="N116" s="236">
        <v>0</v>
      </c>
      <c r="O116" s="236">
        <v>0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6">
        <v>0</v>
      </c>
      <c r="W116" s="236">
        <v>0</v>
      </c>
      <c r="X116" s="236">
        <v>0</v>
      </c>
      <c r="Y116" s="236">
        <v>0</v>
      </c>
      <c r="Z116" s="236">
        <v>0</v>
      </c>
      <c r="AA116" s="236">
        <v>0</v>
      </c>
      <c r="AB116" s="236">
        <v>0</v>
      </c>
      <c r="AC116" s="236">
        <v>0</v>
      </c>
      <c r="AD116" s="236">
        <v>0</v>
      </c>
      <c r="AE116" s="236">
        <v>0</v>
      </c>
      <c r="AF116" s="236">
        <v>0</v>
      </c>
      <c r="AG116" s="236">
        <v>0</v>
      </c>
    </row>
    <row r="117" spans="1:33">
      <c r="A117" s="2" t="s">
        <v>18775</v>
      </c>
      <c r="J117">
        <f t="shared" ref="J117:AG117" si="42">SUM(J111:J116)</f>
        <v>1.719571</v>
      </c>
      <c r="K117">
        <f t="shared" si="42"/>
        <v>1.721117</v>
      </c>
      <c r="L117">
        <f t="shared" si="42"/>
        <v>1.7226939999999999</v>
      </c>
      <c r="M117">
        <f t="shared" si="42"/>
        <v>1.72424</v>
      </c>
      <c r="N117">
        <f t="shared" si="42"/>
        <v>1.7257849999999999</v>
      </c>
      <c r="O117">
        <f t="shared" si="42"/>
        <v>1.7273309999999999</v>
      </c>
      <c r="P117">
        <f t="shared" si="42"/>
        <v>1.7288769999999998</v>
      </c>
      <c r="Q117">
        <f t="shared" si="42"/>
        <v>1.7304229999999998</v>
      </c>
      <c r="R117">
        <f t="shared" si="42"/>
        <v>1.7318119999999999</v>
      </c>
      <c r="S117">
        <f t="shared" si="42"/>
        <v>1.7332019999999999</v>
      </c>
      <c r="T117">
        <f t="shared" si="42"/>
        <v>1.7345919999999999</v>
      </c>
      <c r="U117">
        <f t="shared" si="42"/>
        <v>1.7359819999999999</v>
      </c>
      <c r="V117">
        <f t="shared" si="42"/>
        <v>1.737371</v>
      </c>
      <c r="W117">
        <f t="shared" si="42"/>
        <v>1.738729</v>
      </c>
      <c r="X117">
        <f t="shared" si="42"/>
        <v>1.740119</v>
      </c>
      <c r="Y117">
        <f t="shared" si="42"/>
        <v>1.741509</v>
      </c>
      <c r="Z117">
        <f t="shared" si="42"/>
        <v>1.7428979999999998</v>
      </c>
      <c r="AA117">
        <f t="shared" si="42"/>
        <v>1.7442879999999998</v>
      </c>
      <c r="AB117">
        <f t="shared" si="42"/>
        <v>1.7456779999999998</v>
      </c>
      <c r="AC117">
        <f t="shared" si="42"/>
        <v>1.7470659999999998</v>
      </c>
      <c r="AD117">
        <f t="shared" si="42"/>
        <v>1.748456</v>
      </c>
      <c r="AE117">
        <f t="shared" si="42"/>
        <v>1.7498459999999998</v>
      </c>
      <c r="AF117">
        <f t="shared" si="42"/>
        <v>1.751236</v>
      </c>
      <c r="AG117">
        <f t="shared" si="42"/>
        <v>1.7526249999999999</v>
      </c>
    </row>
    <row r="119" spans="1:33" ht="15.75" thickBot="1">
      <c r="A119" s="235" t="s">
        <v>569</v>
      </c>
      <c r="B119" s="235" t="s">
        <v>570</v>
      </c>
      <c r="C119" s="235" t="s">
        <v>571</v>
      </c>
      <c r="D119" s="235" t="s">
        <v>572</v>
      </c>
      <c r="E119" s="235" t="s">
        <v>573</v>
      </c>
      <c r="F119" s="235" t="s">
        <v>574</v>
      </c>
      <c r="G119" s="235" t="s">
        <v>575</v>
      </c>
      <c r="H119" s="235" t="s">
        <v>576</v>
      </c>
      <c r="I119" s="235" t="s">
        <v>577</v>
      </c>
      <c r="J119" s="235">
        <v>2023</v>
      </c>
      <c r="K119" s="235">
        <v>2024</v>
      </c>
      <c r="L119" s="235">
        <v>2025</v>
      </c>
      <c r="M119" s="235">
        <v>2026</v>
      </c>
      <c r="N119" s="235">
        <v>2027</v>
      </c>
      <c r="O119" s="235">
        <v>2028</v>
      </c>
      <c r="P119" s="235">
        <v>2029</v>
      </c>
      <c r="Q119" s="235">
        <v>2030</v>
      </c>
      <c r="R119" s="235">
        <v>2031</v>
      </c>
      <c r="S119" s="235">
        <v>2032</v>
      </c>
      <c r="T119" s="235">
        <v>2033</v>
      </c>
      <c r="U119" s="235">
        <v>2034</v>
      </c>
      <c r="V119" s="235">
        <v>2035</v>
      </c>
      <c r="W119" s="235">
        <v>2036</v>
      </c>
      <c r="X119" s="235">
        <v>2037</v>
      </c>
      <c r="Y119" s="235">
        <v>2038</v>
      </c>
      <c r="Z119" s="235">
        <v>2039</v>
      </c>
      <c r="AA119" s="235">
        <v>2040</v>
      </c>
      <c r="AB119" s="235">
        <v>2041</v>
      </c>
      <c r="AC119" s="235">
        <v>2042</v>
      </c>
      <c r="AD119" s="235">
        <v>2043</v>
      </c>
      <c r="AE119" s="235">
        <v>2044</v>
      </c>
      <c r="AF119" s="235">
        <v>2045</v>
      </c>
      <c r="AG119" s="235">
        <v>2046</v>
      </c>
    </row>
    <row r="120" spans="1:33">
      <c r="A120" s="113" t="s">
        <v>2269</v>
      </c>
      <c r="B120" s="113" t="s">
        <v>18779</v>
      </c>
      <c r="C120" s="113" t="s">
        <v>18769</v>
      </c>
      <c r="D120" s="113" t="s">
        <v>18780</v>
      </c>
      <c r="E120" s="113" t="s">
        <v>1544</v>
      </c>
      <c r="F120" s="113" t="s">
        <v>598</v>
      </c>
      <c r="G120" s="113" t="s">
        <v>599</v>
      </c>
      <c r="H120" s="113" t="s">
        <v>2266</v>
      </c>
      <c r="I120" s="113" t="s">
        <v>2267</v>
      </c>
      <c r="J120" s="113">
        <v>1.4715000000000001E-2</v>
      </c>
      <c r="K120" s="113">
        <v>1.5197E-2</v>
      </c>
      <c r="L120" s="113">
        <v>1.5775000000000001E-2</v>
      </c>
      <c r="M120" s="113">
        <v>1.6385E-2</v>
      </c>
      <c r="N120" s="113">
        <v>1.7141E-2</v>
      </c>
      <c r="O120" s="113">
        <v>1.7913999999999999E-2</v>
      </c>
      <c r="P120" s="113">
        <v>1.8772E-2</v>
      </c>
      <c r="Q120" s="113">
        <v>1.9703999999999999E-2</v>
      </c>
      <c r="R120" s="113">
        <v>1.9703999999999999E-2</v>
      </c>
      <c r="S120" s="113">
        <v>1.9703999999999999E-2</v>
      </c>
      <c r="T120" s="113">
        <v>1.9703999999999999E-2</v>
      </c>
      <c r="U120" s="113">
        <v>1.9703999999999999E-2</v>
      </c>
      <c r="V120" s="113">
        <v>1.9703999999999999E-2</v>
      </c>
      <c r="W120" s="113">
        <v>1.9703999999999999E-2</v>
      </c>
      <c r="X120" s="113">
        <v>1.9703999999999999E-2</v>
      </c>
      <c r="Y120" s="113">
        <v>1.9703999999999999E-2</v>
      </c>
      <c r="Z120" s="113">
        <v>1.9703999999999999E-2</v>
      </c>
      <c r="AA120" s="113">
        <v>1.9703999999999999E-2</v>
      </c>
      <c r="AB120" s="113">
        <v>1.9703999999999999E-2</v>
      </c>
      <c r="AC120" s="113">
        <v>1.9703999999999999E-2</v>
      </c>
      <c r="AD120" s="113">
        <v>1.9703999999999999E-2</v>
      </c>
      <c r="AE120" s="113">
        <v>1.9703999999999999E-2</v>
      </c>
      <c r="AF120" s="113">
        <v>1.9703999999999999E-2</v>
      </c>
      <c r="AG120" s="113">
        <v>1.9703999999999999E-2</v>
      </c>
    </row>
    <row r="121" spans="1:33">
      <c r="A121" s="113" t="s">
        <v>2269</v>
      </c>
      <c r="B121" s="113" t="s">
        <v>18781</v>
      </c>
      <c r="C121" s="113" t="s">
        <v>18769</v>
      </c>
      <c r="D121" s="113" t="s">
        <v>18782</v>
      </c>
      <c r="E121" s="113" t="s">
        <v>1544</v>
      </c>
      <c r="F121" s="113" t="s">
        <v>598</v>
      </c>
      <c r="G121" s="113" t="s">
        <v>599</v>
      </c>
      <c r="H121" s="113" t="s">
        <v>2266</v>
      </c>
      <c r="I121" s="113" t="s">
        <v>2267</v>
      </c>
      <c r="J121" s="113">
        <v>3.8435999999999998E-2</v>
      </c>
      <c r="K121" s="113">
        <v>3.8412000000000002E-2</v>
      </c>
      <c r="L121" s="113">
        <v>3.8449999999999998E-2</v>
      </c>
      <c r="M121" s="113">
        <v>3.8427000000000003E-2</v>
      </c>
      <c r="N121" s="113">
        <v>3.9039999999999998E-2</v>
      </c>
      <c r="O121" s="113">
        <v>4.0009000000000003E-2</v>
      </c>
      <c r="P121" s="113">
        <v>3.9985E-2</v>
      </c>
      <c r="Q121" s="113">
        <v>4.0571999999999997E-2</v>
      </c>
      <c r="R121" s="113">
        <v>4.0571999999999997E-2</v>
      </c>
      <c r="S121" s="113">
        <v>4.0571999999999997E-2</v>
      </c>
      <c r="T121" s="113">
        <v>4.0571999999999997E-2</v>
      </c>
      <c r="U121" s="113">
        <v>4.0571999999999997E-2</v>
      </c>
      <c r="V121" s="113">
        <v>4.0571999999999997E-2</v>
      </c>
      <c r="W121" s="113">
        <v>4.0571999999999997E-2</v>
      </c>
      <c r="X121" s="113">
        <v>4.0571999999999997E-2</v>
      </c>
      <c r="Y121" s="113">
        <v>4.0571999999999997E-2</v>
      </c>
      <c r="Z121" s="113">
        <v>4.0571999999999997E-2</v>
      </c>
      <c r="AA121" s="113">
        <v>4.0571999999999997E-2</v>
      </c>
      <c r="AB121" s="113">
        <v>4.0571999999999997E-2</v>
      </c>
      <c r="AC121" s="113">
        <v>4.0571999999999997E-2</v>
      </c>
      <c r="AD121" s="113">
        <v>4.0571999999999997E-2</v>
      </c>
      <c r="AE121" s="113">
        <v>4.0571999999999997E-2</v>
      </c>
      <c r="AF121" s="113">
        <v>4.0571999999999997E-2</v>
      </c>
      <c r="AG121" s="113">
        <v>4.0571999999999997E-2</v>
      </c>
    </row>
    <row r="122" spans="1:33">
      <c r="A122" s="113" t="s">
        <v>2269</v>
      </c>
      <c r="B122" s="113" t="s">
        <v>18783</v>
      </c>
      <c r="C122" s="113" t="s">
        <v>18769</v>
      </c>
      <c r="D122" s="113" t="s">
        <v>18784</v>
      </c>
      <c r="E122" s="113" t="s">
        <v>1544</v>
      </c>
      <c r="F122" s="113" t="s">
        <v>598</v>
      </c>
      <c r="G122" s="113" t="s">
        <v>599</v>
      </c>
      <c r="H122" s="113" t="s">
        <v>2266</v>
      </c>
      <c r="I122" s="113" t="s">
        <v>2267</v>
      </c>
      <c r="J122" s="113">
        <v>0.123671</v>
      </c>
      <c r="K122" s="113">
        <v>0.12431300000000001</v>
      </c>
      <c r="L122" s="113">
        <v>0.12496400000000001</v>
      </c>
      <c r="M122" s="113">
        <v>0.12559899999999999</v>
      </c>
      <c r="N122" s="113">
        <v>0.12621599999999999</v>
      </c>
      <c r="O122" s="113">
        <v>0.12760199999999999</v>
      </c>
      <c r="P122" s="113">
        <v>0.128248</v>
      </c>
      <c r="Q122" s="113">
        <v>0.12911300000000001</v>
      </c>
      <c r="R122" s="113">
        <v>0.12911300000000001</v>
      </c>
      <c r="S122" s="113">
        <v>0.12911300000000001</v>
      </c>
      <c r="T122" s="113">
        <v>0.12911300000000001</v>
      </c>
      <c r="U122" s="113">
        <v>0.12911300000000001</v>
      </c>
      <c r="V122" s="113">
        <v>0.12911300000000001</v>
      </c>
      <c r="W122" s="113">
        <v>0.12911300000000001</v>
      </c>
      <c r="X122" s="113">
        <v>0.12911300000000001</v>
      </c>
      <c r="Y122" s="113">
        <v>0.12911300000000001</v>
      </c>
      <c r="Z122" s="113">
        <v>0.12911300000000001</v>
      </c>
      <c r="AA122" s="113">
        <v>0.12911300000000001</v>
      </c>
      <c r="AB122" s="113">
        <v>0.12911300000000001</v>
      </c>
      <c r="AC122" s="113">
        <v>0.12911300000000001</v>
      </c>
      <c r="AD122" s="113">
        <v>0.12911300000000001</v>
      </c>
      <c r="AE122" s="113">
        <v>0.12911300000000001</v>
      </c>
      <c r="AF122" s="113">
        <v>0.12911300000000001</v>
      </c>
      <c r="AG122" s="113">
        <v>0.12911300000000001</v>
      </c>
    </row>
    <row r="123" spans="1:33">
      <c r="A123" s="113" t="s">
        <v>2269</v>
      </c>
      <c r="B123" s="113" t="s">
        <v>18785</v>
      </c>
      <c r="C123" s="113" t="s">
        <v>18769</v>
      </c>
      <c r="D123" s="113" t="s">
        <v>18786</v>
      </c>
      <c r="E123" s="113" t="s">
        <v>1544</v>
      </c>
      <c r="F123" s="113" t="s">
        <v>598</v>
      </c>
      <c r="G123" s="113" t="s">
        <v>599</v>
      </c>
      <c r="H123" s="113" t="s">
        <v>2266</v>
      </c>
      <c r="I123" s="113" t="s">
        <v>2267</v>
      </c>
      <c r="J123" s="113">
        <v>0</v>
      </c>
      <c r="K123" s="113">
        <v>0</v>
      </c>
      <c r="L123" s="113">
        <v>0</v>
      </c>
      <c r="M123" s="113">
        <v>0</v>
      </c>
      <c r="N123" s="113">
        <v>0</v>
      </c>
      <c r="O123" s="113">
        <v>0</v>
      </c>
      <c r="P123" s="113">
        <v>0</v>
      </c>
      <c r="Q123" s="113">
        <v>0</v>
      </c>
      <c r="R123" s="113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v>0</v>
      </c>
      <c r="Z123" s="113">
        <v>0</v>
      </c>
      <c r="AA123" s="113">
        <v>0</v>
      </c>
      <c r="AB123" s="113">
        <v>0</v>
      </c>
      <c r="AC123" s="113">
        <v>0</v>
      </c>
      <c r="AD123" s="113">
        <v>0</v>
      </c>
      <c r="AE123" s="113">
        <v>0</v>
      </c>
      <c r="AF123" s="113">
        <v>0</v>
      </c>
      <c r="AG123" s="113">
        <v>0</v>
      </c>
    </row>
    <row r="124" spans="1:33">
      <c r="A124" s="113" t="s">
        <v>2269</v>
      </c>
      <c r="B124" s="113" t="s">
        <v>18768</v>
      </c>
      <c r="C124" s="113" t="s">
        <v>18769</v>
      </c>
      <c r="D124" s="113" t="s">
        <v>18770</v>
      </c>
      <c r="E124" s="113" t="s">
        <v>781</v>
      </c>
      <c r="F124" s="113" t="s">
        <v>598</v>
      </c>
      <c r="G124" s="113" t="s">
        <v>599</v>
      </c>
      <c r="H124" s="113" t="s">
        <v>2266</v>
      </c>
      <c r="I124" s="113" t="s">
        <v>2267</v>
      </c>
      <c r="J124" s="113">
        <v>2.6609000000000001E-2</v>
      </c>
      <c r="K124" s="113">
        <v>2.6786000000000001E-2</v>
      </c>
      <c r="L124" s="113">
        <v>2.6964999999999999E-2</v>
      </c>
      <c r="M124" s="113">
        <v>2.7196999999999999E-2</v>
      </c>
      <c r="N124" s="113">
        <v>2.7453000000000002E-2</v>
      </c>
      <c r="O124" s="113">
        <v>2.776E-2</v>
      </c>
      <c r="P124" s="113">
        <v>2.8145E-2</v>
      </c>
      <c r="Q124" s="113">
        <v>2.9068E-2</v>
      </c>
      <c r="R124" s="113">
        <v>2.9068E-2</v>
      </c>
      <c r="S124" s="113">
        <v>2.9068E-2</v>
      </c>
      <c r="T124" s="113">
        <v>2.9068E-2</v>
      </c>
      <c r="U124" s="113">
        <v>2.9068E-2</v>
      </c>
      <c r="V124" s="113">
        <v>2.9068E-2</v>
      </c>
      <c r="W124" s="113">
        <v>2.9068E-2</v>
      </c>
      <c r="X124" s="113">
        <v>2.9068E-2</v>
      </c>
      <c r="Y124" s="113">
        <v>2.9068E-2</v>
      </c>
      <c r="Z124" s="113">
        <v>2.9068E-2</v>
      </c>
      <c r="AA124" s="113">
        <v>2.9068E-2</v>
      </c>
      <c r="AB124" s="113">
        <v>2.9068E-2</v>
      </c>
      <c r="AC124" s="113">
        <v>2.9068E-2</v>
      </c>
      <c r="AD124" s="113">
        <v>2.9068E-2</v>
      </c>
      <c r="AE124" s="113">
        <v>2.9068E-2</v>
      </c>
      <c r="AF124" s="113">
        <v>2.9068E-2</v>
      </c>
      <c r="AG124" s="113">
        <v>2.9068E-2</v>
      </c>
    </row>
    <row r="125" spans="1:33">
      <c r="A125" s="113" t="s">
        <v>2269</v>
      </c>
      <c r="B125" s="113" t="s">
        <v>18771</v>
      </c>
      <c r="C125" s="113" t="s">
        <v>18769</v>
      </c>
      <c r="D125" s="113" t="s">
        <v>18772</v>
      </c>
      <c r="E125" s="113" t="s">
        <v>781</v>
      </c>
      <c r="F125" s="113" t="s">
        <v>598</v>
      </c>
      <c r="G125" s="113" t="s">
        <v>599</v>
      </c>
      <c r="H125" s="113" t="s">
        <v>2266</v>
      </c>
      <c r="I125" s="113" t="s">
        <v>2267</v>
      </c>
      <c r="J125" s="113">
        <v>0.14308399999999999</v>
      </c>
      <c r="K125" s="113">
        <v>0.15301899999999999</v>
      </c>
      <c r="L125" s="113">
        <v>0.15518199999999999</v>
      </c>
      <c r="M125" s="113">
        <v>0.15509500000000001</v>
      </c>
      <c r="N125" s="113">
        <v>0.156056</v>
      </c>
      <c r="O125" s="113">
        <v>0.167292</v>
      </c>
      <c r="P125" s="113">
        <v>0.16827600000000001</v>
      </c>
      <c r="Q125" s="113">
        <v>0.16930700000000001</v>
      </c>
      <c r="R125" s="113">
        <v>0.16930700000000001</v>
      </c>
      <c r="S125" s="113">
        <v>0.16930700000000001</v>
      </c>
      <c r="T125" s="113">
        <v>0.16930700000000001</v>
      </c>
      <c r="U125" s="113">
        <v>0.16930700000000001</v>
      </c>
      <c r="V125" s="113">
        <v>0.16930700000000001</v>
      </c>
      <c r="W125" s="113">
        <v>0.16930700000000001</v>
      </c>
      <c r="X125" s="113">
        <v>0.16930700000000001</v>
      </c>
      <c r="Y125" s="113">
        <v>0.16930700000000001</v>
      </c>
      <c r="Z125" s="113">
        <v>0.16930700000000001</v>
      </c>
      <c r="AA125" s="113">
        <v>0.16930700000000001</v>
      </c>
      <c r="AB125" s="113">
        <v>0.16930700000000001</v>
      </c>
      <c r="AC125" s="113">
        <v>0.16930700000000001</v>
      </c>
      <c r="AD125" s="113">
        <v>0.16930700000000001</v>
      </c>
      <c r="AE125" s="113">
        <v>0.16930700000000001</v>
      </c>
      <c r="AF125" s="113">
        <v>0.16930700000000001</v>
      </c>
      <c r="AG125" s="113">
        <v>0.16930700000000001</v>
      </c>
    </row>
    <row r="126" spans="1:33" ht="15.75" thickBot="1">
      <c r="A126" s="236" t="s">
        <v>2269</v>
      </c>
      <c r="B126" s="236" t="s">
        <v>18773</v>
      </c>
      <c r="C126" s="236" t="s">
        <v>18769</v>
      </c>
      <c r="D126" s="236" t="s">
        <v>18774</v>
      </c>
      <c r="E126" s="236" t="s">
        <v>781</v>
      </c>
      <c r="F126" s="236" t="s">
        <v>598</v>
      </c>
      <c r="G126" s="236" t="s">
        <v>599</v>
      </c>
      <c r="H126" s="236" t="s">
        <v>2266</v>
      </c>
      <c r="I126" s="236" t="s">
        <v>2267</v>
      </c>
      <c r="J126" s="236">
        <v>3.6979999999999999E-3</v>
      </c>
      <c r="K126" s="236">
        <v>3.705E-3</v>
      </c>
      <c r="L126" s="236">
        <v>3.705E-3</v>
      </c>
      <c r="M126" s="236">
        <v>3.7109999999999999E-3</v>
      </c>
      <c r="N126" s="236">
        <v>3.7009999999999999E-3</v>
      </c>
      <c r="O126" s="236">
        <v>3.7100000000000002E-3</v>
      </c>
      <c r="P126" s="236">
        <v>3.712E-3</v>
      </c>
      <c r="Q126" s="236">
        <v>3.7239999999999999E-3</v>
      </c>
      <c r="R126" s="236">
        <v>3.7239999999999999E-3</v>
      </c>
      <c r="S126" s="236">
        <v>3.7239999999999999E-3</v>
      </c>
      <c r="T126" s="236">
        <v>3.7239999999999999E-3</v>
      </c>
      <c r="U126" s="236">
        <v>3.7239999999999999E-3</v>
      </c>
      <c r="V126" s="236">
        <v>3.7239999999999999E-3</v>
      </c>
      <c r="W126" s="236">
        <v>3.7239999999999999E-3</v>
      </c>
      <c r="X126" s="236">
        <v>3.7239999999999999E-3</v>
      </c>
      <c r="Y126" s="236">
        <v>3.7239999999999999E-3</v>
      </c>
      <c r="Z126" s="236">
        <v>3.7239999999999999E-3</v>
      </c>
      <c r="AA126" s="236">
        <v>3.7239999999999999E-3</v>
      </c>
      <c r="AB126" s="236">
        <v>3.7239999999999999E-3</v>
      </c>
      <c r="AC126" s="236">
        <v>3.7239999999999999E-3</v>
      </c>
      <c r="AD126" s="236">
        <v>3.7239999999999999E-3</v>
      </c>
      <c r="AE126" s="236">
        <v>3.7239999999999999E-3</v>
      </c>
      <c r="AF126" s="236">
        <v>3.7239999999999999E-3</v>
      </c>
      <c r="AG126" s="236">
        <v>3.7239999999999999E-3</v>
      </c>
    </row>
    <row r="127" spans="1:33">
      <c r="A127" s="2" t="s">
        <v>18775</v>
      </c>
      <c r="J127">
        <f t="shared" ref="J127:AG127" si="43">SUM(J120:J126)</f>
        <v>0.350213</v>
      </c>
      <c r="K127">
        <f t="shared" si="43"/>
        <v>0.36143200000000003</v>
      </c>
      <c r="L127">
        <f t="shared" si="43"/>
        <v>0.365041</v>
      </c>
      <c r="M127">
        <f t="shared" si="43"/>
        <v>0.36641400000000002</v>
      </c>
      <c r="N127">
        <f t="shared" si="43"/>
        <v>0.36960699999999996</v>
      </c>
      <c r="O127">
        <f t="shared" si="43"/>
        <v>0.38428699999999999</v>
      </c>
      <c r="P127">
        <f t="shared" si="43"/>
        <v>0.38713800000000004</v>
      </c>
      <c r="Q127">
        <f t="shared" si="43"/>
        <v>0.391488</v>
      </c>
      <c r="R127">
        <f t="shared" si="43"/>
        <v>0.391488</v>
      </c>
      <c r="S127">
        <f t="shared" si="43"/>
        <v>0.391488</v>
      </c>
      <c r="T127">
        <f t="shared" si="43"/>
        <v>0.391488</v>
      </c>
      <c r="U127">
        <f t="shared" si="43"/>
        <v>0.391488</v>
      </c>
      <c r="V127">
        <f t="shared" si="43"/>
        <v>0.391488</v>
      </c>
      <c r="W127">
        <f t="shared" si="43"/>
        <v>0.391488</v>
      </c>
      <c r="X127">
        <f t="shared" si="43"/>
        <v>0.391488</v>
      </c>
      <c r="Y127">
        <f t="shared" si="43"/>
        <v>0.391488</v>
      </c>
      <c r="Z127">
        <f t="shared" si="43"/>
        <v>0.391488</v>
      </c>
      <c r="AA127">
        <f t="shared" si="43"/>
        <v>0.391488</v>
      </c>
      <c r="AB127">
        <f t="shared" si="43"/>
        <v>0.391488</v>
      </c>
      <c r="AC127">
        <f t="shared" si="43"/>
        <v>0.391488</v>
      </c>
      <c r="AD127">
        <f t="shared" si="43"/>
        <v>0.391488</v>
      </c>
      <c r="AE127">
        <f t="shared" si="43"/>
        <v>0.391488</v>
      </c>
      <c r="AF127">
        <f t="shared" si="43"/>
        <v>0.391488</v>
      </c>
      <c r="AG127">
        <f t="shared" si="43"/>
        <v>0.391488</v>
      </c>
    </row>
    <row r="129" spans="1:33">
      <c r="A129" s="240" t="s">
        <v>569</v>
      </c>
      <c r="B129" s="240" t="s">
        <v>570</v>
      </c>
      <c r="C129" s="240" t="s">
        <v>571</v>
      </c>
      <c r="D129" s="240" t="s">
        <v>572</v>
      </c>
      <c r="E129" s="240" t="s">
        <v>573</v>
      </c>
      <c r="F129" s="240" t="s">
        <v>574</v>
      </c>
      <c r="G129" s="240" t="s">
        <v>575</v>
      </c>
      <c r="H129" s="240" t="s">
        <v>576</v>
      </c>
      <c r="I129" s="240" t="s">
        <v>577</v>
      </c>
      <c r="J129" s="240">
        <v>2023</v>
      </c>
      <c r="K129" s="240">
        <v>2024</v>
      </c>
      <c r="L129" s="240">
        <v>2025</v>
      </c>
      <c r="M129" s="240">
        <v>2026</v>
      </c>
      <c r="N129" s="240">
        <v>2027</v>
      </c>
      <c r="O129" s="240">
        <v>2028</v>
      </c>
      <c r="P129" s="240">
        <v>2029</v>
      </c>
      <c r="Q129" s="240">
        <v>2030</v>
      </c>
      <c r="R129" s="240">
        <v>2031</v>
      </c>
      <c r="S129" s="240">
        <v>2032</v>
      </c>
      <c r="T129" s="240">
        <v>2033</v>
      </c>
      <c r="U129" s="240">
        <v>2034</v>
      </c>
      <c r="V129" s="240">
        <v>2035</v>
      </c>
      <c r="W129" s="240">
        <v>2036</v>
      </c>
      <c r="X129" s="240">
        <v>2037</v>
      </c>
      <c r="Y129" s="240">
        <v>2038</v>
      </c>
      <c r="Z129" s="240">
        <v>2039</v>
      </c>
      <c r="AA129" s="240">
        <v>2040</v>
      </c>
      <c r="AB129" s="240">
        <v>2041</v>
      </c>
      <c r="AC129" s="240">
        <v>2042</v>
      </c>
      <c r="AD129" s="240">
        <v>2043</v>
      </c>
      <c r="AE129" s="240">
        <v>2044</v>
      </c>
      <c r="AF129" s="240">
        <v>2045</v>
      </c>
      <c r="AG129" s="240">
        <v>2046</v>
      </c>
    </row>
    <row r="130" spans="1:33">
      <c r="A130" s="113" t="s">
        <v>18690</v>
      </c>
      <c r="B130" s="113" t="s">
        <v>18781</v>
      </c>
      <c r="C130" s="113" t="s">
        <v>18769</v>
      </c>
      <c r="D130" s="113" t="s">
        <v>18782</v>
      </c>
      <c r="E130" s="113" t="s">
        <v>1544</v>
      </c>
      <c r="F130" s="113" t="s">
        <v>598</v>
      </c>
      <c r="G130" s="113" t="s">
        <v>599</v>
      </c>
      <c r="H130" s="113" t="s">
        <v>2266</v>
      </c>
      <c r="I130" s="113" t="s">
        <v>2267</v>
      </c>
      <c r="J130" s="113">
        <v>2.8609999999999998E-3</v>
      </c>
      <c r="K130" s="113">
        <v>2.8830000000000001E-3</v>
      </c>
      <c r="L130" s="113">
        <v>2.9060000000000002E-3</v>
      </c>
      <c r="M130" s="113">
        <v>2.9290000000000002E-3</v>
      </c>
      <c r="N130" s="113">
        <v>2.9510000000000001E-3</v>
      </c>
      <c r="O130" s="113">
        <v>2.9740000000000001E-3</v>
      </c>
      <c r="P130" s="113">
        <v>2.996E-3</v>
      </c>
      <c r="Q130" s="113">
        <v>3.019E-3</v>
      </c>
      <c r="R130" s="113">
        <v>3.0409999999999999E-3</v>
      </c>
      <c r="S130" s="113">
        <v>3.0639999999999999E-3</v>
      </c>
      <c r="T130" s="113">
        <v>3.0860000000000002E-3</v>
      </c>
      <c r="U130" s="113">
        <v>3.1089999999999998E-3</v>
      </c>
      <c r="V130" s="113">
        <v>3.1310000000000001E-3</v>
      </c>
      <c r="W130" s="113">
        <v>3.1540000000000001E-3</v>
      </c>
      <c r="X130" s="113">
        <v>3.176E-3</v>
      </c>
      <c r="Y130" s="113">
        <v>3.199E-3</v>
      </c>
      <c r="Z130" s="113">
        <v>3.2209999999999999E-3</v>
      </c>
      <c r="AA130" s="113">
        <v>3.2439999999999999E-3</v>
      </c>
      <c r="AB130" s="113">
        <v>3.2659999999999998E-3</v>
      </c>
      <c r="AC130" s="113">
        <v>3.2889999999999998E-3</v>
      </c>
      <c r="AD130" s="113">
        <v>3.3110000000000001E-3</v>
      </c>
      <c r="AE130" s="113">
        <v>3.3340000000000002E-3</v>
      </c>
      <c r="AF130" s="113">
        <v>3.356E-3</v>
      </c>
      <c r="AG130" s="113">
        <v>3.3790000000000001E-3</v>
      </c>
    </row>
    <row r="131" spans="1:33">
      <c r="A131" s="113" t="s">
        <v>18690</v>
      </c>
      <c r="B131" s="113" t="s">
        <v>18783</v>
      </c>
      <c r="C131" s="113" t="s">
        <v>18769</v>
      </c>
      <c r="D131" s="113" t="s">
        <v>18784</v>
      </c>
      <c r="E131" s="113" t="s">
        <v>1544</v>
      </c>
      <c r="F131" s="113" t="s">
        <v>598</v>
      </c>
      <c r="G131" s="113" t="s">
        <v>599</v>
      </c>
      <c r="H131" s="113" t="s">
        <v>2266</v>
      </c>
      <c r="I131" s="113" t="s">
        <v>2267</v>
      </c>
      <c r="J131" s="113">
        <v>0.11828900000000001</v>
      </c>
      <c r="K131" s="113">
        <v>0.118669</v>
      </c>
      <c r="L131" s="113">
        <v>0.119049</v>
      </c>
      <c r="M131" s="113">
        <v>0.11942700000000001</v>
      </c>
      <c r="N131" s="113">
        <v>0.11980499999999999</v>
      </c>
      <c r="O131" s="113">
        <v>0.120183</v>
      </c>
      <c r="P131" s="113">
        <v>0.120562</v>
      </c>
      <c r="Q131" s="113">
        <v>0.12094000000000001</v>
      </c>
      <c r="R131" s="113">
        <v>0.121318</v>
      </c>
      <c r="S131" s="113">
        <v>0.121696</v>
      </c>
      <c r="T131" s="113">
        <v>0.122074</v>
      </c>
      <c r="U131" s="113">
        <v>0.12245300000000001</v>
      </c>
      <c r="V131" s="113">
        <v>0.122831</v>
      </c>
      <c r="W131" s="113">
        <v>0.123209</v>
      </c>
      <c r="X131" s="113">
        <v>0.123587</v>
      </c>
      <c r="Y131" s="113">
        <v>0.12396500000000001</v>
      </c>
      <c r="Z131" s="113">
        <v>0.124344</v>
      </c>
      <c r="AA131" s="113">
        <v>0.124722</v>
      </c>
      <c r="AB131" s="113">
        <v>0.12509999999999999</v>
      </c>
      <c r="AC131" s="113">
        <v>0.12547800000000001</v>
      </c>
      <c r="AD131" s="113">
        <v>0.125856</v>
      </c>
      <c r="AE131" s="113">
        <v>0.12623500000000001</v>
      </c>
      <c r="AF131" s="113">
        <v>0.126613</v>
      </c>
      <c r="AG131" s="113">
        <v>0.12699099999999999</v>
      </c>
    </row>
    <row r="132" spans="1:33">
      <c r="A132" s="113" t="s">
        <v>18690</v>
      </c>
      <c r="B132" s="113" t="s">
        <v>18785</v>
      </c>
      <c r="C132" s="113" t="s">
        <v>18769</v>
      </c>
      <c r="D132" s="113" t="s">
        <v>18786</v>
      </c>
      <c r="E132" s="113" t="s">
        <v>1544</v>
      </c>
      <c r="F132" s="113" t="s">
        <v>598</v>
      </c>
      <c r="G132" s="113" t="s">
        <v>599</v>
      </c>
      <c r="H132" s="113" t="s">
        <v>2266</v>
      </c>
      <c r="I132" s="113" t="s">
        <v>2267</v>
      </c>
      <c r="J132" s="113">
        <v>8.8199999999999997E-4</v>
      </c>
      <c r="K132" s="113">
        <v>8.52E-4</v>
      </c>
      <c r="L132" s="113">
        <v>8.2200000000000003E-4</v>
      </c>
      <c r="M132" s="113">
        <v>7.9600000000000005E-4</v>
      </c>
      <c r="N132" s="113">
        <v>7.7099999999999998E-4</v>
      </c>
      <c r="O132" s="113">
        <v>7.45E-4</v>
      </c>
      <c r="P132" s="113">
        <v>7.1900000000000002E-4</v>
      </c>
      <c r="Q132" s="113">
        <v>6.9399999999999996E-4</v>
      </c>
      <c r="R132" s="113">
        <v>6.7699999999999998E-4</v>
      </c>
      <c r="S132" s="113">
        <v>6.6E-4</v>
      </c>
      <c r="T132" s="113">
        <v>6.4300000000000002E-4</v>
      </c>
      <c r="U132" s="113">
        <v>6.2600000000000004E-4</v>
      </c>
      <c r="V132" s="113">
        <v>6.0899999999999995E-4</v>
      </c>
      <c r="W132" s="113">
        <v>5.9199999999999997E-4</v>
      </c>
      <c r="X132" s="113">
        <v>5.7499999999999999E-4</v>
      </c>
      <c r="Y132" s="113">
        <v>5.5800000000000001E-4</v>
      </c>
      <c r="Z132" s="113">
        <v>5.4100000000000003E-4</v>
      </c>
      <c r="AA132" s="113">
        <v>5.2400000000000005E-4</v>
      </c>
      <c r="AB132" s="113">
        <v>5.0699999999999996E-4</v>
      </c>
      <c r="AC132" s="113">
        <v>4.8999999999999998E-4</v>
      </c>
      <c r="AD132" s="113">
        <v>4.73E-4</v>
      </c>
      <c r="AE132" s="113">
        <v>4.5600000000000003E-4</v>
      </c>
      <c r="AF132" s="113">
        <v>4.3899999999999999E-4</v>
      </c>
      <c r="AG132" s="113">
        <v>4.2200000000000001E-4</v>
      </c>
    </row>
    <row r="133" spans="1:33">
      <c r="A133" s="113" t="s">
        <v>18690</v>
      </c>
      <c r="B133" s="113" t="s">
        <v>18768</v>
      </c>
      <c r="C133" s="113" t="s">
        <v>18769</v>
      </c>
      <c r="D133" s="113" t="s">
        <v>18770</v>
      </c>
      <c r="E133" s="113" t="s">
        <v>781</v>
      </c>
      <c r="F133" s="113" t="s">
        <v>598</v>
      </c>
      <c r="G133" s="113" t="s">
        <v>599</v>
      </c>
      <c r="H133" s="113" t="s">
        <v>2266</v>
      </c>
      <c r="I133" s="113" t="s">
        <v>2267</v>
      </c>
      <c r="J133" s="113">
        <v>1.4956780000000001</v>
      </c>
      <c r="K133" s="113">
        <v>1.4956780000000001</v>
      </c>
      <c r="L133" s="113">
        <v>1.4956780000000001</v>
      </c>
      <c r="M133" s="113">
        <v>1.4956780000000001</v>
      </c>
      <c r="N133" s="113">
        <v>1.4956780000000001</v>
      </c>
      <c r="O133" s="113">
        <v>1.4956780000000001</v>
      </c>
      <c r="P133" s="113">
        <v>1.4956780000000001</v>
      </c>
      <c r="Q133" s="113">
        <v>1.4956780000000001</v>
      </c>
      <c r="R133" s="113">
        <v>1.4956780000000001</v>
      </c>
      <c r="S133" s="113">
        <v>1.4956780000000001</v>
      </c>
      <c r="T133" s="113">
        <v>1.4956780000000001</v>
      </c>
      <c r="U133" s="113">
        <v>1.4956780000000001</v>
      </c>
      <c r="V133" s="113">
        <v>1.4956780000000001</v>
      </c>
      <c r="W133" s="113">
        <v>1.4956780000000001</v>
      </c>
      <c r="X133" s="113">
        <v>1.4956780000000001</v>
      </c>
      <c r="Y133" s="113">
        <v>1.4956780000000001</v>
      </c>
      <c r="Z133" s="113">
        <v>1.4956780000000001</v>
      </c>
      <c r="AA133" s="113">
        <v>1.4956780000000001</v>
      </c>
      <c r="AB133" s="113">
        <v>1.4956780000000001</v>
      </c>
      <c r="AC133" s="113">
        <v>1.4956780000000001</v>
      </c>
      <c r="AD133" s="113">
        <v>1.4956780000000001</v>
      </c>
      <c r="AE133" s="113">
        <v>1.4956780000000001</v>
      </c>
      <c r="AF133" s="113">
        <v>1.4956780000000001</v>
      </c>
      <c r="AG133" s="113">
        <v>1.4956780000000001</v>
      </c>
    </row>
    <row r="134" spans="1:33">
      <c r="A134" s="113" t="s">
        <v>18690</v>
      </c>
      <c r="B134" s="113" t="s">
        <v>18771</v>
      </c>
      <c r="C134" s="113" t="s">
        <v>18769</v>
      </c>
      <c r="D134" s="113" t="s">
        <v>18772</v>
      </c>
      <c r="E134" s="113" t="s">
        <v>781</v>
      </c>
      <c r="F134" s="113" t="s">
        <v>598</v>
      </c>
      <c r="G134" s="113" t="s">
        <v>599</v>
      </c>
      <c r="H134" s="113" t="s">
        <v>2266</v>
      </c>
      <c r="I134" s="113" t="s">
        <v>2267</v>
      </c>
      <c r="J134" s="113">
        <v>1.4324E-2</v>
      </c>
      <c r="K134" s="113">
        <v>1.447E-2</v>
      </c>
      <c r="L134" s="113">
        <v>1.4617E-2</v>
      </c>
      <c r="M134" s="113">
        <v>1.4762000000000001E-2</v>
      </c>
      <c r="N134" s="113">
        <v>1.4907E-2</v>
      </c>
      <c r="O134" s="113">
        <v>1.5051999999999999E-2</v>
      </c>
      <c r="P134" s="113">
        <v>1.5197E-2</v>
      </c>
      <c r="Q134" s="113">
        <v>1.5342E-2</v>
      </c>
      <c r="R134" s="113">
        <v>1.5487000000000001E-2</v>
      </c>
      <c r="S134" s="113">
        <v>1.5632E-2</v>
      </c>
      <c r="T134" s="113">
        <v>1.5776999999999999E-2</v>
      </c>
      <c r="U134" s="113">
        <v>1.5921999999999999E-2</v>
      </c>
      <c r="V134" s="113">
        <v>1.6067000000000001E-2</v>
      </c>
      <c r="W134" s="113">
        <v>1.6212000000000001E-2</v>
      </c>
      <c r="X134" s="113">
        <v>1.6357E-2</v>
      </c>
      <c r="Y134" s="113">
        <v>1.6501999999999999E-2</v>
      </c>
      <c r="Z134" s="113">
        <v>1.6648E-2</v>
      </c>
      <c r="AA134" s="113">
        <v>1.6792999999999999E-2</v>
      </c>
      <c r="AB134" s="113">
        <v>1.6938000000000002E-2</v>
      </c>
      <c r="AC134" s="113">
        <v>1.7083000000000001E-2</v>
      </c>
      <c r="AD134" s="113">
        <v>1.7228E-2</v>
      </c>
      <c r="AE134" s="113">
        <v>1.7373E-2</v>
      </c>
      <c r="AF134" s="113">
        <v>1.7517999999999999E-2</v>
      </c>
      <c r="AG134" s="113">
        <v>1.7663000000000002E-2</v>
      </c>
    </row>
    <row r="135" spans="1:33">
      <c r="A135" s="241" t="s">
        <v>18690</v>
      </c>
      <c r="B135" s="241" t="s">
        <v>18773</v>
      </c>
      <c r="C135" s="241" t="s">
        <v>18769</v>
      </c>
      <c r="D135" s="241" t="s">
        <v>18774</v>
      </c>
      <c r="E135" s="241" t="s">
        <v>781</v>
      </c>
      <c r="F135" s="241" t="s">
        <v>598</v>
      </c>
      <c r="G135" s="241" t="s">
        <v>599</v>
      </c>
      <c r="H135" s="241" t="s">
        <v>2266</v>
      </c>
      <c r="I135" s="241" t="s">
        <v>2267</v>
      </c>
      <c r="J135" s="241">
        <v>5.0375999999999997E-2</v>
      </c>
      <c r="K135" s="241">
        <v>5.0862999999999998E-2</v>
      </c>
      <c r="L135" s="241">
        <v>5.1351000000000001E-2</v>
      </c>
      <c r="M135" s="241">
        <v>5.1838000000000002E-2</v>
      </c>
      <c r="N135" s="241">
        <v>5.2324000000000002E-2</v>
      </c>
      <c r="O135" s="241">
        <v>5.2810999999999997E-2</v>
      </c>
      <c r="P135" s="241">
        <v>5.3297999999999998E-2</v>
      </c>
      <c r="Q135" s="241">
        <v>5.3783999999999998E-2</v>
      </c>
      <c r="R135" s="241">
        <v>5.4271E-2</v>
      </c>
      <c r="S135" s="241">
        <v>5.4757E-2</v>
      </c>
      <c r="T135" s="241">
        <v>5.5244000000000001E-2</v>
      </c>
      <c r="U135" s="241">
        <v>5.5731000000000003E-2</v>
      </c>
      <c r="V135" s="241">
        <v>5.6217000000000003E-2</v>
      </c>
      <c r="W135" s="241">
        <v>5.6703999999999997E-2</v>
      </c>
      <c r="X135" s="241">
        <v>5.7190999999999999E-2</v>
      </c>
      <c r="Y135" s="241">
        <v>5.7676999999999999E-2</v>
      </c>
      <c r="Z135" s="241">
        <v>5.8164E-2</v>
      </c>
      <c r="AA135" s="241">
        <v>5.8650000000000001E-2</v>
      </c>
      <c r="AB135" s="241">
        <v>5.9137000000000002E-2</v>
      </c>
      <c r="AC135" s="241">
        <v>5.9624000000000003E-2</v>
      </c>
      <c r="AD135" s="241">
        <v>6.0109999999999997E-2</v>
      </c>
      <c r="AE135" s="241">
        <v>6.0596999999999998E-2</v>
      </c>
      <c r="AF135" s="241">
        <v>6.1083999999999999E-2</v>
      </c>
      <c r="AG135" s="241">
        <v>6.157E-2</v>
      </c>
    </row>
    <row r="136" spans="1:33">
      <c r="A136" s="2" t="s">
        <v>18775</v>
      </c>
      <c r="J136">
        <f t="shared" ref="J136:AG136" si="44">SUM(J130:J135)</f>
        <v>1.68241</v>
      </c>
      <c r="K136">
        <f t="shared" si="44"/>
        <v>1.6834150000000001</v>
      </c>
      <c r="L136">
        <f t="shared" si="44"/>
        <v>1.684423</v>
      </c>
      <c r="M136">
        <f t="shared" si="44"/>
        <v>1.68543</v>
      </c>
      <c r="N136">
        <f t="shared" si="44"/>
        <v>1.686436</v>
      </c>
      <c r="O136">
        <f t="shared" si="44"/>
        <v>1.687443</v>
      </c>
      <c r="P136">
        <f t="shared" si="44"/>
        <v>1.68845</v>
      </c>
      <c r="Q136">
        <f t="shared" si="44"/>
        <v>1.689457</v>
      </c>
      <c r="R136">
        <f t="shared" si="44"/>
        <v>1.690472</v>
      </c>
      <c r="S136">
        <f t="shared" si="44"/>
        <v>1.6914870000000002</v>
      </c>
      <c r="T136">
        <f t="shared" si="44"/>
        <v>1.6925020000000002</v>
      </c>
      <c r="U136">
        <f t="shared" si="44"/>
        <v>1.693519</v>
      </c>
      <c r="V136">
        <f t="shared" si="44"/>
        <v>1.6945330000000001</v>
      </c>
      <c r="W136">
        <f t="shared" si="44"/>
        <v>1.695549</v>
      </c>
      <c r="X136">
        <f t="shared" si="44"/>
        <v>1.696564</v>
      </c>
      <c r="Y136">
        <f t="shared" si="44"/>
        <v>1.6975790000000002</v>
      </c>
      <c r="Z136">
        <f t="shared" si="44"/>
        <v>1.6985960000000002</v>
      </c>
      <c r="AA136">
        <f t="shared" si="44"/>
        <v>1.6996110000000002</v>
      </c>
      <c r="AB136">
        <f t="shared" si="44"/>
        <v>1.700626</v>
      </c>
      <c r="AC136">
        <f t="shared" si="44"/>
        <v>1.7016419999999999</v>
      </c>
      <c r="AD136">
        <f t="shared" si="44"/>
        <v>1.7026560000000002</v>
      </c>
      <c r="AE136">
        <f t="shared" si="44"/>
        <v>1.7036730000000002</v>
      </c>
      <c r="AF136">
        <f t="shared" si="44"/>
        <v>1.704688</v>
      </c>
      <c r="AG136">
        <f t="shared" si="44"/>
        <v>1.705703</v>
      </c>
    </row>
    <row r="138" spans="1:33" ht="15.75" thickBot="1">
      <c r="A138" s="242" t="s">
        <v>569</v>
      </c>
      <c r="B138" s="242" t="s">
        <v>570</v>
      </c>
      <c r="C138" s="242" t="s">
        <v>571</v>
      </c>
      <c r="D138" s="242" t="s">
        <v>572</v>
      </c>
      <c r="E138" s="242" t="s">
        <v>573</v>
      </c>
      <c r="F138" s="242" t="s">
        <v>574</v>
      </c>
      <c r="G138" s="242" t="s">
        <v>575</v>
      </c>
      <c r="H138" s="242" t="s">
        <v>576</v>
      </c>
      <c r="I138" s="242" t="s">
        <v>577</v>
      </c>
      <c r="J138" s="242">
        <v>2023</v>
      </c>
      <c r="K138" s="242">
        <v>2024</v>
      </c>
      <c r="L138" s="242">
        <v>2025</v>
      </c>
      <c r="M138" s="242">
        <v>2026</v>
      </c>
      <c r="N138" s="242">
        <v>2027</v>
      </c>
      <c r="O138" s="242">
        <v>2028</v>
      </c>
      <c r="P138" s="242">
        <v>2029</v>
      </c>
      <c r="Q138" s="242">
        <v>2030</v>
      </c>
      <c r="R138" s="242">
        <v>2031</v>
      </c>
      <c r="S138" s="242">
        <v>2032</v>
      </c>
      <c r="T138" s="242">
        <v>2033</v>
      </c>
      <c r="U138" s="242">
        <v>2034</v>
      </c>
      <c r="V138" s="242">
        <v>2035</v>
      </c>
      <c r="W138" s="242">
        <v>2036</v>
      </c>
      <c r="X138" s="242">
        <v>2037</v>
      </c>
      <c r="Y138" s="242">
        <v>2038</v>
      </c>
      <c r="Z138" s="242">
        <v>2039</v>
      </c>
      <c r="AA138" s="242">
        <v>2040</v>
      </c>
      <c r="AB138" s="242">
        <v>2041</v>
      </c>
      <c r="AC138" s="242">
        <v>2042</v>
      </c>
      <c r="AD138" s="242">
        <v>2043</v>
      </c>
      <c r="AE138" s="242">
        <v>2044</v>
      </c>
      <c r="AF138" s="242">
        <v>2045</v>
      </c>
      <c r="AG138" s="242">
        <v>2046</v>
      </c>
    </row>
    <row r="139" spans="1:33">
      <c r="A139" s="113" t="s">
        <v>18721</v>
      </c>
      <c r="B139" s="113" t="s">
        <v>18779</v>
      </c>
      <c r="C139" s="113" t="s">
        <v>18769</v>
      </c>
      <c r="D139" s="113" t="s">
        <v>18780</v>
      </c>
      <c r="E139" s="113" t="s">
        <v>1544</v>
      </c>
      <c r="F139" s="113" t="s">
        <v>598</v>
      </c>
      <c r="G139" s="113" t="s">
        <v>599</v>
      </c>
      <c r="H139" s="113" t="s">
        <v>2266</v>
      </c>
      <c r="I139" s="113" t="s">
        <v>2267</v>
      </c>
      <c r="J139" s="234">
        <v>7.5400000000000003E-5</v>
      </c>
      <c r="K139" s="234">
        <v>7.5400000000000003E-5</v>
      </c>
      <c r="L139" s="234">
        <v>7.5400000000000003E-5</v>
      </c>
      <c r="M139" s="234">
        <v>7.5400000000000003E-5</v>
      </c>
      <c r="N139" s="234">
        <v>7.5400000000000003E-5</v>
      </c>
      <c r="O139" s="234">
        <v>7.5400000000000003E-5</v>
      </c>
      <c r="P139" s="234">
        <v>7.5400000000000003E-5</v>
      </c>
      <c r="Q139" s="234">
        <v>7.5400000000000003E-5</v>
      </c>
      <c r="R139" s="234">
        <v>7.5400000000000003E-5</v>
      </c>
      <c r="S139" s="234">
        <v>7.5400000000000003E-5</v>
      </c>
      <c r="T139" s="234">
        <v>7.5400000000000003E-5</v>
      </c>
      <c r="U139" s="234">
        <v>7.5400000000000003E-5</v>
      </c>
      <c r="V139" s="234">
        <v>7.5400000000000003E-5</v>
      </c>
      <c r="W139" s="234">
        <v>7.5400000000000003E-5</v>
      </c>
      <c r="X139" s="234">
        <v>7.5400000000000003E-5</v>
      </c>
      <c r="Y139" s="234">
        <v>7.5400000000000003E-5</v>
      </c>
      <c r="Z139" s="234">
        <v>7.5400000000000003E-5</v>
      </c>
      <c r="AA139" s="234">
        <v>7.5400000000000003E-5</v>
      </c>
      <c r="AB139" s="234">
        <v>7.5400000000000003E-5</v>
      </c>
      <c r="AC139" s="234">
        <v>7.5400000000000003E-5</v>
      </c>
      <c r="AD139" s="234">
        <v>7.5400000000000003E-5</v>
      </c>
      <c r="AE139" s="234">
        <v>7.5400000000000003E-5</v>
      </c>
      <c r="AF139" s="234">
        <v>7.5400000000000003E-5</v>
      </c>
      <c r="AG139" s="234">
        <v>7.5400000000000003E-5</v>
      </c>
    </row>
    <row r="140" spans="1:33">
      <c r="A140" s="113" t="s">
        <v>18721</v>
      </c>
      <c r="B140" s="113" t="s">
        <v>18783</v>
      </c>
      <c r="C140" s="113" t="s">
        <v>18769</v>
      </c>
      <c r="D140" s="113" t="s">
        <v>18784</v>
      </c>
      <c r="E140" s="113" t="s">
        <v>1544</v>
      </c>
      <c r="F140" s="113" t="s">
        <v>598</v>
      </c>
      <c r="G140" s="113" t="s">
        <v>599</v>
      </c>
      <c r="H140" s="113" t="s">
        <v>2266</v>
      </c>
      <c r="I140" s="113" t="s">
        <v>2267</v>
      </c>
      <c r="J140" s="113">
        <v>1.9470999999999999E-2</v>
      </c>
      <c r="K140" s="113">
        <v>1.9550999999999999E-2</v>
      </c>
      <c r="L140" s="113">
        <v>1.9630999999999999E-2</v>
      </c>
      <c r="M140" s="113">
        <v>1.9709999999999998E-2</v>
      </c>
      <c r="N140" s="113">
        <v>1.9789999999999999E-2</v>
      </c>
      <c r="O140" s="113">
        <v>1.9869999999999999E-2</v>
      </c>
      <c r="P140" s="113">
        <v>1.9949999999999999E-2</v>
      </c>
      <c r="Q140" s="113">
        <v>2.0029999999999999E-2</v>
      </c>
      <c r="R140" s="113">
        <v>2.0109999999999999E-2</v>
      </c>
      <c r="S140" s="113">
        <v>2.019E-2</v>
      </c>
      <c r="T140" s="113">
        <v>2.0268999999999999E-2</v>
      </c>
      <c r="U140" s="113">
        <v>2.0348999999999999E-2</v>
      </c>
      <c r="V140" s="113">
        <v>2.0428999999999999E-2</v>
      </c>
      <c r="W140" s="113">
        <v>2.0508999999999999E-2</v>
      </c>
      <c r="X140" s="113">
        <v>2.0589E-2</v>
      </c>
      <c r="Y140" s="113">
        <v>2.0669E-2</v>
      </c>
      <c r="Z140" s="113">
        <v>2.0749E-2</v>
      </c>
      <c r="AA140" s="113">
        <v>2.0827999999999999E-2</v>
      </c>
      <c r="AB140" s="113">
        <v>2.0908E-2</v>
      </c>
      <c r="AC140" s="113">
        <v>2.0988E-2</v>
      </c>
      <c r="AD140" s="113">
        <v>2.1068E-2</v>
      </c>
      <c r="AE140" s="113">
        <v>2.1148E-2</v>
      </c>
      <c r="AF140" s="113">
        <v>2.1228E-2</v>
      </c>
      <c r="AG140" s="113">
        <v>2.1308000000000001E-2</v>
      </c>
    </row>
    <row r="141" spans="1:33">
      <c r="A141" s="113" t="s">
        <v>18721</v>
      </c>
      <c r="B141" s="113" t="s">
        <v>18785</v>
      </c>
      <c r="C141" s="113" t="s">
        <v>18769</v>
      </c>
      <c r="D141" s="113" t="s">
        <v>18786</v>
      </c>
      <c r="E141" s="113" t="s">
        <v>1544</v>
      </c>
      <c r="F141" s="113" t="s">
        <v>598</v>
      </c>
      <c r="G141" s="113" t="s">
        <v>599</v>
      </c>
      <c r="H141" s="113" t="s">
        <v>2266</v>
      </c>
      <c r="I141" s="113" t="s">
        <v>2267</v>
      </c>
      <c r="J141" s="113">
        <v>1.34E-4</v>
      </c>
      <c r="K141" s="113">
        <v>1.2899999999999999E-4</v>
      </c>
      <c r="L141" s="113">
        <v>1.25E-4</v>
      </c>
      <c r="M141" s="113">
        <v>1.21E-4</v>
      </c>
      <c r="N141" s="113">
        <v>1.17E-4</v>
      </c>
      <c r="O141" s="113">
        <v>1.13E-4</v>
      </c>
      <c r="P141" s="113">
        <v>1.0900000000000001E-4</v>
      </c>
      <c r="Q141" s="113">
        <v>1.05E-4</v>
      </c>
      <c r="R141" s="113">
        <v>1.03E-4</v>
      </c>
      <c r="S141" s="113">
        <v>1E-4</v>
      </c>
      <c r="T141" s="234">
        <v>9.7499999999999998E-5</v>
      </c>
      <c r="U141" s="234">
        <v>9.4900000000000003E-5</v>
      </c>
      <c r="V141" s="234">
        <v>9.2299999999999994E-5</v>
      </c>
      <c r="W141" s="234">
        <v>8.9800000000000001E-5</v>
      </c>
      <c r="X141" s="234">
        <v>8.7200000000000005E-5</v>
      </c>
      <c r="Y141" s="234">
        <v>8.4599999999999996E-5</v>
      </c>
      <c r="Z141" s="234">
        <v>8.2100000000000003E-5</v>
      </c>
      <c r="AA141" s="234">
        <v>7.9499999999999994E-5</v>
      </c>
      <c r="AB141" s="234">
        <v>7.6899999999999999E-5</v>
      </c>
      <c r="AC141" s="234">
        <v>7.4300000000000004E-5</v>
      </c>
      <c r="AD141" s="234">
        <v>7.1799999999999997E-5</v>
      </c>
      <c r="AE141" s="234">
        <v>6.9200000000000002E-5</v>
      </c>
      <c r="AF141" s="234">
        <v>6.6600000000000006E-5</v>
      </c>
      <c r="AG141" s="234">
        <v>6.41E-5</v>
      </c>
    </row>
    <row r="142" spans="1:33">
      <c r="A142" s="113" t="s">
        <v>18721</v>
      </c>
      <c r="B142" s="113" t="s">
        <v>18768</v>
      </c>
      <c r="C142" s="113" t="s">
        <v>18769</v>
      </c>
      <c r="D142" s="113" t="s">
        <v>18770</v>
      </c>
      <c r="E142" s="113" t="s">
        <v>781</v>
      </c>
      <c r="F142" s="113" t="s">
        <v>598</v>
      </c>
      <c r="G142" s="113" t="s">
        <v>599</v>
      </c>
      <c r="H142" s="113" t="s">
        <v>2266</v>
      </c>
      <c r="I142" s="113" t="s">
        <v>2267</v>
      </c>
      <c r="J142" s="113">
        <v>0.23793</v>
      </c>
      <c r="K142" s="113">
        <v>0.25510899999999997</v>
      </c>
      <c r="L142" s="113">
        <v>0.28431899999999999</v>
      </c>
      <c r="M142" s="113">
        <v>0.284246</v>
      </c>
      <c r="N142" s="113">
        <v>0.28593299999999999</v>
      </c>
      <c r="O142" s="113">
        <v>0.30993399999999999</v>
      </c>
      <c r="P142" s="113">
        <v>0.30921500000000002</v>
      </c>
      <c r="Q142" s="113">
        <v>0.33415600000000001</v>
      </c>
      <c r="R142" s="113">
        <v>0.33440500000000001</v>
      </c>
      <c r="S142" s="113">
        <v>0.36035800000000001</v>
      </c>
      <c r="T142" s="113">
        <v>0.361649</v>
      </c>
      <c r="U142" s="113">
        <v>0.38870199999999999</v>
      </c>
      <c r="V142" s="113">
        <v>0.391123</v>
      </c>
      <c r="W142" s="113">
        <v>0.41934900000000003</v>
      </c>
      <c r="X142" s="113">
        <v>0.42300199999999999</v>
      </c>
      <c r="Y142" s="113">
        <v>0.45249099999999998</v>
      </c>
      <c r="Z142" s="113">
        <v>0.45747900000000002</v>
      </c>
      <c r="AA142" s="113">
        <v>0.488346</v>
      </c>
      <c r="AB142" s="113">
        <v>0.49477199999999999</v>
      </c>
      <c r="AC142" s="113">
        <v>0.52713600000000005</v>
      </c>
      <c r="AD142" s="113">
        <v>0.53510199999999997</v>
      </c>
      <c r="AE142" s="113">
        <v>0.56908000000000003</v>
      </c>
      <c r="AF142" s="113">
        <v>0.57871799999999995</v>
      </c>
      <c r="AG142" s="113">
        <v>0.61444200000000004</v>
      </c>
    </row>
    <row r="143" spans="1:33">
      <c r="A143" s="113" t="s">
        <v>18721</v>
      </c>
      <c r="B143" s="113" t="s">
        <v>18771</v>
      </c>
      <c r="C143" s="113" t="s">
        <v>18769</v>
      </c>
      <c r="D143" s="113" t="s">
        <v>18772</v>
      </c>
      <c r="E143" s="113" t="s">
        <v>781</v>
      </c>
      <c r="F143" s="113" t="s">
        <v>598</v>
      </c>
      <c r="G143" s="113" t="s">
        <v>599</v>
      </c>
      <c r="H143" s="113" t="s">
        <v>2266</v>
      </c>
      <c r="I143" s="113" t="s">
        <v>2267</v>
      </c>
      <c r="J143" s="113">
        <v>3.4859999999999999E-3</v>
      </c>
      <c r="K143" s="113">
        <v>3.532E-3</v>
      </c>
      <c r="L143" s="113">
        <v>3.5769999999999999E-3</v>
      </c>
      <c r="M143" s="113">
        <v>3.6229999999999999E-3</v>
      </c>
      <c r="N143" s="113">
        <v>3.669E-3</v>
      </c>
      <c r="O143" s="113">
        <v>3.715E-3</v>
      </c>
      <c r="P143" s="113">
        <v>3.7599999999999999E-3</v>
      </c>
      <c r="Q143" s="113">
        <v>3.8059999999999999E-3</v>
      </c>
      <c r="R143" s="113">
        <v>3.852E-3</v>
      </c>
      <c r="S143" s="113">
        <v>3.8969999999999999E-3</v>
      </c>
      <c r="T143" s="113">
        <v>3.9430000000000003E-3</v>
      </c>
      <c r="U143" s="113">
        <v>3.9890000000000004E-3</v>
      </c>
      <c r="V143" s="113">
        <v>4.0350000000000004E-3</v>
      </c>
      <c r="W143" s="113">
        <v>4.0800000000000003E-3</v>
      </c>
      <c r="X143" s="113">
        <v>4.1260000000000003E-3</v>
      </c>
      <c r="Y143" s="113">
        <v>4.1720000000000004E-3</v>
      </c>
      <c r="Z143" s="113">
        <v>4.2180000000000004E-3</v>
      </c>
      <c r="AA143" s="113">
        <v>4.2630000000000003E-3</v>
      </c>
      <c r="AB143" s="113">
        <v>4.3090000000000003E-3</v>
      </c>
      <c r="AC143" s="113">
        <v>4.3550000000000004E-3</v>
      </c>
      <c r="AD143" s="113">
        <v>4.4000000000000003E-3</v>
      </c>
      <c r="AE143" s="113">
        <v>4.4460000000000003E-3</v>
      </c>
      <c r="AF143" s="113">
        <v>4.4920000000000003E-3</v>
      </c>
      <c r="AG143" s="113">
        <v>4.5380000000000004E-3</v>
      </c>
    </row>
    <row r="144" spans="1:33" ht="15.75" thickBot="1">
      <c r="A144" s="239" t="s">
        <v>18721</v>
      </c>
      <c r="B144" s="239" t="s">
        <v>18773</v>
      </c>
      <c r="C144" s="239" t="s">
        <v>18769</v>
      </c>
      <c r="D144" s="239" t="s">
        <v>18774</v>
      </c>
      <c r="E144" s="239" t="s">
        <v>781</v>
      </c>
      <c r="F144" s="239" t="s">
        <v>598</v>
      </c>
      <c r="G144" s="239" t="s">
        <v>599</v>
      </c>
      <c r="H144" s="239" t="s">
        <v>2266</v>
      </c>
      <c r="I144" s="239" t="s">
        <v>2267</v>
      </c>
      <c r="J144" s="239">
        <v>4.5510000000000004E-3</v>
      </c>
      <c r="K144" s="239">
        <v>4.6100000000000004E-3</v>
      </c>
      <c r="L144" s="239">
        <v>4.6699999999999997E-3</v>
      </c>
      <c r="M144" s="239">
        <v>4.7299999999999998E-3</v>
      </c>
      <c r="N144" s="239">
        <v>4.7889999999999999E-3</v>
      </c>
      <c r="O144" s="239">
        <v>4.849E-3</v>
      </c>
      <c r="P144" s="239">
        <v>4.908E-3</v>
      </c>
      <c r="Q144" s="239">
        <v>4.9680000000000002E-3</v>
      </c>
      <c r="R144" s="239">
        <v>5.0270000000000002E-3</v>
      </c>
      <c r="S144" s="239">
        <v>5.0870000000000004E-3</v>
      </c>
      <c r="T144" s="239">
        <v>5.1469999999999997E-3</v>
      </c>
      <c r="U144" s="239">
        <v>5.2059999999999997E-3</v>
      </c>
      <c r="V144" s="239">
        <v>5.2659999999999998E-3</v>
      </c>
      <c r="W144" s="239">
        <v>5.3249999999999999E-3</v>
      </c>
      <c r="X144" s="239">
        <v>5.385E-3</v>
      </c>
      <c r="Y144" s="239">
        <v>5.4440000000000001E-3</v>
      </c>
      <c r="Z144" s="239">
        <v>5.5040000000000002E-3</v>
      </c>
      <c r="AA144" s="239">
        <v>5.5630000000000002E-3</v>
      </c>
      <c r="AB144" s="239">
        <v>5.6230000000000004E-3</v>
      </c>
      <c r="AC144" s="239">
        <v>5.6829999999999997E-3</v>
      </c>
      <c r="AD144" s="239">
        <v>5.7419999999999997E-3</v>
      </c>
      <c r="AE144" s="239">
        <v>5.8019999999999999E-3</v>
      </c>
      <c r="AF144" s="239">
        <v>5.8609999999999999E-3</v>
      </c>
      <c r="AG144" s="239">
        <v>5.9220000000000002E-3</v>
      </c>
    </row>
    <row r="145" spans="1:33">
      <c r="A145" s="2" t="s">
        <v>18775</v>
      </c>
      <c r="J145" s="29">
        <f t="shared" ref="J145:AG145" si="45">SUM(J139:J144)</f>
        <v>0.26564740000000003</v>
      </c>
      <c r="K145" s="29">
        <f t="shared" si="45"/>
        <v>0.28300639999999994</v>
      </c>
      <c r="L145" s="29">
        <f t="shared" si="45"/>
        <v>0.31239739999999999</v>
      </c>
      <c r="M145" s="29">
        <f t="shared" si="45"/>
        <v>0.31250539999999999</v>
      </c>
      <c r="N145" s="29">
        <f t="shared" si="45"/>
        <v>0.31437339999999997</v>
      </c>
      <c r="O145" s="29">
        <f t="shared" si="45"/>
        <v>0.33855639999999998</v>
      </c>
      <c r="P145" s="29">
        <f t="shared" si="45"/>
        <v>0.33801740000000002</v>
      </c>
      <c r="Q145" s="29">
        <f t="shared" si="45"/>
        <v>0.36314040000000003</v>
      </c>
      <c r="R145" s="29">
        <f t="shared" si="45"/>
        <v>0.36357240000000002</v>
      </c>
      <c r="S145" s="29">
        <f t="shared" si="45"/>
        <v>0.38970739999999998</v>
      </c>
      <c r="T145" s="29">
        <f t="shared" si="45"/>
        <v>0.3911809</v>
      </c>
      <c r="U145" s="29">
        <f t="shared" si="45"/>
        <v>0.41841630000000002</v>
      </c>
      <c r="V145" s="29">
        <f t="shared" si="45"/>
        <v>0.42102070000000003</v>
      </c>
      <c r="W145" s="29">
        <f t="shared" si="45"/>
        <v>0.44942820000000006</v>
      </c>
      <c r="X145" s="29">
        <f t="shared" si="45"/>
        <v>0.45326459999999996</v>
      </c>
      <c r="Y145" s="29">
        <f t="shared" si="45"/>
        <v>0.48293599999999998</v>
      </c>
      <c r="Z145" s="29">
        <f t="shared" si="45"/>
        <v>0.48810750000000003</v>
      </c>
      <c r="AA145" s="29">
        <f t="shared" si="45"/>
        <v>0.51915489999999997</v>
      </c>
      <c r="AB145" s="29">
        <f t="shared" si="45"/>
        <v>0.52576430000000007</v>
      </c>
      <c r="AC145" s="29">
        <f t="shared" si="45"/>
        <v>0.55831170000000008</v>
      </c>
      <c r="AD145" s="29">
        <f t="shared" si="45"/>
        <v>0.56645919999999994</v>
      </c>
      <c r="AE145" s="29">
        <f t="shared" si="45"/>
        <v>0.60062059999999995</v>
      </c>
      <c r="AF145" s="29">
        <f t="shared" si="45"/>
        <v>0.61044100000000001</v>
      </c>
      <c r="AG145" s="29">
        <f t="shared" si="45"/>
        <v>0.64634950000000002</v>
      </c>
    </row>
    <row r="147" spans="1:33" ht="15.75" thickBot="1">
      <c r="A147" s="242" t="s">
        <v>569</v>
      </c>
      <c r="B147" s="242" t="s">
        <v>570</v>
      </c>
      <c r="C147" s="242" t="s">
        <v>571</v>
      </c>
      <c r="D147" s="242" t="s">
        <v>572</v>
      </c>
      <c r="E147" s="242" t="s">
        <v>573</v>
      </c>
      <c r="F147" s="242" t="s">
        <v>574</v>
      </c>
      <c r="G147" s="242" t="s">
        <v>575</v>
      </c>
      <c r="H147" s="242" t="s">
        <v>576</v>
      </c>
      <c r="I147" s="242" t="s">
        <v>577</v>
      </c>
      <c r="J147" s="242">
        <v>2023</v>
      </c>
      <c r="K147" s="242">
        <v>2024</v>
      </c>
      <c r="L147" s="242">
        <v>2025</v>
      </c>
      <c r="M147" s="242">
        <v>2026</v>
      </c>
      <c r="N147" s="242">
        <v>2027</v>
      </c>
      <c r="O147" s="242">
        <v>2028</v>
      </c>
      <c r="P147" s="242">
        <v>2029</v>
      </c>
      <c r="Q147" s="242">
        <v>2030</v>
      </c>
      <c r="R147" s="242">
        <v>2031</v>
      </c>
      <c r="S147" s="242">
        <v>2032</v>
      </c>
      <c r="T147" s="242">
        <v>2033</v>
      </c>
      <c r="U147" s="242">
        <v>2034</v>
      </c>
      <c r="V147" s="242">
        <v>2035</v>
      </c>
      <c r="W147" s="242">
        <v>2036</v>
      </c>
      <c r="X147" s="242">
        <v>2037</v>
      </c>
      <c r="Y147" s="242">
        <v>2038</v>
      </c>
      <c r="Z147" s="242">
        <v>2039</v>
      </c>
      <c r="AA147" s="242">
        <v>2040</v>
      </c>
      <c r="AB147" s="242">
        <v>2041</v>
      </c>
      <c r="AC147" s="242">
        <v>2042</v>
      </c>
      <c r="AD147" s="242">
        <v>2043</v>
      </c>
      <c r="AE147" s="242">
        <v>2044</v>
      </c>
      <c r="AF147" s="242">
        <v>2045</v>
      </c>
      <c r="AG147" s="242">
        <v>2046</v>
      </c>
    </row>
    <row r="148" spans="1:33">
      <c r="A148" s="113" t="s">
        <v>18727</v>
      </c>
      <c r="B148" s="113" t="s">
        <v>18783</v>
      </c>
      <c r="C148" s="113" t="s">
        <v>18769</v>
      </c>
      <c r="D148" s="113" t="s">
        <v>18784</v>
      </c>
      <c r="E148" s="113" t="s">
        <v>1544</v>
      </c>
      <c r="F148" s="113" t="s">
        <v>598</v>
      </c>
      <c r="G148" s="113" t="s">
        <v>599</v>
      </c>
      <c r="H148" s="113" t="s">
        <v>2266</v>
      </c>
      <c r="I148" s="113" t="s">
        <v>2267</v>
      </c>
      <c r="J148" s="113">
        <v>0.16345199999999999</v>
      </c>
      <c r="K148" s="113">
        <v>0.16375899999999999</v>
      </c>
      <c r="L148" s="113">
        <v>0.164107</v>
      </c>
      <c r="M148" s="113">
        <v>0.16441500000000001</v>
      </c>
      <c r="N148" s="113">
        <v>0.16476299999999999</v>
      </c>
      <c r="O148" s="113">
        <v>0.16509799999999999</v>
      </c>
      <c r="P148" s="113">
        <v>0.16544600000000001</v>
      </c>
      <c r="Q148" s="113">
        <v>0.16575300000000001</v>
      </c>
      <c r="R148" s="113">
        <v>0.16606099999999999</v>
      </c>
      <c r="S148" s="113">
        <v>0.16633800000000001</v>
      </c>
      <c r="T148" s="113">
        <v>0.16647000000000001</v>
      </c>
      <c r="U148" s="113">
        <v>0.16667000000000001</v>
      </c>
      <c r="V148" s="113">
        <v>0.16680200000000001</v>
      </c>
      <c r="W148" s="113">
        <v>0.16700100000000001</v>
      </c>
      <c r="X148" s="113">
        <v>0.16717399999999999</v>
      </c>
      <c r="Y148" s="113">
        <v>0.16717399999999999</v>
      </c>
      <c r="Z148" s="113">
        <v>0.16717399999999999</v>
      </c>
      <c r="AA148" s="113">
        <v>0.16717399999999999</v>
      </c>
      <c r="AB148" s="113">
        <v>0.16717399999999999</v>
      </c>
      <c r="AC148" s="113">
        <v>0.16717399999999999</v>
      </c>
      <c r="AD148" s="113">
        <v>0.16717399999999999</v>
      </c>
      <c r="AE148" s="113">
        <v>0.16717399999999999</v>
      </c>
      <c r="AF148" s="113">
        <v>0.16717399999999999</v>
      </c>
      <c r="AG148" s="113">
        <v>0.16717399999999999</v>
      </c>
    </row>
    <row r="149" spans="1:33">
      <c r="A149" s="113" t="s">
        <v>18727</v>
      </c>
      <c r="B149" s="113" t="s">
        <v>18785</v>
      </c>
      <c r="C149" s="113" t="s">
        <v>18769</v>
      </c>
      <c r="D149" s="113" t="s">
        <v>18786</v>
      </c>
      <c r="E149" s="113" t="s">
        <v>1544</v>
      </c>
      <c r="F149" s="113" t="s">
        <v>598</v>
      </c>
      <c r="G149" s="113" t="s">
        <v>599</v>
      </c>
      <c r="H149" s="113" t="s">
        <v>2266</v>
      </c>
      <c r="I149" s="113" t="s">
        <v>2267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0</v>
      </c>
      <c r="R149" s="113"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13">
        <v>0</v>
      </c>
      <c r="AG149" s="113">
        <v>0</v>
      </c>
    </row>
    <row r="150" spans="1:33">
      <c r="A150" s="113" t="s">
        <v>18727</v>
      </c>
      <c r="B150" s="113" t="s">
        <v>18795</v>
      </c>
      <c r="C150" s="113" t="s">
        <v>18769</v>
      </c>
      <c r="D150" s="113" t="s">
        <v>18770</v>
      </c>
      <c r="E150" s="113" t="s">
        <v>894</v>
      </c>
      <c r="F150" s="113" t="s">
        <v>598</v>
      </c>
      <c r="G150" s="113" t="s">
        <v>599</v>
      </c>
      <c r="H150" s="113" t="s">
        <v>2266</v>
      </c>
      <c r="I150" s="113" t="s">
        <v>2267</v>
      </c>
      <c r="J150" s="113">
        <v>0.11076800000000001</v>
      </c>
      <c r="K150" s="113">
        <v>0.111655</v>
      </c>
      <c r="L150" s="113">
        <v>0.112482</v>
      </c>
      <c r="M150" s="113">
        <v>0.113369</v>
      </c>
      <c r="N150" s="113">
        <v>0.11425399999999999</v>
      </c>
      <c r="O150" s="113">
        <v>0.11514099999999999</v>
      </c>
      <c r="P150" s="113">
        <v>0.115969</v>
      </c>
      <c r="Q150" s="113">
        <v>0.116855</v>
      </c>
      <c r="R150" s="113">
        <v>0.117741</v>
      </c>
      <c r="S150" s="113">
        <v>0.117976</v>
      </c>
      <c r="T150" s="113">
        <v>0.11827</v>
      </c>
      <c r="U150" s="113">
        <v>0.118563</v>
      </c>
      <c r="V150" s="113">
        <v>0.118798</v>
      </c>
      <c r="W150" s="113">
        <v>0.119091</v>
      </c>
      <c r="X150" s="113">
        <v>0.119326</v>
      </c>
      <c r="Y150" s="113">
        <v>0.119326</v>
      </c>
      <c r="Z150" s="113">
        <v>0.119326</v>
      </c>
      <c r="AA150" s="113">
        <v>0.119326</v>
      </c>
      <c r="AB150" s="113">
        <v>0.119326</v>
      </c>
      <c r="AC150" s="113">
        <v>0.119326</v>
      </c>
      <c r="AD150" s="113">
        <v>0.119326</v>
      </c>
      <c r="AE150" s="113">
        <v>0.119326</v>
      </c>
      <c r="AF150" s="113">
        <v>0.119326</v>
      </c>
      <c r="AG150" s="113">
        <v>0.119326</v>
      </c>
    </row>
    <row r="151" spans="1:33">
      <c r="A151" s="113" t="s">
        <v>18727</v>
      </c>
      <c r="B151" s="113" t="s">
        <v>18796</v>
      </c>
      <c r="C151" s="113" t="s">
        <v>18769</v>
      </c>
      <c r="D151" s="113" t="s">
        <v>18772</v>
      </c>
      <c r="E151" s="113" t="s">
        <v>784</v>
      </c>
      <c r="F151" s="113" t="s">
        <v>598</v>
      </c>
      <c r="G151" s="113" t="s">
        <v>599</v>
      </c>
      <c r="H151" s="113" t="s">
        <v>2266</v>
      </c>
      <c r="I151" s="113" t="s">
        <v>2267</v>
      </c>
      <c r="J151" s="113">
        <v>0.13717699999999999</v>
      </c>
      <c r="K151" s="113">
        <v>0.14208799999999999</v>
      </c>
      <c r="L151" s="113">
        <v>0.147011</v>
      </c>
      <c r="M151" s="113">
        <v>0.15193499999999999</v>
      </c>
      <c r="N151" s="113">
        <v>0.156858</v>
      </c>
      <c r="O151" s="113">
        <v>0.16164300000000001</v>
      </c>
      <c r="P151" s="113">
        <v>0.16656599999999999</v>
      </c>
      <c r="Q151" s="113">
        <v>0.171489</v>
      </c>
      <c r="R151" s="113">
        <v>0.17641200000000001</v>
      </c>
      <c r="S151" s="113">
        <v>0.17719399999999999</v>
      </c>
      <c r="T151" s="113">
        <v>0.177954</v>
      </c>
      <c r="U151" s="113">
        <v>0.178735</v>
      </c>
      <c r="V151" s="113">
        <v>0.17951600000000001</v>
      </c>
      <c r="W151" s="113">
        <v>0.180289</v>
      </c>
      <c r="X151" s="113">
        <v>0.18107000000000001</v>
      </c>
      <c r="Y151" s="113">
        <v>0.18107000000000001</v>
      </c>
      <c r="Z151" s="113">
        <v>0.18107000000000001</v>
      </c>
      <c r="AA151" s="113">
        <v>0.18107000000000001</v>
      </c>
      <c r="AB151" s="113">
        <v>0.18107000000000001</v>
      </c>
      <c r="AC151" s="113">
        <v>0.18107000000000001</v>
      </c>
      <c r="AD151" s="113">
        <v>0.18107000000000001</v>
      </c>
      <c r="AE151" s="113">
        <v>0.18107000000000001</v>
      </c>
      <c r="AF151" s="113">
        <v>0.18107000000000001</v>
      </c>
      <c r="AG151" s="113">
        <v>0.18107000000000001</v>
      </c>
    </row>
    <row r="152" spans="1:33" ht="15.75" thickBot="1">
      <c r="A152" s="239" t="s">
        <v>18727</v>
      </c>
      <c r="B152" s="239" t="s">
        <v>18797</v>
      </c>
      <c r="C152" s="239" t="s">
        <v>18769</v>
      </c>
      <c r="D152" s="239" t="s">
        <v>18774</v>
      </c>
      <c r="E152" s="239" t="s">
        <v>784</v>
      </c>
      <c r="F152" s="239" t="s">
        <v>598</v>
      </c>
      <c r="G152" s="239" t="s">
        <v>599</v>
      </c>
      <c r="H152" s="239" t="s">
        <v>2266</v>
      </c>
      <c r="I152" s="239" t="s">
        <v>2267</v>
      </c>
      <c r="J152" s="239">
        <v>0.107473</v>
      </c>
      <c r="K152" s="239">
        <v>0.107669</v>
      </c>
      <c r="L152" s="239">
        <v>0.107887</v>
      </c>
      <c r="M152" s="239">
        <v>0.108143</v>
      </c>
      <c r="N152" s="239">
        <v>0.108362</v>
      </c>
      <c r="O152" s="239">
        <v>0.108574</v>
      </c>
      <c r="P152" s="239">
        <v>0.108792</v>
      </c>
      <c r="Q152" s="239">
        <v>0.10904800000000001</v>
      </c>
      <c r="R152" s="239">
        <v>0.10924399999999999</v>
      </c>
      <c r="S152" s="239">
        <v>0.109375</v>
      </c>
      <c r="T152" s="239">
        <v>0.109468</v>
      </c>
      <c r="U152" s="239">
        <v>0.109599</v>
      </c>
      <c r="V152" s="239">
        <v>0.109692</v>
      </c>
      <c r="W152" s="239">
        <v>0.10988299999999999</v>
      </c>
      <c r="X152" s="239">
        <v>0.109999</v>
      </c>
      <c r="Y152" s="239">
        <v>0.109999</v>
      </c>
      <c r="Z152" s="239">
        <v>0.109999</v>
      </c>
      <c r="AA152" s="239">
        <v>0.109999</v>
      </c>
      <c r="AB152" s="239">
        <v>0.109999</v>
      </c>
      <c r="AC152" s="239">
        <v>0.109999</v>
      </c>
      <c r="AD152" s="239">
        <v>0.109999</v>
      </c>
      <c r="AE152" s="239">
        <v>0.109999</v>
      </c>
      <c r="AF152" s="239">
        <v>0.109999</v>
      </c>
      <c r="AG152" s="239">
        <v>0.109999</v>
      </c>
    </row>
    <row r="153" spans="1:33">
      <c r="A153" s="2" t="s">
        <v>18775</v>
      </c>
      <c r="J153">
        <f t="shared" ref="J153:AG153" si="46">SUM(J148:J152)</f>
        <v>0.51887000000000005</v>
      </c>
      <c r="K153">
        <f t="shared" si="46"/>
        <v>0.52517099999999994</v>
      </c>
      <c r="L153">
        <f t="shared" si="46"/>
        <v>0.53148699999999993</v>
      </c>
      <c r="M153">
        <f t="shared" si="46"/>
        <v>0.53786200000000006</v>
      </c>
      <c r="N153">
        <f t="shared" si="46"/>
        <v>0.54423699999999997</v>
      </c>
      <c r="O153">
        <f t="shared" si="46"/>
        <v>0.55045600000000006</v>
      </c>
      <c r="P153">
        <f t="shared" si="46"/>
        <v>0.55677299999999996</v>
      </c>
      <c r="Q153">
        <f t="shared" si="46"/>
        <v>0.56314500000000001</v>
      </c>
      <c r="R153">
        <f t="shared" si="46"/>
        <v>0.56945800000000002</v>
      </c>
      <c r="S153">
        <f t="shared" si="46"/>
        <v>0.57088300000000003</v>
      </c>
      <c r="T153">
        <f t="shared" si="46"/>
        <v>0.57216199999999995</v>
      </c>
      <c r="U153">
        <f t="shared" si="46"/>
        <v>0.57356700000000005</v>
      </c>
      <c r="V153">
        <f t="shared" si="46"/>
        <v>0.57480799999999999</v>
      </c>
      <c r="W153">
        <f t="shared" si="46"/>
        <v>0.576264</v>
      </c>
      <c r="X153">
        <f t="shared" si="46"/>
        <v>0.577569</v>
      </c>
      <c r="Y153">
        <f t="shared" si="46"/>
        <v>0.577569</v>
      </c>
      <c r="Z153">
        <f t="shared" si="46"/>
        <v>0.577569</v>
      </c>
      <c r="AA153">
        <f t="shared" si="46"/>
        <v>0.577569</v>
      </c>
      <c r="AB153">
        <f t="shared" si="46"/>
        <v>0.577569</v>
      </c>
      <c r="AC153">
        <f t="shared" si="46"/>
        <v>0.577569</v>
      </c>
      <c r="AD153">
        <f t="shared" si="46"/>
        <v>0.577569</v>
      </c>
      <c r="AE153">
        <f t="shared" si="46"/>
        <v>0.577569</v>
      </c>
      <c r="AF153">
        <f t="shared" si="46"/>
        <v>0.577569</v>
      </c>
      <c r="AG153">
        <f t="shared" si="46"/>
        <v>0.577569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>
    <tabColor rgb="FFFFC000"/>
  </sheetPr>
  <dimension ref="A1:Y3831"/>
  <sheetViews>
    <sheetView workbookViewId="0">
      <selection activeCell="C5" sqref="C5"/>
    </sheetView>
  </sheetViews>
  <sheetFormatPr defaultRowHeight="15"/>
  <cols>
    <col min="1" max="6" width="9.5703125" customWidth="1"/>
    <col min="7" max="7" width="11.7109375" customWidth="1"/>
    <col min="8" max="8" width="9.5703125" customWidth="1"/>
    <col min="9" max="9" width="14.5703125" customWidth="1"/>
    <col min="10" max="25" width="10.5703125" customWidth="1"/>
  </cols>
  <sheetData>
    <row r="1" spans="1:25">
      <c r="A1" t="s">
        <v>569</v>
      </c>
      <c r="B1" t="s">
        <v>570</v>
      </c>
      <c r="C1" t="s">
        <v>571</v>
      </c>
      <c r="D1" t="s">
        <v>572</v>
      </c>
      <c r="E1" t="s">
        <v>573</v>
      </c>
      <c r="F1" t="s">
        <v>574</v>
      </c>
      <c r="G1" t="s">
        <v>575</v>
      </c>
      <c r="H1" t="s">
        <v>576</v>
      </c>
      <c r="I1" t="s">
        <v>577</v>
      </c>
      <c r="J1" t="s">
        <v>578</v>
      </c>
      <c r="K1" t="s">
        <v>579</v>
      </c>
      <c r="L1" t="s">
        <v>580</v>
      </c>
      <c r="M1" t="s">
        <v>581</v>
      </c>
      <c r="N1" t="s">
        <v>582</v>
      </c>
      <c r="O1" t="s">
        <v>583</v>
      </c>
      <c r="P1" t="s">
        <v>584</v>
      </c>
      <c r="Q1" t="s">
        <v>585</v>
      </c>
      <c r="R1" t="s">
        <v>586</v>
      </c>
      <c r="S1" t="s">
        <v>587</v>
      </c>
      <c r="T1" t="s">
        <v>588</v>
      </c>
      <c r="U1" t="s">
        <v>589</v>
      </c>
      <c r="V1" t="s">
        <v>590</v>
      </c>
      <c r="W1" t="s">
        <v>591</v>
      </c>
      <c r="X1" t="s">
        <v>592</v>
      </c>
      <c r="Y1" t="s">
        <v>593</v>
      </c>
    </row>
    <row r="2" spans="1:25">
      <c r="A2" t="s">
        <v>18799</v>
      </c>
      <c r="B2" t="s">
        <v>627</v>
      </c>
      <c r="C2" t="s">
        <v>595</v>
      </c>
      <c r="D2" t="s">
        <v>621</v>
      </c>
      <c r="E2" t="s">
        <v>628</v>
      </c>
      <c r="F2" t="s">
        <v>598</v>
      </c>
      <c r="G2" t="s">
        <v>599</v>
      </c>
      <c r="H2" t="s">
        <v>600</v>
      </c>
      <c r="I2" t="s">
        <v>601</v>
      </c>
      <c r="J2">
        <v>5.1999999999999998E-3</v>
      </c>
      <c r="K2">
        <v>5.1999999999999998E-3</v>
      </c>
      <c r="L2">
        <v>5.1999999999999998E-3</v>
      </c>
      <c r="M2">
        <v>5.1999999999999998E-3</v>
      </c>
      <c r="N2">
        <v>5.1999999999999998E-3</v>
      </c>
      <c r="O2">
        <v>5.1999999999999998E-3</v>
      </c>
      <c r="P2">
        <v>5.1999999999999998E-3</v>
      </c>
      <c r="Q2">
        <v>5.1999999999999998E-3</v>
      </c>
      <c r="R2">
        <v>5.1999999999999998E-3</v>
      </c>
      <c r="S2">
        <v>5.1999999999999998E-3</v>
      </c>
      <c r="T2">
        <v>5.1999999999999998E-3</v>
      </c>
      <c r="U2">
        <v>5.1999999999999998E-3</v>
      </c>
      <c r="V2">
        <v>5.1999999999999998E-3</v>
      </c>
      <c r="W2">
        <v>5.1999999999999998E-3</v>
      </c>
      <c r="X2">
        <v>5.1999999999999998E-3</v>
      </c>
      <c r="Y2">
        <v>5.1999999999999998E-3</v>
      </c>
    </row>
    <row r="3" spans="1:25">
      <c r="A3" t="s">
        <v>18799</v>
      </c>
      <c r="B3" t="s">
        <v>629</v>
      </c>
      <c r="C3" t="s">
        <v>595</v>
      </c>
      <c r="D3" t="s">
        <v>621</v>
      </c>
      <c r="E3" t="s">
        <v>630</v>
      </c>
      <c r="F3" t="s">
        <v>598</v>
      </c>
      <c r="G3" t="s">
        <v>599</v>
      </c>
      <c r="H3" t="s">
        <v>600</v>
      </c>
      <c r="I3" t="s">
        <v>601</v>
      </c>
      <c r="J3">
        <v>1.1000000000000001E-3</v>
      </c>
      <c r="K3">
        <v>1.1000000000000001E-3</v>
      </c>
      <c r="L3">
        <v>1.1000000000000001E-3</v>
      </c>
      <c r="M3">
        <v>1.1000000000000001E-3</v>
      </c>
      <c r="N3">
        <v>1.1000000000000001E-3</v>
      </c>
      <c r="O3">
        <v>1.1000000000000001E-3</v>
      </c>
      <c r="P3">
        <v>1.1000000000000001E-3</v>
      </c>
      <c r="Q3">
        <v>1.1000000000000001E-3</v>
      </c>
      <c r="R3">
        <v>1.1000000000000001E-3</v>
      </c>
      <c r="S3">
        <v>1.1000000000000001E-3</v>
      </c>
      <c r="T3">
        <v>1.1000000000000001E-3</v>
      </c>
      <c r="U3">
        <v>1.1000000000000001E-3</v>
      </c>
      <c r="V3">
        <v>1.1000000000000001E-3</v>
      </c>
      <c r="W3">
        <v>1.1000000000000001E-3</v>
      </c>
      <c r="X3">
        <v>1.1000000000000001E-3</v>
      </c>
      <c r="Y3">
        <v>1.1000000000000001E-3</v>
      </c>
    </row>
    <row r="4" spans="1:25">
      <c r="A4" t="s">
        <v>18799</v>
      </c>
      <c r="B4" t="s">
        <v>644</v>
      </c>
      <c r="C4" t="s">
        <v>595</v>
      </c>
      <c r="D4" t="s">
        <v>645</v>
      </c>
      <c r="E4" t="s">
        <v>646</v>
      </c>
      <c r="F4" t="s">
        <v>598</v>
      </c>
      <c r="G4" t="s">
        <v>599</v>
      </c>
      <c r="H4" t="s">
        <v>600</v>
      </c>
      <c r="I4" t="s">
        <v>601</v>
      </c>
      <c r="J4">
        <v>5.6000000000000001E-2</v>
      </c>
      <c r="K4">
        <v>5.6000000000000001E-2</v>
      </c>
      <c r="L4">
        <v>5.6000000000000001E-2</v>
      </c>
      <c r="M4">
        <v>5.6000000000000001E-2</v>
      </c>
      <c r="N4">
        <v>5.6000000000000001E-2</v>
      </c>
      <c r="O4">
        <v>5.6000000000000001E-2</v>
      </c>
      <c r="P4">
        <v>5.6000000000000001E-2</v>
      </c>
      <c r="Q4">
        <v>5.6000000000000001E-2</v>
      </c>
      <c r="R4">
        <v>5.6000000000000001E-2</v>
      </c>
      <c r="S4">
        <v>5.6000000000000001E-2</v>
      </c>
      <c r="T4">
        <v>5.6000000000000001E-2</v>
      </c>
      <c r="U4">
        <v>5.6000000000000001E-2</v>
      </c>
      <c r="V4">
        <v>5.6000000000000001E-2</v>
      </c>
      <c r="W4">
        <v>5.6000000000000001E-2</v>
      </c>
      <c r="X4">
        <v>5.6000000000000001E-2</v>
      </c>
      <c r="Y4">
        <v>5.6000000000000001E-2</v>
      </c>
    </row>
    <row r="5" spans="1:25">
      <c r="A5" t="s">
        <v>18799</v>
      </c>
      <c r="B5" t="s">
        <v>647</v>
      </c>
      <c r="C5" t="s">
        <v>595</v>
      </c>
      <c r="D5" t="s">
        <v>648</v>
      </c>
      <c r="E5" t="s">
        <v>649</v>
      </c>
      <c r="F5" t="s">
        <v>598</v>
      </c>
      <c r="G5" t="s">
        <v>599</v>
      </c>
      <c r="H5" t="s">
        <v>600</v>
      </c>
      <c r="I5" t="s">
        <v>601</v>
      </c>
      <c r="J5">
        <v>0.24629999999999999</v>
      </c>
      <c r="K5">
        <v>0.24629999999999999</v>
      </c>
      <c r="L5">
        <v>0.24629999999999999</v>
      </c>
      <c r="M5">
        <v>0.24629999999999999</v>
      </c>
      <c r="N5">
        <v>0.24629999999999999</v>
      </c>
      <c r="O5">
        <v>0.24629999999999999</v>
      </c>
      <c r="P5">
        <v>0.24629999999999999</v>
      </c>
      <c r="Q5">
        <v>0.24629999999999999</v>
      </c>
      <c r="R5">
        <v>0.24629999999999999</v>
      </c>
      <c r="S5">
        <v>0.24629999999999999</v>
      </c>
      <c r="T5">
        <v>0.24629999999999999</v>
      </c>
      <c r="U5">
        <v>0.24629999999999999</v>
      </c>
      <c r="V5">
        <v>0.24629999999999999</v>
      </c>
      <c r="W5">
        <v>0.24629999999999999</v>
      </c>
      <c r="X5">
        <v>0.24629999999999999</v>
      </c>
      <c r="Y5">
        <v>0.24629999999999999</v>
      </c>
    </row>
    <row r="6" spans="1:25" hidden="1">
      <c r="A6" t="s">
        <v>18799</v>
      </c>
      <c r="B6" t="s">
        <v>771</v>
      </c>
      <c r="C6" t="s">
        <v>729</v>
      </c>
      <c r="D6" t="s">
        <v>621</v>
      </c>
      <c r="E6" t="s">
        <v>692</v>
      </c>
      <c r="F6" t="s">
        <v>598</v>
      </c>
      <c r="G6" t="s">
        <v>599</v>
      </c>
      <c r="H6" t="s">
        <v>600</v>
      </c>
      <c r="I6" t="s">
        <v>601</v>
      </c>
      <c r="J6">
        <v>2.8E-3</v>
      </c>
      <c r="K6">
        <v>2.8E-3</v>
      </c>
      <c r="L6">
        <v>2.8E-3</v>
      </c>
      <c r="M6">
        <v>2.8E-3</v>
      </c>
      <c r="N6">
        <v>2.8E-3</v>
      </c>
      <c r="O6">
        <v>2.8E-3</v>
      </c>
      <c r="P6">
        <v>2.8E-3</v>
      </c>
      <c r="Q6">
        <v>2.8E-3</v>
      </c>
      <c r="R6">
        <v>2.8E-3</v>
      </c>
      <c r="S6">
        <v>2.8E-3</v>
      </c>
      <c r="T6">
        <v>2.8E-3</v>
      </c>
      <c r="U6">
        <v>2.8E-3</v>
      </c>
      <c r="V6">
        <v>2.8E-3</v>
      </c>
      <c r="W6">
        <v>2.8E-3</v>
      </c>
      <c r="X6">
        <v>2.8E-3</v>
      </c>
      <c r="Y6">
        <v>2.8E-3</v>
      </c>
    </row>
    <row r="7" spans="1:25" hidden="1">
      <c r="A7" t="s">
        <v>18799</v>
      </c>
      <c r="B7" t="s">
        <v>786</v>
      </c>
      <c r="C7" t="s">
        <v>729</v>
      </c>
      <c r="D7" t="s">
        <v>640</v>
      </c>
      <c r="E7" t="s">
        <v>642</v>
      </c>
      <c r="F7" t="s">
        <v>598</v>
      </c>
      <c r="G7" t="s">
        <v>599</v>
      </c>
      <c r="H7" t="s">
        <v>600</v>
      </c>
      <c r="I7" t="s">
        <v>601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hidden="1">
      <c r="A8" t="s">
        <v>18799</v>
      </c>
      <c r="B8" t="s">
        <v>791</v>
      </c>
      <c r="C8" t="s">
        <v>729</v>
      </c>
      <c r="D8" t="s">
        <v>640</v>
      </c>
      <c r="E8" t="s">
        <v>619</v>
      </c>
      <c r="F8" t="s">
        <v>598</v>
      </c>
      <c r="G8" t="s">
        <v>599</v>
      </c>
      <c r="H8" t="s">
        <v>600</v>
      </c>
      <c r="I8" t="s">
        <v>601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hidden="1">
      <c r="A9" t="s">
        <v>18799</v>
      </c>
      <c r="B9" t="s">
        <v>796</v>
      </c>
      <c r="C9" t="s">
        <v>729</v>
      </c>
      <c r="D9" t="s">
        <v>648</v>
      </c>
      <c r="E9" t="s">
        <v>642</v>
      </c>
      <c r="F9" t="s">
        <v>598</v>
      </c>
      <c r="G9" t="s">
        <v>599</v>
      </c>
      <c r="H9" t="s">
        <v>600</v>
      </c>
      <c r="I9" t="s">
        <v>601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hidden="1">
      <c r="A10" t="s">
        <v>18799</v>
      </c>
      <c r="B10" t="s">
        <v>801</v>
      </c>
      <c r="C10" t="s">
        <v>729</v>
      </c>
      <c r="D10" t="s">
        <v>648</v>
      </c>
      <c r="E10" t="s">
        <v>619</v>
      </c>
      <c r="F10" t="s">
        <v>598</v>
      </c>
      <c r="G10" t="s">
        <v>599</v>
      </c>
      <c r="H10" t="s">
        <v>600</v>
      </c>
      <c r="I10" t="s">
        <v>601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hidden="1">
      <c r="A11" t="s">
        <v>18799</v>
      </c>
      <c r="B11" t="s">
        <v>802</v>
      </c>
      <c r="C11" t="s">
        <v>729</v>
      </c>
      <c r="D11" t="s">
        <v>648</v>
      </c>
      <c r="E11" t="s">
        <v>676</v>
      </c>
      <c r="F11" t="s">
        <v>598</v>
      </c>
      <c r="G11" t="s">
        <v>599</v>
      </c>
      <c r="H11" t="s">
        <v>600</v>
      </c>
      <c r="I11" t="s">
        <v>601</v>
      </c>
      <c r="J11">
        <v>2.2800000000000001E-2</v>
      </c>
      <c r="K11">
        <v>2.2800000000000001E-2</v>
      </c>
      <c r="L11">
        <v>2.2800000000000001E-2</v>
      </c>
      <c r="M11">
        <v>2.2800000000000001E-2</v>
      </c>
      <c r="N11">
        <v>2.2800000000000001E-2</v>
      </c>
      <c r="O11">
        <v>2.2800000000000001E-2</v>
      </c>
      <c r="P11">
        <v>2.2800000000000001E-2</v>
      </c>
      <c r="Q11">
        <v>2.2800000000000001E-2</v>
      </c>
      <c r="R11">
        <v>2.2800000000000001E-2</v>
      </c>
      <c r="S11">
        <v>2.2800000000000001E-2</v>
      </c>
      <c r="T11">
        <v>2.2800000000000001E-2</v>
      </c>
      <c r="U11">
        <v>2.2800000000000001E-2</v>
      </c>
      <c r="V11">
        <v>2.2800000000000001E-2</v>
      </c>
      <c r="W11">
        <v>2.2800000000000001E-2</v>
      </c>
      <c r="X11">
        <v>2.2800000000000001E-2</v>
      </c>
      <c r="Y11">
        <v>2.2800000000000001E-2</v>
      </c>
    </row>
    <row r="12" spans="1:25" hidden="1">
      <c r="A12" t="s">
        <v>18799</v>
      </c>
      <c r="B12" t="s">
        <v>830</v>
      </c>
      <c r="C12" t="s">
        <v>804</v>
      </c>
      <c r="D12" t="s">
        <v>828</v>
      </c>
      <c r="E12" t="s">
        <v>628</v>
      </c>
      <c r="F12" t="s">
        <v>831</v>
      </c>
      <c r="G12" t="s">
        <v>599</v>
      </c>
      <c r="H12" t="s">
        <v>600</v>
      </c>
      <c r="I12" t="s">
        <v>601</v>
      </c>
      <c r="J12">
        <v>3.0999999999999999E-3</v>
      </c>
      <c r="K12">
        <v>1.1999999999999999E-3</v>
      </c>
      <c r="L12">
        <v>1.1999999999999999E-3</v>
      </c>
      <c r="M12">
        <v>1.1999999999999999E-3</v>
      </c>
      <c r="N12">
        <v>1.1999999999999999E-3</v>
      </c>
      <c r="O12">
        <v>1.1999999999999999E-3</v>
      </c>
      <c r="P12">
        <v>1.1999999999999999E-3</v>
      </c>
      <c r="Q12">
        <v>1.1999999999999999E-3</v>
      </c>
      <c r="R12">
        <v>1.1000000000000001E-3</v>
      </c>
      <c r="S12">
        <v>1.1000000000000001E-3</v>
      </c>
      <c r="T12">
        <v>1E-3</v>
      </c>
      <c r="U12">
        <v>1E-3</v>
      </c>
      <c r="V12">
        <v>1E-3</v>
      </c>
      <c r="W12">
        <v>1E-3</v>
      </c>
      <c r="X12">
        <v>8.9999999999999998E-4</v>
      </c>
      <c r="Y12">
        <v>8.9999999999999998E-4</v>
      </c>
    </row>
    <row r="13" spans="1:25" hidden="1">
      <c r="A13" t="s">
        <v>18799</v>
      </c>
      <c r="B13" t="s">
        <v>832</v>
      </c>
      <c r="C13" t="s">
        <v>804</v>
      </c>
      <c r="D13" t="s">
        <v>828</v>
      </c>
      <c r="E13" t="s">
        <v>628</v>
      </c>
      <c r="F13" t="s">
        <v>833</v>
      </c>
      <c r="G13" t="s">
        <v>599</v>
      </c>
      <c r="H13" t="s">
        <v>600</v>
      </c>
      <c r="I13" t="s">
        <v>601</v>
      </c>
      <c r="J13">
        <v>2.8999999999999998E-3</v>
      </c>
      <c r="K13">
        <v>2.8E-3</v>
      </c>
      <c r="L13">
        <v>2.5999999999999999E-3</v>
      </c>
      <c r="M13">
        <v>2.5000000000000001E-3</v>
      </c>
      <c r="N13">
        <v>2.3E-3</v>
      </c>
      <c r="O13">
        <v>2.0999999999999999E-3</v>
      </c>
      <c r="P13">
        <v>2E-3</v>
      </c>
      <c r="Q13">
        <v>1.8E-3</v>
      </c>
      <c r="R13">
        <v>1.6000000000000001E-3</v>
      </c>
      <c r="S13">
        <v>1.4E-3</v>
      </c>
      <c r="T13">
        <v>1.4E-3</v>
      </c>
      <c r="U13">
        <v>1.1999999999999999E-3</v>
      </c>
      <c r="V13">
        <v>1E-3</v>
      </c>
      <c r="W13">
        <v>8.9999999999999998E-4</v>
      </c>
      <c r="X13">
        <v>8.9999999999999998E-4</v>
      </c>
      <c r="Y13">
        <v>8.0000000000000004E-4</v>
      </c>
    </row>
    <row r="14" spans="1:25" hidden="1">
      <c r="A14" t="s">
        <v>18799</v>
      </c>
      <c r="B14" t="s">
        <v>844</v>
      </c>
      <c r="C14" t="s">
        <v>841</v>
      </c>
      <c r="D14" t="s">
        <v>596</v>
      </c>
      <c r="E14" t="s">
        <v>603</v>
      </c>
      <c r="F14" t="s">
        <v>598</v>
      </c>
      <c r="G14" t="s">
        <v>599</v>
      </c>
      <c r="H14" t="s">
        <v>600</v>
      </c>
      <c r="I14" t="s">
        <v>601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hidden="1">
      <c r="A15" t="s">
        <v>18799</v>
      </c>
      <c r="B15" t="s">
        <v>853</v>
      </c>
      <c r="C15" t="s">
        <v>841</v>
      </c>
      <c r="D15" t="s">
        <v>596</v>
      </c>
      <c r="E15" t="s">
        <v>744</v>
      </c>
      <c r="F15" t="s">
        <v>598</v>
      </c>
      <c r="G15" t="s">
        <v>599</v>
      </c>
      <c r="H15" t="s">
        <v>600</v>
      </c>
      <c r="I15" t="s">
        <v>601</v>
      </c>
      <c r="J15">
        <v>1.5E-3</v>
      </c>
      <c r="K15">
        <v>1.5E-3</v>
      </c>
      <c r="L15">
        <v>1.5E-3</v>
      </c>
      <c r="M15">
        <v>1.5E-3</v>
      </c>
      <c r="N15">
        <v>1.5E-3</v>
      </c>
      <c r="O15">
        <v>1.5E-3</v>
      </c>
      <c r="P15">
        <v>1.5E-3</v>
      </c>
      <c r="Q15">
        <v>1.5E-3</v>
      </c>
      <c r="R15">
        <v>1.5E-3</v>
      </c>
      <c r="S15">
        <v>1.5E-3</v>
      </c>
      <c r="T15">
        <v>1.5E-3</v>
      </c>
      <c r="U15">
        <v>1.5E-3</v>
      </c>
      <c r="V15">
        <v>1.5E-3</v>
      </c>
      <c r="W15">
        <v>1.5E-3</v>
      </c>
      <c r="X15">
        <v>1.5E-3</v>
      </c>
      <c r="Y15">
        <v>1.5E-3</v>
      </c>
    </row>
    <row r="16" spans="1:25" hidden="1">
      <c r="A16" t="s">
        <v>18799</v>
      </c>
      <c r="B16" t="s">
        <v>876</v>
      </c>
      <c r="C16" t="s">
        <v>841</v>
      </c>
      <c r="D16" t="s">
        <v>621</v>
      </c>
      <c r="E16" t="s">
        <v>628</v>
      </c>
      <c r="F16" t="s">
        <v>598</v>
      </c>
      <c r="G16" t="s">
        <v>599</v>
      </c>
      <c r="H16" t="s">
        <v>600</v>
      </c>
      <c r="I16" t="s">
        <v>601</v>
      </c>
      <c r="J16">
        <v>5.1999999999999998E-3</v>
      </c>
      <c r="K16">
        <v>5.1999999999999998E-3</v>
      </c>
      <c r="L16">
        <v>5.1999999999999998E-3</v>
      </c>
      <c r="M16">
        <v>5.1999999999999998E-3</v>
      </c>
      <c r="N16">
        <v>5.1999999999999998E-3</v>
      </c>
      <c r="O16">
        <v>5.1999999999999998E-3</v>
      </c>
      <c r="P16">
        <v>5.1999999999999998E-3</v>
      </c>
      <c r="Q16">
        <v>3.3999999999999998E-3</v>
      </c>
      <c r="R16">
        <v>3.3999999999999998E-3</v>
      </c>
      <c r="S16">
        <v>3.3999999999999998E-3</v>
      </c>
      <c r="T16">
        <v>3.3999999999999998E-3</v>
      </c>
      <c r="U16">
        <v>3.3999999999999998E-3</v>
      </c>
      <c r="V16">
        <v>3.3999999999999998E-3</v>
      </c>
      <c r="W16">
        <v>3.3999999999999998E-3</v>
      </c>
      <c r="X16">
        <v>3.3999999999999998E-3</v>
      </c>
      <c r="Y16">
        <v>3.3999999999999998E-3</v>
      </c>
    </row>
    <row r="17" spans="1:25" hidden="1">
      <c r="A17" t="s">
        <v>18799</v>
      </c>
      <c r="B17" t="s">
        <v>885</v>
      </c>
      <c r="C17" t="s">
        <v>841</v>
      </c>
      <c r="D17" t="s">
        <v>632</v>
      </c>
      <c r="E17" t="s">
        <v>628</v>
      </c>
      <c r="F17" t="s">
        <v>598</v>
      </c>
      <c r="G17" t="s">
        <v>599</v>
      </c>
      <c r="H17" t="s">
        <v>600</v>
      </c>
      <c r="I17" t="s">
        <v>601</v>
      </c>
      <c r="J17">
        <v>2.8999999999999998E-3</v>
      </c>
      <c r="K17">
        <v>2.8999999999999998E-3</v>
      </c>
      <c r="L17">
        <v>2.8999999999999998E-3</v>
      </c>
      <c r="M17">
        <v>2.8999999999999998E-3</v>
      </c>
      <c r="N17">
        <v>2.8999999999999998E-3</v>
      </c>
      <c r="O17">
        <v>2.8999999999999998E-3</v>
      </c>
      <c r="P17">
        <v>2.8999999999999998E-3</v>
      </c>
      <c r="Q17">
        <v>2.8999999999999998E-3</v>
      </c>
      <c r="R17">
        <v>2.8999999999999998E-3</v>
      </c>
      <c r="S17">
        <v>2.8999999999999998E-3</v>
      </c>
      <c r="T17">
        <v>2.8999999999999998E-3</v>
      </c>
      <c r="U17">
        <v>2.8999999999999998E-3</v>
      </c>
      <c r="V17">
        <v>2.8999999999999998E-3</v>
      </c>
      <c r="W17">
        <v>2.8999999999999998E-3</v>
      </c>
      <c r="X17">
        <v>2.8999999999999998E-3</v>
      </c>
      <c r="Y17">
        <v>2.8999999999999998E-3</v>
      </c>
    </row>
    <row r="18" spans="1:25" hidden="1">
      <c r="A18" t="s">
        <v>18799</v>
      </c>
      <c r="B18" t="s">
        <v>912</v>
      </c>
      <c r="C18" t="s">
        <v>841</v>
      </c>
      <c r="D18" t="s">
        <v>648</v>
      </c>
      <c r="E18" t="s">
        <v>676</v>
      </c>
      <c r="F18" t="s">
        <v>598</v>
      </c>
      <c r="G18" t="s">
        <v>599</v>
      </c>
      <c r="H18" t="s">
        <v>600</v>
      </c>
      <c r="I18" t="s">
        <v>601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hidden="1">
      <c r="A19" t="s">
        <v>18799</v>
      </c>
      <c r="B19" t="s">
        <v>916</v>
      </c>
      <c r="C19" t="s">
        <v>914</v>
      </c>
      <c r="D19" t="s">
        <v>621</v>
      </c>
      <c r="E19" t="s">
        <v>628</v>
      </c>
      <c r="F19" t="s">
        <v>598</v>
      </c>
      <c r="G19" t="s">
        <v>599</v>
      </c>
      <c r="H19" t="s">
        <v>600</v>
      </c>
      <c r="I19" t="s">
        <v>601</v>
      </c>
      <c r="J19">
        <v>2.4169999999999999E-4</v>
      </c>
      <c r="K19">
        <v>2.9003999999999998E-4</v>
      </c>
      <c r="L19">
        <v>2.9003999999999998E-4</v>
      </c>
      <c r="M19">
        <v>2.9003999999999998E-4</v>
      </c>
      <c r="N19">
        <v>2.9003999999999998E-4</v>
      </c>
      <c r="O19">
        <v>2.9003999999999998E-4</v>
      </c>
      <c r="P19">
        <v>2.9003999999999998E-4</v>
      </c>
      <c r="Q19">
        <v>2.9003999999999998E-4</v>
      </c>
      <c r="R19">
        <v>2.9003999999999998E-4</v>
      </c>
      <c r="S19">
        <v>2.9003999999999998E-4</v>
      </c>
      <c r="T19">
        <v>2.9003999999999998E-4</v>
      </c>
      <c r="U19">
        <v>2.9003999999999998E-4</v>
      </c>
      <c r="V19">
        <v>2.9003999999999998E-4</v>
      </c>
      <c r="W19">
        <v>2.9003999999999998E-4</v>
      </c>
      <c r="X19">
        <v>2.9003999999999998E-4</v>
      </c>
      <c r="Y19">
        <v>2.9003999999999998E-4</v>
      </c>
    </row>
    <row r="20" spans="1:25" hidden="1">
      <c r="A20" t="s">
        <v>18799</v>
      </c>
      <c r="B20" t="s">
        <v>919</v>
      </c>
      <c r="C20" t="s">
        <v>914</v>
      </c>
      <c r="D20" t="s">
        <v>648</v>
      </c>
      <c r="E20" t="s">
        <v>920</v>
      </c>
      <c r="F20" t="s">
        <v>598</v>
      </c>
      <c r="G20" t="s">
        <v>599</v>
      </c>
      <c r="H20" t="s">
        <v>600</v>
      </c>
      <c r="I20" t="s">
        <v>601</v>
      </c>
      <c r="J20">
        <v>1.9E-3</v>
      </c>
      <c r="K20">
        <v>1.9E-3</v>
      </c>
      <c r="L20">
        <v>1.9E-3</v>
      </c>
      <c r="M20">
        <v>1.9E-3</v>
      </c>
      <c r="N20">
        <v>1.9E-3</v>
      </c>
      <c r="O20">
        <v>1.9E-3</v>
      </c>
      <c r="P20">
        <v>1.9E-3</v>
      </c>
      <c r="Q20">
        <v>1.9E-3</v>
      </c>
      <c r="R20">
        <v>1.9E-3</v>
      </c>
      <c r="S20">
        <v>1.9E-3</v>
      </c>
      <c r="T20">
        <v>2E-3</v>
      </c>
      <c r="U20">
        <v>2E-3</v>
      </c>
      <c r="V20">
        <v>2E-3</v>
      </c>
      <c r="W20">
        <v>2E-3</v>
      </c>
      <c r="X20">
        <v>2E-3</v>
      </c>
      <c r="Y20">
        <v>2E-3</v>
      </c>
    </row>
    <row r="21" spans="1:25" hidden="1">
      <c r="A21" t="s">
        <v>18799</v>
      </c>
      <c r="B21" t="s">
        <v>924</v>
      </c>
      <c r="C21" t="s">
        <v>925</v>
      </c>
      <c r="D21" t="s">
        <v>926</v>
      </c>
      <c r="E21" t="s">
        <v>927</v>
      </c>
      <c r="F21" t="s">
        <v>598</v>
      </c>
      <c r="G21" t="s">
        <v>599</v>
      </c>
      <c r="H21" t="s">
        <v>600</v>
      </c>
      <c r="I21" t="s">
        <v>601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hidden="1">
      <c r="A22" t="s">
        <v>18799</v>
      </c>
      <c r="B22" t="s">
        <v>947</v>
      </c>
      <c r="C22" t="s">
        <v>943</v>
      </c>
      <c r="D22" t="s">
        <v>946</v>
      </c>
      <c r="E22" t="s">
        <v>948</v>
      </c>
      <c r="F22" t="s">
        <v>598</v>
      </c>
      <c r="G22" t="s">
        <v>599</v>
      </c>
      <c r="H22" t="s">
        <v>600</v>
      </c>
      <c r="I22" t="s">
        <v>601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hidden="1">
      <c r="A23" t="s">
        <v>18799</v>
      </c>
      <c r="B23" t="s">
        <v>960</v>
      </c>
      <c r="C23" t="s">
        <v>956</v>
      </c>
      <c r="D23" t="s">
        <v>931</v>
      </c>
      <c r="E23" t="s">
        <v>961</v>
      </c>
      <c r="F23" t="s">
        <v>598</v>
      </c>
      <c r="G23" t="s">
        <v>599</v>
      </c>
      <c r="H23" t="s">
        <v>600</v>
      </c>
      <c r="I23" t="s">
        <v>601</v>
      </c>
      <c r="J23">
        <v>8.9999999999999998E-4</v>
      </c>
      <c r="K23">
        <v>8.9999999999999998E-4</v>
      </c>
      <c r="L23">
        <v>8.9999999999999998E-4</v>
      </c>
      <c r="M23">
        <v>8.9999999999999998E-4</v>
      </c>
      <c r="N23">
        <v>8.9999999999999998E-4</v>
      </c>
      <c r="O23">
        <v>8.9999999999999998E-4</v>
      </c>
      <c r="P23">
        <v>8.9999999999999998E-4</v>
      </c>
      <c r="Q23">
        <v>8.9999999999999998E-4</v>
      </c>
      <c r="R23">
        <v>8.9999999999999998E-4</v>
      </c>
      <c r="S23">
        <v>8.9999999999999998E-4</v>
      </c>
      <c r="T23">
        <v>8.9999999999999998E-4</v>
      </c>
      <c r="U23">
        <v>8.9999999999999998E-4</v>
      </c>
      <c r="V23">
        <v>8.9999999999999998E-4</v>
      </c>
      <c r="W23">
        <v>8.9999999999999998E-4</v>
      </c>
      <c r="X23">
        <v>8.9999999999999998E-4</v>
      </c>
      <c r="Y23">
        <v>8.9999999999999998E-4</v>
      </c>
    </row>
    <row r="24" spans="1:25" hidden="1">
      <c r="A24" t="s">
        <v>18799</v>
      </c>
      <c r="B24" t="s">
        <v>997</v>
      </c>
      <c r="C24" t="s">
        <v>998</v>
      </c>
      <c r="D24" t="s">
        <v>999</v>
      </c>
      <c r="E24" t="s">
        <v>1000</v>
      </c>
      <c r="F24" t="s">
        <v>598</v>
      </c>
      <c r="G24" t="s">
        <v>599</v>
      </c>
      <c r="H24" t="s">
        <v>600</v>
      </c>
      <c r="I24" t="s">
        <v>601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hidden="1">
      <c r="A25" t="s">
        <v>18799</v>
      </c>
      <c r="B25" t="s">
        <v>1009</v>
      </c>
      <c r="C25" t="s">
        <v>998</v>
      </c>
      <c r="D25" t="s">
        <v>999</v>
      </c>
      <c r="E25" t="s">
        <v>1010</v>
      </c>
      <c r="F25" t="s">
        <v>598</v>
      </c>
      <c r="G25" t="s">
        <v>599</v>
      </c>
      <c r="H25" t="s">
        <v>600</v>
      </c>
      <c r="I25" t="s">
        <v>601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hidden="1">
      <c r="A26" t="s">
        <v>18799</v>
      </c>
      <c r="B26" t="s">
        <v>1015</v>
      </c>
      <c r="C26" t="s">
        <v>1016</v>
      </c>
      <c r="D26" t="s">
        <v>1017</v>
      </c>
      <c r="E26" t="s">
        <v>1018</v>
      </c>
      <c r="F26" t="s">
        <v>598</v>
      </c>
      <c r="G26" t="s">
        <v>599</v>
      </c>
      <c r="H26" t="s">
        <v>600</v>
      </c>
      <c r="I26" t="s">
        <v>601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hidden="1">
      <c r="A27" t="s">
        <v>18799</v>
      </c>
      <c r="B27" t="s">
        <v>1029</v>
      </c>
      <c r="C27" t="s">
        <v>1016</v>
      </c>
      <c r="D27" t="s">
        <v>1017</v>
      </c>
      <c r="E27" t="s">
        <v>1030</v>
      </c>
      <c r="F27" t="s">
        <v>598</v>
      </c>
      <c r="G27" t="s">
        <v>599</v>
      </c>
      <c r="H27" t="s">
        <v>600</v>
      </c>
      <c r="I27" t="s">
        <v>601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hidden="1">
      <c r="A28" t="s">
        <v>18799</v>
      </c>
      <c r="B28" t="s">
        <v>1047</v>
      </c>
      <c r="C28" t="s">
        <v>1016</v>
      </c>
      <c r="D28" t="s">
        <v>1017</v>
      </c>
      <c r="E28" t="s">
        <v>1048</v>
      </c>
      <c r="F28" t="s">
        <v>598</v>
      </c>
      <c r="G28" t="s">
        <v>599</v>
      </c>
      <c r="H28" t="s">
        <v>600</v>
      </c>
      <c r="I28" t="s">
        <v>601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hidden="1">
      <c r="A29" t="s">
        <v>18799</v>
      </c>
      <c r="B29" t="s">
        <v>1059</v>
      </c>
      <c r="C29" t="s">
        <v>1016</v>
      </c>
      <c r="D29" t="s">
        <v>1050</v>
      </c>
      <c r="E29" t="s">
        <v>1042</v>
      </c>
      <c r="F29" t="s">
        <v>598</v>
      </c>
      <c r="G29" t="s">
        <v>599</v>
      </c>
      <c r="H29" t="s">
        <v>600</v>
      </c>
      <c r="I29" t="s">
        <v>601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hidden="1">
      <c r="A30" t="s">
        <v>18799</v>
      </c>
      <c r="B30" t="s">
        <v>1062</v>
      </c>
      <c r="C30" t="s">
        <v>1016</v>
      </c>
      <c r="D30" t="s">
        <v>1063</v>
      </c>
      <c r="E30" t="s">
        <v>1018</v>
      </c>
      <c r="F30" t="s">
        <v>598</v>
      </c>
      <c r="G30" t="s">
        <v>599</v>
      </c>
      <c r="H30" t="s">
        <v>600</v>
      </c>
      <c r="I30" t="s">
        <v>601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hidden="1">
      <c r="A31" t="s">
        <v>18799</v>
      </c>
      <c r="B31" t="s">
        <v>1068</v>
      </c>
      <c r="C31" t="s">
        <v>1016</v>
      </c>
      <c r="D31" t="s">
        <v>1063</v>
      </c>
      <c r="E31" t="s">
        <v>1030</v>
      </c>
      <c r="F31" t="s">
        <v>598</v>
      </c>
      <c r="G31" t="s">
        <v>599</v>
      </c>
      <c r="H31" t="s">
        <v>600</v>
      </c>
      <c r="I31" t="s">
        <v>601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hidden="1">
      <c r="A32" t="s">
        <v>18799</v>
      </c>
      <c r="B32" t="s">
        <v>1073</v>
      </c>
      <c r="C32" t="s">
        <v>1016</v>
      </c>
      <c r="D32" t="s">
        <v>1063</v>
      </c>
      <c r="E32" t="s">
        <v>1042</v>
      </c>
      <c r="F32" t="s">
        <v>598</v>
      </c>
      <c r="G32" t="s">
        <v>599</v>
      </c>
      <c r="H32" t="s">
        <v>600</v>
      </c>
      <c r="I32" t="s">
        <v>601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hidden="1">
      <c r="A33" t="s">
        <v>18799</v>
      </c>
      <c r="B33" t="s">
        <v>1076</v>
      </c>
      <c r="C33" t="s">
        <v>1016</v>
      </c>
      <c r="D33" t="s">
        <v>1063</v>
      </c>
      <c r="E33" t="s">
        <v>1048</v>
      </c>
      <c r="F33" t="s">
        <v>598</v>
      </c>
      <c r="G33" t="s">
        <v>599</v>
      </c>
      <c r="H33" t="s">
        <v>600</v>
      </c>
      <c r="I33" t="s">
        <v>601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hidden="1">
      <c r="A34" t="s">
        <v>18799</v>
      </c>
      <c r="B34" t="s">
        <v>1087</v>
      </c>
      <c r="C34" t="s">
        <v>1079</v>
      </c>
      <c r="D34" t="s">
        <v>1086</v>
      </c>
      <c r="E34" t="s">
        <v>1081</v>
      </c>
      <c r="F34" t="s">
        <v>598</v>
      </c>
      <c r="G34" t="s">
        <v>599</v>
      </c>
      <c r="H34" t="s">
        <v>600</v>
      </c>
      <c r="I34" t="s">
        <v>601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hidden="1">
      <c r="A35" t="s">
        <v>18799</v>
      </c>
      <c r="B35" t="s">
        <v>1256</v>
      </c>
      <c r="C35" t="s">
        <v>1253</v>
      </c>
      <c r="D35" t="s">
        <v>1254</v>
      </c>
      <c r="E35" t="s">
        <v>1257</v>
      </c>
      <c r="F35" t="s">
        <v>598</v>
      </c>
      <c r="G35" t="s">
        <v>599</v>
      </c>
      <c r="H35" t="s">
        <v>600</v>
      </c>
      <c r="I35" t="s">
        <v>601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hidden="1">
      <c r="A36" t="s">
        <v>18799</v>
      </c>
      <c r="B36" t="s">
        <v>1258</v>
      </c>
      <c r="C36" t="s">
        <v>1253</v>
      </c>
      <c r="D36" t="s">
        <v>1254</v>
      </c>
      <c r="E36" t="s">
        <v>1259</v>
      </c>
      <c r="F36" t="s">
        <v>598</v>
      </c>
      <c r="G36" t="s">
        <v>599</v>
      </c>
      <c r="H36" t="s">
        <v>600</v>
      </c>
      <c r="I36" t="s">
        <v>601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hidden="1">
      <c r="A37" t="s">
        <v>18799</v>
      </c>
      <c r="B37" t="s">
        <v>1410</v>
      </c>
      <c r="C37" t="s">
        <v>1382</v>
      </c>
      <c r="D37" t="s">
        <v>1320</v>
      </c>
      <c r="E37" t="s">
        <v>1402</v>
      </c>
      <c r="F37" t="s">
        <v>598</v>
      </c>
      <c r="G37" t="s">
        <v>599</v>
      </c>
      <c r="H37" t="s">
        <v>600</v>
      </c>
      <c r="I37" t="s">
        <v>601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hidden="1">
      <c r="A38" t="s">
        <v>18799</v>
      </c>
      <c r="B38" t="s">
        <v>1566</v>
      </c>
      <c r="C38" t="s">
        <v>1472</v>
      </c>
      <c r="D38" t="s">
        <v>1567</v>
      </c>
      <c r="E38" t="s">
        <v>626</v>
      </c>
      <c r="F38" t="s">
        <v>598</v>
      </c>
      <c r="G38" t="s">
        <v>599</v>
      </c>
      <c r="H38" t="s">
        <v>600</v>
      </c>
      <c r="I38" t="s">
        <v>601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hidden="1">
      <c r="A39" t="s">
        <v>18799</v>
      </c>
      <c r="B39" t="s">
        <v>1568</v>
      </c>
      <c r="C39" t="s">
        <v>1472</v>
      </c>
      <c r="D39" t="s">
        <v>1569</v>
      </c>
      <c r="E39" t="s">
        <v>626</v>
      </c>
      <c r="F39" t="s">
        <v>598</v>
      </c>
      <c r="G39" t="s">
        <v>599</v>
      </c>
      <c r="H39" t="s">
        <v>600</v>
      </c>
      <c r="I39" t="s">
        <v>601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hidden="1">
      <c r="A40" t="s">
        <v>18799</v>
      </c>
      <c r="B40" t="s">
        <v>1570</v>
      </c>
      <c r="C40" t="s">
        <v>1472</v>
      </c>
      <c r="D40" t="s">
        <v>1571</v>
      </c>
      <c r="E40" t="s">
        <v>626</v>
      </c>
      <c r="F40" t="s">
        <v>598</v>
      </c>
      <c r="G40" t="s">
        <v>599</v>
      </c>
      <c r="H40" t="s">
        <v>600</v>
      </c>
      <c r="I40" t="s">
        <v>601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hidden="1">
      <c r="A41" t="s">
        <v>18799</v>
      </c>
      <c r="B41" t="s">
        <v>1573</v>
      </c>
      <c r="C41" t="s">
        <v>1472</v>
      </c>
      <c r="D41" t="s">
        <v>1574</v>
      </c>
      <c r="E41" t="s">
        <v>626</v>
      </c>
      <c r="F41" t="s">
        <v>598</v>
      </c>
      <c r="G41" t="s">
        <v>599</v>
      </c>
      <c r="H41" t="s">
        <v>600</v>
      </c>
      <c r="I41" t="s">
        <v>601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hidden="1">
      <c r="A42" t="s">
        <v>18799</v>
      </c>
      <c r="B42" t="s">
        <v>1575</v>
      </c>
      <c r="C42" t="s">
        <v>1472</v>
      </c>
      <c r="D42" t="s">
        <v>1576</v>
      </c>
      <c r="E42" t="s">
        <v>626</v>
      </c>
      <c r="F42" t="s">
        <v>598</v>
      </c>
      <c r="G42" t="s">
        <v>599</v>
      </c>
      <c r="H42" t="s">
        <v>600</v>
      </c>
      <c r="I42" t="s">
        <v>601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hidden="1">
      <c r="A43" t="s">
        <v>18799</v>
      </c>
      <c r="B43" t="s">
        <v>1577</v>
      </c>
      <c r="C43" t="s">
        <v>1472</v>
      </c>
      <c r="D43" t="s">
        <v>1578</v>
      </c>
      <c r="E43" t="s">
        <v>626</v>
      </c>
      <c r="F43" t="s">
        <v>598</v>
      </c>
      <c r="G43" t="s">
        <v>599</v>
      </c>
      <c r="H43" t="s">
        <v>600</v>
      </c>
      <c r="I43" t="s">
        <v>601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18799</v>
      </c>
      <c r="B44" t="s">
        <v>1582</v>
      </c>
      <c r="C44" t="s">
        <v>1472</v>
      </c>
      <c r="D44" t="s">
        <v>1583</v>
      </c>
      <c r="E44" t="s">
        <v>626</v>
      </c>
      <c r="F44" t="s">
        <v>598</v>
      </c>
      <c r="G44" t="s">
        <v>599</v>
      </c>
      <c r="H44" t="s">
        <v>600</v>
      </c>
      <c r="I44" t="s">
        <v>601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hidden="1">
      <c r="A45" t="s">
        <v>18799</v>
      </c>
      <c r="B45" t="s">
        <v>1590</v>
      </c>
      <c r="C45" t="s">
        <v>1472</v>
      </c>
      <c r="D45" t="s">
        <v>1365</v>
      </c>
      <c r="E45" t="s">
        <v>626</v>
      </c>
      <c r="F45" t="s">
        <v>598</v>
      </c>
      <c r="G45" t="s">
        <v>599</v>
      </c>
      <c r="H45" t="s">
        <v>600</v>
      </c>
      <c r="I45" t="s">
        <v>601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hidden="1">
      <c r="A46" t="s">
        <v>18799</v>
      </c>
      <c r="B46" t="s">
        <v>1600</v>
      </c>
      <c r="C46" t="s">
        <v>1472</v>
      </c>
      <c r="D46" t="s">
        <v>1601</v>
      </c>
      <c r="E46" t="s">
        <v>626</v>
      </c>
      <c r="F46" t="s">
        <v>598</v>
      </c>
      <c r="G46" t="s">
        <v>599</v>
      </c>
      <c r="H46" t="s">
        <v>600</v>
      </c>
      <c r="I46" t="s">
        <v>601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hidden="1">
      <c r="A47" t="s">
        <v>18799</v>
      </c>
      <c r="B47" t="s">
        <v>1602</v>
      </c>
      <c r="C47" t="s">
        <v>1472</v>
      </c>
      <c r="D47" t="s">
        <v>1603</v>
      </c>
      <c r="E47" t="s">
        <v>626</v>
      </c>
      <c r="F47" t="s">
        <v>598</v>
      </c>
      <c r="G47" t="s">
        <v>599</v>
      </c>
      <c r="H47" t="s">
        <v>600</v>
      </c>
      <c r="I47" t="s">
        <v>601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hidden="1">
      <c r="A48" t="s">
        <v>18799</v>
      </c>
      <c r="B48" t="s">
        <v>1604</v>
      </c>
      <c r="C48" t="s">
        <v>1472</v>
      </c>
      <c r="D48" t="s">
        <v>1605</v>
      </c>
      <c r="E48" t="s">
        <v>626</v>
      </c>
      <c r="F48" t="s">
        <v>598</v>
      </c>
      <c r="G48" t="s">
        <v>599</v>
      </c>
      <c r="H48" t="s">
        <v>600</v>
      </c>
      <c r="I48" t="s">
        <v>601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hidden="1">
      <c r="A49" t="s">
        <v>18799</v>
      </c>
      <c r="B49" t="s">
        <v>1964</v>
      </c>
      <c r="C49" t="s">
        <v>1959</v>
      </c>
      <c r="D49" t="s">
        <v>1965</v>
      </c>
      <c r="E49" t="s">
        <v>1966</v>
      </c>
      <c r="F49" t="s">
        <v>598</v>
      </c>
      <c r="G49" t="s">
        <v>599</v>
      </c>
      <c r="H49" t="s">
        <v>600</v>
      </c>
      <c r="I49" t="s">
        <v>601</v>
      </c>
      <c r="J49">
        <v>2.24E-2</v>
      </c>
      <c r="K49">
        <v>2.24E-2</v>
      </c>
      <c r="L49">
        <v>2.24E-2</v>
      </c>
      <c r="M49">
        <v>2.24E-2</v>
      </c>
      <c r="N49">
        <v>2.24E-2</v>
      </c>
      <c r="O49">
        <v>2.24E-2</v>
      </c>
      <c r="P49">
        <v>3.3599999999999998E-2</v>
      </c>
      <c r="Q49">
        <v>3.3599999999999998E-2</v>
      </c>
      <c r="R49">
        <v>3.3599999999999998E-2</v>
      </c>
      <c r="S49">
        <v>3.3599999999999998E-2</v>
      </c>
      <c r="T49">
        <v>3.3599999999999998E-2</v>
      </c>
      <c r="U49">
        <v>3.3599999999999998E-2</v>
      </c>
      <c r="V49">
        <v>3.3599999999999998E-2</v>
      </c>
      <c r="W49">
        <v>3.3599999999999998E-2</v>
      </c>
      <c r="X49">
        <v>3.3599999999999998E-2</v>
      </c>
      <c r="Y49">
        <v>3.3599999999999998E-2</v>
      </c>
    </row>
    <row r="50" spans="1:25" hidden="1">
      <c r="A50" t="s">
        <v>18799</v>
      </c>
      <c r="B50" t="s">
        <v>1967</v>
      </c>
      <c r="C50" t="s">
        <v>1959</v>
      </c>
      <c r="D50" t="s">
        <v>1968</v>
      </c>
      <c r="E50" t="s">
        <v>1962</v>
      </c>
      <c r="F50" t="s">
        <v>598</v>
      </c>
      <c r="G50" t="s">
        <v>599</v>
      </c>
      <c r="H50" t="s">
        <v>600</v>
      </c>
      <c r="I50" t="s">
        <v>601</v>
      </c>
      <c r="J50">
        <v>7.1099999999999997E-2</v>
      </c>
      <c r="K50">
        <v>7.1099999999999997E-2</v>
      </c>
      <c r="L50">
        <v>7.1099999999999997E-2</v>
      </c>
      <c r="M50">
        <v>7.1099999999999997E-2</v>
      </c>
      <c r="N50">
        <v>7.1099999999999997E-2</v>
      </c>
      <c r="O50">
        <v>7.1099999999999997E-2</v>
      </c>
      <c r="P50">
        <v>0.1066</v>
      </c>
      <c r="Q50">
        <v>0.1066</v>
      </c>
      <c r="R50">
        <v>0.1066</v>
      </c>
      <c r="S50">
        <v>0.1066</v>
      </c>
      <c r="T50">
        <v>0.1066</v>
      </c>
      <c r="U50">
        <v>0.1066</v>
      </c>
      <c r="V50">
        <v>0.1066</v>
      </c>
      <c r="W50">
        <v>0.1066</v>
      </c>
      <c r="X50">
        <v>0.1066</v>
      </c>
      <c r="Y50">
        <v>0.1066</v>
      </c>
    </row>
    <row r="51" spans="1:25" hidden="1">
      <c r="A51" t="s">
        <v>18799</v>
      </c>
      <c r="B51" t="s">
        <v>1977</v>
      </c>
      <c r="C51" t="s">
        <v>1959</v>
      </c>
      <c r="D51" t="s">
        <v>1972</v>
      </c>
      <c r="E51" t="s">
        <v>1966</v>
      </c>
      <c r="F51" t="s">
        <v>598</v>
      </c>
      <c r="G51" t="s">
        <v>599</v>
      </c>
      <c r="H51" t="s">
        <v>600</v>
      </c>
      <c r="I51" t="s">
        <v>601</v>
      </c>
      <c r="J51">
        <v>1.5900000000000001E-2</v>
      </c>
      <c r="K51">
        <v>1.5900000000000001E-2</v>
      </c>
      <c r="L51">
        <v>1.5900000000000001E-2</v>
      </c>
      <c r="M51">
        <v>1.6E-2</v>
      </c>
      <c r="N51">
        <v>1.6E-2</v>
      </c>
      <c r="O51">
        <v>1.6E-2</v>
      </c>
      <c r="P51">
        <v>2.3300000000000001E-2</v>
      </c>
      <c r="Q51">
        <v>2.3300000000000001E-2</v>
      </c>
      <c r="R51">
        <v>2.3300000000000001E-2</v>
      </c>
      <c r="S51">
        <v>2.3300000000000001E-2</v>
      </c>
      <c r="T51">
        <v>2.3300000000000001E-2</v>
      </c>
      <c r="U51">
        <v>2.3300000000000001E-2</v>
      </c>
      <c r="V51">
        <v>2.3300000000000001E-2</v>
      </c>
      <c r="W51">
        <v>2.3300000000000001E-2</v>
      </c>
      <c r="X51">
        <v>2.3400000000000001E-2</v>
      </c>
      <c r="Y51">
        <v>2.3400000000000001E-2</v>
      </c>
    </row>
    <row r="52" spans="1:25" hidden="1">
      <c r="A52" t="s">
        <v>18799</v>
      </c>
      <c r="B52" t="s">
        <v>1978</v>
      </c>
      <c r="C52" t="s">
        <v>1959</v>
      </c>
      <c r="D52" t="s">
        <v>1972</v>
      </c>
      <c r="E52" t="s">
        <v>1979</v>
      </c>
      <c r="F52" t="s">
        <v>598</v>
      </c>
      <c r="G52" t="s">
        <v>599</v>
      </c>
      <c r="H52" t="s">
        <v>600</v>
      </c>
      <c r="I52" t="s">
        <v>601</v>
      </c>
      <c r="J52">
        <v>6.9999999999999999E-4</v>
      </c>
      <c r="K52">
        <v>6.9999999999999999E-4</v>
      </c>
      <c r="L52">
        <v>6.9999999999999999E-4</v>
      </c>
      <c r="M52">
        <v>6.9999999999999999E-4</v>
      </c>
      <c r="N52">
        <v>6.9999999999999999E-4</v>
      </c>
      <c r="O52">
        <v>6.9999999999999999E-4</v>
      </c>
      <c r="P52">
        <v>1.1999999999999999E-3</v>
      </c>
      <c r="Q52">
        <v>1.1999999999999999E-3</v>
      </c>
      <c r="R52">
        <v>1.1999999999999999E-3</v>
      </c>
      <c r="S52">
        <v>1.1999999999999999E-3</v>
      </c>
      <c r="T52">
        <v>1.1999999999999999E-3</v>
      </c>
      <c r="U52">
        <v>1.1999999999999999E-3</v>
      </c>
      <c r="V52">
        <v>1.1999999999999999E-3</v>
      </c>
      <c r="W52">
        <v>1.1999999999999999E-3</v>
      </c>
      <c r="X52">
        <v>1.1999999999999999E-3</v>
      </c>
      <c r="Y52">
        <v>1.1999999999999999E-3</v>
      </c>
    </row>
    <row r="53" spans="1:25" hidden="1">
      <c r="A53" t="s">
        <v>18799</v>
      </c>
      <c r="B53" t="s">
        <v>2005</v>
      </c>
      <c r="C53" t="s">
        <v>1959</v>
      </c>
      <c r="D53" t="s">
        <v>2001</v>
      </c>
      <c r="E53" t="s">
        <v>1976</v>
      </c>
      <c r="F53" t="s">
        <v>598</v>
      </c>
      <c r="G53" t="s">
        <v>599</v>
      </c>
      <c r="H53" t="s">
        <v>600</v>
      </c>
      <c r="I53" t="s">
        <v>601</v>
      </c>
      <c r="J53">
        <v>1.1900000000000001E-2</v>
      </c>
      <c r="K53">
        <v>1.1900000000000001E-2</v>
      </c>
      <c r="L53">
        <v>1.1900000000000001E-2</v>
      </c>
      <c r="M53">
        <v>1.1900000000000001E-2</v>
      </c>
      <c r="N53">
        <v>1.1900000000000001E-2</v>
      </c>
      <c r="O53">
        <v>1.1900000000000001E-2</v>
      </c>
      <c r="P53">
        <v>1.7899999999999999E-2</v>
      </c>
      <c r="Q53">
        <v>1.7899999999999999E-2</v>
      </c>
      <c r="R53">
        <v>1.7899999999999999E-2</v>
      </c>
      <c r="S53">
        <v>1.7899999999999999E-2</v>
      </c>
      <c r="T53">
        <v>1.7899999999999999E-2</v>
      </c>
      <c r="U53">
        <v>1.7899999999999999E-2</v>
      </c>
      <c r="V53">
        <v>1.7899999999999999E-2</v>
      </c>
      <c r="W53">
        <v>1.7899999999999999E-2</v>
      </c>
      <c r="X53">
        <v>1.7899999999999999E-2</v>
      </c>
      <c r="Y53">
        <v>1.7899999999999999E-2</v>
      </c>
    </row>
    <row r="54" spans="1:25" hidden="1">
      <c r="A54" t="s">
        <v>18799</v>
      </c>
      <c r="B54" t="s">
        <v>2014</v>
      </c>
      <c r="C54" t="s">
        <v>1959</v>
      </c>
      <c r="D54" t="s">
        <v>2012</v>
      </c>
      <c r="E54" t="s">
        <v>1970</v>
      </c>
      <c r="F54" t="s">
        <v>598</v>
      </c>
      <c r="G54" t="s">
        <v>599</v>
      </c>
      <c r="H54" t="s">
        <v>600</v>
      </c>
      <c r="I54" t="s">
        <v>601</v>
      </c>
      <c r="J54">
        <v>4.3E-3</v>
      </c>
      <c r="K54">
        <v>4.3E-3</v>
      </c>
      <c r="L54">
        <v>4.3E-3</v>
      </c>
      <c r="M54">
        <v>4.3E-3</v>
      </c>
      <c r="N54">
        <v>4.3E-3</v>
      </c>
      <c r="O54">
        <v>4.3E-3</v>
      </c>
      <c r="P54">
        <v>6.0000000000000001E-3</v>
      </c>
      <c r="Q54">
        <v>6.0000000000000001E-3</v>
      </c>
      <c r="R54">
        <v>6.0000000000000001E-3</v>
      </c>
      <c r="S54">
        <v>6.0000000000000001E-3</v>
      </c>
      <c r="T54">
        <v>6.0000000000000001E-3</v>
      </c>
      <c r="U54">
        <v>6.0000000000000001E-3</v>
      </c>
      <c r="V54">
        <v>6.0000000000000001E-3</v>
      </c>
      <c r="W54">
        <v>6.0000000000000001E-3</v>
      </c>
      <c r="X54">
        <v>6.0000000000000001E-3</v>
      </c>
      <c r="Y54">
        <v>6.0000000000000001E-3</v>
      </c>
    </row>
    <row r="55" spans="1:25" hidden="1">
      <c r="A55" t="s">
        <v>18799</v>
      </c>
      <c r="B55" t="s">
        <v>2023</v>
      </c>
      <c r="C55" t="s">
        <v>1959</v>
      </c>
      <c r="D55" t="s">
        <v>1817</v>
      </c>
      <c r="E55" t="s">
        <v>1970</v>
      </c>
      <c r="F55" t="s">
        <v>598</v>
      </c>
      <c r="G55" t="s">
        <v>599</v>
      </c>
      <c r="H55" t="s">
        <v>600</v>
      </c>
      <c r="I55" t="s">
        <v>601</v>
      </c>
      <c r="J55">
        <v>8.0000000000000002E-3</v>
      </c>
      <c r="K55">
        <v>8.0000000000000002E-3</v>
      </c>
      <c r="L55">
        <v>8.0000000000000002E-3</v>
      </c>
      <c r="M55">
        <v>8.0000000000000002E-3</v>
      </c>
      <c r="N55">
        <v>8.0000000000000002E-3</v>
      </c>
      <c r="O55">
        <v>8.0000000000000002E-3</v>
      </c>
      <c r="P55">
        <v>1.1900000000000001E-2</v>
      </c>
      <c r="Q55">
        <v>1.1900000000000001E-2</v>
      </c>
      <c r="R55">
        <v>1.1900000000000001E-2</v>
      </c>
      <c r="S55">
        <v>1.1900000000000001E-2</v>
      </c>
      <c r="T55">
        <v>1.1900000000000001E-2</v>
      </c>
      <c r="U55">
        <v>1.1900000000000001E-2</v>
      </c>
      <c r="V55">
        <v>1.1900000000000001E-2</v>
      </c>
      <c r="W55">
        <v>1.1900000000000001E-2</v>
      </c>
      <c r="X55">
        <v>1.1900000000000001E-2</v>
      </c>
      <c r="Y55">
        <v>1.1900000000000001E-2</v>
      </c>
    </row>
    <row r="56" spans="1:25" hidden="1">
      <c r="A56" t="s">
        <v>18799</v>
      </c>
      <c r="B56" t="s">
        <v>2024</v>
      </c>
      <c r="C56" t="s">
        <v>1959</v>
      </c>
      <c r="D56" t="s">
        <v>1817</v>
      </c>
      <c r="E56" t="s">
        <v>2025</v>
      </c>
      <c r="F56" t="s">
        <v>598</v>
      </c>
      <c r="G56" t="s">
        <v>599</v>
      </c>
      <c r="H56" t="s">
        <v>600</v>
      </c>
      <c r="I56" t="s">
        <v>601</v>
      </c>
      <c r="J56">
        <v>2.0000000000000001E-4</v>
      </c>
      <c r="K56">
        <v>2.0000000000000001E-4</v>
      </c>
      <c r="L56">
        <v>2.0000000000000001E-4</v>
      </c>
      <c r="M56">
        <v>2.0000000000000001E-4</v>
      </c>
      <c r="N56">
        <v>2.0000000000000001E-4</v>
      </c>
      <c r="O56">
        <v>2.0000000000000001E-4</v>
      </c>
      <c r="P56">
        <v>2.9999999999999997E-4</v>
      </c>
      <c r="Q56">
        <v>2.9999999999999997E-4</v>
      </c>
      <c r="R56">
        <v>2.9999999999999997E-4</v>
      </c>
      <c r="S56">
        <v>2.9999999999999997E-4</v>
      </c>
      <c r="T56">
        <v>2.9999999999999997E-4</v>
      </c>
      <c r="U56">
        <v>2.9999999999999997E-4</v>
      </c>
      <c r="V56">
        <v>2.9999999999999997E-4</v>
      </c>
      <c r="W56">
        <v>2.9999999999999997E-4</v>
      </c>
      <c r="X56">
        <v>2.9999999999999997E-4</v>
      </c>
      <c r="Y56">
        <v>2.9999999999999997E-4</v>
      </c>
    </row>
    <row r="57" spans="1:25" hidden="1">
      <c r="A57" t="s">
        <v>18799</v>
      </c>
      <c r="B57" t="s">
        <v>2026</v>
      </c>
      <c r="C57" t="s">
        <v>1959</v>
      </c>
      <c r="D57" t="s">
        <v>1817</v>
      </c>
      <c r="E57" t="s">
        <v>2027</v>
      </c>
      <c r="F57" t="s">
        <v>598</v>
      </c>
      <c r="G57" t="s">
        <v>599</v>
      </c>
      <c r="H57" t="s">
        <v>600</v>
      </c>
      <c r="I57" t="s">
        <v>601</v>
      </c>
      <c r="J57">
        <v>2.9999999999999997E-4</v>
      </c>
      <c r="K57">
        <v>2.9999999999999997E-4</v>
      </c>
      <c r="L57">
        <v>2.9999999999999997E-4</v>
      </c>
      <c r="M57">
        <v>2.9999999999999997E-4</v>
      </c>
      <c r="N57">
        <v>2.9999999999999997E-4</v>
      </c>
      <c r="O57">
        <v>2.9999999999999997E-4</v>
      </c>
      <c r="P57">
        <v>4.0000000000000002E-4</v>
      </c>
      <c r="Q57">
        <v>4.0000000000000002E-4</v>
      </c>
      <c r="R57">
        <v>4.0000000000000002E-4</v>
      </c>
      <c r="S57">
        <v>4.0000000000000002E-4</v>
      </c>
      <c r="T57">
        <v>4.0000000000000002E-4</v>
      </c>
      <c r="U57">
        <v>4.0000000000000002E-4</v>
      </c>
      <c r="V57">
        <v>4.0000000000000002E-4</v>
      </c>
      <c r="W57">
        <v>4.0000000000000002E-4</v>
      </c>
      <c r="X57">
        <v>4.0000000000000002E-4</v>
      </c>
      <c r="Y57">
        <v>4.0000000000000002E-4</v>
      </c>
    </row>
    <row r="58" spans="1:25" hidden="1">
      <c r="A58" t="s">
        <v>18799</v>
      </c>
      <c r="B58" t="s">
        <v>2028</v>
      </c>
      <c r="C58" t="s">
        <v>1959</v>
      </c>
      <c r="D58" t="s">
        <v>1817</v>
      </c>
      <c r="E58" t="s">
        <v>1966</v>
      </c>
      <c r="F58" t="s">
        <v>598</v>
      </c>
      <c r="G58" t="s">
        <v>599</v>
      </c>
      <c r="H58" t="s">
        <v>600</v>
      </c>
      <c r="I58" t="s">
        <v>601</v>
      </c>
      <c r="J58">
        <v>1.2999999999999999E-3</v>
      </c>
      <c r="K58">
        <v>1.2999999999999999E-3</v>
      </c>
      <c r="L58">
        <v>1.2999999999999999E-3</v>
      </c>
      <c r="M58">
        <v>1.2999999999999999E-3</v>
      </c>
      <c r="N58">
        <v>1.2999999999999999E-3</v>
      </c>
      <c r="O58">
        <v>1.2999999999999999E-3</v>
      </c>
      <c r="P58">
        <v>2E-3</v>
      </c>
      <c r="Q58">
        <v>2E-3</v>
      </c>
      <c r="R58">
        <v>2E-3</v>
      </c>
      <c r="S58">
        <v>2E-3</v>
      </c>
      <c r="T58">
        <v>2E-3</v>
      </c>
      <c r="U58">
        <v>2E-3</v>
      </c>
      <c r="V58">
        <v>2E-3</v>
      </c>
      <c r="W58">
        <v>2E-3</v>
      </c>
      <c r="X58">
        <v>2E-3</v>
      </c>
      <c r="Y58">
        <v>2E-3</v>
      </c>
    </row>
    <row r="59" spans="1:25" hidden="1">
      <c r="A59" t="s">
        <v>18799</v>
      </c>
      <c r="B59" t="s">
        <v>2039</v>
      </c>
      <c r="C59" t="s">
        <v>1959</v>
      </c>
      <c r="D59" t="s">
        <v>648</v>
      </c>
      <c r="E59" t="s">
        <v>1378</v>
      </c>
      <c r="F59" t="s">
        <v>598</v>
      </c>
      <c r="G59" t="s">
        <v>599</v>
      </c>
      <c r="H59" t="s">
        <v>600</v>
      </c>
      <c r="I59" t="s">
        <v>601</v>
      </c>
      <c r="J59">
        <v>2.5000000000000001E-2</v>
      </c>
      <c r="K59">
        <v>2.5399999999999999E-2</v>
      </c>
      <c r="L59">
        <v>2.5399999999999999E-2</v>
      </c>
      <c r="M59">
        <v>2.58E-2</v>
      </c>
      <c r="N59">
        <v>2.63E-2</v>
      </c>
      <c r="O59">
        <v>2.63E-2</v>
      </c>
      <c r="P59">
        <v>2.7799999999999998E-2</v>
      </c>
      <c r="Q59">
        <v>2.7799999999999998E-2</v>
      </c>
      <c r="R59">
        <v>2.8199999999999999E-2</v>
      </c>
      <c r="S59">
        <v>2.8199999999999999E-2</v>
      </c>
      <c r="T59">
        <v>2.8199999999999999E-2</v>
      </c>
      <c r="U59">
        <v>2.86E-2</v>
      </c>
      <c r="V59">
        <v>2.9000000000000001E-2</v>
      </c>
      <c r="W59">
        <v>2.9000000000000001E-2</v>
      </c>
      <c r="X59">
        <v>2.9499999999999998E-2</v>
      </c>
      <c r="Y59">
        <v>2.9899999999999999E-2</v>
      </c>
    </row>
    <row r="60" spans="1:25" hidden="1">
      <c r="A60" t="s">
        <v>18799</v>
      </c>
      <c r="B60" t="s">
        <v>2044</v>
      </c>
      <c r="C60" t="s">
        <v>1959</v>
      </c>
      <c r="D60" t="s">
        <v>648</v>
      </c>
      <c r="E60" t="s">
        <v>2045</v>
      </c>
      <c r="F60" t="s">
        <v>598</v>
      </c>
      <c r="G60" t="s">
        <v>599</v>
      </c>
      <c r="H60" t="s">
        <v>600</v>
      </c>
      <c r="I60" t="s">
        <v>601</v>
      </c>
      <c r="J60">
        <v>2.3900000000000001E-2</v>
      </c>
      <c r="K60">
        <v>2.3900000000000001E-2</v>
      </c>
      <c r="L60">
        <v>2.3900000000000001E-2</v>
      </c>
      <c r="M60">
        <v>2.3900000000000001E-2</v>
      </c>
      <c r="N60">
        <v>2.3900000000000001E-2</v>
      </c>
      <c r="O60">
        <v>2.3900000000000001E-2</v>
      </c>
      <c r="P60">
        <v>3.5799999999999998E-2</v>
      </c>
      <c r="Q60">
        <v>3.5799999999999998E-2</v>
      </c>
      <c r="R60">
        <v>3.5799999999999998E-2</v>
      </c>
      <c r="S60">
        <v>3.5799999999999998E-2</v>
      </c>
      <c r="T60">
        <v>3.5799999999999998E-2</v>
      </c>
      <c r="U60">
        <v>3.5799999999999998E-2</v>
      </c>
      <c r="V60">
        <v>3.5799999999999998E-2</v>
      </c>
      <c r="W60">
        <v>3.5799999999999998E-2</v>
      </c>
      <c r="X60">
        <v>3.5799999999999998E-2</v>
      </c>
      <c r="Y60">
        <v>3.5799999999999998E-2</v>
      </c>
    </row>
    <row r="61" spans="1:25" hidden="1">
      <c r="A61" t="s">
        <v>18799</v>
      </c>
      <c r="B61" t="s">
        <v>2058</v>
      </c>
      <c r="C61" t="s">
        <v>1959</v>
      </c>
      <c r="D61" t="s">
        <v>648</v>
      </c>
      <c r="E61" t="s">
        <v>2025</v>
      </c>
      <c r="F61" t="s">
        <v>598</v>
      </c>
      <c r="G61" t="s">
        <v>599</v>
      </c>
      <c r="H61" t="s">
        <v>600</v>
      </c>
      <c r="I61" t="s">
        <v>601</v>
      </c>
      <c r="J61">
        <v>1.84E-2</v>
      </c>
      <c r="K61">
        <v>1.84E-2</v>
      </c>
      <c r="L61">
        <v>1.84E-2</v>
      </c>
      <c r="M61">
        <v>1.84E-2</v>
      </c>
      <c r="N61">
        <v>1.84E-2</v>
      </c>
      <c r="O61">
        <v>1.84E-2</v>
      </c>
      <c r="P61">
        <v>2.75E-2</v>
      </c>
      <c r="Q61">
        <v>2.75E-2</v>
      </c>
      <c r="R61">
        <v>2.75E-2</v>
      </c>
      <c r="S61">
        <v>2.75E-2</v>
      </c>
      <c r="T61">
        <v>2.75E-2</v>
      </c>
      <c r="U61">
        <v>2.75E-2</v>
      </c>
      <c r="V61">
        <v>2.75E-2</v>
      </c>
      <c r="W61">
        <v>2.75E-2</v>
      </c>
      <c r="X61">
        <v>2.75E-2</v>
      </c>
      <c r="Y61">
        <v>2.75E-2</v>
      </c>
    </row>
    <row r="62" spans="1:25" hidden="1">
      <c r="A62" t="s">
        <v>18799</v>
      </c>
      <c r="B62" t="s">
        <v>2063</v>
      </c>
      <c r="C62" t="s">
        <v>1959</v>
      </c>
      <c r="D62" t="s">
        <v>648</v>
      </c>
      <c r="E62" t="s">
        <v>2064</v>
      </c>
      <c r="F62" t="s">
        <v>598</v>
      </c>
      <c r="G62" t="s">
        <v>599</v>
      </c>
      <c r="H62" t="s">
        <v>600</v>
      </c>
      <c r="I62" t="s">
        <v>601</v>
      </c>
      <c r="J62">
        <v>1.9099999999999999E-2</v>
      </c>
      <c r="K62">
        <v>1.9099999999999999E-2</v>
      </c>
      <c r="L62">
        <v>1.9099999999999999E-2</v>
      </c>
      <c r="M62">
        <v>1.9099999999999999E-2</v>
      </c>
      <c r="N62">
        <v>1.9099999999999999E-2</v>
      </c>
      <c r="O62">
        <v>1.9099999999999999E-2</v>
      </c>
      <c r="P62">
        <v>2.86E-2</v>
      </c>
      <c r="Q62">
        <v>2.86E-2</v>
      </c>
      <c r="R62">
        <v>2.86E-2</v>
      </c>
      <c r="S62">
        <v>2.86E-2</v>
      </c>
      <c r="T62">
        <v>2.86E-2</v>
      </c>
      <c r="U62">
        <v>2.86E-2</v>
      </c>
      <c r="V62">
        <v>2.86E-2</v>
      </c>
      <c r="W62">
        <v>2.86E-2</v>
      </c>
      <c r="X62">
        <v>2.86E-2</v>
      </c>
      <c r="Y62">
        <v>2.86E-2</v>
      </c>
    </row>
    <row r="63" spans="1:25" hidden="1">
      <c r="A63" t="s">
        <v>18799</v>
      </c>
      <c r="B63" t="s">
        <v>2067</v>
      </c>
      <c r="C63" t="s">
        <v>1959</v>
      </c>
      <c r="D63" t="s">
        <v>648</v>
      </c>
      <c r="E63" t="s">
        <v>2027</v>
      </c>
      <c r="F63" t="s">
        <v>598</v>
      </c>
      <c r="G63" t="s">
        <v>599</v>
      </c>
      <c r="H63" t="s">
        <v>600</v>
      </c>
      <c r="I63" t="s">
        <v>601</v>
      </c>
      <c r="J63">
        <v>4.0000000000000002E-4</v>
      </c>
      <c r="K63">
        <v>4.0000000000000002E-4</v>
      </c>
      <c r="L63">
        <v>4.0000000000000002E-4</v>
      </c>
      <c r="M63">
        <v>4.0000000000000002E-4</v>
      </c>
      <c r="N63">
        <v>4.0000000000000002E-4</v>
      </c>
      <c r="O63">
        <v>4.0000000000000002E-4</v>
      </c>
      <c r="P63">
        <v>6.9999999999999999E-4</v>
      </c>
      <c r="Q63">
        <v>6.9999999999999999E-4</v>
      </c>
      <c r="R63">
        <v>6.9999999999999999E-4</v>
      </c>
      <c r="S63">
        <v>6.9999999999999999E-4</v>
      </c>
      <c r="T63">
        <v>6.9999999999999999E-4</v>
      </c>
      <c r="U63">
        <v>6.9999999999999999E-4</v>
      </c>
      <c r="V63">
        <v>6.9999999999999999E-4</v>
      </c>
      <c r="W63">
        <v>6.9999999999999999E-4</v>
      </c>
      <c r="X63">
        <v>6.9999999999999999E-4</v>
      </c>
      <c r="Y63">
        <v>6.9999999999999999E-4</v>
      </c>
    </row>
    <row r="64" spans="1:25" hidden="1">
      <c r="A64" t="s">
        <v>18799</v>
      </c>
      <c r="B64" t="s">
        <v>2073</v>
      </c>
      <c r="C64" t="s">
        <v>1959</v>
      </c>
      <c r="D64" t="s">
        <v>648</v>
      </c>
      <c r="E64" t="s">
        <v>1979</v>
      </c>
      <c r="F64" t="s">
        <v>598</v>
      </c>
      <c r="G64" t="s">
        <v>599</v>
      </c>
      <c r="H64" t="s">
        <v>600</v>
      </c>
      <c r="I64" t="s">
        <v>601</v>
      </c>
      <c r="J64">
        <v>4.1000000000000003E-3</v>
      </c>
      <c r="K64">
        <v>4.1000000000000003E-3</v>
      </c>
      <c r="L64">
        <v>4.1000000000000003E-3</v>
      </c>
      <c r="M64">
        <v>4.1000000000000003E-3</v>
      </c>
      <c r="N64">
        <v>4.1000000000000003E-3</v>
      </c>
      <c r="O64">
        <v>4.1000000000000003E-3</v>
      </c>
      <c r="P64">
        <v>6.1999999999999998E-3</v>
      </c>
      <c r="Q64">
        <v>6.1999999999999998E-3</v>
      </c>
      <c r="R64">
        <v>6.1999999999999998E-3</v>
      </c>
      <c r="S64">
        <v>6.1999999999999998E-3</v>
      </c>
      <c r="T64">
        <v>6.1999999999999998E-3</v>
      </c>
      <c r="U64">
        <v>6.1999999999999998E-3</v>
      </c>
      <c r="V64">
        <v>6.1999999999999998E-3</v>
      </c>
      <c r="W64">
        <v>6.1999999999999998E-3</v>
      </c>
      <c r="X64">
        <v>6.1999999999999998E-3</v>
      </c>
      <c r="Y64">
        <v>6.1999999999999998E-3</v>
      </c>
    </row>
    <row r="65" spans="1:25" hidden="1">
      <c r="A65" t="s">
        <v>18799</v>
      </c>
      <c r="B65" t="s">
        <v>2108</v>
      </c>
      <c r="C65" t="s">
        <v>2075</v>
      </c>
      <c r="D65" t="s">
        <v>648</v>
      </c>
      <c r="E65" t="s">
        <v>2083</v>
      </c>
      <c r="F65" t="s">
        <v>598</v>
      </c>
      <c r="G65" t="s">
        <v>599</v>
      </c>
      <c r="H65" t="s">
        <v>600</v>
      </c>
      <c r="I65" t="s">
        <v>601</v>
      </c>
      <c r="J65">
        <v>1.2200000000000001E-2</v>
      </c>
      <c r="K65">
        <v>1.2200000000000001E-2</v>
      </c>
      <c r="L65">
        <v>1.2200000000000001E-2</v>
      </c>
      <c r="M65">
        <v>1.2200000000000001E-2</v>
      </c>
      <c r="N65">
        <v>1.2200000000000001E-2</v>
      </c>
      <c r="O65">
        <v>1.2200000000000001E-2</v>
      </c>
      <c r="P65">
        <v>1.2200000000000001E-2</v>
      </c>
      <c r="Q65">
        <v>1.2200000000000001E-2</v>
      </c>
      <c r="R65">
        <v>1.2200000000000001E-2</v>
      </c>
      <c r="S65">
        <v>1.2200000000000001E-2</v>
      </c>
      <c r="T65">
        <v>1.2200000000000001E-2</v>
      </c>
      <c r="U65">
        <v>1.2200000000000001E-2</v>
      </c>
      <c r="V65">
        <v>1.2200000000000001E-2</v>
      </c>
      <c r="W65">
        <v>1.2200000000000001E-2</v>
      </c>
      <c r="X65">
        <v>1.2200000000000001E-2</v>
      </c>
      <c r="Y65">
        <v>1.2200000000000001E-2</v>
      </c>
    </row>
    <row r="66" spans="1:25" hidden="1">
      <c r="A66" t="s">
        <v>18799</v>
      </c>
      <c r="B66" t="s">
        <v>2172</v>
      </c>
      <c r="C66" t="s">
        <v>2154</v>
      </c>
      <c r="D66" t="s">
        <v>1435</v>
      </c>
      <c r="E66" t="s">
        <v>973</v>
      </c>
      <c r="F66" t="s">
        <v>598</v>
      </c>
      <c r="G66" t="s">
        <v>599</v>
      </c>
      <c r="H66" t="s">
        <v>600</v>
      </c>
      <c r="I66" t="s">
        <v>601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18799</v>
      </c>
      <c r="B67" t="s">
        <v>2188</v>
      </c>
      <c r="C67" t="s">
        <v>2154</v>
      </c>
      <c r="D67" t="s">
        <v>648</v>
      </c>
      <c r="E67" t="s">
        <v>973</v>
      </c>
      <c r="F67" t="s">
        <v>598</v>
      </c>
      <c r="G67" t="s">
        <v>599</v>
      </c>
      <c r="H67" t="s">
        <v>600</v>
      </c>
      <c r="I67" t="s">
        <v>601</v>
      </c>
      <c r="J67">
        <v>8.6E-3</v>
      </c>
      <c r="K67">
        <v>8.8000000000000005E-3</v>
      </c>
      <c r="L67">
        <v>8.8000000000000005E-3</v>
      </c>
      <c r="M67">
        <v>8.8999999999999999E-3</v>
      </c>
      <c r="N67">
        <v>9.1000000000000004E-3</v>
      </c>
      <c r="O67">
        <v>9.1000000000000004E-3</v>
      </c>
      <c r="P67">
        <v>9.1000000000000004E-3</v>
      </c>
      <c r="Q67">
        <v>9.1000000000000004E-3</v>
      </c>
      <c r="R67">
        <v>9.2999999999999992E-3</v>
      </c>
      <c r="S67">
        <v>9.2999999999999992E-3</v>
      </c>
      <c r="T67">
        <v>9.2999999999999992E-3</v>
      </c>
      <c r="U67">
        <v>9.4000000000000004E-3</v>
      </c>
      <c r="V67">
        <v>9.5999999999999992E-3</v>
      </c>
      <c r="W67">
        <v>9.5999999999999992E-3</v>
      </c>
      <c r="X67">
        <v>9.7999999999999997E-3</v>
      </c>
      <c r="Y67">
        <v>9.9000000000000008E-3</v>
      </c>
    </row>
    <row r="68" spans="1:25">
      <c r="J68">
        <f>SUBTOTAL(109,Table103[2015])</f>
        <v>0.30859999999999999</v>
      </c>
      <c r="K68">
        <f>SUBTOTAL(109,Table103[2016])</f>
        <v>0.30859999999999999</v>
      </c>
      <c r="L68">
        <f>SUBTOTAL(109,Table103[2017])</f>
        <v>0.30859999999999999</v>
      </c>
      <c r="M68">
        <f>SUBTOTAL(109,Table103[2018])</f>
        <v>0.30859999999999999</v>
      </c>
      <c r="N68">
        <f>SUBTOTAL(109,Table103[2019])</f>
        <v>0.30859999999999999</v>
      </c>
      <c r="O68">
        <f>SUBTOTAL(109,Table103[2020])</f>
        <v>0.30859999999999999</v>
      </c>
      <c r="P68">
        <f>SUBTOTAL(109,Table103[2021])</f>
        <v>0.30859999999999999</v>
      </c>
      <c r="Q68">
        <f>SUBTOTAL(109,Table103[2022])</f>
        <v>0.30859999999999999</v>
      </c>
      <c r="R68">
        <f>SUBTOTAL(109,Table103[2023])</f>
        <v>0.30859999999999999</v>
      </c>
      <c r="S68">
        <f>SUBTOTAL(109,Table103[2024])</f>
        <v>0.30859999999999999</v>
      </c>
      <c r="T68">
        <f>SUBTOTAL(109,Table103[2025])</f>
        <v>0.30859999999999999</v>
      </c>
      <c r="U68">
        <f>SUBTOTAL(109,Table103[2026])</f>
        <v>0.30859999999999999</v>
      </c>
      <c r="V68">
        <f>SUBTOTAL(109,Table103[2027])</f>
        <v>0.30859999999999999</v>
      </c>
      <c r="W68">
        <f>SUBTOTAL(109,Table103[2028])</f>
        <v>0.30859999999999999</v>
      </c>
      <c r="X68">
        <f>SUBTOTAL(109,Table103[2029])</f>
        <v>0.30859999999999999</v>
      </c>
      <c r="Y68">
        <f>SUBTOTAL(109,Table103[2030])</f>
        <v>0.30859999999999999</v>
      </c>
    </row>
    <row r="70" spans="1:25">
      <c r="A70" t="s">
        <v>569</v>
      </c>
      <c r="B70" t="s">
        <v>570</v>
      </c>
      <c r="C70" t="s">
        <v>571</v>
      </c>
      <c r="D70" t="s">
        <v>572</v>
      </c>
      <c r="E70" t="s">
        <v>573</v>
      </c>
      <c r="F70" t="s">
        <v>574</v>
      </c>
      <c r="G70" t="s">
        <v>575</v>
      </c>
      <c r="H70" t="s">
        <v>576</v>
      </c>
      <c r="I70" t="s">
        <v>577</v>
      </c>
      <c r="J70" t="s">
        <v>578</v>
      </c>
      <c r="K70" t="s">
        <v>579</v>
      </c>
      <c r="L70" t="s">
        <v>580</v>
      </c>
      <c r="M70" t="s">
        <v>581</v>
      </c>
      <c r="N70" t="s">
        <v>582</v>
      </c>
      <c r="O70" t="s">
        <v>583</v>
      </c>
      <c r="P70" t="s">
        <v>584</v>
      </c>
      <c r="Q70" t="s">
        <v>585</v>
      </c>
      <c r="R70" t="s">
        <v>586</v>
      </c>
      <c r="S70" t="s">
        <v>587</v>
      </c>
      <c r="T70" t="s">
        <v>588</v>
      </c>
      <c r="U70" t="s">
        <v>589</v>
      </c>
      <c r="V70" t="s">
        <v>590</v>
      </c>
      <c r="W70" t="s">
        <v>591</v>
      </c>
      <c r="X70" t="s">
        <v>592</v>
      </c>
      <c r="Y70" t="s">
        <v>593</v>
      </c>
    </row>
    <row r="71" spans="1:25">
      <c r="A71" t="s">
        <v>18800</v>
      </c>
      <c r="B71" t="s">
        <v>627</v>
      </c>
      <c r="C71" t="s">
        <v>595</v>
      </c>
      <c r="D71" t="s">
        <v>621</v>
      </c>
      <c r="E71" t="s">
        <v>628</v>
      </c>
      <c r="F71" t="s">
        <v>598</v>
      </c>
      <c r="G71" t="s">
        <v>599</v>
      </c>
      <c r="H71" t="s">
        <v>600</v>
      </c>
      <c r="I71" t="s">
        <v>601</v>
      </c>
      <c r="J71">
        <v>1E-4</v>
      </c>
      <c r="K71">
        <v>1E-4</v>
      </c>
      <c r="L71">
        <v>1E-4</v>
      </c>
      <c r="M71">
        <v>1E-4</v>
      </c>
      <c r="N71">
        <v>1E-4</v>
      </c>
      <c r="O71">
        <v>1E-4</v>
      </c>
      <c r="P71">
        <v>1E-4</v>
      </c>
      <c r="Q71">
        <v>1E-4</v>
      </c>
      <c r="R71">
        <v>1E-4</v>
      </c>
      <c r="S71">
        <v>1E-4</v>
      </c>
      <c r="T71">
        <v>1E-4</v>
      </c>
      <c r="U71">
        <v>1E-4</v>
      </c>
      <c r="V71">
        <v>1E-4</v>
      </c>
      <c r="W71">
        <v>1E-4</v>
      </c>
      <c r="X71">
        <v>1E-4</v>
      </c>
      <c r="Y71">
        <v>1E-4</v>
      </c>
    </row>
    <row r="72" spans="1:25">
      <c r="A72" t="s">
        <v>18800</v>
      </c>
      <c r="B72" t="s">
        <v>647</v>
      </c>
      <c r="C72" t="s">
        <v>595</v>
      </c>
      <c r="D72" t="s">
        <v>648</v>
      </c>
      <c r="E72" t="s">
        <v>649</v>
      </c>
      <c r="F72" t="s">
        <v>598</v>
      </c>
      <c r="G72" t="s">
        <v>599</v>
      </c>
      <c r="H72" t="s">
        <v>600</v>
      </c>
      <c r="I72" t="s">
        <v>601</v>
      </c>
      <c r="J72">
        <v>0.1178</v>
      </c>
      <c r="K72">
        <v>0.1178</v>
      </c>
      <c r="L72">
        <v>0.1178</v>
      </c>
      <c r="M72">
        <v>0.1178</v>
      </c>
      <c r="N72">
        <v>0.1178</v>
      </c>
      <c r="O72">
        <v>0.1178</v>
      </c>
      <c r="P72">
        <v>0.1178</v>
      </c>
      <c r="Q72">
        <v>0.1178</v>
      </c>
      <c r="R72">
        <v>0.1178</v>
      </c>
      <c r="S72">
        <v>0.1178</v>
      </c>
      <c r="T72">
        <v>0.1178</v>
      </c>
      <c r="U72">
        <v>0.1178</v>
      </c>
      <c r="V72">
        <v>0.1178</v>
      </c>
      <c r="W72">
        <v>0.1178</v>
      </c>
      <c r="X72">
        <v>0.1178</v>
      </c>
      <c r="Y72">
        <v>0.1178</v>
      </c>
    </row>
    <row r="73" spans="1:25" hidden="1">
      <c r="A73" t="s">
        <v>18800</v>
      </c>
      <c r="B73" t="s">
        <v>740</v>
      </c>
      <c r="C73" t="s">
        <v>729</v>
      </c>
      <c r="D73" t="s">
        <v>596</v>
      </c>
      <c r="E73" t="s">
        <v>619</v>
      </c>
      <c r="F73" t="s">
        <v>598</v>
      </c>
      <c r="G73" t="s">
        <v>599</v>
      </c>
      <c r="H73" t="s">
        <v>600</v>
      </c>
      <c r="I73" t="s">
        <v>601</v>
      </c>
      <c r="J73">
        <v>3.0999999999999999E-3</v>
      </c>
      <c r="K73">
        <v>3.0999999999999999E-3</v>
      </c>
      <c r="L73">
        <v>3.0999999999999999E-3</v>
      </c>
      <c r="M73">
        <v>3.0999999999999999E-3</v>
      </c>
      <c r="N73">
        <v>3.0999999999999999E-3</v>
      </c>
      <c r="O73">
        <v>3.0999999999999999E-3</v>
      </c>
      <c r="P73">
        <v>3.0999999999999999E-3</v>
      </c>
      <c r="Q73">
        <v>3.0999999999999999E-3</v>
      </c>
      <c r="R73">
        <v>3.0999999999999999E-3</v>
      </c>
      <c r="S73">
        <v>3.0999999999999999E-3</v>
      </c>
      <c r="T73">
        <v>3.0999999999999999E-3</v>
      </c>
      <c r="U73">
        <v>3.0999999999999999E-3</v>
      </c>
      <c r="V73">
        <v>3.0999999999999999E-3</v>
      </c>
      <c r="W73">
        <v>3.0999999999999999E-3</v>
      </c>
      <c r="X73">
        <v>3.0999999999999999E-3</v>
      </c>
      <c r="Y73">
        <v>3.0999999999999999E-3</v>
      </c>
    </row>
    <row r="74" spans="1:25" hidden="1">
      <c r="A74" t="s">
        <v>18800</v>
      </c>
      <c r="B74" t="s">
        <v>770</v>
      </c>
      <c r="C74" t="s">
        <v>729</v>
      </c>
      <c r="D74" t="s">
        <v>621</v>
      </c>
      <c r="E74" t="s">
        <v>628</v>
      </c>
      <c r="F74" t="s">
        <v>598</v>
      </c>
      <c r="G74" t="s">
        <v>599</v>
      </c>
      <c r="H74" t="s">
        <v>600</v>
      </c>
      <c r="I74" t="s">
        <v>601</v>
      </c>
      <c r="J74">
        <v>4.1999999999999997E-3</v>
      </c>
      <c r="K74">
        <v>4.1999999999999997E-3</v>
      </c>
      <c r="L74">
        <v>4.1999999999999997E-3</v>
      </c>
      <c r="M74">
        <v>4.1999999999999997E-3</v>
      </c>
      <c r="N74">
        <v>4.1999999999999997E-3</v>
      </c>
      <c r="O74">
        <v>4.1999999999999997E-3</v>
      </c>
      <c r="P74">
        <v>4.1999999999999997E-3</v>
      </c>
      <c r="Q74">
        <v>4.1999999999999997E-3</v>
      </c>
      <c r="R74">
        <v>4.1999999999999997E-3</v>
      </c>
      <c r="S74">
        <v>4.1999999999999997E-3</v>
      </c>
      <c r="T74">
        <v>4.1999999999999997E-3</v>
      </c>
      <c r="U74">
        <v>4.1999999999999997E-3</v>
      </c>
      <c r="V74">
        <v>4.1999999999999997E-3</v>
      </c>
      <c r="W74">
        <v>4.1999999999999997E-3</v>
      </c>
      <c r="X74">
        <v>4.1999999999999997E-3</v>
      </c>
      <c r="Y74">
        <v>4.1999999999999997E-3</v>
      </c>
    </row>
    <row r="75" spans="1:25" hidden="1">
      <c r="A75" t="s">
        <v>18800</v>
      </c>
      <c r="B75" t="s">
        <v>778</v>
      </c>
      <c r="C75" t="s">
        <v>729</v>
      </c>
      <c r="D75" t="s">
        <v>632</v>
      </c>
      <c r="E75" t="s">
        <v>628</v>
      </c>
      <c r="F75" t="s">
        <v>598</v>
      </c>
      <c r="G75" t="s">
        <v>599</v>
      </c>
      <c r="H75" t="s">
        <v>600</v>
      </c>
      <c r="I75" t="s">
        <v>601</v>
      </c>
      <c r="J75">
        <v>1.01E-2</v>
      </c>
      <c r="K75">
        <v>1.01E-2</v>
      </c>
      <c r="L75">
        <v>1.01E-2</v>
      </c>
      <c r="M75">
        <v>1.01E-2</v>
      </c>
      <c r="N75">
        <v>1.01E-2</v>
      </c>
      <c r="O75">
        <v>1.01E-2</v>
      </c>
      <c r="P75">
        <v>1.01E-2</v>
      </c>
      <c r="Q75">
        <v>1.01E-2</v>
      </c>
      <c r="R75">
        <v>1.01E-2</v>
      </c>
      <c r="S75">
        <v>1.01E-2</v>
      </c>
      <c r="T75">
        <v>1.01E-2</v>
      </c>
      <c r="U75">
        <v>1.01E-2</v>
      </c>
      <c r="V75">
        <v>1.01E-2</v>
      </c>
      <c r="W75">
        <v>1.01E-2</v>
      </c>
      <c r="X75">
        <v>1.01E-2</v>
      </c>
      <c r="Y75">
        <v>1.01E-2</v>
      </c>
    </row>
    <row r="76" spans="1:25" hidden="1">
      <c r="A76" t="s">
        <v>18800</v>
      </c>
      <c r="B76" t="s">
        <v>830</v>
      </c>
      <c r="C76" t="s">
        <v>804</v>
      </c>
      <c r="D76" t="s">
        <v>828</v>
      </c>
      <c r="E76" t="s">
        <v>628</v>
      </c>
      <c r="F76" t="s">
        <v>831</v>
      </c>
      <c r="G76" t="s">
        <v>599</v>
      </c>
      <c r="H76" t="s">
        <v>600</v>
      </c>
      <c r="I76" t="s">
        <v>601</v>
      </c>
      <c r="J76">
        <v>6.9999999999999999E-4</v>
      </c>
      <c r="K76">
        <v>2.0000000000000001E-4</v>
      </c>
      <c r="L76">
        <v>2.0000000000000001E-4</v>
      </c>
      <c r="M76">
        <v>2.0000000000000001E-4</v>
      </c>
      <c r="N76">
        <v>2.0000000000000001E-4</v>
      </c>
      <c r="O76">
        <v>2.0000000000000001E-4</v>
      </c>
      <c r="P76">
        <v>2.0000000000000001E-4</v>
      </c>
      <c r="Q76">
        <v>2.0000000000000001E-4</v>
      </c>
      <c r="R76">
        <v>2.0000000000000001E-4</v>
      </c>
      <c r="S76">
        <v>2.0000000000000001E-4</v>
      </c>
      <c r="T76">
        <v>2.0000000000000001E-4</v>
      </c>
      <c r="U76">
        <v>2.0000000000000001E-4</v>
      </c>
      <c r="V76">
        <v>2.0000000000000001E-4</v>
      </c>
      <c r="W76">
        <v>2.0000000000000001E-4</v>
      </c>
      <c r="X76">
        <v>2.0000000000000001E-4</v>
      </c>
      <c r="Y76">
        <v>2.0000000000000001E-4</v>
      </c>
    </row>
    <row r="77" spans="1:25" hidden="1">
      <c r="A77" t="s">
        <v>18800</v>
      </c>
      <c r="B77" t="s">
        <v>832</v>
      </c>
      <c r="C77" t="s">
        <v>804</v>
      </c>
      <c r="D77" t="s">
        <v>828</v>
      </c>
      <c r="E77" t="s">
        <v>628</v>
      </c>
      <c r="F77" t="s">
        <v>833</v>
      </c>
      <c r="G77" t="s">
        <v>599</v>
      </c>
      <c r="H77" t="s">
        <v>600</v>
      </c>
      <c r="I77" t="s">
        <v>601</v>
      </c>
      <c r="J77">
        <v>5.0000000000000001E-4</v>
      </c>
      <c r="K77">
        <v>5.0000000000000001E-4</v>
      </c>
      <c r="L77">
        <v>4.0000000000000002E-4</v>
      </c>
      <c r="M77">
        <v>4.0000000000000002E-4</v>
      </c>
      <c r="N77">
        <v>4.0000000000000002E-4</v>
      </c>
      <c r="O77">
        <v>2.9999999999999997E-4</v>
      </c>
      <c r="P77">
        <v>2.9999999999999997E-4</v>
      </c>
      <c r="Q77">
        <v>2.9999999999999997E-4</v>
      </c>
      <c r="R77">
        <v>2.9999999999999997E-4</v>
      </c>
      <c r="S77">
        <v>2.9999999999999997E-4</v>
      </c>
      <c r="T77">
        <v>2.9999999999999997E-4</v>
      </c>
      <c r="U77">
        <v>2.0000000000000001E-4</v>
      </c>
      <c r="V77">
        <v>2.0000000000000001E-4</v>
      </c>
      <c r="W77">
        <v>2.0000000000000001E-4</v>
      </c>
      <c r="X77">
        <v>1E-4</v>
      </c>
      <c r="Y77">
        <v>1E-4</v>
      </c>
    </row>
    <row r="78" spans="1:25" hidden="1">
      <c r="A78" t="s">
        <v>18800</v>
      </c>
      <c r="B78" t="s">
        <v>839</v>
      </c>
      <c r="C78" t="s">
        <v>804</v>
      </c>
      <c r="D78" t="s">
        <v>648</v>
      </c>
      <c r="E78" t="s">
        <v>688</v>
      </c>
      <c r="F78" t="s">
        <v>598</v>
      </c>
      <c r="G78" t="s">
        <v>599</v>
      </c>
      <c r="H78" t="s">
        <v>600</v>
      </c>
      <c r="I78" t="s">
        <v>601</v>
      </c>
      <c r="J78">
        <v>7.4999999999999997E-3</v>
      </c>
      <c r="K78">
        <v>7.4999999999999997E-3</v>
      </c>
      <c r="L78">
        <v>7.4999999999999997E-3</v>
      </c>
      <c r="M78">
        <v>7.4999999999999997E-3</v>
      </c>
      <c r="N78">
        <v>7.4999999999999997E-3</v>
      </c>
      <c r="O78">
        <v>7.4999999999999997E-3</v>
      </c>
      <c r="P78">
        <v>7.4999999999999997E-3</v>
      </c>
      <c r="Q78">
        <v>7.4999999999999997E-3</v>
      </c>
      <c r="R78">
        <v>7.4999999999999997E-3</v>
      </c>
      <c r="S78">
        <v>7.4999999999999997E-3</v>
      </c>
      <c r="T78">
        <v>7.4999999999999997E-3</v>
      </c>
      <c r="U78">
        <v>7.4999999999999997E-3</v>
      </c>
      <c r="V78">
        <v>7.4999999999999997E-3</v>
      </c>
      <c r="W78">
        <v>7.4999999999999997E-3</v>
      </c>
      <c r="X78">
        <v>7.4999999999999997E-3</v>
      </c>
      <c r="Y78">
        <v>7.4999999999999997E-3</v>
      </c>
    </row>
    <row r="79" spans="1:25" hidden="1">
      <c r="A79" t="s">
        <v>18800</v>
      </c>
      <c r="B79" t="s">
        <v>852</v>
      </c>
      <c r="C79" t="s">
        <v>841</v>
      </c>
      <c r="D79" t="s">
        <v>596</v>
      </c>
      <c r="E79" t="s">
        <v>619</v>
      </c>
      <c r="F79" t="s">
        <v>598</v>
      </c>
      <c r="G79" t="s">
        <v>599</v>
      </c>
      <c r="H79" t="s">
        <v>600</v>
      </c>
      <c r="I79" t="s">
        <v>601</v>
      </c>
      <c r="J79">
        <v>1.1000000000000001E-3</v>
      </c>
      <c r="K79">
        <v>1.1000000000000001E-3</v>
      </c>
      <c r="L79">
        <v>1.1000000000000001E-3</v>
      </c>
      <c r="M79">
        <v>1.1000000000000001E-3</v>
      </c>
      <c r="N79">
        <v>1.1000000000000001E-3</v>
      </c>
      <c r="O79">
        <v>1.1000000000000001E-3</v>
      </c>
      <c r="P79">
        <v>1.1000000000000001E-3</v>
      </c>
      <c r="Q79">
        <v>1.1000000000000001E-3</v>
      </c>
      <c r="R79">
        <v>1.1000000000000001E-3</v>
      </c>
      <c r="S79">
        <v>1.1000000000000001E-3</v>
      </c>
      <c r="T79">
        <v>1.1000000000000001E-3</v>
      </c>
      <c r="U79">
        <v>1.1000000000000001E-3</v>
      </c>
      <c r="V79">
        <v>1.1000000000000001E-3</v>
      </c>
      <c r="W79">
        <v>1.1000000000000001E-3</v>
      </c>
      <c r="X79">
        <v>1.1000000000000001E-3</v>
      </c>
      <c r="Y79">
        <v>1.1000000000000001E-3</v>
      </c>
    </row>
    <row r="80" spans="1:25" hidden="1">
      <c r="A80" t="s">
        <v>18800</v>
      </c>
      <c r="B80" t="s">
        <v>870</v>
      </c>
      <c r="C80" t="s">
        <v>841</v>
      </c>
      <c r="D80" t="s">
        <v>621</v>
      </c>
      <c r="E80" t="s">
        <v>603</v>
      </c>
      <c r="F80" t="s">
        <v>598</v>
      </c>
      <c r="G80" t="s">
        <v>599</v>
      </c>
      <c r="H80" t="s">
        <v>600</v>
      </c>
      <c r="I80" t="s">
        <v>601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hidden="1">
      <c r="A81" t="s">
        <v>18800</v>
      </c>
      <c r="B81" t="s">
        <v>876</v>
      </c>
      <c r="C81" t="s">
        <v>841</v>
      </c>
      <c r="D81" t="s">
        <v>621</v>
      </c>
      <c r="E81" t="s">
        <v>628</v>
      </c>
      <c r="F81" t="s">
        <v>598</v>
      </c>
      <c r="G81" t="s">
        <v>599</v>
      </c>
      <c r="H81" t="s">
        <v>600</v>
      </c>
      <c r="I81" t="s">
        <v>601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1:25" hidden="1">
      <c r="A82" t="s">
        <v>18800</v>
      </c>
      <c r="B82" t="s">
        <v>911</v>
      </c>
      <c r="C82" t="s">
        <v>841</v>
      </c>
      <c r="D82" t="s">
        <v>648</v>
      </c>
      <c r="E82" t="s">
        <v>619</v>
      </c>
      <c r="F82" t="s">
        <v>598</v>
      </c>
      <c r="G82" t="s">
        <v>599</v>
      </c>
      <c r="H82" t="s">
        <v>600</v>
      </c>
      <c r="I82" t="s">
        <v>601</v>
      </c>
      <c r="J82">
        <v>4.0000000000000002E-4</v>
      </c>
      <c r="K82">
        <v>4.0000000000000002E-4</v>
      </c>
      <c r="L82">
        <v>4.0000000000000002E-4</v>
      </c>
      <c r="M82">
        <v>4.0000000000000002E-4</v>
      </c>
      <c r="N82">
        <v>4.0000000000000002E-4</v>
      </c>
      <c r="O82">
        <v>5.0000000000000001E-4</v>
      </c>
      <c r="P82">
        <v>5.0000000000000001E-4</v>
      </c>
      <c r="Q82">
        <v>5.0000000000000001E-4</v>
      </c>
      <c r="R82">
        <v>5.0000000000000001E-4</v>
      </c>
      <c r="S82">
        <v>5.0000000000000001E-4</v>
      </c>
      <c r="T82">
        <v>5.0000000000000001E-4</v>
      </c>
      <c r="U82">
        <v>5.0000000000000001E-4</v>
      </c>
      <c r="V82">
        <v>5.0000000000000001E-4</v>
      </c>
      <c r="W82">
        <v>5.0000000000000001E-4</v>
      </c>
      <c r="X82">
        <v>5.0000000000000001E-4</v>
      </c>
      <c r="Y82">
        <v>5.0000000000000001E-4</v>
      </c>
    </row>
    <row r="83" spans="1:25" hidden="1">
      <c r="A83" t="s">
        <v>18800</v>
      </c>
      <c r="B83" t="s">
        <v>916</v>
      </c>
      <c r="C83" t="s">
        <v>914</v>
      </c>
      <c r="D83" t="s">
        <v>621</v>
      </c>
      <c r="E83" t="s">
        <v>628</v>
      </c>
      <c r="F83" t="s">
        <v>598</v>
      </c>
      <c r="G83" t="s">
        <v>599</v>
      </c>
      <c r="H83" t="s">
        <v>600</v>
      </c>
      <c r="I83" t="s">
        <v>601</v>
      </c>
      <c r="J83">
        <v>1.4501999999999999E-4</v>
      </c>
      <c r="K83">
        <v>1.4501999999999999E-4</v>
      </c>
      <c r="L83">
        <v>1.4501999999999999E-4</v>
      </c>
      <c r="M83">
        <v>1.4501999999999999E-4</v>
      </c>
      <c r="N83">
        <v>1.4501999999999999E-4</v>
      </c>
      <c r="O83">
        <v>1.4501999999999999E-4</v>
      </c>
      <c r="P83">
        <v>1.4501999999999999E-4</v>
      </c>
      <c r="Q83">
        <v>1.4501999999999999E-4</v>
      </c>
      <c r="R83">
        <v>1.4501999999999999E-4</v>
      </c>
      <c r="S83">
        <v>1.4501999999999999E-4</v>
      </c>
      <c r="T83">
        <v>1.4501999999999999E-4</v>
      </c>
      <c r="U83">
        <v>1.4501999999999999E-4</v>
      </c>
      <c r="V83">
        <v>1.4501999999999999E-4</v>
      </c>
      <c r="W83">
        <v>1.4501999999999999E-4</v>
      </c>
      <c r="X83">
        <v>1.4501999999999999E-4</v>
      </c>
      <c r="Y83">
        <v>1.4501999999999999E-4</v>
      </c>
    </row>
    <row r="84" spans="1:25" hidden="1">
      <c r="A84" t="s">
        <v>18800</v>
      </c>
      <c r="B84" t="s">
        <v>924</v>
      </c>
      <c r="C84" t="s">
        <v>925</v>
      </c>
      <c r="D84" t="s">
        <v>926</v>
      </c>
      <c r="E84" t="s">
        <v>927</v>
      </c>
      <c r="F84" t="s">
        <v>598</v>
      </c>
      <c r="G84" t="s">
        <v>599</v>
      </c>
      <c r="H84" t="s">
        <v>600</v>
      </c>
      <c r="I84" t="s">
        <v>601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hidden="1">
      <c r="A85" t="s">
        <v>18800</v>
      </c>
      <c r="B85" t="s">
        <v>947</v>
      </c>
      <c r="C85" t="s">
        <v>943</v>
      </c>
      <c r="D85" t="s">
        <v>946</v>
      </c>
      <c r="E85" t="s">
        <v>948</v>
      </c>
      <c r="F85" t="s">
        <v>598</v>
      </c>
      <c r="G85" t="s">
        <v>599</v>
      </c>
      <c r="H85" t="s">
        <v>600</v>
      </c>
      <c r="I85" t="s">
        <v>601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hidden="1">
      <c r="A86" t="s">
        <v>18800</v>
      </c>
      <c r="B86" t="s">
        <v>981</v>
      </c>
      <c r="C86" t="s">
        <v>980</v>
      </c>
      <c r="D86" t="s">
        <v>982</v>
      </c>
      <c r="E86" t="s">
        <v>613</v>
      </c>
      <c r="F86" t="s">
        <v>598</v>
      </c>
      <c r="G86" t="s">
        <v>599</v>
      </c>
      <c r="H86" t="s">
        <v>600</v>
      </c>
      <c r="I86" t="s">
        <v>601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hidden="1">
      <c r="A87" t="s">
        <v>18800</v>
      </c>
      <c r="B87" t="s">
        <v>997</v>
      </c>
      <c r="C87" t="s">
        <v>998</v>
      </c>
      <c r="D87" t="s">
        <v>999</v>
      </c>
      <c r="E87" t="s">
        <v>1000</v>
      </c>
      <c r="F87" t="s">
        <v>598</v>
      </c>
      <c r="G87" t="s">
        <v>599</v>
      </c>
      <c r="H87" t="s">
        <v>600</v>
      </c>
      <c r="I87" t="s">
        <v>601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hidden="1">
      <c r="A88" t="s">
        <v>18800</v>
      </c>
      <c r="B88" t="s">
        <v>1009</v>
      </c>
      <c r="C88" t="s">
        <v>998</v>
      </c>
      <c r="D88" t="s">
        <v>999</v>
      </c>
      <c r="E88" t="s">
        <v>1010</v>
      </c>
      <c r="F88" t="s">
        <v>598</v>
      </c>
      <c r="G88" t="s">
        <v>599</v>
      </c>
      <c r="H88" t="s">
        <v>600</v>
      </c>
      <c r="I88" t="s">
        <v>601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hidden="1">
      <c r="A89" t="s">
        <v>18800</v>
      </c>
      <c r="B89" t="s">
        <v>1015</v>
      </c>
      <c r="C89" t="s">
        <v>1016</v>
      </c>
      <c r="D89" t="s">
        <v>1017</v>
      </c>
      <c r="E89" t="s">
        <v>1018</v>
      </c>
      <c r="F89" t="s">
        <v>598</v>
      </c>
      <c r="G89" t="s">
        <v>599</v>
      </c>
      <c r="H89" t="s">
        <v>600</v>
      </c>
      <c r="I89" t="s">
        <v>601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hidden="1">
      <c r="A90" t="s">
        <v>18800</v>
      </c>
      <c r="B90" t="s">
        <v>1021</v>
      </c>
      <c r="C90" t="s">
        <v>1016</v>
      </c>
      <c r="D90" t="s">
        <v>1017</v>
      </c>
      <c r="E90" t="s">
        <v>1022</v>
      </c>
      <c r="F90" t="s">
        <v>598</v>
      </c>
      <c r="G90" t="s">
        <v>599</v>
      </c>
      <c r="H90" t="s">
        <v>600</v>
      </c>
      <c r="I90" t="s">
        <v>601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hidden="1">
      <c r="A91" t="s">
        <v>18800</v>
      </c>
      <c r="B91" t="s">
        <v>1023</v>
      </c>
      <c r="C91" t="s">
        <v>1016</v>
      </c>
      <c r="D91" t="s">
        <v>1017</v>
      </c>
      <c r="E91" t="s">
        <v>1024</v>
      </c>
      <c r="F91" t="s">
        <v>598</v>
      </c>
      <c r="G91" t="s">
        <v>599</v>
      </c>
      <c r="H91" t="s">
        <v>600</v>
      </c>
      <c r="I91" t="s">
        <v>601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hidden="1">
      <c r="A92" t="s">
        <v>18800</v>
      </c>
      <c r="B92" t="s">
        <v>1029</v>
      </c>
      <c r="C92" t="s">
        <v>1016</v>
      </c>
      <c r="D92" t="s">
        <v>1017</v>
      </c>
      <c r="E92" t="s">
        <v>1030</v>
      </c>
      <c r="F92" t="s">
        <v>598</v>
      </c>
      <c r="G92" t="s">
        <v>599</v>
      </c>
      <c r="H92" t="s">
        <v>600</v>
      </c>
      <c r="I92" t="s">
        <v>601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hidden="1">
      <c r="A93" t="s">
        <v>18800</v>
      </c>
      <c r="B93" t="s">
        <v>1037</v>
      </c>
      <c r="C93" t="s">
        <v>1016</v>
      </c>
      <c r="D93" t="s">
        <v>1017</v>
      </c>
      <c r="E93" t="s">
        <v>1038</v>
      </c>
      <c r="F93" t="s">
        <v>598</v>
      </c>
      <c r="G93" t="s">
        <v>599</v>
      </c>
      <c r="H93" t="s">
        <v>600</v>
      </c>
      <c r="I93" t="s">
        <v>601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hidden="1">
      <c r="A94" t="s">
        <v>18800</v>
      </c>
      <c r="B94" t="s">
        <v>1041</v>
      </c>
      <c r="C94" t="s">
        <v>1016</v>
      </c>
      <c r="D94" t="s">
        <v>1017</v>
      </c>
      <c r="E94" t="s">
        <v>1042</v>
      </c>
      <c r="F94" t="s">
        <v>598</v>
      </c>
      <c r="G94" t="s">
        <v>599</v>
      </c>
      <c r="H94" t="s">
        <v>600</v>
      </c>
      <c r="I94" t="s">
        <v>601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hidden="1">
      <c r="A95" t="s">
        <v>18800</v>
      </c>
      <c r="B95" t="s">
        <v>1047</v>
      </c>
      <c r="C95" t="s">
        <v>1016</v>
      </c>
      <c r="D95" t="s">
        <v>1017</v>
      </c>
      <c r="E95" t="s">
        <v>1048</v>
      </c>
      <c r="F95" t="s">
        <v>598</v>
      </c>
      <c r="G95" t="s">
        <v>599</v>
      </c>
      <c r="H95" t="s">
        <v>600</v>
      </c>
      <c r="I95" t="s">
        <v>601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hidden="1">
      <c r="A96" t="s">
        <v>18800</v>
      </c>
      <c r="B96" t="s">
        <v>1061</v>
      </c>
      <c r="C96" t="s">
        <v>1016</v>
      </c>
      <c r="D96" t="s">
        <v>1050</v>
      </c>
      <c r="E96" t="s">
        <v>1048</v>
      </c>
      <c r="F96" t="s">
        <v>598</v>
      </c>
      <c r="G96" t="s">
        <v>599</v>
      </c>
      <c r="H96" t="s">
        <v>600</v>
      </c>
      <c r="I96" t="s">
        <v>601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hidden="1">
      <c r="A97" t="s">
        <v>18800</v>
      </c>
      <c r="B97" t="s">
        <v>1062</v>
      </c>
      <c r="C97" t="s">
        <v>1016</v>
      </c>
      <c r="D97" t="s">
        <v>1063</v>
      </c>
      <c r="E97" t="s">
        <v>1018</v>
      </c>
      <c r="F97" t="s">
        <v>598</v>
      </c>
      <c r="G97" t="s">
        <v>599</v>
      </c>
      <c r="H97" t="s">
        <v>600</v>
      </c>
      <c r="I97" t="s">
        <v>601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hidden="1">
      <c r="A98" t="s">
        <v>18800</v>
      </c>
      <c r="B98" t="s">
        <v>1064</v>
      </c>
      <c r="C98" t="s">
        <v>1016</v>
      </c>
      <c r="D98" t="s">
        <v>1063</v>
      </c>
      <c r="E98" t="s">
        <v>1022</v>
      </c>
      <c r="F98" t="s">
        <v>598</v>
      </c>
      <c r="G98" t="s">
        <v>599</v>
      </c>
      <c r="H98" t="s">
        <v>600</v>
      </c>
      <c r="I98" t="s">
        <v>601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18800</v>
      </c>
      <c r="B99" t="s">
        <v>1067</v>
      </c>
      <c r="C99" t="s">
        <v>1016</v>
      </c>
      <c r="D99" t="s">
        <v>1063</v>
      </c>
      <c r="E99" t="s">
        <v>1026</v>
      </c>
      <c r="F99" t="s">
        <v>598</v>
      </c>
      <c r="G99" t="s">
        <v>599</v>
      </c>
      <c r="H99" t="s">
        <v>600</v>
      </c>
      <c r="I99" t="s">
        <v>601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hidden="1">
      <c r="A100" t="s">
        <v>18800</v>
      </c>
      <c r="B100" t="s">
        <v>1068</v>
      </c>
      <c r="C100" t="s">
        <v>1016</v>
      </c>
      <c r="D100" t="s">
        <v>1063</v>
      </c>
      <c r="E100" t="s">
        <v>1030</v>
      </c>
      <c r="F100" t="s">
        <v>598</v>
      </c>
      <c r="G100" t="s">
        <v>599</v>
      </c>
      <c r="H100" t="s">
        <v>600</v>
      </c>
      <c r="I100" t="s">
        <v>601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hidden="1">
      <c r="A101" t="s">
        <v>18800</v>
      </c>
      <c r="B101" t="s">
        <v>1069</v>
      </c>
      <c r="C101" t="s">
        <v>1016</v>
      </c>
      <c r="D101" t="s">
        <v>1063</v>
      </c>
      <c r="E101" t="s">
        <v>1035</v>
      </c>
      <c r="F101" t="s">
        <v>598</v>
      </c>
      <c r="G101" t="s">
        <v>599</v>
      </c>
      <c r="H101" t="s">
        <v>600</v>
      </c>
      <c r="I101" t="s">
        <v>601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hidden="1">
      <c r="A102" t="s">
        <v>18800</v>
      </c>
      <c r="B102" t="s">
        <v>1072</v>
      </c>
      <c r="C102" t="s">
        <v>1016</v>
      </c>
      <c r="D102" t="s">
        <v>1063</v>
      </c>
      <c r="E102" t="s">
        <v>1040</v>
      </c>
      <c r="F102" t="s">
        <v>598</v>
      </c>
      <c r="G102" t="s">
        <v>599</v>
      </c>
      <c r="H102" t="s">
        <v>600</v>
      </c>
      <c r="I102" t="s">
        <v>601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hidden="1">
      <c r="A103" t="s">
        <v>18800</v>
      </c>
      <c r="B103" t="s">
        <v>1073</v>
      </c>
      <c r="C103" t="s">
        <v>1016</v>
      </c>
      <c r="D103" t="s">
        <v>1063</v>
      </c>
      <c r="E103" t="s">
        <v>1042</v>
      </c>
      <c r="F103" t="s">
        <v>598</v>
      </c>
      <c r="G103" t="s">
        <v>599</v>
      </c>
      <c r="H103" t="s">
        <v>600</v>
      </c>
      <c r="I103" t="s">
        <v>601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1:25" hidden="1">
      <c r="A104" t="s">
        <v>18800</v>
      </c>
      <c r="B104" t="s">
        <v>1075</v>
      </c>
      <c r="C104" t="s">
        <v>1016</v>
      </c>
      <c r="D104" t="s">
        <v>1063</v>
      </c>
      <c r="E104" t="s">
        <v>1046</v>
      </c>
      <c r="F104" t="s">
        <v>598</v>
      </c>
      <c r="G104" t="s">
        <v>599</v>
      </c>
      <c r="H104" t="s">
        <v>600</v>
      </c>
      <c r="I104" t="s">
        <v>601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hidden="1">
      <c r="A105" t="s">
        <v>18800</v>
      </c>
      <c r="B105" t="s">
        <v>1076</v>
      </c>
      <c r="C105" t="s">
        <v>1016</v>
      </c>
      <c r="D105" t="s">
        <v>1063</v>
      </c>
      <c r="E105" t="s">
        <v>1048</v>
      </c>
      <c r="F105" t="s">
        <v>598</v>
      </c>
      <c r="G105" t="s">
        <v>599</v>
      </c>
      <c r="H105" t="s">
        <v>600</v>
      </c>
      <c r="I105" t="s">
        <v>601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hidden="1">
      <c r="A106" t="s">
        <v>18800</v>
      </c>
      <c r="B106" t="s">
        <v>1087</v>
      </c>
      <c r="C106" t="s">
        <v>1079</v>
      </c>
      <c r="D106" t="s">
        <v>1086</v>
      </c>
      <c r="E106" t="s">
        <v>1081</v>
      </c>
      <c r="F106" t="s">
        <v>598</v>
      </c>
      <c r="G106" t="s">
        <v>599</v>
      </c>
      <c r="H106" t="s">
        <v>600</v>
      </c>
      <c r="I106" t="s">
        <v>601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hidden="1">
      <c r="A107" t="s">
        <v>18800</v>
      </c>
      <c r="B107" t="s">
        <v>1256</v>
      </c>
      <c r="C107" t="s">
        <v>1253</v>
      </c>
      <c r="D107" t="s">
        <v>1254</v>
      </c>
      <c r="E107" t="s">
        <v>1257</v>
      </c>
      <c r="F107" t="s">
        <v>598</v>
      </c>
      <c r="G107" t="s">
        <v>599</v>
      </c>
      <c r="H107" t="s">
        <v>600</v>
      </c>
      <c r="I107" t="s">
        <v>601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hidden="1">
      <c r="A108" t="s">
        <v>18800</v>
      </c>
      <c r="B108" t="s">
        <v>1258</v>
      </c>
      <c r="C108" t="s">
        <v>1253</v>
      </c>
      <c r="D108" t="s">
        <v>1254</v>
      </c>
      <c r="E108" t="s">
        <v>1259</v>
      </c>
      <c r="F108" t="s">
        <v>598</v>
      </c>
      <c r="G108" t="s">
        <v>599</v>
      </c>
      <c r="H108" t="s">
        <v>600</v>
      </c>
      <c r="I108" t="s">
        <v>601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hidden="1">
      <c r="A109" t="s">
        <v>18800</v>
      </c>
      <c r="B109" t="s">
        <v>1531</v>
      </c>
      <c r="C109" t="s">
        <v>1472</v>
      </c>
      <c r="D109" t="s">
        <v>1332</v>
      </c>
      <c r="E109" t="s">
        <v>1326</v>
      </c>
      <c r="F109" t="s">
        <v>598</v>
      </c>
      <c r="G109" t="s">
        <v>599</v>
      </c>
      <c r="H109" t="s">
        <v>600</v>
      </c>
      <c r="I109" t="s">
        <v>601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18800</v>
      </c>
      <c r="B110" t="s">
        <v>1566</v>
      </c>
      <c r="C110" t="s">
        <v>1472</v>
      </c>
      <c r="D110" t="s">
        <v>1567</v>
      </c>
      <c r="E110" t="s">
        <v>626</v>
      </c>
      <c r="F110" t="s">
        <v>598</v>
      </c>
      <c r="G110" t="s">
        <v>599</v>
      </c>
      <c r="H110" t="s">
        <v>600</v>
      </c>
      <c r="I110" t="s">
        <v>601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hidden="1">
      <c r="A111" t="s">
        <v>18800</v>
      </c>
      <c r="B111" t="s">
        <v>1568</v>
      </c>
      <c r="C111" t="s">
        <v>1472</v>
      </c>
      <c r="D111" t="s">
        <v>1569</v>
      </c>
      <c r="E111" t="s">
        <v>626</v>
      </c>
      <c r="F111" t="s">
        <v>598</v>
      </c>
      <c r="G111" t="s">
        <v>599</v>
      </c>
      <c r="H111" t="s">
        <v>600</v>
      </c>
      <c r="I111" t="s">
        <v>601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hidden="1">
      <c r="A112" t="s">
        <v>18800</v>
      </c>
      <c r="B112" t="s">
        <v>1570</v>
      </c>
      <c r="C112" t="s">
        <v>1472</v>
      </c>
      <c r="D112" t="s">
        <v>1571</v>
      </c>
      <c r="E112" t="s">
        <v>626</v>
      </c>
      <c r="F112" t="s">
        <v>598</v>
      </c>
      <c r="G112" t="s">
        <v>599</v>
      </c>
      <c r="H112" t="s">
        <v>600</v>
      </c>
      <c r="I112" t="s">
        <v>601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hidden="1">
      <c r="A113" t="s">
        <v>18800</v>
      </c>
      <c r="B113" t="s">
        <v>1573</v>
      </c>
      <c r="C113" t="s">
        <v>1472</v>
      </c>
      <c r="D113" t="s">
        <v>1574</v>
      </c>
      <c r="E113" t="s">
        <v>626</v>
      </c>
      <c r="F113" t="s">
        <v>598</v>
      </c>
      <c r="G113" t="s">
        <v>599</v>
      </c>
      <c r="H113" t="s">
        <v>600</v>
      </c>
      <c r="I113" t="s">
        <v>601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18800</v>
      </c>
      <c r="B114" t="s">
        <v>1575</v>
      </c>
      <c r="C114" t="s">
        <v>1472</v>
      </c>
      <c r="D114" t="s">
        <v>1576</v>
      </c>
      <c r="E114" t="s">
        <v>626</v>
      </c>
      <c r="F114" t="s">
        <v>598</v>
      </c>
      <c r="G114" t="s">
        <v>599</v>
      </c>
      <c r="H114" t="s">
        <v>600</v>
      </c>
      <c r="I114" t="s">
        <v>601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hidden="1">
      <c r="A115" t="s">
        <v>18800</v>
      </c>
      <c r="B115" t="s">
        <v>1577</v>
      </c>
      <c r="C115" t="s">
        <v>1472</v>
      </c>
      <c r="D115" t="s">
        <v>1578</v>
      </c>
      <c r="E115" t="s">
        <v>626</v>
      </c>
      <c r="F115" t="s">
        <v>598</v>
      </c>
      <c r="G115" t="s">
        <v>599</v>
      </c>
      <c r="H115" t="s">
        <v>600</v>
      </c>
      <c r="I115" t="s">
        <v>601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hidden="1">
      <c r="A116" t="s">
        <v>18800</v>
      </c>
      <c r="B116" t="s">
        <v>1582</v>
      </c>
      <c r="C116" t="s">
        <v>1472</v>
      </c>
      <c r="D116" t="s">
        <v>1583</v>
      </c>
      <c r="E116" t="s">
        <v>626</v>
      </c>
      <c r="F116" t="s">
        <v>598</v>
      </c>
      <c r="G116" t="s">
        <v>599</v>
      </c>
      <c r="H116" t="s">
        <v>600</v>
      </c>
      <c r="I116" t="s">
        <v>601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hidden="1">
      <c r="A117" t="s">
        <v>18800</v>
      </c>
      <c r="B117" t="s">
        <v>1585</v>
      </c>
      <c r="C117" t="s">
        <v>1472</v>
      </c>
      <c r="D117" t="s">
        <v>1583</v>
      </c>
      <c r="E117" t="s">
        <v>1399</v>
      </c>
      <c r="F117" t="s">
        <v>598</v>
      </c>
      <c r="G117" t="s">
        <v>599</v>
      </c>
      <c r="H117" t="s">
        <v>600</v>
      </c>
      <c r="I117" t="s">
        <v>601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18800</v>
      </c>
      <c r="B118" t="s">
        <v>1590</v>
      </c>
      <c r="C118" t="s">
        <v>1472</v>
      </c>
      <c r="D118" t="s">
        <v>1365</v>
      </c>
      <c r="E118" t="s">
        <v>626</v>
      </c>
      <c r="F118" t="s">
        <v>598</v>
      </c>
      <c r="G118" t="s">
        <v>599</v>
      </c>
      <c r="H118" t="s">
        <v>600</v>
      </c>
      <c r="I118" t="s">
        <v>601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hidden="1">
      <c r="A119" t="s">
        <v>18800</v>
      </c>
      <c r="B119" t="s">
        <v>1600</v>
      </c>
      <c r="C119" t="s">
        <v>1472</v>
      </c>
      <c r="D119" t="s">
        <v>1601</v>
      </c>
      <c r="E119" t="s">
        <v>626</v>
      </c>
      <c r="F119" t="s">
        <v>598</v>
      </c>
      <c r="G119" t="s">
        <v>599</v>
      </c>
      <c r="H119" t="s">
        <v>600</v>
      </c>
      <c r="I119" t="s">
        <v>601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18800</v>
      </c>
      <c r="B120" t="s">
        <v>1602</v>
      </c>
      <c r="C120" t="s">
        <v>1472</v>
      </c>
      <c r="D120" t="s">
        <v>1603</v>
      </c>
      <c r="E120" t="s">
        <v>626</v>
      </c>
      <c r="F120" t="s">
        <v>598</v>
      </c>
      <c r="G120" t="s">
        <v>599</v>
      </c>
      <c r="H120" t="s">
        <v>600</v>
      </c>
      <c r="I120" t="s">
        <v>601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18800</v>
      </c>
      <c r="B121" t="s">
        <v>1604</v>
      </c>
      <c r="C121" t="s">
        <v>1472</v>
      </c>
      <c r="D121" t="s">
        <v>1605</v>
      </c>
      <c r="E121" t="s">
        <v>626</v>
      </c>
      <c r="F121" t="s">
        <v>598</v>
      </c>
      <c r="G121" t="s">
        <v>599</v>
      </c>
      <c r="H121" t="s">
        <v>600</v>
      </c>
      <c r="I121" t="s">
        <v>601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hidden="1">
      <c r="A122" t="s">
        <v>18800</v>
      </c>
      <c r="B122" t="s">
        <v>1858</v>
      </c>
      <c r="C122" t="s">
        <v>1845</v>
      </c>
      <c r="D122" t="s">
        <v>1859</v>
      </c>
      <c r="E122" t="s">
        <v>1860</v>
      </c>
      <c r="F122" t="s">
        <v>598</v>
      </c>
      <c r="G122" t="s">
        <v>599</v>
      </c>
      <c r="H122" t="s">
        <v>600</v>
      </c>
      <c r="I122" t="s">
        <v>601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hidden="1">
      <c r="A123" t="s">
        <v>18800</v>
      </c>
      <c r="B123" t="s">
        <v>1861</v>
      </c>
      <c r="C123" t="s">
        <v>1845</v>
      </c>
      <c r="D123" t="s">
        <v>1862</v>
      </c>
      <c r="E123" t="s">
        <v>1860</v>
      </c>
      <c r="F123" t="s">
        <v>598</v>
      </c>
      <c r="G123" t="s">
        <v>599</v>
      </c>
      <c r="H123" t="s">
        <v>600</v>
      </c>
      <c r="I123" t="s">
        <v>601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hidden="1">
      <c r="A124" t="s">
        <v>18800</v>
      </c>
      <c r="B124" t="s">
        <v>1877</v>
      </c>
      <c r="C124" t="s">
        <v>1845</v>
      </c>
      <c r="D124" t="s">
        <v>1878</v>
      </c>
      <c r="E124" t="s">
        <v>1872</v>
      </c>
      <c r="F124" t="s">
        <v>598</v>
      </c>
      <c r="G124" t="s">
        <v>599</v>
      </c>
      <c r="H124" t="s">
        <v>600</v>
      </c>
      <c r="I124" t="s">
        <v>601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hidden="1">
      <c r="A125" t="s">
        <v>18800</v>
      </c>
      <c r="B125" t="s">
        <v>1949</v>
      </c>
      <c r="C125" t="s">
        <v>1845</v>
      </c>
      <c r="D125" t="s">
        <v>648</v>
      </c>
      <c r="E125" t="s">
        <v>1872</v>
      </c>
      <c r="F125" t="s">
        <v>598</v>
      </c>
      <c r="G125" t="s">
        <v>599</v>
      </c>
      <c r="H125" t="s">
        <v>600</v>
      </c>
      <c r="I125" t="s">
        <v>601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hidden="1">
      <c r="A126" t="s">
        <v>18800</v>
      </c>
      <c r="B126" t="s">
        <v>1964</v>
      </c>
      <c r="C126" t="s">
        <v>1959</v>
      </c>
      <c r="D126" t="s">
        <v>1965</v>
      </c>
      <c r="E126" t="s">
        <v>1966</v>
      </c>
      <c r="F126" t="s">
        <v>598</v>
      </c>
      <c r="G126" t="s">
        <v>599</v>
      </c>
      <c r="H126" t="s">
        <v>600</v>
      </c>
      <c r="I126" t="s">
        <v>601</v>
      </c>
      <c r="J126">
        <v>5.3999999999999999E-2</v>
      </c>
      <c r="K126">
        <v>5.4199999999999998E-2</v>
      </c>
      <c r="L126">
        <v>5.45E-2</v>
      </c>
      <c r="M126">
        <v>5.4800000000000001E-2</v>
      </c>
      <c r="N126">
        <v>6.0999999999999999E-2</v>
      </c>
      <c r="O126">
        <v>6.1100000000000002E-2</v>
      </c>
      <c r="P126">
        <v>6.1400000000000003E-2</v>
      </c>
      <c r="Q126">
        <v>6.1499999999999999E-2</v>
      </c>
      <c r="R126">
        <v>6.1699999999999998E-2</v>
      </c>
      <c r="S126">
        <v>6.1800000000000001E-2</v>
      </c>
      <c r="T126">
        <v>6.8000000000000005E-2</v>
      </c>
      <c r="U126">
        <v>6.8099999999999994E-2</v>
      </c>
      <c r="V126">
        <v>6.83E-2</v>
      </c>
      <c r="W126">
        <v>6.8400000000000002E-2</v>
      </c>
      <c r="X126">
        <v>6.8599999999999994E-2</v>
      </c>
      <c r="Y126">
        <v>7.4800000000000005E-2</v>
      </c>
    </row>
    <row r="127" spans="1:25" hidden="1">
      <c r="A127" t="s">
        <v>18800</v>
      </c>
      <c r="B127" t="s">
        <v>1967</v>
      </c>
      <c r="C127" t="s">
        <v>1959</v>
      </c>
      <c r="D127" t="s">
        <v>1968</v>
      </c>
      <c r="E127" t="s">
        <v>1962</v>
      </c>
      <c r="F127" t="s">
        <v>598</v>
      </c>
      <c r="G127" t="s">
        <v>599</v>
      </c>
      <c r="H127" t="s">
        <v>600</v>
      </c>
      <c r="I127" t="s">
        <v>601</v>
      </c>
      <c r="J127">
        <v>4.8999999999999998E-3</v>
      </c>
      <c r="K127">
        <v>4.8999999999999998E-3</v>
      </c>
      <c r="L127">
        <v>4.8999999999999998E-3</v>
      </c>
      <c r="M127">
        <v>4.8999999999999998E-3</v>
      </c>
      <c r="N127">
        <v>5.5999999999999999E-3</v>
      </c>
      <c r="O127">
        <v>5.5999999999999999E-3</v>
      </c>
      <c r="P127">
        <v>5.5999999999999999E-3</v>
      </c>
      <c r="Q127">
        <v>5.5999999999999999E-3</v>
      </c>
      <c r="R127">
        <v>5.5999999999999999E-3</v>
      </c>
      <c r="S127">
        <v>5.5999999999999999E-3</v>
      </c>
      <c r="T127">
        <v>6.3E-3</v>
      </c>
      <c r="U127">
        <v>6.3E-3</v>
      </c>
      <c r="V127">
        <v>6.3E-3</v>
      </c>
      <c r="W127">
        <v>6.3E-3</v>
      </c>
      <c r="X127">
        <v>6.3E-3</v>
      </c>
      <c r="Y127">
        <v>7.0000000000000001E-3</v>
      </c>
    </row>
    <row r="128" spans="1:25" hidden="1">
      <c r="A128" t="s">
        <v>18800</v>
      </c>
      <c r="B128" t="s">
        <v>1977</v>
      </c>
      <c r="C128" t="s">
        <v>1959</v>
      </c>
      <c r="D128" t="s">
        <v>1972</v>
      </c>
      <c r="E128" t="s">
        <v>1966</v>
      </c>
      <c r="F128" t="s">
        <v>598</v>
      </c>
      <c r="G128" t="s">
        <v>599</v>
      </c>
      <c r="H128" t="s">
        <v>600</v>
      </c>
      <c r="I128" t="s">
        <v>601</v>
      </c>
      <c r="J128">
        <v>2.5399999999999999E-2</v>
      </c>
      <c r="K128">
        <v>2.5399999999999999E-2</v>
      </c>
      <c r="L128">
        <v>2.5399999999999999E-2</v>
      </c>
      <c r="M128">
        <v>2.5399999999999999E-2</v>
      </c>
      <c r="N128">
        <v>2.9100000000000001E-2</v>
      </c>
      <c r="O128">
        <v>2.9100000000000001E-2</v>
      </c>
      <c r="P128">
        <v>2.9100000000000001E-2</v>
      </c>
      <c r="Q128">
        <v>2.9100000000000001E-2</v>
      </c>
      <c r="R128">
        <v>2.9100000000000001E-2</v>
      </c>
      <c r="S128">
        <v>2.9100000000000001E-2</v>
      </c>
      <c r="T128">
        <v>3.27E-2</v>
      </c>
      <c r="U128">
        <v>3.27E-2</v>
      </c>
      <c r="V128">
        <v>3.27E-2</v>
      </c>
      <c r="W128">
        <v>3.27E-2</v>
      </c>
      <c r="X128">
        <v>3.27E-2</v>
      </c>
      <c r="Y128">
        <v>3.6299999999999999E-2</v>
      </c>
    </row>
    <row r="129" spans="1:25" hidden="1">
      <c r="A129" t="s">
        <v>18800</v>
      </c>
      <c r="B129" t="s">
        <v>1978</v>
      </c>
      <c r="C129" t="s">
        <v>1959</v>
      </c>
      <c r="D129" t="s">
        <v>1972</v>
      </c>
      <c r="E129" t="s">
        <v>1979</v>
      </c>
      <c r="F129" t="s">
        <v>598</v>
      </c>
      <c r="G129" t="s">
        <v>599</v>
      </c>
      <c r="H129" t="s">
        <v>600</v>
      </c>
      <c r="I129" t="s">
        <v>601</v>
      </c>
      <c r="J129">
        <v>8.3999999999999995E-3</v>
      </c>
      <c r="K129">
        <v>8.3999999999999995E-3</v>
      </c>
      <c r="L129">
        <v>8.3999999999999995E-3</v>
      </c>
      <c r="M129">
        <v>8.3999999999999995E-3</v>
      </c>
      <c r="N129">
        <v>9.7000000000000003E-3</v>
      </c>
      <c r="O129">
        <v>9.7000000000000003E-3</v>
      </c>
      <c r="P129">
        <v>9.7000000000000003E-3</v>
      </c>
      <c r="Q129">
        <v>9.7000000000000003E-3</v>
      </c>
      <c r="R129">
        <v>9.7000000000000003E-3</v>
      </c>
      <c r="S129">
        <v>9.7000000000000003E-3</v>
      </c>
      <c r="T129">
        <v>1.0800000000000001E-2</v>
      </c>
      <c r="U129">
        <v>1.0800000000000001E-2</v>
      </c>
      <c r="V129">
        <v>1.0800000000000001E-2</v>
      </c>
      <c r="W129">
        <v>1.0800000000000001E-2</v>
      </c>
      <c r="X129">
        <v>1.0800000000000001E-2</v>
      </c>
      <c r="Y129">
        <v>1.21E-2</v>
      </c>
    </row>
    <row r="130" spans="1:25" hidden="1">
      <c r="A130" t="s">
        <v>18800</v>
      </c>
      <c r="B130" t="s">
        <v>2005</v>
      </c>
      <c r="C130" t="s">
        <v>1959</v>
      </c>
      <c r="D130" t="s">
        <v>2001</v>
      </c>
      <c r="E130" t="s">
        <v>1976</v>
      </c>
      <c r="F130" t="s">
        <v>598</v>
      </c>
      <c r="G130" t="s">
        <v>599</v>
      </c>
      <c r="H130" t="s">
        <v>600</v>
      </c>
      <c r="I130" t="s">
        <v>601</v>
      </c>
      <c r="J130">
        <v>8.6999999999999994E-3</v>
      </c>
      <c r="K130">
        <v>8.8000000000000005E-3</v>
      </c>
      <c r="L130">
        <v>8.8999999999999999E-3</v>
      </c>
      <c r="M130">
        <v>9.1000000000000004E-3</v>
      </c>
      <c r="N130">
        <v>9.4000000000000004E-3</v>
      </c>
      <c r="O130">
        <v>9.4999999999999998E-3</v>
      </c>
      <c r="P130">
        <v>9.5999999999999992E-3</v>
      </c>
      <c r="Q130">
        <v>9.5999999999999992E-3</v>
      </c>
      <c r="R130">
        <v>9.7000000000000003E-3</v>
      </c>
      <c r="S130">
        <v>9.7000000000000003E-3</v>
      </c>
      <c r="T130">
        <v>1.03E-2</v>
      </c>
      <c r="U130">
        <v>1.04E-2</v>
      </c>
      <c r="V130">
        <v>1.0500000000000001E-2</v>
      </c>
      <c r="W130">
        <v>1.0500000000000001E-2</v>
      </c>
      <c r="X130">
        <v>1.06E-2</v>
      </c>
      <c r="Y130">
        <v>1.11E-2</v>
      </c>
    </row>
    <row r="131" spans="1:25" hidden="1">
      <c r="A131" t="s">
        <v>18800</v>
      </c>
      <c r="B131" t="s">
        <v>2023</v>
      </c>
      <c r="C131" t="s">
        <v>1959</v>
      </c>
      <c r="D131" t="s">
        <v>1817</v>
      </c>
      <c r="E131" t="s">
        <v>1970</v>
      </c>
      <c r="F131" t="s">
        <v>598</v>
      </c>
      <c r="G131" t="s">
        <v>599</v>
      </c>
      <c r="H131" t="s">
        <v>600</v>
      </c>
      <c r="I131" t="s">
        <v>601</v>
      </c>
      <c r="J131">
        <v>2.0000000000000001E-4</v>
      </c>
      <c r="K131">
        <v>2.0000000000000001E-4</v>
      </c>
      <c r="L131">
        <v>2.0000000000000001E-4</v>
      </c>
      <c r="M131">
        <v>2.0000000000000001E-4</v>
      </c>
      <c r="N131">
        <v>2.9999999999999997E-4</v>
      </c>
      <c r="O131">
        <v>2.9999999999999997E-4</v>
      </c>
      <c r="P131">
        <v>2.9999999999999997E-4</v>
      </c>
      <c r="Q131">
        <v>2.9999999999999997E-4</v>
      </c>
      <c r="R131">
        <v>2.9999999999999997E-4</v>
      </c>
      <c r="S131">
        <v>2.9999999999999997E-4</v>
      </c>
      <c r="T131">
        <v>2.9999999999999997E-4</v>
      </c>
      <c r="U131">
        <v>2.9999999999999997E-4</v>
      </c>
      <c r="V131">
        <v>2.9999999999999997E-4</v>
      </c>
      <c r="W131">
        <v>2.9999999999999997E-4</v>
      </c>
      <c r="X131">
        <v>2.9999999999999997E-4</v>
      </c>
      <c r="Y131">
        <v>2.9999999999999997E-4</v>
      </c>
    </row>
    <row r="132" spans="1:25" hidden="1">
      <c r="A132" t="s">
        <v>18800</v>
      </c>
      <c r="B132" t="s">
        <v>2037</v>
      </c>
      <c r="C132" t="s">
        <v>1959</v>
      </c>
      <c r="D132" t="s">
        <v>648</v>
      </c>
      <c r="E132" t="s">
        <v>646</v>
      </c>
      <c r="F132" t="s">
        <v>598</v>
      </c>
      <c r="G132" t="s">
        <v>599</v>
      </c>
      <c r="H132" t="s">
        <v>600</v>
      </c>
      <c r="I132" t="s">
        <v>601</v>
      </c>
      <c r="J132">
        <v>6.9900000000000004E-2</v>
      </c>
      <c r="K132">
        <v>6.9900000000000004E-2</v>
      </c>
      <c r="L132">
        <v>6.9900000000000004E-2</v>
      </c>
      <c r="M132">
        <v>6.9900000000000004E-2</v>
      </c>
      <c r="N132">
        <v>7.9899999999999999E-2</v>
      </c>
      <c r="O132">
        <v>7.9899999999999999E-2</v>
      </c>
      <c r="P132">
        <v>7.9899999999999999E-2</v>
      </c>
      <c r="Q132">
        <v>7.9899999999999999E-2</v>
      </c>
      <c r="R132">
        <v>7.9899999999999999E-2</v>
      </c>
      <c r="S132">
        <v>7.9899999999999999E-2</v>
      </c>
      <c r="T132">
        <v>8.9899999999999994E-2</v>
      </c>
      <c r="U132">
        <v>8.9899999999999994E-2</v>
      </c>
      <c r="V132">
        <v>8.9899999999999994E-2</v>
      </c>
      <c r="W132">
        <v>8.9899999999999994E-2</v>
      </c>
      <c r="X132">
        <v>8.9899999999999994E-2</v>
      </c>
      <c r="Y132">
        <v>9.9900000000000003E-2</v>
      </c>
    </row>
    <row r="133" spans="1:25" hidden="1">
      <c r="A133" t="s">
        <v>18800</v>
      </c>
      <c r="B133" t="s">
        <v>2040</v>
      </c>
      <c r="C133" t="s">
        <v>1959</v>
      </c>
      <c r="D133" t="s">
        <v>648</v>
      </c>
      <c r="E133" t="s">
        <v>1962</v>
      </c>
      <c r="F133" t="s">
        <v>598</v>
      </c>
      <c r="G133" t="s">
        <v>599</v>
      </c>
      <c r="H133" t="s">
        <v>600</v>
      </c>
      <c r="I133" t="s">
        <v>601</v>
      </c>
      <c r="J133">
        <v>5.4000000000000003E-3</v>
      </c>
      <c r="K133">
        <v>5.4000000000000003E-3</v>
      </c>
      <c r="L133">
        <v>5.4000000000000003E-3</v>
      </c>
      <c r="M133">
        <v>5.4000000000000003E-3</v>
      </c>
      <c r="N133">
        <v>6.1000000000000004E-3</v>
      </c>
      <c r="O133">
        <v>6.1000000000000004E-3</v>
      </c>
      <c r="P133">
        <v>6.1000000000000004E-3</v>
      </c>
      <c r="Q133">
        <v>6.1000000000000004E-3</v>
      </c>
      <c r="R133">
        <v>6.1000000000000004E-3</v>
      </c>
      <c r="S133">
        <v>6.1000000000000004E-3</v>
      </c>
      <c r="T133">
        <v>7.0000000000000001E-3</v>
      </c>
      <c r="U133">
        <v>7.0000000000000001E-3</v>
      </c>
      <c r="V133">
        <v>7.0000000000000001E-3</v>
      </c>
      <c r="W133">
        <v>7.0000000000000001E-3</v>
      </c>
      <c r="X133">
        <v>7.0000000000000001E-3</v>
      </c>
      <c r="Y133">
        <v>7.7000000000000002E-3</v>
      </c>
    </row>
    <row r="134" spans="1:25" hidden="1">
      <c r="A134" t="s">
        <v>18800</v>
      </c>
      <c r="B134" t="s">
        <v>2050</v>
      </c>
      <c r="C134" t="s">
        <v>1959</v>
      </c>
      <c r="D134" t="s">
        <v>648</v>
      </c>
      <c r="E134" t="s">
        <v>2051</v>
      </c>
      <c r="F134" t="s">
        <v>598</v>
      </c>
      <c r="G134" t="s">
        <v>599</v>
      </c>
      <c r="H134" t="s">
        <v>600</v>
      </c>
      <c r="I134" t="s">
        <v>601</v>
      </c>
      <c r="J134">
        <v>1.49E-2</v>
      </c>
      <c r="K134">
        <v>1.49E-2</v>
      </c>
      <c r="L134">
        <v>1.49E-2</v>
      </c>
      <c r="M134">
        <v>1.49E-2</v>
      </c>
      <c r="N134">
        <v>1.7000000000000001E-2</v>
      </c>
      <c r="O134">
        <v>1.7000000000000001E-2</v>
      </c>
      <c r="P134">
        <v>1.7000000000000001E-2</v>
      </c>
      <c r="Q134">
        <v>1.7000000000000001E-2</v>
      </c>
      <c r="R134">
        <v>1.7000000000000001E-2</v>
      </c>
      <c r="S134">
        <v>1.7000000000000001E-2</v>
      </c>
      <c r="T134">
        <v>1.9099999999999999E-2</v>
      </c>
      <c r="U134">
        <v>1.9099999999999999E-2</v>
      </c>
      <c r="V134">
        <v>1.9099999999999999E-2</v>
      </c>
      <c r="W134">
        <v>1.9099999999999999E-2</v>
      </c>
      <c r="X134">
        <v>1.9099999999999999E-2</v>
      </c>
      <c r="Y134">
        <v>2.12E-2</v>
      </c>
    </row>
    <row r="135" spans="1:25" hidden="1">
      <c r="A135" t="s">
        <v>18800</v>
      </c>
      <c r="B135" t="s">
        <v>2187</v>
      </c>
      <c r="C135" t="s">
        <v>2154</v>
      </c>
      <c r="D135" t="s">
        <v>648</v>
      </c>
      <c r="E135" t="s">
        <v>920</v>
      </c>
      <c r="F135" t="s">
        <v>598</v>
      </c>
      <c r="G135" t="s">
        <v>599</v>
      </c>
      <c r="H135" t="s">
        <v>600</v>
      </c>
      <c r="I135" t="s">
        <v>601</v>
      </c>
      <c r="J135">
        <v>8.7400000000000005E-2</v>
      </c>
      <c r="K135">
        <v>8.8900000000000007E-2</v>
      </c>
      <c r="L135">
        <v>9.11E-2</v>
      </c>
      <c r="M135">
        <v>9.3399999999999997E-2</v>
      </c>
      <c r="N135">
        <v>9.5600000000000004E-2</v>
      </c>
      <c r="O135">
        <v>9.64E-2</v>
      </c>
      <c r="P135">
        <v>9.7900000000000001E-2</v>
      </c>
      <c r="Q135">
        <v>9.8599999999999993E-2</v>
      </c>
      <c r="R135">
        <v>0.10009999999999999</v>
      </c>
      <c r="S135">
        <v>0.1009</v>
      </c>
      <c r="T135">
        <v>0.1024</v>
      </c>
      <c r="U135">
        <v>0.1031</v>
      </c>
      <c r="V135">
        <v>0.1046</v>
      </c>
      <c r="W135">
        <v>0.10539999999999999</v>
      </c>
      <c r="X135">
        <v>0.1069</v>
      </c>
      <c r="Y135">
        <v>0.1084</v>
      </c>
    </row>
    <row r="136" spans="1:25">
      <c r="J136">
        <f>SUBTOTAL(109,Table104[2015])</f>
        <v>0.1179</v>
      </c>
      <c r="K136">
        <f>SUBTOTAL(109,Table104[2016])</f>
        <v>0.1179</v>
      </c>
      <c r="L136">
        <f>SUBTOTAL(109,Table104[2017])</f>
        <v>0.1179</v>
      </c>
      <c r="M136">
        <f>SUBTOTAL(109,Table104[2018])</f>
        <v>0.1179</v>
      </c>
      <c r="N136">
        <f>SUBTOTAL(109,Table104[2019])</f>
        <v>0.1179</v>
      </c>
      <c r="O136">
        <f>SUBTOTAL(109,Table104[2020])</f>
        <v>0.1179</v>
      </c>
      <c r="P136">
        <f>SUBTOTAL(109,Table104[2021])</f>
        <v>0.1179</v>
      </c>
      <c r="Q136">
        <f>SUBTOTAL(109,Table104[2022])</f>
        <v>0.1179</v>
      </c>
      <c r="R136">
        <f>SUBTOTAL(109,Table104[2023])</f>
        <v>0.1179</v>
      </c>
      <c r="S136">
        <f>SUBTOTAL(109,Table104[2024])</f>
        <v>0.1179</v>
      </c>
      <c r="T136">
        <f>SUBTOTAL(109,Table104[2025])</f>
        <v>0.1179</v>
      </c>
      <c r="U136">
        <f>SUBTOTAL(109,Table104[2026])</f>
        <v>0.1179</v>
      </c>
      <c r="V136">
        <f>SUBTOTAL(109,Table104[2027])</f>
        <v>0.1179</v>
      </c>
      <c r="W136">
        <f>SUBTOTAL(109,Table104[2028])</f>
        <v>0.1179</v>
      </c>
      <c r="X136">
        <f>SUBTOTAL(109,Table104[2029])</f>
        <v>0.1179</v>
      </c>
      <c r="Y136">
        <f>SUBTOTAL(109,Table104[2030])</f>
        <v>0.1179</v>
      </c>
    </row>
    <row r="138" spans="1:25">
      <c r="A138" t="s">
        <v>2289</v>
      </c>
      <c r="B138" t="s">
        <v>2290</v>
      </c>
      <c r="C138" t="s">
        <v>2291</v>
      </c>
      <c r="D138" t="s">
        <v>2292</v>
      </c>
      <c r="E138" t="s">
        <v>2293</v>
      </c>
      <c r="F138" t="s">
        <v>2294</v>
      </c>
      <c r="G138" t="s">
        <v>2295</v>
      </c>
      <c r="H138" t="s">
        <v>2296</v>
      </c>
      <c r="I138" t="s">
        <v>2297</v>
      </c>
      <c r="J138" t="s">
        <v>2298</v>
      </c>
      <c r="K138" t="s">
        <v>2299</v>
      </c>
      <c r="L138" t="s">
        <v>2300</v>
      </c>
      <c r="M138" t="s">
        <v>2301</v>
      </c>
      <c r="N138" t="s">
        <v>2302</v>
      </c>
      <c r="O138" t="s">
        <v>2303</v>
      </c>
      <c r="P138" t="s">
        <v>2304</v>
      </c>
      <c r="Q138" t="s">
        <v>2305</v>
      </c>
      <c r="R138" t="s">
        <v>2306</v>
      </c>
      <c r="S138" t="s">
        <v>2307</v>
      </c>
      <c r="T138" t="s">
        <v>2308</v>
      </c>
      <c r="U138" t="s">
        <v>2309</v>
      </c>
      <c r="V138" t="s">
        <v>2310</v>
      </c>
      <c r="W138" t="s">
        <v>2311</v>
      </c>
      <c r="X138" t="s">
        <v>2312</v>
      </c>
      <c r="Y138" t="s">
        <v>2313</v>
      </c>
    </row>
    <row r="139" spans="1:25" hidden="1">
      <c r="A139" t="s">
        <v>569</v>
      </c>
      <c r="B139" t="s">
        <v>570</v>
      </c>
      <c r="C139" t="s">
        <v>571</v>
      </c>
      <c r="D139" t="s">
        <v>572</v>
      </c>
      <c r="E139" t="s">
        <v>573</v>
      </c>
      <c r="F139" t="s">
        <v>574</v>
      </c>
      <c r="G139" t="s">
        <v>575</v>
      </c>
      <c r="H139" t="s">
        <v>576</v>
      </c>
      <c r="I139" t="s">
        <v>577</v>
      </c>
      <c r="J139">
        <v>2015</v>
      </c>
      <c r="K139">
        <v>2016</v>
      </c>
      <c r="L139">
        <v>2017</v>
      </c>
      <c r="M139">
        <v>2018</v>
      </c>
      <c r="N139">
        <v>2019</v>
      </c>
      <c r="O139">
        <v>2020</v>
      </c>
      <c r="P139">
        <v>2021</v>
      </c>
      <c r="Q139">
        <v>2022</v>
      </c>
      <c r="R139">
        <v>2023</v>
      </c>
      <c r="S139">
        <v>2024</v>
      </c>
      <c r="T139">
        <v>2025</v>
      </c>
      <c r="U139">
        <v>2026</v>
      </c>
      <c r="V139">
        <v>2027</v>
      </c>
      <c r="W139">
        <v>2028</v>
      </c>
      <c r="X139">
        <v>2029</v>
      </c>
      <c r="Y139">
        <v>2030</v>
      </c>
    </row>
    <row r="140" spans="1:25">
      <c r="A140" t="s">
        <v>18801</v>
      </c>
      <c r="B140" t="s">
        <v>627</v>
      </c>
      <c r="C140" t="s">
        <v>595</v>
      </c>
      <c r="D140" t="s">
        <v>621</v>
      </c>
      <c r="E140" t="s">
        <v>628</v>
      </c>
      <c r="F140" t="s">
        <v>598</v>
      </c>
      <c r="G140" t="s">
        <v>599</v>
      </c>
      <c r="H140" t="s">
        <v>600</v>
      </c>
      <c r="I140" t="s">
        <v>601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hidden="1">
      <c r="A141" t="s">
        <v>18801</v>
      </c>
      <c r="B141" t="s">
        <v>761</v>
      </c>
      <c r="C141" t="s">
        <v>729</v>
      </c>
      <c r="D141" t="s">
        <v>621</v>
      </c>
      <c r="E141" t="s">
        <v>597</v>
      </c>
      <c r="F141" t="s">
        <v>598</v>
      </c>
      <c r="G141" t="s">
        <v>599</v>
      </c>
      <c r="H141" t="s">
        <v>600</v>
      </c>
      <c r="I141" t="s">
        <v>601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hidden="1">
      <c r="A142" t="s">
        <v>18801</v>
      </c>
      <c r="B142" t="s">
        <v>762</v>
      </c>
      <c r="C142" t="s">
        <v>729</v>
      </c>
      <c r="D142" t="s">
        <v>621</v>
      </c>
      <c r="E142" t="s">
        <v>642</v>
      </c>
      <c r="F142" t="s">
        <v>598</v>
      </c>
      <c r="G142" t="s">
        <v>599</v>
      </c>
      <c r="H142" t="s">
        <v>600</v>
      </c>
      <c r="I142" t="s">
        <v>601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hidden="1">
      <c r="A143" t="s">
        <v>18801</v>
      </c>
      <c r="B143" t="s">
        <v>770</v>
      </c>
      <c r="C143" t="s">
        <v>729</v>
      </c>
      <c r="D143" t="s">
        <v>621</v>
      </c>
      <c r="E143" t="s">
        <v>628</v>
      </c>
      <c r="F143" t="s">
        <v>598</v>
      </c>
      <c r="G143" t="s">
        <v>599</v>
      </c>
      <c r="H143" t="s">
        <v>600</v>
      </c>
      <c r="I143" t="s">
        <v>601</v>
      </c>
      <c r="J143">
        <v>2.9999999999999997E-4</v>
      </c>
      <c r="K143">
        <v>2.9999999999999997E-4</v>
      </c>
      <c r="L143">
        <v>2.9999999999999997E-4</v>
      </c>
      <c r="M143">
        <v>2.9999999999999997E-4</v>
      </c>
      <c r="N143">
        <v>2.9999999999999997E-4</v>
      </c>
      <c r="O143">
        <v>2.9999999999999997E-4</v>
      </c>
      <c r="P143">
        <v>2.9999999999999997E-4</v>
      </c>
      <c r="Q143">
        <v>2.9999999999999997E-4</v>
      </c>
      <c r="R143">
        <v>2.9999999999999997E-4</v>
      </c>
      <c r="S143">
        <v>2.9999999999999997E-4</v>
      </c>
      <c r="T143">
        <v>2.9999999999999997E-4</v>
      </c>
      <c r="U143">
        <v>2.9999999999999997E-4</v>
      </c>
      <c r="V143">
        <v>2.9999999999999997E-4</v>
      </c>
      <c r="W143">
        <v>2.9999999999999997E-4</v>
      </c>
      <c r="X143">
        <v>2.9999999999999997E-4</v>
      </c>
      <c r="Y143">
        <v>2.9999999999999997E-4</v>
      </c>
    </row>
    <row r="144" spans="1:25" hidden="1">
      <c r="A144" t="s">
        <v>18801</v>
      </c>
      <c r="B144" t="s">
        <v>795</v>
      </c>
      <c r="C144" t="s">
        <v>729</v>
      </c>
      <c r="D144" t="s">
        <v>648</v>
      </c>
      <c r="E144" t="s">
        <v>597</v>
      </c>
      <c r="F144" t="s">
        <v>598</v>
      </c>
      <c r="G144" t="s">
        <v>599</v>
      </c>
      <c r="H144" t="s">
        <v>600</v>
      </c>
      <c r="I144" t="s">
        <v>601</v>
      </c>
      <c r="J144">
        <v>2.0000000000000001E-4</v>
      </c>
      <c r="K144">
        <v>2.0000000000000001E-4</v>
      </c>
      <c r="L144">
        <v>2.0000000000000001E-4</v>
      </c>
      <c r="M144">
        <v>2.0000000000000001E-4</v>
      </c>
      <c r="N144">
        <v>2.0000000000000001E-4</v>
      </c>
      <c r="O144">
        <v>2.0000000000000001E-4</v>
      </c>
      <c r="P144">
        <v>2.0000000000000001E-4</v>
      </c>
      <c r="Q144">
        <v>2.0000000000000001E-4</v>
      </c>
      <c r="R144">
        <v>2.0000000000000001E-4</v>
      </c>
      <c r="S144">
        <v>2.0000000000000001E-4</v>
      </c>
      <c r="T144">
        <v>2.0000000000000001E-4</v>
      </c>
      <c r="U144">
        <v>2.0000000000000001E-4</v>
      </c>
      <c r="V144">
        <v>2.0000000000000001E-4</v>
      </c>
      <c r="W144">
        <v>2.0000000000000001E-4</v>
      </c>
      <c r="X144">
        <v>2.0000000000000001E-4</v>
      </c>
      <c r="Y144">
        <v>2.0000000000000001E-4</v>
      </c>
    </row>
    <row r="145" spans="1:25" hidden="1">
      <c r="A145" t="s">
        <v>18801</v>
      </c>
      <c r="B145" t="s">
        <v>842</v>
      </c>
      <c r="C145" t="s">
        <v>841</v>
      </c>
      <c r="D145" t="s">
        <v>596</v>
      </c>
      <c r="E145" t="s">
        <v>597</v>
      </c>
      <c r="F145" t="s">
        <v>598</v>
      </c>
      <c r="G145" t="s">
        <v>599</v>
      </c>
      <c r="H145" t="s">
        <v>600</v>
      </c>
      <c r="I145" t="s">
        <v>601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hidden="1">
      <c r="A146" t="s">
        <v>18801</v>
      </c>
      <c r="B146" t="s">
        <v>844</v>
      </c>
      <c r="C146" t="s">
        <v>841</v>
      </c>
      <c r="D146" t="s">
        <v>596</v>
      </c>
      <c r="E146" t="s">
        <v>603</v>
      </c>
      <c r="F146" t="s">
        <v>598</v>
      </c>
      <c r="G146" t="s">
        <v>599</v>
      </c>
      <c r="H146" t="s">
        <v>600</v>
      </c>
      <c r="I146" t="s">
        <v>601</v>
      </c>
      <c r="J146">
        <v>8.9999999999999998E-4</v>
      </c>
      <c r="K146">
        <v>8.9999999999999998E-4</v>
      </c>
      <c r="L146">
        <v>8.9999999999999998E-4</v>
      </c>
      <c r="M146">
        <v>8.9999999999999998E-4</v>
      </c>
      <c r="N146">
        <v>8.9999999999999998E-4</v>
      </c>
      <c r="O146">
        <v>8.9999999999999998E-4</v>
      </c>
      <c r="P146">
        <v>8.9999999999999998E-4</v>
      </c>
      <c r="Q146">
        <v>8.9999999999999998E-4</v>
      </c>
      <c r="R146">
        <v>8.9999999999999998E-4</v>
      </c>
      <c r="S146">
        <v>8.9999999999999998E-4</v>
      </c>
      <c r="T146">
        <v>8.9999999999999998E-4</v>
      </c>
      <c r="U146">
        <v>8.9999999999999998E-4</v>
      </c>
      <c r="V146">
        <v>8.9999999999999998E-4</v>
      </c>
      <c r="W146">
        <v>8.9999999999999998E-4</v>
      </c>
      <c r="X146">
        <v>8.9999999999999998E-4</v>
      </c>
      <c r="Y146">
        <v>8.9999999999999998E-4</v>
      </c>
    </row>
    <row r="147" spans="1:25" hidden="1">
      <c r="A147" t="s">
        <v>18801</v>
      </c>
      <c r="B147" t="s">
        <v>868</v>
      </c>
      <c r="C147" t="s">
        <v>841</v>
      </c>
      <c r="D147" t="s">
        <v>621</v>
      </c>
      <c r="E147" t="s">
        <v>597</v>
      </c>
      <c r="F147" t="s">
        <v>598</v>
      </c>
      <c r="G147" t="s">
        <v>599</v>
      </c>
      <c r="H147" t="s">
        <v>600</v>
      </c>
      <c r="I147" t="s">
        <v>601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18801</v>
      </c>
      <c r="B148" t="s">
        <v>870</v>
      </c>
      <c r="C148" t="s">
        <v>841</v>
      </c>
      <c r="D148" t="s">
        <v>621</v>
      </c>
      <c r="E148" t="s">
        <v>603</v>
      </c>
      <c r="F148" t="s">
        <v>598</v>
      </c>
      <c r="G148" t="s">
        <v>599</v>
      </c>
      <c r="H148" t="s">
        <v>600</v>
      </c>
      <c r="I148" t="s">
        <v>601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hidden="1">
      <c r="A149" t="s">
        <v>18801</v>
      </c>
      <c r="B149" t="s">
        <v>876</v>
      </c>
      <c r="C149" t="s">
        <v>841</v>
      </c>
      <c r="D149" t="s">
        <v>621</v>
      </c>
      <c r="E149" t="s">
        <v>628</v>
      </c>
      <c r="F149" t="s">
        <v>598</v>
      </c>
      <c r="G149" t="s">
        <v>599</v>
      </c>
      <c r="H149" t="s">
        <v>600</v>
      </c>
      <c r="I149" t="s">
        <v>601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hidden="1">
      <c r="A150" t="s">
        <v>18801</v>
      </c>
      <c r="B150" t="s">
        <v>902</v>
      </c>
      <c r="C150" t="s">
        <v>841</v>
      </c>
      <c r="D150" t="s">
        <v>648</v>
      </c>
      <c r="E150" t="s">
        <v>597</v>
      </c>
      <c r="F150" t="s">
        <v>598</v>
      </c>
      <c r="G150" t="s">
        <v>599</v>
      </c>
      <c r="H150" t="s">
        <v>600</v>
      </c>
      <c r="I150" t="s">
        <v>601</v>
      </c>
      <c r="J150">
        <v>6.4999999999999997E-3</v>
      </c>
      <c r="K150">
        <v>6.6E-3</v>
      </c>
      <c r="L150">
        <v>6.7000000000000002E-3</v>
      </c>
      <c r="M150">
        <v>6.8999999999999999E-3</v>
      </c>
      <c r="N150">
        <v>6.8999999999999999E-3</v>
      </c>
      <c r="O150">
        <v>7.0000000000000001E-3</v>
      </c>
      <c r="P150">
        <v>7.0000000000000001E-3</v>
      </c>
      <c r="Q150">
        <v>7.1000000000000004E-3</v>
      </c>
      <c r="R150">
        <v>7.1000000000000004E-3</v>
      </c>
      <c r="S150">
        <v>7.1000000000000004E-3</v>
      </c>
      <c r="T150">
        <v>7.1000000000000004E-3</v>
      </c>
      <c r="U150">
        <v>7.1000000000000004E-3</v>
      </c>
      <c r="V150">
        <v>7.1000000000000004E-3</v>
      </c>
      <c r="W150">
        <v>7.1000000000000004E-3</v>
      </c>
      <c r="X150">
        <v>7.1000000000000004E-3</v>
      </c>
      <c r="Y150">
        <v>7.1999999999999998E-3</v>
      </c>
    </row>
    <row r="151" spans="1:25" hidden="1">
      <c r="A151" t="s">
        <v>18801</v>
      </c>
      <c r="B151" t="s">
        <v>911</v>
      </c>
      <c r="C151" t="s">
        <v>841</v>
      </c>
      <c r="D151" t="s">
        <v>648</v>
      </c>
      <c r="E151" t="s">
        <v>619</v>
      </c>
      <c r="F151" t="s">
        <v>598</v>
      </c>
      <c r="G151" t="s">
        <v>599</v>
      </c>
      <c r="H151" t="s">
        <v>600</v>
      </c>
      <c r="I151" t="s">
        <v>601</v>
      </c>
      <c r="J151">
        <v>1E-4</v>
      </c>
      <c r="K151">
        <v>1E-4</v>
      </c>
      <c r="L151">
        <v>1E-4</v>
      </c>
      <c r="M151">
        <v>1E-4</v>
      </c>
      <c r="N151">
        <v>1E-4</v>
      </c>
      <c r="O151">
        <v>1E-4</v>
      </c>
      <c r="P151">
        <v>1E-4</v>
      </c>
      <c r="Q151">
        <v>1E-4</v>
      </c>
      <c r="R151">
        <v>1E-4</v>
      </c>
      <c r="S151">
        <v>1E-4</v>
      </c>
      <c r="T151">
        <v>1E-4</v>
      </c>
      <c r="U151">
        <v>1E-4</v>
      </c>
      <c r="V151">
        <v>1E-4</v>
      </c>
      <c r="W151">
        <v>1E-4</v>
      </c>
      <c r="X151">
        <v>1E-4</v>
      </c>
      <c r="Y151">
        <v>1E-4</v>
      </c>
    </row>
    <row r="152" spans="1:25" hidden="1">
      <c r="A152" t="s">
        <v>18801</v>
      </c>
      <c r="B152" t="s">
        <v>916</v>
      </c>
      <c r="C152" t="s">
        <v>914</v>
      </c>
      <c r="D152" t="s">
        <v>621</v>
      </c>
      <c r="E152" t="s">
        <v>628</v>
      </c>
      <c r="F152" t="s">
        <v>598</v>
      </c>
      <c r="G152" t="s">
        <v>599</v>
      </c>
      <c r="H152" t="s">
        <v>600</v>
      </c>
      <c r="I152" t="s">
        <v>601</v>
      </c>
      <c r="J152">
        <v>1.0634799999999999E-3</v>
      </c>
      <c r="K152">
        <v>1.0634799999999999E-3</v>
      </c>
      <c r="L152">
        <v>1.0634799999999999E-3</v>
      </c>
      <c r="M152">
        <v>1.1118199999999999E-3</v>
      </c>
      <c r="N152">
        <v>1.1118199999999999E-3</v>
      </c>
      <c r="O152">
        <v>1.1118199999999999E-3</v>
      </c>
      <c r="P152">
        <v>1.1118199999999999E-3</v>
      </c>
      <c r="Q152">
        <v>1.1118199999999999E-3</v>
      </c>
      <c r="R152">
        <v>1.1118199999999999E-3</v>
      </c>
      <c r="S152">
        <v>1.1118199999999999E-3</v>
      </c>
      <c r="T152">
        <v>1.1118199999999999E-3</v>
      </c>
      <c r="U152">
        <v>1.1118199999999999E-3</v>
      </c>
      <c r="V152">
        <v>1.1118199999999999E-3</v>
      </c>
      <c r="W152">
        <v>1.1601599999999999E-3</v>
      </c>
      <c r="X152">
        <v>1.1601599999999999E-3</v>
      </c>
      <c r="Y152">
        <v>1.1601599999999999E-3</v>
      </c>
    </row>
    <row r="153" spans="1:25" hidden="1">
      <c r="A153" t="s">
        <v>18801</v>
      </c>
      <c r="B153" t="s">
        <v>919</v>
      </c>
      <c r="C153" t="s">
        <v>914</v>
      </c>
      <c r="D153" t="s">
        <v>648</v>
      </c>
      <c r="E153" t="s">
        <v>920</v>
      </c>
      <c r="F153" t="s">
        <v>598</v>
      </c>
      <c r="G153" t="s">
        <v>599</v>
      </c>
      <c r="H153" t="s">
        <v>600</v>
      </c>
      <c r="I153" t="s">
        <v>601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hidden="1">
      <c r="A154" t="s">
        <v>18801</v>
      </c>
      <c r="B154" t="s">
        <v>924</v>
      </c>
      <c r="C154" t="s">
        <v>925</v>
      </c>
      <c r="D154" t="s">
        <v>926</v>
      </c>
      <c r="E154" t="s">
        <v>927</v>
      </c>
      <c r="F154" t="s">
        <v>598</v>
      </c>
      <c r="G154" t="s">
        <v>599</v>
      </c>
      <c r="H154" t="s">
        <v>600</v>
      </c>
      <c r="I154" t="s">
        <v>601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hidden="1">
      <c r="A155" t="s">
        <v>18801</v>
      </c>
      <c r="B155" t="s">
        <v>947</v>
      </c>
      <c r="C155" t="s">
        <v>943</v>
      </c>
      <c r="D155" t="s">
        <v>946</v>
      </c>
      <c r="E155" t="s">
        <v>948</v>
      </c>
      <c r="F155" t="s">
        <v>598</v>
      </c>
      <c r="G155" t="s">
        <v>599</v>
      </c>
      <c r="H155" t="s">
        <v>600</v>
      </c>
      <c r="I155" t="s">
        <v>601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 hidden="1">
      <c r="A156" t="s">
        <v>18801</v>
      </c>
      <c r="B156" t="s">
        <v>951</v>
      </c>
      <c r="C156" t="s">
        <v>943</v>
      </c>
      <c r="D156" t="s">
        <v>934</v>
      </c>
      <c r="E156" t="s">
        <v>937</v>
      </c>
      <c r="F156" t="s">
        <v>598</v>
      </c>
      <c r="G156" t="s">
        <v>599</v>
      </c>
      <c r="H156" t="s">
        <v>600</v>
      </c>
      <c r="I156" t="s">
        <v>601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hidden="1">
      <c r="A157" t="s">
        <v>18801</v>
      </c>
      <c r="B157" t="s">
        <v>959</v>
      </c>
      <c r="C157" t="s">
        <v>956</v>
      </c>
      <c r="D157" t="s">
        <v>931</v>
      </c>
      <c r="E157" t="s">
        <v>613</v>
      </c>
      <c r="F157" t="s">
        <v>598</v>
      </c>
      <c r="G157" t="s">
        <v>599</v>
      </c>
      <c r="H157" t="s">
        <v>600</v>
      </c>
      <c r="I157" t="s">
        <v>601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hidden="1">
      <c r="A158" t="s">
        <v>18801</v>
      </c>
      <c r="B158" t="s">
        <v>997</v>
      </c>
      <c r="C158" t="s">
        <v>998</v>
      </c>
      <c r="D158" t="s">
        <v>999</v>
      </c>
      <c r="E158" t="s">
        <v>1000</v>
      </c>
      <c r="F158" t="s">
        <v>598</v>
      </c>
      <c r="G158" t="s">
        <v>599</v>
      </c>
      <c r="H158" t="s">
        <v>600</v>
      </c>
      <c r="I158" t="s">
        <v>601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18801</v>
      </c>
      <c r="B159" t="s">
        <v>1009</v>
      </c>
      <c r="C159" t="s">
        <v>998</v>
      </c>
      <c r="D159" t="s">
        <v>999</v>
      </c>
      <c r="E159" t="s">
        <v>1010</v>
      </c>
      <c r="F159" t="s">
        <v>598</v>
      </c>
      <c r="G159" t="s">
        <v>599</v>
      </c>
      <c r="H159" t="s">
        <v>600</v>
      </c>
      <c r="I159" t="s">
        <v>601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hidden="1">
      <c r="A160" t="s">
        <v>18801</v>
      </c>
      <c r="B160" t="s">
        <v>1015</v>
      </c>
      <c r="C160" t="s">
        <v>1016</v>
      </c>
      <c r="D160" t="s">
        <v>1017</v>
      </c>
      <c r="E160" t="s">
        <v>1018</v>
      </c>
      <c r="F160" t="s">
        <v>598</v>
      </c>
      <c r="G160" t="s">
        <v>599</v>
      </c>
      <c r="H160" t="s">
        <v>600</v>
      </c>
      <c r="I160" t="s">
        <v>601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hidden="1">
      <c r="A161" t="s">
        <v>18801</v>
      </c>
      <c r="B161" t="s">
        <v>1021</v>
      </c>
      <c r="C161" t="s">
        <v>1016</v>
      </c>
      <c r="D161" t="s">
        <v>1017</v>
      </c>
      <c r="E161" t="s">
        <v>1022</v>
      </c>
      <c r="F161" t="s">
        <v>598</v>
      </c>
      <c r="G161" t="s">
        <v>599</v>
      </c>
      <c r="H161" t="s">
        <v>600</v>
      </c>
      <c r="I161" t="s">
        <v>601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hidden="1">
      <c r="A162" t="s">
        <v>18801</v>
      </c>
      <c r="B162" t="s">
        <v>1023</v>
      </c>
      <c r="C162" t="s">
        <v>1016</v>
      </c>
      <c r="D162" t="s">
        <v>1017</v>
      </c>
      <c r="E162" t="s">
        <v>1024</v>
      </c>
      <c r="F162" t="s">
        <v>598</v>
      </c>
      <c r="G162" t="s">
        <v>599</v>
      </c>
      <c r="H162" t="s">
        <v>600</v>
      </c>
      <c r="I162" t="s">
        <v>601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hidden="1">
      <c r="A163" t="s">
        <v>18801</v>
      </c>
      <c r="B163" t="s">
        <v>1029</v>
      </c>
      <c r="C163" t="s">
        <v>1016</v>
      </c>
      <c r="D163" t="s">
        <v>1017</v>
      </c>
      <c r="E163" t="s">
        <v>1030</v>
      </c>
      <c r="F163" t="s">
        <v>598</v>
      </c>
      <c r="G163" t="s">
        <v>599</v>
      </c>
      <c r="H163" t="s">
        <v>600</v>
      </c>
      <c r="I163" t="s">
        <v>601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hidden="1">
      <c r="A164" t="s">
        <v>18801</v>
      </c>
      <c r="B164" t="s">
        <v>1037</v>
      </c>
      <c r="C164" t="s">
        <v>1016</v>
      </c>
      <c r="D164" t="s">
        <v>1017</v>
      </c>
      <c r="E164" t="s">
        <v>1038</v>
      </c>
      <c r="F164" t="s">
        <v>598</v>
      </c>
      <c r="G164" t="s">
        <v>599</v>
      </c>
      <c r="H164" t="s">
        <v>600</v>
      </c>
      <c r="I164" t="s">
        <v>601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18801</v>
      </c>
      <c r="B165" t="s">
        <v>1041</v>
      </c>
      <c r="C165" t="s">
        <v>1016</v>
      </c>
      <c r="D165" t="s">
        <v>1017</v>
      </c>
      <c r="E165" t="s">
        <v>1042</v>
      </c>
      <c r="F165" t="s">
        <v>598</v>
      </c>
      <c r="G165" t="s">
        <v>599</v>
      </c>
      <c r="H165" t="s">
        <v>600</v>
      </c>
      <c r="I165" t="s">
        <v>601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18801</v>
      </c>
      <c r="B166" t="s">
        <v>1047</v>
      </c>
      <c r="C166" t="s">
        <v>1016</v>
      </c>
      <c r="D166" t="s">
        <v>1017</v>
      </c>
      <c r="E166" t="s">
        <v>1048</v>
      </c>
      <c r="F166" t="s">
        <v>598</v>
      </c>
      <c r="G166" t="s">
        <v>599</v>
      </c>
      <c r="H166" t="s">
        <v>600</v>
      </c>
      <c r="I166" t="s">
        <v>601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18801</v>
      </c>
      <c r="B167" t="s">
        <v>1049</v>
      </c>
      <c r="C167" t="s">
        <v>1016</v>
      </c>
      <c r="D167" t="s">
        <v>1050</v>
      </c>
      <c r="E167" t="s">
        <v>1024</v>
      </c>
      <c r="F167" t="s">
        <v>598</v>
      </c>
      <c r="G167" t="s">
        <v>599</v>
      </c>
      <c r="H167" t="s">
        <v>600</v>
      </c>
      <c r="I167" t="s">
        <v>601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hidden="1">
      <c r="A168" t="s">
        <v>18801</v>
      </c>
      <c r="B168" t="s">
        <v>1059</v>
      </c>
      <c r="C168" t="s">
        <v>1016</v>
      </c>
      <c r="D168" t="s">
        <v>1050</v>
      </c>
      <c r="E168" t="s">
        <v>1042</v>
      </c>
      <c r="F168" t="s">
        <v>598</v>
      </c>
      <c r="G168" t="s">
        <v>599</v>
      </c>
      <c r="H168" t="s">
        <v>600</v>
      </c>
      <c r="I168" t="s">
        <v>601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18801</v>
      </c>
      <c r="B169" t="s">
        <v>1062</v>
      </c>
      <c r="C169" t="s">
        <v>1016</v>
      </c>
      <c r="D169" t="s">
        <v>1063</v>
      </c>
      <c r="E169" t="s">
        <v>1018</v>
      </c>
      <c r="F169" t="s">
        <v>598</v>
      </c>
      <c r="G169" t="s">
        <v>599</v>
      </c>
      <c r="H169" t="s">
        <v>600</v>
      </c>
      <c r="I169" t="s">
        <v>601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18801</v>
      </c>
      <c r="B170" t="s">
        <v>1064</v>
      </c>
      <c r="C170" t="s">
        <v>1016</v>
      </c>
      <c r="D170" t="s">
        <v>1063</v>
      </c>
      <c r="E170" t="s">
        <v>1022</v>
      </c>
      <c r="F170" t="s">
        <v>598</v>
      </c>
      <c r="G170" t="s">
        <v>599</v>
      </c>
      <c r="H170" t="s">
        <v>600</v>
      </c>
      <c r="I170" t="s">
        <v>601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hidden="1">
      <c r="A171" t="s">
        <v>18801</v>
      </c>
      <c r="B171" t="s">
        <v>1065</v>
      </c>
      <c r="C171" t="s">
        <v>1016</v>
      </c>
      <c r="D171" t="s">
        <v>1063</v>
      </c>
      <c r="E171" t="s">
        <v>1024</v>
      </c>
      <c r="F171" t="s">
        <v>598</v>
      </c>
      <c r="G171" t="s">
        <v>599</v>
      </c>
      <c r="H171" t="s">
        <v>600</v>
      </c>
      <c r="I171" t="s">
        <v>601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18801</v>
      </c>
      <c r="B172" t="s">
        <v>1067</v>
      </c>
      <c r="C172" t="s">
        <v>1016</v>
      </c>
      <c r="D172" t="s">
        <v>1063</v>
      </c>
      <c r="E172" t="s">
        <v>1026</v>
      </c>
      <c r="F172" t="s">
        <v>598</v>
      </c>
      <c r="G172" t="s">
        <v>599</v>
      </c>
      <c r="H172" t="s">
        <v>600</v>
      </c>
      <c r="I172" t="s">
        <v>601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hidden="1">
      <c r="A173" t="s">
        <v>18801</v>
      </c>
      <c r="B173" t="s">
        <v>1068</v>
      </c>
      <c r="C173" t="s">
        <v>1016</v>
      </c>
      <c r="D173" t="s">
        <v>1063</v>
      </c>
      <c r="E173" t="s">
        <v>1030</v>
      </c>
      <c r="F173" t="s">
        <v>598</v>
      </c>
      <c r="G173" t="s">
        <v>599</v>
      </c>
      <c r="H173" t="s">
        <v>600</v>
      </c>
      <c r="I173" t="s">
        <v>601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18801</v>
      </c>
      <c r="B174" t="s">
        <v>1069</v>
      </c>
      <c r="C174" t="s">
        <v>1016</v>
      </c>
      <c r="D174" t="s">
        <v>1063</v>
      </c>
      <c r="E174" t="s">
        <v>1035</v>
      </c>
      <c r="F174" t="s">
        <v>598</v>
      </c>
      <c r="G174" t="s">
        <v>599</v>
      </c>
      <c r="H174" t="s">
        <v>600</v>
      </c>
      <c r="I174" t="s">
        <v>601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hidden="1">
      <c r="A175" t="s">
        <v>18801</v>
      </c>
      <c r="B175" t="s">
        <v>1072</v>
      </c>
      <c r="C175" t="s">
        <v>1016</v>
      </c>
      <c r="D175" t="s">
        <v>1063</v>
      </c>
      <c r="E175" t="s">
        <v>1040</v>
      </c>
      <c r="F175" t="s">
        <v>598</v>
      </c>
      <c r="G175" t="s">
        <v>599</v>
      </c>
      <c r="H175" t="s">
        <v>600</v>
      </c>
      <c r="I175" t="s">
        <v>601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hidden="1">
      <c r="A176" t="s">
        <v>18801</v>
      </c>
      <c r="B176" t="s">
        <v>1073</v>
      </c>
      <c r="C176" t="s">
        <v>1016</v>
      </c>
      <c r="D176" t="s">
        <v>1063</v>
      </c>
      <c r="E176" t="s">
        <v>1042</v>
      </c>
      <c r="F176" t="s">
        <v>598</v>
      </c>
      <c r="G176" t="s">
        <v>599</v>
      </c>
      <c r="H176" t="s">
        <v>600</v>
      </c>
      <c r="I176" t="s">
        <v>601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hidden="1">
      <c r="A177" t="s">
        <v>18801</v>
      </c>
      <c r="B177" t="s">
        <v>1075</v>
      </c>
      <c r="C177" t="s">
        <v>1016</v>
      </c>
      <c r="D177" t="s">
        <v>1063</v>
      </c>
      <c r="E177" t="s">
        <v>1046</v>
      </c>
      <c r="F177" t="s">
        <v>598</v>
      </c>
      <c r="G177" t="s">
        <v>599</v>
      </c>
      <c r="H177" t="s">
        <v>600</v>
      </c>
      <c r="I177" t="s">
        <v>601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hidden="1">
      <c r="A178" t="s">
        <v>18801</v>
      </c>
      <c r="B178" t="s">
        <v>1076</v>
      </c>
      <c r="C178" t="s">
        <v>1016</v>
      </c>
      <c r="D178" t="s">
        <v>1063</v>
      </c>
      <c r="E178" t="s">
        <v>1048</v>
      </c>
      <c r="F178" t="s">
        <v>598</v>
      </c>
      <c r="G178" t="s">
        <v>599</v>
      </c>
      <c r="H178" t="s">
        <v>600</v>
      </c>
      <c r="I178" t="s">
        <v>601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hidden="1">
      <c r="A179" t="s">
        <v>18801</v>
      </c>
      <c r="B179" t="s">
        <v>1087</v>
      </c>
      <c r="C179" t="s">
        <v>1079</v>
      </c>
      <c r="D179" t="s">
        <v>1086</v>
      </c>
      <c r="E179" t="s">
        <v>1081</v>
      </c>
      <c r="F179" t="s">
        <v>598</v>
      </c>
      <c r="G179" t="s">
        <v>599</v>
      </c>
      <c r="H179" t="s">
        <v>600</v>
      </c>
      <c r="I179" t="s">
        <v>601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hidden="1">
      <c r="A180" t="s">
        <v>18801</v>
      </c>
      <c r="B180" t="s">
        <v>1144</v>
      </c>
      <c r="C180" t="s">
        <v>1079</v>
      </c>
      <c r="D180" t="s">
        <v>1145</v>
      </c>
      <c r="E180" t="s">
        <v>1081</v>
      </c>
      <c r="F180" t="s">
        <v>598</v>
      </c>
      <c r="G180" t="s">
        <v>599</v>
      </c>
      <c r="H180" t="s">
        <v>600</v>
      </c>
      <c r="I180" t="s">
        <v>601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hidden="1">
      <c r="A181" t="s">
        <v>18801</v>
      </c>
      <c r="B181" t="s">
        <v>1155</v>
      </c>
      <c r="C181" t="s">
        <v>1079</v>
      </c>
      <c r="D181" t="s">
        <v>1156</v>
      </c>
      <c r="E181" t="s">
        <v>1081</v>
      </c>
      <c r="F181" t="s">
        <v>598</v>
      </c>
      <c r="G181" t="s">
        <v>599</v>
      </c>
      <c r="H181" t="s">
        <v>600</v>
      </c>
      <c r="I181" t="s">
        <v>601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hidden="1">
      <c r="A182" t="s">
        <v>18801</v>
      </c>
      <c r="B182" t="s">
        <v>1217</v>
      </c>
      <c r="C182" t="s">
        <v>1079</v>
      </c>
      <c r="D182" t="s">
        <v>1188</v>
      </c>
      <c r="E182" t="s">
        <v>1106</v>
      </c>
      <c r="F182" t="s">
        <v>598</v>
      </c>
      <c r="G182" t="s">
        <v>599</v>
      </c>
      <c r="H182" t="s">
        <v>600</v>
      </c>
      <c r="I182" t="s">
        <v>601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18801</v>
      </c>
      <c r="B183" t="s">
        <v>1221</v>
      </c>
      <c r="C183" t="s">
        <v>1079</v>
      </c>
      <c r="D183" t="s">
        <v>648</v>
      </c>
      <c r="E183" t="s">
        <v>1081</v>
      </c>
      <c r="F183" t="s">
        <v>598</v>
      </c>
      <c r="G183" t="s">
        <v>599</v>
      </c>
      <c r="H183" t="s">
        <v>600</v>
      </c>
      <c r="I183" t="s">
        <v>601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hidden="1">
      <c r="A184" t="s">
        <v>18801</v>
      </c>
      <c r="B184" t="s">
        <v>1247</v>
      </c>
      <c r="C184" t="s">
        <v>1230</v>
      </c>
      <c r="D184" t="s">
        <v>1246</v>
      </c>
      <c r="E184" t="s">
        <v>1239</v>
      </c>
      <c r="F184" t="s">
        <v>598</v>
      </c>
      <c r="G184" t="s">
        <v>599</v>
      </c>
      <c r="H184" t="s">
        <v>600</v>
      </c>
      <c r="I184" t="s">
        <v>601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hidden="1">
      <c r="A185" t="s">
        <v>18801</v>
      </c>
      <c r="B185" t="s">
        <v>1256</v>
      </c>
      <c r="C185" t="s">
        <v>1253</v>
      </c>
      <c r="D185" t="s">
        <v>1254</v>
      </c>
      <c r="E185" t="s">
        <v>1257</v>
      </c>
      <c r="F185" t="s">
        <v>598</v>
      </c>
      <c r="G185" t="s">
        <v>599</v>
      </c>
      <c r="H185" t="s">
        <v>600</v>
      </c>
      <c r="I185" t="s">
        <v>601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hidden="1">
      <c r="A186" t="s">
        <v>18801</v>
      </c>
      <c r="B186" t="s">
        <v>1258</v>
      </c>
      <c r="C186" t="s">
        <v>1253</v>
      </c>
      <c r="D186" t="s">
        <v>1254</v>
      </c>
      <c r="E186" t="s">
        <v>1259</v>
      </c>
      <c r="F186" t="s">
        <v>598</v>
      </c>
      <c r="G186" t="s">
        <v>599</v>
      </c>
      <c r="H186" t="s">
        <v>600</v>
      </c>
      <c r="I186" t="s">
        <v>601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hidden="1">
      <c r="A187" t="s">
        <v>18801</v>
      </c>
      <c r="B187" t="s">
        <v>1482</v>
      </c>
      <c r="C187" t="s">
        <v>1472</v>
      </c>
      <c r="D187" t="s">
        <v>1483</v>
      </c>
      <c r="E187" t="s">
        <v>597</v>
      </c>
      <c r="F187" t="s">
        <v>598</v>
      </c>
      <c r="G187" t="s">
        <v>599</v>
      </c>
      <c r="H187" t="s">
        <v>600</v>
      </c>
      <c r="I187" t="s">
        <v>601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hidden="1">
      <c r="A188" t="s">
        <v>18801</v>
      </c>
      <c r="B188" t="s">
        <v>1566</v>
      </c>
      <c r="C188" t="s">
        <v>1472</v>
      </c>
      <c r="D188" t="s">
        <v>1567</v>
      </c>
      <c r="E188" t="s">
        <v>626</v>
      </c>
      <c r="F188" t="s">
        <v>598</v>
      </c>
      <c r="G188" t="s">
        <v>599</v>
      </c>
      <c r="H188" t="s">
        <v>600</v>
      </c>
      <c r="I188" t="s">
        <v>601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hidden="1">
      <c r="A189" t="s">
        <v>18801</v>
      </c>
      <c r="B189" t="s">
        <v>1568</v>
      </c>
      <c r="C189" t="s">
        <v>1472</v>
      </c>
      <c r="D189" t="s">
        <v>1569</v>
      </c>
      <c r="E189" t="s">
        <v>626</v>
      </c>
      <c r="F189" t="s">
        <v>598</v>
      </c>
      <c r="G189" t="s">
        <v>599</v>
      </c>
      <c r="H189" t="s">
        <v>600</v>
      </c>
      <c r="I189" t="s">
        <v>601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hidden="1">
      <c r="A190" t="s">
        <v>18801</v>
      </c>
      <c r="B190" t="s">
        <v>1570</v>
      </c>
      <c r="C190" t="s">
        <v>1472</v>
      </c>
      <c r="D190" t="s">
        <v>1571</v>
      </c>
      <c r="E190" t="s">
        <v>626</v>
      </c>
      <c r="F190" t="s">
        <v>598</v>
      </c>
      <c r="G190" t="s">
        <v>599</v>
      </c>
      <c r="H190" t="s">
        <v>600</v>
      </c>
      <c r="I190" t="s">
        <v>601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hidden="1">
      <c r="A191" t="s">
        <v>18801</v>
      </c>
      <c r="B191" t="s">
        <v>1573</v>
      </c>
      <c r="C191" t="s">
        <v>1472</v>
      </c>
      <c r="D191" t="s">
        <v>1574</v>
      </c>
      <c r="E191" t="s">
        <v>626</v>
      </c>
      <c r="F191" t="s">
        <v>598</v>
      </c>
      <c r="G191" t="s">
        <v>599</v>
      </c>
      <c r="H191" t="s">
        <v>600</v>
      </c>
      <c r="I191" t="s">
        <v>601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hidden="1">
      <c r="A192" t="s">
        <v>18801</v>
      </c>
      <c r="B192" t="s">
        <v>1575</v>
      </c>
      <c r="C192" t="s">
        <v>1472</v>
      </c>
      <c r="D192" t="s">
        <v>1576</v>
      </c>
      <c r="E192" t="s">
        <v>626</v>
      </c>
      <c r="F192" t="s">
        <v>598</v>
      </c>
      <c r="G192" t="s">
        <v>599</v>
      </c>
      <c r="H192" t="s">
        <v>600</v>
      </c>
      <c r="I192" t="s">
        <v>601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18801</v>
      </c>
      <c r="B193" t="s">
        <v>1577</v>
      </c>
      <c r="C193" t="s">
        <v>1472</v>
      </c>
      <c r="D193" t="s">
        <v>1578</v>
      </c>
      <c r="E193" t="s">
        <v>626</v>
      </c>
      <c r="F193" t="s">
        <v>598</v>
      </c>
      <c r="G193" t="s">
        <v>599</v>
      </c>
      <c r="H193" t="s">
        <v>600</v>
      </c>
      <c r="I193" t="s">
        <v>601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hidden="1">
      <c r="A194" t="s">
        <v>18801</v>
      </c>
      <c r="B194" t="s">
        <v>1582</v>
      </c>
      <c r="C194" t="s">
        <v>1472</v>
      </c>
      <c r="D194" t="s">
        <v>1583</v>
      </c>
      <c r="E194" t="s">
        <v>626</v>
      </c>
      <c r="F194" t="s">
        <v>598</v>
      </c>
      <c r="G194" t="s">
        <v>599</v>
      </c>
      <c r="H194" t="s">
        <v>600</v>
      </c>
      <c r="I194" t="s">
        <v>601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hidden="1">
      <c r="A195" t="s">
        <v>18801</v>
      </c>
      <c r="B195" t="s">
        <v>1590</v>
      </c>
      <c r="C195" t="s">
        <v>1472</v>
      </c>
      <c r="D195" t="s">
        <v>1365</v>
      </c>
      <c r="E195" t="s">
        <v>626</v>
      </c>
      <c r="F195" t="s">
        <v>598</v>
      </c>
      <c r="G195" t="s">
        <v>599</v>
      </c>
      <c r="H195" t="s">
        <v>600</v>
      </c>
      <c r="I195" t="s">
        <v>601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hidden="1">
      <c r="A196" t="s">
        <v>18801</v>
      </c>
      <c r="B196" t="s">
        <v>1600</v>
      </c>
      <c r="C196" t="s">
        <v>1472</v>
      </c>
      <c r="D196" t="s">
        <v>1601</v>
      </c>
      <c r="E196" t="s">
        <v>626</v>
      </c>
      <c r="F196" t="s">
        <v>598</v>
      </c>
      <c r="G196" t="s">
        <v>599</v>
      </c>
      <c r="H196" t="s">
        <v>600</v>
      </c>
      <c r="I196" t="s">
        <v>601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hidden="1">
      <c r="A197" t="s">
        <v>18801</v>
      </c>
      <c r="B197" t="s">
        <v>1602</v>
      </c>
      <c r="C197" t="s">
        <v>1472</v>
      </c>
      <c r="D197" t="s">
        <v>1603</v>
      </c>
      <c r="E197" t="s">
        <v>626</v>
      </c>
      <c r="F197" t="s">
        <v>598</v>
      </c>
      <c r="G197" t="s">
        <v>599</v>
      </c>
      <c r="H197" t="s">
        <v>600</v>
      </c>
      <c r="I197" t="s">
        <v>601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hidden="1">
      <c r="A198" t="s">
        <v>18801</v>
      </c>
      <c r="B198" t="s">
        <v>1604</v>
      </c>
      <c r="C198" t="s">
        <v>1472</v>
      </c>
      <c r="D198" t="s">
        <v>1605</v>
      </c>
      <c r="E198" t="s">
        <v>626</v>
      </c>
      <c r="F198" t="s">
        <v>598</v>
      </c>
      <c r="G198" t="s">
        <v>599</v>
      </c>
      <c r="H198" t="s">
        <v>600</v>
      </c>
      <c r="I198" t="s">
        <v>601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hidden="1">
      <c r="A199" t="s">
        <v>18801</v>
      </c>
      <c r="B199" t="s">
        <v>1610</v>
      </c>
      <c r="C199" t="s">
        <v>1611</v>
      </c>
      <c r="D199" t="s">
        <v>648</v>
      </c>
      <c r="E199" t="s">
        <v>920</v>
      </c>
      <c r="F199" t="s">
        <v>598</v>
      </c>
      <c r="G199" t="s">
        <v>599</v>
      </c>
      <c r="H199" t="s">
        <v>600</v>
      </c>
      <c r="I199" t="s">
        <v>601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18801</v>
      </c>
      <c r="B200" t="s">
        <v>1885</v>
      </c>
      <c r="C200" t="s">
        <v>1845</v>
      </c>
      <c r="D200" t="s">
        <v>1878</v>
      </c>
      <c r="E200" t="s">
        <v>1886</v>
      </c>
      <c r="F200" t="s">
        <v>598</v>
      </c>
      <c r="G200" t="s">
        <v>599</v>
      </c>
      <c r="H200" t="s">
        <v>600</v>
      </c>
      <c r="I200" t="s">
        <v>601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hidden="1">
      <c r="A201" t="s">
        <v>18801</v>
      </c>
      <c r="B201" t="s">
        <v>1967</v>
      </c>
      <c r="C201" t="s">
        <v>1959</v>
      </c>
      <c r="D201" t="s">
        <v>1968</v>
      </c>
      <c r="E201" t="s">
        <v>1962</v>
      </c>
      <c r="F201" t="s">
        <v>598</v>
      </c>
      <c r="G201" t="s">
        <v>599</v>
      </c>
      <c r="H201" t="s">
        <v>600</v>
      </c>
      <c r="I201" t="s">
        <v>601</v>
      </c>
      <c r="J201">
        <v>5.9999999999999995E-4</v>
      </c>
      <c r="K201">
        <v>5.9999999999999995E-4</v>
      </c>
      <c r="L201">
        <v>5.9999999999999995E-4</v>
      </c>
      <c r="M201">
        <v>5.9999999999999995E-4</v>
      </c>
      <c r="N201">
        <v>5.9999999999999995E-4</v>
      </c>
      <c r="O201">
        <v>5.9999999999999995E-4</v>
      </c>
      <c r="P201">
        <v>5.9999999999999995E-4</v>
      </c>
      <c r="Q201">
        <v>5.9999999999999995E-4</v>
      </c>
      <c r="R201">
        <v>6.9999999999999999E-4</v>
      </c>
      <c r="S201">
        <v>6.9999999999999999E-4</v>
      </c>
      <c r="T201">
        <v>6.9999999999999999E-4</v>
      </c>
      <c r="U201">
        <v>6.9999999999999999E-4</v>
      </c>
      <c r="V201">
        <v>6.9999999999999999E-4</v>
      </c>
      <c r="W201">
        <v>6.9999999999999999E-4</v>
      </c>
      <c r="X201">
        <v>6.9999999999999999E-4</v>
      </c>
      <c r="Y201">
        <v>6.9999999999999999E-4</v>
      </c>
    </row>
    <row r="202" spans="1:25" hidden="1">
      <c r="A202" t="s">
        <v>18801</v>
      </c>
      <c r="B202" t="s">
        <v>2005</v>
      </c>
      <c r="C202" t="s">
        <v>1959</v>
      </c>
      <c r="D202" t="s">
        <v>2001</v>
      </c>
      <c r="E202" t="s">
        <v>1976</v>
      </c>
      <c r="F202" t="s">
        <v>598</v>
      </c>
      <c r="G202" t="s">
        <v>599</v>
      </c>
      <c r="H202" t="s">
        <v>600</v>
      </c>
      <c r="I202" t="s">
        <v>601</v>
      </c>
      <c r="J202">
        <v>1E-4</v>
      </c>
      <c r="K202">
        <v>1E-4</v>
      </c>
      <c r="L202">
        <v>1E-4</v>
      </c>
      <c r="M202">
        <v>1E-4</v>
      </c>
      <c r="N202">
        <v>1E-4</v>
      </c>
      <c r="O202">
        <v>1E-4</v>
      </c>
      <c r="P202">
        <v>1E-4</v>
      </c>
      <c r="Q202">
        <v>1E-4</v>
      </c>
      <c r="R202">
        <v>1E-4</v>
      </c>
      <c r="S202">
        <v>1E-4</v>
      </c>
      <c r="T202">
        <v>1E-4</v>
      </c>
      <c r="U202">
        <v>2.0000000000000001E-4</v>
      </c>
      <c r="V202">
        <v>2.0000000000000001E-4</v>
      </c>
      <c r="W202">
        <v>2.0000000000000001E-4</v>
      </c>
      <c r="X202">
        <v>2.0000000000000001E-4</v>
      </c>
      <c r="Y202">
        <v>2.0000000000000001E-4</v>
      </c>
    </row>
    <row r="204" spans="1:25">
      <c r="A204" t="s">
        <v>569</v>
      </c>
      <c r="B204" t="s">
        <v>570</v>
      </c>
      <c r="C204" t="s">
        <v>571</v>
      </c>
      <c r="D204" t="s">
        <v>572</v>
      </c>
      <c r="E204" t="s">
        <v>573</v>
      </c>
      <c r="F204" t="s">
        <v>574</v>
      </c>
      <c r="G204" t="s">
        <v>575</v>
      </c>
      <c r="H204" t="s">
        <v>576</v>
      </c>
      <c r="I204" t="s">
        <v>577</v>
      </c>
      <c r="J204" t="s">
        <v>578</v>
      </c>
      <c r="K204" t="s">
        <v>579</v>
      </c>
      <c r="L204" t="s">
        <v>580</v>
      </c>
      <c r="M204" t="s">
        <v>581</v>
      </c>
      <c r="N204" t="s">
        <v>582</v>
      </c>
      <c r="O204" t="s">
        <v>583</v>
      </c>
      <c r="P204" t="s">
        <v>584</v>
      </c>
      <c r="Q204" t="s">
        <v>585</v>
      </c>
      <c r="R204" t="s">
        <v>586</v>
      </c>
      <c r="S204" t="s">
        <v>587</v>
      </c>
      <c r="T204" t="s">
        <v>588</v>
      </c>
      <c r="U204" t="s">
        <v>589</v>
      </c>
      <c r="V204" t="s">
        <v>590</v>
      </c>
      <c r="W204" t="s">
        <v>591</v>
      </c>
      <c r="X204" t="s">
        <v>592</v>
      </c>
      <c r="Y204" t="s">
        <v>593</v>
      </c>
    </row>
    <row r="205" spans="1:25">
      <c r="A205" t="s">
        <v>18802</v>
      </c>
      <c r="B205" t="s">
        <v>594</v>
      </c>
      <c r="C205" t="s">
        <v>595</v>
      </c>
      <c r="D205" t="s">
        <v>596</v>
      </c>
      <c r="E205" t="s">
        <v>597</v>
      </c>
      <c r="F205" t="s">
        <v>598</v>
      </c>
      <c r="G205" t="s">
        <v>599</v>
      </c>
      <c r="H205" t="s">
        <v>600</v>
      </c>
      <c r="I205" t="s">
        <v>601</v>
      </c>
      <c r="J205">
        <v>1.5299999999999999E-2</v>
      </c>
      <c r="K205">
        <v>1.52E-2</v>
      </c>
      <c r="L205">
        <v>1.49E-2</v>
      </c>
      <c r="M205">
        <v>1.4999999999999999E-2</v>
      </c>
      <c r="N205">
        <v>1.4999999999999999E-2</v>
      </c>
      <c r="O205">
        <v>1.49E-2</v>
      </c>
      <c r="P205">
        <v>1.55E-2</v>
      </c>
      <c r="Q205">
        <v>1.5800000000000002E-2</v>
      </c>
      <c r="R205">
        <v>1.61E-2</v>
      </c>
      <c r="S205">
        <v>1.6299999999999999E-2</v>
      </c>
      <c r="T205">
        <v>1.6400000000000001E-2</v>
      </c>
      <c r="U205">
        <v>1.6400000000000001E-2</v>
      </c>
      <c r="V205">
        <v>1.6400000000000001E-2</v>
      </c>
      <c r="W205">
        <v>1.6400000000000001E-2</v>
      </c>
      <c r="X205">
        <v>1.6400000000000001E-2</v>
      </c>
      <c r="Y205">
        <v>1.6400000000000001E-2</v>
      </c>
    </row>
    <row r="206" spans="1:25">
      <c r="A206" t="s">
        <v>18802</v>
      </c>
      <c r="B206" t="s">
        <v>606</v>
      </c>
      <c r="C206" t="s">
        <v>595</v>
      </c>
      <c r="D206" t="s">
        <v>596</v>
      </c>
      <c r="E206" t="s">
        <v>607</v>
      </c>
      <c r="F206" t="s">
        <v>598</v>
      </c>
      <c r="G206" t="s">
        <v>599</v>
      </c>
      <c r="H206" t="s">
        <v>600</v>
      </c>
      <c r="I206" t="s">
        <v>601</v>
      </c>
      <c r="J206">
        <v>6.6199999999999995E-2</v>
      </c>
      <c r="K206">
        <v>6.5699999999999995E-2</v>
      </c>
      <c r="L206">
        <v>6.4000000000000001E-2</v>
      </c>
      <c r="M206">
        <v>6.4399999999999999E-2</v>
      </c>
      <c r="N206">
        <v>6.4299999999999996E-2</v>
      </c>
      <c r="O206">
        <v>6.4199999999999993E-2</v>
      </c>
      <c r="P206">
        <v>6.6699999999999995E-2</v>
      </c>
      <c r="Q206">
        <v>6.8400000000000002E-2</v>
      </c>
      <c r="R206">
        <v>6.9599999999999995E-2</v>
      </c>
      <c r="S206">
        <v>7.0400000000000004E-2</v>
      </c>
      <c r="T206">
        <v>7.0999999999999994E-2</v>
      </c>
      <c r="U206">
        <v>7.0999999999999994E-2</v>
      </c>
      <c r="V206">
        <v>7.0999999999999994E-2</v>
      </c>
      <c r="W206">
        <v>7.0999999999999994E-2</v>
      </c>
      <c r="X206">
        <v>7.0999999999999994E-2</v>
      </c>
      <c r="Y206">
        <v>7.0999999999999994E-2</v>
      </c>
    </row>
    <row r="207" spans="1:25">
      <c r="A207" t="s">
        <v>18802</v>
      </c>
      <c r="B207" t="s">
        <v>625</v>
      </c>
      <c r="C207" t="s">
        <v>595</v>
      </c>
      <c r="D207" t="s">
        <v>621</v>
      </c>
      <c r="E207" t="s">
        <v>626</v>
      </c>
      <c r="F207" t="s">
        <v>598</v>
      </c>
      <c r="G207" t="s">
        <v>599</v>
      </c>
      <c r="H207" t="s">
        <v>600</v>
      </c>
      <c r="I207" t="s">
        <v>601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18802</v>
      </c>
      <c r="B208" t="s">
        <v>627</v>
      </c>
      <c r="C208" t="s">
        <v>595</v>
      </c>
      <c r="D208" t="s">
        <v>621</v>
      </c>
      <c r="E208" t="s">
        <v>628</v>
      </c>
      <c r="F208" t="s">
        <v>598</v>
      </c>
      <c r="G208" t="s">
        <v>599</v>
      </c>
      <c r="H208" t="s">
        <v>600</v>
      </c>
      <c r="I208" t="s">
        <v>601</v>
      </c>
      <c r="J208">
        <v>2.9999999999999997E-4</v>
      </c>
      <c r="K208">
        <v>2.9999999999999997E-4</v>
      </c>
      <c r="L208">
        <v>2.9999999999999997E-4</v>
      </c>
      <c r="M208">
        <v>2.9999999999999997E-4</v>
      </c>
      <c r="N208">
        <v>2.9999999999999997E-4</v>
      </c>
      <c r="O208">
        <v>2.9999999999999997E-4</v>
      </c>
      <c r="P208">
        <v>2.9999999999999997E-4</v>
      </c>
      <c r="Q208">
        <v>2.9999999999999997E-4</v>
      </c>
      <c r="R208">
        <v>2.9999999999999997E-4</v>
      </c>
      <c r="S208">
        <v>2.9999999999999997E-4</v>
      </c>
      <c r="T208">
        <v>2.9999999999999997E-4</v>
      </c>
      <c r="U208">
        <v>2.9999999999999997E-4</v>
      </c>
      <c r="V208">
        <v>2.9999999999999997E-4</v>
      </c>
      <c r="W208">
        <v>2.9999999999999997E-4</v>
      </c>
      <c r="X208">
        <v>2.9999999999999997E-4</v>
      </c>
      <c r="Y208">
        <v>2.9999999999999997E-4</v>
      </c>
    </row>
    <row r="209" spans="1:25">
      <c r="A209" t="s">
        <v>18802</v>
      </c>
      <c r="B209" t="s">
        <v>631</v>
      </c>
      <c r="C209" t="s">
        <v>595</v>
      </c>
      <c r="D209" t="s">
        <v>632</v>
      </c>
      <c r="E209" t="s">
        <v>597</v>
      </c>
      <c r="F209" t="s">
        <v>598</v>
      </c>
      <c r="G209" t="s">
        <v>599</v>
      </c>
      <c r="H209" t="s">
        <v>600</v>
      </c>
      <c r="I209" t="s">
        <v>601</v>
      </c>
      <c r="J209">
        <v>0.36580000000000001</v>
      </c>
      <c r="K209">
        <v>0.36359999999999998</v>
      </c>
      <c r="L209">
        <v>0.35370000000000001</v>
      </c>
      <c r="M209">
        <v>0.35639999999999999</v>
      </c>
      <c r="N209">
        <v>0.35549999999999998</v>
      </c>
      <c r="O209">
        <v>0.35499999999999998</v>
      </c>
      <c r="P209">
        <v>0.36899999999999999</v>
      </c>
      <c r="Q209">
        <v>0.37840000000000001</v>
      </c>
      <c r="R209">
        <v>0.38500000000000001</v>
      </c>
      <c r="S209">
        <v>0.3896</v>
      </c>
      <c r="T209">
        <v>0.39269999999999999</v>
      </c>
      <c r="U209">
        <v>0.39269999999999999</v>
      </c>
      <c r="V209">
        <v>0.39269999999999999</v>
      </c>
      <c r="W209">
        <v>0.39269999999999999</v>
      </c>
      <c r="X209">
        <v>0.39269999999999999</v>
      </c>
      <c r="Y209">
        <v>0.39269999999999999</v>
      </c>
    </row>
    <row r="210" spans="1:25">
      <c r="A210" t="s">
        <v>18802</v>
      </c>
      <c r="B210" t="s">
        <v>636</v>
      </c>
      <c r="C210" t="s">
        <v>595</v>
      </c>
      <c r="D210" t="s">
        <v>632</v>
      </c>
      <c r="E210" t="s">
        <v>628</v>
      </c>
      <c r="F210" t="s">
        <v>598</v>
      </c>
      <c r="G210" t="s">
        <v>599</v>
      </c>
      <c r="H210" t="s">
        <v>600</v>
      </c>
      <c r="I210" t="s">
        <v>601</v>
      </c>
      <c r="J210">
        <v>2.6700000000000002E-2</v>
      </c>
      <c r="K210">
        <v>2.6499999999999999E-2</v>
      </c>
      <c r="L210">
        <v>2.58E-2</v>
      </c>
      <c r="M210">
        <v>2.5999999999999999E-2</v>
      </c>
      <c r="N210">
        <v>2.5899999999999999E-2</v>
      </c>
      <c r="O210">
        <v>2.5899999999999999E-2</v>
      </c>
      <c r="P210">
        <v>2.69E-2</v>
      </c>
      <c r="Q210">
        <v>2.76E-2</v>
      </c>
      <c r="R210">
        <v>2.81E-2</v>
      </c>
      <c r="S210">
        <v>2.8400000000000002E-2</v>
      </c>
      <c r="T210">
        <v>2.86E-2</v>
      </c>
      <c r="U210">
        <v>2.86E-2</v>
      </c>
      <c r="V210">
        <v>2.86E-2</v>
      </c>
      <c r="W210">
        <v>2.86E-2</v>
      </c>
      <c r="X210">
        <v>2.86E-2</v>
      </c>
      <c r="Y210">
        <v>2.86E-2</v>
      </c>
    </row>
    <row r="211" spans="1:25">
      <c r="A211" t="s">
        <v>18802</v>
      </c>
      <c r="B211" t="s">
        <v>644</v>
      </c>
      <c r="C211" t="s">
        <v>595</v>
      </c>
      <c r="D211" t="s">
        <v>645</v>
      </c>
      <c r="E211" t="s">
        <v>646</v>
      </c>
      <c r="F211" t="s">
        <v>598</v>
      </c>
      <c r="G211" t="s">
        <v>599</v>
      </c>
      <c r="H211" t="s">
        <v>600</v>
      </c>
      <c r="I211" t="s">
        <v>601</v>
      </c>
      <c r="J211">
        <v>2.2499999999999999E-2</v>
      </c>
      <c r="K211">
        <v>2.24E-2</v>
      </c>
      <c r="L211">
        <v>2.18E-2</v>
      </c>
      <c r="M211">
        <v>2.1899999999999999E-2</v>
      </c>
      <c r="N211">
        <v>2.1899999999999999E-2</v>
      </c>
      <c r="O211">
        <v>2.18E-2</v>
      </c>
      <c r="P211">
        <v>2.2700000000000001E-2</v>
      </c>
      <c r="Q211">
        <v>2.3300000000000001E-2</v>
      </c>
      <c r="R211">
        <v>2.3699999999999999E-2</v>
      </c>
      <c r="S211">
        <v>2.4E-2</v>
      </c>
      <c r="T211">
        <v>2.4199999999999999E-2</v>
      </c>
      <c r="U211">
        <v>2.4199999999999999E-2</v>
      </c>
      <c r="V211">
        <v>2.4199999999999999E-2</v>
      </c>
      <c r="W211">
        <v>2.4199999999999999E-2</v>
      </c>
      <c r="X211">
        <v>2.4199999999999999E-2</v>
      </c>
      <c r="Y211">
        <v>2.4199999999999999E-2</v>
      </c>
    </row>
    <row r="212" spans="1:25" hidden="1">
      <c r="A212" t="s">
        <v>18802</v>
      </c>
      <c r="B212" t="s">
        <v>650</v>
      </c>
      <c r="C212" t="s">
        <v>651</v>
      </c>
      <c r="D212" t="s">
        <v>596</v>
      </c>
      <c r="E212" t="s">
        <v>597</v>
      </c>
      <c r="F212" t="s">
        <v>598</v>
      </c>
      <c r="G212" t="s">
        <v>599</v>
      </c>
      <c r="H212" t="s">
        <v>600</v>
      </c>
      <c r="I212" t="s">
        <v>601</v>
      </c>
      <c r="J212">
        <v>1E-4</v>
      </c>
      <c r="K212">
        <v>1E-4</v>
      </c>
      <c r="L212">
        <v>1E-4</v>
      </c>
      <c r="M212">
        <v>1E-4</v>
      </c>
      <c r="N212">
        <v>1E-4</v>
      </c>
      <c r="O212">
        <v>1E-4</v>
      </c>
      <c r="P212">
        <v>1E-4</v>
      </c>
      <c r="Q212">
        <v>1E-4</v>
      </c>
      <c r="R212">
        <v>1E-4</v>
      </c>
      <c r="S212">
        <v>1E-4</v>
      </c>
      <c r="T212">
        <v>1E-4</v>
      </c>
      <c r="U212">
        <v>1E-4</v>
      </c>
      <c r="V212">
        <v>1E-4</v>
      </c>
      <c r="W212">
        <v>1E-4</v>
      </c>
      <c r="X212">
        <v>1E-4</v>
      </c>
      <c r="Y212">
        <v>1E-4</v>
      </c>
    </row>
    <row r="213" spans="1:25" hidden="1">
      <c r="A213" t="s">
        <v>18802</v>
      </c>
      <c r="B213" t="s">
        <v>653</v>
      </c>
      <c r="C213" t="s">
        <v>651</v>
      </c>
      <c r="D213" t="s">
        <v>596</v>
      </c>
      <c r="E213" t="s">
        <v>607</v>
      </c>
      <c r="F213" t="s">
        <v>598</v>
      </c>
      <c r="G213" t="s">
        <v>599</v>
      </c>
      <c r="H213" t="s">
        <v>600</v>
      </c>
      <c r="I213" t="s">
        <v>601</v>
      </c>
      <c r="J213">
        <v>5.4600000000000003E-2</v>
      </c>
      <c r="K213">
        <v>5.3100000000000001E-2</v>
      </c>
      <c r="L213">
        <v>5.1499999999999997E-2</v>
      </c>
      <c r="M213">
        <v>4.9299999999999997E-2</v>
      </c>
      <c r="N213">
        <v>4.8300000000000003E-2</v>
      </c>
      <c r="O213">
        <v>4.6699999999999998E-2</v>
      </c>
      <c r="P213">
        <v>4.7300000000000002E-2</v>
      </c>
      <c r="Q213">
        <v>4.7899999999999998E-2</v>
      </c>
      <c r="R213">
        <v>4.8000000000000001E-2</v>
      </c>
      <c r="S213">
        <v>4.8099999999999997E-2</v>
      </c>
      <c r="T213">
        <v>4.82E-2</v>
      </c>
      <c r="U213">
        <v>4.8300000000000003E-2</v>
      </c>
      <c r="V213">
        <v>4.8500000000000001E-2</v>
      </c>
      <c r="W213">
        <v>4.8599999999999997E-2</v>
      </c>
      <c r="X213">
        <v>4.8800000000000003E-2</v>
      </c>
      <c r="Y213">
        <v>4.8899999999999999E-2</v>
      </c>
    </row>
    <row r="214" spans="1:25" hidden="1">
      <c r="A214" t="s">
        <v>18802</v>
      </c>
      <c r="B214" t="s">
        <v>657</v>
      </c>
      <c r="C214" t="s">
        <v>651</v>
      </c>
      <c r="D214" t="s">
        <v>621</v>
      </c>
      <c r="E214" t="s">
        <v>597</v>
      </c>
      <c r="F214" t="s">
        <v>598</v>
      </c>
      <c r="G214" t="s">
        <v>599</v>
      </c>
      <c r="H214" t="s">
        <v>600</v>
      </c>
      <c r="I214" t="s">
        <v>601</v>
      </c>
      <c r="J214">
        <v>1E-4</v>
      </c>
      <c r="K214">
        <v>1E-4</v>
      </c>
      <c r="L214">
        <v>1E-4</v>
      </c>
      <c r="M214">
        <v>1E-4</v>
      </c>
      <c r="N214">
        <v>1E-4</v>
      </c>
      <c r="O214">
        <v>1E-4</v>
      </c>
      <c r="P214">
        <v>1E-4</v>
      </c>
      <c r="Q214">
        <v>1E-4</v>
      </c>
      <c r="R214">
        <v>1E-4</v>
      </c>
      <c r="S214">
        <v>1E-4</v>
      </c>
      <c r="T214">
        <v>1E-4</v>
      </c>
      <c r="U214">
        <v>1E-4</v>
      </c>
      <c r="V214">
        <v>1E-4</v>
      </c>
      <c r="W214">
        <v>1E-4</v>
      </c>
      <c r="X214">
        <v>1E-4</v>
      </c>
      <c r="Y214">
        <v>1E-4</v>
      </c>
    </row>
    <row r="215" spans="1:25" hidden="1">
      <c r="A215" t="s">
        <v>18802</v>
      </c>
      <c r="B215" t="s">
        <v>660</v>
      </c>
      <c r="C215" t="s">
        <v>651</v>
      </c>
      <c r="D215" t="s">
        <v>632</v>
      </c>
      <c r="E215" t="s">
        <v>597</v>
      </c>
      <c r="F215" t="s">
        <v>598</v>
      </c>
      <c r="G215" t="s">
        <v>599</v>
      </c>
      <c r="H215" t="s">
        <v>600</v>
      </c>
      <c r="I215" t="s">
        <v>601</v>
      </c>
      <c r="J215">
        <v>9.2499999999999999E-2</v>
      </c>
      <c r="K215">
        <v>9.35E-2</v>
      </c>
      <c r="L215">
        <v>9.4600000000000004E-2</v>
      </c>
      <c r="M215">
        <v>9.5600000000000004E-2</v>
      </c>
      <c r="N215">
        <v>9.6600000000000005E-2</v>
      </c>
      <c r="O215">
        <v>9.7699999999999995E-2</v>
      </c>
      <c r="P215">
        <v>9.8699999999999996E-2</v>
      </c>
      <c r="Q215">
        <v>9.98E-2</v>
      </c>
      <c r="R215">
        <v>0.1009</v>
      </c>
      <c r="S215">
        <v>0.10199999999999999</v>
      </c>
      <c r="T215">
        <v>0.1031</v>
      </c>
      <c r="U215">
        <v>0.1042</v>
      </c>
      <c r="V215">
        <v>0.1053</v>
      </c>
      <c r="W215">
        <v>0.1065</v>
      </c>
      <c r="X215">
        <v>0.1076</v>
      </c>
      <c r="Y215">
        <v>0.10879999999999999</v>
      </c>
    </row>
    <row r="216" spans="1:25" hidden="1">
      <c r="A216" t="s">
        <v>18802</v>
      </c>
      <c r="B216" t="s">
        <v>662</v>
      </c>
      <c r="C216" t="s">
        <v>651</v>
      </c>
      <c r="D216" t="s">
        <v>648</v>
      </c>
      <c r="E216" t="s">
        <v>649</v>
      </c>
      <c r="F216" t="s">
        <v>598</v>
      </c>
      <c r="G216" t="s">
        <v>599</v>
      </c>
      <c r="H216" t="s">
        <v>600</v>
      </c>
      <c r="I216" t="s">
        <v>601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 hidden="1">
      <c r="A217" t="s">
        <v>18802</v>
      </c>
      <c r="B217" t="s">
        <v>728</v>
      </c>
      <c r="C217" t="s">
        <v>729</v>
      </c>
      <c r="D217" t="s">
        <v>596</v>
      </c>
      <c r="E217" t="s">
        <v>597</v>
      </c>
      <c r="F217" t="s">
        <v>598</v>
      </c>
      <c r="G217" t="s">
        <v>599</v>
      </c>
      <c r="H217" t="s">
        <v>600</v>
      </c>
      <c r="I217" t="s">
        <v>601</v>
      </c>
      <c r="J217">
        <v>8.8000000000000005E-3</v>
      </c>
      <c r="K217">
        <v>9.1999999999999998E-3</v>
      </c>
      <c r="L217">
        <v>9.5999999999999992E-3</v>
      </c>
      <c r="M217">
        <v>9.9000000000000008E-3</v>
      </c>
      <c r="N217">
        <v>1.03E-2</v>
      </c>
      <c r="O217">
        <v>1.06E-2</v>
      </c>
      <c r="P217">
        <v>1.0999999999999999E-2</v>
      </c>
      <c r="Q217">
        <v>1.14E-2</v>
      </c>
      <c r="R217">
        <v>1.1599999999999999E-2</v>
      </c>
      <c r="S217">
        <v>1.1900000000000001E-2</v>
      </c>
      <c r="T217">
        <v>1.23E-2</v>
      </c>
      <c r="U217">
        <v>1.26E-2</v>
      </c>
      <c r="V217">
        <v>1.29E-2</v>
      </c>
      <c r="W217">
        <v>1.32E-2</v>
      </c>
      <c r="X217">
        <v>1.3599999999999999E-2</v>
      </c>
      <c r="Y217">
        <v>1.38E-2</v>
      </c>
    </row>
    <row r="218" spans="1:25" hidden="1">
      <c r="A218" t="s">
        <v>18802</v>
      </c>
      <c r="B218" t="s">
        <v>732</v>
      </c>
      <c r="C218" t="s">
        <v>729</v>
      </c>
      <c r="D218" t="s">
        <v>596</v>
      </c>
      <c r="E218" t="s">
        <v>603</v>
      </c>
      <c r="F218" t="s">
        <v>598</v>
      </c>
      <c r="G218" t="s">
        <v>599</v>
      </c>
      <c r="H218" t="s">
        <v>600</v>
      </c>
      <c r="I218" t="s">
        <v>601</v>
      </c>
      <c r="J218">
        <v>2.9999999999999997E-4</v>
      </c>
      <c r="K218">
        <v>2.9999999999999997E-4</v>
      </c>
      <c r="L218">
        <v>2.9999999999999997E-4</v>
      </c>
      <c r="M218">
        <v>2.9999999999999997E-4</v>
      </c>
      <c r="N218">
        <v>2.9999999999999997E-4</v>
      </c>
      <c r="O218">
        <v>2.9999999999999997E-4</v>
      </c>
      <c r="P218">
        <v>2.9999999999999997E-4</v>
      </c>
      <c r="Q218">
        <v>2.9999999999999997E-4</v>
      </c>
      <c r="R218">
        <v>2.9999999999999997E-4</v>
      </c>
      <c r="S218">
        <v>2.9999999999999997E-4</v>
      </c>
      <c r="T218">
        <v>2.9999999999999997E-4</v>
      </c>
      <c r="U218">
        <v>2.9999999999999997E-4</v>
      </c>
      <c r="V218">
        <v>2.9999999999999997E-4</v>
      </c>
      <c r="W218">
        <v>2.9999999999999997E-4</v>
      </c>
      <c r="X218">
        <v>2.9999999999999997E-4</v>
      </c>
      <c r="Y218">
        <v>2.9999999999999997E-4</v>
      </c>
    </row>
    <row r="219" spans="1:25" hidden="1">
      <c r="A219" t="s">
        <v>18802</v>
      </c>
      <c r="B219" t="s">
        <v>734</v>
      </c>
      <c r="C219" t="s">
        <v>729</v>
      </c>
      <c r="D219" t="s">
        <v>596</v>
      </c>
      <c r="E219" t="s">
        <v>735</v>
      </c>
      <c r="F219" t="s">
        <v>598</v>
      </c>
      <c r="G219" t="s">
        <v>599</v>
      </c>
      <c r="H219" t="s">
        <v>600</v>
      </c>
      <c r="I219" t="s">
        <v>601</v>
      </c>
      <c r="J219">
        <v>0.46949999999999997</v>
      </c>
      <c r="K219">
        <v>0.46949999999999997</v>
      </c>
      <c r="L219">
        <v>0.46949999999999997</v>
      </c>
      <c r="M219">
        <v>0.46949999999999997</v>
      </c>
      <c r="N219">
        <v>0.46949999999999997</v>
      </c>
      <c r="O219">
        <v>0.46949999999999997</v>
      </c>
      <c r="P219">
        <v>0.46949999999999997</v>
      </c>
      <c r="Q219">
        <v>0.46949999999999997</v>
      </c>
      <c r="R219">
        <v>0.46949999999999997</v>
      </c>
      <c r="S219">
        <v>0.46949999999999997</v>
      </c>
      <c r="T219">
        <v>0.46949999999999997</v>
      </c>
      <c r="U219">
        <v>0.46949999999999997</v>
      </c>
      <c r="V219">
        <v>0.46949999999999997</v>
      </c>
      <c r="W219">
        <v>0.46949999999999997</v>
      </c>
      <c r="X219">
        <v>0.46949999999999997</v>
      </c>
      <c r="Y219">
        <v>0.46949999999999997</v>
      </c>
    </row>
    <row r="220" spans="1:25" hidden="1">
      <c r="A220" t="s">
        <v>18802</v>
      </c>
      <c r="B220" t="s">
        <v>736</v>
      </c>
      <c r="C220" t="s">
        <v>729</v>
      </c>
      <c r="D220" t="s">
        <v>596</v>
      </c>
      <c r="E220" t="s">
        <v>611</v>
      </c>
      <c r="F220" t="s">
        <v>598</v>
      </c>
      <c r="G220" t="s">
        <v>599</v>
      </c>
      <c r="H220" t="s">
        <v>600</v>
      </c>
      <c r="I220" t="s">
        <v>601</v>
      </c>
      <c r="J220">
        <v>6.0000000000000001E-3</v>
      </c>
      <c r="K220">
        <v>6.0000000000000001E-3</v>
      </c>
      <c r="L220">
        <v>6.0000000000000001E-3</v>
      </c>
      <c r="M220">
        <v>6.0000000000000001E-3</v>
      </c>
      <c r="N220">
        <v>6.0000000000000001E-3</v>
      </c>
      <c r="O220">
        <v>6.0000000000000001E-3</v>
      </c>
      <c r="P220">
        <v>6.0000000000000001E-3</v>
      </c>
      <c r="Q220">
        <v>6.0000000000000001E-3</v>
      </c>
      <c r="R220">
        <v>6.0000000000000001E-3</v>
      </c>
      <c r="S220">
        <v>6.0000000000000001E-3</v>
      </c>
      <c r="T220">
        <v>6.0000000000000001E-3</v>
      </c>
      <c r="U220">
        <v>6.0000000000000001E-3</v>
      </c>
      <c r="V220">
        <v>6.0000000000000001E-3</v>
      </c>
      <c r="W220">
        <v>6.0000000000000001E-3</v>
      </c>
      <c r="X220">
        <v>6.0000000000000001E-3</v>
      </c>
      <c r="Y220">
        <v>6.0000000000000001E-3</v>
      </c>
    </row>
    <row r="221" spans="1:25" hidden="1">
      <c r="A221" t="s">
        <v>18802</v>
      </c>
      <c r="B221" t="s">
        <v>740</v>
      </c>
      <c r="C221" t="s">
        <v>729</v>
      </c>
      <c r="D221" t="s">
        <v>596</v>
      </c>
      <c r="E221" t="s">
        <v>619</v>
      </c>
      <c r="F221" t="s">
        <v>598</v>
      </c>
      <c r="G221" t="s">
        <v>599</v>
      </c>
      <c r="H221" t="s">
        <v>600</v>
      </c>
      <c r="I221" t="s">
        <v>601</v>
      </c>
      <c r="J221">
        <v>3.5999999999999999E-3</v>
      </c>
      <c r="K221">
        <v>3.5000000000000001E-3</v>
      </c>
      <c r="L221">
        <v>3.3999999999999998E-3</v>
      </c>
      <c r="M221">
        <v>3.3E-3</v>
      </c>
      <c r="N221">
        <v>3.2000000000000002E-3</v>
      </c>
      <c r="O221">
        <v>3.0999999999999999E-3</v>
      </c>
      <c r="P221">
        <v>3.2000000000000002E-3</v>
      </c>
      <c r="Q221">
        <v>3.2000000000000002E-3</v>
      </c>
      <c r="R221">
        <v>3.2000000000000002E-3</v>
      </c>
      <c r="S221">
        <v>3.2000000000000002E-3</v>
      </c>
      <c r="T221">
        <v>3.2000000000000002E-3</v>
      </c>
      <c r="U221">
        <v>3.2000000000000002E-3</v>
      </c>
      <c r="V221">
        <v>3.2000000000000002E-3</v>
      </c>
      <c r="W221">
        <v>3.2000000000000002E-3</v>
      </c>
      <c r="X221">
        <v>3.3E-3</v>
      </c>
      <c r="Y221">
        <v>3.3E-3</v>
      </c>
    </row>
    <row r="222" spans="1:25" hidden="1">
      <c r="A222" t="s">
        <v>18802</v>
      </c>
      <c r="B222" t="s">
        <v>745</v>
      </c>
      <c r="C222" t="s">
        <v>729</v>
      </c>
      <c r="D222" t="s">
        <v>671</v>
      </c>
      <c r="E222" t="s">
        <v>597</v>
      </c>
      <c r="F222" t="s">
        <v>598</v>
      </c>
      <c r="G222" t="s">
        <v>599</v>
      </c>
      <c r="H222" t="s">
        <v>600</v>
      </c>
      <c r="I222" t="s">
        <v>601</v>
      </c>
      <c r="J222">
        <v>0.1439</v>
      </c>
      <c r="K222">
        <v>0.14119999999999999</v>
      </c>
      <c r="L222">
        <v>0.13819999999999999</v>
      </c>
      <c r="M222">
        <v>0.14530000000000001</v>
      </c>
      <c r="N222">
        <v>0.14430000000000001</v>
      </c>
      <c r="O222">
        <v>0.14330000000000001</v>
      </c>
      <c r="P222">
        <v>0.14979999999999999</v>
      </c>
      <c r="Q222">
        <v>0.1489</v>
      </c>
      <c r="R222">
        <v>0.14849999999999999</v>
      </c>
      <c r="S222">
        <v>0.1472</v>
      </c>
      <c r="T222">
        <v>0.14829999999999999</v>
      </c>
      <c r="U222">
        <v>0.14929999999999999</v>
      </c>
      <c r="V222">
        <v>0.15140000000000001</v>
      </c>
      <c r="W222">
        <v>0.1535</v>
      </c>
      <c r="X222">
        <v>0.1542</v>
      </c>
      <c r="Y222">
        <v>0.15609999999999999</v>
      </c>
    </row>
    <row r="223" spans="1:25" hidden="1">
      <c r="A223" t="s">
        <v>18802</v>
      </c>
      <c r="B223" t="s">
        <v>746</v>
      </c>
      <c r="C223" t="s">
        <v>729</v>
      </c>
      <c r="D223" t="s">
        <v>671</v>
      </c>
      <c r="E223" t="s">
        <v>642</v>
      </c>
      <c r="F223" t="s">
        <v>598</v>
      </c>
      <c r="G223" t="s">
        <v>599</v>
      </c>
      <c r="H223" t="s">
        <v>600</v>
      </c>
      <c r="I223" t="s">
        <v>601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hidden="1">
      <c r="A224" t="s">
        <v>18802</v>
      </c>
      <c r="B224" t="s">
        <v>749</v>
      </c>
      <c r="C224" t="s">
        <v>729</v>
      </c>
      <c r="D224" t="s">
        <v>671</v>
      </c>
      <c r="E224" t="s">
        <v>750</v>
      </c>
      <c r="F224" t="s">
        <v>598</v>
      </c>
      <c r="G224" t="s">
        <v>599</v>
      </c>
      <c r="H224" t="s">
        <v>600</v>
      </c>
      <c r="I224" t="s">
        <v>601</v>
      </c>
      <c r="J224">
        <v>1E-4</v>
      </c>
      <c r="K224">
        <v>1E-4</v>
      </c>
      <c r="L224">
        <v>1E-4</v>
      </c>
      <c r="M224">
        <v>1E-4</v>
      </c>
      <c r="N224">
        <v>1E-4</v>
      </c>
      <c r="O224">
        <v>1E-4</v>
      </c>
      <c r="P224">
        <v>1E-4</v>
      </c>
      <c r="Q224">
        <v>1E-4</v>
      </c>
      <c r="R224">
        <v>1E-4</v>
      </c>
      <c r="S224">
        <v>1E-4</v>
      </c>
      <c r="T224">
        <v>1E-4</v>
      </c>
      <c r="U224">
        <v>1E-4</v>
      </c>
      <c r="V224">
        <v>1E-4</v>
      </c>
      <c r="W224">
        <v>1E-4</v>
      </c>
      <c r="X224">
        <v>1E-4</v>
      </c>
      <c r="Y224">
        <v>1E-4</v>
      </c>
    </row>
    <row r="225" spans="1:25" hidden="1">
      <c r="A225" t="s">
        <v>18802</v>
      </c>
      <c r="B225" t="s">
        <v>752</v>
      </c>
      <c r="C225" t="s">
        <v>729</v>
      </c>
      <c r="D225" t="s">
        <v>753</v>
      </c>
      <c r="E225" t="s">
        <v>597</v>
      </c>
      <c r="F225" t="s">
        <v>598</v>
      </c>
      <c r="G225" t="s">
        <v>599</v>
      </c>
      <c r="H225" t="s">
        <v>600</v>
      </c>
      <c r="I225" t="s">
        <v>601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1:25" hidden="1">
      <c r="A226" t="s">
        <v>18802</v>
      </c>
      <c r="B226" t="s">
        <v>755</v>
      </c>
      <c r="C226" t="s">
        <v>729</v>
      </c>
      <c r="D226" t="s">
        <v>756</v>
      </c>
      <c r="E226" t="s">
        <v>597</v>
      </c>
      <c r="F226" t="s">
        <v>598</v>
      </c>
      <c r="G226" t="s">
        <v>599</v>
      </c>
      <c r="H226" t="s">
        <v>600</v>
      </c>
      <c r="I226" t="s">
        <v>601</v>
      </c>
      <c r="J226">
        <v>1E-3</v>
      </c>
      <c r="K226">
        <v>1E-3</v>
      </c>
      <c r="L226">
        <v>8.9999999999999998E-4</v>
      </c>
      <c r="M226">
        <v>8.9999999999999998E-4</v>
      </c>
      <c r="N226">
        <v>8.9999999999999998E-4</v>
      </c>
      <c r="O226">
        <v>8.9999999999999998E-4</v>
      </c>
      <c r="P226">
        <v>8.9999999999999998E-4</v>
      </c>
      <c r="Q226">
        <v>1E-3</v>
      </c>
      <c r="R226">
        <v>1E-3</v>
      </c>
      <c r="S226">
        <v>1E-3</v>
      </c>
      <c r="T226">
        <v>1E-3</v>
      </c>
      <c r="U226">
        <v>1E-3</v>
      </c>
      <c r="V226">
        <v>1E-3</v>
      </c>
      <c r="W226">
        <v>1E-3</v>
      </c>
      <c r="X226">
        <v>1E-3</v>
      </c>
      <c r="Y226">
        <v>1E-3</v>
      </c>
    </row>
    <row r="227" spans="1:25" hidden="1">
      <c r="A227" t="s">
        <v>18802</v>
      </c>
      <c r="B227" t="s">
        <v>757</v>
      </c>
      <c r="C227" t="s">
        <v>729</v>
      </c>
      <c r="D227" t="s">
        <v>756</v>
      </c>
      <c r="E227" t="s">
        <v>642</v>
      </c>
      <c r="F227" t="s">
        <v>598</v>
      </c>
      <c r="G227" t="s">
        <v>599</v>
      </c>
      <c r="H227" t="s">
        <v>600</v>
      </c>
      <c r="I227" t="s">
        <v>601</v>
      </c>
      <c r="J227">
        <v>1E-4</v>
      </c>
      <c r="K227">
        <v>1E-4</v>
      </c>
      <c r="L227">
        <v>1E-4</v>
      </c>
      <c r="M227">
        <v>1E-4</v>
      </c>
      <c r="N227">
        <v>1E-4</v>
      </c>
      <c r="O227">
        <v>1E-4</v>
      </c>
      <c r="P227">
        <v>1E-4</v>
      </c>
      <c r="Q227">
        <v>1E-4</v>
      </c>
      <c r="R227">
        <v>1E-4</v>
      </c>
      <c r="S227">
        <v>1E-4</v>
      </c>
      <c r="T227">
        <v>1E-4</v>
      </c>
      <c r="U227">
        <v>1E-4</v>
      </c>
      <c r="V227">
        <v>1E-4</v>
      </c>
      <c r="W227">
        <v>1E-4</v>
      </c>
      <c r="X227">
        <v>1E-4</v>
      </c>
      <c r="Y227">
        <v>1E-4</v>
      </c>
    </row>
    <row r="228" spans="1:25" hidden="1">
      <c r="A228" t="s">
        <v>18802</v>
      </c>
      <c r="B228" t="s">
        <v>760</v>
      </c>
      <c r="C228" t="s">
        <v>729</v>
      </c>
      <c r="D228" t="s">
        <v>621</v>
      </c>
      <c r="E228" t="s">
        <v>649</v>
      </c>
      <c r="F228" t="s">
        <v>598</v>
      </c>
      <c r="G228" t="s">
        <v>599</v>
      </c>
      <c r="H228" t="s">
        <v>600</v>
      </c>
      <c r="I228" t="s">
        <v>601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</row>
    <row r="229" spans="1:25" hidden="1">
      <c r="A229" t="s">
        <v>18802</v>
      </c>
      <c r="B229" t="s">
        <v>761</v>
      </c>
      <c r="C229" t="s">
        <v>729</v>
      </c>
      <c r="D229" t="s">
        <v>621</v>
      </c>
      <c r="E229" t="s">
        <v>597</v>
      </c>
      <c r="F229" t="s">
        <v>598</v>
      </c>
      <c r="G229" t="s">
        <v>599</v>
      </c>
      <c r="H229" t="s">
        <v>600</v>
      </c>
      <c r="I229" t="s">
        <v>601</v>
      </c>
      <c r="J229">
        <v>9.7000000000000003E-3</v>
      </c>
      <c r="K229">
        <v>9.5999999999999992E-3</v>
      </c>
      <c r="L229">
        <v>9.4000000000000004E-3</v>
      </c>
      <c r="M229">
        <v>9.2999999999999992E-3</v>
      </c>
      <c r="N229">
        <v>9.1000000000000004E-3</v>
      </c>
      <c r="O229">
        <v>8.6999999999999994E-3</v>
      </c>
      <c r="P229">
        <v>8.8000000000000005E-3</v>
      </c>
      <c r="Q229">
        <v>8.8000000000000005E-3</v>
      </c>
      <c r="R229">
        <v>8.8999999999999999E-3</v>
      </c>
      <c r="S229">
        <v>8.9999999999999993E-3</v>
      </c>
      <c r="T229">
        <v>9.1000000000000004E-3</v>
      </c>
      <c r="U229">
        <v>9.1000000000000004E-3</v>
      </c>
      <c r="V229">
        <v>9.1999999999999998E-3</v>
      </c>
      <c r="W229">
        <v>9.2999999999999992E-3</v>
      </c>
      <c r="X229">
        <v>9.2999999999999992E-3</v>
      </c>
      <c r="Y229">
        <v>9.4000000000000004E-3</v>
      </c>
    </row>
    <row r="230" spans="1:25" hidden="1">
      <c r="A230" t="s">
        <v>18802</v>
      </c>
      <c r="B230" t="s">
        <v>762</v>
      </c>
      <c r="C230" t="s">
        <v>729</v>
      </c>
      <c r="D230" t="s">
        <v>621</v>
      </c>
      <c r="E230" t="s">
        <v>642</v>
      </c>
      <c r="F230" t="s">
        <v>598</v>
      </c>
      <c r="G230" t="s">
        <v>599</v>
      </c>
      <c r="H230" t="s">
        <v>600</v>
      </c>
      <c r="I230" t="s">
        <v>601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 hidden="1">
      <c r="A231" t="s">
        <v>18802</v>
      </c>
      <c r="B231" t="s">
        <v>764</v>
      </c>
      <c r="C231" t="s">
        <v>729</v>
      </c>
      <c r="D231" t="s">
        <v>621</v>
      </c>
      <c r="E231" t="s">
        <v>603</v>
      </c>
      <c r="F231" t="s">
        <v>598</v>
      </c>
      <c r="G231" t="s">
        <v>599</v>
      </c>
      <c r="H231" t="s">
        <v>600</v>
      </c>
      <c r="I231" t="s">
        <v>601</v>
      </c>
      <c r="J231">
        <v>2.9999999999999997E-4</v>
      </c>
      <c r="K231">
        <v>2.9999999999999997E-4</v>
      </c>
      <c r="L231">
        <v>4.0000000000000002E-4</v>
      </c>
      <c r="M231">
        <v>4.0000000000000002E-4</v>
      </c>
      <c r="N231">
        <v>4.0000000000000002E-4</v>
      </c>
      <c r="O231">
        <v>4.0000000000000002E-4</v>
      </c>
      <c r="P231">
        <v>4.0000000000000002E-4</v>
      </c>
      <c r="Q231">
        <v>4.0000000000000002E-4</v>
      </c>
      <c r="R231">
        <v>4.0000000000000002E-4</v>
      </c>
      <c r="S231">
        <v>5.0000000000000001E-4</v>
      </c>
      <c r="T231">
        <v>5.0000000000000001E-4</v>
      </c>
      <c r="U231">
        <v>5.0000000000000001E-4</v>
      </c>
      <c r="V231">
        <v>5.9999999999999995E-4</v>
      </c>
      <c r="W231">
        <v>5.9999999999999995E-4</v>
      </c>
      <c r="X231">
        <v>5.9999999999999995E-4</v>
      </c>
      <c r="Y231">
        <v>5.9999999999999995E-4</v>
      </c>
    </row>
    <row r="232" spans="1:25" hidden="1">
      <c r="A232" t="s">
        <v>18802</v>
      </c>
      <c r="B232" t="s">
        <v>769</v>
      </c>
      <c r="C232" t="s">
        <v>729</v>
      </c>
      <c r="D232" t="s">
        <v>621</v>
      </c>
      <c r="E232" t="s">
        <v>626</v>
      </c>
      <c r="F232" t="s">
        <v>598</v>
      </c>
      <c r="G232" t="s">
        <v>599</v>
      </c>
      <c r="H232" t="s">
        <v>600</v>
      </c>
      <c r="I232" t="s">
        <v>601</v>
      </c>
      <c r="J232">
        <v>1.1599999999999999E-2</v>
      </c>
      <c r="K232">
        <v>1.17E-2</v>
      </c>
      <c r="L232">
        <v>1.18E-2</v>
      </c>
      <c r="M232">
        <v>1.18E-2</v>
      </c>
      <c r="N232">
        <v>1.2E-2</v>
      </c>
      <c r="O232">
        <v>1.21E-2</v>
      </c>
      <c r="P232">
        <v>1.24E-2</v>
      </c>
      <c r="Q232">
        <v>1.2500000000000001E-2</v>
      </c>
      <c r="R232">
        <v>1.2699999999999999E-2</v>
      </c>
      <c r="S232">
        <v>1.2800000000000001E-2</v>
      </c>
      <c r="T232">
        <v>1.29E-2</v>
      </c>
      <c r="U232">
        <v>1.29E-2</v>
      </c>
      <c r="V232">
        <v>1.2999999999999999E-2</v>
      </c>
      <c r="W232">
        <v>1.3100000000000001E-2</v>
      </c>
      <c r="X232">
        <v>1.3299999999999999E-2</v>
      </c>
      <c r="Y232">
        <v>1.35E-2</v>
      </c>
    </row>
    <row r="233" spans="1:25" hidden="1">
      <c r="A233" t="s">
        <v>18802</v>
      </c>
      <c r="B233" t="s">
        <v>770</v>
      </c>
      <c r="C233" t="s">
        <v>729</v>
      </c>
      <c r="D233" t="s">
        <v>621</v>
      </c>
      <c r="E233" t="s">
        <v>628</v>
      </c>
      <c r="F233" t="s">
        <v>598</v>
      </c>
      <c r="G233" t="s">
        <v>599</v>
      </c>
      <c r="H233" t="s">
        <v>600</v>
      </c>
      <c r="I233" t="s">
        <v>601</v>
      </c>
      <c r="J233">
        <v>0.1762</v>
      </c>
      <c r="K233">
        <v>0.1774</v>
      </c>
      <c r="L233">
        <v>0.17899999999999999</v>
      </c>
      <c r="M233">
        <v>0.1802</v>
      </c>
      <c r="N233">
        <v>0.18279999999999999</v>
      </c>
      <c r="O233">
        <v>0.18479999999999999</v>
      </c>
      <c r="P233">
        <v>0.18870000000000001</v>
      </c>
      <c r="Q233">
        <v>0.19270000000000001</v>
      </c>
      <c r="R233">
        <v>0.1943</v>
      </c>
      <c r="S233">
        <v>0.19570000000000001</v>
      </c>
      <c r="T233">
        <v>0.19700000000000001</v>
      </c>
      <c r="U233">
        <v>0.1988</v>
      </c>
      <c r="V233">
        <v>0.20050000000000001</v>
      </c>
      <c r="W233">
        <v>0.20230000000000001</v>
      </c>
      <c r="X233">
        <v>0.20430000000000001</v>
      </c>
      <c r="Y233">
        <v>0.20580000000000001</v>
      </c>
    </row>
    <row r="234" spans="1:25" hidden="1">
      <c r="A234" t="s">
        <v>18802</v>
      </c>
      <c r="B234" t="s">
        <v>771</v>
      </c>
      <c r="C234" t="s">
        <v>729</v>
      </c>
      <c r="D234" t="s">
        <v>621</v>
      </c>
      <c r="E234" t="s">
        <v>692</v>
      </c>
      <c r="F234" t="s">
        <v>598</v>
      </c>
      <c r="G234" t="s">
        <v>599</v>
      </c>
      <c r="H234" t="s">
        <v>600</v>
      </c>
      <c r="I234" t="s">
        <v>601</v>
      </c>
      <c r="J234">
        <v>1.1000000000000001E-3</v>
      </c>
      <c r="K234">
        <v>1.1000000000000001E-3</v>
      </c>
      <c r="L234">
        <v>1E-3</v>
      </c>
      <c r="M234">
        <v>1E-3</v>
      </c>
      <c r="N234">
        <v>1E-3</v>
      </c>
      <c r="O234">
        <v>8.9999999999999998E-4</v>
      </c>
      <c r="P234">
        <v>8.9999999999999998E-4</v>
      </c>
      <c r="Q234">
        <v>8.9999999999999998E-4</v>
      </c>
      <c r="R234">
        <v>1E-3</v>
      </c>
      <c r="S234">
        <v>1E-3</v>
      </c>
      <c r="T234">
        <v>1E-3</v>
      </c>
      <c r="U234">
        <v>1E-3</v>
      </c>
      <c r="V234">
        <v>1E-3</v>
      </c>
      <c r="W234">
        <v>1E-3</v>
      </c>
      <c r="X234">
        <v>1E-3</v>
      </c>
      <c r="Y234">
        <v>1E-3</v>
      </c>
    </row>
    <row r="235" spans="1:25" hidden="1">
      <c r="A235" t="s">
        <v>18802</v>
      </c>
      <c r="B235" t="s">
        <v>776</v>
      </c>
      <c r="C235" t="s">
        <v>729</v>
      </c>
      <c r="D235" t="s">
        <v>632</v>
      </c>
      <c r="E235" t="s">
        <v>597</v>
      </c>
      <c r="F235" t="s">
        <v>598</v>
      </c>
      <c r="G235" t="s">
        <v>599</v>
      </c>
      <c r="H235" t="s">
        <v>600</v>
      </c>
      <c r="I235" t="s">
        <v>601</v>
      </c>
      <c r="J235">
        <v>3.8E-3</v>
      </c>
      <c r="K235">
        <v>3.7000000000000002E-3</v>
      </c>
      <c r="L235">
        <v>3.5999999999999999E-3</v>
      </c>
      <c r="M235">
        <v>3.3999999999999998E-3</v>
      </c>
      <c r="N235">
        <v>3.3E-3</v>
      </c>
      <c r="O235">
        <v>3.2000000000000002E-3</v>
      </c>
      <c r="P235">
        <v>3.3E-3</v>
      </c>
      <c r="Q235">
        <v>3.3E-3</v>
      </c>
      <c r="R235">
        <v>3.3E-3</v>
      </c>
      <c r="S235">
        <v>3.3E-3</v>
      </c>
      <c r="T235">
        <v>3.3E-3</v>
      </c>
      <c r="U235">
        <v>3.3E-3</v>
      </c>
      <c r="V235">
        <v>3.3999999999999998E-3</v>
      </c>
      <c r="W235">
        <v>3.3999999999999998E-3</v>
      </c>
      <c r="X235">
        <v>3.3999999999999998E-3</v>
      </c>
      <c r="Y235">
        <v>3.3999999999999998E-3</v>
      </c>
    </row>
    <row r="236" spans="1:25" hidden="1">
      <c r="A236" t="s">
        <v>18802</v>
      </c>
      <c r="B236" t="s">
        <v>777</v>
      </c>
      <c r="C236" t="s">
        <v>729</v>
      </c>
      <c r="D236" t="s">
        <v>632</v>
      </c>
      <c r="E236" t="s">
        <v>626</v>
      </c>
      <c r="F236" t="s">
        <v>598</v>
      </c>
      <c r="G236" t="s">
        <v>599</v>
      </c>
      <c r="H236" t="s">
        <v>600</v>
      </c>
      <c r="I236" t="s">
        <v>601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hidden="1">
      <c r="A237" t="s">
        <v>18802</v>
      </c>
      <c r="B237" t="s">
        <v>778</v>
      </c>
      <c r="C237" t="s">
        <v>729</v>
      </c>
      <c r="D237" t="s">
        <v>632</v>
      </c>
      <c r="E237" t="s">
        <v>628</v>
      </c>
      <c r="F237" t="s">
        <v>598</v>
      </c>
      <c r="G237" t="s">
        <v>599</v>
      </c>
      <c r="H237" t="s">
        <v>600</v>
      </c>
      <c r="I237" t="s">
        <v>601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</row>
    <row r="238" spans="1:25" hidden="1">
      <c r="A238" t="s">
        <v>18802</v>
      </c>
      <c r="B238" t="s">
        <v>780</v>
      </c>
      <c r="C238" t="s">
        <v>729</v>
      </c>
      <c r="D238" t="s">
        <v>632</v>
      </c>
      <c r="E238" t="s">
        <v>781</v>
      </c>
      <c r="F238" t="s">
        <v>598</v>
      </c>
      <c r="G238" t="s">
        <v>599</v>
      </c>
      <c r="H238" t="s">
        <v>600</v>
      </c>
      <c r="I238" t="s">
        <v>601</v>
      </c>
      <c r="J238">
        <v>2E-3</v>
      </c>
      <c r="K238">
        <v>2E-3</v>
      </c>
      <c r="L238">
        <v>2.0999999999999999E-3</v>
      </c>
      <c r="M238">
        <v>2.2000000000000001E-3</v>
      </c>
      <c r="N238">
        <v>2.3E-3</v>
      </c>
      <c r="O238">
        <v>2.3999999999999998E-3</v>
      </c>
      <c r="P238">
        <v>2.5999999999999999E-3</v>
      </c>
      <c r="Q238">
        <v>2.7000000000000001E-3</v>
      </c>
      <c r="R238">
        <v>2.8E-3</v>
      </c>
      <c r="S238">
        <v>2.8999999999999998E-3</v>
      </c>
      <c r="T238">
        <v>2.8999999999999998E-3</v>
      </c>
      <c r="U238">
        <v>3.0000000000000001E-3</v>
      </c>
      <c r="V238">
        <v>3.0999999999999999E-3</v>
      </c>
      <c r="W238">
        <v>3.2000000000000002E-3</v>
      </c>
      <c r="X238">
        <v>3.3E-3</v>
      </c>
      <c r="Y238">
        <v>3.3999999999999998E-3</v>
      </c>
    </row>
    <row r="239" spans="1:25" hidden="1">
      <c r="A239" t="s">
        <v>18802</v>
      </c>
      <c r="B239" t="s">
        <v>782</v>
      </c>
      <c r="C239" t="s">
        <v>729</v>
      </c>
      <c r="D239" t="s">
        <v>632</v>
      </c>
      <c r="E239" t="s">
        <v>638</v>
      </c>
      <c r="F239" t="s">
        <v>598</v>
      </c>
      <c r="G239" t="s">
        <v>599</v>
      </c>
      <c r="H239" t="s">
        <v>600</v>
      </c>
      <c r="I239" t="s">
        <v>601</v>
      </c>
      <c r="J239">
        <v>1E-4</v>
      </c>
      <c r="K239">
        <v>1E-4</v>
      </c>
      <c r="L239">
        <v>1E-4</v>
      </c>
      <c r="M239">
        <v>1E-4</v>
      </c>
      <c r="N239">
        <v>1E-4</v>
      </c>
      <c r="O239">
        <v>1E-4</v>
      </c>
      <c r="P239">
        <v>1E-4</v>
      </c>
      <c r="Q239">
        <v>1E-4</v>
      </c>
      <c r="R239">
        <v>1E-4</v>
      </c>
      <c r="S239">
        <v>1E-4</v>
      </c>
      <c r="T239">
        <v>1E-4</v>
      </c>
      <c r="U239">
        <v>1E-4</v>
      </c>
      <c r="V239">
        <v>1E-4</v>
      </c>
      <c r="W239">
        <v>1E-4</v>
      </c>
      <c r="X239">
        <v>1E-4</v>
      </c>
      <c r="Y239">
        <v>1E-4</v>
      </c>
    </row>
    <row r="240" spans="1:25" hidden="1">
      <c r="A240" t="s">
        <v>18802</v>
      </c>
      <c r="B240" t="s">
        <v>783</v>
      </c>
      <c r="C240" t="s">
        <v>729</v>
      </c>
      <c r="D240" t="s">
        <v>632</v>
      </c>
      <c r="E240" t="s">
        <v>784</v>
      </c>
      <c r="F240" t="s">
        <v>598</v>
      </c>
      <c r="G240" t="s">
        <v>599</v>
      </c>
      <c r="H240" t="s">
        <v>600</v>
      </c>
      <c r="I240" t="s">
        <v>601</v>
      </c>
      <c r="J240">
        <v>4.0000000000000002E-4</v>
      </c>
      <c r="K240">
        <v>4.0000000000000002E-4</v>
      </c>
      <c r="L240">
        <v>4.0000000000000002E-4</v>
      </c>
      <c r="M240">
        <v>5.0000000000000001E-4</v>
      </c>
      <c r="N240">
        <v>5.0000000000000001E-4</v>
      </c>
      <c r="O240">
        <v>5.0000000000000001E-4</v>
      </c>
      <c r="P240">
        <v>5.0000000000000001E-4</v>
      </c>
      <c r="Q240">
        <v>5.0000000000000001E-4</v>
      </c>
      <c r="R240">
        <v>5.9999999999999995E-4</v>
      </c>
      <c r="S240">
        <v>5.9999999999999995E-4</v>
      </c>
      <c r="T240">
        <v>5.9999999999999995E-4</v>
      </c>
      <c r="U240">
        <v>5.9999999999999995E-4</v>
      </c>
      <c r="V240">
        <v>5.9999999999999995E-4</v>
      </c>
      <c r="W240">
        <v>5.9999999999999995E-4</v>
      </c>
      <c r="X240">
        <v>6.9999999999999999E-4</v>
      </c>
      <c r="Y240">
        <v>6.9999999999999999E-4</v>
      </c>
    </row>
    <row r="241" spans="1:25" hidden="1">
      <c r="A241" t="s">
        <v>18802</v>
      </c>
      <c r="B241" t="s">
        <v>785</v>
      </c>
      <c r="C241" t="s">
        <v>729</v>
      </c>
      <c r="D241" t="s">
        <v>640</v>
      </c>
      <c r="E241" t="s">
        <v>597</v>
      </c>
      <c r="F241" t="s">
        <v>598</v>
      </c>
      <c r="G241" t="s">
        <v>599</v>
      </c>
      <c r="H241" t="s">
        <v>600</v>
      </c>
      <c r="I241" t="s">
        <v>601</v>
      </c>
      <c r="J241">
        <v>1E-4</v>
      </c>
      <c r="K241">
        <v>1E-4</v>
      </c>
      <c r="L241">
        <v>1E-4</v>
      </c>
      <c r="M241">
        <v>1E-4</v>
      </c>
      <c r="N241">
        <v>1E-4</v>
      </c>
      <c r="O241">
        <v>1E-4</v>
      </c>
      <c r="P241">
        <v>1E-4</v>
      </c>
      <c r="Q241">
        <v>1E-4</v>
      </c>
      <c r="R241">
        <v>1E-4</v>
      </c>
      <c r="S241">
        <v>1E-4</v>
      </c>
      <c r="T241">
        <v>1E-4</v>
      </c>
      <c r="U241">
        <v>1E-4</v>
      </c>
      <c r="V241">
        <v>1E-4</v>
      </c>
      <c r="W241">
        <v>2.0000000000000001E-4</v>
      </c>
      <c r="X241">
        <v>2.0000000000000001E-4</v>
      </c>
      <c r="Y241">
        <v>2.0000000000000001E-4</v>
      </c>
    </row>
    <row r="242" spans="1:25" hidden="1">
      <c r="A242" t="s">
        <v>18802</v>
      </c>
      <c r="B242" t="s">
        <v>792</v>
      </c>
      <c r="C242" t="s">
        <v>729</v>
      </c>
      <c r="D242" t="s">
        <v>640</v>
      </c>
      <c r="E242" t="s">
        <v>750</v>
      </c>
      <c r="F242" t="s">
        <v>598</v>
      </c>
      <c r="G242" t="s">
        <v>599</v>
      </c>
      <c r="H242" t="s">
        <v>600</v>
      </c>
      <c r="I242" t="s">
        <v>601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hidden="1">
      <c r="A243" t="s">
        <v>18802</v>
      </c>
      <c r="B243" t="s">
        <v>793</v>
      </c>
      <c r="C243" t="s">
        <v>729</v>
      </c>
      <c r="D243" t="s">
        <v>640</v>
      </c>
      <c r="E243" t="s">
        <v>676</v>
      </c>
      <c r="F243" t="s">
        <v>598</v>
      </c>
      <c r="G243" t="s">
        <v>599</v>
      </c>
      <c r="H243" t="s">
        <v>600</v>
      </c>
      <c r="I243" t="s">
        <v>601</v>
      </c>
      <c r="J243">
        <v>4.0000000000000002E-4</v>
      </c>
      <c r="K243">
        <v>4.0000000000000002E-4</v>
      </c>
      <c r="L243">
        <v>4.0000000000000002E-4</v>
      </c>
      <c r="M243">
        <v>4.0000000000000002E-4</v>
      </c>
      <c r="N243">
        <v>4.0000000000000002E-4</v>
      </c>
      <c r="O243">
        <v>2.9999999999999997E-4</v>
      </c>
      <c r="P243">
        <v>4.0000000000000002E-4</v>
      </c>
      <c r="Q243">
        <v>4.0000000000000002E-4</v>
      </c>
      <c r="R243">
        <v>4.0000000000000002E-4</v>
      </c>
      <c r="S243">
        <v>4.0000000000000002E-4</v>
      </c>
      <c r="T243">
        <v>4.0000000000000002E-4</v>
      </c>
      <c r="U243">
        <v>4.0000000000000002E-4</v>
      </c>
      <c r="V243">
        <v>4.0000000000000002E-4</v>
      </c>
      <c r="W243">
        <v>4.0000000000000002E-4</v>
      </c>
      <c r="X243">
        <v>4.0000000000000002E-4</v>
      </c>
      <c r="Y243">
        <v>4.0000000000000002E-4</v>
      </c>
    </row>
    <row r="244" spans="1:25" hidden="1">
      <c r="A244" t="s">
        <v>18802</v>
      </c>
      <c r="B244" t="s">
        <v>794</v>
      </c>
      <c r="C244" t="s">
        <v>729</v>
      </c>
      <c r="D244" t="s">
        <v>648</v>
      </c>
      <c r="E244" t="s">
        <v>649</v>
      </c>
      <c r="F244" t="s">
        <v>598</v>
      </c>
      <c r="G244" t="s">
        <v>599</v>
      </c>
      <c r="H244" t="s">
        <v>600</v>
      </c>
      <c r="I244" t="s">
        <v>601</v>
      </c>
      <c r="J244">
        <v>6.4000000000000003E-3</v>
      </c>
      <c r="K244">
        <v>6.1999999999999998E-3</v>
      </c>
      <c r="L244">
        <v>6.1000000000000004E-3</v>
      </c>
      <c r="M244">
        <v>5.7999999999999996E-3</v>
      </c>
      <c r="N244">
        <v>5.7000000000000002E-3</v>
      </c>
      <c r="O244">
        <v>5.4999999999999997E-3</v>
      </c>
      <c r="P244">
        <v>5.5999999999999999E-3</v>
      </c>
      <c r="Q244">
        <v>5.5999999999999999E-3</v>
      </c>
      <c r="R244">
        <v>5.5999999999999999E-3</v>
      </c>
      <c r="S244">
        <v>5.7000000000000002E-3</v>
      </c>
      <c r="T244">
        <v>5.7000000000000002E-3</v>
      </c>
      <c r="U244">
        <v>5.7000000000000002E-3</v>
      </c>
      <c r="V244">
        <v>5.7000000000000002E-3</v>
      </c>
      <c r="W244">
        <v>5.7000000000000002E-3</v>
      </c>
      <c r="X244">
        <v>5.7000000000000002E-3</v>
      </c>
      <c r="Y244">
        <v>5.7999999999999996E-3</v>
      </c>
    </row>
    <row r="245" spans="1:25" hidden="1">
      <c r="A245" t="s">
        <v>18802</v>
      </c>
      <c r="B245" t="s">
        <v>795</v>
      </c>
      <c r="C245" t="s">
        <v>729</v>
      </c>
      <c r="D245" t="s">
        <v>648</v>
      </c>
      <c r="E245" t="s">
        <v>597</v>
      </c>
      <c r="F245" t="s">
        <v>598</v>
      </c>
      <c r="G245" t="s">
        <v>599</v>
      </c>
      <c r="H245" t="s">
        <v>600</v>
      </c>
      <c r="I245" t="s">
        <v>601</v>
      </c>
      <c r="J245">
        <v>0.15629999999999999</v>
      </c>
      <c r="K245">
        <v>0.1575</v>
      </c>
      <c r="L245">
        <v>0.15809999999999999</v>
      </c>
      <c r="M245">
        <v>0.1588</v>
      </c>
      <c r="N245">
        <v>0.1583</v>
      </c>
      <c r="O245">
        <v>0.16289999999999999</v>
      </c>
      <c r="P245">
        <v>0.16139999999999999</v>
      </c>
      <c r="Q245">
        <v>0.16070000000000001</v>
      </c>
      <c r="R245">
        <v>0.1593</v>
      </c>
      <c r="S245">
        <v>0.1585</v>
      </c>
      <c r="T245">
        <v>0.1573</v>
      </c>
      <c r="U245">
        <v>0.15640000000000001</v>
      </c>
      <c r="V245">
        <v>0.15540000000000001</v>
      </c>
      <c r="W245">
        <v>0.1547</v>
      </c>
      <c r="X245">
        <v>0.1542</v>
      </c>
      <c r="Y245">
        <v>0.1542</v>
      </c>
    </row>
    <row r="246" spans="1:25" hidden="1">
      <c r="A246" t="s">
        <v>18802</v>
      </c>
      <c r="B246" t="s">
        <v>796</v>
      </c>
      <c r="C246" t="s">
        <v>729</v>
      </c>
      <c r="D246" t="s">
        <v>648</v>
      </c>
      <c r="E246" t="s">
        <v>642</v>
      </c>
      <c r="F246" t="s">
        <v>598</v>
      </c>
      <c r="G246" t="s">
        <v>599</v>
      </c>
      <c r="H246" t="s">
        <v>600</v>
      </c>
      <c r="I246" t="s">
        <v>601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1:25" hidden="1">
      <c r="A247" t="s">
        <v>18802</v>
      </c>
      <c r="B247" t="s">
        <v>801</v>
      </c>
      <c r="C247" t="s">
        <v>729</v>
      </c>
      <c r="D247" t="s">
        <v>648</v>
      </c>
      <c r="E247" t="s">
        <v>619</v>
      </c>
      <c r="F247" t="s">
        <v>598</v>
      </c>
      <c r="G247" t="s">
        <v>599</v>
      </c>
      <c r="H247" t="s">
        <v>600</v>
      </c>
      <c r="I247" t="s">
        <v>601</v>
      </c>
      <c r="J247">
        <v>2.8199999999999999E-2</v>
      </c>
      <c r="K247">
        <v>3.0700000000000002E-2</v>
      </c>
      <c r="L247">
        <v>3.0700000000000002E-2</v>
      </c>
      <c r="M247">
        <v>3.0700000000000002E-2</v>
      </c>
      <c r="N247">
        <v>3.0700000000000002E-2</v>
      </c>
      <c r="O247">
        <v>3.0700000000000002E-2</v>
      </c>
      <c r="P247">
        <v>3.0700000000000002E-2</v>
      </c>
      <c r="Q247">
        <v>3.0700000000000002E-2</v>
      </c>
      <c r="R247">
        <v>3.0700000000000002E-2</v>
      </c>
      <c r="S247">
        <v>3.0700000000000002E-2</v>
      </c>
      <c r="T247">
        <v>3.0700000000000002E-2</v>
      </c>
      <c r="U247">
        <v>3.0700000000000002E-2</v>
      </c>
      <c r="V247">
        <v>3.0700000000000002E-2</v>
      </c>
      <c r="W247">
        <v>2.8199999999999999E-2</v>
      </c>
      <c r="X247">
        <v>2.8199999999999999E-2</v>
      </c>
      <c r="Y247">
        <v>2.8199999999999999E-2</v>
      </c>
    </row>
    <row r="248" spans="1:25" hidden="1">
      <c r="A248" t="s">
        <v>18802</v>
      </c>
      <c r="B248" t="s">
        <v>802</v>
      </c>
      <c r="C248" t="s">
        <v>729</v>
      </c>
      <c r="D248" t="s">
        <v>648</v>
      </c>
      <c r="E248" t="s">
        <v>676</v>
      </c>
      <c r="F248" t="s">
        <v>598</v>
      </c>
      <c r="G248" t="s">
        <v>599</v>
      </c>
      <c r="H248" t="s">
        <v>600</v>
      </c>
      <c r="I248" t="s">
        <v>601</v>
      </c>
      <c r="J248">
        <v>2.0000000000000001E-4</v>
      </c>
      <c r="K248">
        <v>2.0000000000000001E-4</v>
      </c>
      <c r="L248">
        <v>2.0000000000000001E-4</v>
      </c>
      <c r="M248">
        <v>2.0000000000000001E-4</v>
      </c>
      <c r="N248">
        <v>2.0000000000000001E-4</v>
      </c>
      <c r="O248">
        <v>2.0000000000000001E-4</v>
      </c>
      <c r="P248">
        <v>2.0000000000000001E-4</v>
      </c>
      <c r="Q248">
        <v>2.0000000000000001E-4</v>
      </c>
      <c r="R248">
        <v>2.0000000000000001E-4</v>
      </c>
      <c r="S248">
        <v>2.0000000000000001E-4</v>
      </c>
      <c r="T248">
        <v>2.0000000000000001E-4</v>
      </c>
      <c r="U248">
        <v>2.0000000000000001E-4</v>
      </c>
      <c r="V248">
        <v>2.0000000000000001E-4</v>
      </c>
      <c r="W248">
        <v>2.0000000000000001E-4</v>
      </c>
      <c r="X248">
        <v>2.0000000000000001E-4</v>
      </c>
      <c r="Y248">
        <v>2.0000000000000001E-4</v>
      </c>
    </row>
    <row r="249" spans="1:25" hidden="1">
      <c r="A249" t="s">
        <v>18802</v>
      </c>
      <c r="B249" t="s">
        <v>803</v>
      </c>
      <c r="C249" t="s">
        <v>804</v>
      </c>
      <c r="D249" t="s">
        <v>596</v>
      </c>
      <c r="E249" t="s">
        <v>597</v>
      </c>
      <c r="F249" t="s">
        <v>598</v>
      </c>
      <c r="G249" t="s">
        <v>599</v>
      </c>
      <c r="H249" t="s">
        <v>600</v>
      </c>
      <c r="I249" t="s">
        <v>601</v>
      </c>
      <c r="J249">
        <v>1.9E-3</v>
      </c>
      <c r="K249">
        <v>2E-3</v>
      </c>
      <c r="L249">
        <v>2.0999999999999999E-3</v>
      </c>
      <c r="M249">
        <v>2.2000000000000001E-3</v>
      </c>
      <c r="N249">
        <v>2.3999999999999998E-3</v>
      </c>
      <c r="O249">
        <v>2.3999999999999998E-3</v>
      </c>
      <c r="P249">
        <v>2.5000000000000001E-3</v>
      </c>
      <c r="Q249">
        <v>2.5999999999999999E-3</v>
      </c>
      <c r="R249">
        <v>2.5999999999999999E-3</v>
      </c>
      <c r="S249">
        <v>2.5999999999999999E-3</v>
      </c>
      <c r="T249">
        <v>2.5999999999999999E-3</v>
      </c>
      <c r="U249">
        <v>2.5999999999999999E-3</v>
      </c>
      <c r="V249">
        <v>2.7000000000000001E-3</v>
      </c>
      <c r="W249">
        <v>2.7000000000000001E-3</v>
      </c>
      <c r="X249">
        <v>2.8E-3</v>
      </c>
      <c r="Y249">
        <v>2.8E-3</v>
      </c>
    </row>
    <row r="250" spans="1:25" hidden="1">
      <c r="A250" t="s">
        <v>18802</v>
      </c>
      <c r="B250" t="s">
        <v>815</v>
      </c>
      <c r="C250" t="s">
        <v>804</v>
      </c>
      <c r="D250" t="s">
        <v>671</v>
      </c>
      <c r="E250" t="s">
        <v>597</v>
      </c>
      <c r="F250" t="s">
        <v>598</v>
      </c>
      <c r="G250" t="s">
        <v>599</v>
      </c>
      <c r="H250" t="s">
        <v>600</v>
      </c>
      <c r="I250" t="s">
        <v>601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hidden="1">
      <c r="A251" t="s">
        <v>18802</v>
      </c>
      <c r="B251" t="s">
        <v>824</v>
      </c>
      <c r="C251" t="s">
        <v>804</v>
      </c>
      <c r="D251" t="s">
        <v>621</v>
      </c>
      <c r="E251" t="s">
        <v>626</v>
      </c>
      <c r="F251" t="s">
        <v>598</v>
      </c>
      <c r="G251" t="s">
        <v>599</v>
      </c>
      <c r="H251" t="s">
        <v>600</v>
      </c>
      <c r="I251" t="s">
        <v>601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hidden="1">
      <c r="A252" t="s">
        <v>18802</v>
      </c>
      <c r="B252" t="s">
        <v>825</v>
      </c>
      <c r="C252" t="s">
        <v>804</v>
      </c>
      <c r="D252" t="s">
        <v>621</v>
      </c>
      <c r="E252" t="s">
        <v>628</v>
      </c>
      <c r="F252" t="s">
        <v>598</v>
      </c>
      <c r="G252" t="s">
        <v>599</v>
      </c>
      <c r="H252" t="s">
        <v>600</v>
      </c>
      <c r="I252" t="s">
        <v>601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hidden="1">
      <c r="A253" t="s">
        <v>18802</v>
      </c>
      <c r="B253" t="s">
        <v>827</v>
      </c>
      <c r="C253" t="s">
        <v>804</v>
      </c>
      <c r="D253" t="s">
        <v>828</v>
      </c>
      <c r="E253" t="s">
        <v>597</v>
      </c>
      <c r="F253" t="s">
        <v>598</v>
      </c>
      <c r="G253" t="s">
        <v>599</v>
      </c>
      <c r="H253" t="s">
        <v>600</v>
      </c>
      <c r="I253" t="s">
        <v>601</v>
      </c>
      <c r="J253">
        <v>2.9999999999999997E-4</v>
      </c>
      <c r="K253">
        <v>2.9999999999999997E-4</v>
      </c>
      <c r="L253">
        <v>2.9999999999999997E-4</v>
      </c>
      <c r="M253">
        <v>2.9999999999999997E-4</v>
      </c>
      <c r="N253">
        <v>2.9999999999999997E-4</v>
      </c>
      <c r="O253">
        <v>2.9999999999999997E-4</v>
      </c>
      <c r="P253">
        <v>2.9999999999999997E-4</v>
      </c>
      <c r="Q253">
        <v>2.9999999999999997E-4</v>
      </c>
      <c r="R253">
        <v>2.9999999999999997E-4</v>
      </c>
      <c r="S253">
        <v>2.9999999999999997E-4</v>
      </c>
      <c r="T253">
        <v>2.9999999999999997E-4</v>
      </c>
      <c r="U253">
        <v>2.9999999999999997E-4</v>
      </c>
      <c r="V253">
        <v>2.9999999999999997E-4</v>
      </c>
      <c r="W253">
        <v>2.9999999999999997E-4</v>
      </c>
      <c r="X253">
        <v>2.9999999999999997E-4</v>
      </c>
      <c r="Y253">
        <v>2.9999999999999997E-4</v>
      </c>
    </row>
    <row r="254" spans="1:25" hidden="1">
      <c r="A254" t="s">
        <v>18802</v>
      </c>
      <c r="B254" t="s">
        <v>830</v>
      </c>
      <c r="C254" t="s">
        <v>804</v>
      </c>
      <c r="D254" t="s">
        <v>828</v>
      </c>
      <c r="E254" t="s">
        <v>628</v>
      </c>
      <c r="F254" t="s">
        <v>831</v>
      </c>
      <c r="G254" t="s">
        <v>599</v>
      </c>
      <c r="H254" t="s">
        <v>600</v>
      </c>
      <c r="I254" t="s">
        <v>601</v>
      </c>
      <c r="J254">
        <v>5.9999999999999995E-4</v>
      </c>
      <c r="K254">
        <v>2.9999999999999997E-4</v>
      </c>
      <c r="L254">
        <v>2.9999999999999997E-4</v>
      </c>
      <c r="M254">
        <v>2.9999999999999997E-4</v>
      </c>
      <c r="N254">
        <v>2.9999999999999997E-4</v>
      </c>
      <c r="O254">
        <v>2.9999999999999997E-4</v>
      </c>
      <c r="P254">
        <v>2.9999999999999997E-4</v>
      </c>
      <c r="Q254">
        <v>2.9999999999999997E-4</v>
      </c>
      <c r="R254">
        <v>2.9999999999999997E-4</v>
      </c>
      <c r="S254">
        <v>2.9999999999999997E-4</v>
      </c>
      <c r="T254">
        <v>2.9999999999999997E-4</v>
      </c>
      <c r="U254">
        <v>2.9999999999999997E-4</v>
      </c>
      <c r="V254">
        <v>2.9999999999999997E-4</v>
      </c>
      <c r="W254">
        <v>2.9999999999999997E-4</v>
      </c>
      <c r="X254">
        <v>2.9999999999999997E-4</v>
      </c>
      <c r="Y254">
        <v>2.9999999999999997E-4</v>
      </c>
    </row>
    <row r="255" spans="1:25" hidden="1">
      <c r="A255" t="s">
        <v>18802</v>
      </c>
      <c r="B255" t="s">
        <v>832</v>
      </c>
      <c r="C255" t="s">
        <v>804</v>
      </c>
      <c r="D255" t="s">
        <v>828</v>
      </c>
      <c r="E255" t="s">
        <v>628</v>
      </c>
      <c r="F255" t="s">
        <v>833</v>
      </c>
      <c r="G255" t="s">
        <v>599</v>
      </c>
      <c r="H255" t="s">
        <v>600</v>
      </c>
      <c r="I255" t="s">
        <v>601</v>
      </c>
      <c r="J255">
        <v>2.9999999999999997E-4</v>
      </c>
      <c r="K255">
        <v>2.9999999999999997E-4</v>
      </c>
      <c r="L255">
        <v>2.9999999999999997E-4</v>
      </c>
      <c r="M255">
        <v>2.9999999999999997E-4</v>
      </c>
      <c r="N255">
        <v>2.9999999999999997E-4</v>
      </c>
      <c r="O255">
        <v>2.9999999999999997E-4</v>
      </c>
      <c r="P255">
        <v>2.9999999999999997E-4</v>
      </c>
      <c r="Q255">
        <v>2.9999999999999997E-4</v>
      </c>
      <c r="R255">
        <v>2.0000000000000001E-4</v>
      </c>
      <c r="S255">
        <v>2.0000000000000001E-4</v>
      </c>
      <c r="T255">
        <v>2.9999999999999997E-4</v>
      </c>
      <c r="U255">
        <v>2.9999999999999997E-4</v>
      </c>
      <c r="V255">
        <v>2.9999999999999997E-4</v>
      </c>
      <c r="W255">
        <v>2.9999999999999997E-4</v>
      </c>
      <c r="X255">
        <v>2.9999999999999997E-4</v>
      </c>
      <c r="Y255">
        <v>5.9999999999999995E-4</v>
      </c>
    </row>
    <row r="256" spans="1:25" hidden="1">
      <c r="A256" t="s">
        <v>18802</v>
      </c>
      <c r="B256" t="s">
        <v>839</v>
      </c>
      <c r="C256" t="s">
        <v>804</v>
      </c>
      <c r="D256" t="s">
        <v>648</v>
      </c>
      <c r="E256" t="s">
        <v>688</v>
      </c>
      <c r="F256" t="s">
        <v>598</v>
      </c>
      <c r="G256" t="s">
        <v>599</v>
      </c>
      <c r="H256" t="s">
        <v>600</v>
      </c>
      <c r="I256" t="s">
        <v>601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hidden="1">
      <c r="A257" t="s">
        <v>18802</v>
      </c>
      <c r="B257" t="s">
        <v>842</v>
      </c>
      <c r="C257" t="s">
        <v>841</v>
      </c>
      <c r="D257" t="s">
        <v>596</v>
      </c>
      <c r="E257" t="s">
        <v>597</v>
      </c>
      <c r="F257" t="s">
        <v>598</v>
      </c>
      <c r="G257" t="s">
        <v>599</v>
      </c>
      <c r="H257" t="s">
        <v>600</v>
      </c>
      <c r="I257" t="s">
        <v>601</v>
      </c>
      <c r="J257">
        <v>2.1299999999999999E-2</v>
      </c>
      <c r="K257">
        <v>2.1399999999999999E-2</v>
      </c>
      <c r="L257">
        <v>2.1700000000000001E-2</v>
      </c>
      <c r="M257">
        <v>2.24E-2</v>
      </c>
      <c r="N257">
        <v>2.2700000000000001E-2</v>
      </c>
      <c r="O257">
        <v>2.29E-2</v>
      </c>
      <c r="P257">
        <v>2.3099999999999999E-2</v>
      </c>
      <c r="Q257">
        <v>2.3599999999999999E-2</v>
      </c>
      <c r="R257">
        <v>2.3900000000000001E-2</v>
      </c>
      <c r="S257">
        <v>2.41E-2</v>
      </c>
      <c r="T257">
        <v>2.4299999999999999E-2</v>
      </c>
      <c r="U257">
        <v>2.4500000000000001E-2</v>
      </c>
      <c r="V257">
        <v>2.4500000000000001E-2</v>
      </c>
      <c r="W257">
        <v>2.4899999999999999E-2</v>
      </c>
      <c r="X257">
        <v>2.52E-2</v>
      </c>
      <c r="Y257">
        <v>2.5399999999999999E-2</v>
      </c>
    </row>
    <row r="258" spans="1:25" hidden="1">
      <c r="A258" t="s">
        <v>18802</v>
      </c>
      <c r="B258" t="s">
        <v>844</v>
      </c>
      <c r="C258" t="s">
        <v>841</v>
      </c>
      <c r="D258" t="s">
        <v>596</v>
      </c>
      <c r="E258" t="s">
        <v>603</v>
      </c>
      <c r="F258" t="s">
        <v>598</v>
      </c>
      <c r="G258" t="s">
        <v>599</v>
      </c>
      <c r="H258" t="s">
        <v>600</v>
      </c>
      <c r="I258" t="s">
        <v>601</v>
      </c>
      <c r="J258">
        <v>1.8E-3</v>
      </c>
      <c r="K258">
        <v>1.8E-3</v>
      </c>
      <c r="L258">
        <v>1.6999999999999999E-3</v>
      </c>
      <c r="M258">
        <v>1.6999999999999999E-3</v>
      </c>
      <c r="N258">
        <v>1.6000000000000001E-3</v>
      </c>
      <c r="O258">
        <v>1.6000000000000001E-3</v>
      </c>
      <c r="P258">
        <v>1.6000000000000001E-3</v>
      </c>
      <c r="Q258">
        <v>1.6999999999999999E-3</v>
      </c>
      <c r="R258">
        <v>1.6999999999999999E-3</v>
      </c>
      <c r="S258">
        <v>1.8E-3</v>
      </c>
      <c r="T258">
        <v>1.8E-3</v>
      </c>
      <c r="U258">
        <v>1.8E-3</v>
      </c>
      <c r="V258">
        <v>1.9E-3</v>
      </c>
      <c r="W258">
        <v>1.9E-3</v>
      </c>
      <c r="X258">
        <v>1.9E-3</v>
      </c>
      <c r="Y258">
        <v>2E-3</v>
      </c>
    </row>
    <row r="259" spans="1:25" hidden="1">
      <c r="A259" t="s">
        <v>18802</v>
      </c>
      <c r="B259" t="s">
        <v>847</v>
      </c>
      <c r="C259" t="s">
        <v>841</v>
      </c>
      <c r="D259" t="s">
        <v>596</v>
      </c>
      <c r="E259" t="s">
        <v>808</v>
      </c>
      <c r="F259" t="s">
        <v>598</v>
      </c>
      <c r="G259" t="s">
        <v>599</v>
      </c>
      <c r="H259" t="s">
        <v>600</v>
      </c>
      <c r="I259" t="s">
        <v>601</v>
      </c>
      <c r="J259">
        <v>8.0000000000000004E-4</v>
      </c>
      <c r="K259">
        <v>8.9999999999999998E-4</v>
      </c>
      <c r="L259">
        <v>8.9999999999999998E-4</v>
      </c>
      <c r="M259">
        <v>8.9999999999999998E-4</v>
      </c>
      <c r="N259">
        <v>8.9999999999999998E-4</v>
      </c>
      <c r="O259">
        <v>1E-3</v>
      </c>
      <c r="P259">
        <v>1E-3</v>
      </c>
      <c r="Q259">
        <v>1E-3</v>
      </c>
      <c r="R259">
        <v>1E-3</v>
      </c>
      <c r="S259">
        <v>1.1000000000000001E-3</v>
      </c>
      <c r="T259">
        <v>1.1000000000000001E-3</v>
      </c>
      <c r="U259">
        <v>1.1000000000000001E-3</v>
      </c>
      <c r="V259">
        <v>1.1999999999999999E-3</v>
      </c>
      <c r="W259">
        <v>1.1999999999999999E-3</v>
      </c>
      <c r="X259">
        <v>1.1999999999999999E-3</v>
      </c>
      <c r="Y259">
        <v>1.2999999999999999E-3</v>
      </c>
    </row>
    <row r="260" spans="1:25" hidden="1">
      <c r="A260" t="s">
        <v>18802</v>
      </c>
      <c r="B260" t="s">
        <v>852</v>
      </c>
      <c r="C260" t="s">
        <v>841</v>
      </c>
      <c r="D260" t="s">
        <v>596</v>
      </c>
      <c r="E260" t="s">
        <v>619</v>
      </c>
      <c r="F260" t="s">
        <v>598</v>
      </c>
      <c r="G260" t="s">
        <v>599</v>
      </c>
      <c r="H260" t="s">
        <v>600</v>
      </c>
      <c r="I260" t="s">
        <v>601</v>
      </c>
      <c r="J260">
        <v>3.8999999999999998E-3</v>
      </c>
      <c r="K260">
        <v>3.8999999999999998E-3</v>
      </c>
      <c r="L260">
        <v>3.8999999999999998E-3</v>
      </c>
      <c r="M260">
        <v>3.8999999999999998E-3</v>
      </c>
      <c r="N260">
        <v>3.8999999999999998E-3</v>
      </c>
      <c r="O260">
        <v>3.8E-3</v>
      </c>
      <c r="P260">
        <v>3.8999999999999998E-3</v>
      </c>
      <c r="Q260">
        <v>3.8999999999999998E-3</v>
      </c>
      <c r="R260">
        <v>3.8999999999999998E-3</v>
      </c>
      <c r="S260">
        <v>3.8999999999999998E-3</v>
      </c>
      <c r="T260">
        <v>3.8999999999999998E-3</v>
      </c>
      <c r="U260">
        <v>3.8999999999999998E-3</v>
      </c>
      <c r="V260">
        <v>3.8999999999999998E-3</v>
      </c>
      <c r="W260">
        <v>3.8999999999999998E-3</v>
      </c>
      <c r="X260">
        <v>3.8999999999999998E-3</v>
      </c>
      <c r="Y260">
        <v>3.8999999999999998E-3</v>
      </c>
    </row>
    <row r="261" spans="1:25" hidden="1">
      <c r="A261" t="s">
        <v>18802</v>
      </c>
      <c r="B261" t="s">
        <v>862</v>
      </c>
      <c r="C261" t="s">
        <v>841</v>
      </c>
      <c r="D261" t="s">
        <v>756</v>
      </c>
      <c r="E261" t="s">
        <v>597</v>
      </c>
      <c r="F261" t="s">
        <v>598</v>
      </c>
      <c r="G261" t="s">
        <v>599</v>
      </c>
      <c r="H261" t="s">
        <v>600</v>
      </c>
      <c r="I261" t="s">
        <v>601</v>
      </c>
      <c r="J261">
        <v>1.1599999999999999E-2</v>
      </c>
      <c r="K261">
        <v>1.1599999999999999E-2</v>
      </c>
      <c r="L261">
        <v>1.17E-2</v>
      </c>
      <c r="M261">
        <v>1.17E-2</v>
      </c>
      <c r="N261">
        <v>1.1599999999999999E-2</v>
      </c>
      <c r="O261">
        <v>1.26E-2</v>
      </c>
      <c r="P261">
        <v>1.2500000000000001E-2</v>
      </c>
      <c r="Q261">
        <v>1.2500000000000001E-2</v>
      </c>
      <c r="R261">
        <v>1.26E-2</v>
      </c>
      <c r="S261">
        <v>1.2500000000000001E-2</v>
      </c>
      <c r="T261">
        <v>1.26E-2</v>
      </c>
      <c r="U261">
        <v>1.2500000000000001E-2</v>
      </c>
      <c r="V261">
        <v>1.26E-2</v>
      </c>
      <c r="W261">
        <v>1.26E-2</v>
      </c>
      <c r="X261">
        <v>1.2699999999999999E-2</v>
      </c>
      <c r="Y261">
        <v>1.2699999999999999E-2</v>
      </c>
    </row>
    <row r="262" spans="1:25" hidden="1">
      <c r="A262" t="s">
        <v>18802</v>
      </c>
      <c r="B262" t="s">
        <v>865</v>
      </c>
      <c r="C262" t="s">
        <v>841</v>
      </c>
      <c r="D262" t="s">
        <v>866</v>
      </c>
      <c r="E262" t="s">
        <v>597</v>
      </c>
      <c r="F262" t="s">
        <v>598</v>
      </c>
      <c r="G262" t="s">
        <v>599</v>
      </c>
      <c r="H262" t="s">
        <v>600</v>
      </c>
      <c r="I262" t="s">
        <v>601</v>
      </c>
      <c r="J262">
        <v>3.3E-3</v>
      </c>
      <c r="K262">
        <v>3.3E-3</v>
      </c>
      <c r="L262">
        <v>3.3E-3</v>
      </c>
      <c r="M262">
        <v>3.3E-3</v>
      </c>
      <c r="N262">
        <v>3.2000000000000002E-3</v>
      </c>
      <c r="O262">
        <v>3.5000000000000001E-3</v>
      </c>
      <c r="P262">
        <v>3.5000000000000001E-3</v>
      </c>
      <c r="Q262">
        <v>3.5000000000000001E-3</v>
      </c>
      <c r="R262">
        <v>3.5000000000000001E-3</v>
      </c>
      <c r="S262">
        <v>3.3999999999999998E-3</v>
      </c>
      <c r="T262">
        <v>3.3999999999999998E-3</v>
      </c>
      <c r="U262">
        <v>3.3999999999999998E-3</v>
      </c>
      <c r="V262">
        <v>3.3999999999999998E-3</v>
      </c>
      <c r="W262">
        <v>3.3999999999999998E-3</v>
      </c>
      <c r="X262">
        <v>3.3999999999999998E-3</v>
      </c>
      <c r="Y262">
        <v>3.3999999999999998E-3</v>
      </c>
    </row>
    <row r="263" spans="1:25" hidden="1">
      <c r="A263" t="s">
        <v>18802</v>
      </c>
      <c r="B263" t="s">
        <v>868</v>
      </c>
      <c r="C263" t="s">
        <v>841</v>
      </c>
      <c r="D263" t="s">
        <v>621</v>
      </c>
      <c r="E263" t="s">
        <v>597</v>
      </c>
      <c r="F263" t="s">
        <v>598</v>
      </c>
      <c r="G263" t="s">
        <v>599</v>
      </c>
      <c r="H263" t="s">
        <v>600</v>
      </c>
      <c r="I263" t="s">
        <v>601</v>
      </c>
      <c r="J263">
        <v>9.9599999999999994E-2</v>
      </c>
      <c r="K263">
        <v>0.10829999999999999</v>
      </c>
      <c r="L263">
        <v>0.1188</v>
      </c>
      <c r="M263">
        <v>0.13059999999999999</v>
      </c>
      <c r="N263">
        <v>0.14219999999999999</v>
      </c>
      <c r="O263">
        <v>0.1552</v>
      </c>
      <c r="P263">
        <v>0.16619999999999999</v>
      </c>
      <c r="Q263">
        <v>0.1789</v>
      </c>
      <c r="R263">
        <v>0.18490000000000001</v>
      </c>
      <c r="S263">
        <v>0.192</v>
      </c>
      <c r="T263">
        <v>0.1988</v>
      </c>
      <c r="U263">
        <v>0.2056</v>
      </c>
      <c r="V263">
        <v>0.21310000000000001</v>
      </c>
      <c r="W263">
        <v>0.22059999999999999</v>
      </c>
      <c r="X263">
        <v>0.2281</v>
      </c>
      <c r="Y263">
        <v>0.2354</v>
      </c>
    </row>
    <row r="264" spans="1:25" hidden="1">
      <c r="A264" t="s">
        <v>18802</v>
      </c>
      <c r="B264" t="s">
        <v>870</v>
      </c>
      <c r="C264" t="s">
        <v>841</v>
      </c>
      <c r="D264" t="s">
        <v>621</v>
      </c>
      <c r="E264" t="s">
        <v>603</v>
      </c>
      <c r="F264" t="s">
        <v>598</v>
      </c>
      <c r="G264" t="s">
        <v>599</v>
      </c>
      <c r="H264" t="s">
        <v>600</v>
      </c>
      <c r="I264" t="s">
        <v>601</v>
      </c>
      <c r="J264">
        <v>1E-4</v>
      </c>
      <c r="K264">
        <v>1E-4</v>
      </c>
      <c r="L264">
        <v>1E-4</v>
      </c>
      <c r="M264">
        <v>1E-4</v>
      </c>
      <c r="N264">
        <v>1E-4</v>
      </c>
      <c r="O264">
        <v>1E-4</v>
      </c>
      <c r="P264">
        <v>1E-4</v>
      </c>
      <c r="Q264">
        <v>1E-4</v>
      </c>
      <c r="R264">
        <v>1E-4</v>
      </c>
      <c r="S264">
        <v>1E-4</v>
      </c>
      <c r="T264">
        <v>1E-4</v>
      </c>
      <c r="U264">
        <v>1E-4</v>
      </c>
      <c r="V264">
        <v>1E-4</v>
      </c>
      <c r="W264">
        <v>1E-4</v>
      </c>
      <c r="X264">
        <v>1E-4</v>
      </c>
      <c r="Y264">
        <v>1E-4</v>
      </c>
    </row>
    <row r="265" spans="1:25" hidden="1">
      <c r="A265" t="s">
        <v>18802</v>
      </c>
      <c r="B265" t="s">
        <v>875</v>
      </c>
      <c r="C265" t="s">
        <v>841</v>
      </c>
      <c r="D265" t="s">
        <v>621</v>
      </c>
      <c r="E265" t="s">
        <v>626</v>
      </c>
      <c r="F265" t="s">
        <v>598</v>
      </c>
      <c r="G265" t="s">
        <v>599</v>
      </c>
      <c r="H265" t="s">
        <v>600</v>
      </c>
      <c r="I265" t="s">
        <v>601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hidden="1">
      <c r="A266" t="s">
        <v>18802</v>
      </c>
      <c r="B266" t="s">
        <v>876</v>
      </c>
      <c r="C266" t="s">
        <v>841</v>
      </c>
      <c r="D266" t="s">
        <v>621</v>
      </c>
      <c r="E266" t="s">
        <v>628</v>
      </c>
      <c r="F266" t="s">
        <v>598</v>
      </c>
      <c r="G266" t="s">
        <v>599</v>
      </c>
      <c r="H266" t="s">
        <v>600</v>
      </c>
      <c r="I266" t="s">
        <v>601</v>
      </c>
      <c r="J266">
        <v>7.1999999999999998E-3</v>
      </c>
      <c r="K266">
        <v>7.3000000000000001E-3</v>
      </c>
      <c r="L266">
        <v>7.3000000000000001E-3</v>
      </c>
      <c r="M266">
        <v>7.6E-3</v>
      </c>
      <c r="N266">
        <v>7.7000000000000002E-3</v>
      </c>
      <c r="O266">
        <v>7.7000000000000002E-3</v>
      </c>
      <c r="P266">
        <v>7.7999999999999996E-3</v>
      </c>
      <c r="Q266">
        <v>7.7999999999999996E-3</v>
      </c>
      <c r="R266">
        <v>7.9000000000000008E-3</v>
      </c>
      <c r="S266">
        <v>8.0999999999999996E-3</v>
      </c>
      <c r="T266">
        <v>8.2000000000000007E-3</v>
      </c>
      <c r="U266">
        <v>8.5000000000000006E-3</v>
      </c>
      <c r="V266">
        <v>8.6999999999999994E-3</v>
      </c>
      <c r="W266">
        <v>9.1000000000000004E-3</v>
      </c>
      <c r="X266">
        <v>9.1999999999999998E-3</v>
      </c>
      <c r="Y266">
        <v>9.2999999999999992E-3</v>
      </c>
    </row>
    <row r="267" spans="1:25" hidden="1">
      <c r="A267" t="s">
        <v>18802</v>
      </c>
      <c r="B267" t="s">
        <v>879</v>
      </c>
      <c r="C267" t="s">
        <v>841</v>
      </c>
      <c r="D267" t="s">
        <v>621</v>
      </c>
      <c r="E267" t="s">
        <v>773</v>
      </c>
      <c r="F267" t="s">
        <v>598</v>
      </c>
      <c r="G267" t="s">
        <v>599</v>
      </c>
      <c r="H267" t="s">
        <v>600</v>
      </c>
      <c r="I267" t="s">
        <v>601</v>
      </c>
      <c r="J267">
        <v>5.0000000000000001E-4</v>
      </c>
      <c r="K267">
        <v>4.0000000000000002E-4</v>
      </c>
      <c r="L267">
        <v>4.0000000000000002E-4</v>
      </c>
      <c r="M267">
        <v>4.0000000000000002E-4</v>
      </c>
      <c r="N267">
        <v>4.0000000000000002E-4</v>
      </c>
      <c r="O267">
        <v>4.0000000000000002E-4</v>
      </c>
      <c r="P267">
        <v>4.0000000000000002E-4</v>
      </c>
      <c r="Q267">
        <v>4.0000000000000002E-4</v>
      </c>
      <c r="R267">
        <v>4.0000000000000002E-4</v>
      </c>
      <c r="S267">
        <v>4.0000000000000002E-4</v>
      </c>
      <c r="T267">
        <v>5.0000000000000001E-4</v>
      </c>
      <c r="U267">
        <v>5.0000000000000001E-4</v>
      </c>
      <c r="V267">
        <v>5.0000000000000001E-4</v>
      </c>
      <c r="W267">
        <v>5.0000000000000001E-4</v>
      </c>
      <c r="X267">
        <v>5.0000000000000001E-4</v>
      </c>
      <c r="Y267">
        <v>5.0000000000000001E-4</v>
      </c>
    </row>
    <row r="268" spans="1:25" hidden="1">
      <c r="A268" t="s">
        <v>18802</v>
      </c>
      <c r="B268" t="s">
        <v>885</v>
      </c>
      <c r="C268" t="s">
        <v>841</v>
      </c>
      <c r="D268" t="s">
        <v>632</v>
      </c>
      <c r="E268" t="s">
        <v>628</v>
      </c>
      <c r="F268" t="s">
        <v>598</v>
      </c>
      <c r="G268" t="s">
        <v>599</v>
      </c>
      <c r="H268" t="s">
        <v>600</v>
      </c>
      <c r="I268" t="s">
        <v>601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25" hidden="1">
      <c r="A269" t="s">
        <v>18802</v>
      </c>
      <c r="B269" t="s">
        <v>886</v>
      </c>
      <c r="C269" t="s">
        <v>841</v>
      </c>
      <c r="D269" t="s">
        <v>632</v>
      </c>
      <c r="E269" t="s">
        <v>773</v>
      </c>
      <c r="F269" t="s">
        <v>598</v>
      </c>
      <c r="G269" t="s">
        <v>599</v>
      </c>
      <c r="H269" t="s">
        <v>600</v>
      </c>
      <c r="I269" t="s">
        <v>601</v>
      </c>
      <c r="J269">
        <v>0.19689999999999999</v>
      </c>
      <c r="K269">
        <v>0.1918</v>
      </c>
      <c r="L269">
        <v>0.187</v>
      </c>
      <c r="M269">
        <v>0.18529999999999999</v>
      </c>
      <c r="N269">
        <v>0.17829999999999999</v>
      </c>
      <c r="O269">
        <v>0.1724</v>
      </c>
      <c r="P269">
        <v>0.1757</v>
      </c>
      <c r="Q269">
        <v>0.18210000000000001</v>
      </c>
      <c r="R269">
        <v>0.18479999999999999</v>
      </c>
      <c r="S269">
        <v>0.19159999999999999</v>
      </c>
      <c r="T269">
        <v>0.19819999999999999</v>
      </c>
      <c r="U269">
        <v>0.20180000000000001</v>
      </c>
      <c r="V269">
        <v>0.20599999999999999</v>
      </c>
      <c r="W269">
        <v>0.21</v>
      </c>
      <c r="X269">
        <v>0.21429999999999999</v>
      </c>
      <c r="Y269">
        <v>0.21829999999999999</v>
      </c>
    </row>
    <row r="270" spans="1:25" hidden="1">
      <c r="A270" t="s">
        <v>18802</v>
      </c>
      <c r="B270" t="s">
        <v>890</v>
      </c>
      <c r="C270" t="s">
        <v>841</v>
      </c>
      <c r="D270" t="s">
        <v>632</v>
      </c>
      <c r="E270" t="s">
        <v>638</v>
      </c>
      <c r="F270" t="s">
        <v>598</v>
      </c>
      <c r="G270" t="s">
        <v>599</v>
      </c>
      <c r="H270" t="s">
        <v>600</v>
      </c>
      <c r="I270" t="s">
        <v>601</v>
      </c>
      <c r="J270">
        <v>8.3000000000000001E-3</v>
      </c>
      <c r="K270">
        <v>8.3000000000000001E-3</v>
      </c>
      <c r="L270">
        <v>8.3000000000000001E-3</v>
      </c>
      <c r="M270">
        <v>8.3000000000000001E-3</v>
      </c>
      <c r="N270">
        <v>8.3000000000000001E-3</v>
      </c>
      <c r="O270">
        <v>8.3000000000000001E-3</v>
      </c>
      <c r="P270">
        <v>8.3000000000000001E-3</v>
      </c>
      <c r="Q270">
        <v>8.3000000000000001E-3</v>
      </c>
      <c r="R270">
        <v>8.3000000000000001E-3</v>
      </c>
      <c r="S270">
        <v>8.3000000000000001E-3</v>
      </c>
      <c r="T270">
        <v>8.3000000000000001E-3</v>
      </c>
      <c r="U270">
        <v>8.3000000000000001E-3</v>
      </c>
      <c r="V270">
        <v>8.3000000000000001E-3</v>
      </c>
      <c r="W270">
        <v>8.3000000000000001E-3</v>
      </c>
      <c r="X270">
        <v>8.3000000000000001E-3</v>
      </c>
      <c r="Y270">
        <v>8.3000000000000001E-3</v>
      </c>
    </row>
    <row r="271" spans="1:25" hidden="1">
      <c r="A271" t="s">
        <v>18802</v>
      </c>
      <c r="B271" t="s">
        <v>893</v>
      </c>
      <c r="C271" t="s">
        <v>841</v>
      </c>
      <c r="D271" t="s">
        <v>632</v>
      </c>
      <c r="E271" t="s">
        <v>894</v>
      </c>
      <c r="F271" t="s">
        <v>598</v>
      </c>
      <c r="G271" t="s">
        <v>599</v>
      </c>
      <c r="H271" t="s">
        <v>600</v>
      </c>
      <c r="I271" t="s">
        <v>601</v>
      </c>
      <c r="J271">
        <v>3.2000000000000002E-3</v>
      </c>
      <c r="K271">
        <v>3.2000000000000002E-3</v>
      </c>
      <c r="L271">
        <v>3.2000000000000002E-3</v>
      </c>
      <c r="M271">
        <v>3.2000000000000002E-3</v>
      </c>
      <c r="N271">
        <v>3.2000000000000002E-3</v>
      </c>
      <c r="O271">
        <v>3.2000000000000002E-3</v>
      </c>
      <c r="P271">
        <v>3.2000000000000002E-3</v>
      </c>
      <c r="Q271">
        <v>3.2000000000000002E-3</v>
      </c>
      <c r="R271">
        <v>3.2000000000000002E-3</v>
      </c>
      <c r="S271">
        <v>3.2000000000000002E-3</v>
      </c>
      <c r="T271">
        <v>3.2000000000000002E-3</v>
      </c>
      <c r="U271">
        <v>3.2000000000000002E-3</v>
      </c>
      <c r="V271">
        <v>3.2000000000000002E-3</v>
      </c>
      <c r="W271">
        <v>3.2000000000000002E-3</v>
      </c>
      <c r="X271">
        <v>3.2000000000000002E-3</v>
      </c>
      <c r="Y271">
        <v>3.2000000000000002E-3</v>
      </c>
    </row>
    <row r="272" spans="1:25" hidden="1">
      <c r="A272" t="s">
        <v>18802</v>
      </c>
      <c r="B272" t="s">
        <v>895</v>
      </c>
      <c r="C272" t="s">
        <v>841</v>
      </c>
      <c r="D272" t="s">
        <v>632</v>
      </c>
      <c r="E272" t="s">
        <v>784</v>
      </c>
      <c r="F272" t="s">
        <v>598</v>
      </c>
      <c r="G272" t="s">
        <v>599</v>
      </c>
      <c r="H272" t="s">
        <v>600</v>
      </c>
      <c r="I272" t="s">
        <v>601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hidden="1">
      <c r="A273" t="s">
        <v>18802</v>
      </c>
      <c r="B273" t="s">
        <v>900</v>
      </c>
      <c r="C273" t="s">
        <v>841</v>
      </c>
      <c r="D273" t="s">
        <v>640</v>
      </c>
      <c r="E273" t="s">
        <v>619</v>
      </c>
      <c r="F273" t="s">
        <v>598</v>
      </c>
      <c r="G273" t="s">
        <v>599</v>
      </c>
      <c r="H273" t="s">
        <v>600</v>
      </c>
      <c r="I273" t="s">
        <v>601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18802</v>
      </c>
      <c r="B274" t="s">
        <v>902</v>
      </c>
      <c r="C274" t="s">
        <v>841</v>
      </c>
      <c r="D274" t="s">
        <v>648</v>
      </c>
      <c r="E274" t="s">
        <v>597</v>
      </c>
      <c r="F274" t="s">
        <v>598</v>
      </c>
      <c r="G274" t="s">
        <v>599</v>
      </c>
      <c r="H274" t="s">
        <v>600</v>
      </c>
      <c r="I274" t="s">
        <v>601</v>
      </c>
      <c r="J274">
        <v>0.2442</v>
      </c>
      <c r="K274">
        <v>0.24840000000000001</v>
      </c>
      <c r="L274">
        <v>0.25359999999999999</v>
      </c>
      <c r="M274">
        <v>0.25950000000000001</v>
      </c>
      <c r="N274">
        <v>0.26500000000000001</v>
      </c>
      <c r="O274">
        <v>0.27110000000000001</v>
      </c>
      <c r="P274">
        <v>0.27639999999999998</v>
      </c>
      <c r="Q274">
        <v>0.28220000000000001</v>
      </c>
      <c r="R274">
        <v>0.28520000000000001</v>
      </c>
      <c r="S274">
        <v>0.28870000000000001</v>
      </c>
      <c r="T274">
        <v>0.2918</v>
      </c>
      <c r="U274">
        <v>0.29509999999999997</v>
      </c>
      <c r="V274">
        <v>0.29880000000000001</v>
      </c>
      <c r="W274">
        <v>0.30230000000000001</v>
      </c>
      <c r="X274">
        <v>0.30590000000000001</v>
      </c>
      <c r="Y274">
        <v>0.3095</v>
      </c>
    </row>
    <row r="275" spans="1:25" hidden="1">
      <c r="A275" t="s">
        <v>18802</v>
      </c>
      <c r="B275" t="s">
        <v>909</v>
      </c>
      <c r="C275" t="s">
        <v>841</v>
      </c>
      <c r="D275" t="s">
        <v>648</v>
      </c>
      <c r="E275" t="s">
        <v>642</v>
      </c>
      <c r="F275" t="s">
        <v>598</v>
      </c>
      <c r="G275" t="s">
        <v>599</v>
      </c>
      <c r="H275" t="s">
        <v>600</v>
      </c>
      <c r="I275" t="s">
        <v>601</v>
      </c>
      <c r="J275">
        <v>5.0000000000000001E-4</v>
      </c>
      <c r="K275">
        <v>4.0000000000000002E-4</v>
      </c>
      <c r="L275">
        <v>5.0000000000000001E-4</v>
      </c>
      <c r="M275">
        <v>5.0000000000000001E-4</v>
      </c>
      <c r="N275">
        <v>5.0000000000000001E-4</v>
      </c>
      <c r="O275">
        <v>5.0000000000000001E-4</v>
      </c>
      <c r="P275">
        <v>5.0000000000000001E-4</v>
      </c>
      <c r="Q275">
        <v>5.0000000000000001E-4</v>
      </c>
      <c r="R275">
        <v>5.0000000000000001E-4</v>
      </c>
      <c r="S275">
        <v>5.0000000000000001E-4</v>
      </c>
      <c r="T275">
        <v>5.9999999999999995E-4</v>
      </c>
      <c r="U275">
        <v>6.9999999999999999E-4</v>
      </c>
      <c r="V275">
        <v>6.9999999999999999E-4</v>
      </c>
      <c r="W275">
        <v>6.9999999999999999E-4</v>
      </c>
      <c r="X275">
        <v>6.9999999999999999E-4</v>
      </c>
      <c r="Y275">
        <v>6.9999999999999999E-4</v>
      </c>
    </row>
    <row r="276" spans="1:25" hidden="1">
      <c r="A276" t="s">
        <v>18802</v>
      </c>
      <c r="B276" t="s">
        <v>910</v>
      </c>
      <c r="C276" t="s">
        <v>841</v>
      </c>
      <c r="D276" t="s">
        <v>648</v>
      </c>
      <c r="E276" t="s">
        <v>799</v>
      </c>
      <c r="F276" t="s">
        <v>598</v>
      </c>
      <c r="G276" t="s">
        <v>599</v>
      </c>
      <c r="H276" t="s">
        <v>600</v>
      </c>
      <c r="I276" t="s">
        <v>601</v>
      </c>
      <c r="J276">
        <v>4.0000000000000002E-4</v>
      </c>
      <c r="K276">
        <v>4.0000000000000002E-4</v>
      </c>
      <c r="L276">
        <v>4.0000000000000002E-4</v>
      </c>
      <c r="M276">
        <v>4.0000000000000002E-4</v>
      </c>
      <c r="N276">
        <v>4.0000000000000002E-4</v>
      </c>
      <c r="O276">
        <v>4.0000000000000002E-4</v>
      </c>
      <c r="P276">
        <v>4.0000000000000002E-4</v>
      </c>
      <c r="Q276">
        <v>4.0000000000000002E-4</v>
      </c>
      <c r="R276">
        <v>4.0000000000000002E-4</v>
      </c>
      <c r="S276">
        <v>4.0000000000000002E-4</v>
      </c>
      <c r="T276">
        <v>4.0000000000000002E-4</v>
      </c>
      <c r="U276">
        <v>4.0000000000000002E-4</v>
      </c>
      <c r="V276">
        <v>4.0000000000000002E-4</v>
      </c>
      <c r="W276">
        <v>4.0000000000000002E-4</v>
      </c>
      <c r="X276">
        <v>4.0000000000000002E-4</v>
      </c>
      <c r="Y276">
        <v>4.0000000000000002E-4</v>
      </c>
    </row>
    <row r="277" spans="1:25" hidden="1">
      <c r="A277" t="s">
        <v>18802</v>
      </c>
      <c r="B277" t="s">
        <v>911</v>
      </c>
      <c r="C277" t="s">
        <v>841</v>
      </c>
      <c r="D277" t="s">
        <v>648</v>
      </c>
      <c r="E277" t="s">
        <v>619</v>
      </c>
      <c r="F277" t="s">
        <v>598</v>
      </c>
      <c r="G277" t="s">
        <v>599</v>
      </c>
      <c r="H277" t="s">
        <v>600</v>
      </c>
      <c r="I277" t="s">
        <v>601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</row>
    <row r="278" spans="1:25" hidden="1">
      <c r="A278" t="s">
        <v>18802</v>
      </c>
      <c r="B278" t="s">
        <v>912</v>
      </c>
      <c r="C278" t="s">
        <v>841</v>
      </c>
      <c r="D278" t="s">
        <v>648</v>
      </c>
      <c r="E278" t="s">
        <v>676</v>
      </c>
      <c r="F278" t="s">
        <v>598</v>
      </c>
      <c r="G278" t="s">
        <v>599</v>
      </c>
      <c r="H278" t="s">
        <v>600</v>
      </c>
      <c r="I278" t="s">
        <v>601</v>
      </c>
      <c r="J278">
        <v>5.0000000000000001E-3</v>
      </c>
      <c r="K278">
        <v>5.0000000000000001E-3</v>
      </c>
      <c r="L278">
        <v>5.0000000000000001E-3</v>
      </c>
      <c r="M278">
        <v>5.0000000000000001E-3</v>
      </c>
      <c r="N278">
        <v>5.0000000000000001E-3</v>
      </c>
      <c r="O278">
        <v>5.0000000000000001E-3</v>
      </c>
      <c r="P278">
        <v>5.0000000000000001E-3</v>
      </c>
      <c r="Q278">
        <v>5.0000000000000001E-3</v>
      </c>
      <c r="R278">
        <v>5.0000000000000001E-3</v>
      </c>
      <c r="S278">
        <v>5.0000000000000001E-3</v>
      </c>
      <c r="T278">
        <v>5.0000000000000001E-3</v>
      </c>
      <c r="U278">
        <v>5.0000000000000001E-3</v>
      </c>
      <c r="V278">
        <v>5.0000000000000001E-3</v>
      </c>
      <c r="W278">
        <v>5.0000000000000001E-3</v>
      </c>
      <c r="X278">
        <v>5.0000000000000001E-3</v>
      </c>
      <c r="Y278">
        <v>5.0000000000000001E-3</v>
      </c>
    </row>
    <row r="279" spans="1:25" hidden="1">
      <c r="A279" t="s">
        <v>18802</v>
      </c>
      <c r="B279" t="s">
        <v>913</v>
      </c>
      <c r="C279" t="s">
        <v>914</v>
      </c>
      <c r="D279" t="s">
        <v>671</v>
      </c>
      <c r="E279" t="s">
        <v>597</v>
      </c>
      <c r="F279" t="s">
        <v>598</v>
      </c>
      <c r="G279" t="s">
        <v>599</v>
      </c>
      <c r="H279" t="s">
        <v>600</v>
      </c>
      <c r="I279" t="s">
        <v>601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18802</v>
      </c>
      <c r="B280" t="s">
        <v>915</v>
      </c>
      <c r="C280" t="s">
        <v>914</v>
      </c>
      <c r="D280" t="s">
        <v>671</v>
      </c>
      <c r="E280" t="s">
        <v>642</v>
      </c>
      <c r="F280" t="s">
        <v>598</v>
      </c>
      <c r="G280" t="s">
        <v>599</v>
      </c>
      <c r="H280" t="s">
        <v>600</v>
      </c>
      <c r="I280" t="s">
        <v>601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</row>
    <row r="281" spans="1:25" hidden="1">
      <c r="A281" t="s">
        <v>18802</v>
      </c>
      <c r="B281" t="s">
        <v>916</v>
      </c>
      <c r="C281" t="s">
        <v>914</v>
      </c>
      <c r="D281" t="s">
        <v>621</v>
      </c>
      <c r="E281" t="s">
        <v>628</v>
      </c>
      <c r="F281" t="s">
        <v>598</v>
      </c>
      <c r="G281" t="s">
        <v>599</v>
      </c>
      <c r="H281" t="s">
        <v>600</v>
      </c>
      <c r="I281" t="s">
        <v>601</v>
      </c>
      <c r="J281">
        <v>4.4569480000000002E-2</v>
      </c>
      <c r="K281">
        <v>4.4956200000000002E-2</v>
      </c>
      <c r="L281">
        <v>4.5439599999999997E-2</v>
      </c>
      <c r="M281">
        <v>4.5971339999999999E-2</v>
      </c>
      <c r="N281">
        <v>4.6213039999999997E-2</v>
      </c>
      <c r="O281">
        <v>4.297426E-2</v>
      </c>
      <c r="P281">
        <v>4.3554339999999997E-2</v>
      </c>
      <c r="Q281">
        <v>4.4182760000000001E-2</v>
      </c>
      <c r="R281">
        <v>4.4569480000000002E-2</v>
      </c>
      <c r="S281">
        <v>4.5149559999999998E-2</v>
      </c>
      <c r="T281">
        <v>4.5584619999999999E-2</v>
      </c>
      <c r="U281">
        <v>4.601968E-2</v>
      </c>
      <c r="V281">
        <v>4.64064E-2</v>
      </c>
      <c r="W281">
        <v>4.6986479999999997E-2</v>
      </c>
      <c r="X281">
        <v>4.7421539999999998E-2</v>
      </c>
      <c r="Y281">
        <v>4.7953280000000001E-2</v>
      </c>
    </row>
    <row r="282" spans="1:25" hidden="1">
      <c r="A282" t="s">
        <v>18802</v>
      </c>
      <c r="B282" t="s">
        <v>919</v>
      </c>
      <c r="C282" t="s">
        <v>914</v>
      </c>
      <c r="D282" t="s">
        <v>648</v>
      </c>
      <c r="E282" t="s">
        <v>920</v>
      </c>
      <c r="F282" t="s">
        <v>598</v>
      </c>
      <c r="G282" t="s">
        <v>599</v>
      </c>
      <c r="H282" t="s">
        <v>600</v>
      </c>
      <c r="I282" t="s">
        <v>601</v>
      </c>
      <c r="J282">
        <v>0.18410000000000001</v>
      </c>
      <c r="K282">
        <v>0.18010000000000001</v>
      </c>
      <c r="L282">
        <v>0.1764</v>
      </c>
      <c r="M282">
        <v>0.17519999999999999</v>
      </c>
      <c r="N282">
        <v>0.16980000000000001</v>
      </c>
      <c r="O282">
        <v>0.16520000000000001</v>
      </c>
      <c r="P282">
        <v>0.16819999999999999</v>
      </c>
      <c r="Q282">
        <v>0.17399999999999999</v>
      </c>
      <c r="R282">
        <v>0.17649999999999999</v>
      </c>
      <c r="S282">
        <v>0.18229999999999999</v>
      </c>
      <c r="T282">
        <v>0.188</v>
      </c>
      <c r="U282">
        <v>0.191</v>
      </c>
      <c r="V282">
        <v>0.19470000000000001</v>
      </c>
      <c r="W282">
        <v>0.19839999999999999</v>
      </c>
      <c r="X282">
        <v>0.2021</v>
      </c>
      <c r="Y282">
        <v>0.20569999999999999</v>
      </c>
    </row>
    <row r="283" spans="1:25" hidden="1">
      <c r="A283" t="s">
        <v>18802</v>
      </c>
      <c r="B283" t="s">
        <v>923</v>
      </c>
      <c r="C283" t="s">
        <v>914</v>
      </c>
      <c r="D283" t="s">
        <v>648</v>
      </c>
      <c r="E283" t="s">
        <v>781</v>
      </c>
      <c r="F283" t="s">
        <v>598</v>
      </c>
      <c r="G283" t="s">
        <v>599</v>
      </c>
      <c r="H283" t="s">
        <v>600</v>
      </c>
      <c r="I283" t="s">
        <v>601</v>
      </c>
      <c r="J283">
        <v>2.5999999999999999E-3</v>
      </c>
      <c r="K283">
        <v>2.5999999999999999E-3</v>
      </c>
      <c r="L283">
        <v>2.5999999999999999E-3</v>
      </c>
      <c r="M283">
        <v>2.5999999999999999E-3</v>
      </c>
      <c r="N283">
        <v>2.5999999999999999E-3</v>
      </c>
      <c r="O283">
        <v>2.5999999999999999E-3</v>
      </c>
      <c r="P283">
        <v>2.5999999999999999E-3</v>
      </c>
      <c r="Q283">
        <v>2.5999999999999999E-3</v>
      </c>
      <c r="R283">
        <v>2.5999999999999999E-3</v>
      </c>
      <c r="S283">
        <v>2.5999999999999999E-3</v>
      </c>
      <c r="T283">
        <v>2.5999999999999999E-3</v>
      </c>
      <c r="U283">
        <v>2.5999999999999999E-3</v>
      </c>
      <c r="V283">
        <v>2.5999999999999999E-3</v>
      </c>
      <c r="W283">
        <v>2.5999999999999999E-3</v>
      </c>
      <c r="X283">
        <v>2.5999999999999999E-3</v>
      </c>
      <c r="Y283">
        <v>2.5999999999999999E-3</v>
      </c>
    </row>
    <row r="284" spans="1:25" hidden="1">
      <c r="A284" t="s">
        <v>18802</v>
      </c>
      <c r="B284" t="s">
        <v>924</v>
      </c>
      <c r="C284" t="s">
        <v>925</v>
      </c>
      <c r="D284" t="s">
        <v>926</v>
      </c>
      <c r="E284" t="s">
        <v>927</v>
      </c>
      <c r="F284" t="s">
        <v>598</v>
      </c>
      <c r="G284" t="s">
        <v>599</v>
      </c>
      <c r="H284" t="s">
        <v>600</v>
      </c>
      <c r="I284" t="s">
        <v>601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18802</v>
      </c>
      <c r="B285" t="s">
        <v>945</v>
      </c>
      <c r="C285" t="s">
        <v>943</v>
      </c>
      <c r="D285" t="s">
        <v>946</v>
      </c>
      <c r="E285" t="s">
        <v>613</v>
      </c>
      <c r="F285" t="s">
        <v>598</v>
      </c>
      <c r="G285" t="s">
        <v>599</v>
      </c>
      <c r="H285" t="s">
        <v>600</v>
      </c>
      <c r="I285" t="s">
        <v>601</v>
      </c>
      <c r="J285">
        <v>1.2800000000000001E-2</v>
      </c>
      <c r="K285">
        <v>1.3299999999999999E-2</v>
      </c>
      <c r="L285">
        <v>1.3899999999999999E-2</v>
      </c>
      <c r="M285">
        <v>1.4500000000000001E-2</v>
      </c>
      <c r="N285">
        <v>1.4999999999999999E-2</v>
      </c>
      <c r="O285">
        <v>1.55E-2</v>
      </c>
      <c r="P285">
        <v>1.6E-2</v>
      </c>
      <c r="Q285">
        <v>1.6400000000000001E-2</v>
      </c>
      <c r="R285">
        <v>1.6799999999999999E-2</v>
      </c>
      <c r="S285">
        <v>1.72E-2</v>
      </c>
      <c r="T285">
        <v>1.77E-2</v>
      </c>
      <c r="U285">
        <v>1.8100000000000002E-2</v>
      </c>
      <c r="V285">
        <v>1.8499999999999999E-2</v>
      </c>
      <c r="W285">
        <v>1.89E-2</v>
      </c>
      <c r="X285">
        <v>1.9300000000000001E-2</v>
      </c>
      <c r="Y285">
        <v>1.9800000000000002E-2</v>
      </c>
    </row>
    <row r="286" spans="1:25" hidden="1">
      <c r="A286" t="s">
        <v>18802</v>
      </c>
      <c r="B286" t="s">
        <v>947</v>
      </c>
      <c r="C286" t="s">
        <v>943</v>
      </c>
      <c r="D286" t="s">
        <v>946</v>
      </c>
      <c r="E286" t="s">
        <v>948</v>
      </c>
      <c r="F286" t="s">
        <v>598</v>
      </c>
      <c r="G286" t="s">
        <v>599</v>
      </c>
      <c r="H286" t="s">
        <v>600</v>
      </c>
      <c r="I286" t="s">
        <v>601</v>
      </c>
      <c r="J286">
        <v>8.0999999999999996E-3</v>
      </c>
      <c r="K286">
        <v>8.2000000000000007E-3</v>
      </c>
      <c r="L286">
        <v>8.5000000000000006E-3</v>
      </c>
      <c r="M286">
        <v>8.6999999999999994E-3</v>
      </c>
      <c r="N286">
        <v>8.8999999999999999E-3</v>
      </c>
      <c r="O286">
        <v>9.1999999999999998E-3</v>
      </c>
      <c r="P286">
        <v>9.4000000000000004E-3</v>
      </c>
      <c r="Q286">
        <v>9.4999999999999998E-3</v>
      </c>
      <c r="R286">
        <v>9.7000000000000003E-3</v>
      </c>
      <c r="S286">
        <v>9.9000000000000008E-3</v>
      </c>
      <c r="T286">
        <v>1.01E-2</v>
      </c>
      <c r="U286">
        <v>1.03E-2</v>
      </c>
      <c r="V286">
        <v>1.04E-2</v>
      </c>
      <c r="W286">
        <v>1.06E-2</v>
      </c>
      <c r="X286">
        <v>1.0800000000000001E-2</v>
      </c>
      <c r="Y286">
        <v>1.0999999999999999E-2</v>
      </c>
    </row>
    <row r="287" spans="1:25" hidden="1">
      <c r="A287" t="s">
        <v>18802</v>
      </c>
      <c r="B287" t="s">
        <v>949</v>
      </c>
      <c r="C287" t="s">
        <v>943</v>
      </c>
      <c r="D287" t="s">
        <v>950</v>
      </c>
      <c r="E287" t="s">
        <v>646</v>
      </c>
      <c r="F287" t="s">
        <v>598</v>
      </c>
      <c r="G287" t="s">
        <v>599</v>
      </c>
      <c r="H287" t="s">
        <v>600</v>
      </c>
      <c r="I287" t="s">
        <v>601</v>
      </c>
      <c r="J287">
        <v>2.0322</v>
      </c>
      <c r="K287">
        <v>1.9817</v>
      </c>
      <c r="L287">
        <v>1.9334</v>
      </c>
      <c r="M287">
        <v>1.9173</v>
      </c>
      <c r="N287">
        <v>1.8472999999999999</v>
      </c>
      <c r="O287">
        <v>1.7882</v>
      </c>
      <c r="P287">
        <v>1.8237000000000001</v>
      </c>
      <c r="Q287">
        <v>1.8894</v>
      </c>
      <c r="R287">
        <v>1.9184000000000001</v>
      </c>
      <c r="S287">
        <v>1.9882</v>
      </c>
      <c r="T287">
        <v>2.0558999999999998</v>
      </c>
      <c r="U287">
        <v>2.0935999999999999</v>
      </c>
      <c r="V287">
        <v>2.1375000000000002</v>
      </c>
      <c r="W287">
        <v>2.1793999999999998</v>
      </c>
      <c r="X287">
        <v>2.2235</v>
      </c>
      <c r="Y287">
        <v>2.2654000000000001</v>
      </c>
    </row>
    <row r="288" spans="1:25" hidden="1">
      <c r="A288" t="s">
        <v>18802</v>
      </c>
      <c r="B288" t="s">
        <v>951</v>
      </c>
      <c r="C288" t="s">
        <v>943</v>
      </c>
      <c r="D288" t="s">
        <v>934</v>
      </c>
      <c r="E288" t="s">
        <v>937</v>
      </c>
      <c r="F288" t="s">
        <v>598</v>
      </c>
      <c r="G288" t="s">
        <v>599</v>
      </c>
      <c r="H288" t="s">
        <v>600</v>
      </c>
      <c r="I288" t="s">
        <v>601</v>
      </c>
      <c r="J288">
        <v>1.12E-2</v>
      </c>
      <c r="K288">
        <v>1.17E-2</v>
      </c>
      <c r="L288">
        <v>1.2200000000000001E-2</v>
      </c>
      <c r="M288">
        <v>1.26E-2</v>
      </c>
      <c r="N288">
        <v>1.2999999999999999E-2</v>
      </c>
      <c r="O288">
        <v>1.35E-2</v>
      </c>
      <c r="P288">
        <v>1.3899999999999999E-2</v>
      </c>
      <c r="Q288">
        <v>1.46E-2</v>
      </c>
      <c r="R288">
        <v>1.4999999999999999E-2</v>
      </c>
      <c r="S288">
        <v>1.55E-2</v>
      </c>
      <c r="T288">
        <v>1.5900000000000001E-2</v>
      </c>
      <c r="U288">
        <v>1.6500000000000001E-2</v>
      </c>
      <c r="V288">
        <v>1.6899999999999998E-2</v>
      </c>
      <c r="W288">
        <v>1.7399999999999999E-2</v>
      </c>
      <c r="X288">
        <v>1.7899999999999999E-2</v>
      </c>
      <c r="Y288">
        <v>1.84E-2</v>
      </c>
    </row>
    <row r="289" spans="1:25" hidden="1">
      <c r="A289" t="s">
        <v>18802</v>
      </c>
      <c r="B289" t="s">
        <v>955</v>
      </c>
      <c r="C289" t="s">
        <v>956</v>
      </c>
      <c r="D289" t="s">
        <v>931</v>
      </c>
      <c r="E289" t="s">
        <v>597</v>
      </c>
      <c r="F289" t="s">
        <v>598</v>
      </c>
      <c r="G289" t="s">
        <v>599</v>
      </c>
      <c r="H289" t="s">
        <v>600</v>
      </c>
      <c r="I289" t="s">
        <v>601</v>
      </c>
      <c r="J289">
        <v>1E-4</v>
      </c>
      <c r="K289">
        <v>1E-4</v>
      </c>
      <c r="L289">
        <v>1E-4</v>
      </c>
      <c r="M289">
        <v>2.0000000000000001E-4</v>
      </c>
      <c r="N289">
        <v>2.0000000000000001E-4</v>
      </c>
      <c r="O289">
        <v>2.0000000000000001E-4</v>
      </c>
      <c r="P289">
        <v>2.0000000000000001E-4</v>
      </c>
      <c r="Q289">
        <v>2.0000000000000001E-4</v>
      </c>
      <c r="R289">
        <v>2.0000000000000001E-4</v>
      </c>
      <c r="S289">
        <v>2.0000000000000001E-4</v>
      </c>
      <c r="T289">
        <v>2.0000000000000001E-4</v>
      </c>
      <c r="U289">
        <v>2.0000000000000001E-4</v>
      </c>
      <c r="V289">
        <v>2.0000000000000001E-4</v>
      </c>
      <c r="W289">
        <v>2.0000000000000001E-4</v>
      </c>
      <c r="X289">
        <v>2.0000000000000001E-4</v>
      </c>
      <c r="Y289">
        <v>2.0000000000000001E-4</v>
      </c>
    </row>
    <row r="290" spans="1:25" hidden="1">
      <c r="A290" t="s">
        <v>18802</v>
      </c>
      <c r="B290" t="s">
        <v>959</v>
      </c>
      <c r="C290" t="s">
        <v>956</v>
      </c>
      <c r="D290" t="s">
        <v>931</v>
      </c>
      <c r="E290" t="s">
        <v>613</v>
      </c>
      <c r="F290" t="s">
        <v>598</v>
      </c>
      <c r="G290" t="s">
        <v>599</v>
      </c>
      <c r="H290" t="s">
        <v>600</v>
      </c>
      <c r="I290" t="s">
        <v>601</v>
      </c>
      <c r="J290">
        <v>4.1999999999999997E-3</v>
      </c>
      <c r="K290">
        <v>4.4000000000000003E-3</v>
      </c>
      <c r="L290">
        <v>4.5999999999999999E-3</v>
      </c>
      <c r="M290">
        <v>4.7000000000000002E-3</v>
      </c>
      <c r="N290">
        <v>4.8999999999999998E-3</v>
      </c>
      <c r="O290">
        <v>5.1000000000000004E-3</v>
      </c>
      <c r="P290">
        <v>5.1999999999999998E-3</v>
      </c>
      <c r="Q290">
        <v>5.4000000000000003E-3</v>
      </c>
      <c r="R290">
        <v>5.4999999999999997E-3</v>
      </c>
      <c r="S290">
        <v>5.5999999999999999E-3</v>
      </c>
      <c r="T290">
        <v>5.7999999999999996E-3</v>
      </c>
      <c r="U290">
        <v>5.8999999999999999E-3</v>
      </c>
      <c r="V290">
        <v>6.1000000000000004E-3</v>
      </c>
      <c r="W290">
        <v>6.1999999999999998E-3</v>
      </c>
      <c r="X290">
        <v>6.3E-3</v>
      </c>
      <c r="Y290">
        <v>6.4999999999999997E-3</v>
      </c>
    </row>
    <row r="291" spans="1:25" hidden="1">
      <c r="A291" t="s">
        <v>18802</v>
      </c>
      <c r="B291" t="s">
        <v>960</v>
      </c>
      <c r="C291" t="s">
        <v>956</v>
      </c>
      <c r="D291" t="s">
        <v>931</v>
      </c>
      <c r="E291" t="s">
        <v>961</v>
      </c>
      <c r="F291" t="s">
        <v>598</v>
      </c>
      <c r="G291" t="s">
        <v>599</v>
      </c>
      <c r="H291" t="s">
        <v>600</v>
      </c>
      <c r="I291" t="s">
        <v>601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hidden="1">
      <c r="A292" t="s">
        <v>18802</v>
      </c>
      <c r="B292" t="s">
        <v>968</v>
      </c>
      <c r="C292" t="s">
        <v>956</v>
      </c>
      <c r="D292" t="s">
        <v>648</v>
      </c>
      <c r="E292" t="s">
        <v>961</v>
      </c>
      <c r="F292" t="s">
        <v>598</v>
      </c>
      <c r="G292" t="s">
        <v>599</v>
      </c>
      <c r="H292" t="s">
        <v>600</v>
      </c>
      <c r="I292" t="s">
        <v>601</v>
      </c>
      <c r="J292">
        <v>2.9999999999999997E-4</v>
      </c>
      <c r="K292">
        <v>2.9999999999999997E-4</v>
      </c>
      <c r="L292">
        <v>2.9999999999999997E-4</v>
      </c>
      <c r="M292">
        <v>2.9999999999999997E-4</v>
      </c>
      <c r="N292">
        <v>2.9999999999999997E-4</v>
      </c>
      <c r="O292">
        <v>2.9999999999999997E-4</v>
      </c>
      <c r="P292">
        <v>2.9999999999999997E-4</v>
      </c>
      <c r="Q292">
        <v>2.9999999999999997E-4</v>
      </c>
      <c r="R292">
        <v>2.9999999999999997E-4</v>
      </c>
      <c r="S292">
        <v>2.9999999999999997E-4</v>
      </c>
      <c r="T292">
        <v>4.0000000000000002E-4</v>
      </c>
      <c r="U292">
        <v>4.0000000000000002E-4</v>
      </c>
      <c r="V292">
        <v>4.0000000000000002E-4</v>
      </c>
      <c r="W292">
        <v>4.0000000000000002E-4</v>
      </c>
      <c r="X292">
        <v>4.0000000000000002E-4</v>
      </c>
      <c r="Y292">
        <v>4.0000000000000002E-4</v>
      </c>
    </row>
    <row r="293" spans="1:25" hidden="1">
      <c r="A293" t="s">
        <v>18802</v>
      </c>
      <c r="B293" t="s">
        <v>974</v>
      </c>
      <c r="C293" t="s">
        <v>971</v>
      </c>
      <c r="D293" t="s">
        <v>648</v>
      </c>
      <c r="E293" t="s">
        <v>973</v>
      </c>
      <c r="F293" t="s">
        <v>598</v>
      </c>
      <c r="G293" t="s">
        <v>599</v>
      </c>
      <c r="H293" t="s">
        <v>600</v>
      </c>
      <c r="I293" t="s">
        <v>601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hidden="1">
      <c r="A294" t="s">
        <v>18802</v>
      </c>
      <c r="B294" t="s">
        <v>977</v>
      </c>
      <c r="C294" t="s">
        <v>971</v>
      </c>
      <c r="D294" t="s">
        <v>648</v>
      </c>
      <c r="E294" t="s">
        <v>613</v>
      </c>
      <c r="F294" t="s">
        <v>598</v>
      </c>
      <c r="G294" t="s">
        <v>599</v>
      </c>
      <c r="H294" t="s">
        <v>600</v>
      </c>
      <c r="I294" t="s">
        <v>601</v>
      </c>
      <c r="J294">
        <v>1.6000000000000001E-3</v>
      </c>
      <c r="K294">
        <v>1.6000000000000001E-3</v>
      </c>
      <c r="L294">
        <v>1.6000000000000001E-3</v>
      </c>
      <c r="M294">
        <v>1.6999999999999999E-3</v>
      </c>
      <c r="N294">
        <v>1.6999999999999999E-3</v>
      </c>
      <c r="O294">
        <v>1.6999999999999999E-3</v>
      </c>
      <c r="P294">
        <v>1.6999999999999999E-3</v>
      </c>
      <c r="Q294">
        <v>1.8E-3</v>
      </c>
      <c r="R294">
        <v>1.8E-3</v>
      </c>
      <c r="S294">
        <v>1.9E-3</v>
      </c>
      <c r="T294">
        <v>1.9E-3</v>
      </c>
      <c r="U294">
        <v>1.9E-3</v>
      </c>
      <c r="V294">
        <v>2E-3</v>
      </c>
      <c r="W294">
        <v>2E-3</v>
      </c>
      <c r="X294">
        <v>2E-3</v>
      </c>
      <c r="Y294">
        <v>2.0999999999999999E-3</v>
      </c>
    </row>
    <row r="295" spans="1:25" hidden="1">
      <c r="A295" t="s">
        <v>18802</v>
      </c>
      <c r="B295" t="s">
        <v>981</v>
      </c>
      <c r="C295" t="s">
        <v>980</v>
      </c>
      <c r="D295" t="s">
        <v>982</v>
      </c>
      <c r="E295" t="s">
        <v>613</v>
      </c>
      <c r="F295" t="s">
        <v>598</v>
      </c>
      <c r="G295" t="s">
        <v>599</v>
      </c>
      <c r="H295" t="s">
        <v>600</v>
      </c>
      <c r="I295" t="s">
        <v>601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hidden="1">
      <c r="A296" t="s">
        <v>18802</v>
      </c>
      <c r="B296" t="s">
        <v>985</v>
      </c>
      <c r="C296" t="s">
        <v>980</v>
      </c>
      <c r="D296" t="s">
        <v>986</v>
      </c>
      <c r="E296" t="s">
        <v>973</v>
      </c>
      <c r="F296" t="s">
        <v>598</v>
      </c>
      <c r="G296" t="s">
        <v>599</v>
      </c>
      <c r="H296" t="s">
        <v>600</v>
      </c>
      <c r="I296" t="s">
        <v>601</v>
      </c>
      <c r="J296">
        <v>2.9999999999999997E-4</v>
      </c>
      <c r="K296">
        <v>2.9999999999999997E-4</v>
      </c>
      <c r="L296">
        <v>2.9999999999999997E-4</v>
      </c>
      <c r="M296">
        <v>2.9999999999999997E-4</v>
      </c>
      <c r="N296">
        <v>2.9999999999999997E-4</v>
      </c>
      <c r="O296">
        <v>2.9999999999999997E-4</v>
      </c>
      <c r="P296">
        <v>2.9999999999999997E-4</v>
      </c>
      <c r="Q296">
        <v>2.9999999999999997E-4</v>
      </c>
      <c r="R296">
        <v>2.9999999999999997E-4</v>
      </c>
      <c r="S296">
        <v>2.9999999999999997E-4</v>
      </c>
      <c r="T296">
        <v>2.9999999999999997E-4</v>
      </c>
      <c r="U296">
        <v>2.9999999999999997E-4</v>
      </c>
      <c r="V296">
        <v>2.9999999999999997E-4</v>
      </c>
      <c r="W296">
        <v>2.9999999999999997E-4</v>
      </c>
      <c r="X296">
        <v>2.9999999999999997E-4</v>
      </c>
      <c r="Y296">
        <v>2.9999999999999997E-4</v>
      </c>
    </row>
    <row r="297" spans="1:25" hidden="1">
      <c r="A297" t="s">
        <v>18802</v>
      </c>
      <c r="B297" t="s">
        <v>987</v>
      </c>
      <c r="C297" t="s">
        <v>980</v>
      </c>
      <c r="D297" t="s">
        <v>986</v>
      </c>
      <c r="E297" t="s">
        <v>927</v>
      </c>
      <c r="F297" t="s">
        <v>598</v>
      </c>
      <c r="G297" t="s">
        <v>599</v>
      </c>
      <c r="H297" t="s">
        <v>600</v>
      </c>
      <c r="I297" t="s">
        <v>601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hidden="1">
      <c r="A298" t="s">
        <v>18802</v>
      </c>
      <c r="B298" t="s">
        <v>988</v>
      </c>
      <c r="C298" t="s">
        <v>980</v>
      </c>
      <c r="D298" t="s">
        <v>648</v>
      </c>
      <c r="E298" t="s">
        <v>920</v>
      </c>
      <c r="F298" t="s">
        <v>598</v>
      </c>
      <c r="G298" t="s">
        <v>599</v>
      </c>
      <c r="H298" t="s">
        <v>600</v>
      </c>
      <c r="I298" t="s">
        <v>601</v>
      </c>
      <c r="J298">
        <v>8.0000000000000004E-4</v>
      </c>
      <c r="K298">
        <v>8.0000000000000004E-4</v>
      </c>
      <c r="L298">
        <v>8.0000000000000004E-4</v>
      </c>
      <c r="M298">
        <v>8.0000000000000004E-4</v>
      </c>
      <c r="N298">
        <v>8.0000000000000004E-4</v>
      </c>
      <c r="O298">
        <v>8.0000000000000004E-4</v>
      </c>
      <c r="P298">
        <v>8.0000000000000004E-4</v>
      </c>
      <c r="Q298">
        <v>8.0000000000000004E-4</v>
      </c>
      <c r="R298">
        <v>8.0000000000000004E-4</v>
      </c>
      <c r="S298">
        <v>8.9999999999999998E-4</v>
      </c>
      <c r="T298">
        <v>8.9999999999999998E-4</v>
      </c>
      <c r="U298">
        <v>8.9999999999999998E-4</v>
      </c>
      <c r="V298">
        <v>8.9999999999999998E-4</v>
      </c>
      <c r="W298">
        <v>8.9999999999999998E-4</v>
      </c>
      <c r="X298">
        <v>8.9999999999999998E-4</v>
      </c>
      <c r="Y298">
        <v>8.9999999999999998E-4</v>
      </c>
    </row>
    <row r="299" spans="1:25" hidden="1">
      <c r="A299" t="s">
        <v>18802</v>
      </c>
      <c r="B299" t="s">
        <v>997</v>
      </c>
      <c r="C299" t="s">
        <v>998</v>
      </c>
      <c r="D299" t="s">
        <v>999</v>
      </c>
      <c r="E299" t="s">
        <v>1000</v>
      </c>
      <c r="F299" t="s">
        <v>598</v>
      </c>
      <c r="G299" t="s">
        <v>599</v>
      </c>
      <c r="H299" t="s">
        <v>600</v>
      </c>
      <c r="I299" t="s">
        <v>601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18802</v>
      </c>
      <c r="B300" t="s">
        <v>1007</v>
      </c>
      <c r="C300" t="s">
        <v>998</v>
      </c>
      <c r="D300" t="s">
        <v>999</v>
      </c>
      <c r="E300" t="s">
        <v>1008</v>
      </c>
      <c r="F300" t="s">
        <v>598</v>
      </c>
      <c r="G300" t="s">
        <v>599</v>
      </c>
      <c r="H300" t="s">
        <v>600</v>
      </c>
      <c r="I300" t="s">
        <v>601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hidden="1">
      <c r="A301" t="s">
        <v>18802</v>
      </c>
      <c r="B301" t="s">
        <v>1009</v>
      </c>
      <c r="C301" t="s">
        <v>998</v>
      </c>
      <c r="D301" t="s">
        <v>999</v>
      </c>
      <c r="E301" t="s">
        <v>1010</v>
      </c>
      <c r="F301" t="s">
        <v>598</v>
      </c>
      <c r="G301" t="s">
        <v>599</v>
      </c>
      <c r="H301" t="s">
        <v>600</v>
      </c>
      <c r="I301" t="s">
        <v>601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hidden="1">
      <c r="A302" t="s">
        <v>18802</v>
      </c>
      <c r="B302" t="s">
        <v>1015</v>
      </c>
      <c r="C302" t="s">
        <v>1016</v>
      </c>
      <c r="D302" t="s">
        <v>1017</v>
      </c>
      <c r="E302" t="s">
        <v>1018</v>
      </c>
      <c r="F302" t="s">
        <v>598</v>
      </c>
      <c r="G302" t="s">
        <v>599</v>
      </c>
      <c r="H302" t="s">
        <v>600</v>
      </c>
      <c r="I302" t="s">
        <v>601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18802</v>
      </c>
      <c r="B303" t="s">
        <v>1019</v>
      </c>
      <c r="C303" t="s">
        <v>1016</v>
      </c>
      <c r="D303" t="s">
        <v>1017</v>
      </c>
      <c r="E303" t="s">
        <v>1020</v>
      </c>
      <c r="F303" t="s">
        <v>598</v>
      </c>
      <c r="G303" t="s">
        <v>599</v>
      </c>
      <c r="H303" t="s">
        <v>600</v>
      </c>
      <c r="I303" t="s">
        <v>601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18802</v>
      </c>
      <c r="B304" t="s">
        <v>1021</v>
      </c>
      <c r="C304" t="s">
        <v>1016</v>
      </c>
      <c r="D304" t="s">
        <v>1017</v>
      </c>
      <c r="E304" t="s">
        <v>1022</v>
      </c>
      <c r="F304" t="s">
        <v>598</v>
      </c>
      <c r="G304" t="s">
        <v>599</v>
      </c>
      <c r="H304" t="s">
        <v>600</v>
      </c>
      <c r="I304" t="s">
        <v>601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18802</v>
      </c>
      <c r="B305" t="s">
        <v>1023</v>
      </c>
      <c r="C305" t="s">
        <v>1016</v>
      </c>
      <c r="D305" t="s">
        <v>1017</v>
      </c>
      <c r="E305" t="s">
        <v>1024</v>
      </c>
      <c r="F305" t="s">
        <v>598</v>
      </c>
      <c r="G305" t="s">
        <v>599</v>
      </c>
      <c r="H305" t="s">
        <v>600</v>
      </c>
      <c r="I305" t="s">
        <v>601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18802</v>
      </c>
      <c r="B306" t="s">
        <v>1025</v>
      </c>
      <c r="C306" t="s">
        <v>1016</v>
      </c>
      <c r="D306" t="s">
        <v>1017</v>
      </c>
      <c r="E306" t="s">
        <v>1026</v>
      </c>
      <c r="F306" t="s">
        <v>598</v>
      </c>
      <c r="G306" t="s">
        <v>599</v>
      </c>
      <c r="H306" t="s">
        <v>600</v>
      </c>
      <c r="I306" t="s">
        <v>601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18802</v>
      </c>
      <c r="B307" t="s">
        <v>1029</v>
      </c>
      <c r="C307" t="s">
        <v>1016</v>
      </c>
      <c r="D307" t="s">
        <v>1017</v>
      </c>
      <c r="E307" t="s">
        <v>1030</v>
      </c>
      <c r="F307" t="s">
        <v>598</v>
      </c>
      <c r="G307" t="s">
        <v>599</v>
      </c>
      <c r="H307" t="s">
        <v>600</v>
      </c>
      <c r="I307" t="s">
        <v>601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18802</v>
      </c>
      <c r="B308" t="s">
        <v>1034</v>
      </c>
      <c r="C308" t="s">
        <v>1016</v>
      </c>
      <c r="D308" t="s">
        <v>1017</v>
      </c>
      <c r="E308" t="s">
        <v>1035</v>
      </c>
      <c r="F308" t="s">
        <v>598</v>
      </c>
      <c r="G308" t="s">
        <v>599</v>
      </c>
      <c r="H308" t="s">
        <v>600</v>
      </c>
      <c r="I308" t="s">
        <v>601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hidden="1">
      <c r="A309" t="s">
        <v>18802</v>
      </c>
      <c r="B309" t="s">
        <v>1037</v>
      </c>
      <c r="C309" t="s">
        <v>1016</v>
      </c>
      <c r="D309" t="s">
        <v>1017</v>
      </c>
      <c r="E309" t="s">
        <v>1038</v>
      </c>
      <c r="F309" t="s">
        <v>598</v>
      </c>
      <c r="G309" t="s">
        <v>599</v>
      </c>
      <c r="H309" t="s">
        <v>600</v>
      </c>
      <c r="I309" t="s">
        <v>601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18802</v>
      </c>
      <c r="B310" t="s">
        <v>1039</v>
      </c>
      <c r="C310" t="s">
        <v>1016</v>
      </c>
      <c r="D310" t="s">
        <v>1017</v>
      </c>
      <c r="E310" t="s">
        <v>1040</v>
      </c>
      <c r="F310" t="s">
        <v>598</v>
      </c>
      <c r="G310" t="s">
        <v>599</v>
      </c>
      <c r="H310" t="s">
        <v>600</v>
      </c>
      <c r="I310" t="s">
        <v>601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18802</v>
      </c>
      <c r="B311" t="s">
        <v>1041</v>
      </c>
      <c r="C311" t="s">
        <v>1016</v>
      </c>
      <c r="D311" t="s">
        <v>1017</v>
      </c>
      <c r="E311" t="s">
        <v>1042</v>
      </c>
      <c r="F311" t="s">
        <v>598</v>
      </c>
      <c r="G311" t="s">
        <v>599</v>
      </c>
      <c r="H311" t="s">
        <v>600</v>
      </c>
      <c r="I311" t="s">
        <v>601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18802</v>
      </c>
      <c r="B312" t="s">
        <v>1045</v>
      </c>
      <c r="C312" t="s">
        <v>1016</v>
      </c>
      <c r="D312" t="s">
        <v>1017</v>
      </c>
      <c r="E312" t="s">
        <v>1046</v>
      </c>
      <c r="F312" t="s">
        <v>598</v>
      </c>
      <c r="G312" t="s">
        <v>599</v>
      </c>
      <c r="H312" t="s">
        <v>600</v>
      </c>
      <c r="I312" t="s">
        <v>601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hidden="1">
      <c r="A313" t="s">
        <v>18802</v>
      </c>
      <c r="B313" t="s">
        <v>1047</v>
      </c>
      <c r="C313" t="s">
        <v>1016</v>
      </c>
      <c r="D313" t="s">
        <v>1017</v>
      </c>
      <c r="E313" t="s">
        <v>1048</v>
      </c>
      <c r="F313" t="s">
        <v>598</v>
      </c>
      <c r="G313" t="s">
        <v>599</v>
      </c>
      <c r="H313" t="s">
        <v>600</v>
      </c>
      <c r="I313" t="s">
        <v>601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hidden="1">
      <c r="A314" t="s">
        <v>18802</v>
      </c>
      <c r="B314" t="s">
        <v>1049</v>
      </c>
      <c r="C314" t="s">
        <v>1016</v>
      </c>
      <c r="D314" t="s">
        <v>1050</v>
      </c>
      <c r="E314" t="s">
        <v>1024</v>
      </c>
      <c r="F314" t="s">
        <v>598</v>
      </c>
      <c r="G314" t="s">
        <v>599</v>
      </c>
      <c r="H314" t="s">
        <v>600</v>
      </c>
      <c r="I314" t="s">
        <v>601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18802</v>
      </c>
      <c r="B315" t="s">
        <v>1051</v>
      </c>
      <c r="C315" t="s">
        <v>1016</v>
      </c>
      <c r="D315" t="s">
        <v>1050</v>
      </c>
      <c r="E315" t="s">
        <v>1052</v>
      </c>
      <c r="F315" t="s">
        <v>598</v>
      </c>
      <c r="G315" t="s">
        <v>599</v>
      </c>
      <c r="H315" t="s">
        <v>600</v>
      </c>
      <c r="I315" t="s">
        <v>601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18802</v>
      </c>
      <c r="B316" t="s">
        <v>1053</v>
      </c>
      <c r="C316" t="s">
        <v>1016</v>
      </c>
      <c r="D316" t="s">
        <v>1050</v>
      </c>
      <c r="E316" t="s">
        <v>1000</v>
      </c>
      <c r="F316" t="s">
        <v>598</v>
      </c>
      <c r="G316" t="s">
        <v>599</v>
      </c>
      <c r="H316" t="s">
        <v>600</v>
      </c>
      <c r="I316" t="s">
        <v>601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18802</v>
      </c>
      <c r="B317" t="s">
        <v>1054</v>
      </c>
      <c r="C317" t="s">
        <v>1016</v>
      </c>
      <c r="D317" t="s">
        <v>1050</v>
      </c>
      <c r="E317" t="s">
        <v>1055</v>
      </c>
      <c r="F317" t="s">
        <v>598</v>
      </c>
      <c r="G317" t="s">
        <v>599</v>
      </c>
      <c r="H317" t="s">
        <v>600</v>
      </c>
      <c r="I317" t="s">
        <v>601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18802</v>
      </c>
      <c r="B318" t="s">
        <v>1056</v>
      </c>
      <c r="C318" t="s">
        <v>1016</v>
      </c>
      <c r="D318" t="s">
        <v>1050</v>
      </c>
      <c r="E318" t="s">
        <v>1002</v>
      </c>
      <c r="F318" t="s">
        <v>598</v>
      </c>
      <c r="G318" t="s">
        <v>599</v>
      </c>
      <c r="H318" t="s">
        <v>600</v>
      </c>
      <c r="I318" t="s">
        <v>601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18802</v>
      </c>
      <c r="B319" t="s">
        <v>1059</v>
      </c>
      <c r="C319" t="s">
        <v>1016</v>
      </c>
      <c r="D319" t="s">
        <v>1050</v>
      </c>
      <c r="E319" t="s">
        <v>1042</v>
      </c>
      <c r="F319" t="s">
        <v>598</v>
      </c>
      <c r="G319" t="s">
        <v>599</v>
      </c>
      <c r="H319" t="s">
        <v>600</v>
      </c>
      <c r="I319" t="s">
        <v>601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18802</v>
      </c>
      <c r="B320" t="s">
        <v>1060</v>
      </c>
      <c r="C320" t="s">
        <v>1016</v>
      </c>
      <c r="D320" t="s">
        <v>1050</v>
      </c>
      <c r="E320" t="s">
        <v>1044</v>
      </c>
      <c r="F320" t="s">
        <v>598</v>
      </c>
      <c r="G320" t="s">
        <v>599</v>
      </c>
      <c r="H320" t="s">
        <v>600</v>
      </c>
      <c r="I320" t="s">
        <v>601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18802</v>
      </c>
      <c r="B321" t="s">
        <v>1061</v>
      </c>
      <c r="C321" t="s">
        <v>1016</v>
      </c>
      <c r="D321" t="s">
        <v>1050</v>
      </c>
      <c r="E321" t="s">
        <v>1048</v>
      </c>
      <c r="F321" t="s">
        <v>598</v>
      </c>
      <c r="G321" t="s">
        <v>599</v>
      </c>
      <c r="H321" t="s">
        <v>600</v>
      </c>
      <c r="I321" t="s">
        <v>601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18802</v>
      </c>
      <c r="B322" t="s">
        <v>1062</v>
      </c>
      <c r="C322" t="s">
        <v>1016</v>
      </c>
      <c r="D322" t="s">
        <v>1063</v>
      </c>
      <c r="E322" t="s">
        <v>1018</v>
      </c>
      <c r="F322" t="s">
        <v>598</v>
      </c>
      <c r="G322" t="s">
        <v>599</v>
      </c>
      <c r="H322" t="s">
        <v>600</v>
      </c>
      <c r="I322" t="s">
        <v>601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18802</v>
      </c>
      <c r="B323" t="s">
        <v>1064</v>
      </c>
      <c r="C323" t="s">
        <v>1016</v>
      </c>
      <c r="D323" t="s">
        <v>1063</v>
      </c>
      <c r="E323" t="s">
        <v>1022</v>
      </c>
      <c r="F323" t="s">
        <v>598</v>
      </c>
      <c r="G323" t="s">
        <v>599</v>
      </c>
      <c r="H323" t="s">
        <v>600</v>
      </c>
      <c r="I323" t="s">
        <v>601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18802</v>
      </c>
      <c r="B324" t="s">
        <v>1065</v>
      </c>
      <c r="C324" t="s">
        <v>1016</v>
      </c>
      <c r="D324" t="s">
        <v>1063</v>
      </c>
      <c r="E324" t="s">
        <v>1024</v>
      </c>
      <c r="F324" t="s">
        <v>598</v>
      </c>
      <c r="G324" t="s">
        <v>599</v>
      </c>
      <c r="H324" t="s">
        <v>600</v>
      </c>
      <c r="I324" t="s">
        <v>601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18802</v>
      </c>
      <c r="B325" t="s">
        <v>1067</v>
      </c>
      <c r="C325" t="s">
        <v>1016</v>
      </c>
      <c r="D325" t="s">
        <v>1063</v>
      </c>
      <c r="E325" t="s">
        <v>1026</v>
      </c>
      <c r="F325" t="s">
        <v>598</v>
      </c>
      <c r="G325" t="s">
        <v>599</v>
      </c>
      <c r="H325" t="s">
        <v>600</v>
      </c>
      <c r="I325" t="s">
        <v>601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18802</v>
      </c>
      <c r="B326" t="s">
        <v>1068</v>
      </c>
      <c r="C326" t="s">
        <v>1016</v>
      </c>
      <c r="D326" t="s">
        <v>1063</v>
      </c>
      <c r="E326" t="s">
        <v>1030</v>
      </c>
      <c r="F326" t="s">
        <v>598</v>
      </c>
      <c r="G326" t="s">
        <v>599</v>
      </c>
      <c r="H326" t="s">
        <v>600</v>
      </c>
      <c r="I326" t="s">
        <v>601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18802</v>
      </c>
      <c r="B327" t="s">
        <v>1069</v>
      </c>
      <c r="C327" t="s">
        <v>1016</v>
      </c>
      <c r="D327" t="s">
        <v>1063</v>
      </c>
      <c r="E327" t="s">
        <v>1035</v>
      </c>
      <c r="F327" t="s">
        <v>598</v>
      </c>
      <c r="G327" t="s">
        <v>599</v>
      </c>
      <c r="H327" t="s">
        <v>600</v>
      </c>
      <c r="I327" t="s">
        <v>601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18802</v>
      </c>
      <c r="B328" t="s">
        <v>1071</v>
      </c>
      <c r="C328" t="s">
        <v>1016</v>
      </c>
      <c r="D328" t="s">
        <v>1063</v>
      </c>
      <c r="E328" t="s">
        <v>1038</v>
      </c>
      <c r="F328" t="s">
        <v>598</v>
      </c>
      <c r="G328" t="s">
        <v>599</v>
      </c>
      <c r="H328" t="s">
        <v>600</v>
      </c>
      <c r="I328" t="s">
        <v>601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18802</v>
      </c>
      <c r="B329" t="s">
        <v>1072</v>
      </c>
      <c r="C329" t="s">
        <v>1016</v>
      </c>
      <c r="D329" t="s">
        <v>1063</v>
      </c>
      <c r="E329" t="s">
        <v>1040</v>
      </c>
      <c r="F329" t="s">
        <v>598</v>
      </c>
      <c r="G329" t="s">
        <v>599</v>
      </c>
      <c r="H329" t="s">
        <v>600</v>
      </c>
      <c r="I329" t="s">
        <v>601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18802</v>
      </c>
      <c r="B330" t="s">
        <v>1073</v>
      </c>
      <c r="C330" t="s">
        <v>1016</v>
      </c>
      <c r="D330" t="s">
        <v>1063</v>
      </c>
      <c r="E330" t="s">
        <v>1042</v>
      </c>
      <c r="F330" t="s">
        <v>598</v>
      </c>
      <c r="G330" t="s">
        <v>599</v>
      </c>
      <c r="H330" t="s">
        <v>600</v>
      </c>
      <c r="I330" t="s">
        <v>601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hidden="1">
      <c r="A331" t="s">
        <v>18802</v>
      </c>
      <c r="B331" t="s">
        <v>1074</v>
      </c>
      <c r="C331" t="s">
        <v>1016</v>
      </c>
      <c r="D331" t="s">
        <v>1063</v>
      </c>
      <c r="E331" t="s">
        <v>1044</v>
      </c>
      <c r="F331" t="s">
        <v>598</v>
      </c>
      <c r="G331" t="s">
        <v>599</v>
      </c>
      <c r="H331" t="s">
        <v>600</v>
      </c>
      <c r="I331" t="s">
        <v>601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18802</v>
      </c>
      <c r="B332" t="s">
        <v>1075</v>
      </c>
      <c r="C332" t="s">
        <v>1016</v>
      </c>
      <c r="D332" t="s">
        <v>1063</v>
      </c>
      <c r="E332" t="s">
        <v>1046</v>
      </c>
      <c r="F332" t="s">
        <v>598</v>
      </c>
      <c r="G332" t="s">
        <v>599</v>
      </c>
      <c r="H332" t="s">
        <v>600</v>
      </c>
      <c r="I332" t="s">
        <v>601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18802</v>
      </c>
      <c r="B333" t="s">
        <v>1076</v>
      </c>
      <c r="C333" t="s">
        <v>1016</v>
      </c>
      <c r="D333" t="s">
        <v>1063</v>
      </c>
      <c r="E333" t="s">
        <v>1048</v>
      </c>
      <c r="F333" t="s">
        <v>598</v>
      </c>
      <c r="G333" t="s">
        <v>599</v>
      </c>
      <c r="H333" t="s">
        <v>600</v>
      </c>
      <c r="I333" t="s">
        <v>601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18802</v>
      </c>
      <c r="B334" t="s">
        <v>1082</v>
      </c>
      <c r="C334" t="s">
        <v>1079</v>
      </c>
      <c r="D334" t="s">
        <v>1083</v>
      </c>
      <c r="E334" t="s">
        <v>1084</v>
      </c>
      <c r="F334" t="s">
        <v>598</v>
      </c>
      <c r="G334" t="s">
        <v>599</v>
      </c>
      <c r="H334" t="s">
        <v>600</v>
      </c>
      <c r="I334" t="s">
        <v>601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18802</v>
      </c>
      <c r="B335" t="s">
        <v>1087</v>
      </c>
      <c r="C335" t="s">
        <v>1079</v>
      </c>
      <c r="D335" t="s">
        <v>1086</v>
      </c>
      <c r="E335" t="s">
        <v>1081</v>
      </c>
      <c r="F335" t="s">
        <v>598</v>
      </c>
      <c r="G335" t="s">
        <v>599</v>
      </c>
      <c r="H335" t="s">
        <v>600</v>
      </c>
      <c r="I335" t="s">
        <v>601</v>
      </c>
      <c r="J335">
        <v>4.0000000000000002E-4</v>
      </c>
      <c r="K335">
        <v>4.0000000000000002E-4</v>
      </c>
      <c r="L335">
        <v>4.0000000000000002E-4</v>
      </c>
      <c r="M335">
        <v>4.0000000000000002E-4</v>
      </c>
      <c r="N335">
        <v>5.0000000000000001E-4</v>
      </c>
      <c r="O335">
        <v>5.0000000000000001E-4</v>
      </c>
      <c r="P335">
        <v>5.0000000000000001E-4</v>
      </c>
      <c r="Q335">
        <v>5.0000000000000001E-4</v>
      </c>
      <c r="R335">
        <v>5.0000000000000001E-4</v>
      </c>
      <c r="S335">
        <v>5.0000000000000001E-4</v>
      </c>
      <c r="T335">
        <v>5.9999999999999995E-4</v>
      </c>
      <c r="U335">
        <v>5.9999999999999995E-4</v>
      </c>
      <c r="V335">
        <v>5.9999999999999995E-4</v>
      </c>
      <c r="W335">
        <v>5.9999999999999995E-4</v>
      </c>
      <c r="X335">
        <v>5.9999999999999995E-4</v>
      </c>
      <c r="Y335">
        <v>5.9999999999999995E-4</v>
      </c>
    </row>
    <row r="336" spans="1:25" hidden="1">
      <c r="A336" t="s">
        <v>18802</v>
      </c>
      <c r="B336" t="s">
        <v>1090</v>
      </c>
      <c r="C336" t="s">
        <v>1079</v>
      </c>
      <c r="D336" t="s">
        <v>1086</v>
      </c>
      <c r="E336" t="s">
        <v>1091</v>
      </c>
      <c r="F336" t="s">
        <v>598</v>
      </c>
      <c r="G336" t="s">
        <v>599</v>
      </c>
      <c r="H336" t="s">
        <v>600</v>
      </c>
      <c r="I336" t="s">
        <v>601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18802</v>
      </c>
      <c r="B337" t="s">
        <v>1092</v>
      </c>
      <c r="C337" t="s">
        <v>1079</v>
      </c>
      <c r="D337" t="s">
        <v>1086</v>
      </c>
      <c r="E337" t="s">
        <v>1093</v>
      </c>
      <c r="F337" t="s">
        <v>598</v>
      </c>
      <c r="G337" t="s">
        <v>599</v>
      </c>
      <c r="H337" t="s">
        <v>600</v>
      </c>
      <c r="I337" t="s">
        <v>601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18802</v>
      </c>
      <c r="B338" t="s">
        <v>1094</v>
      </c>
      <c r="C338" t="s">
        <v>1079</v>
      </c>
      <c r="D338" t="s">
        <v>1086</v>
      </c>
      <c r="E338" t="s">
        <v>1095</v>
      </c>
      <c r="F338" t="s">
        <v>598</v>
      </c>
      <c r="G338" t="s">
        <v>599</v>
      </c>
      <c r="H338" t="s">
        <v>600</v>
      </c>
      <c r="I338" t="s">
        <v>601</v>
      </c>
      <c r="J338">
        <v>3.5999999999999999E-3</v>
      </c>
      <c r="K338">
        <v>3.5000000000000001E-3</v>
      </c>
      <c r="L338">
        <v>3.3999999999999998E-3</v>
      </c>
      <c r="M338">
        <v>3.2000000000000002E-3</v>
      </c>
      <c r="N338">
        <v>3.2000000000000002E-3</v>
      </c>
      <c r="O338">
        <v>3.3999999999999998E-3</v>
      </c>
      <c r="P338">
        <v>3.5000000000000001E-3</v>
      </c>
      <c r="Q338">
        <v>3.7000000000000002E-3</v>
      </c>
      <c r="R338">
        <v>3.8E-3</v>
      </c>
      <c r="S338">
        <v>3.8E-3</v>
      </c>
      <c r="T338">
        <v>3.8E-3</v>
      </c>
      <c r="U338">
        <v>3.8999999999999998E-3</v>
      </c>
      <c r="V338">
        <v>4.0000000000000001E-3</v>
      </c>
      <c r="W338">
        <v>4.1999999999999997E-3</v>
      </c>
      <c r="X338">
        <v>4.3E-3</v>
      </c>
      <c r="Y338">
        <v>4.4000000000000003E-3</v>
      </c>
    </row>
    <row r="339" spans="1:25" hidden="1">
      <c r="A339" t="s">
        <v>18802</v>
      </c>
      <c r="B339" t="s">
        <v>1100</v>
      </c>
      <c r="C339" t="s">
        <v>1079</v>
      </c>
      <c r="D339" t="s">
        <v>1086</v>
      </c>
      <c r="E339" t="s">
        <v>1101</v>
      </c>
      <c r="F339" t="s">
        <v>598</v>
      </c>
      <c r="G339" t="s">
        <v>599</v>
      </c>
      <c r="H339" t="s">
        <v>600</v>
      </c>
      <c r="I339" t="s">
        <v>601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18802</v>
      </c>
      <c r="B340" t="s">
        <v>1113</v>
      </c>
      <c r="C340" t="s">
        <v>1079</v>
      </c>
      <c r="D340" t="s">
        <v>1108</v>
      </c>
      <c r="E340" t="s">
        <v>1101</v>
      </c>
      <c r="F340" t="s">
        <v>598</v>
      </c>
      <c r="G340" t="s">
        <v>599</v>
      </c>
      <c r="H340" t="s">
        <v>600</v>
      </c>
      <c r="I340" t="s">
        <v>601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18802</v>
      </c>
      <c r="B341" t="s">
        <v>1114</v>
      </c>
      <c r="C341" t="s">
        <v>1079</v>
      </c>
      <c r="D341" t="s">
        <v>1115</v>
      </c>
      <c r="E341" t="s">
        <v>1081</v>
      </c>
      <c r="F341" t="s">
        <v>598</v>
      </c>
      <c r="G341" t="s">
        <v>599</v>
      </c>
      <c r="H341" t="s">
        <v>600</v>
      </c>
      <c r="I341" t="s">
        <v>601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18802</v>
      </c>
      <c r="B342" t="s">
        <v>1120</v>
      </c>
      <c r="C342" t="s">
        <v>1079</v>
      </c>
      <c r="D342" t="s">
        <v>1121</v>
      </c>
      <c r="E342" t="s">
        <v>1081</v>
      </c>
      <c r="F342" t="s">
        <v>598</v>
      </c>
      <c r="G342" t="s">
        <v>599</v>
      </c>
      <c r="H342" t="s">
        <v>600</v>
      </c>
      <c r="I342" t="s">
        <v>601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18802</v>
      </c>
      <c r="B343" t="s">
        <v>1125</v>
      </c>
      <c r="C343" t="s">
        <v>1079</v>
      </c>
      <c r="D343" t="s">
        <v>1126</v>
      </c>
      <c r="E343" t="s">
        <v>1081</v>
      </c>
      <c r="F343" t="s">
        <v>598</v>
      </c>
      <c r="G343" t="s">
        <v>599</v>
      </c>
      <c r="H343" t="s">
        <v>600</v>
      </c>
      <c r="I343" t="s">
        <v>601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18802</v>
      </c>
      <c r="B344" t="s">
        <v>1133</v>
      </c>
      <c r="C344" t="s">
        <v>1079</v>
      </c>
      <c r="D344" t="s">
        <v>1134</v>
      </c>
      <c r="E344" t="s">
        <v>1081</v>
      </c>
      <c r="F344" t="s">
        <v>598</v>
      </c>
      <c r="G344" t="s">
        <v>599</v>
      </c>
      <c r="H344" t="s">
        <v>600</v>
      </c>
      <c r="I344" t="s">
        <v>601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18802</v>
      </c>
      <c r="B345" t="s">
        <v>1144</v>
      </c>
      <c r="C345" t="s">
        <v>1079</v>
      </c>
      <c r="D345" t="s">
        <v>1145</v>
      </c>
      <c r="E345" t="s">
        <v>1081</v>
      </c>
      <c r="F345" t="s">
        <v>598</v>
      </c>
      <c r="G345" t="s">
        <v>599</v>
      </c>
      <c r="H345" t="s">
        <v>600</v>
      </c>
      <c r="I345" t="s">
        <v>601</v>
      </c>
      <c r="J345">
        <v>6.7199999999999996E-2</v>
      </c>
      <c r="K345">
        <v>6.59E-2</v>
      </c>
      <c r="L345">
        <v>6.4699999999999994E-2</v>
      </c>
      <c r="M345">
        <v>6.4500000000000002E-2</v>
      </c>
      <c r="N345">
        <v>6.2700000000000006E-2</v>
      </c>
      <c r="O345">
        <v>6.1199999999999997E-2</v>
      </c>
      <c r="P345">
        <v>6.2600000000000003E-2</v>
      </c>
      <c r="Q345">
        <v>6.4600000000000005E-2</v>
      </c>
      <c r="R345">
        <v>6.5500000000000003E-2</v>
      </c>
      <c r="S345">
        <v>6.7599999999999993E-2</v>
      </c>
      <c r="T345">
        <v>6.9500000000000006E-2</v>
      </c>
      <c r="U345">
        <v>7.0699999999999999E-2</v>
      </c>
      <c r="V345">
        <v>7.2099999999999997E-2</v>
      </c>
      <c r="W345">
        <v>7.3300000000000004E-2</v>
      </c>
      <c r="X345">
        <v>7.4700000000000003E-2</v>
      </c>
      <c r="Y345">
        <v>7.5800000000000006E-2</v>
      </c>
    </row>
    <row r="346" spans="1:25" hidden="1">
      <c r="A346" t="s">
        <v>18802</v>
      </c>
      <c r="B346" t="s">
        <v>1146</v>
      </c>
      <c r="C346" t="s">
        <v>1079</v>
      </c>
      <c r="D346" t="s">
        <v>1145</v>
      </c>
      <c r="E346" t="s">
        <v>1091</v>
      </c>
      <c r="F346" t="s">
        <v>598</v>
      </c>
      <c r="G346" t="s">
        <v>599</v>
      </c>
      <c r="H346" t="s">
        <v>600</v>
      </c>
      <c r="I346" t="s">
        <v>601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1E-4</v>
      </c>
      <c r="V346">
        <v>1E-4</v>
      </c>
      <c r="W346">
        <v>1E-4</v>
      </c>
      <c r="X346">
        <v>1E-4</v>
      </c>
      <c r="Y346">
        <v>1E-4</v>
      </c>
    </row>
    <row r="347" spans="1:25" hidden="1">
      <c r="A347" t="s">
        <v>18802</v>
      </c>
      <c r="B347" t="s">
        <v>1148</v>
      </c>
      <c r="C347" t="s">
        <v>1079</v>
      </c>
      <c r="D347" t="s">
        <v>1145</v>
      </c>
      <c r="E347" t="s">
        <v>1095</v>
      </c>
      <c r="F347" t="s">
        <v>598</v>
      </c>
      <c r="G347" t="s">
        <v>599</v>
      </c>
      <c r="H347" t="s">
        <v>600</v>
      </c>
      <c r="I347" t="s">
        <v>601</v>
      </c>
      <c r="J347">
        <v>1E-4</v>
      </c>
      <c r="K347">
        <v>1E-4</v>
      </c>
      <c r="L347">
        <v>1E-4</v>
      </c>
      <c r="M347">
        <v>1E-4</v>
      </c>
      <c r="N347">
        <v>1E-4</v>
      </c>
      <c r="O347">
        <v>1E-4</v>
      </c>
      <c r="P347">
        <v>1E-4</v>
      </c>
      <c r="Q347">
        <v>1E-4</v>
      </c>
      <c r="R347">
        <v>1E-4</v>
      </c>
      <c r="S347">
        <v>2.0000000000000001E-4</v>
      </c>
      <c r="T347">
        <v>2.0000000000000001E-4</v>
      </c>
      <c r="U347">
        <v>2.0000000000000001E-4</v>
      </c>
      <c r="V347">
        <v>2.0000000000000001E-4</v>
      </c>
      <c r="W347">
        <v>2.0000000000000001E-4</v>
      </c>
      <c r="X347">
        <v>2.0000000000000001E-4</v>
      </c>
      <c r="Y347">
        <v>2.0000000000000001E-4</v>
      </c>
    </row>
    <row r="348" spans="1:25" hidden="1">
      <c r="A348" t="s">
        <v>18802</v>
      </c>
      <c r="B348" t="s">
        <v>1150</v>
      </c>
      <c r="C348" t="s">
        <v>1079</v>
      </c>
      <c r="D348" t="s">
        <v>1145</v>
      </c>
      <c r="E348" t="s">
        <v>1099</v>
      </c>
      <c r="F348" t="s">
        <v>598</v>
      </c>
      <c r="G348" t="s">
        <v>599</v>
      </c>
      <c r="H348" t="s">
        <v>600</v>
      </c>
      <c r="I348" t="s">
        <v>601</v>
      </c>
      <c r="J348">
        <v>3.0099999999999998E-2</v>
      </c>
      <c r="K348">
        <v>3.1699999999999999E-2</v>
      </c>
      <c r="L348">
        <v>3.3599999999999998E-2</v>
      </c>
      <c r="M348">
        <v>3.5700000000000003E-2</v>
      </c>
      <c r="N348">
        <v>3.7499999999999999E-2</v>
      </c>
      <c r="O348">
        <v>3.9399999999999998E-2</v>
      </c>
      <c r="P348">
        <v>4.0399999999999998E-2</v>
      </c>
      <c r="Q348">
        <v>4.1399999999999999E-2</v>
      </c>
      <c r="R348">
        <v>4.19E-2</v>
      </c>
      <c r="S348">
        <v>4.2299999999999997E-2</v>
      </c>
      <c r="T348">
        <v>4.2799999999999998E-2</v>
      </c>
      <c r="U348">
        <v>4.3299999999999998E-2</v>
      </c>
      <c r="V348">
        <v>4.3799999999999999E-2</v>
      </c>
      <c r="W348">
        <v>4.4299999999999999E-2</v>
      </c>
      <c r="X348">
        <v>4.4900000000000002E-2</v>
      </c>
      <c r="Y348">
        <v>4.5400000000000003E-2</v>
      </c>
    </row>
    <row r="349" spans="1:25" hidden="1">
      <c r="A349" t="s">
        <v>18802</v>
      </c>
      <c r="B349" t="s">
        <v>1151</v>
      </c>
      <c r="C349" t="s">
        <v>1079</v>
      </c>
      <c r="D349" t="s">
        <v>1145</v>
      </c>
      <c r="E349" t="s">
        <v>1101</v>
      </c>
      <c r="F349" t="s">
        <v>598</v>
      </c>
      <c r="G349" t="s">
        <v>599</v>
      </c>
      <c r="H349" t="s">
        <v>600</v>
      </c>
      <c r="I349" t="s">
        <v>601</v>
      </c>
      <c r="J349">
        <v>1.01E-2</v>
      </c>
      <c r="K349">
        <v>1.0800000000000001E-2</v>
      </c>
      <c r="L349">
        <v>1.17E-2</v>
      </c>
      <c r="M349">
        <v>1.26E-2</v>
      </c>
      <c r="N349">
        <v>1.34E-2</v>
      </c>
      <c r="O349">
        <v>1.4500000000000001E-2</v>
      </c>
      <c r="P349">
        <v>1.5599999999999999E-2</v>
      </c>
      <c r="Q349">
        <v>1.6799999999999999E-2</v>
      </c>
      <c r="R349">
        <v>1.7600000000000001E-2</v>
      </c>
      <c r="S349">
        <v>1.8599999999999998E-2</v>
      </c>
      <c r="T349">
        <v>1.9400000000000001E-2</v>
      </c>
      <c r="U349">
        <v>2.0299999999999999E-2</v>
      </c>
      <c r="V349">
        <v>2.1299999999999999E-2</v>
      </c>
      <c r="W349">
        <v>2.24E-2</v>
      </c>
      <c r="X349">
        <v>2.3400000000000001E-2</v>
      </c>
      <c r="Y349">
        <v>2.4400000000000002E-2</v>
      </c>
    </row>
    <row r="350" spans="1:25" hidden="1">
      <c r="A350" t="s">
        <v>18802</v>
      </c>
      <c r="B350" t="s">
        <v>1155</v>
      </c>
      <c r="C350" t="s">
        <v>1079</v>
      </c>
      <c r="D350" t="s">
        <v>1156</v>
      </c>
      <c r="E350" t="s">
        <v>1081</v>
      </c>
      <c r="F350" t="s">
        <v>598</v>
      </c>
      <c r="G350" t="s">
        <v>599</v>
      </c>
      <c r="H350" t="s">
        <v>600</v>
      </c>
      <c r="I350" t="s">
        <v>601</v>
      </c>
      <c r="J350">
        <v>1.1999999999999999E-3</v>
      </c>
      <c r="K350">
        <v>1.1999999999999999E-3</v>
      </c>
      <c r="L350">
        <v>1.1999999999999999E-3</v>
      </c>
      <c r="M350">
        <v>1.1999999999999999E-3</v>
      </c>
      <c r="N350">
        <v>1.1999999999999999E-3</v>
      </c>
      <c r="O350">
        <v>1.2999999999999999E-3</v>
      </c>
      <c r="P350">
        <v>1.2999999999999999E-3</v>
      </c>
      <c r="Q350">
        <v>1.2999999999999999E-3</v>
      </c>
      <c r="R350">
        <v>1.2999999999999999E-3</v>
      </c>
      <c r="S350">
        <v>1.4E-3</v>
      </c>
      <c r="T350">
        <v>1.4E-3</v>
      </c>
      <c r="U350">
        <v>1.4E-3</v>
      </c>
      <c r="V350">
        <v>1.4E-3</v>
      </c>
      <c r="W350">
        <v>1.5E-3</v>
      </c>
      <c r="X350">
        <v>1.5E-3</v>
      </c>
      <c r="Y350">
        <v>1.5E-3</v>
      </c>
    </row>
    <row r="351" spans="1:25" hidden="1">
      <c r="A351" t="s">
        <v>18802</v>
      </c>
      <c r="B351" t="s">
        <v>1163</v>
      </c>
      <c r="C351" t="s">
        <v>1079</v>
      </c>
      <c r="D351" t="s">
        <v>1164</v>
      </c>
      <c r="E351" t="s">
        <v>1081</v>
      </c>
      <c r="F351" t="s">
        <v>598</v>
      </c>
      <c r="G351" t="s">
        <v>599</v>
      </c>
      <c r="H351" t="s">
        <v>600</v>
      </c>
      <c r="I351" t="s">
        <v>601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18802</v>
      </c>
      <c r="B352" t="s">
        <v>1165</v>
      </c>
      <c r="C352" t="s">
        <v>1079</v>
      </c>
      <c r="D352" t="s">
        <v>1164</v>
      </c>
      <c r="E352" t="s">
        <v>1089</v>
      </c>
      <c r="F352" t="s">
        <v>598</v>
      </c>
      <c r="G352" t="s">
        <v>599</v>
      </c>
      <c r="H352" t="s">
        <v>600</v>
      </c>
      <c r="I352" t="s">
        <v>601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18802</v>
      </c>
      <c r="B353" t="s">
        <v>1170</v>
      </c>
      <c r="C353" t="s">
        <v>1079</v>
      </c>
      <c r="D353" t="s">
        <v>1164</v>
      </c>
      <c r="E353" t="s">
        <v>1103</v>
      </c>
      <c r="F353" t="s">
        <v>598</v>
      </c>
      <c r="G353" t="s">
        <v>599</v>
      </c>
      <c r="H353" t="s">
        <v>600</v>
      </c>
      <c r="I353" t="s">
        <v>601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18802</v>
      </c>
      <c r="B354" t="s">
        <v>1179</v>
      </c>
      <c r="C354" t="s">
        <v>1079</v>
      </c>
      <c r="D354" t="s">
        <v>1180</v>
      </c>
      <c r="E354" t="s">
        <v>1081</v>
      </c>
      <c r="F354" t="s">
        <v>598</v>
      </c>
      <c r="G354" t="s">
        <v>599</v>
      </c>
      <c r="H354" t="s">
        <v>600</v>
      </c>
      <c r="I354" t="s">
        <v>601</v>
      </c>
      <c r="J354">
        <v>5.0000000000000001E-4</v>
      </c>
      <c r="K354">
        <v>5.0000000000000001E-4</v>
      </c>
      <c r="L354">
        <v>5.0000000000000001E-4</v>
      </c>
      <c r="M354">
        <v>5.9999999999999995E-4</v>
      </c>
      <c r="N354">
        <v>5.9999999999999995E-4</v>
      </c>
      <c r="O354">
        <v>5.9999999999999995E-4</v>
      </c>
      <c r="P354">
        <v>6.9999999999999999E-4</v>
      </c>
      <c r="Q354">
        <v>8.0000000000000004E-4</v>
      </c>
      <c r="R354">
        <v>8.0000000000000004E-4</v>
      </c>
      <c r="S354">
        <v>8.0000000000000004E-4</v>
      </c>
      <c r="T354">
        <v>8.0000000000000004E-4</v>
      </c>
      <c r="U354">
        <v>8.9999999999999998E-4</v>
      </c>
      <c r="V354">
        <v>8.9999999999999998E-4</v>
      </c>
      <c r="W354">
        <v>8.9999999999999998E-4</v>
      </c>
      <c r="X354">
        <v>8.9999999999999998E-4</v>
      </c>
      <c r="Y354">
        <v>8.9999999999999998E-4</v>
      </c>
    </row>
    <row r="355" spans="1:25" hidden="1">
      <c r="A355" t="s">
        <v>18802</v>
      </c>
      <c r="B355" t="s">
        <v>1181</v>
      </c>
      <c r="C355" t="s">
        <v>1079</v>
      </c>
      <c r="D355" t="s">
        <v>1180</v>
      </c>
      <c r="E355" t="s">
        <v>1091</v>
      </c>
      <c r="F355" t="s">
        <v>598</v>
      </c>
      <c r="G355" t="s">
        <v>599</v>
      </c>
      <c r="H355" t="s">
        <v>600</v>
      </c>
      <c r="I355" t="s">
        <v>601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18802</v>
      </c>
      <c r="B356" t="s">
        <v>1182</v>
      </c>
      <c r="C356" t="s">
        <v>1079</v>
      </c>
      <c r="D356" t="s">
        <v>1180</v>
      </c>
      <c r="E356" t="s">
        <v>1095</v>
      </c>
      <c r="F356" t="s">
        <v>598</v>
      </c>
      <c r="G356" t="s">
        <v>599</v>
      </c>
      <c r="H356" t="s">
        <v>600</v>
      </c>
      <c r="I356" t="s">
        <v>601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18802</v>
      </c>
      <c r="B357" t="s">
        <v>1185</v>
      </c>
      <c r="C357" t="s">
        <v>1079</v>
      </c>
      <c r="D357" t="s">
        <v>1180</v>
      </c>
      <c r="E357" t="s">
        <v>1101</v>
      </c>
      <c r="F357" t="s">
        <v>598</v>
      </c>
      <c r="G357" t="s">
        <v>599</v>
      </c>
      <c r="H357" t="s">
        <v>600</v>
      </c>
      <c r="I357" t="s">
        <v>601</v>
      </c>
      <c r="J357">
        <v>2.0000000000000001E-4</v>
      </c>
      <c r="K357">
        <v>2.0000000000000001E-4</v>
      </c>
      <c r="L357">
        <v>2.0000000000000001E-4</v>
      </c>
      <c r="M357">
        <v>2.0000000000000001E-4</v>
      </c>
      <c r="N357">
        <v>2.9999999999999997E-4</v>
      </c>
      <c r="O357">
        <v>2.9999999999999997E-4</v>
      </c>
      <c r="P357">
        <v>4.0000000000000002E-4</v>
      </c>
      <c r="Q357">
        <v>4.0000000000000002E-4</v>
      </c>
      <c r="R357">
        <v>4.0000000000000002E-4</v>
      </c>
      <c r="S357">
        <v>4.0000000000000002E-4</v>
      </c>
      <c r="T357">
        <v>4.0000000000000002E-4</v>
      </c>
      <c r="U357">
        <v>4.0000000000000002E-4</v>
      </c>
      <c r="V357">
        <v>4.0000000000000002E-4</v>
      </c>
      <c r="W357">
        <v>4.0000000000000002E-4</v>
      </c>
      <c r="X357">
        <v>4.0000000000000002E-4</v>
      </c>
      <c r="Y357">
        <v>4.0000000000000002E-4</v>
      </c>
    </row>
    <row r="358" spans="1:25" hidden="1">
      <c r="A358" t="s">
        <v>18802</v>
      </c>
      <c r="B358" t="s">
        <v>1217</v>
      </c>
      <c r="C358" t="s">
        <v>1079</v>
      </c>
      <c r="D358" t="s">
        <v>1188</v>
      </c>
      <c r="E358" t="s">
        <v>1106</v>
      </c>
      <c r="F358" t="s">
        <v>598</v>
      </c>
      <c r="G358" t="s">
        <v>599</v>
      </c>
      <c r="H358" t="s">
        <v>600</v>
      </c>
      <c r="I358" t="s">
        <v>601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hidden="1">
      <c r="A359" t="s">
        <v>18802</v>
      </c>
      <c r="B359" t="s">
        <v>1218</v>
      </c>
      <c r="C359" t="s">
        <v>1079</v>
      </c>
      <c r="D359" t="s">
        <v>1188</v>
      </c>
      <c r="E359" t="s">
        <v>1219</v>
      </c>
      <c r="F359" t="s">
        <v>598</v>
      </c>
      <c r="G359" t="s">
        <v>599</v>
      </c>
      <c r="H359" t="s">
        <v>600</v>
      </c>
      <c r="I359" t="s">
        <v>601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hidden="1">
      <c r="A360" t="s">
        <v>18802</v>
      </c>
      <c r="B360" t="s">
        <v>1221</v>
      </c>
      <c r="C360" t="s">
        <v>1079</v>
      </c>
      <c r="D360" t="s">
        <v>648</v>
      </c>
      <c r="E360" t="s">
        <v>1081</v>
      </c>
      <c r="F360" t="s">
        <v>598</v>
      </c>
      <c r="G360" t="s">
        <v>599</v>
      </c>
      <c r="H360" t="s">
        <v>600</v>
      </c>
      <c r="I360" t="s">
        <v>601</v>
      </c>
      <c r="J360">
        <v>6.3E-3</v>
      </c>
      <c r="K360">
        <v>6.4999999999999997E-3</v>
      </c>
      <c r="L360">
        <v>7.0000000000000001E-3</v>
      </c>
      <c r="M360">
        <v>7.6E-3</v>
      </c>
      <c r="N360">
        <v>7.7999999999999996E-3</v>
      </c>
      <c r="O360">
        <v>8.3000000000000001E-3</v>
      </c>
      <c r="P360">
        <v>8.5000000000000006E-3</v>
      </c>
      <c r="Q360">
        <v>9.1000000000000004E-3</v>
      </c>
      <c r="R360">
        <v>9.1999999999999998E-3</v>
      </c>
      <c r="S360">
        <v>9.4999999999999998E-3</v>
      </c>
      <c r="T360">
        <v>9.9000000000000008E-3</v>
      </c>
      <c r="U360">
        <v>0.01</v>
      </c>
      <c r="V360">
        <v>1.03E-2</v>
      </c>
      <c r="W360">
        <v>1.0500000000000001E-2</v>
      </c>
      <c r="X360">
        <v>1.09E-2</v>
      </c>
      <c r="Y360">
        <v>1.11E-2</v>
      </c>
    </row>
    <row r="361" spans="1:25" hidden="1">
      <c r="A361" t="s">
        <v>18802</v>
      </c>
      <c r="B361" t="s">
        <v>1222</v>
      </c>
      <c r="C361" t="s">
        <v>1079</v>
      </c>
      <c r="D361" t="s">
        <v>648</v>
      </c>
      <c r="E361" t="s">
        <v>1091</v>
      </c>
      <c r="F361" t="s">
        <v>598</v>
      </c>
      <c r="G361" t="s">
        <v>599</v>
      </c>
      <c r="H361" t="s">
        <v>600</v>
      </c>
      <c r="I361" t="s">
        <v>601</v>
      </c>
      <c r="J361">
        <v>0.19139999999999999</v>
      </c>
      <c r="K361">
        <v>0.2029</v>
      </c>
      <c r="L361">
        <v>0.21679999999999999</v>
      </c>
      <c r="M361">
        <v>0.2321</v>
      </c>
      <c r="N361">
        <v>0.24540000000000001</v>
      </c>
      <c r="O361">
        <v>0.25990000000000002</v>
      </c>
      <c r="P361">
        <v>0.26840000000000003</v>
      </c>
      <c r="Q361">
        <v>0.27710000000000001</v>
      </c>
      <c r="R361">
        <v>0.28139999999999998</v>
      </c>
      <c r="S361">
        <v>0.2853</v>
      </c>
      <c r="T361">
        <v>0.28910000000000002</v>
      </c>
      <c r="U361">
        <v>0.29330000000000001</v>
      </c>
      <c r="V361">
        <v>0.2979</v>
      </c>
      <c r="W361">
        <v>0.30259999999999998</v>
      </c>
      <c r="X361">
        <v>0.30709999999999998</v>
      </c>
      <c r="Y361">
        <v>0.31180000000000002</v>
      </c>
    </row>
    <row r="362" spans="1:25" hidden="1">
      <c r="A362" t="s">
        <v>18802</v>
      </c>
      <c r="B362" t="s">
        <v>1224</v>
      </c>
      <c r="C362" t="s">
        <v>1079</v>
      </c>
      <c r="D362" t="s">
        <v>648</v>
      </c>
      <c r="E362" t="s">
        <v>1095</v>
      </c>
      <c r="F362" t="s">
        <v>598</v>
      </c>
      <c r="G362" t="s">
        <v>599</v>
      </c>
      <c r="H362" t="s">
        <v>600</v>
      </c>
      <c r="I362" t="s">
        <v>601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hidden="1">
      <c r="A363" t="s">
        <v>18802</v>
      </c>
      <c r="B363" t="s">
        <v>1226</v>
      </c>
      <c r="C363" t="s">
        <v>1079</v>
      </c>
      <c r="D363" t="s">
        <v>648</v>
      </c>
      <c r="E363" t="s">
        <v>1099</v>
      </c>
      <c r="F363" t="s">
        <v>598</v>
      </c>
      <c r="G363" t="s">
        <v>599</v>
      </c>
      <c r="H363" t="s">
        <v>600</v>
      </c>
      <c r="I363" t="s">
        <v>601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18802</v>
      </c>
      <c r="B364" t="s">
        <v>1227</v>
      </c>
      <c r="C364" t="s">
        <v>1079</v>
      </c>
      <c r="D364" t="s">
        <v>648</v>
      </c>
      <c r="E364" t="s">
        <v>1101</v>
      </c>
      <c r="F364" t="s">
        <v>598</v>
      </c>
      <c r="G364" t="s">
        <v>599</v>
      </c>
      <c r="H364" t="s">
        <v>600</v>
      </c>
      <c r="I364" t="s">
        <v>601</v>
      </c>
      <c r="J364">
        <v>2.5600000000000001E-2</v>
      </c>
      <c r="K364">
        <v>2.7E-2</v>
      </c>
      <c r="L364">
        <v>2.86E-2</v>
      </c>
      <c r="M364">
        <v>3.04E-2</v>
      </c>
      <c r="N364">
        <v>3.1800000000000002E-2</v>
      </c>
      <c r="O364">
        <v>3.3399999999999999E-2</v>
      </c>
      <c r="P364">
        <v>3.44E-2</v>
      </c>
      <c r="Q364">
        <v>3.5299999999999998E-2</v>
      </c>
      <c r="R364">
        <v>3.5799999999999998E-2</v>
      </c>
      <c r="S364">
        <v>3.6200000000000003E-2</v>
      </c>
      <c r="T364">
        <v>3.6600000000000001E-2</v>
      </c>
      <c r="U364">
        <v>3.7199999999999997E-2</v>
      </c>
      <c r="V364">
        <v>3.7699999999999997E-2</v>
      </c>
      <c r="W364">
        <v>3.8100000000000002E-2</v>
      </c>
      <c r="X364">
        <v>3.8600000000000002E-2</v>
      </c>
      <c r="Y364">
        <v>3.9100000000000003E-2</v>
      </c>
    </row>
    <row r="365" spans="1:25" hidden="1">
      <c r="A365" t="s">
        <v>18802</v>
      </c>
      <c r="B365" t="s">
        <v>1228</v>
      </c>
      <c r="C365" t="s">
        <v>1079</v>
      </c>
      <c r="D365" t="s">
        <v>648</v>
      </c>
      <c r="E365" t="s">
        <v>1103</v>
      </c>
      <c r="F365" t="s">
        <v>598</v>
      </c>
      <c r="G365" t="s">
        <v>599</v>
      </c>
      <c r="H365" t="s">
        <v>600</v>
      </c>
      <c r="I365" t="s">
        <v>601</v>
      </c>
      <c r="J365">
        <v>2.9999999999999997E-4</v>
      </c>
      <c r="K365">
        <v>2.9999999999999997E-4</v>
      </c>
      <c r="L365">
        <v>2.9999999999999997E-4</v>
      </c>
      <c r="M365">
        <v>2.9999999999999997E-4</v>
      </c>
      <c r="N365">
        <v>2.9999999999999997E-4</v>
      </c>
      <c r="O365">
        <v>2.9999999999999997E-4</v>
      </c>
      <c r="P365">
        <v>2.9999999999999997E-4</v>
      </c>
      <c r="Q365">
        <v>2.9999999999999997E-4</v>
      </c>
      <c r="R365">
        <v>2.9999999999999997E-4</v>
      </c>
      <c r="S365">
        <v>2.9999999999999997E-4</v>
      </c>
      <c r="T365">
        <v>2.9999999999999997E-4</v>
      </c>
      <c r="U365">
        <v>2.9999999999999997E-4</v>
      </c>
      <c r="V365">
        <v>2.9999999999999997E-4</v>
      </c>
      <c r="W365">
        <v>2.9999999999999997E-4</v>
      </c>
      <c r="X365">
        <v>2.9999999999999997E-4</v>
      </c>
      <c r="Y365">
        <v>2.9999999999999997E-4</v>
      </c>
    </row>
    <row r="366" spans="1:25" hidden="1">
      <c r="A366" t="s">
        <v>18802</v>
      </c>
      <c r="B366" t="s">
        <v>1244</v>
      </c>
      <c r="C366" t="s">
        <v>1230</v>
      </c>
      <c r="D366" t="s">
        <v>1243</v>
      </c>
      <c r="E366" t="s">
        <v>1239</v>
      </c>
      <c r="F366" t="s">
        <v>598</v>
      </c>
      <c r="G366" t="s">
        <v>599</v>
      </c>
      <c r="H366" t="s">
        <v>600</v>
      </c>
      <c r="I366" t="s">
        <v>601</v>
      </c>
      <c r="J366">
        <v>1E-4</v>
      </c>
      <c r="K366">
        <v>1E-4</v>
      </c>
      <c r="L366">
        <v>1E-4</v>
      </c>
      <c r="M366">
        <v>1E-4</v>
      </c>
      <c r="N366">
        <v>1E-4</v>
      </c>
      <c r="O366">
        <v>1E-4</v>
      </c>
      <c r="P366">
        <v>1E-4</v>
      </c>
      <c r="Q366">
        <v>1E-4</v>
      </c>
      <c r="R366">
        <v>1E-4</v>
      </c>
      <c r="S366">
        <v>1E-4</v>
      </c>
      <c r="T366">
        <v>2.0000000000000001E-4</v>
      </c>
      <c r="U366">
        <v>2.0000000000000001E-4</v>
      </c>
      <c r="V366">
        <v>2.0000000000000001E-4</v>
      </c>
      <c r="W366">
        <v>2.0000000000000001E-4</v>
      </c>
      <c r="X366">
        <v>2.0000000000000001E-4</v>
      </c>
      <c r="Y366">
        <v>2.0000000000000001E-4</v>
      </c>
    </row>
    <row r="367" spans="1:25" hidden="1">
      <c r="A367" t="s">
        <v>18802</v>
      </c>
      <c r="B367" t="s">
        <v>1247</v>
      </c>
      <c r="C367" t="s">
        <v>1230</v>
      </c>
      <c r="D367" t="s">
        <v>1246</v>
      </c>
      <c r="E367" t="s">
        <v>1239</v>
      </c>
      <c r="F367" t="s">
        <v>598</v>
      </c>
      <c r="G367" t="s">
        <v>599</v>
      </c>
      <c r="H367" t="s">
        <v>600</v>
      </c>
      <c r="I367" t="s">
        <v>601</v>
      </c>
      <c r="J367">
        <v>0.23280000000000001</v>
      </c>
      <c r="K367">
        <v>0.2505</v>
      </c>
      <c r="L367">
        <v>0.26929999999999998</v>
      </c>
      <c r="M367">
        <v>0.29380000000000001</v>
      </c>
      <c r="N367">
        <v>0.31359999999999999</v>
      </c>
      <c r="O367">
        <v>0.33550000000000002</v>
      </c>
      <c r="P367">
        <v>0.35820000000000002</v>
      </c>
      <c r="Q367">
        <v>0.38350000000000001</v>
      </c>
      <c r="R367">
        <v>0.40100000000000002</v>
      </c>
      <c r="S367">
        <v>0.42309999999999998</v>
      </c>
      <c r="T367">
        <v>0.44519999999999998</v>
      </c>
      <c r="U367">
        <v>0.46479999999999999</v>
      </c>
      <c r="V367">
        <v>0.48670000000000002</v>
      </c>
      <c r="W367">
        <v>0.50870000000000004</v>
      </c>
      <c r="X367">
        <v>0.53039999999999998</v>
      </c>
      <c r="Y367">
        <v>0.5524</v>
      </c>
    </row>
    <row r="368" spans="1:25" hidden="1">
      <c r="A368" t="s">
        <v>18802</v>
      </c>
      <c r="B368" t="s">
        <v>1250</v>
      </c>
      <c r="C368" t="s">
        <v>1230</v>
      </c>
      <c r="D368" t="s">
        <v>648</v>
      </c>
      <c r="E368" t="s">
        <v>1004</v>
      </c>
      <c r="F368" t="s">
        <v>598</v>
      </c>
      <c r="G368" t="s">
        <v>599</v>
      </c>
      <c r="H368" t="s">
        <v>600</v>
      </c>
      <c r="I368" t="s">
        <v>601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hidden="1">
      <c r="A369" t="s">
        <v>18802</v>
      </c>
      <c r="B369" t="s">
        <v>1252</v>
      </c>
      <c r="C369" t="s">
        <v>1253</v>
      </c>
      <c r="D369" t="s">
        <v>1254</v>
      </c>
      <c r="E369" t="s">
        <v>1255</v>
      </c>
      <c r="F369" t="s">
        <v>598</v>
      </c>
      <c r="G369" t="s">
        <v>599</v>
      </c>
      <c r="H369" t="s">
        <v>600</v>
      </c>
      <c r="I369" t="s">
        <v>601</v>
      </c>
      <c r="J369">
        <v>2.5999999999999999E-3</v>
      </c>
      <c r="K369">
        <v>2.8E-3</v>
      </c>
      <c r="L369">
        <v>2.8999999999999998E-3</v>
      </c>
      <c r="M369">
        <v>3.0999999999999999E-3</v>
      </c>
      <c r="N369">
        <v>3.3E-3</v>
      </c>
      <c r="O369">
        <v>3.3999999999999998E-3</v>
      </c>
      <c r="P369">
        <v>3.5000000000000001E-3</v>
      </c>
      <c r="Q369">
        <v>3.5999999999999999E-3</v>
      </c>
      <c r="R369">
        <v>3.5999999999999999E-3</v>
      </c>
      <c r="S369">
        <v>3.7000000000000002E-3</v>
      </c>
      <c r="T369">
        <v>3.7000000000000002E-3</v>
      </c>
      <c r="U369">
        <v>3.8E-3</v>
      </c>
      <c r="V369">
        <v>3.8E-3</v>
      </c>
      <c r="W369">
        <v>3.8999999999999998E-3</v>
      </c>
      <c r="X369">
        <v>3.8999999999999998E-3</v>
      </c>
      <c r="Y369">
        <v>4.0000000000000001E-3</v>
      </c>
    </row>
    <row r="370" spans="1:25" hidden="1">
      <c r="A370" t="s">
        <v>18802</v>
      </c>
      <c r="B370" t="s">
        <v>1256</v>
      </c>
      <c r="C370" t="s">
        <v>1253</v>
      </c>
      <c r="D370" t="s">
        <v>1254</v>
      </c>
      <c r="E370" t="s">
        <v>1257</v>
      </c>
      <c r="F370" t="s">
        <v>598</v>
      </c>
      <c r="G370" t="s">
        <v>599</v>
      </c>
      <c r="H370" t="s">
        <v>600</v>
      </c>
      <c r="I370" t="s">
        <v>601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18802</v>
      </c>
      <c r="B371" t="s">
        <v>1258</v>
      </c>
      <c r="C371" t="s">
        <v>1253</v>
      </c>
      <c r="D371" t="s">
        <v>1254</v>
      </c>
      <c r="E371" t="s">
        <v>1259</v>
      </c>
      <c r="F371" t="s">
        <v>598</v>
      </c>
      <c r="G371" t="s">
        <v>599</v>
      </c>
      <c r="H371" t="s">
        <v>600</v>
      </c>
      <c r="I371" t="s">
        <v>601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18802</v>
      </c>
      <c r="B372" t="s">
        <v>1260</v>
      </c>
      <c r="C372" t="s">
        <v>1261</v>
      </c>
      <c r="D372" t="s">
        <v>648</v>
      </c>
      <c r="E372" t="s">
        <v>920</v>
      </c>
      <c r="F372" t="s">
        <v>598</v>
      </c>
      <c r="G372" t="s">
        <v>599</v>
      </c>
      <c r="H372" t="s">
        <v>600</v>
      </c>
      <c r="I372" t="s">
        <v>601</v>
      </c>
      <c r="J372">
        <v>8.8999999999999999E-3</v>
      </c>
      <c r="K372">
        <v>9.4000000000000004E-3</v>
      </c>
      <c r="L372">
        <v>0.01</v>
      </c>
      <c r="M372">
        <v>1.06E-2</v>
      </c>
      <c r="N372">
        <v>1.12E-2</v>
      </c>
      <c r="O372">
        <v>1.18E-2</v>
      </c>
      <c r="P372">
        <v>1.21E-2</v>
      </c>
      <c r="Q372">
        <v>1.24E-2</v>
      </c>
      <c r="R372">
        <v>1.26E-2</v>
      </c>
      <c r="S372">
        <v>1.2800000000000001E-2</v>
      </c>
      <c r="T372">
        <v>1.2999999999999999E-2</v>
      </c>
      <c r="U372">
        <v>1.3299999999999999E-2</v>
      </c>
      <c r="V372">
        <v>1.35E-2</v>
      </c>
      <c r="W372">
        <v>1.37E-2</v>
      </c>
      <c r="X372">
        <v>1.4E-2</v>
      </c>
      <c r="Y372">
        <v>1.4200000000000001E-2</v>
      </c>
    </row>
    <row r="373" spans="1:25" hidden="1">
      <c r="A373" t="s">
        <v>18802</v>
      </c>
      <c r="B373" t="s">
        <v>1262</v>
      </c>
      <c r="C373" t="s">
        <v>1261</v>
      </c>
      <c r="D373" t="s">
        <v>648</v>
      </c>
      <c r="E373" t="s">
        <v>973</v>
      </c>
      <c r="F373" t="s">
        <v>598</v>
      </c>
      <c r="G373" t="s">
        <v>599</v>
      </c>
      <c r="H373" t="s">
        <v>600</v>
      </c>
      <c r="I373" t="s">
        <v>601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 hidden="1">
      <c r="A374" t="s">
        <v>18802</v>
      </c>
      <c r="B374" t="s">
        <v>1263</v>
      </c>
      <c r="C374" t="s">
        <v>1261</v>
      </c>
      <c r="D374" t="s">
        <v>648</v>
      </c>
      <c r="E374" t="s">
        <v>1264</v>
      </c>
      <c r="F374" t="s">
        <v>598</v>
      </c>
      <c r="G374" t="s">
        <v>599</v>
      </c>
      <c r="H374" t="s">
        <v>600</v>
      </c>
      <c r="I374" t="s">
        <v>601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 hidden="1">
      <c r="A375" t="s">
        <v>18802</v>
      </c>
      <c r="B375" t="s">
        <v>1265</v>
      </c>
      <c r="C375" t="s">
        <v>1261</v>
      </c>
      <c r="D375" t="s">
        <v>648</v>
      </c>
      <c r="E375" t="s">
        <v>1004</v>
      </c>
      <c r="F375" t="s">
        <v>598</v>
      </c>
      <c r="G375" t="s">
        <v>599</v>
      </c>
      <c r="H375" t="s">
        <v>600</v>
      </c>
      <c r="I375" t="s">
        <v>601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18802</v>
      </c>
      <c r="B376" t="s">
        <v>1269</v>
      </c>
      <c r="C376" t="s">
        <v>1267</v>
      </c>
      <c r="D376" t="s">
        <v>1268</v>
      </c>
      <c r="E376" t="s">
        <v>678</v>
      </c>
      <c r="F376" t="s">
        <v>598</v>
      </c>
      <c r="G376" t="s">
        <v>599</v>
      </c>
      <c r="H376" t="s">
        <v>600</v>
      </c>
      <c r="I376" t="s">
        <v>601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18802</v>
      </c>
      <c r="B377" t="s">
        <v>1276</v>
      </c>
      <c r="C377" t="s">
        <v>1267</v>
      </c>
      <c r="D377" t="s">
        <v>1274</v>
      </c>
      <c r="E377" t="s">
        <v>678</v>
      </c>
      <c r="F377" t="s">
        <v>598</v>
      </c>
      <c r="G377" t="s">
        <v>599</v>
      </c>
      <c r="H377" t="s">
        <v>600</v>
      </c>
      <c r="I377" t="s">
        <v>601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18802</v>
      </c>
      <c r="B378" t="s">
        <v>1286</v>
      </c>
      <c r="C378" t="s">
        <v>1267</v>
      </c>
      <c r="D378" t="s">
        <v>1287</v>
      </c>
      <c r="E378" t="s">
        <v>597</v>
      </c>
      <c r="F378" t="s">
        <v>598</v>
      </c>
      <c r="G378" t="s">
        <v>599</v>
      </c>
      <c r="H378" t="s">
        <v>600</v>
      </c>
      <c r="I378" t="s">
        <v>601</v>
      </c>
      <c r="J378">
        <v>0</v>
      </c>
      <c r="K378">
        <v>0</v>
      </c>
      <c r="L378">
        <v>0</v>
      </c>
      <c r="M378">
        <v>0</v>
      </c>
      <c r="N378">
        <v>1E-4</v>
      </c>
      <c r="O378">
        <v>1E-4</v>
      </c>
      <c r="P378">
        <v>1E-4</v>
      </c>
      <c r="Q378">
        <v>1E-4</v>
      </c>
      <c r="R378">
        <v>1E-4</v>
      </c>
      <c r="S378">
        <v>1E-4</v>
      </c>
      <c r="T378">
        <v>1E-4</v>
      </c>
      <c r="U378">
        <v>1E-4</v>
      </c>
      <c r="V378">
        <v>1E-4</v>
      </c>
      <c r="W378">
        <v>1E-4</v>
      </c>
      <c r="X378">
        <v>1E-4</v>
      </c>
      <c r="Y378">
        <v>1E-4</v>
      </c>
    </row>
    <row r="379" spans="1:25" hidden="1">
      <c r="A379" t="s">
        <v>18802</v>
      </c>
      <c r="B379" t="s">
        <v>1323</v>
      </c>
      <c r="C379" t="s">
        <v>1267</v>
      </c>
      <c r="D379" t="s">
        <v>1324</v>
      </c>
      <c r="E379" t="s">
        <v>688</v>
      </c>
      <c r="F379" t="s">
        <v>598</v>
      </c>
      <c r="G379" t="s">
        <v>599</v>
      </c>
      <c r="H379" t="s">
        <v>600</v>
      </c>
      <c r="I379" t="s">
        <v>601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18802</v>
      </c>
      <c r="B380" t="s">
        <v>1459</v>
      </c>
      <c r="C380" t="s">
        <v>1382</v>
      </c>
      <c r="D380" t="s">
        <v>648</v>
      </c>
      <c r="E380" t="s">
        <v>920</v>
      </c>
      <c r="F380" t="s">
        <v>598</v>
      </c>
      <c r="G380" t="s">
        <v>599</v>
      </c>
      <c r="H380" t="s">
        <v>600</v>
      </c>
      <c r="I380" t="s">
        <v>601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18802</v>
      </c>
      <c r="B381" t="s">
        <v>1460</v>
      </c>
      <c r="C381" t="s">
        <v>1382</v>
      </c>
      <c r="D381" t="s">
        <v>648</v>
      </c>
      <c r="E381" t="s">
        <v>973</v>
      </c>
      <c r="F381" t="s">
        <v>598</v>
      </c>
      <c r="G381" t="s">
        <v>599</v>
      </c>
      <c r="H381" t="s">
        <v>600</v>
      </c>
      <c r="I381" t="s">
        <v>601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18802</v>
      </c>
      <c r="B382" t="s">
        <v>1475</v>
      </c>
      <c r="C382" t="s">
        <v>1472</v>
      </c>
      <c r="D382" t="s">
        <v>1281</v>
      </c>
      <c r="E382" t="s">
        <v>678</v>
      </c>
      <c r="F382" t="s">
        <v>598</v>
      </c>
      <c r="G382" t="s">
        <v>599</v>
      </c>
      <c r="H382" t="s">
        <v>600</v>
      </c>
      <c r="I382" t="s">
        <v>601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hidden="1">
      <c r="A383" t="s">
        <v>18802</v>
      </c>
      <c r="B383" t="s">
        <v>1478</v>
      </c>
      <c r="C383" t="s">
        <v>1472</v>
      </c>
      <c r="D383" t="s">
        <v>1305</v>
      </c>
      <c r="E383" t="s">
        <v>973</v>
      </c>
      <c r="F383" t="s">
        <v>598</v>
      </c>
      <c r="G383" t="s">
        <v>599</v>
      </c>
      <c r="H383" t="s">
        <v>600</v>
      </c>
      <c r="I383" t="s">
        <v>601</v>
      </c>
      <c r="J383">
        <v>0</v>
      </c>
      <c r="K383">
        <v>0</v>
      </c>
      <c r="L383">
        <v>0</v>
      </c>
      <c r="M383">
        <v>1E-4</v>
      </c>
      <c r="N383">
        <v>1E-4</v>
      </c>
      <c r="O383">
        <v>1E-4</v>
      </c>
      <c r="P383">
        <v>1E-4</v>
      </c>
      <c r="Q383">
        <v>1E-4</v>
      </c>
      <c r="R383">
        <v>1E-4</v>
      </c>
      <c r="S383">
        <v>1E-4</v>
      </c>
      <c r="T383">
        <v>1E-4</v>
      </c>
      <c r="U383">
        <v>1E-4</v>
      </c>
      <c r="V383">
        <v>1E-4</v>
      </c>
      <c r="W383">
        <v>1E-4</v>
      </c>
      <c r="X383">
        <v>1E-4</v>
      </c>
      <c r="Y383">
        <v>1E-4</v>
      </c>
    </row>
    <row r="384" spans="1:25" hidden="1">
      <c r="A384" t="s">
        <v>18802</v>
      </c>
      <c r="B384" t="s">
        <v>1481</v>
      </c>
      <c r="C384" t="s">
        <v>1472</v>
      </c>
      <c r="D384" t="s">
        <v>1305</v>
      </c>
      <c r="E384" t="s">
        <v>1378</v>
      </c>
      <c r="F384" t="s">
        <v>598</v>
      </c>
      <c r="G384" t="s">
        <v>599</v>
      </c>
      <c r="H384" t="s">
        <v>600</v>
      </c>
      <c r="I384" t="s">
        <v>601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18802</v>
      </c>
      <c r="B385" t="s">
        <v>1482</v>
      </c>
      <c r="C385" t="s">
        <v>1472</v>
      </c>
      <c r="D385" t="s">
        <v>1483</v>
      </c>
      <c r="E385" t="s">
        <v>597</v>
      </c>
      <c r="F385" t="s">
        <v>598</v>
      </c>
      <c r="G385" t="s">
        <v>599</v>
      </c>
      <c r="H385" t="s">
        <v>600</v>
      </c>
      <c r="I385" t="s">
        <v>601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18802</v>
      </c>
      <c r="B386" t="s">
        <v>1488</v>
      </c>
      <c r="C386" t="s">
        <v>1472</v>
      </c>
      <c r="D386" t="s">
        <v>1392</v>
      </c>
      <c r="E386" t="s">
        <v>688</v>
      </c>
      <c r="F386" t="s">
        <v>598</v>
      </c>
      <c r="G386" t="s">
        <v>599</v>
      </c>
      <c r="H386" t="s">
        <v>600</v>
      </c>
      <c r="I386" t="s">
        <v>601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18802</v>
      </c>
      <c r="B387" t="s">
        <v>1494</v>
      </c>
      <c r="C387" t="s">
        <v>1472</v>
      </c>
      <c r="D387" t="s">
        <v>1316</v>
      </c>
      <c r="E387" t="s">
        <v>1334</v>
      </c>
      <c r="F387" t="s">
        <v>598</v>
      </c>
      <c r="G387" t="s">
        <v>599</v>
      </c>
      <c r="H387" t="s">
        <v>600</v>
      </c>
      <c r="I387" t="s">
        <v>601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18802</v>
      </c>
      <c r="B388" t="s">
        <v>1498</v>
      </c>
      <c r="C388" t="s">
        <v>1472</v>
      </c>
      <c r="D388" t="s">
        <v>1316</v>
      </c>
      <c r="E388" t="s">
        <v>1402</v>
      </c>
      <c r="F388" t="s">
        <v>598</v>
      </c>
      <c r="G388" t="s">
        <v>599</v>
      </c>
      <c r="H388" t="s">
        <v>600</v>
      </c>
      <c r="I388" t="s">
        <v>601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18802</v>
      </c>
      <c r="B389" t="s">
        <v>1514</v>
      </c>
      <c r="C389" t="s">
        <v>1472</v>
      </c>
      <c r="D389" t="s">
        <v>1324</v>
      </c>
      <c r="E389" t="s">
        <v>1334</v>
      </c>
      <c r="F389" t="s">
        <v>598</v>
      </c>
      <c r="G389" t="s">
        <v>599</v>
      </c>
      <c r="H389" t="s">
        <v>600</v>
      </c>
      <c r="I389" t="s">
        <v>601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hidden="1">
      <c r="A390" t="s">
        <v>18802</v>
      </c>
      <c r="B390" t="s">
        <v>1515</v>
      </c>
      <c r="C390" t="s">
        <v>1472</v>
      </c>
      <c r="D390" t="s">
        <v>1324</v>
      </c>
      <c r="E390" t="s">
        <v>1399</v>
      </c>
      <c r="F390" t="s">
        <v>598</v>
      </c>
      <c r="G390" t="s">
        <v>599</v>
      </c>
      <c r="H390" t="s">
        <v>600</v>
      </c>
      <c r="I390" t="s">
        <v>601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hidden="1">
      <c r="A391" t="s">
        <v>18802</v>
      </c>
      <c r="B391" t="s">
        <v>1517</v>
      </c>
      <c r="C391" t="s">
        <v>1472</v>
      </c>
      <c r="D391" t="s">
        <v>1324</v>
      </c>
      <c r="E391" t="s">
        <v>692</v>
      </c>
      <c r="F391" t="s">
        <v>598</v>
      </c>
      <c r="G391" t="s">
        <v>599</v>
      </c>
      <c r="H391" t="s">
        <v>600</v>
      </c>
      <c r="I391" t="s">
        <v>601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18802</v>
      </c>
      <c r="B392" t="s">
        <v>1518</v>
      </c>
      <c r="C392" t="s">
        <v>1472</v>
      </c>
      <c r="D392" t="s">
        <v>1324</v>
      </c>
      <c r="E392" t="s">
        <v>1326</v>
      </c>
      <c r="F392" t="s">
        <v>598</v>
      </c>
      <c r="G392" t="s">
        <v>599</v>
      </c>
      <c r="H392" t="s">
        <v>600</v>
      </c>
      <c r="I392" t="s">
        <v>601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18802</v>
      </c>
      <c r="B393" t="s">
        <v>1519</v>
      </c>
      <c r="C393" t="s">
        <v>1472</v>
      </c>
      <c r="D393" t="s">
        <v>1324</v>
      </c>
      <c r="E393" t="s">
        <v>750</v>
      </c>
      <c r="F393" t="s">
        <v>598</v>
      </c>
      <c r="G393" t="s">
        <v>599</v>
      </c>
      <c r="H393" t="s">
        <v>600</v>
      </c>
      <c r="I393" t="s">
        <v>601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18802</v>
      </c>
      <c r="B394" t="s">
        <v>1520</v>
      </c>
      <c r="C394" t="s">
        <v>1472</v>
      </c>
      <c r="D394" t="s">
        <v>1324</v>
      </c>
      <c r="E394" t="s">
        <v>1402</v>
      </c>
      <c r="F394" t="s">
        <v>598</v>
      </c>
      <c r="G394" t="s">
        <v>599</v>
      </c>
      <c r="H394" t="s">
        <v>600</v>
      </c>
      <c r="I394" t="s">
        <v>601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18802</v>
      </c>
      <c r="B395" t="s">
        <v>1526</v>
      </c>
      <c r="C395" t="s">
        <v>1472</v>
      </c>
      <c r="D395" t="s">
        <v>1332</v>
      </c>
      <c r="E395" t="s">
        <v>688</v>
      </c>
      <c r="F395" t="s">
        <v>598</v>
      </c>
      <c r="G395" t="s">
        <v>599</v>
      </c>
      <c r="H395" t="s">
        <v>600</v>
      </c>
      <c r="I395" t="s">
        <v>601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18802</v>
      </c>
      <c r="B396" t="s">
        <v>1527</v>
      </c>
      <c r="C396" t="s">
        <v>1472</v>
      </c>
      <c r="D396" t="s">
        <v>1332</v>
      </c>
      <c r="E396" t="s">
        <v>1334</v>
      </c>
      <c r="F396" t="s">
        <v>598</v>
      </c>
      <c r="G396" t="s">
        <v>599</v>
      </c>
      <c r="H396" t="s">
        <v>600</v>
      </c>
      <c r="I396" t="s">
        <v>601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18802</v>
      </c>
      <c r="B397" t="s">
        <v>1528</v>
      </c>
      <c r="C397" t="s">
        <v>1472</v>
      </c>
      <c r="D397" t="s">
        <v>1332</v>
      </c>
      <c r="E397" t="s">
        <v>1399</v>
      </c>
      <c r="F397" t="s">
        <v>598</v>
      </c>
      <c r="G397" t="s">
        <v>599</v>
      </c>
      <c r="H397" t="s">
        <v>600</v>
      </c>
      <c r="I397" t="s">
        <v>601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hidden="1">
      <c r="A398" t="s">
        <v>18802</v>
      </c>
      <c r="B398" t="s">
        <v>1531</v>
      </c>
      <c r="C398" t="s">
        <v>1472</v>
      </c>
      <c r="D398" t="s">
        <v>1332</v>
      </c>
      <c r="E398" t="s">
        <v>1326</v>
      </c>
      <c r="F398" t="s">
        <v>598</v>
      </c>
      <c r="G398" t="s">
        <v>599</v>
      </c>
      <c r="H398" t="s">
        <v>600</v>
      </c>
      <c r="I398" t="s">
        <v>601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hidden="1">
      <c r="A399" t="s">
        <v>18802</v>
      </c>
      <c r="B399" t="s">
        <v>1532</v>
      </c>
      <c r="C399" t="s">
        <v>1472</v>
      </c>
      <c r="D399" t="s">
        <v>1332</v>
      </c>
      <c r="E399" t="s">
        <v>619</v>
      </c>
      <c r="F399" t="s">
        <v>598</v>
      </c>
      <c r="G399" t="s">
        <v>599</v>
      </c>
      <c r="H399" t="s">
        <v>600</v>
      </c>
      <c r="I399" t="s">
        <v>601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hidden="1">
      <c r="A400" t="s">
        <v>18802</v>
      </c>
      <c r="B400" t="s">
        <v>1533</v>
      </c>
      <c r="C400" t="s">
        <v>1472</v>
      </c>
      <c r="D400" t="s">
        <v>1332</v>
      </c>
      <c r="E400" t="s">
        <v>750</v>
      </c>
      <c r="F400" t="s">
        <v>598</v>
      </c>
      <c r="G400" t="s">
        <v>599</v>
      </c>
      <c r="H400" t="s">
        <v>600</v>
      </c>
      <c r="I400" t="s">
        <v>601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hidden="1">
      <c r="A401" t="s">
        <v>18802</v>
      </c>
      <c r="B401" t="s">
        <v>1534</v>
      </c>
      <c r="C401" t="s">
        <v>1472</v>
      </c>
      <c r="D401" t="s">
        <v>1332</v>
      </c>
      <c r="E401" t="s">
        <v>1402</v>
      </c>
      <c r="F401" t="s">
        <v>598</v>
      </c>
      <c r="G401" t="s">
        <v>599</v>
      </c>
      <c r="H401" t="s">
        <v>600</v>
      </c>
      <c r="I401" t="s">
        <v>601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18802</v>
      </c>
      <c r="B402" t="s">
        <v>1535</v>
      </c>
      <c r="C402" t="s">
        <v>1472</v>
      </c>
      <c r="D402" t="s">
        <v>1332</v>
      </c>
      <c r="E402" t="s">
        <v>892</v>
      </c>
      <c r="F402" t="s">
        <v>598</v>
      </c>
      <c r="G402" t="s">
        <v>599</v>
      </c>
      <c r="H402" t="s">
        <v>600</v>
      </c>
      <c r="I402" t="s">
        <v>601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hidden="1">
      <c r="A403" t="s">
        <v>18802</v>
      </c>
      <c r="B403" t="s">
        <v>1538</v>
      </c>
      <c r="C403" t="s">
        <v>1472</v>
      </c>
      <c r="D403" t="s">
        <v>1332</v>
      </c>
      <c r="E403" t="s">
        <v>1318</v>
      </c>
      <c r="F403" t="s">
        <v>598</v>
      </c>
      <c r="G403" t="s">
        <v>599</v>
      </c>
      <c r="H403" t="s">
        <v>600</v>
      </c>
      <c r="I403" t="s">
        <v>601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hidden="1">
      <c r="A404" t="s">
        <v>18802</v>
      </c>
      <c r="B404" t="s">
        <v>1539</v>
      </c>
      <c r="C404" t="s">
        <v>1472</v>
      </c>
      <c r="D404" t="s">
        <v>1348</v>
      </c>
      <c r="E404" t="s">
        <v>688</v>
      </c>
      <c r="F404" t="s">
        <v>598</v>
      </c>
      <c r="G404" t="s">
        <v>599</v>
      </c>
      <c r="H404" t="s">
        <v>600</v>
      </c>
      <c r="I404" t="s">
        <v>601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hidden="1">
      <c r="A405" t="s">
        <v>18802</v>
      </c>
      <c r="B405" t="s">
        <v>1540</v>
      </c>
      <c r="C405" t="s">
        <v>1472</v>
      </c>
      <c r="D405" t="s">
        <v>1348</v>
      </c>
      <c r="E405" t="s">
        <v>1334</v>
      </c>
      <c r="F405" t="s">
        <v>598</v>
      </c>
      <c r="G405" t="s">
        <v>599</v>
      </c>
      <c r="H405" t="s">
        <v>600</v>
      </c>
      <c r="I405" t="s">
        <v>601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hidden="1">
      <c r="A406" t="s">
        <v>18802</v>
      </c>
      <c r="B406" t="s">
        <v>1541</v>
      </c>
      <c r="C406" t="s">
        <v>1472</v>
      </c>
      <c r="D406" t="s">
        <v>1348</v>
      </c>
      <c r="E406" t="s">
        <v>1399</v>
      </c>
      <c r="F406" t="s">
        <v>598</v>
      </c>
      <c r="G406" t="s">
        <v>599</v>
      </c>
      <c r="H406" t="s">
        <v>600</v>
      </c>
      <c r="I406" t="s">
        <v>601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18802</v>
      </c>
      <c r="B407" t="s">
        <v>1550</v>
      </c>
      <c r="C407" t="s">
        <v>1472</v>
      </c>
      <c r="D407" t="s">
        <v>1354</v>
      </c>
      <c r="E407" t="s">
        <v>973</v>
      </c>
      <c r="F407" t="s">
        <v>598</v>
      </c>
      <c r="G407" t="s">
        <v>599</v>
      </c>
      <c r="H407" t="s">
        <v>600</v>
      </c>
      <c r="I407" t="s">
        <v>601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hidden="1">
      <c r="A408" t="s">
        <v>18802</v>
      </c>
      <c r="B408" t="s">
        <v>1566</v>
      </c>
      <c r="C408" t="s">
        <v>1472</v>
      </c>
      <c r="D408" t="s">
        <v>1567</v>
      </c>
      <c r="E408" t="s">
        <v>626</v>
      </c>
      <c r="F408" t="s">
        <v>598</v>
      </c>
      <c r="G408" t="s">
        <v>599</v>
      </c>
      <c r="H408" t="s">
        <v>600</v>
      </c>
      <c r="I408" t="s">
        <v>601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hidden="1">
      <c r="A409" t="s">
        <v>18802</v>
      </c>
      <c r="B409" t="s">
        <v>1568</v>
      </c>
      <c r="C409" t="s">
        <v>1472</v>
      </c>
      <c r="D409" t="s">
        <v>1569</v>
      </c>
      <c r="E409" t="s">
        <v>626</v>
      </c>
      <c r="F409" t="s">
        <v>598</v>
      </c>
      <c r="G409" t="s">
        <v>599</v>
      </c>
      <c r="H409" t="s">
        <v>600</v>
      </c>
      <c r="I409" t="s">
        <v>601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hidden="1">
      <c r="A410" t="s">
        <v>18802</v>
      </c>
      <c r="B410" t="s">
        <v>1570</v>
      </c>
      <c r="C410" t="s">
        <v>1472</v>
      </c>
      <c r="D410" t="s">
        <v>1571</v>
      </c>
      <c r="E410" t="s">
        <v>626</v>
      </c>
      <c r="F410" t="s">
        <v>598</v>
      </c>
      <c r="G410" t="s">
        <v>599</v>
      </c>
      <c r="H410" t="s">
        <v>600</v>
      </c>
      <c r="I410" t="s">
        <v>601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hidden="1">
      <c r="A411" t="s">
        <v>18802</v>
      </c>
      <c r="B411" t="s">
        <v>1572</v>
      </c>
      <c r="C411" t="s">
        <v>1472</v>
      </c>
      <c r="D411" t="s">
        <v>1571</v>
      </c>
      <c r="E411" t="s">
        <v>692</v>
      </c>
      <c r="F411" t="s">
        <v>598</v>
      </c>
      <c r="G411" t="s">
        <v>599</v>
      </c>
      <c r="H411" t="s">
        <v>600</v>
      </c>
      <c r="I411" t="s">
        <v>601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18802</v>
      </c>
      <c r="B412" t="s">
        <v>1573</v>
      </c>
      <c r="C412" t="s">
        <v>1472</v>
      </c>
      <c r="D412" t="s">
        <v>1574</v>
      </c>
      <c r="E412" t="s">
        <v>626</v>
      </c>
      <c r="F412" t="s">
        <v>598</v>
      </c>
      <c r="G412" t="s">
        <v>599</v>
      </c>
      <c r="H412" t="s">
        <v>600</v>
      </c>
      <c r="I412" t="s">
        <v>601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hidden="1">
      <c r="A413" t="s">
        <v>18802</v>
      </c>
      <c r="B413" t="s">
        <v>1575</v>
      </c>
      <c r="C413" t="s">
        <v>1472</v>
      </c>
      <c r="D413" t="s">
        <v>1576</v>
      </c>
      <c r="E413" t="s">
        <v>626</v>
      </c>
      <c r="F413" t="s">
        <v>598</v>
      </c>
      <c r="G413" t="s">
        <v>599</v>
      </c>
      <c r="H413" t="s">
        <v>600</v>
      </c>
      <c r="I413" t="s">
        <v>601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hidden="1">
      <c r="A414" t="s">
        <v>18802</v>
      </c>
      <c r="B414" t="s">
        <v>1577</v>
      </c>
      <c r="C414" t="s">
        <v>1472</v>
      </c>
      <c r="D414" t="s">
        <v>1578</v>
      </c>
      <c r="E414" t="s">
        <v>626</v>
      </c>
      <c r="F414" t="s">
        <v>598</v>
      </c>
      <c r="G414" t="s">
        <v>599</v>
      </c>
      <c r="H414" t="s">
        <v>600</v>
      </c>
      <c r="I414" t="s">
        <v>601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hidden="1">
      <c r="A415" t="s">
        <v>18802</v>
      </c>
      <c r="B415" t="s">
        <v>1582</v>
      </c>
      <c r="C415" t="s">
        <v>1472</v>
      </c>
      <c r="D415" t="s">
        <v>1583</v>
      </c>
      <c r="E415" t="s">
        <v>626</v>
      </c>
      <c r="F415" t="s">
        <v>598</v>
      </c>
      <c r="G415" t="s">
        <v>599</v>
      </c>
      <c r="H415" t="s">
        <v>600</v>
      </c>
      <c r="I415" t="s">
        <v>601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18802</v>
      </c>
      <c r="B416" t="s">
        <v>1584</v>
      </c>
      <c r="C416" t="s">
        <v>1472</v>
      </c>
      <c r="D416" t="s">
        <v>1583</v>
      </c>
      <c r="E416" t="s">
        <v>1334</v>
      </c>
      <c r="F416" t="s">
        <v>598</v>
      </c>
      <c r="G416" t="s">
        <v>599</v>
      </c>
      <c r="H416" t="s">
        <v>600</v>
      </c>
      <c r="I416" t="s">
        <v>601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18802</v>
      </c>
      <c r="B417" t="s">
        <v>1589</v>
      </c>
      <c r="C417" t="s">
        <v>1472</v>
      </c>
      <c r="D417" t="s">
        <v>1365</v>
      </c>
      <c r="E417" t="s">
        <v>973</v>
      </c>
      <c r="F417" t="s">
        <v>598</v>
      </c>
      <c r="G417" t="s">
        <v>599</v>
      </c>
      <c r="H417" t="s">
        <v>600</v>
      </c>
      <c r="I417" t="s">
        <v>601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18802</v>
      </c>
      <c r="B418" t="s">
        <v>1590</v>
      </c>
      <c r="C418" t="s">
        <v>1472</v>
      </c>
      <c r="D418" t="s">
        <v>1365</v>
      </c>
      <c r="E418" t="s">
        <v>626</v>
      </c>
      <c r="F418" t="s">
        <v>598</v>
      </c>
      <c r="G418" t="s">
        <v>599</v>
      </c>
      <c r="H418" t="s">
        <v>600</v>
      </c>
      <c r="I418" t="s">
        <v>601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18802</v>
      </c>
      <c r="B419" t="s">
        <v>1591</v>
      </c>
      <c r="C419" t="s">
        <v>1472</v>
      </c>
      <c r="D419" t="s">
        <v>1365</v>
      </c>
      <c r="E419" t="s">
        <v>628</v>
      </c>
      <c r="F419" t="s">
        <v>598</v>
      </c>
      <c r="G419" t="s">
        <v>599</v>
      </c>
      <c r="H419" t="s">
        <v>600</v>
      </c>
      <c r="I419" t="s">
        <v>601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18802</v>
      </c>
      <c r="B420" t="s">
        <v>1592</v>
      </c>
      <c r="C420" t="s">
        <v>1472</v>
      </c>
      <c r="D420" t="s">
        <v>1365</v>
      </c>
      <c r="E420" t="s">
        <v>888</v>
      </c>
      <c r="F420" t="s">
        <v>598</v>
      </c>
      <c r="G420" t="s">
        <v>599</v>
      </c>
      <c r="H420" t="s">
        <v>600</v>
      </c>
      <c r="I420" t="s">
        <v>601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18802</v>
      </c>
      <c r="B421" t="s">
        <v>1600</v>
      </c>
      <c r="C421" t="s">
        <v>1472</v>
      </c>
      <c r="D421" t="s">
        <v>1601</v>
      </c>
      <c r="E421" t="s">
        <v>626</v>
      </c>
      <c r="F421" t="s">
        <v>598</v>
      </c>
      <c r="G421" t="s">
        <v>599</v>
      </c>
      <c r="H421" t="s">
        <v>600</v>
      </c>
      <c r="I421" t="s">
        <v>601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18802</v>
      </c>
      <c r="B422" t="s">
        <v>1602</v>
      </c>
      <c r="C422" t="s">
        <v>1472</v>
      </c>
      <c r="D422" t="s">
        <v>1603</v>
      </c>
      <c r="E422" t="s">
        <v>626</v>
      </c>
      <c r="F422" t="s">
        <v>598</v>
      </c>
      <c r="G422" t="s">
        <v>599</v>
      </c>
      <c r="H422" t="s">
        <v>600</v>
      </c>
      <c r="I422" t="s">
        <v>601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18802</v>
      </c>
      <c r="B423" t="s">
        <v>1604</v>
      </c>
      <c r="C423" t="s">
        <v>1472</v>
      </c>
      <c r="D423" t="s">
        <v>1605</v>
      </c>
      <c r="E423" t="s">
        <v>626</v>
      </c>
      <c r="F423" t="s">
        <v>598</v>
      </c>
      <c r="G423" t="s">
        <v>599</v>
      </c>
      <c r="H423" t="s">
        <v>600</v>
      </c>
      <c r="I423" t="s">
        <v>601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18802</v>
      </c>
      <c r="B424" t="s">
        <v>1609</v>
      </c>
      <c r="C424" t="s">
        <v>1472</v>
      </c>
      <c r="D424" t="s">
        <v>648</v>
      </c>
      <c r="E424" t="s">
        <v>626</v>
      </c>
      <c r="F424" t="s">
        <v>598</v>
      </c>
      <c r="G424" t="s">
        <v>599</v>
      </c>
      <c r="H424" t="s">
        <v>600</v>
      </c>
      <c r="I424" t="s">
        <v>601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18802</v>
      </c>
      <c r="B425" t="s">
        <v>1610</v>
      </c>
      <c r="C425" t="s">
        <v>1611</v>
      </c>
      <c r="D425" t="s">
        <v>648</v>
      </c>
      <c r="E425" t="s">
        <v>920</v>
      </c>
      <c r="F425" t="s">
        <v>598</v>
      </c>
      <c r="G425" t="s">
        <v>599</v>
      </c>
      <c r="H425" t="s">
        <v>600</v>
      </c>
      <c r="I425" t="s">
        <v>601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hidden="1">
      <c r="A426" t="s">
        <v>18802</v>
      </c>
      <c r="B426" t="s">
        <v>1617</v>
      </c>
      <c r="C426" t="s">
        <v>1614</v>
      </c>
      <c r="D426" t="s">
        <v>1316</v>
      </c>
      <c r="E426" t="s">
        <v>954</v>
      </c>
      <c r="F426" t="s">
        <v>598</v>
      </c>
      <c r="G426" t="s">
        <v>599</v>
      </c>
      <c r="H426" t="s">
        <v>600</v>
      </c>
      <c r="I426" t="s">
        <v>601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18802</v>
      </c>
      <c r="B427" t="s">
        <v>1683</v>
      </c>
      <c r="C427" t="s">
        <v>1614</v>
      </c>
      <c r="D427" t="s">
        <v>1332</v>
      </c>
      <c r="E427" t="s">
        <v>1684</v>
      </c>
      <c r="F427" t="s">
        <v>598</v>
      </c>
      <c r="G427" t="s">
        <v>599</v>
      </c>
      <c r="H427" t="s">
        <v>600</v>
      </c>
      <c r="I427" t="s">
        <v>601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18802</v>
      </c>
      <c r="B428" t="s">
        <v>1740</v>
      </c>
      <c r="C428" t="s">
        <v>1614</v>
      </c>
      <c r="D428" t="s">
        <v>1722</v>
      </c>
      <c r="E428" t="s">
        <v>1741</v>
      </c>
      <c r="F428" t="s">
        <v>598</v>
      </c>
      <c r="G428" t="s">
        <v>599</v>
      </c>
      <c r="H428" t="s">
        <v>600</v>
      </c>
      <c r="I428" t="s">
        <v>601</v>
      </c>
      <c r="J428">
        <v>1.7600000000000001E-2</v>
      </c>
      <c r="K428">
        <v>1.7100000000000001E-2</v>
      </c>
      <c r="L428">
        <v>1.67E-2</v>
      </c>
      <c r="M428">
        <v>1.5900000000000001E-2</v>
      </c>
      <c r="N428">
        <v>1.5599999999999999E-2</v>
      </c>
      <c r="O428">
        <v>1.5100000000000001E-2</v>
      </c>
      <c r="P428">
        <v>1.5299999999999999E-2</v>
      </c>
      <c r="Q428">
        <v>1.55E-2</v>
      </c>
      <c r="R428">
        <v>1.55E-2</v>
      </c>
      <c r="S428">
        <v>1.55E-2</v>
      </c>
      <c r="T428">
        <v>1.5599999999999999E-2</v>
      </c>
      <c r="U428">
        <v>1.5599999999999999E-2</v>
      </c>
      <c r="V428">
        <v>1.5699999999999999E-2</v>
      </c>
      <c r="W428">
        <v>1.5699999999999999E-2</v>
      </c>
      <c r="X428">
        <v>1.5800000000000002E-2</v>
      </c>
      <c r="Y428">
        <v>1.5800000000000002E-2</v>
      </c>
    </row>
    <row r="429" spans="1:25" hidden="1">
      <c r="A429" t="s">
        <v>18802</v>
      </c>
      <c r="B429" t="s">
        <v>1742</v>
      </c>
      <c r="C429" t="s">
        <v>1614</v>
      </c>
      <c r="D429" t="s">
        <v>1722</v>
      </c>
      <c r="E429" t="s">
        <v>1743</v>
      </c>
      <c r="F429" t="s">
        <v>598</v>
      </c>
      <c r="G429" t="s">
        <v>599</v>
      </c>
      <c r="H429" t="s">
        <v>600</v>
      </c>
      <c r="I429" t="s">
        <v>601</v>
      </c>
      <c r="J429">
        <v>5.8400000000000001E-2</v>
      </c>
      <c r="K429">
        <v>5.67E-2</v>
      </c>
      <c r="L429">
        <v>5.5100000000000003E-2</v>
      </c>
      <c r="M429">
        <v>5.2600000000000001E-2</v>
      </c>
      <c r="N429">
        <v>5.1700000000000003E-2</v>
      </c>
      <c r="O429">
        <v>4.99E-2</v>
      </c>
      <c r="P429">
        <v>5.0599999999999999E-2</v>
      </c>
      <c r="Q429">
        <v>5.11E-2</v>
      </c>
      <c r="R429">
        <v>5.1200000000000002E-2</v>
      </c>
      <c r="S429">
        <v>5.1200000000000002E-2</v>
      </c>
      <c r="T429">
        <v>5.16E-2</v>
      </c>
      <c r="U429">
        <v>5.1700000000000003E-2</v>
      </c>
      <c r="V429">
        <v>5.1799999999999999E-2</v>
      </c>
      <c r="W429">
        <v>5.1999999999999998E-2</v>
      </c>
      <c r="X429">
        <v>5.2200000000000003E-2</v>
      </c>
      <c r="Y429">
        <v>5.2299999999999999E-2</v>
      </c>
    </row>
    <row r="430" spans="1:25" hidden="1">
      <c r="A430" t="s">
        <v>18802</v>
      </c>
      <c r="B430" t="s">
        <v>1746</v>
      </c>
      <c r="C430" t="s">
        <v>1614</v>
      </c>
      <c r="D430" t="s">
        <v>1722</v>
      </c>
      <c r="E430" t="s">
        <v>954</v>
      </c>
      <c r="F430" t="s">
        <v>598</v>
      </c>
      <c r="G430" t="s">
        <v>599</v>
      </c>
      <c r="H430" t="s">
        <v>600</v>
      </c>
      <c r="I430" t="s">
        <v>601</v>
      </c>
      <c r="J430">
        <v>1E-4</v>
      </c>
      <c r="K430">
        <v>1E-4</v>
      </c>
      <c r="L430">
        <v>1E-4</v>
      </c>
      <c r="M430">
        <v>1E-4</v>
      </c>
      <c r="N430">
        <v>1E-4</v>
      </c>
      <c r="O430">
        <v>1E-4</v>
      </c>
      <c r="P430">
        <v>1E-4</v>
      </c>
      <c r="Q430">
        <v>1E-4</v>
      </c>
      <c r="R430">
        <v>1E-4</v>
      </c>
      <c r="S430">
        <v>1E-4</v>
      </c>
      <c r="T430">
        <v>1E-4</v>
      </c>
      <c r="U430">
        <v>1E-4</v>
      </c>
      <c r="V430">
        <v>1E-4</v>
      </c>
      <c r="W430">
        <v>1E-4</v>
      </c>
      <c r="X430">
        <v>1E-4</v>
      </c>
      <c r="Y430">
        <v>1E-4</v>
      </c>
    </row>
    <row r="431" spans="1:25" hidden="1">
      <c r="A431" t="s">
        <v>18802</v>
      </c>
      <c r="B431" t="s">
        <v>1760</v>
      </c>
      <c r="C431" t="s">
        <v>1614</v>
      </c>
      <c r="D431" t="s">
        <v>1722</v>
      </c>
      <c r="E431" t="s">
        <v>1761</v>
      </c>
      <c r="F431" t="s">
        <v>598</v>
      </c>
      <c r="G431" t="s">
        <v>599</v>
      </c>
      <c r="H431" t="s">
        <v>600</v>
      </c>
      <c r="I431" t="s">
        <v>601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18802</v>
      </c>
      <c r="B432" t="s">
        <v>1771</v>
      </c>
      <c r="C432" t="s">
        <v>1614</v>
      </c>
      <c r="D432" t="s">
        <v>1768</v>
      </c>
      <c r="E432" t="s">
        <v>1772</v>
      </c>
      <c r="F432" t="s">
        <v>598</v>
      </c>
      <c r="G432" t="s">
        <v>599</v>
      </c>
      <c r="H432" t="s">
        <v>600</v>
      </c>
      <c r="I432" t="s">
        <v>601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18802</v>
      </c>
      <c r="B433" t="s">
        <v>1775</v>
      </c>
      <c r="C433" t="s">
        <v>1614</v>
      </c>
      <c r="D433" t="s">
        <v>1776</v>
      </c>
      <c r="E433" t="s">
        <v>1777</v>
      </c>
      <c r="F433" t="s">
        <v>598</v>
      </c>
      <c r="G433" t="s">
        <v>599</v>
      </c>
      <c r="H433" t="s">
        <v>600</v>
      </c>
      <c r="I433" t="s">
        <v>601</v>
      </c>
      <c r="J433">
        <v>1E-4</v>
      </c>
      <c r="K433">
        <v>1E-4</v>
      </c>
      <c r="L433">
        <v>1E-4</v>
      </c>
      <c r="M433">
        <v>1E-4</v>
      </c>
      <c r="N433">
        <v>1E-4</v>
      </c>
      <c r="O433">
        <v>1E-4</v>
      </c>
      <c r="P433">
        <v>1E-4</v>
      </c>
      <c r="Q433">
        <v>1E-4</v>
      </c>
      <c r="R433">
        <v>1E-4</v>
      </c>
      <c r="S433">
        <v>2.0000000000000001E-4</v>
      </c>
      <c r="T433">
        <v>2.0000000000000001E-4</v>
      </c>
      <c r="U433">
        <v>2.0000000000000001E-4</v>
      </c>
      <c r="V433">
        <v>2.0000000000000001E-4</v>
      </c>
      <c r="W433">
        <v>2.0000000000000001E-4</v>
      </c>
      <c r="X433">
        <v>2.0000000000000001E-4</v>
      </c>
      <c r="Y433">
        <v>2.0000000000000001E-4</v>
      </c>
    </row>
    <row r="434" spans="1:25" hidden="1">
      <c r="A434" t="s">
        <v>18802</v>
      </c>
      <c r="B434" t="s">
        <v>1780</v>
      </c>
      <c r="C434" t="s">
        <v>1614</v>
      </c>
      <c r="D434" t="s">
        <v>1781</v>
      </c>
      <c r="E434" t="s">
        <v>1716</v>
      </c>
      <c r="F434" t="s">
        <v>598</v>
      </c>
      <c r="G434" t="s">
        <v>599</v>
      </c>
      <c r="H434" t="s">
        <v>600</v>
      </c>
      <c r="I434" t="s">
        <v>601</v>
      </c>
      <c r="J434">
        <v>2.5000000000000001E-3</v>
      </c>
      <c r="K434">
        <v>2.5000000000000001E-3</v>
      </c>
      <c r="L434">
        <v>2.5999999999999999E-3</v>
      </c>
      <c r="M434">
        <v>2.7000000000000001E-3</v>
      </c>
      <c r="N434">
        <v>2.7000000000000001E-3</v>
      </c>
      <c r="O434">
        <v>2.8E-3</v>
      </c>
      <c r="P434">
        <v>3.0000000000000001E-3</v>
      </c>
      <c r="Q434">
        <v>3.0000000000000001E-3</v>
      </c>
      <c r="R434">
        <v>3.0000000000000001E-3</v>
      </c>
      <c r="S434">
        <v>3.0999999999999999E-3</v>
      </c>
      <c r="T434">
        <v>3.0999999999999999E-3</v>
      </c>
      <c r="U434">
        <v>3.0999999999999999E-3</v>
      </c>
      <c r="V434">
        <v>3.2000000000000002E-3</v>
      </c>
      <c r="W434">
        <v>3.3E-3</v>
      </c>
      <c r="X434">
        <v>3.3E-3</v>
      </c>
      <c r="Y434">
        <v>3.3E-3</v>
      </c>
    </row>
    <row r="435" spans="1:25" hidden="1">
      <c r="A435" t="s">
        <v>18802</v>
      </c>
      <c r="B435" t="s">
        <v>1810</v>
      </c>
      <c r="C435" t="s">
        <v>1614</v>
      </c>
      <c r="D435" t="s">
        <v>1781</v>
      </c>
      <c r="E435" t="s">
        <v>1081</v>
      </c>
      <c r="F435" t="s">
        <v>598</v>
      </c>
      <c r="G435" t="s">
        <v>599</v>
      </c>
      <c r="H435" t="s">
        <v>600</v>
      </c>
      <c r="I435" t="s">
        <v>601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18802</v>
      </c>
      <c r="B436" t="s">
        <v>1814</v>
      </c>
      <c r="C436" t="s">
        <v>1614</v>
      </c>
      <c r="D436" t="s">
        <v>1812</v>
      </c>
      <c r="E436" t="s">
        <v>1081</v>
      </c>
      <c r="F436" t="s">
        <v>598</v>
      </c>
      <c r="G436" t="s">
        <v>599</v>
      </c>
      <c r="H436" t="s">
        <v>600</v>
      </c>
      <c r="I436" t="s">
        <v>601</v>
      </c>
      <c r="J436">
        <v>1.6999999999999999E-3</v>
      </c>
      <c r="K436">
        <v>1.8E-3</v>
      </c>
      <c r="L436">
        <v>2E-3</v>
      </c>
      <c r="M436">
        <v>2.0999999999999999E-3</v>
      </c>
      <c r="N436">
        <v>2.2000000000000001E-3</v>
      </c>
      <c r="O436">
        <v>2.3E-3</v>
      </c>
      <c r="P436">
        <v>2.3999999999999998E-3</v>
      </c>
      <c r="Q436">
        <v>2.5000000000000001E-3</v>
      </c>
      <c r="R436">
        <v>2.5000000000000001E-3</v>
      </c>
      <c r="S436">
        <v>2.5999999999999999E-3</v>
      </c>
      <c r="T436">
        <v>2.5999999999999999E-3</v>
      </c>
      <c r="U436">
        <v>2.5999999999999999E-3</v>
      </c>
      <c r="V436">
        <v>2.7000000000000001E-3</v>
      </c>
      <c r="W436">
        <v>2.7000000000000001E-3</v>
      </c>
      <c r="X436">
        <v>2.8E-3</v>
      </c>
      <c r="Y436">
        <v>2.8E-3</v>
      </c>
    </row>
    <row r="437" spans="1:25" hidden="1">
      <c r="A437" t="s">
        <v>18802</v>
      </c>
      <c r="B437" t="s">
        <v>1815</v>
      </c>
      <c r="C437" t="s">
        <v>1614</v>
      </c>
      <c r="D437" t="s">
        <v>1812</v>
      </c>
      <c r="E437" t="s">
        <v>1093</v>
      </c>
      <c r="F437" t="s">
        <v>598</v>
      </c>
      <c r="G437" t="s">
        <v>599</v>
      </c>
      <c r="H437" t="s">
        <v>600</v>
      </c>
      <c r="I437" t="s">
        <v>601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18802</v>
      </c>
      <c r="B438" t="s">
        <v>1819</v>
      </c>
      <c r="C438" t="s">
        <v>1614</v>
      </c>
      <c r="D438" t="s">
        <v>648</v>
      </c>
      <c r="E438" t="s">
        <v>1340</v>
      </c>
      <c r="F438" t="s">
        <v>598</v>
      </c>
      <c r="G438" t="s">
        <v>599</v>
      </c>
      <c r="H438" t="s">
        <v>600</v>
      </c>
      <c r="I438" t="s">
        <v>601</v>
      </c>
      <c r="J438">
        <v>1.0999999999999999E-2</v>
      </c>
      <c r="K438">
        <v>1.0699999999999999E-2</v>
      </c>
      <c r="L438">
        <v>1.04E-2</v>
      </c>
      <c r="M438">
        <v>9.9000000000000008E-3</v>
      </c>
      <c r="N438">
        <v>9.7000000000000003E-3</v>
      </c>
      <c r="O438">
        <v>9.4000000000000004E-3</v>
      </c>
      <c r="P438">
        <v>9.4999999999999998E-3</v>
      </c>
      <c r="Q438">
        <v>9.5999999999999992E-3</v>
      </c>
      <c r="R438">
        <v>9.7000000000000003E-3</v>
      </c>
      <c r="S438">
        <v>9.7000000000000003E-3</v>
      </c>
      <c r="T438">
        <v>9.7000000000000003E-3</v>
      </c>
      <c r="U438">
        <v>9.7000000000000003E-3</v>
      </c>
      <c r="V438">
        <v>9.7999999999999997E-3</v>
      </c>
      <c r="W438">
        <v>9.7999999999999997E-3</v>
      </c>
      <c r="X438">
        <v>9.7999999999999997E-3</v>
      </c>
      <c r="Y438">
        <v>9.9000000000000008E-3</v>
      </c>
    </row>
    <row r="439" spans="1:25" hidden="1">
      <c r="A439" t="s">
        <v>18802</v>
      </c>
      <c r="B439" t="s">
        <v>1821</v>
      </c>
      <c r="C439" t="s">
        <v>1614</v>
      </c>
      <c r="D439" t="s">
        <v>648</v>
      </c>
      <c r="E439" t="s">
        <v>1822</v>
      </c>
      <c r="F439" t="s">
        <v>598</v>
      </c>
      <c r="G439" t="s">
        <v>599</v>
      </c>
      <c r="H439" t="s">
        <v>600</v>
      </c>
      <c r="I439" t="s">
        <v>601</v>
      </c>
      <c r="J439">
        <v>5.9999999999999995E-4</v>
      </c>
      <c r="K439">
        <v>5.0000000000000001E-4</v>
      </c>
      <c r="L439">
        <v>5.0000000000000001E-4</v>
      </c>
      <c r="M439">
        <v>5.0000000000000001E-4</v>
      </c>
      <c r="N439">
        <v>5.0000000000000001E-4</v>
      </c>
      <c r="O439">
        <v>5.0000000000000001E-4</v>
      </c>
      <c r="P439">
        <v>5.0000000000000001E-4</v>
      </c>
      <c r="Q439">
        <v>5.0000000000000001E-4</v>
      </c>
      <c r="R439">
        <v>5.0000000000000001E-4</v>
      </c>
      <c r="S439">
        <v>5.0000000000000001E-4</v>
      </c>
      <c r="T439">
        <v>5.0000000000000001E-4</v>
      </c>
      <c r="U439">
        <v>5.0000000000000001E-4</v>
      </c>
      <c r="V439">
        <v>5.0000000000000001E-4</v>
      </c>
      <c r="W439">
        <v>5.0000000000000001E-4</v>
      </c>
      <c r="X439">
        <v>5.0000000000000001E-4</v>
      </c>
      <c r="Y439">
        <v>5.0000000000000001E-4</v>
      </c>
    </row>
    <row r="440" spans="1:25" hidden="1">
      <c r="A440" t="s">
        <v>18802</v>
      </c>
      <c r="B440" t="s">
        <v>1825</v>
      </c>
      <c r="C440" t="s">
        <v>1614</v>
      </c>
      <c r="D440" t="s">
        <v>648</v>
      </c>
      <c r="E440" t="s">
        <v>954</v>
      </c>
      <c r="F440" t="s">
        <v>598</v>
      </c>
      <c r="G440" t="s">
        <v>599</v>
      </c>
      <c r="H440" t="s">
        <v>600</v>
      </c>
      <c r="I440" t="s">
        <v>601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18802</v>
      </c>
      <c r="B441" t="s">
        <v>1832</v>
      </c>
      <c r="C441" t="s">
        <v>1614</v>
      </c>
      <c r="D441" t="s">
        <v>648</v>
      </c>
      <c r="E441" t="s">
        <v>1393</v>
      </c>
      <c r="F441" t="s">
        <v>598</v>
      </c>
      <c r="G441" t="s">
        <v>599</v>
      </c>
      <c r="H441" t="s">
        <v>600</v>
      </c>
      <c r="I441" t="s">
        <v>601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18802</v>
      </c>
      <c r="B442" t="s">
        <v>1839</v>
      </c>
      <c r="C442" t="s">
        <v>1614</v>
      </c>
      <c r="D442" t="s">
        <v>648</v>
      </c>
      <c r="E442" t="s">
        <v>1765</v>
      </c>
      <c r="F442" t="s">
        <v>598</v>
      </c>
      <c r="G442" t="s">
        <v>599</v>
      </c>
      <c r="H442" t="s">
        <v>600</v>
      </c>
      <c r="I442" t="s">
        <v>601</v>
      </c>
      <c r="J442">
        <v>1.1000000000000001E-3</v>
      </c>
      <c r="K442">
        <v>1.1999999999999999E-3</v>
      </c>
      <c r="L442">
        <v>1.1999999999999999E-3</v>
      </c>
      <c r="M442">
        <v>1.1999999999999999E-3</v>
      </c>
      <c r="N442">
        <v>1.2999999999999999E-3</v>
      </c>
      <c r="O442">
        <v>1.2999999999999999E-3</v>
      </c>
      <c r="P442">
        <v>1.2999999999999999E-3</v>
      </c>
      <c r="Q442">
        <v>1.4E-3</v>
      </c>
      <c r="R442">
        <v>1.4E-3</v>
      </c>
      <c r="S442">
        <v>1.4E-3</v>
      </c>
      <c r="T442">
        <v>1.4E-3</v>
      </c>
      <c r="U442">
        <v>1.5E-3</v>
      </c>
      <c r="V442">
        <v>1.5E-3</v>
      </c>
      <c r="W442">
        <v>1.5E-3</v>
      </c>
      <c r="X442">
        <v>1.5E-3</v>
      </c>
      <c r="Y442">
        <v>1.5E-3</v>
      </c>
    </row>
    <row r="443" spans="1:25" hidden="1">
      <c r="A443" t="s">
        <v>18802</v>
      </c>
      <c r="B443" t="s">
        <v>1858</v>
      </c>
      <c r="C443" t="s">
        <v>1845</v>
      </c>
      <c r="D443" t="s">
        <v>1859</v>
      </c>
      <c r="E443" t="s">
        <v>1860</v>
      </c>
      <c r="F443" t="s">
        <v>598</v>
      </c>
      <c r="G443" t="s">
        <v>599</v>
      </c>
      <c r="H443" t="s">
        <v>600</v>
      </c>
      <c r="I443" t="s">
        <v>601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18802</v>
      </c>
      <c r="B444" t="s">
        <v>1861</v>
      </c>
      <c r="C444" t="s">
        <v>1845</v>
      </c>
      <c r="D444" t="s">
        <v>1862</v>
      </c>
      <c r="E444" t="s">
        <v>1860</v>
      </c>
      <c r="F444" t="s">
        <v>598</v>
      </c>
      <c r="G444" t="s">
        <v>599</v>
      </c>
      <c r="H444" t="s">
        <v>600</v>
      </c>
      <c r="I444" t="s">
        <v>601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18802</v>
      </c>
      <c r="B445" t="s">
        <v>1863</v>
      </c>
      <c r="C445" t="s">
        <v>1845</v>
      </c>
      <c r="D445" t="s">
        <v>1864</v>
      </c>
      <c r="E445" t="s">
        <v>1865</v>
      </c>
      <c r="F445" t="s">
        <v>598</v>
      </c>
      <c r="G445" t="s">
        <v>599</v>
      </c>
      <c r="H445" t="s">
        <v>600</v>
      </c>
      <c r="I445" t="s">
        <v>601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18802</v>
      </c>
      <c r="B446" t="s">
        <v>1870</v>
      </c>
      <c r="C446" t="s">
        <v>1845</v>
      </c>
      <c r="D446" t="s">
        <v>1871</v>
      </c>
      <c r="E446" t="s">
        <v>1872</v>
      </c>
      <c r="F446" t="s">
        <v>598</v>
      </c>
      <c r="G446" t="s">
        <v>599</v>
      </c>
      <c r="H446" t="s">
        <v>600</v>
      </c>
      <c r="I446" t="s">
        <v>601</v>
      </c>
      <c r="J446">
        <v>1.8E-3</v>
      </c>
      <c r="K446">
        <v>1.8E-3</v>
      </c>
      <c r="L446">
        <v>1.8E-3</v>
      </c>
      <c r="M446">
        <v>1.9E-3</v>
      </c>
      <c r="N446">
        <v>1.9E-3</v>
      </c>
      <c r="O446">
        <v>1.9E-3</v>
      </c>
      <c r="P446">
        <v>2E-3</v>
      </c>
      <c r="Q446">
        <v>2E-3</v>
      </c>
      <c r="R446">
        <v>2E-3</v>
      </c>
      <c r="S446">
        <v>2E-3</v>
      </c>
      <c r="T446">
        <v>2.0999999999999999E-3</v>
      </c>
      <c r="U446">
        <v>2.0999999999999999E-3</v>
      </c>
      <c r="V446">
        <v>2.0999999999999999E-3</v>
      </c>
      <c r="W446">
        <v>2.0999999999999999E-3</v>
      </c>
      <c r="X446">
        <v>2.2000000000000001E-3</v>
      </c>
      <c r="Y446">
        <v>2.2000000000000001E-3</v>
      </c>
    </row>
    <row r="447" spans="1:25" hidden="1">
      <c r="A447" t="s">
        <v>18802</v>
      </c>
      <c r="B447" t="s">
        <v>1877</v>
      </c>
      <c r="C447" t="s">
        <v>1845</v>
      </c>
      <c r="D447" t="s">
        <v>1878</v>
      </c>
      <c r="E447" t="s">
        <v>1872</v>
      </c>
      <c r="F447" t="s">
        <v>598</v>
      </c>
      <c r="G447" t="s">
        <v>599</v>
      </c>
      <c r="H447" t="s">
        <v>600</v>
      </c>
      <c r="I447" t="s">
        <v>601</v>
      </c>
      <c r="J447">
        <v>0</v>
      </c>
      <c r="K447">
        <v>0</v>
      </c>
      <c r="L447">
        <v>0</v>
      </c>
      <c r="M447">
        <v>1E-4</v>
      </c>
      <c r="N447">
        <v>1E-4</v>
      </c>
      <c r="O447">
        <v>1E-4</v>
      </c>
      <c r="P447">
        <v>1E-4</v>
      </c>
      <c r="Q447">
        <v>1E-4</v>
      </c>
      <c r="R447">
        <v>1E-4</v>
      </c>
      <c r="S447">
        <v>1E-4</v>
      </c>
      <c r="T447">
        <v>1E-4</v>
      </c>
      <c r="U447">
        <v>1E-4</v>
      </c>
      <c r="V447">
        <v>1E-4</v>
      </c>
      <c r="W447">
        <v>1E-4</v>
      </c>
      <c r="X447">
        <v>1E-4</v>
      </c>
      <c r="Y447">
        <v>1E-4</v>
      </c>
    </row>
    <row r="448" spans="1:25" hidden="1">
      <c r="A448" t="s">
        <v>18802</v>
      </c>
      <c r="B448" t="s">
        <v>1905</v>
      </c>
      <c r="C448" t="s">
        <v>1845</v>
      </c>
      <c r="D448" t="s">
        <v>1878</v>
      </c>
      <c r="E448" t="s">
        <v>1906</v>
      </c>
      <c r="F448" t="s">
        <v>598</v>
      </c>
      <c r="G448" t="s">
        <v>599</v>
      </c>
      <c r="H448" t="s">
        <v>600</v>
      </c>
      <c r="I448" t="s">
        <v>601</v>
      </c>
      <c r="J448">
        <v>1E-4</v>
      </c>
      <c r="K448">
        <v>1E-4</v>
      </c>
      <c r="L448">
        <v>1E-4</v>
      </c>
      <c r="M448">
        <v>1E-4</v>
      </c>
      <c r="N448">
        <v>1E-4</v>
      </c>
      <c r="O448">
        <v>1E-4</v>
      </c>
      <c r="P448">
        <v>1E-4</v>
      </c>
      <c r="Q448">
        <v>1E-4</v>
      </c>
      <c r="R448">
        <v>1E-4</v>
      </c>
      <c r="S448">
        <v>1E-4</v>
      </c>
      <c r="T448">
        <v>1E-4</v>
      </c>
      <c r="U448">
        <v>1E-4</v>
      </c>
      <c r="V448">
        <v>1E-4</v>
      </c>
      <c r="W448">
        <v>1E-4</v>
      </c>
      <c r="X448">
        <v>1E-4</v>
      </c>
      <c r="Y448">
        <v>1E-4</v>
      </c>
    </row>
    <row r="449" spans="1:25" hidden="1">
      <c r="A449" t="s">
        <v>18802</v>
      </c>
      <c r="B449" t="s">
        <v>1927</v>
      </c>
      <c r="C449" t="s">
        <v>1845</v>
      </c>
      <c r="D449" t="s">
        <v>1918</v>
      </c>
      <c r="E449" t="s">
        <v>1892</v>
      </c>
      <c r="F449" t="s">
        <v>598</v>
      </c>
      <c r="G449" t="s">
        <v>599</v>
      </c>
      <c r="H449" t="s">
        <v>600</v>
      </c>
      <c r="I449" t="s">
        <v>601</v>
      </c>
      <c r="J449">
        <v>4.3E-3</v>
      </c>
      <c r="K449">
        <v>4.4000000000000003E-3</v>
      </c>
      <c r="L449">
        <v>4.4999999999999997E-3</v>
      </c>
      <c r="M449">
        <v>4.5999999999999999E-3</v>
      </c>
      <c r="N449">
        <v>4.7000000000000002E-3</v>
      </c>
      <c r="O449">
        <v>4.7999999999999996E-3</v>
      </c>
      <c r="P449">
        <v>5.0000000000000001E-3</v>
      </c>
      <c r="Q449">
        <v>5.1999999999999998E-3</v>
      </c>
      <c r="R449">
        <v>5.3E-3</v>
      </c>
      <c r="S449">
        <v>5.3E-3</v>
      </c>
      <c r="T449">
        <v>5.3E-3</v>
      </c>
      <c r="U449">
        <v>5.4000000000000003E-3</v>
      </c>
      <c r="V449">
        <v>5.4999999999999997E-3</v>
      </c>
      <c r="W449">
        <v>5.4999999999999997E-3</v>
      </c>
      <c r="X449">
        <v>5.5999999999999999E-3</v>
      </c>
      <c r="Y449">
        <v>5.7000000000000002E-3</v>
      </c>
    </row>
    <row r="450" spans="1:25" hidden="1">
      <c r="A450" t="s">
        <v>18802</v>
      </c>
      <c r="B450" t="s">
        <v>1949</v>
      </c>
      <c r="C450" t="s">
        <v>1845</v>
      </c>
      <c r="D450" t="s">
        <v>648</v>
      </c>
      <c r="E450" t="s">
        <v>1872</v>
      </c>
      <c r="F450" t="s">
        <v>598</v>
      </c>
      <c r="G450" t="s">
        <v>599</v>
      </c>
      <c r="H450" t="s">
        <v>600</v>
      </c>
      <c r="I450" t="s">
        <v>601</v>
      </c>
      <c r="J450">
        <v>5.3999999999999999E-2</v>
      </c>
      <c r="K450">
        <v>5.6800000000000003E-2</v>
      </c>
      <c r="L450">
        <v>6.0199999999999997E-2</v>
      </c>
      <c r="M450">
        <v>6.3799999999999996E-2</v>
      </c>
      <c r="N450">
        <v>6.6799999999999998E-2</v>
      </c>
      <c r="O450">
        <v>7.0000000000000007E-2</v>
      </c>
      <c r="P450">
        <v>7.17E-2</v>
      </c>
      <c r="Q450">
        <v>7.3300000000000004E-2</v>
      </c>
      <c r="R450">
        <v>7.4300000000000005E-2</v>
      </c>
      <c r="S450">
        <v>7.4999999999999997E-2</v>
      </c>
      <c r="T450">
        <v>7.5700000000000003E-2</v>
      </c>
      <c r="U450">
        <v>7.6499999999999999E-2</v>
      </c>
      <c r="V450">
        <v>7.7399999999999997E-2</v>
      </c>
      <c r="W450">
        <v>7.8200000000000006E-2</v>
      </c>
      <c r="X450">
        <v>7.9100000000000004E-2</v>
      </c>
      <c r="Y450">
        <v>0.08</v>
      </c>
    </row>
    <row r="451" spans="1:25" hidden="1">
      <c r="A451" t="s">
        <v>18802</v>
      </c>
      <c r="B451" t="s">
        <v>1960</v>
      </c>
      <c r="C451" t="s">
        <v>1959</v>
      </c>
      <c r="D451" t="s">
        <v>1332</v>
      </c>
      <c r="E451" t="s">
        <v>954</v>
      </c>
      <c r="F451" t="s">
        <v>598</v>
      </c>
      <c r="G451" t="s">
        <v>599</v>
      </c>
      <c r="H451" t="s">
        <v>600</v>
      </c>
      <c r="I451" t="s">
        <v>601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18802</v>
      </c>
      <c r="B452" t="s">
        <v>1964</v>
      </c>
      <c r="C452" t="s">
        <v>1959</v>
      </c>
      <c r="D452" t="s">
        <v>1965</v>
      </c>
      <c r="E452" t="s">
        <v>1966</v>
      </c>
      <c r="F452" t="s">
        <v>598</v>
      </c>
      <c r="G452" t="s">
        <v>599</v>
      </c>
      <c r="H452" t="s">
        <v>600</v>
      </c>
      <c r="I452" t="s">
        <v>601</v>
      </c>
      <c r="J452">
        <v>0.19439999999999999</v>
      </c>
      <c r="K452">
        <v>0.19439999999999999</v>
      </c>
      <c r="L452">
        <v>0.19359999999999999</v>
      </c>
      <c r="M452">
        <v>0.19289999999999999</v>
      </c>
      <c r="N452">
        <v>0.1933</v>
      </c>
      <c r="O452">
        <v>0.192</v>
      </c>
      <c r="P452">
        <v>0.19489999999999999</v>
      </c>
      <c r="Q452">
        <v>0.19850000000000001</v>
      </c>
      <c r="R452">
        <v>0.2</v>
      </c>
      <c r="S452">
        <v>0.20250000000000001</v>
      </c>
      <c r="T452">
        <v>0.20499999999999999</v>
      </c>
      <c r="U452">
        <v>0.20660000000000001</v>
      </c>
      <c r="V452">
        <v>0.20860000000000001</v>
      </c>
      <c r="W452">
        <v>0.21060000000000001</v>
      </c>
      <c r="X452">
        <v>0.21260000000000001</v>
      </c>
      <c r="Y452">
        <v>0.21440000000000001</v>
      </c>
    </row>
    <row r="453" spans="1:25" hidden="1">
      <c r="A453" t="s">
        <v>18802</v>
      </c>
      <c r="B453" t="s">
        <v>1967</v>
      </c>
      <c r="C453" t="s">
        <v>1959</v>
      </c>
      <c r="D453" t="s">
        <v>1968</v>
      </c>
      <c r="E453" t="s">
        <v>1962</v>
      </c>
      <c r="F453" t="s">
        <v>598</v>
      </c>
      <c r="G453" t="s">
        <v>599</v>
      </c>
      <c r="H453" t="s">
        <v>600</v>
      </c>
      <c r="I453" t="s">
        <v>601</v>
      </c>
      <c r="J453">
        <v>8.7900000000000006E-2</v>
      </c>
      <c r="K453">
        <v>9.2700000000000005E-2</v>
      </c>
      <c r="L453">
        <v>9.7699999999999995E-2</v>
      </c>
      <c r="M453">
        <v>0.10290000000000001</v>
      </c>
      <c r="N453">
        <v>0.10730000000000001</v>
      </c>
      <c r="O453">
        <v>0.1119</v>
      </c>
      <c r="P453">
        <v>0.1148</v>
      </c>
      <c r="Q453">
        <v>0.1186</v>
      </c>
      <c r="R453">
        <v>0.12130000000000001</v>
      </c>
      <c r="S453">
        <v>0.125</v>
      </c>
      <c r="T453">
        <v>0.12859999999999999</v>
      </c>
      <c r="U453">
        <v>0.13159999999999999</v>
      </c>
      <c r="V453">
        <v>0.1348</v>
      </c>
      <c r="W453">
        <v>0.1381</v>
      </c>
      <c r="X453">
        <v>0.14119999999999999</v>
      </c>
      <c r="Y453">
        <v>0.1444</v>
      </c>
    </row>
    <row r="454" spans="1:25" hidden="1">
      <c r="A454" t="s">
        <v>18802</v>
      </c>
      <c r="B454" t="s">
        <v>1977</v>
      </c>
      <c r="C454" t="s">
        <v>1959</v>
      </c>
      <c r="D454" t="s">
        <v>1972</v>
      </c>
      <c r="E454" t="s">
        <v>1966</v>
      </c>
      <c r="F454" t="s">
        <v>598</v>
      </c>
      <c r="G454" t="s">
        <v>599</v>
      </c>
      <c r="H454" t="s">
        <v>600</v>
      </c>
      <c r="I454" t="s">
        <v>601</v>
      </c>
      <c r="J454">
        <v>1.2800000000000001E-2</v>
      </c>
      <c r="K454">
        <v>1.3100000000000001E-2</v>
      </c>
      <c r="L454">
        <v>1.34E-2</v>
      </c>
      <c r="M454">
        <v>1.37E-2</v>
      </c>
      <c r="N454">
        <v>1.3899999999999999E-2</v>
      </c>
      <c r="O454">
        <v>1.41E-2</v>
      </c>
      <c r="P454">
        <v>1.44E-2</v>
      </c>
      <c r="Q454">
        <v>1.4999999999999999E-2</v>
      </c>
      <c r="R454">
        <v>1.5100000000000001E-2</v>
      </c>
      <c r="S454">
        <v>1.55E-2</v>
      </c>
      <c r="T454">
        <v>1.5599999999999999E-2</v>
      </c>
      <c r="U454">
        <v>1.5900000000000001E-2</v>
      </c>
      <c r="V454">
        <v>1.6199999999999999E-2</v>
      </c>
      <c r="W454">
        <v>1.6400000000000001E-2</v>
      </c>
      <c r="X454">
        <v>1.6799999999999999E-2</v>
      </c>
      <c r="Y454">
        <v>1.7000000000000001E-2</v>
      </c>
    </row>
    <row r="455" spans="1:25" hidden="1">
      <c r="A455" t="s">
        <v>18802</v>
      </c>
      <c r="B455" t="s">
        <v>1978</v>
      </c>
      <c r="C455" t="s">
        <v>1959</v>
      </c>
      <c r="D455" t="s">
        <v>1972</v>
      </c>
      <c r="E455" t="s">
        <v>1979</v>
      </c>
      <c r="F455" t="s">
        <v>598</v>
      </c>
      <c r="G455" t="s">
        <v>599</v>
      </c>
      <c r="H455" t="s">
        <v>600</v>
      </c>
      <c r="I455" t="s">
        <v>601</v>
      </c>
      <c r="J455">
        <v>8.2500000000000004E-2</v>
      </c>
      <c r="K455">
        <v>8.4400000000000003E-2</v>
      </c>
      <c r="L455">
        <v>8.6099999999999996E-2</v>
      </c>
      <c r="M455">
        <v>8.77E-2</v>
      </c>
      <c r="N455">
        <v>8.8700000000000001E-2</v>
      </c>
      <c r="O455">
        <v>8.9599999999999999E-2</v>
      </c>
      <c r="P455">
        <v>9.0700000000000003E-2</v>
      </c>
      <c r="Q455">
        <v>9.2100000000000001E-2</v>
      </c>
      <c r="R455">
        <v>9.3399999999999997E-2</v>
      </c>
      <c r="S455">
        <v>9.4899999999999998E-2</v>
      </c>
      <c r="T455">
        <v>9.64E-2</v>
      </c>
      <c r="U455">
        <v>9.8100000000000007E-2</v>
      </c>
      <c r="V455">
        <v>0.1</v>
      </c>
      <c r="W455">
        <v>0.1019</v>
      </c>
      <c r="X455">
        <v>0.1036</v>
      </c>
      <c r="Y455">
        <v>0.1055</v>
      </c>
    </row>
    <row r="456" spans="1:25" hidden="1">
      <c r="A456" t="s">
        <v>18802</v>
      </c>
      <c r="B456" t="s">
        <v>1982</v>
      </c>
      <c r="C456" t="s">
        <v>1959</v>
      </c>
      <c r="D456" t="s">
        <v>1983</v>
      </c>
      <c r="E456" t="s">
        <v>1984</v>
      </c>
      <c r="F456" t="s">
        <v>598</v>
      </c>
      <c r="G456" t="s">
        <v>599</v>
      </c>
      <c r="H456" t="s">
        <v>600</v>
      </c>
      <c r="I456" t="s">
        <v>601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hidden="1">
      <c r="A457" t="s">
        <v>18802</v>
      </c>
      <c r="B457" t="s">
        <v>1985</v>
      </c>
      <c r="C457" t="s">
        <v>1959</v>
      </c>
      <c r="D457" t="s">
        <v>1983</v>
      </c>
      <c r="E457" t="s">
        <v>1378</v>
      </c>
      <c r="F457" t="s">
        <v>598</v>
      </c>
      <c r="G457" t="s">
        <v>599</v>
      </c>
      <c r="H457" t="s">
        <v>600</v>
      </c>
      <c r="I457" t="s">
        <v>601</v>
      </c>
      <c r="J457">
        <v>1.1000000000000001E-3</v>
      </c>
      <c r="K457">
        <v>1.1000000000000001E-3</v>
      </c>
      <c r="L457">
        <v>1.1000000000000001E-3</v>
      </c>
      <c r="M457">
        <v>1.1999999999999999E-3</v>
      </c>
      <c r="N457">
        <v>1.1999999999999999E-3</v>
      </c>
      <c r="O457">
        <v>1.2999999999999999E-3</v>
      </c>
      <c r="P457">
        <v>1.2999999999999999E-3</v>
      </c>
      <c r="Q457">
        <v>1.2999999999999999E-3</v>
      </c>
      <c r="R457">
        <v>1.2999999999999999E-3</v>
      </c>
      <c r="S457">
        <v>1.2999999999999999E-3</v>
      </c>
      <c r="T457">
        <v>1.2999999999999999E-3</v>
      </c>
      <c r="U457">
        <v>1.4E-3</v>
      </c>
      <c r="V457">
        <v>1.5E-3</v>
      </c>
      <c r="W457">
        <v>1.5E-3</v>
      </c>
      <c r="X457">
        <v>1.5E-3</v>
      </c>
      <c r="Y457">
        <v>1.5E-3</v>
      </c>
    </row>
    <row r="458" spans="1:25" hidden="1">
      <c r="A458" t="s">
        <v>18802</v>
      </c>
      <c r="B458" t="s">
        <v>1988</v>
      </c>
      <c r="C458" t="s">
        <v>1959</v>
      </c>
      <c r="D458" t="s">
        <v>1983</v>
      </c>
      <c r="E458" t="s">
        <v>1966</v>
      </c>
      <c r="F458" t="s">
        <v>598</v>
      </c>
      <c r="G458" t="s">
        <v>599</v>
      </c>
      <c r="H458" t="s">
        <v>600</v>
      </c>
      <c r="I458" t="s">
        <v>601</v>
      </c>
      <c r="J458">
        <v>2.3699999999999999E-2</v>
      </c>
      <c r="K458">
        <v>2.53E-2</v>
      </c>
      <c r="L458">
        <v>2.7199999999999998E-2</v>
      </c>
      <c r="M458">
        <v>2.93E-2</v>
      </c>
      <c r="N458">
        <v>3.1300000000000001E-2</v>
      </c>
      <c r="O458">
        <v>3.3500000000000002E-2</v>
      </c>
      <c r="P458">
        <v>3.49E-2</v>
      </c>
      <c r="Q458">
        <v>3.6400000000000002E-2</v>
      </c>
      <c r="R458">
        <v>3.7100000000000001E-2</v>
      </c>
      <c r="S458">
        <v>3.7900000000000003E-2</v>
      </c>
      <c r="T458">
        <v>3.8399999999999997E-2</v>
      </c>
      <c r="U458">
        <v>3.9199999999999999E-2</v>
      </c>
      <c r="V458">
        <v>4.0099999999999997E-2</v>
      </c>
      <c r="W458">
        <v>4.1000000000000002E-2</v>
      </c>
      <c r="X458">
        <v>4.1700000000000001E-2</v>
      </c>
      <c r="Y458">
        <v>4.2599999999999999E-2</v>
      </c>
    </row>
    <row r="459" spans="1:25" hidden="1">
      <c r="A459" t="s">
        <v>18802</v>
      </c>
      <c r="B459" t="s">
        <v>1991</v>
      </c>
      <c r="C459" t="s">
        <v>1959</v>
      </c>
      <c r="D459" t="s">
        <v>1983</v>
      </c>
      <c r="E459" t="s">
        <v>1992</v>
      </c>
      <c r="F459" t="s">
        <v>598</v>
      </c>
      <c r="G459" t="s">
        <v>599</v>
      </c>
      <c r="H459" t="s">
        <v>600</v>
      </c>
      <c r="I459" t="s">
        <v>601</v>
      </c>
      <c r="J459">
        <v>3.3999999999999998E-3</v>
      </c>
      <c r="K459">
        <v>3.5999999999999999E-3</v>
      </c>
      <c r="L459">
        <v>3.8E-3</v>
      </c>
      <c r="M459">
        <v>4.0000000000000001E-3</v>
      </c>
      <c r="N459">
        <v>4.1999999999999997E-3</v>
      </c>
      <c r="O459">
        <v>4.4000000000000003E-3</v>
      </c>
      <c r="P459">
        <v>4.4999999999999997E-3</v>
      </c>
      <c r="Q459">
        <v>4.5999999999999999E-3</v>
      </c>
      <c r="R459">
        <v>4.7000000000000002E-3</v>
      </c>
      <c r="S459">
        <v>4.7000000000000002E-3</v>
      </c>
      <c r="T459">
        <v>4.7999999999999996E-3</v>
      </c>
      <c r="U459">
        <v>4.7999999999999996E-3</v>
      </c>
      <c r="V459">
        <v>4.8999999999999998E-3</v>
      </c>
      <c r="W459">
        <v>5.0000000000000001E-3</v>
      </c>
      <c r="X459">
        <v>5.0000000000000001E-3</v>
      </c>
      <c r="Y459">
        <v>5.1000000000000004E-3</v>
      </c>
    </row>
    <row r="460" spans="1:25" hidden="1">
      <c r="A460" t="s">
        <v>18802</v>
      </c>
      <c r="B460" t="s">
        <v>1995</v>
      </c>
      <c r="C460" t="s">
        <v>1959</v>
      </c>
      <c r="D460" t="s">
        <v>1996</v>
      </c>
      <c r="E460" t="s">
        <v>1973</v>
      </c>
      <c r="F460" t="s">
        <v>598</v>
      </c>
      <c r="G460" t="s">
        <v>599</v>
      </c>
      <c r="H460" t="s">
        <v>600</v>
      </c>
      <c r="I460" t="s">
        <v>601</v>
      </c>
      <c r="J460">
        <v>0.1236</v>
      </c>
      <c r="K460">
        <v>0.13039999999999999</v>
      </c>
      <c r="L460">
        <v>0.13850000000000001</v>
      </c>
      <c r="M460">
        <v>0.14749999999999999</v>
      </c>
      <c r="N460">
        <v>0.15509999999999999</v>
      </c>
      <c r="O460">
        <v>0.1633</v>
      </c>
      <c r="P460">
        <v>0.16769999999999999</v>
      </c>
      <c r="Q460">
        <v>0.17230000000000001</v>
      </c>
      <c r="R460">
        <v>0.17460000000000001</v>
      </c>
      <c r="S460">
        <v>0.17649999999999999</v>
      </c>
      <c r="T460">
        <v>0.17849999999999999</v>
      </c>
      <c r="U460">
        <v>0.18079999999999999</v>
      </c>
      <c r="V460">
        <v>0.18329999999999999</v>
      </c>
      <c r="W460">
        <v>0.1857</v>
      </c>
      <c r="X460">
        <v>0.18820000000000001</v>
      </c>
      <c r="Y460">
        <v>0.1905</v>
      </c>
    </row>
    <row r="461" spans="1:25" hidden="1">
      <c r="A461" t="s">
        <v>18802</v>
      </c>
      <c r="B461" t="s">
        <v>1997</v>
      </c>
      <c r="C461" t="s">
        <v>1959</v>
      </c>
      <c r="D461" t="s">
        <v>1996</v>
      </c>
      <c r="E461" t="s">
        <v>1380</v>
      </c>
      <c r="F461" t="s">
        <v>598</v>
      </c>
      <c r="G461" t="s">
        <v>599</v>
      </c>
      <c r="H461" t="s">
        <v>600</v>
      </c>
      <c r="I461" t="s">
        <v>601</v>
      </c>
      <c r="J461">
        <v>2.3363999999999998</v>
      </c>
      <c r="K461">
        <v>2.4373999999999998</v>
      </c>
      <c r="L461">
        <v>2.5520999999999998</v>
      </c>
      <c r="M461">
        <v>2.6747999999999998</v>
      </c>
      <c r="N461">
        <v>2.7677999999999998</v>
      </c>
      <c r="O461">
        <v>2.871</v>
      </c>
      <c r="P461">
        <v>2.9310999999999998</v>
      </c>
      <c r="Q461">
        <v>2.9958</v>
      </c>
      <c r="R461">
        <v>3.0345</v>
      </c>
      <c r="S461">
        <v>3.0699000000000001</v>
      </c>
      <c r="T461">
        <v>3.1076999999999999</v>
      </c>
      <c r="U461">
        <v>3.1514000000000002</v>
      </c>
      <c r="V461">
        <v>3.1983000000000001</v>
      </c>
      <c r="W461">
        <v>3.2437999999999998</v>
      </c>
      <c r="X461">
        <v>3.2873000000000001</v>
      </c>
      <c r="Y461">
        <v>3.33</v>
      </c>
    </row>
    <row r="462" spans="1:25" hidden="1">
      <c r="A462" t="s">
        <v>18802</v>
      </c>
      <c r="B462" t="s">
        <v>1998</v>
      </c>
      <c r="C462" t="s">
        <v>1959</v>
      </c>
      <c r="D462" t="s">
        <v>1996</v>
      </c>
      <c r="E462" t="s">
        <v>1999</v>
      </c>
      <c r="F462" t="s">
        <v>598</v>
      </c>
      <c r="G462" t="s">
        <v>599</v>
      </c>
      <c r="H462" t="s">
        <v>600</v>
      </c>
      <c r="I462" t="s">
        <v>601</v>
      </c>
      <c r="J462">
        <v>0.83260000000000001</v>
      </c>
      <c r="K462">
        <v>0.86339999999999995</v>
      </c>
      <c r="L462">
        <v>0.8972</v>
      </c>
      <c r="M462">
        <v>0.93379999999999996</v>
      </c>
      <c r="N462">
        <v>0.95960000000000001</v>
      </c>
      <c r="O462">
        <v>0.98699999999999999</v>
      </c>
      <c r="P462">
        <v>1.0059</v>
      </c>
      <c r="Q462">
        <v>1.0256000000000001</v>
      </c>
      <c r="R462">
        <v>1.0405</v>
      </c>
      <c r="S462">
        <v>1.0553999999999999</v>
      </c>
      <c r="T462">
        <v>1.0707</v>
      </c>
      <c r="U462">
        <v>1.0886</v>
      </c>
      <c r="V462">
        <v>1.1080000000000001</v>
      </c>
      <c r="W462">
        <v>1.1272</v>
      </c>
      <c r="X462">
        <v>1.1454</v>
      </c>
      <c r="Y462">
        <v>1.1640999999999999</v>
      </c>
    </row>
    <row r="463" spans="1:25" hidden="1">
      <c r="A463" t="s">
        <v>18802</v>
      </c>
      <c r="B463" t="s">
        <v>2005</v>
      </c>
      <c r="C463" t="s">
        <v>1959</v>
      </c>
      <c r="D463" t="s">
        <v>2001</v>
      </c>
      <c r="E463" t="s">
        <v>1976</v>
      </c>
      <c r="F463" t="s">
        <v>598</v>
      </c>
      <c r="G463" t="s">
        <v>599</v>
      </c>
      <c r="H463" t="s">
        <v>600</v>
      </c>
      <c r="I463" t="s">
        <v>601</v>
      </c>
      <c r="J463">
        <v>0.30080000000000001</v>
      </c>
      <c r="K463">
        <v>0.31069999999999998</v>
      </c>
      <c r="L463">
        <v>0.32269999999999999</v>
      </c>
      <c r="M463">
        <v>0.33539999999999998</v>
      </c>
      <c r="N463">
        <v>0.3468</v>
      </c>
      <c r="O463">
        <v>0.35899999999999999</v>
      </c>
      <c r="P463">
        <v>0.36699999999999999</v>
      </c>
      <c r="Q463">
        <v>0.37559999999999999</v>
      </c>
      <c r="R463">
        <v>0.38</v>
      </c>
      <c r="S463">
        <v>0.38379999999999997</v>
      </c>
      <c r="T463">
        <v>0.38750000000000001</v>
      </c>
      <c r="U463">
        <v>0.39169999999999999</v>
      </c>
      <c r="V463">
        <v>0.39650000000000002</v>
      </c>
      <c r="W463">
        <v>0.40089999999999998</v>
      </c>
      <c r="X463">
        <v>0.40539999999999998</v>
      </c>
      <c r="Y463">
        <v>0.40970000000000001</v>
      </c>
    </row>
    <row r="464" spans="1:25" hidden="1">
      <c r="A464" t="s">
        <v>18802</v>
      </c>
      <c r="B464" t="s">
        <v>2007</v>
      </c>
      <c r="C464" t="s">
        <v>1959</v>
      </c>
      <c r="D464" t="s">
        <v>2001</v>
      </c>
      <c r="E464" t="s">
        <v>1966</v>
      </c>
      <c r="F464" t="s">
        <v>598</v>
      </c>
      <c r="G464" t="s">
        <v>599</v>
      </c>
      <c r="H464" t="s">
        <v>600</v>
      </c>
      <c r="I464" t="s">
        <v>601</v>
      </c>
      <c r="J464">
        <v>3.3500000000000002E-2</v>
      </c>
      <c r="K464">
        <v>3.3500000000000002E-2</v>
      </c>
      <c r="L464">
        <v>3.3500000000000002E-2</v>
      </c>
      <c r="M464">
        <v>3.3500000000000002E-2</v>
      </c>
      <c r="N464">
        <v>3.3500000000000002E-2</v>
      </c>
      <c r="O464">
        <v>3.3500000000000002E-2</v>
      </c>
      <c r="P464">
        <v>3.3500000000000002E-2</v>
      </c>
      <c r="Q464">
        <v>3.3500000000000002E-2</v>
      </c>
      <c r="R464">
        <v>3.3500000000000002E-2</v>
      </c>
      <c r="S464">
        <v>3.3500000000000002E-2</v>
      </c>
      <c r="T464">
        <v>3.3500000000000002E-2</v>
      </c>
      <c r="U464">
        <v>3.3500000000000002E-2</v>
      </c>
      <c r="V464">
        <v>3.3500000000000002E-2</v>
      </c>
      <c r="W464">
        <v>3.3500000000000002E-2</v>
      </c>
      <c r="X464">
        <v>3.3500000000000002E-2</v>
      </c>
      <c r="Y464">
        <v>3.3500000000000002E-2</v>
      </c>
    </row>
    <row r="465" spans="1:25" hidden="1">
      <c r="A465" t="s">
        <v>18802</v>
      </c>
      <c r="B465" t="s">
        <v>2011</v>
      </c>
      <c r="C465" t="s">
        <v>1959</v>
      </c>
      <c r="D465" t="s">
        <v>2012</v>
      </c>
      <c r="E465" t="s">
        <v>2013</v>
      </c>
      <c r="F465" t="s">
        <v>598</v>
      </c>
      <c r="G465" t="s">
        <v>599</v>
      </c>
      <c r="H465" t="s">
        <v>600</v>
      </c>
      <c r="I465" t="s">
        <v>601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18802</v>
      </c>
      <c r="B466" t="s">
        <v>2014</v>
      </c>
      <c r="C466" t="s">
        <v>1959</v>
      </c>
      <c r="D466" t="s">
        <v>2012</v>
      </c>
      <c r="E466" t="s">
        <v>1970</v>
      </c>
      <c r="F466" t="s">
        <v>598</v>
      </c>
      <c r="G466" t="s">
        <v>599</v>
      </c>
      <c r="H466" t="s">
        <v>600</v>
      </c>
      <c r="I466" t="s">
        <v>601</v>
      </c>
      <c r="J466">
        <v>0.1804</v>
      </c>
      <c r="K466">
        <v>0.17699999999999999</v>
      </c>
      <c r="L466">
        <v>0.1736</v>
      </c>
      <c r="M466">
        <v>0.16839999999999999</v>
      </c>
      <c r="N466">
        <v>0.1661</v>
      </c>
      <c r="O466">
        <v>0.16259999999999999</v>
      </c>
      <c r="P466">
        <v>0.16420000000000001</v>
      </c>
      <c r="Q466">
        <v>0.16600000000000001</v>
      </c>
      <c r="R466">
        <v>0.1666</v>
      </c>
      <c r="S466">
        <v>0.1673</v>
      </c>
      <c r="T466">
        <v>0.16789999999999999</v>
      </c>
      <c r="U466">
        <v>0.1686</v>
      </c>
      <c r="V466">
        <v>0.16969999999999999</v>
      </c>
      <c r="W466">
        <v>0.1704</v>
      </c>
      <c r="X466">
        <v>0.17130000000000001</v>
      </c>
      <c r="Y466">
        <v>0.17199999999999999</v>
      </c>
    </row>
    <row r="467" spans="1:25" hidden="1">
      <c r="A467" t="s">
        <v>18802</v>
      </c>
      <c r="B467" t="s">
        <v>2015</v>
      </c>
      <c r="C467" t="s">
        <v>1959</v>
      </c>
      <c r="D467" t="s">
        <v>1817</v>
      </c>
      <c r="E467" t="s">
        <v>1973</v>
      </c>
      <c r="F467" t="s">
        <v>598</v>
      </c>
      <c r="G467" t="s">
        <v>599</v>
      </c>
      <c r="H467" t="s">
        <v>600</v>
      </c>
      <c r="I467" t="s">
        <v>601</v>
      </c>
      <c r="J467">
        <v>0.15970000000000001</v>
      </c>
      <c r="K467">
        <v>0.15970000000000001</v>
      </c>
      <c r="L467">
        <v>0.15970000000000001</v>
      </c>
      <c r="M467">
        <v>0.15970000000000001</v>
      </c>
      <c r="N467">
        <v>0.15970000000000001</v>
      </c>
      <c r="O467">
        <v>0.15970000000000001</v>
      </c>
      <c r="P467">
        <v>0.15970000000000001</v>
      </c>
      <c r="Q467">
        <v>0.15970000000000001</v>
      </c>
      <c r="R467">
        <v>0.15970000000000001</v>
      </c>
      <c r="S467">
        <v>0.15970000000000001</v>
      </c>
      <c r="T467">
        <v>0.15970000000000001</v>
      </c>
      <c r="U467">
        <v>0.15970000000000001</v>
      </c>
      <c r="V467">
        <v>0.15970000000000001</v>
      </c>
      <c r="W467">
        <v>0.15970000000000001</v>
      </c>
      <c r="X467">
        <v>0.15970000000000001</v>
      </c>
      <c r="Y467">
        <v>0.15970000000000001</v>
      </c>
    </row>
    <row r="468" spans="1:25" hidden="1">
      <c r="A468" t="s">
        <v>18802</v>
      </c>
      <c r="B468" t="s">
        <v>2018</v>
      </c>
      <c r="C468" t="s">
        <v>1959</v>
      </c>
      <c r="D468" t="s">
        <v>1817</v>
      </c>
      <c r="E468" t="s">
        <v>1380</v>
      </c>
      <c r="F468" t="s">
        <v>598</v>
      </c>
      <c r="G468" t="s">
        <v>599</v>
      </c>
      <c r="H468" t="s">
        <v>600</v>
      </c>
      <c r="I468" t="s">
        <v>601</v>
      </c>
      <c r="J468">
        <v>4.3799999999999999E-2</v>
      </c>
      <c r="K468">
        <v>4.6100000000000002E-2</v>
      </c>
      <c r="L468">
        <v>4.8800000000000003E-2</v>
      </c>
      <c r="M468">
        <v>5.1799999999999999E-2</v>
      </c>
      <c r="N468">
        <v>5.4100000000000002E-2</v>
      </c>
      <c r="O468">
        <v>5.6800000000000003E-2</v>
      </c>
      <c r="P468">
        <v>5.8299999999999998E-2</v>
      </c>
      <c r="Q468">
        <v>5.9799999999999999E-2</v>
      </c>
      <c r="R468">
        <v>6.0600000000000001E-2</v>
      </c>
      <c r="S468">
        <v>6.13E-2</v>
      </c>
      <c r="T468">
        <v>6.2E-2</v>
      </c>
      <c r="U468">
        <v>6.2899999999999998E-2</v>
      </c>
      <c r="V468">
        <v>6.3700000000000007E-2</v>
      </c>
      <c r="W468">
        <v>6.4699999999999994E-2</v>
      </c>
      <c r="X468">
        <v>6.5600000000000006E-2</v>
      </c>
      <c r="Y468">
        <v>6.6400000000000001E-2</v>
      </c>
    </row>
    <row r="469" spans="1:25" hidden="1">
      <c r="A469" t="s">
        <v>18802</v>
      </c>
      <c r="B469" t="s">
        <v>2019</v>
      </c>
      <c r="C469" t="s">
        <v>1959</v>
      </c>
      <c r="D469" t="s">
        <v>1817</v>
      </c>
      <c r="E469" t="s">
        <v>1976</v>
      </c>
      <c r="F469" t="s">
        <v>598</v>
      </c>
      <c r="G469" t="s">
        <v>599</v>
      </c>
      <c r="H469" t="s">
        <v>600</v>
      </c>
      <c r="I469" t="s">
        <v>601</v>
      </c>
      <c r="J469">
        <v>0.9778</v>
      </c>
      <c r="K469">
        <v>0.9778</v>
      </c>
      <c r="L469">
        <v>0.97789999999999999</v>
      </c>
      <c r="M469">
        <v>0.97789999999999999</v>
      </c>
      <c r="N469">
        <v>0.97789999999999999</v>
      </c>
      <c r="O469">
        <v>0.97789999999999999</v>
      </c>
      <c r="P469">
        <v>0.97789999999999999</v>
      </c>
      <c r="Q469">
        <v>0.97789999999999999</v>
      </c>
      <c r="R469">
        <v>0.97789999999999999</v>
      </c>
      <c r="S469">
        <v>0.97789999999999999</v>
      </c>
      <c r="T469">
        <v>0.97789999999999999</v>
      </c>
      <c r="U469">
        <v>0.97789999999999999</v>
      </c>
      <c r="V469">
        <v>0.97789999999999999</v>
      </c>
      <c r="W469">
        <v>0.97789999999999999</v>
      </c>
      <c r="X469">
        <v>0.97789999999999999</v>
      </c>
      <c r="Y469">
        <v>0.97789999999999999</v>
      </c>
    </row>
    <row r="470" spans="1:25" hidden="1">
      <c r="A470" t="s">
        <v>18802</v>
      </c>
      <c r="B470" t="s">
        <v>2020</v>
      </c>
      <c r="C470" t="s">
        <v>1959</v>
      </c>
      <c r="D470" t="s">
        <v>1817</v>
      </c>
      <c r="E470" t="s">
        <v>1999</v>
      </c>
      <c r="F470" t="s">
        <v>598</v>
      </c>
      <c r="G470" t="s">
        <v>599</v>
      </c>
      <c r="H470" t="s">
        <v>600</v>
      </c>
      <c r="I470" t="s">
        <v>601</v>
      </c>
      <c r="J470">
        <v>4.1000000000000003E-3</v>
      </c>
      <c r="K470">
        <v>4.1999999999999997E-3</v>
      </c>
      <c r="L470">
        <v>4.3E-3</v>
      </c>
      <c r="M470">
        <v>4.4000000000000003E-3</v>
      </c>
      <c r="N470">
        <v>4.4999999999999997E-3</v>
      </c>
      <c r="O470">
        <v>4.4999999999999997E-3</v>
      </c>
      <c r="P470">
        <v>4.5999999999999999E-3</v>
      </c>
      <c r="Q470">
        <v>4.7000000000000002E-3</v>
      </c>
      <c r="R470">
        <v>4.7000000000000002E-3</v>
      </c>
      <c r="S470">
        <v>4.7999999999999996E-3</v>
      </c>
      <c r="T470">
        <v>4.8999999999999998E-3</v>
      </c>
      <c r="U470">
        <v>5.0000000000000001E-3</v>
      </c>
      <c r="V470">
        <v>5.1000000000000004E-3</v>
      </c>
      <c r="W470">
        <v>5.1999999999999998E-3</v>
      </c>
      <c r="X470">
        <v>5.3E-3</v>
      </c>
      <c r="Y470">
        <v>5.4000000000000003E-3</v>
      </c>
    </row>
    <row r="471" spans="1:25" hidden="1">
      <c r="A471" t="s">
        <v>18802</v>
      </c>
      <c r="B471" t="s">
        <v>2021</v>
      </c>
      <c r="C471" t="s">
        <v>1959</v>
      </c>
      <c r="D471" t="s">
        <v>1817</v>
      </c>
      <c r="E471" t="s">
        <v>2022</v>
      </c>
      <c r="F471" t="s">
        <v>598</v>
      </c>
      <c r="G471" t="s">
        <v>599</v>
      </c>
      <c r="H471" t="s">
        <v>600</v>
      </c>
      <c r="I471" t="s">
        <v>601</v>
      </c>
      <c r="J471">
        <v>1.47E-2</v>
      </c>
      <c r="K471">
        <v>1.43E-2</v>
      </c>
      <c r="L471">
        <v>1.3899999999999999E-2</v>
      </c>
      <c r="M471">
        <v>1.3299999999999999E-2</v>
      </c>
      <c r="N471">
        <v>1.2999999999999999E-2</v>
      </c>
      <c r="O471">
        <v>1.26E-2</v>
      </c>
      <c r="P471">
        <v>1.2699999999999999E-2</v>
      </c>
      <c r="Q471">
        <v>1.29E-2</v>
      </c>
      <c r="R471">
        <v>1.29E-2</v>
      </c>
      <c r="S471">
        <v>1.2999999999999999E-2</v>
      </c>
      <c r="T471">
        <v>1.2999999999999999E-2</v>
      </c>
      <c r="U471">
        <v>1.2999999999999999E-2</v>
      </c>
      <c r="V471">
        <v>1.3100000000000001E-2</v>
      </c>
      <c r="W471">
        <v>1.3100000000000001E-2</v>
      </c>
      <c r="X471">
        <v>1.32E-2</v>
      </c>
      <c r="Y471">
        <v>1.32E-2</v>
      </c>
    </row>
    <row r="472" spans="1:25" hidden="1">
      <c r="A472" t="s">
        <v>18802</v>
      </c>
      <c r="B472" t="s">
        <v>2026</v>
      </c>
      <c r="C472" t="s">
        <v>1959</v>
      </c>
      <c r="D472" t="s">
        <v>1817</v>
      </c>
      <c r="E472" t="s">
        <v>2027</v>
      </c>
      <c r="F472" t="s">
        <v>598</v>
      </c>
      <c r="G472" t="s">
        <v>599</v>
      </c>
      <c r="H472" t="s">
        <v>600</v>
      </c>
      <c r="I472" t="s">
        <v>601</v>
      </c>
      <c r="J472">
        <v>8.9999999999999998E-4</v>
      </c>
      <c r="K472">
        <v>1E-3</v>
      </c>
      <c r="L472">
        <v>1E-3</v>
      </c>
      <c r="M472">
        <v>1E-3</v>
      </c>
      <c r="N472">
        <v>1E-3</v>
      </c>
      <c r="O472">
        <v>1.1000000000000001E-3</v>
      </c>
      <c r="P472">
        <v>1.1000000000000001E-3</v>
      </c>
      <c r="Q472">
        <v>1.1000000000000001E-3</v>
      </c>
      <c r="R472">
        <v>1.1000000000000001E-3</v>
      </c>
      <c r="S472">
        <v>1.1000000000000001E-3</v>
      </c>
      <c r="T472">
        <v>1.1000000000000001E-3</v>
      </c>
      <c r="U472">
        <v>1.1999999999999999E-3</v>
      </c>
      <c r="V472">
        <v>1.1999999999999999E-3</v>
      </c>
      <c r="W472">
        <v>1.1999999999999999E-3</v>
      </c>
      <c r="X472">
        <v>1.1999999999999999E-3</v>
      </c>
      <c r="Y472">
        <v>1.2999999999999999E-3</v>
      </c>
    </row>
    <row r="473" spans="1:25" hidden="1">
      <c r="A473" t="s">
        <v>18802</v>
      </c>
      <c r="B473" t="s">
        <v>2028</v>
      </c>
      <c r="C473" t="s">
        <v>1959</v>
      </c>
      <c r="D473" t="s">
        <v>1817</v>
      </c>
      <c r="E473" t="s">
        <v>1966</v>
      </c>
      <c r="F473" t="s">
        <v>598</v>
      </c>
      <c r="G473" t="s">
        <v>599</v>
      </c>
      <c r="H473" t="s">
        <v>600</v>
      </c>
      <c r="I473" t="s">
        <v>601</v>
      </c>
      <c r="J473">
        <v>3.6316000000000002</v>
      </c>
      <c r="K473">
        <v>3.7265999999999999</v>
      </c>
      <c r="L473">
        <v>3.8149000000000002</v>
      </c>
      <c r="M473">
        <v>3.9161000000000001</v>
      </c>
      <c r="N473">
        <v>4.0312000000000001</v>
      </c>
      <c r="O473">
        <v>4.1327999999999996</v>
      </c>
      <c r="P473">
        <v>4.2785000000000002</v>
      </c>
      <c r="Q473">
        <v>4.4077000000000002</v>
      </c>
      <c r="R473">
        <v>4.4640000000000004</v>
      </c>
      <c r="S473">
        <v>4.5168999999999997</v>
      </c>
      <c r="T473">
        <v>4.5666000000000002</v>
      </c>
      <c r="U473">
        <v>4.6227999999999998</v>
      </c>
      <c r="V473">
        <v>4.6791</v>
      </c>
      <c r="W473">
        <v>4.7352999999999996</v>
      </c>
      <c r="X473">
        <v>4.7882999999999996</v>
      </c>
      <c r="Y473">
        <v>4.8445999999999998</v>
      </c>
    </row>
    <row r="474" spans="1:25" hidden="1">
      <c r="A474" t="s">
        <v>18802</v>
      </c>
      <c r="B474" t="s">
        <v>2029</v>
      </c>
      <c r="C474" t="s">
        <v>1959</v>
      </c>
      <c r="D474" t="s">
        <v>1817</v>
      </c>
      <c r="E474" t="s">
        <v>1979</v>
      </c>
      <c r="F474" t="s">
        <v>598</v>
      </c>
      <c r="G474" t="s">
        <v>599</v>
      </c>
      <c r="H474" t="s">
        <v>600</v>
      </c>
      <c r="I474" t="s">
        <v>601</v>
      </c>
      <c r="J474">
        <v>2.9999999999999997E-4</v>
      </c>
      <c r="K474">
        <v>2.9999999999999997E-4</v>
      </c>
      <c r="L474">
        <v>2.9999999999999997E-4</v>
      </c>
      <c r="M474">
        <v>2.9999999999999997E-4</v>
      </c>
      <c r="N474">
        <v>2.9999999999999997E-4</v>
      </c>
      <c r="O474">
        <v>2.9999999999999997E-4</v>
      </c>
      <c r="P474">
        <v>2.9999999999999997E-4</v>
      </c>
      <c r="Q474">
        <v>2.9999999999999997E-4</v>
      </c>
      <c r="R474">
        <v>2.9999999999999997E-4</v>
      </c>
      <c r="S474">
        <v>2.9999999999999997E-4</v>
      </c>
      <c r="T474">
        <v>2.9999999999999997E-4</v>
      </c>
      <c r="U474">
        <v>2.9999999999999997E-4</v>
      </c>
      <c r="V474">
        <v>2.9999999999999997E-4</v>
      </c>
      <c r="W474">
        <v>2.9999999999999997E-4</v>
      </c>
      <c r="X474">
        <v>2.9999999999999997E-4</v>
      </c>
      <c r="Y474">
        <v>2.9999999999999997E-4</v>
      </c>
    </row>
    <row r="475" spans="1:25" hidden="1">
      <c r="A475" t="s">
        <v>18802</v>
      </c>
      <c r="B475" t="s">
        <v>2033</v>
      </c>
      <c r="C475" t="s">
        <v>1959</v>
      </c>
      <c r="D475" t="s">
        <v>648</v>
      </c>
      <c r="E475" t="s">
        <v>973</v>
      </c>
      <c r="F475" t="s">
        <v>598</v>
      </c>
      <c r="G475" t="s">
        <v>599</v>
      </c>
      <c r="H475" t="s">
        <v>600</v>
      </c>
      <c r="I475" t="s">
        <v>601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hidden="1">
      <c r="A476" t="s">
        <v>18802</v>
      </c>
      <c r="B476" t="s">
        <v>2034</v>
      </c>
      <c r="C476" t="s">
        <v>1959</v>
      </c>
      <c r="D476" t="s">
        <v>648</v>
      </c>
      <c r="E476" t="s">
        <v>1973</v>
      </c>
      <c r="F476" t="s">
        <v>598</v>
      </c>
      <c r="G476" t="s">
        <v>599</v>
      </c>
      <c r="H476" t="s">
        <v>600</v>
      </c>
      <c r="I476" t="s">
        <v>601</v>
      </c>
      <c r="J476">
        <v>0.2611</v>
      </c>
      <c r="K476">
        <v>0.26269999999999999</v>
      </c>
      <c r="L476">
        <v>0.26490000000000002</v>
      </c>
      <c r="M476">
        <v>0.26919999999999999</v>
      </c>
      <c r="N476">
        <v>0.27</v>
      </c>
      <c r="O476">
        <v>0.2717</v>
      </c>
      <c r="P476">
        <v>0.27579999999999999</v>
      </c>
      <c r="Q476">
        <v>0.28139999999999998</v>
      </c>
      <c r="R476">
        <v>0.28389999999999999</v>
      </c>
      <c r="S476">
        <v>0.28820000000000001</v>
      </c>
      <c r="T476">
        <v>0.2923</v>
      </c>
      <c r="U476">
        <v>0.2954</v>
      </c>
      <c r="V476">
        <v>0.29870000000000002</v>
      </c>
      <c r="W476">
        <v>0.3019</v>
      </c>
      <c r="X476">
        <v>0.30530000000000002</v>
      </c>
      <c r="Y476">
        <v>0.3085</v>
      </c>
    </row>
    <row r="477" spans="1:25" hidden="1">
      <c r="A477" t="s">
        <v>18802</v>
      </c>
      <c r="B477" t="s">
        <v>2037</v>
      </c>
      <c r="C477" t="s">
        <v>1959</v>
      </c>
      <c r="D477" t="s">
        <v>648</v>
      </c>
      <c r="E477" t="s">
        <v>646</v>
      </c>
      <c r="F477" t="s">
        <v>598</v>
      </c>
      <c r="G477" t="s">
        <v>599</v>
      </c>
      <c r="H477" t="s">
        <v>600</v>
      </c>
      <c r="I477" t="s">
        <v>601</v>
      </c>
      <c r="J477">
        <v>0.21160000000000001</v>
      </c>
      <c r="K477">
        <v>0.22270000000000001</v>
      </c>
      <c r="L477">
        <v>0.2361</v>
      </c>
      <c r="M477">
        <v>0.25080000000000002</v>
      </c>
      <c r="N477">
        <v>0.26319999999999999</v>
      </c>
      <c r="O477">
        <v>0.2767</v>
      </c>
      <c r="P477">
        <v>0.28399999999999997</v>
      </c>
      <c r="Q477">
        <v>0.29139999999999999</v>
      </c>
      <c r="R477">
        <v>0.29509999999999997</v>
      </c>
      <c r="S477">
        <v>0.2984</v>
      </c>
      <c r="T477">
        <v>0.30159999999999998</v>
      </c>
      <c r="U477">
        <v>0.30549999999999999</v>
      </c>
      <c r="V477">
        <v>0.3095</v>
      </c>
      <c r="W477">
        <v>0.31340000000000001</v>
      </c>
      <c r="X477">
        <v>0.3175</v>
      </c>
      <c r="Y477">
        <v>0.32140000000000002</v>
      </c>
    </row>
    <row r="478" spans="1:25" hidden="1">
      <c r="A478" t="s">
        <v>18802</v>
      </c>
      <c r="B478" t="s">
        <v>2039</v>
      </c>
      <c r="C478" t="s">
        <v>1959</v>
      </c>
      <c r="D478" t="s">
        <v>648</v>
      </c>
      <c r="E478" t="s">
        <v>1378</v>
      </c>
      <c r="F478" t="s">
        <v>598</v>
      </c>
      <c r="G478" t="s">
        <v>599</v>
      </c>
      <c r="H478" t="s">
        <v>600</v>
      </c>
      <c r="I478" t="s">
        <v>601</v>
      </c>
      <c r="J478">
        <v>1.7049000000000001</v>
      </c>
      <c r="K478">
        <v>1.7612000000000001</v>
      </c>
      <c r="L478">
        <v>1.8305</v>
      </c>
      <c r="M478">
        <v>1.9034</v>
      </c>
      <c r="N478">
        <v>1.9693000000000001</v>
      </c>
      <c r="O478">
        <v>2.0386000000000002</v>
      </c>
      <c r="P478">
        <v>2.0880000000000001</v>
      </c>
      <c r="Q478">
        <v>2.1387</v>
      </c>
      <c r="R478">
        <v>2.1633</v>
      </c>
      <c r="S478">
        <v>2.1863999999999999</v>
      </c>
      <c r="T478">
        <v>2.2090000000000001</v>
      </c>
      <c r="U478">
        <v>2.2351000000000001</v>
      </c>
      <c r="V478">
        <v>2.2631000000000001</v>
      </c>
      <c r="W478">
        <v>2.2896000000000001</v>
      </c>
      <c r="X478">
        <v>2.3172999999999999</v>
      </c>
      <c r="Y478">
        <v>2.3439000000000001</v>
      </c>
    </row>
    <row r="479" spans="1:25" hidden="1">
      <c r="A479" t="s">
        <v>18802</v>
      </c>
      <c r="B479" t="s">
        <v>2040</v>
      </c>
      <c r="C479" t="s">
        <v>1959</v>
      </c>
      <c r="D479" t="s">
        <v>648</v>
      </c>
      <c r="E479" t="s">
        <v>1962</v>
      </c>
      <c r="F479" t="s">
        <v>598</v>
      </c>
      <c r="G479" t="s">
        <v>599</v>
      </c>
      <c r="H479" t="s">
        <v>600</v>
      </c>
      <c r="I479" t="s">
        <v>601</v>
      </c>
      <c r="J479">
        <v>1E-4</v>
      </c>
      <c r="K479">
        <v>1E-4</v>
      </c>
      <c r="L479">
        <v>1E-4</v>
      </c>
      <c r="M479">
        <v>1E-4</v>
      </c>
      <c r="N479">
        <v>1E-4</v>
      </c>
      <c r="O479">
        <v>1E-4</v>
      </c>
      <c r="P479">
        <v>1E-4</v>
      </c>
      <c r="Q479">
        <v>1E-4</v>
      </c>
      <c r="R479">
        <v>1E-4</v>
      </c>
      <c r="S479">
        <v>1E-4</v>
      </c>
      <c r="T479">
        <v>1E-4</v>
      </c>
      <c r="U479">
        <v>1E-4</v>
      </c>
      <c r="V479">
        <v>1E-4</v>
      </c>
      <c r="W479">
        <v>1E-4</v>
      </c>
      <c r="X479">
        <v>1E-4</v>
      </c>
      <c r="Y479">
        <v>1E-4</v>
      </c>
    </row>
    <row r="480" spans="1:25" hidden="1">
      <c r="A480" t="s">
        <v>18802</v>
      </c>
      <c r="B480" t="s">
        <v>2042</v>
      </c>
      <c r="C480" t="s">
        <v>1959</v>
      </c>
      <c r="D480" t="s">
        <v>648</v>
      </c>
      <c r="E480" t="s">
        <v>1380</v>
      </c>
      <c r="F480" t="s">
        <v>598</v>
      </c>
      <c r="G480" t="s">
        <v>599</v>
      </c>
      <c r="H480" t="s">
        <v>600</v>
      </c>
      <c r="I480" t="s">
        <v>601</v>
      </c>
      <c r="J480">
        <v>0.33950000000000002</v>
      </c>
      <c r="K480">
        <v>0.35730000000000001</v>
      </c>
      <c r="L480">
        <v>0.37819999999999998</v>
      </c>
      <c r="M480">
        <v>0.4012</v>
      </c>
      <c r="N480">
        <v>0.42009999999999997</v>
      </c>
      <c r="O480">
        <v>0.44080000000000003</v>
      </c>
      <c r="P480">
        <v>0.45219999999999999</v>
      </c>
      <c r="Q480">
        <v>0.46400000000000002</v>
      </c>
      <c r="R480">
        <v>0.46989999999999998</v>
      </c>
      <c r="S480">
        <v>0.47560000000000002</v>
      </c>
      <c r="T480">
        <v>0.48110000000000003</v>
      </c>
      <c r="U480">
        <v>0.48780000000000001</v>
      </c>
      <c r="V480">
        <v>0.49480000000000002</v>
      </c>
      <c r="W480">
        <v>0.50139999999999996</v>
      </c>
      <c r="X480">
        <v>0.50849999999999995</v>
      </c>
      <c r="Y480">
        <v>0.5151</v>
      </c>
    </row>
    <row r="481" spans="1:25" hidden="1">
      <c r="A481" t="s">
        <v>18802</v>
      </c>
      <c r="B481" t="s">
        <v>2055</v>
      </c>
      <c r="C481" t="s">
        <v>1959</v>
      </c>
      <c r="D481" t="s">
        <v>648</v>
      </c>
      <c r="E481" t="s">
        <v>1970</v>
      </c>
      <c r="F481" t="s">
        <v>598</v>
      </c>
      <c r="G481" t="s">
        <v>599</v>
      </c>
      <c r="H481" t="s">
        <v>600</v>
      </c>
      <c r="I481" t="s">
        <v>601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18802</v>
      </c>
      <c r="B482" t="s">
        <v>2056</v>
      </c>
      <c r="C482" t="s">
        <v>1959</v>
      </c>
      <c r="D482" t="s">
        <v>648</v>
      </c>
      <c r="E482" t="s">
        <v>2057</v>
      </c>
      <c r="F482" t="s">
        <v>598</v>
      </c>
      <c r="G482" t="s">
        <v>599</v>
      </c>
      <c r="H482" t="s">
        <v>600</v>
      </c>
      <c r="I482" t="s">
        <v>601</v>
      </c>
      <c r="J482">
        <v>1E-4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</row>
    <row r="483" spans="1:25" hidden="1">
      <c r="A483" t="s">
        <v>18802</v>
      </c>
      <c r="B483" t="s">
        <v>2058</v>
      </c>
      <c r="C483" t="s">
        <v>1959</v>
      </c>
      <c r="D483" t="s">
        <v>648</v>
      </c>
      <c r="E483" t="s">
        <v>2025</v>
      </c>
      <c r="F483" t="s">
        <v>598</v>
      </c>
      <c r="G483" t="s">
        <v>599</v>
      </c>
      <c r="H483" t="s">
        <v>600</v>
      </c>
      <c r="I483" t="s">
        <v>601</v>
      </c>
      <c r="J483">
        <v>6.1999999999999998E-3</v>
      </c>
      <c r="K483">
        <v>6.0000000000000001E-3</v>
      </c>
      <c r="L483">
        <v>5.8999999999999999E-3</v>
      </c>
      <c r="M483">
        <v>5.4999999999999997E-3</v>
      </c>
      <c r="N483">
        <v>5.4000000000000003E-3</v>
      </c>
      <c r="O483">
        <v>5.1999999999999998E-3</v>
      </c>
      <c r="P483">
        <v>5.3E-3</v>
      </c>
      <c r="Q483">
        <v>5.4000000000000003E-3</v>
      </c>
      <c r="R483">
        <v>5.4000000000000003E-3</v>
      </c>
      <c r="S483">
        <v>5.4000000000000003E-3</v>
      </c>
      <c r="T483">
        <v>5.4000000000000003E-3</v>
      </c>
      <c r="U483">
        <v>5.4000000000000003E-3</v>
      </c>
      <c r="V483">
        <v>5.4000000000000003E-3</v>
      </c>
      <c r="W483">
        <v>5.4999999999999997E-3</v>
      </c>
      <c r="X483">
        <v>5.4999999999999997E-3</v>
      </c>
      <c r="Y483">
        <v>5.4999999999999997E-3</v>
      </c>
    </row>
    <row r="484" spans="1:25" hidden="1">
      <c r="A484" t="s">
        <v>18802</v>
      </c>
      <c r="B484" t="s">
        <v>2059</v>
      </c>
      <c r="C484" t="s">
        <v>1959</v>
      </c>
      <c r="D484" t="s">
        <v>648</v>
      </c>
      <c r="E484" t="s">
        <v>2060</v>
      </c>
      <c r="F484" t="s">
        <v>598</v>
      </c>
      <c r="G484" t="s">
        <v>599</v>
      </c>
      <c r="H484" t="s">
        <v>600</v>
      </c>
      <c r="I484" t="s">
        <v>601</v>
      </c>
      <c r="J484">
        <v>7.4999999999999997E-3</v>
      </c>
      <c r="K484">
        <v>7.3000000000000001E-3</v>
      </c>
      <c r="L484">
        <v>7.0000000000000001E-3</v>
      </c>
      <c r="M484">
        <v>6.7000000000000002E-3</v>
      </c>
      <c r="N484">
        <v>6.6E-3</v>
      </c>
      <c r="O484">
        <v>6.4000000000000003E-3</v>
      </c>
      <c r="P484">
        <v>6.4999999999999997E-3</v>
      </c>
      <c r="Q484">
        <v>6.4999999999999997E-3</v>
      </c>
      <c r="R484">
        <v>6.6E-3</v>
      </c>
      <c r="S484">
        <v>6.6E-3</v>
      </c>
      <c r="T484">
        <v>6.6E-3</v>
      </c>
      <c r="U484">
        <v>6.6E-3</v>
      </c>
      <c r="V484">
        <v>6.6E-3</v>
      </c>
      <c r="W484">
        <v>6.6E-3</v>
      </c>
      <c r="X484">
        <v>6.7000000000000002E-3</v>
      </c>
      <c r="Y484">
        <v>6.7000000000000002E-3</v>
      </c>
    </row>
    <row r="485" spans="1:25" hidden="1">
      <c r="A485" t="s">
        <v>18802</v>
      </c>
      <c r="B485" t="s">
        <v>2061</v>
      </c>
      <c r="C485" t="s">
        <v>1959</v>
      </c>
      <c r="D485" t="s">
        <v>648</v>
      </c>
      <c r="E485" t="s">
        <v>2062</v>
      </c>
      <c r="F485" t="s">
        <v>598</v>
      </c>
      <c r="G485" t="s">
        <v>599</v>
      </c>
      <c r="H485" t="s">
        <v>600</v>
      </c>
      <c r="I485" t="s">
        <v>601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hidden="1">
      <c r="A486" t="s">
        <v>18802</v>
      </c>
      <c r="B486" t="s">
        <v>2067</v>
      </c>
      <c r="C486" t="s">
        <v>1959</v>
      </c>
      <c r="D486" t="s">
        <v>648</v>
      </c>
      <c r="E486" t="s">
        <v>2027</v>
      </c>
      <c r="F486" t="s">
        <v>598</v>
      </c>
      <c r="G486" t="s">
        <v>599</v>
      </c>
      <c r="H486" t="s">
        <v>600</v>
      </c>
      <c r="I486" t="s">
        <v>601</v>
      </c>
      <c r="J486">
        <v>3.7000000000000002E-3</v>
      </c>
      <c r="K486">
        <v>3.5999999999999999E-3</v>
      </c>
      <c r="L486">
        <v>3.7000000000000002E-3</v>
      </c>
      <c r="M486">
        <v>3.8E-3</v>
      </c>
      <c r="N486">
        <v>3.8E-3</v>
      </c>
      <c r="O486">
        <v>3.8E-3</v>
      </c>
      <c r="P486">
        <v>3.8E-3</v>
      </c>
      <c r="Q486">
        <v>3.8E-3</v>
      </c>
      <c r="R486">
        <v>3.8999999999999998E-3</v>
      </c>
      <c r="S486">
        <v>3.8999999999999998E-3</v>
      </c>
      <c r="T486">
        <v>4.1000000000000003E-3</v>
      </c>
      <c r="U486">
        <v>4.1999999999999997E-3</v>
      </c>
      <c r="V486">
        <v>4.1999999999999997E-3</v>
      </c>
      <c r="W486">
        <v>4.3E-3</v>
      </c>
      <c r="X486">
        <v>4.4000000000000003E-3</v>
      </c>
      <c r="Y486">
        <v>4.4000000000000003E-3</v>
      </c>
    </row>
    <row r="487" spans="1:25" hidden="1">
      <c r="A487" t="s">
        <v>18802</v>
      </c>
      <c r="B487" t="s">
        <v>2070</v>
      </c>
      <c r="C487" t="s">
        <v>1959</v>
      </c>
      <c r="D487" t="s">
        <v>648</v>
      </c>
      <c r="E487" t="s">
        <v>2071</v>
      </c>
      <c r="F487" t="s">
        <v>598</v>
      </c>
      <c r="G487" t="s">
        <v>599</v>
      </c>
      <c r="H487" t="s">
        <v>600</v>
      </c>
      <c r="I487" t="s">
        <v>601</v>
      </c>
      <c r="J487">
        <v>1.2999999999999999E-3</v>
      </c>
      <c r="K487">
        <v>1.2999999999999999E-3</v>
      </c>
      <c r="L487">
        <v>1.2999999999999999E-3</v>
      </c>
      <c r="M487">
        <v>1.2999999999999999E-3</v>
      </c>
      <c r="N487">
        <v>1.2999999999999999E-3</v>
      </c>
      <c r="O487">
        <v>1.1999999999999999E-3</v>
      </c>
      <c r="P487">
        <v>1.2999999999999999E-3</v>
      </c>
      <c r="Q487">
        <v>1.4E-3</v>
      </c>
      <c r="R487">
        <v>1.4E-3</v>
      </c>
      <c r="S487">
        <v>1.4E-3</v>
      </c>
      <c r="T487">
        <v>1.4E-3</v>
      </c>
      <c r="U487">
        <v>1.4E-3</v>
      </c>
      <c r="V487">
        <v>1.4E-3</v>
      </c>
      <c r="W487">
        <v>1.4E-3</v>
      </c>
      <c r="X487">
        <v>1.4E-3</v>
      </c>
      <c r="Y487">
        <v>1.4E-3</v>
      </c>
    </row>
    <row r="488" spans="1:25" hidden="1">
      <c r="A488" t="s">
        <v>18802</v>
      </c>
      <c r="B488" t="s">
        <v>2072</v>
      </c>
      <c r="C488" t="s">
        <v>1959</v>
      </c>
      <c r="D488" t="s">
        <v>648</v>
      </c>
      <c r="E488" t="s">
        <v>1966</v>
      </c>
      <c r="F488" t="s">
        <v>598</v>
      </c>
      <c r="G488" t="s">
        <v>599</v>
      </c>
      <c r="H488" t="s">
        <v>600</v>
      </c>
      <c r="I488" t="s">
        <v>601</v>
      </c>
      <c r="J488">
        <v>5.4600000000000003E-2</v>
      </c>
      <c r="K488">
        <v>5.5899999999999998E-2</v>
      </c>
      <c r="L488">
        <v>5.7200000000000001E-2</v>
      </c>
      <c r="M488">
        <v>5.8599999999999999E-2</v>
      </c>
      <c r="N488">
        <v>6.0199999999999997E-2</v>
      </c>
      <c r="O488">
        <v>6.1699999999999998E-2</v>
      </c>
      <c r="P488">
        <v>6.3799999999999996E-2</v>
      </c>
      <c r="Q488">
        <v>6.5600000000000006E-2</v>
      </c>
      <c r="R488">
        <v>6.6600000000000006E-2</v>
      </c>
      <c r="S488">
        <v>6.7299999999999999E-2</v>
      </c>
      <c r="T488">
        <v>6.8000000000000005E-2</v>
      </c>
      <c r="U488">
        <v>6.8900000000000003E-2</v>
      </c>
      <c r="V488">
        <v>6.9699999999999998E-2</v>
      </c>
      <c r="W488">
        <v>7.0499999999999993E-2</v>
      </c>
      <c r="X488">
        <v>7.1400000000000005E-2</v>
      </c>
      <c r="Y488">
        <v>7.22E-2</v>
      </c>
    </row>
    <row r="489" spans="1:25" hidden="1">
      <c r="A489" t="s">
        <v>18802</v>
      </c>
      <c r="B489" t="s">
        <v>2073</v>
      </c>
      <c r="C489" t="s">
        <v>1959</v>
      </c>
      <c r="D489" t="s">
        <v>648</v>
      </c>
      <c r="E489" t="s">
        <v>1979</v>
      </c>
      <c r="F489" t="s">
        <v>598</v>
      </c>
      <c r="G489" t="s">
        <v>599</v>
      </c>
      <c r="H489" t="s">
        <v>600</v>
      </c>
      <c r="I489" t="s">
        <v>601</v>
      </c>
      <c r="J489">
        <v>5.2499999999999998E-2</v>
      </c>
      <c r="K489">
        <v>5.3900000000000003E-2</v>
      </c>
      <c r="L489">
        <v>5.5300000000000002E-2</v>
      </c>
      <c r="M489">
        <v>5.67E-2</v>
      </c>
      <c r="N489">
        <v>5.7500000000000002E-2</v>
      </c>
      <c r="O489">
        <v>5.8200000000000002E-2</v>
      </c>
      <c r="P489">
        <v>5.8999999999999997E-2</v>
      </c>
      <c r="Q489">
        <v>5.9900000000000002E-2</v>
      </c>
      <c r="R489">
        <v>6.08E-2</v>
      </c>
      <c r="S489">
        <v>6.1800000000000001E-2</v>
      </c>
      <c r="T489">
        <v>6.2899999999999998E-2</v>
      </c>
      <c r="U489">
        <v>6.4100000000000004E-2</v>
      </c>
      <c r="V489">
        <v>6.54E-2</v>
      </c>
      <c r="W489">
        <v>6.6699999999999995E-2</v>
      </c>
      <c r="X489">
        <v>6.7900000000000002E-2</v>
      </c>
      <c r="Y489">
        <v>6.9199999999999998E-2</v>
      </c>
    </row>
    <row r="490" spans="1:25" hidden="1">
      <c r="A490" t="s">
        <v>18802</v>
      </c>
      <c r="B490" t="s">
        <v>2078</v>
      </c>
      <c r="C490" t="s">
        <v>2075</v>
      </c>
      <c r="D490" t="s">
        <v>2079</v>
      </c>
      <c r="E490" t="s">
        <v>1378</v>
      </c>
      <c r="F490" t="s">
        <v>598</v>
      </c>
      <c r="G490" t="s">
        <v>599</v>
      </c>
      <c r="H490" t="s">
        <v>600</v>
      </c>
      <c r="I490" t="s">
        <v>601</v>
      </c>
      <c r="J490">
        <v>5.4999999999999997E-3</v>
      </c>
      <c r="K490">
        <v>5.5999999999999999E-3</v>
      </c>
      <c r="L490">
        <v>5.4999999999999997E-3</v>
      </c>
      <c r="M490">
        <v>5.4000000000000003E-3</v>
      </c>
      <c r="N490">
        <v>5.4000000000000003E-3</v>
      </c>
      <c r="O490">
        <v>5.4000000000000003E-3</v>
      </c>
      <c r="P490">
        <v>5.4000000000000003E-3</v>
      </c>
      <c r="Q490">
        <v>5.4000000000000003E-3</v>
      </c>
      <c r="R490">
        <v>5.4999999999999997E-3</v>
      </c>
      <c r="S490">
        <v>5.4999999999999997E-3</v>
      </c>
      <c r="T490">
        <v>5.4999999999999997E-3</v>
      </c>
      <c r="U490">
        <v>5.5999999999999999E-3</v>
      </c>
      <c r="V490">
        <v>5.5999999999999999E-3</v>
      </c>
      <c r="W490">
        <v>5.5999999999999999E-3</v>
      </c>
      <c r="X490">
        <v>5.7000000000000002E-3</v>
      </c>
      <c r="Y490">
        <v>5.7000000000000002E-3</v>
      </c>
    </row>
    <row r="491" spans="1:25" hidden="1">
      <c r="A491" t="s">
        <v>18802</v>
      </c>
      <c r="B491" t="s">
        <v>2085</v>
      </c>
      <c r="C491" t="s">
        <v>2075</v>
      </c>
      <c r="D491" t="s">
        <v>2079</v>
      </c>
      <c r="E491" t="s">
        <v>2086</v>
      </c>
      <c r="F491" t="s">
        <v>598</v>
      </c>
      <c r="G491" t="s">
        <v>599</v>
      </c>
      <c r="H491" t="s">
        <v>600</v>
      </c>
      <c r="I491" t="s">
        <v>601</v>
      </c>
      <c r="J491">
        <v>8.0000000000000004E-4</v>
      </c>
      <c r="K491">
        <v>8.0000000000000004E-4</v>
      </c>
      <c r="L491">
        <v>8.9999999999999998E-4</v>
      </c>
      <c r="M491">
        <v>8.9999999999999998E-4</v>
      </c>
      <c r="N491">
        <v>1E-3</v>
      </c>
      <c r="O491">
        <v>1E-3</v>
      </c>
      <c r="P491">
        <v>1E-3</v>
      </c>
      <c r="Q491">
        <v>1.1000000000000001E-3</v>
      </c>
      <c r="R491">
        <v>1.1000000000000001E-3</v>
      </c>
      <c r="S491">
        <v>1.1000000000000001E-3</v>
      </c>
      <c r="T491">
        <v>1.1000000000000001E-3</v>
      </c>
      <c r="U491">
        <v>1.1000000000000001E-3</v>
      </c>
      <c r="V491">
        <v>1.1999999999999999E-3</v>
      </c>
      <c r="W491">
        <v>1.1999999999999999E-3</v>
      </c>
      <c r="X491">
        <v>1.1999999999999999E-3</v>
      </c>
      <c r="Y491">
        <v>1.1999999999999999E-3</v>
      </c>
    </row>
    <row r="492" spans="1:25" hidden="1">
      <c r="A492" t="s">
        <v>18802</v>
      </c>
      <c r="B492" t="s">
        <v>2101</v>
      </c>
      <c r="C492" t="s">
        <v>2075</v>
      </c>
      <c r="D492" t="s">
        <v>2090</v>
      </c>
      <c r="E492" t="s">
        <v>2102</v>
      </c>
      <c r="F492" t="s">
        <v>598</v>
      </c>
      <c r="G492" t="s">
        <v>599</v>
      </c>
      <c r="H492" t="s">
        <v>600</v>
      </c>
      <c r="I492" t="s">
        <v>601</v>
      </c>
      <c r="J492">
        <v>6.3E-3</v>
      </c>
      <c r="K492">
        <v>6.6E-3</v>
      </c>
      <c r="L492">
        <v>7.0000000000000001E-3</v>
      </c>
      <c r="M492">
        <v>7.4999999999999997E-3</v>
      </c>
      <c r="N492">
        <v>7.9000000000000008E-3</v>
      </c>
      <c r="O492">
        <v>8.3000000000000001E-3</v>
      </c>
      <c r="P492">
        <v>8.8000000000000005E-3</v>
      </c>
      <c r="Q492">
        <v>9.4000000000000004E-3</v>
      </c>
      <c r="R492">
        <v>9.7000000000000003E-3</v>
      </c>
      <c r="S492">
        <v>1.01E-2</v>
      </c>
      <c r="T492">
        <v>1.0500000000000001E-2</v>
      </c>
      <c r="U492">
        <v>1.0800000000000001E-2</v>
      </c>
      <c r="V492">
        <v>1.12E-2</v>
      </c>
      <c r="W492">
        <v>1.1599999999999999E-2</v>
      </c>
      <c r="X492">
        <v>1.2E-2</v>
      </c>
      <c r="Y492">
        <v>1.24E-2</v>
      </c>
    </row>
    <row r="493" spans="1:25" hidden="1">
      <c r="A493" t="s">
        <v>18802</v>
      </c>
      <c r="B493" t="s">
        <v>2103</v>
      </c>
      <c r="C493" t="s">
        <v>2075</v>
      </c>
      <c r="D493" t="s">
        <v>648</v>
      </c>
      <c r="E493" t="s">
        <v>973</v>
      </c>
      <c r="F493" t="s">
        <v>598</v>
      </c>
      <c r="G493" t="s">
        <v>599</v>
      </c>
      <c r="H493" t="s">
        <v>600</v>
      </c>
      <c r="I493" t="s">
        <v>601</v>
      </c>
      <c r="J493">
        <v>4.0000000000000002E-4</v>
      </c>
      <c r="K493">
        <v>4.0000000000000002E-4</v>
      </c>
      <c r="L493">
        <v>5.0000000000000001E-4</v>
      </c>
      <c r="M493">
        <v>5.0000000000000001E-4</v>
      </c>
      <c r="N493">
        <v>5.0000000000000001E-4</v>
      </c>
      <c r="O493">
        <v>4.0000000000000002E-4</v>
      </c>
      <c r="P493">
        <v>4.0000000000000002E-4</v>
      </c>
      <c r="Q493">
        <v>5.0000000000000001E-4</v>
      </c>
      <c r="R493">
        <v>5.0000000000000001E-4</v>
      </c>
      <c r="S493">
        <v>5.0000000000000001E-4</v>
      </c>
      <c r="T493">
        <v>5.9999999999999995E-4</v>
      </c>
      <c r="U493">
        <v>5.9999999999999995E-4</v>
      </c>
      <c r="V493">
        <v>5.9999999999999995E-4</v>
      </c>
      <c r="W493">
        <v>5.9999999999999995E-4</v>
      </c>
      <c r="X493">
        <v>5.9999999999999995E-4</v>
      </c>
      <c r="Y493">
        <v>5.9999999999999995E-4</v>
      </c>
    </row>
    <row r="494" spans="1:25" hidden="1">
      <c r="A494" t="s">
        <v>18802</v>
      </c>
      <c r="B494" t="s">
        <v>2106</v>
      </c>
      <c r="C494" t="s">
        <v>2075</v>
      </c>
      <c r="D494" t="s">
        <v>648</v>
      </c>
      <c r="E494" t="s">
        <v>1378</v>
      </c>
      <c r="F494" t="s">
        <v>598</v>
      </c>
      <c r="G494" t="s">
        <v>599</v>
      </c>
      <c r="H494" t="s">
        <v>600</v>
      </c>
      <c r="I494" t="s">
        <v>601</v>
      </c>
      <c r="J494">
        <v>2.9999999999999997E-4</v>
      </c>
      <c r="K494">
        <v>2.9999999999999997E-4</v>
      </c>
      <c r="L494">
        <v>2.9999999999999997E-4</v>
      </c>
      <c r="M494">
        <v>2.9999999999999997E-4</v>
      </c>
      <c r="N494">
        <v>2.9999999999999997E-4</v>
      </c>
      <c r="O494">
        <v>2.9999999999999997E-4</v>
      </c>
      <c r="P494">
        <v>2.9999999999999997E-4</v>
      </c>
      <c r="Q494">
        <v>4.0000000000000002E-4</v>
      </c>
      <c r="R494">
        <v>4.0000000000000002E-4</v>
      </c>
      <c r="S494">
        <v>4.0000000000000002E-4</v>
      </c>
      <c r="T494">
        <v>4.0000000000000002E-4</v>
      </c>
      <c r="U494">
        <v>4.0000000000000002E-4</v>
      </c>
      <c r="V494">
        <v>4.0000000000000002E-4</v>
      </c>
      <c r="W494">
        <v>4.0000000000000002E-4</v>
      </c>
      <c r="X494">
        <v>4.0000000000000002E-4</v>
      </c>
      <c r="Y494">
        <v>5.0000000000000001E-4</v>
      </c>
    </row>
    <row r="495" spans="1:25" hidden="1">
      <c r="A495" t="s">
        <v>18802</v>
      </c>
      <c r="B495" t="s">
        <v>2112</v>
      </c>
      <c r="C495" t="s">
        <v>2075</v>
      </c>
      <c r="D495" t="s">
        <v>648</v>
      </c>
      <c r="E495" t="s">
        <v>2113</v>
      </c>
      <c r="F495" t="s">
        <v>598</v>
      </c>
      <c r="G495" t="s">
        <v>599</v>
      </c>
      <c r="H495" t="s">
        <v>600</v>
      </c>
      <c r="I495" t="s">
        <v>601</v>
      </c>
      <c r="J495">
        <v>6.9999999999999999E-4</v>
      </c>
      <c r="K495">
        <v>6.9999999999999999E-4</v>
      </c>
      <c r="L495">
        <v>5.9999999999999995E-4</v>
      </c>
      <c r="M495">
        <v>5.9999999999999995E-4</v>
      </c>
      <c r="N495">
        <v>5.9999999999999995E-4</v>
      </c>
      <c r="O495">
        <v>5.9999999999999995E-4</v>
      </c>
      <c r="P495">
        <v>5.9999999999999995E-4</v>
      </c>
      <c r="Q495">
        <v>5.9999999999999995E-4</v>
      </c>
      <c r="R495">
        <v>5.9999999999999995E-4</v>
      </c>
      <c r="S495">
        <v>5.9999999999999995E-4</v>
      </c>
      <c r="T495">
        <v>5.9999999999999995E-4</v>
      </c>
      <c r="U495">
        <v>5.9999999999999995E-4</v>
      </c>
      <c r="V495">
        <v>5.9999999999999995E-4</v>
      </c>
      <c r="W495">
        <v>5.9999999999999995E-4</v>
      </c>
      <c r="X495">
        <v>5.9999999999999995E-4</v>
      </c>
      <c r="Y495">
        <v>5.9999999999999995E-4</v>
      </c>
    </row>
    <row r="496" spans="1:25" hidden="1">
      <c r="A496" t="s">
        <v>18802</v>
      </c>
      <c r="B496" t="s">
        <v>2126</v>
      </c>
      <c r="C496" t="s">
        <v>2116</v>
      </c>
      <c r="D496" t="s">
        <v>2127</v>
      </c>
      <c r="E496" t="s">
        <v>656</v>
      </c>
      <c r="F496" t="s">
        <v>598</v>
      </c>
      <c r="G496" t="s">
        <v>599</v>
      </c>
      <c r="H496" t="s">
        <v>600</v>
      </c>
      <c r="I496" t="s">
        <v>601</v>
      </c>
      <c r="J496">
        <v>2.7000000000000001E-3</v>
      </c>
      <c r="K496">
        <v>2.7000000000000001E-3</v>
      </c>
      <c r="L496">
        <v>2.7000000000000001E-3</v>
      </c>
      <c r="M496">
        <v>2.7000000000000001E-3</v>
      </c>
      <c r="N496">
        <v>2.7000000000000001E-3</v>
      </c>
      <c r="O496">
        <v>2.7000000000000001E-3</v>
      </c>
      <c r="P496">
        <v>2.7000000000000001E-3</v>
      </c>
      <c r="Q496">
        <v>2.7000000000000001E-3</v>
      </c>
      <c r="R496">
        <v>2.7000000000000001E-3</v>
      </c>
      <c r="S496">
        <v>2.7000000000000001E-3</v>
      </c>
      <c r="T496">
        <v>2.7000000000000001E-3</v>
      </c>
      <c r="U496">
        <v>2.7000000000000001E-3</v>
      </c>
      <c r="V496">
        <v>2.7000000000000001E-3</v>
      </c>
      <c r="W496">
        <v>2.7000000000000001E-3</v>
      </c>
      <c r="X496">
        <v>2.7000000000000001E-3</v>
      </c>
      <c r="Y496">
        <v>2.7000000000000001E-3</v>
      </c>
    </row>
    <row r="497" spans="1:25" hidden="1">
      <c r="A497" t="s">
        <v>18802</v>
      </c>
      <c r="B497" t="s">
        <v>2128</v>
      </c>
      <c r="C497" t="s">
        <v>2116</v>
      </c>
      <c r="D497" t="s">
        <v>648</v>
      </c>
      <c r="E497" t="s">
        <v>656</v>
      </c>
      <c r="F497" t="s">
        <v>598</v>
      </c>
      <c r="G497" t="s">
        <v>599</v>
      </c>
      <c r="H497" t="s">
        <v>600</v>
      </c>
      <c r="I497" t="s">
        <v>601</v>
      </c>
      <c r="J497">
        <v>0.46929999999999999</v>
      </c>
      <c r="K497">
        <v>0.49299999999999999</v>
      </c>
      <c r="L497">
        <v>0.51739999999999997</v>
      </c>
      <c r="M497">
        <v>0.5494</v>
      </c>
      <c r="N497">
        <v>0.57350000000000001</v>
      </c>
      <c r="O497">
        <v>0.60229999999999995</v>
      </c>
      <c r="P497">
        <v>0.63149999999999995</v>
      </c>
      <c r="Q497">
        <v>0.66710000000000003</v>
      </c>
      <c r="R497">
        <v>0.68600000000000005</v>
      </c>
      <c r="S497">
        <v>0.7107</v>
      </c>
      <c r="T497">
        <v>0.7349</v>
      </c>
      <c r="U497">
        <v>0.75619999999999998</v>
      </c>
      <c r="V497">
        <v>0.77939999999999998</v>
      </c>
      <c r="W497">
        <v>0.80289999999999995</v>
      </c>
      <c r="X497">
        <v>0.82599999999999996</v>
      </c>
      <c r="Y497">
        <v>0.84940000000000004</v>
      </c>
    </row>
    <row r="498" spans="1:25" hidden="1">
      <c r="A498" t="s">
        <v>18802</v>
      </c>
      <c r="B498" t="s">
        <v>2148</v>
      </c>
      <c r="C498" t="s">
        <v>2144</v>
      </c>
      <c r="D498" t="s">
        <v>2147</v>
      </c>
      <c r="E498" t="s">
        <v>1393</v>
      </c>
      <c r="F498" t="s">
        <v>598</v>
      </c>
      <c r="G498" t="s">
        <v>599</v>
      </c>
      <c r="H498" t="s">
        <v>600</v>
      </c>
      <c r="I498" t="s">
        <v>601</v>
      </c>
      <c r="J498">
        <v>0.01</v>
      </c>
      <c r="K498">
        <v>1.0699999999999999E-2</v>
      </c>
      <c r="L498">
        <v>1.15E-2</v>
      </c>
      <c r="M498">
        <v>1.2500000000000001E-2</v>
      </c>
      <c r="N498">
        <v>1.34E-2</v>
      </c>
      <c r="O498">
        <v>1.44E-2</v>
      </c>
      <c r="P498">
        <v>1.5599999999999999E-2</v>
      </c>
      <c r="Q498">
        <v>1.6899999999999998E-2</v>
      </c>
      <c r="R498">
        <v>1.7600000000000001E-2</v>
      </c>
      <c r="S498">
        <v>1.8599999999999998E-2</v>
      </c>
      <c r="T498">
        <v>1.95E-2</v>
      </c>
      <c r="U498">
        <v>2.0400000000000001E-2</v>
      </c>
      <c r="V498">
        <v>2.1499999999999998E-2</v>
      </c>
      <c r="W498">
        <v>2.2599999999999999E-2</v>
      </c>
      <c r="X498">
        <v>2.3599999999999999E-2</v>
      </c>
      <c r="Y498">
        <v>2.47E-2</v>
      </c>
    </row>
    <row r="499" spans="1:25" hidden="1">
      <c r="A499" t="s">
        <v>18802</v>
      </c>
      <c r="B499" t="s">
        <v>2163</v>
      </c>
      <c r="C499" t="s">
        <v>2154</v>
      </c>
      <c r="D499" t="s">
        <v>1324</v>
      </c>
      <c r="E499" t="s">
        <v>954</v>
      </c>
      <c r="F499" t="s">
        <v>598</v>
      </c>
      <c r="G499" t="s">
        <v>599</v>
      </c>
      <c r="H499" t="s">
        <v>600</v>
      </c>
      <c r="I499" t="s">
        <v>601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hidden="1">
      <c r="A500" t="s">
        <v>18802</v>
      </c>
      <c r="B500" t="s">
        <v>2168</v>
      </c>
      <c r="C500" t="s">
        <v>2154</v>
      </c>
      <c r="D500" t="s">
        <v>1332</v>
      </c>
      <c r="E500" t="s">
        <v>954</v>
      </c>
      <c r="F500" t="s">
        <v>598</v>
      </c>
      <c r="G500" t="s">
        <v>599</v>
      </c>
      <c r="H500" t="s">
        <v>600</v>
      </c>
      <c r="I500" t="s">
        <v>601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18802</v>
      </c>
      <c r="B501" t="s">
        <v>2172</v>
      </c>
      <c r="C501" t="s">
        <v>2154</v>
      </c>
      <c r="D501" t="s">
        <v>1435</v>
      </c>
      <c r="E501" t="s">
        <v>973</v>
      </c>
      <c r="F501" t="s">
        <v>598</v>
      </c>
      <c r="G501" t="s">
        <v>599</v>
      </c>
      <c r="H501" t="s">
        <v>600</v>
      </c>
      <c r="I501" t="s">
        <v>601</v>
      </c>
      <c r="J501">
        <v>0.10929999999999999</v>
      </c>
      <c r="K501">
        <v>0.1087</v>
      </c>
      <c r="L501">
        <v>0.1061</v>
      </c>
      <c r="M501">
        <v>0.1072</v>
      </c>
      <c r="N501">
        <v>0.1071</v>
      </c>
      <c r="O501">
        <v>0.10730000000000001</v>
      </c>
      <c r="P501">
        <v>0.1115</v>
      </c>
      <c r="Q501">
        <v>0.1145</v>
      </c>
      <c r="R501">
        <v>0.1166</v>
      </c>
      <c r="S501">
        <v>0.1182</v>
      </c>
      <c r="T501">
        <v>0.1193</v>
      </c>
      <c r="U501">
        <v>0.1195</v>
      </c>
      <c r="V501">
        <v>0.1197</v>
      </c>
      <c r="W501">
        <v>0.12</v>
      </c>
      <c r="X501">
        <v>0.1202</v>
      </c>
      <c r="Y501">
        <v>0.12039999999999999</v>
      </c>
    </row>
    <row r="502" spans="1:25" hidden="1">
      <c r="A502" t="s">
        <v>18802</v>
      </c>
      <c r="B502" t="s">
        <v>2173</v>
      </c>
      <c r="C502" t="s">
        <v>2154</v>
      </c>
      <c r="D502" t="s">
        <v>1354</v>
      </c>
      <c r="E502" t="s">
        <v>973</v>
      </c>
      <c r="F502" t="s">
        <v>598</v>
      </c>
      <c r="G502" t="s">
        <v>599</v>
      </c>
      <c r="H502" t="s">
        <v>600</v>
      </c>
      <c r="I502" t="s">
        <v>601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18802</v>
      </c>
      <c r="B503" t="s">
        <v>2174</v>
      </c>
      <c r="C503" t="s">
        <v>2154</v>
      </c>
      <c r="D503" t="s">
        <v>1354</v>
      </c>
      <c r="E503" t="s">
        <v>927</v>
      </c>
      <c r="F503" t="s">
        <v>598</v>
      </c>
      <c r="G503" t="s">
        <v>599</v>
      </c>
      <c r="H503" t="s">
        <v>600</v>
      </c>
      <c r="I503" t="s">
        <v>601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18802</v>
      </c>
      <c r="B504" t="s">
        <v>2187</v>
      </c>
      <c r="C504" t="s">
        <v>2154</v>
      </c>
      <c r="D504" t="s">
        <v>648</v>
      </c>
      <c r="E504" t="s">
        <v>920</v>
      </c>
      <c r="F504" t="s">
        <v>598</v>
      </c>
      <c r="G504" t="s">
        <v>599</v>
      </c>
      <c r="H504" t="s">
        <v>600</v>
      </c>
      <c r="I504" t="s">
        <v>601</v>
      </c>
      <c r="J504">
        <v>4.19E-2</v>
      </c>
      <c r="K504">
        <v>4.2799999999999998E-2</v>
      </c>
      <c r="L504">
        <v>4.3499999999999997E-2</v>
      </c>
      <c r="M504">
        <v>4.4499999999999998E-2</v>
      </c>
      <c r="N504">
        <v>4.5100000000000001E-2</v>
      </c>
      <c r="O504">
        <v>4.5499999999999999E-2</v>
      </c>
      <c r="P504">
        <v>4.6399999999999997E-2</v>
      </c>
      <c r="Q504">
        <v>4.7199999999999999E-2</v>
      </c>
      <c r="R504">
        <v>4.8000000000000001E-2</v>
      </c>
      <c r="S504">
        <v>4.8800000000000003E-2</v>
      </c>
      <c r="T504">
        <v>4.9599999999999998E-2</v>
      </c>
      <c r="U504">
        <v>5.0500000000000003E-2</v>
      </c>
      <c r="V504">
        <v>5.1400000000000001E-2</v>
      </c>
      <c r="W504">
        <v>5.2400000000000002E-2</v>
      </c>
      <c r="X504">
        <v>5.3400000000000003E-2</v>
      </c>
      <c r="Y504">
        <v>5.4300000000000001E-2</v>
      </c>
    </row>
    <row r="505" spans="1:25" hidden="1">
      <c r="A505" t="s">
        <v>18802</v>
      </c>
      <c r="B505" t="s">
        <v>2188</v>
      </c>
      <c r="C505" t="s">
        <v>2154</v>
      </c>
      <c r="D505" t="s">
        <v>648</v>
      </c>
      <c r="E505" t="s">
        <v>973</v>
      </c>
      <c r="F505" t="s">
        <v>598</v>
      </c>
      <c r="G505" t="s">
        <v>599</v>
      </c>
      <c r="H505" t="s">
        <v>600</v>
      </c>
      <c r="I505" t="s">
        <v>601</v>
      </c>
      <c r="J505">
        <v>0.32529999999999998</v>
      </c>
      <c r="K505">
        <v>0.31640000000000001</v>
      </c>
      <c r="L505">
        <v>0.30759999999999998</v>
      </c>
      <c r="M505">
        <v>0.29809999999999998</v>
      </c>
      <c r="N505">
        <v>0.29010000000000002</v>
      </c>
      <c r="O505">
        <v>0.28070000000000001</v>
      </c>
      <c r="P505">
        <v>0.28470000000000001</v>
      </c>
      <c r="Q505">
        <v>0.2908</v>
      </c>
      <c r="R505">
        <v>0.29289999999999999</v>
      </c>
      <c r="S505">
        <v>0.29759999999999998</v>
      </c>
      <c r="T505">
        <v>0.3019</v>
      </c>
      <c r="U505">
        <v>0.30459999999999998</v>
      </c>
      <c r="V505">
        <v>0.30780000000000002</v>
      </c>
      <c r="W505">
        <v>0.31080000000000002</v>
      </c>
      <c r="X505">
        <v>0.31409999999999999</v>
      </c>
      <c r="Y505">
        <v>0.31690000000000002</v>
      </c>
    </row>
    <row r="506" spans="1:25" hidden="1">
      <c r="A506" t="s">
        <v>18802</v>
      </c>
      <c r="B506" t="s">
        <v>2194</v>
      </c>
      <c r="C506" t="s">
        <v>2154</v>
      </c>
      <c r="D506" t="s">
        <v>648</v>
      </c>
      <c r="E506" t="s">
        <v>2195</v>
      </c>
      <c r="F506" t="s">
        <v>598</v>
      </c>
      <c r="G506" t="s">
        <v>599</v>
      </c>
      <c r="H506" t="s">
        <v>600</v>
      </c>
      <c r="I506" t="s">
        <v>601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18802</v>
      </c>
      <c r="B507" t="s">
        <v>2196</v>
      </c>
      <c r="C507" t="s">
        <v>2154</v>
      </c>
      <c r="D507" t="s">
        <v>648</v>
      </c>
      <c r="E507" t="s">
        <v>1393</v>
      </c>
      <c r="F507" t="s">
        <v>598</v>
      </c>
      <c r="G507" t="s">
        <v>599</v>
      </c>
      <c r="H507" t="s">
        <v>600</v>
      </c>
      <c r="I507" t="s">
        <v>601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18802</v>
      </c>
      <c r="B508" t="s">
        <v>2197</v>
      </c>
      <c r="C508" t="s">
        <v>2154</v>
      </c>
      <c r="D508" t="s">
        <v>648</v>
      </c>
      <c r="E508" t="s">
        <v>646</v>
      </c>
      <c r="F508" t="s">
        <v>598</v>
      </c>
      <c r="G508" t="s">
        <v>599</v>
      </c>
      <c r="H508" t="s">
        <v>600</v>
      </c>
      <c r="I508" t="s">
        <v>601</v>
      </c>
      <c r="J508">
        <v>2.2700000000000001E-2</v>
      </c>
      <c r="K508">
        <v>2.2200000000000001E-2</v>
      </c>
      <c r="L508">
        <v>2.18E-2</v>
      </c>
      <c r="M508">
        <v>2.1100000000000001E-2</v>
      </c>
      <c r="N508">
        <v>2.0799999999999999E-2</v>
      </c>
      <c r="O508">
        <v>2.0299999999999999E-2</v>
      </c>
      <c r="P508">
        <v>2.0500000000000001E-2</v>
      </c>
      <c r="Q508">
        <v>2.07E-2</v>
      </c>
      <c r="R508">
        <v>2.07E-2</v>
      </c>
      <c r="S508">
        <v>2.0799999999999999E-2</v>
      </c>
      <c r="T508">
        <v>2.0799999999999999E-2</v>
      </c>
      <c r="U508">
        <v>2.0899999999999998E-2</v>
      </c>
      <c r="V508">
        <v>2.1000000000000001E-2</v>
      </c>
      <c r="W508">
        <v>2.1000000000000001E-2</v>
      </c>
      <c r="X508">
        <v>2.1100000000000001E-2</v>
      </c>
      <c r="Y508">
        <v>2.1100000000000001E-2</v>
      </c>
    </row>
    <row r="509" spans="1:25" hidden="1">
      <c r="A509" t="s">
        <v>18802</v>
      </c>
      <c r="B509" t="s">
        <v>2209</v>
      </c>
      <c r="C509" t="s">
        <v>2154</v>
      </c>
      <c r="D509" t="s">
        <v>648</v>
      </c>
      <c r="E509" t="s">
        <v>1004</v>
      </c>
      <c r="F509" t="s">
        <v>598</v>
      </c>
      <c r="G509" t="s">
        <v>599</v>
      </c>
      <c r="H509" t="s">
        <v>600</v>
      </c>
      <c r="I509" t="s">
        <v>601</v>
      </c>
      <c r="J509">
        <v>1E-4</v>
      </c>
      <c r="K509">
        <v>1E-4</v>
      </c>
      <c r="L509">
        <v>1E-4</v>
      </c>
      <c r="M509">
        <v>1E-4</v>
      </c>
      <c r="N509">
        <v>1E-4</v>
      </c>
      <c r="O509">
        <v>1E-4</v>
      </c>
      <c r="P509">
        <v>1E-4</v>
      </c>
      <c r="Q509">
        <v>1E-4</v>
      </c>
      <c r="R509">
        <v>1E-4</v>
      </c>
      <c r="S509">
        <v>1E-4</v>
      </c>
      <c r="T509">
        <v>1E-4</v>
      </c>
      <c r="U509">
        <v>1E-4</v>
      </c>
      <c r="V509">
        <v>1E-4</v>
      </c>
      <c r="W509">
        <v>1E-4</v>
      </c>
      <c r="X509">
        <v>1E-4</v>
      </c>
      <c r="Y509">
        <v>1E-4</v>
      </c>
    </row>
    <row r="510" spans="1:25">
      <c r="J510">
        <f>SUBTOTAL(109,Table106[2015])</f>
        <v>0.49680000000000002</v>
      </c>
      <c r="K510">
        <f>SUBTOTAL(109,Table106[2016])</f>
        <v>0.49369999999999997</v>
      </c>
      <c r="L510">
        <f>SUBTOTAL(109,Table106[2017])</f>
        <v>0.48049999999999998</v>
      </c>
      <c r="M510">
        <f>SUBTOTAL(109,Table106[2018])</f>
        <v>0.48399999999999999</v>
      </c>
      <c r="N510">
        <f>SUBTOTAL(109,Table106[2019])</f>
        <v>0.48289999999999994</v>
      </c>
      <c r="O510">
        <f>SUBTOTAL(109,Table106[2020])</f>
        <v>0.48209999999999992</v>
      </c>
      <c r="P510">
        <f>SUBTOTAL(109,Table106[2021])</f>
        <v>0.50109999999999999</v>
      </c>
      <c r="Q510">
        <f>SUBTOTAL(109,Table106[2022])</f>
        <v>0.51380000000000003</v>
      </c>
      <c r="R510">
        <f>SUBTOTAL(109,Table106[2023])</f>
        <v>0.52279999999999993</v>
      </c>
      <c r="S510">
        <f>SUBTOTAL(109,Table106[2024])</f>
        <v>0.52900000000000003</v>
      </c>
      <c r="T510">
        <f>SUBTOTAL(109,Table106[2025])</f>
        <v>0.53320000000000001</v>
      </c>
      <c r="U510">
        <f>SUBTOTAL(109,Table106[2026])</f>
        <v>0.53320000000000001</v>
      </c>
      <c r="V510">
        <f>SUBTOTAL(109,Table106[2027])</f>
        <v>0.53320000000000001</v>
      </c>
      <c r="W510">
        <f>SUBTOTAL(109,Table106[2028])</f>
        <v>0.53320000000000001</v>
      </c>
      <c r="X510">
        <f>SUBTOTAL(109,Table106[2029])</f>
        <v>0.53320000000000001</v>
      </c>
      <c r="Y510">
        <f>SUBTOTAL(109,Table106[2030])</f>
        <v>0.53320000000000001</v>
      </c>
    </row>
    <row r="512" spans="1:25">
      <c r="A512" t="s">
        <v>569</v>
      </c>
      <c r="B512" t="s">
        <v>570</v>
      </c>
      <c r="C512" t="s">
        <v>571</v>
      </c>
      <c r="D512" t="s">
        <v>572</v>
      </c>
      <c r="E512" t="s">
        <v>573</v>
      </c>
      <c r="F512" t="s">
        <v>574</v>
      </c>
      <c r="G512" t="s">
        <v>575</v>
      </c>
      <c r="H512" t="s">
        <v>576</v>
      </c>
      <c r="I512" t="s">
        <v>577</v>
      </c>
      <c r="J512" t="s">
        <v>578</v>
      </c>
      <c r="K512" t="s">
        <v>579</v>
      </c>
      <c r="L512" t="s">
        <v>580</v>
      </c>
      <c r="M512" t="s">
        <v>581</v>
      </c>
      <c r="N512" t="s">
        <v>582</v>
      </c>
      <c r="O512" t="s">
        <v>583</v>
      </c>
      <c r="P512" t="s">
        <v>584</v>
      </c>
      <c r="Q512" t="s">
        <v>585</v>
      </c>
      <c r="R512" t="s">
        <v>586</v>
      </c>
      <c r="S512" t="s">
        <v>587</v>
      </c>
      <c r="T512" t="s">
        <v>588</v>
      </c>
      <c r="U512" t="s">
        <v>589</v>
      </c>
      <c r="V512" t="s">
        <v>590</v>
      </c>
      <c r="W512" t="s">
        <v>591</v>
      </c>
      <c r="X512" t="s">
        <v>592</v>
      </c>
      <c r="Y512" t="s">
        <v>593</v>
      </c>
    </row>
    <row r="513" spans="1:25">
      <c r="A513" t="s">
        <v>18803</v>
      </c>
      <c r="B513" t="s">
        <v>616</v>
      </c>
      <c r="C513" t="s">
        <v>595</v>
      </c>
      <c r="D513" t="s">
        <v>596</v>
      </c>
      <c r="E513" t="s">
        <v>617</v>
      </c>
      <c r="F513" t="s">
        <v>598</v>
      </c>
      <c r="G513" t="s">
        <v>599</v>
      </c>
      <c r="H513" t="s">
        <v>600</v>
      </c>
      <c r="I513" t="s">
        <v>601</v>
      </c>
      <c r="J513">
        <v>0.1696</v>
      </c>
      <c r="K513">
        <v>0.17530000000000001</v>
      </c>
      <c r="L513">
        <v>0.1762</v>
      </c>
      <c r="M513">
        <v>0.17949999999999999</v>
      </c>
      <c r="N513">
        <v>0.1817</v>
      </c>
      <c r="O513">
        <v>0.18870000000000001</v>
      </c>
      <c r="P513">
        <v>0.18990000000000001</v>
      </c>
      <c r="Q513">
        <v>0.193</v>
      </c>
      <c r="R513">
        <v>0.1951</v>
      </c>
      <c r="S513">
        <v>0.2001</v>
      </c>
      <c r="T513">
        <v>0.20580000000000001</v>
      </c>
      <c r="U513">
        <v>0.2099</v>
      </c>
      <c r="V513">
        <v>0.2117</v>
      </c>
      <c r="W513">
        <v>0.2162</v>
      </c>
      <c r="X513">
        <v>0.2208</v>
      </c>
      <c r="Y513">
        <v>0.22359999999999999</v>
      </c>
    </row>
    <row r="514" spans="1:25">
      <c r="A514" t="s">
        <v>18803</v>
      </c>
      <c r="B514" t="s">
        <v>618</v>
      </c>
      <c r="C514" t="s">
        <v>595</v>
      </c>
      <c r="D514" t="s">
        <v>596</v>
      </c>
      <c r="E514" t="s">
        <v>619</v>
      </c>
      <c r="F514" t="s">
        <v>598</v>
      </c>
      <c r="G514" t="s">
        <v>599</v>
      </c>
      <c r="H514" t="s">
        <v>600</v>
      </c>
      <c r="I514" t="s">
        <v>601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>
      <c r="A515" t="s">
        <v>18803</v>
      </c>
      <c r="B515" t="s">
        <v>620</v>
      </c>
      <c r="C515" t="s">
        <v>595</v>
      </c>
      <c r="D515" t="s">
        <v>621</v>
      </c>
      <c r="E515" t="s">
        <v>597</v>
      </c>
      <c r="F515" t="s">
        <v>598</v>
      </c>
      <c r="G515" t="s">
        <v>599</v>
      </c>
      <c r="H515" t="s">
        <v>600</v>
      </c>
      <c r="I515" t="s">
        <v>601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>
      <c r="A516" t="s">
        <v>18803</v>
      </c>
      <c r="B516" t="s">
        <v>627</v>
      </c>
      <c r="C516" t="s">
        <v>595</v>
      </c>
      <c r="D516" t="s">
        <v>621</v>
      </c>
      <c r="E516" t="s">
        <v>628</v>
      </c>
      <c r="F516" t="s">
        <v>598</v>
      </c>
      <c r="G516" t="s">
        <v>599</v>
      </c>
      <c r="H516" t="s">
        <v>600</v>
      </c>
      <c r="I516" t="s">
        <v>601</v>
      </c>
      <c r="J516">
        <v>4.1999999999999997E-3</v>
      </c>
      <c r="K516">
        <v>4.1999999999999997E-3</v>
      </c>
      <c r="L516">
        <v>4.1999999999999997E-3</v>
      </c>
      <c r="M516">
        <v>4.1999999999999997E-3</v>
      </c>
      <c r="N516">
        <v>4.1999999999999997E-3</v>
      </c>
      <c r="O516">
        <v>4.1999999999999997E-3</v>
      </c>
      <c r="P516">
        <v>4.1999999999999997E-3</v>
      </c>
      <c r="Q516">
        <v>4.1999999999999997E-3</v>
      </c>
      <c r="R516">
        <v>4.1999999999999997E-3</v>
      </c>
      <c r="S516">
        <v>4.1999999999999997E-3</v>
      </c>
      <c r="T516">
        <v>4.1999999999999997E-3</v>
      </c>
      <c r="U516">
        <v>4.1999999999999997E-3</v>
      </c>
      <c r="V516">
        <v>4.1999999999999997E-3</v>
      </c>
      <c r="W516">
        <v>4.1999999999999997E-3</v>
      </c>
      <c r="X516">
        <v>4.1999999999999997E-3</v>
      </c>
      <c r="Y516">
        <v>4.1999999999999997E-3</v>
      </c>
    </row>
    <row r="517" spans="1:25" hidden="1">
      <c r="A517" t="s">
        <v>18803</v>
      </c>
      <c r="B517" t="s">
        <v>655</v>
      </c>
      <c r="C517" t="s">
        <v>651</v>
      </c>
      <c r="D517" t="s">
        <v>596</v>
      </c>
      <c r="E517" t="s">
        <v>656</v>
      </c>
      <c r="F517" t="s">
        <v>598</v>
      </c>
      <c r="G517" t="s">
        <v>599</v>
      </c>
      <c r="H517" t="s">
        <v>600</v>
      </c>
      <c r="I517" t="s">
        <v>601</v>
      </c>
      <c r="J517">
        <v>0.28889999999999999</v>
      </c>
      <c r="K517">
        <v>0.3306</v>
      </c>
      <c r="L517">
        <v>0.35489999999999999</v>
      </c>
      <c r="M517">
        <v>0.3861</v>
      </c>
      <c r="N517">
        <v>0.40839999999999999</v>
      </c>
      <c r="O517">
        <v>0.4244</v>
      </c>
      <c r="P517">
        <v>0.42920000000000003</v>
      </c>
      <c r="Q517">
        <v>0.43409999999999999</v>
      </c>
      <c r="R517">
        <v>0.44519999999999998</v>
      </c>
      <c r="S517">
        <v>0.45290000000000002</v>
      </c>
      <c r="T517">
        <v>0.46039999999999998</v>
      </c>
      <c r="U517">
        <v>0.46810000000000002</v>
      </c>
      <c r="V517">
        <v>0.47649999999999998</v>
      </c>
      <c r="W517">
        <v>0.47499999999999998</v>
      </c>
      <c r="X517">
        <v>0.47860000000000003</v>
      </c>
      <c r="Y517">
        <v>0.47720000000000001</v>
      </c>
    </row>
    <row r="518" spans="1:25" hidden="1">
      <c r="A518" t="s">
        <v>18803</v>
      </c>
      <c r="B518" t="s">
        <v>657</v>
      </c>
      <c r="C518" t="s">
        <v>651</v>
      </c>
      <c r="D518" t="s">
        <v>621</v>
      </c>
      <c r="E518" t="s">
        <v>597</v>
      </c>
      <c r="F518" t="s">
        <v>598</v>
      </c>
      <c r="G518" t="s">
        <v>599</v>
      </c>
      <c r="H518" t="s">
        <v>600</v>
      </c>
      <c r="I518" t="s">
        <v>601</v>
      </c>
      <c r="J518">
        <v>2.0000000000000001E-4</v>
      </c>
      <c r="K518">
        <v>2.0000000000000001E-4</v>
      </c>
      <c r="L518">
        <v>2.0000000000000001E-4</v>
      </c>
      <c r="M518">
        <v>2.0000000000000001E-4</v>
      </c>
      <c r="N518">
        <v>2.0000000000000001E-4</v>
      </c>
      <c r="O518">
        <v>2.0000000000000001E-4</v>
      </c>
      <c r="P518">
        <v>2.0000000000000001E-4</v>
      </c>
      <c r="Q518">
        <v>2.0000000000000001E-4</v>
      </c>
      <c r="R518">
        <v>2.0000000000000001E-4</v>
      </c>
      <c r="S518">
        <v>2.0000000000000001E-4</v>
      </c>
      <c r="T518">
        <v>2.0000000000000001E-4</v>
      </c>
      <c r="U518">
        <v>2.0000000000000001E-4</v>
      </c>
      <c r="V518">
        <v>2.0000000000000001E-4</v>
      </c>
      <c r="W518">
        <v>2.0000000000000001E-4</v>
      </c>
      <c r="X518">
        <v>2.0000000000000001E-4</v>
      </c>
      <c r="Y518">
        <v>2.0000000000000001E-4</v>
      </c>
    </row>
    <row r="519" spans="1:25" hidden="1">
      <c r="A519" t="s">
        <v>18803</v>
      </c>
      <c r="B519" t="s">
        <v>659</v>
      </c>
      <c r="C519" t="s">
        <v>651</v>
      </c>
      <c r="D519" t="s">
        <v>621</v>
      </c>
      <c r="E519" t="s">
        <v>628</v>
      </c>
      <c r="F519" t="s">
        <v>598</v>
      </c>
      <c r="G519" t="s">
        <v>599</v>
      </c>
      <c r="H519" t="s">
        <v>600</v>
      </c>
      <c r="I519" t="s">
        <v>601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hidden="1">
      <c r="A520" t="s">
        <v>18803</v>
      </c>
      <c r="B520" t="s">
        <v>661</v>
      </c>
      <c r="C520" t="s">
        <v>651</v>
      </c>
      <c r="D520" t="s">
        <v>632</v>
      </c>
      <c r="E520" t="s">
        <v>628</v>
      </c>
      <c r="F520" t="s">
        <v>598</v>
      </c>
      <c r="G520" t="s">
        <v>599</v>
      </c>
      <c r="H520" t="s">
        <v>600</v>
      </c>
      <c r="I520" t="s">
        <v>601</v>
      </c>
      <c r="J520">
        <v>1E-4</v>
      </c>
      <c r="K520">
        <v>1E-4</v>
      </c>
      <c r="L520">
        <v>1E-4</v>
      </c>
      <c r="M520">
        <v>1E-4</v>
      </c>
      <c r="N520">
        <v>1E-4</v>
      </c>
      <c r="O520">
        <v>1E-4</v>
      </c>
      <c r="P520">
        <v>1E-4</v>
      </c>
      <c r="Q520">
        <v>1E-4</v>
      </c>
      <c r="R520">
        <v>1E-4</v>
      </c>
      <c r="S520">
        <v>1E-4</v>
      </c>
      <c r="T520">
        <v>1E-4</v>
      </c>
      <c r="U520">
        <v>1E-4</v>
      </c>
      <c r="V520">
        <v>1E-4</v>
      </c>
      <c r="W520">
        <v>1E-4</v>
      </c>
      <c r="X520">
        <v>1E-4</v>
      </c>
      <c r="Y520">
        <v>1E-4</v>
      </c>
    </row>
    <row r="521" spans="1:25" hidden="1">
      <c r="A521" t="s">
        <v>18803</v>
      </c>
      <c r="B521" t="s">
        <v>662</v>
      </c>
      <c r="C521" t="s">
        <v>651</v>
      </c>
      <c r="D521" t="s">
        <v>648</v>
      </c>
      <c r="E521" t="s">
        <v>649</v>
      </c>
      <c r="F521" t="s">
        <v>598</v>
      </c>
      <c r="G521" t="s">
        <v>599</v>
      </c>
      <c r="H521" t="s">
        <v>600</v>
      </c>
      <c r="I521" t="s">
        <v>601</v>
      </c>
      <c r="J521">
        <v>6.3700000000000007E-2</v>
      </c>
      <c r="K521">
        <v>6.6400000000000001E-2</v>
      </c>
      <c r="L521">
        <v>6.7699999999999996E-2</v>
      </c>
      <c r="M521">
        <v>6.9900000000000004E-2</v>
      </c>
      <c r="N521">
        <v>7.17E-2</v>
      </c>
      <c r="O521">
        <v>7.3099999999999998E-2</v>
      </c>
      <c r="P521">
        <v>7.4899999999999994E-2</v>
      </c>
      <c r="Q521">
        <v>7.6399999999999996E-2</v>
      </c>
      <c r="R521">
        <v>7.8E-2</v>
      </c>
      <c r="S521">
        <v>7.9699999999999993E-2</v>
      </c>
      <c r="T521">
        <v>8.1199999999999994E-2</v>
      </c>
      <c r="U521">
        <v>8.3099999999999993E-2</v>
      </c>
      <c r="V521">
        <v>8.48E-2</v>
      </c>
      <c r="W521">
        <v>8.6099999999999996E-2</v>
      </c>
      <c r="X521">
        <v>8.7800000000000003E-2</v>
      </c>
      <c r="Y521">
        <v>8.9399999999999993E-2</v>
      </c>
    </row>
    <row r="522" spans="1:25" hidden="1">
      <c r="A522" t="s">
        <v>18803</v>
      </c>
      <c r="B522" t="s">
        <v>677</v>
      </c>
      <c r="C522" t="s">
        <v>664</v>
      </c>
      <c r="D522" t="s">
        <v>671</v>
      </c>
      <c r="E522" t="s">
        <v>678</v>
      </c>
      <c r="F522" t="s">
        <v>598</v>
      </c>
      <c r="G522" t="s">
        <v>599</v>
      </c>
      <c r="H522" t="s">
        <v>600</v>
      </c>
      <c r="I522" t="s">
        <v>601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18803</v>
      </c>
      <c r="B523" t="s">
        <v>693</v>
      </c>
      <c r="C523" t="s">
        <v>664</v>
      </c>
      <c r="D523" t="s">
        <v>621</v>
      </c>
      <c r="E523" t="s">
        <v>678</v>
      </c>
      <c r="F523" t="s">
        <v>598</v>
      </c>
      <c r="G523" t="s">
        <v>599</v>
      </c>
      <c r="H523" t="s">
        <v>600</v>
      </c>
      <c r="I523" t="s">
        <v>601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18803</v>
      </c>
      <c r="B524" t="s">
        <v>760</v>
      </c>
      <c r="C524" t="s">
        <v>729</v>
      </c>
      <c r="D524" t="s">
        <v>621</v>
      </c>
      <c r="E524" t="s">
        <v>649</v>
      </c>
      <c r="F524" t="s">
        <v>598</v>
      </c>
      <c r="G524" t="s">
        <v>599</v>
      </c>
      <c r="H524" t="s">
        <v>600</v>
      </c>
      <c r="I524" t="s">
        <v>601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18803</v>
      </c>
      <c r="B525" t="s">
        <v>761</v>
      </c>
      <c r="C525" t="s">
        <v>729</v>
      </c>
      <c r="D525" t="s">
        <v>621</v>
      </c>
      <c r="E525" t="s">
        <v>597</v>
      </c>
      <c r="F525" t="s">
        <v>598</v>
      </c>
      <c r="G525" t="s">
        <v>599</v>
      </c>
      <c r="H525" t="s">
        <v>600</v>
      </c>
      <c r="I525" t="s">
        <v>601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hidden="1">
      <c r="A526" t="s">
        <v>18803</v>
      </c>
      <c r="B526" t="s">
        <v>769</v>
      </c>
      <c r="C526" t="s">
        <v>729</v>
      </c>
      <c r="D526" t="s">
        <v>621</v>
      </c>
      <c r="E526" t="s">
        <v>626</v>
      </c>
      <c r="F526" t="s">
        <v>598</v>
      </c>
      <c r="G526" t="s">
        <v>599</v>
      </c>
      <c r="H526" t="s">
        <v>600</v>
      </c>
      <c r="I526" t="s">
        <v>601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hidden="1">
      <c r="A527" t="s">
        <v>18803</v>
      </c>
      <c r="B527" t="s">
        <v>770</v>
      </c>
      <c r="C527" t="s">
        <v>729</v>
      </c>
      <c r="D527" t="s">
        <v>621</v>
      </c>
      <c r="E527" t="s">
        <v>628</v>
      </c>
      <c r="F527" t="s">
        <v>598</v>
      </c>
      <c r="G527" t="s">
        <v>599</v>
      </c>
      <c r="H527" t="s">
        <v>600</v>
      </c>
      <c r="I527" t="s">
        <v>601</v>
      </c>
      <c r="J527">
        <v>5.7999999999999996E-3</v>
      </c>
      <c r="K527">
        <v>5.7999999999999996E-3</v>
      </c>
      <c r="L527">
        <v>5.7999999999999996E-3</v>
      </c>
      <c r="M527">
        <v>5.7999999999999996E-3</v>
      </c>
      <c r="N527">
        <v>5.7999999999999996E-3</v>
      </c>
      <c r="O527">
        <v>5.7999999999999996E-3</v>
      </c>
      <c r="P527">
        <v>5.7999999999999996E-3</v>
      </c>
      <c r="Q527">
        <v>5.7999999999999996E-3</v>
      </c>
      <c r="R527">
        <v>5.7999999999999996E-3</v>
      </c>
      <c r="S527">
        <v>5.7999999999999996E-3</v>
      </c>
      <c r="T527">
        <v>5.7999999999999996E-3</v>
      </c>
      <c r="U527">
        <v>5.7999999999999996E-3</v>
      </c>
      <c r="V527">
        <v>5.7999999999999996E-3</v>
      </c>
      <c r="W527">
        <v>5.7999999999999996E-3</v>
      </c>
      <c r="X527">
        <v>5.7999999999999996E-3</v>
      </c>
      <c r="Y527">
        <v>5.7999999999999996E-3</v>
      </c>
    </row>
    <row r="528" spans="1:25" hidden="1">
      <c r="A528" t="s">
        <v>18803</v>
      </c>
      <c r="B528" t="s">
        <v>785</v>
      </c>
      <c r="C528" t="s">
        <v>729</v>
      </c>
      <c r="D528" t="s">
        <v>640</v>
      </c>
      <c r="E528" t="s">
        <v>597</v>
      </c>
      <c r="F528" t="s">
        <v>598</v>
      </c>
      <c r="G528" t="s">
        <v>599</v>
      </c>
      <c r="H528" t="s">
        <v>600</v>
      </c>
      <c r="I528" t="s">
        <v>601</v>
      </c>
      <c r="J528">
        <v>6.6E-3</v>
      </c>
      <c r="K528">
        <v>6.6E-3</v>
      </c>
      <c r="L528">
        <v>6.6E-3</v>
      </c>
      <c r="M528">
        <v>6.6E-3</v>
      </c>
      <c r="N528">
        <v>6.6E-3</v>
      </c>
      <c r="O528">
        <v>6.6E-3</v>
      </c>
      <c r="P528">
        <v>6.6E-3</v>
      </c>
      <c r="Q528">
        <v>6.6E-3</v>
      </c>
      <c r="R528">
        <v>6.6E-3</v>
      </c>
      <c r="S528">
        <v>6.6E-3</v>
      </c>
      <c r="T528">
        <v>6.6E-3</v>
      </c>
      <c r="U528">
        <v>6.6E-3</v>
      </c>
      <c r="V528">
        <v>6.6E-3</v>
      </c>
      <c r="W528">
        <v>6.6E-3</v>
      </c>
      <c r="X528">
        <v>6.6E-3</v>
      </c>
      <c r="Y528">
        <v>6.6E-3</v>
      </c>
    </row>
    <row r="529" spans="1:25" hidden="1">
      <c r="A529" t="s">
        <v>18803</v>
      </c>
      <c r="B529" t="s">
        <v>791</v>
      </c>
      <c r="C529" t="s">
        <v>729</v>
      </c>
      <c r="D529" t="s">
        <v>640</v>
      </c>
      <c r="E529" t="s">
        <v>619</v>
      </c>
      <c r="F529" t="s">
        <v>598</v>
      </c>
      <c r="G529" t="s">
        <v>599</v>
      </c>
      <c r="H529" t="s">
        <v>600</v>
      </c>
      <c r="I529" t="s">
        <v>601</v>
      </c>
      <c r="J529">
        <v>1E-4</v>
      </c>
      <c r="K529">
        <v>1E-4</v>
      </c>
      <c r="L529">
        <v>1E-4</v>
      </c>
      <c r="M529">
        <v>1E-4</v>
      </c>
      <c r="N529">
        <v>1E-4</v>
      </c>
      <c r="O529">
        <v>1E-4</v>
      </c>
      <c r="P529">
        <v>1E-4</v>
      </c>
      <c r="Q529">
        <v>1E-4</v>
      </c>
      <c r="R529">
        <v>1E-4</v>
      </c>
      <c r="S529">
        <v>1E-4</v>
      </c>
      <c r="T529">
        <v>1E-4</v>
      </c>
      <c r="U529">
        <v>1E-4</v>
      </c>
      <c r="V529">
        <v>1E-4</v>
      </c>
      <c r="W529">
        <v>1E-4</v>
      </c>
      <c r="X529">
        <v>1E-4</v>
      </c>
      <c r="Y529">
        <v>1E-4</v>
      </c>
    </row>
    <row r="530" spans="1:25" hidden="1">
      <c r="A530" t="s">
        <v>18803</v>
      </c>
      <c r="B530" t="s">
        <v>795</v>
      </c>
      <c r="C530" t="s">
        <v>729</v>
      </c>
      <c r="D530" t="s">
        <v>648</v>
      </c>
      <c r="E530" t="s">
        <v>597</v>
      </c>
      <c r="F530" t="s">
        <v>598</v>
      </c>
      <c r="G530" t="s">
        <v>599</v>
      </c>
      <c r="H530" t="s">
        <v>600</v>
      </c>
      <c r="I530" t="s">
        <v>601</v>
      </c>
      <c r="J530">
        <v>4.5400000000000003E-2</v>
      </c>
      <c r="K530">
        <v>4.5400000000000003E-2</v>
      </c>
      <c r="L530">
        <v>4.5400000000000003E-2</v>
      </c>
      <c r="M530">
        <v>4.5400000000000003E-2</v>
      </c>
      <c r="N530">
        <v>4.5400000000000003E-2</v>
      </c>
      <c r="O530">
        <v>4.5400000000000003E-2</v>
      </c>
      <c r="P530">
        <v>4.5400000000000003E-2</v>
      </c>
      <c r="Q530">
        <v>4.5400000000000003E-2</v>
      </c>
      <c r="R530">
        <v>4.5400000000000003E-2</v>
      </c>
      <c r="S530">
        <v>4.5400000000000003E-2</v>
      </c>
      <c r="T530">
        <v>4.5400000000000003E-2</v>
      </c>
      <c r="U530">
        <v>4.5400000000000003E-2</v>
      </c>
      <c r="V530">
        <v>4.5400000000000003E-2</v>
      </c>
      <c r="W530">
        <v>4.5499999999999999E-2</v>
      </c>
      <c r="X530">
        <v>4.5499999999999999E-2</v>
      </c>
      <c r="Y530">
        <v>4.5499999999999999E-2</v>
      </c>
    </row>
    <row r="531" spans="1:25" hidden="1">
      <c r="A531" t="s">
        <v>18803</v>
      </c>
      <c r="B531" t="s">
        <v>796</v>
      </c>
      <c r="C531" t="s">
        <v>729</v>
      </c>
      <c r="D531" t="s">
        <v>648</v>
      </c>
      <c r="E531" t="s">
        <v>642</v>
      </c>
      <c r="F531" t="s">
        <v>598</v>
      </c>
      <c r="G531" t="s">
        <v>599</v>
      </c>
      <c r="H531" t="s">
        <v>600</v>
      </c>
      <c r="I531" t="s">
        <v>601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hidden="1">
      <c r="A532" t="s">
        <v>18803</v>
      </c>
      <c r="B532" t="s">
        <v>801</v>
      </c>
      <c r="C532" t="s">
        <v>729</v>
      </c>
      <c r="D532" t="s">
        <v>648</v>
      </c>
      <c r="E532" t="s">
        <v>619</v>
      </c>
      <c r="F532" t="s">
        <v>598</v>
      </c>
      <c r="G532" t="s">
        <v>599</v>
      </c>
      <c r="H532" t="s">
        <v>600</v>
      </c>
      <c r="I532" t="s">
        <v>601</v>
      </c>
      <c r="J532">
        <v>2.9999999999999997E-4</v>
      </c>
      <c r="K532">
        <v>4.0000000000000002E-4</v>
      </c>
      <c r="L532">
        <v>4.0000000000000002E-4</v>
      </c>
      <c r="M532">
        <v>4.0000000000000002E-4</v>
      </c>
      <c r="N532">
        <v>4.0000000000000002E-4</v>
      </c>
      <c r="O532">
        <v>4.0000000000000002E-4</v>
      </c>
      <c r="P532">
        <v>4.0000000000000002E-4</v>
      </c>
      <c r="Q532">
        <v>4.0000000000000002E-4</v>
      </c>
      <c r="R532">
        <v>4.0000000000000002E-4</v>
      </c>
      <c r="S532">
        <v>4.0000000000000002E-4</v>
      </c>
      <c r="T532">
        <v>4.0000000000000002E-4</v>
      </c>
      <c r="U532">
        <v>4.0000000000000002E-4</v>
      </c>
      <c r="V532">
        <v>4.0000000000000002E-4</v>
      </c>
      <c r="W532">
        <v>2.9999999999999997E-4</v>
      </c>
      <c r="X532">
        <v>2.9999999999999997E-4</v>
      </c>
      <c r="Y532">
        <v>2.9999999999999997E-4</v>
      </c>
    </row>
    <row r="533" spans="1:25" hidden="1">
      <c r="A533" t="s">
        <v>18803</v>
      </c>
      <c r="B533" t="s">
        <v>802</v>
      </c>
      <c r="C533" t="s">
        <v>729</v>
      </c>
      <c r="D533" t="s">
        <v>648</v>
      </c>
      <c r="E533" t="s">
        <v>676</v>
      </c>
      <c r="F533" t="s">
        <v>598</v>
      </c>
      <c r="G533" t="s">
        <v>599</v>
      </c>
      <c r="H533" t="s">
        <v>600</v>
      </c>
      <c r="I533" t="s">
        <v>601</v>
      </c>
      <c r="J533">
        <v>1.3100000000000001E-2</v>
      </c>
      <c r="K533">
        <v>1.3100000000000001E-2</v>
      </c>
      <c r="L533">
        <v>1.3100000000000001E-2</v>
      </c>
      <c r="M533">
        <v>1.3100000000000001E-2</v>
      </c>
      <c r="N533">
        <v>1.3100000000000001E-2</v>
      </c>
      <c r="O533">
        <v>1.3100000000000001E-2</v>
      </c>
      <c r="P533">
        <v>1.3100000000000001E-2</v>
      </c>
      <c r="Q533">
        <v>1.3100000000000001E-2</v>
      </c>
      <c r="R533">
        <v>1.3100000000000001E-2</v>
      </c>
      <c r="S533">
        <v>1.3100000000000001E-2</v>
      </c>
      <c r="T533">
        <v>1.3100000000000001E-2</v>
      </c>
      <c r="U533">
        <v>1.3100000000000001E-2</v>
      </c>
      <c r="V533">
        <v>1.3100000000000001E-2</v>
      </c>
      <c r="W533">
        <v>1.3100000000000001E-2</v>
      </c>
      <c r="X533">
        <v>1.3100000000000001E-2</v>
      </c>
      <c r="Y533">
        <v>1.3100000000000001E-2</v>
      </c>
    </row>
    <row r="534" spans="1:25" hidden="1">
      <c r="A534" t="s">
        <v>18803</v>
      </c>
      <c r="B534" t="s">
        <v>822</v>
      </c>
      <c r="C534" t="s">
        <v>804</v>
      </c>
      <c r="D534" t="s">
        <v>621</v>
      </c>
      <c r="E534" t="s">
        <v>603</v>
      </c>
      <c r="F534" t="s">
        <v>598</v>
      </c>
      <c r="G534" t="s">
        <v>599</v>
      </c>
      <c r="H534" t="s">
        <v>600</v>
      </c>
      <c r="I534" t="s">
        <v>601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18803</v>
      </c>
      <c r="B535" t="s">
        <v>830</v>
      </c>
      <c r="C535" t="s">
        <v>804</v>
      </c>
      <c r="D535" t="s">
        <v>828</v>
      </c>
      <c r="E535" t="s">
        <v>628</v>
      </c>
      <c r="F535" t="s">
        <v>831</v>
      </c>
      <c r="G535" t="s">
        <v>599</v>
      </c>
      <c r="H535" t="s">
        <v>600</v>
      </c>
      <c r="I535" t="s">
        <v>601</v>
      </c>
      <c r="J535">
        <v>1.5E-3</v>
      </c>
      <c r="K535">
        <v>2.3E-3</v>
      </c>
      <c r="L535">
        <v>2.2000000000000001E-3</v>
      </c>
      <c r="M535">
        <v>2.2000000000000001E-3</v>
      </c>
      <c r="N535">
        <v>2.2000000000000001E-3</v>
      </c>
      <c r="O535">
        <v>2.2000000000000001E-3</v>
      </c>
      <c r="P535">
        <v>2.2000000000000001E-3</v>
      </c>
      <c r="Q535">
        <v>2.2000000000000001E-3</v>
      </c>
      <c r="R535">
        <v>2.2000000000000001E-3</v>
      </c>
      <c r="S535">
        <v>2.2000000000000001E-3</v>
      </c>
      <c r="T535">
        <v>2.2000000000000001E-3</v>
      </c>
      <c r="U535">
        <v>2.2000000000000001E-3</v>
      </c>
      <c r="V535">
        <v>2.2000000000000001E-3</v>
      </c>
      <c r="W535">
        <v>2.2000000000000001E-3</v>
      </c>
      <c r="X535">
        <v>2.2000000000000001E-3</v>
      </c>
      <c r="Y535">
        <v>2.2000000000000001E-3</v>
      </c>
    </row>
    <row r="536" spans="1:25" hidden="1">
      <c r="A536" t="s">
        <v>18803</v>
      </c>
      <c r="B536" t="s">
        <v>832</v>
      </c>
      <c r="C536" t="s">
        <v>804</v>
      </c>
      <c r="D536" t="s">
        <v>828</v>
      </c>
      <c r="E536" t="s">
        <v>628</v>
      </c>
      <c r="F536" t="s">
        <v>833</v>
      </c>
      <c r="G536" t="s">
        <v>599</v>
      </c>
      <c r="H536" t="s">
        <v>600</v>
      </c>
      <c r="I536" t="s">
        <v>601</v>
      </c>
      <c r="J536">
        <v>1.6000000000000001E-3</v>
      </c>
      <c r="K536">
        <v>1.5E-3</v>
      </c>
      <c r="L536">
        <v>1.5E-3</v>
      </c>
      <c r="M536">
        <v>1.4E-3</v>
      </c>
      <c r="N536">
        <v>1.4E-3</v>
      </c>
      <c r="O536">
        <v>1.2999999999999999E-3</v>
      </c>
      <c r="P536">
        <v>1.1999999999999999E-3</v>
      </c>
      <c r="Q536">
        <v>1.1000000000000001E-3</v>
      </c>
      <c r="R536">
        <v>1E-3</v>
      </c>
      <c r="S536">
        <v>1E-3</v>
      </c>
      <c r="T536">
        <v>8.9999999999999998E-4</v>
      </c>
      <c r="U536">
        <v>8.9999999999999998E-4</v>
      </c>
      <c r="V536">
        <v>8.9999999999999998E-4</v>
      </c>
      <c r="W536">
        <v>1.1999999999999999E-3</v>
      </c>
      <c r="X536">
        <v>1.1000000000000001E-3</v>
      </c>
      <c r="Y536">
        <v>1.1000000000000001E-3</v>
      </c>
    </row>
    <row r="537" spans="1:25" hidden="1">
      <c r="A537" t="s">
        <v>18803</v>
      </c>
      <c r="B537" t="s">
        <v>842</v>
      </c>
      <c r="C537" t="s">
        <v>841</v>
      </c>
      <c r="D537" t="s">
        <v>596</v>
      </c>
      <c r="E537" t="s">
        <v>597</v>
      </c>
      <c r="F537" t="s">
        <v>598</v>
      </c>
      <c r="G537" t="s">
        <v>599</v>
      </c>
      <c r="H537" t="s">
        <v>600</v>
      </c>
      <c r="I537" t="s">
        <v>601</v>
      </c>
      <c r="J537">
        <v>3.7000000000000002E-3</v>
      </c>
      <c r="K537">
        <v>3.7000000000000002E-3</v>
      </c>
      <c r="L537">
        <v>3.8E-3</v>
      </c>
      <c r="M537">
        <v>3.8999999999999998E-3</v>
      </c>
      <c r="N537">
        <v>3.8999999999999998E-3</v>
      </c>
      <c r="O537">
        <v>3.8999999999999998E-3</v>
      </c>
      <c r="P537">
        <v>3.8999999999999998E-3</v>
      </c>
      <c r="Q537">
        <v>3.8999999999999998E-3</v>
      </c>
      <c r="R537">
        <v>4.0000000000000001E-3</v>
      </c>
      <c r="S537">
        <v>4.0000000000000001E-3</v>
      </c>
      <c r="T537">
        <v>4.0000000000000001E-3</v>
      </c>
      <c r="U537">
        <v>3.8999999999999998E-3</v>
      </c>
      <c r="V537">
        <v>4.0000000000000001E-3</v>
      </c>
      <c r="W537">
        <v>4.0000000000000001E-3</v>
      </c>
      <c r="X537">
        <v>4.0000000000000001E-3</v>
      </c>
      <c r="Y537">
        <v>4.0000000000000001E-3</v>
      </c>
    </row>
    <row r="538" spans="1:25" hidden="1">
      <c r="A538" t="s">
        <v>18803</v>
      </c>
      <c r="B538" t="s">
        <v>844</v>
      </c>
      <c r="C538" t="s">
        <v>841</v>
      </c>
      <c r="D538" t="s">
        <v>596</v>
      </c>
      <c r="E538" t="s">
        <v>603</v>
      </c>
      <c r="F538" t="s">
        <v>598</v>
      </c>
      <c r="G538" t="s">
        <v>599</v>
      </c>
      <c r="H538" t="s">
        <v>600</v>
      </c>
      <c r="I538" t="s">
        <v>601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hidden="1">
      <c r="A539" t="s">
        <v>18803</v>
      </c>
      <c r="B539" t="s">
        <v>845</v>
      </c>
      <c r="C539" t="s">
        <v>841</v>
      </c>
      <c r="D539" t="s">
        <v>596</v>
      </c>
      <c r="E539" t="s">
        <v>605</v>
      </c>
      <c r="F539" t="s">
        <v>598</v>
      </c>
      <c r="G539" t="s">
        <v>599</v>
      </c>
      <c r="H539" t="s">
        <v>600</v>
      </c>
      <c r="I539" t="s">
        <v>601</v>
      </c>
      <c r="J539">
        <v>1E-4</v>
      </c>
      <c r="K539">
        <v>1E-4</v>
      </c>
      <c r="L539">
        <v>1E-4</v>
      </c>
      <c r="M539">
        <v>1E-4</v>
      </c>
      <c r="N539">
        <v>1E-4</v>
      </c>
      <c r="O539">
        <v>1E-4</v>
      </c>
      <c r="P539">
        <v>1E-4</v>
      </c>
      <c r="Q539">
        <v>1E-4</v>
      </c>
      <c r="R539">
        <v>1E-4</v>
      </c>
      <c r="S539">
        <v>1E-4</v>
      </c>
      <c r="T539">
        <v>1E-4</v>
      </c>
      <c r="U539">
        <v>1E-4</v>
      </c>
      <c r="V539">
        <v>1E-4</v>
      </c>
      <c r="W539">
        <v>1E-4</v>
      </c>
      <c r="X539">
        <v>1E-4</v>
      </c>
      <c r="Y539">
        <v>1E-4</v>
      </c>
    </row>
    <row r="540" spans="1:25" hidden="1">
      <c r="A540" t="s">
        <v>18803</v>
      </c>
      <c r="B540" t="s">
        <v>852</v>
      </c>
      <c r="C540" t="s">
        <v>841</v>
      </c>
      <c r="D540" t="s">
        <v>596</v>
      </c>
      <c r="E540" t="s">
        <v>619</v>
      </c>
      <c r="F540" t="s">
        <v>598</v>
      </c>
      <c r="G540" t="s">
        <v>599</v>
      </c>
      <c r="H540" t="s">
        <v>600</v>
      </c>
      <c r="I540" t="s">
        <v>601</v>
      </c>
      <c r="J540">
        <v>3.2000000000000002E-3</v>
      </c>
      <c r="K540">
        <v>3.2000000000000002E-3</v>
      </c>
      <c r="L540">
        <v>3.2000000000000002E-3</v>
      </c>
      <c r="M540">
        <v>3.2000000000000002E-3</v>
      </c>
      <c r="N540">
        <v>3.2000000000000002E-3</v>
      </c>
      <c r="O540">
        <v>3.2000000000000002E-3</v>
      </c>
      <c r="P540">
        <v>3.2000000000000002E-3</v>
      </c>
      <c r="Q540">
        <v>3.2000000000000002E-3</v>
      </c>
      <c r="R540">
        <v>3.2000000000000002E-3</v>
      </c>
      <c r="S540">
        <v>3.2000000000000002E-3</v>
      </c>
      <c r="T540">
        <v>3.2000000000000002E-3</v>
      </c>
      <c r="U540">
        <v>3.2000000000000002E-3</v>
      </c>
      <c r="V540">
        <v>3.2000000000000002E-3</v>
      </c>
      <c r="W540">
        <v>3.2000000000000002E-3</v>
      </c>
      <c r="X540">
        <v>3.2000000000000002E-3</v>
      </c>
      <c r="Y540">
        <v>3.2000000000000002E-3</v>
      </c>
    </row>
    <row r="541" spans="1:25" hidden="1">
      <c r="A541" t="s">
        <v>18803</v>
      </c>
      <c r="B541" t="s">
        <v>854</v>
      </c>
      <c r="C541" t="s">
        <v>841</v>
      </c>
      <c r="D541" t="s">
        <v>596</v>
      </c>
      <c r="E541" t="s">
        <v>669</v>
      </c>
      <c r="F541" t="s">
        <v>598</v>
      </c>
      <c r="G541" t="s">
        <v>599</v>
      </c>
      <c r="H541" t="s">
        <v>600</v>
      </c>
      <c r="I541" t="s">
        <v>601</v>
      </c>
      <c r="J541">
        <v>2.5000000000000001E-3</v>
      </c>
      <c r="K541">
        <v>2.5000000000000001E-3</v>
      </c>
      <c r="L541">
        <v>2.5000000000000001E-3</v>
      </c>
      <c r="M541">
        <v>2.5000000000000001E-3</v>
      </c>
      <c r="N541">
        <v>2.5000000000000001E-3</v>
      </c>
      <c r="O541">
        <v>2.5000000000000001E-3</v>
      </c>
      <c r="P541">
        <v>2.5000000000000001E-3</v>
      </c>
      <c r="Q541">
        <v>2.5000000000000001E-3</v>
      </c>
      <c r="R541">
        <v>2.5000000000000001E-3</v>
      </c>
      <c r="S541">
        <v>2.5000000000000001E-3</v>
      </c>
      <c r="T541">
        <v>2.5000000000000001E-3</v>
      </c>
      <c r="U541">
        <v>2.5000000000000001E-3</v>
      </c>
      <c r="V541">
        <v>2.5000000000000001E-3</v>
      </c>
      <c r="W541">
        <v>2.5000000000000001E-3</v>
      </c>
      <c r="X541">
        <v>2.5000000000000001E-3</v>
      </c>
      <c r="Y541">
        <v>2.5000000000000001E-3</v>
      </c>
    </row>
    <row r="542" spans="1:25" hidden="1">
      <c r="A542" t="s">
        <v>18803</v>
      </c>
      <c r="B542" t="s">
        <v>862</v>
      </c>
      <c r="C542" t="s">
        <v>841</v>
      </c>
      <c r="D542" t="s">
        <v>756</v>
      </c>
      <c r="E542" t="s">
        <v>597</v>
      </c>
      <c r="F542" t="s">
        <v>598</v>
      </c>
      <c r="G542" t="s">
        <v>599</v>
      </c>
      <c r="H542" t="s">
        <v>600</v>
      </c>
      <c r="I542" t="s">
        <v>601</v>
      </c>
      <c r="J542">
        <v>1.1999999999999999E-3</v>
      </c>
      <c r="K542">
        <v>1.1999999999999999E-3</v>
      </c>
      <c r="L542">
        <v>1.1999999999999999E-3</v>
      </c>
      <c r="M542">
        <v>1.1999999999999999E-3</v>
      </c>
      <c r="N542">
        <v>1.1999999999999999E-3</v>
      </c>
      <c r="O542">
        <v>1.1999999999999999E-3</v>
      </c>
      <c r="P542">
        <v>1.1999999999999999E-3</v>
      </c>
      <c r="Q542">
        <v>1.2999999999999999E-3</v>
      </c>
      <c r="R542">
        <v>1.2999999999999999E-3</v>
      </c>
      <c r="S542">
        <v>1.2999999999999999E-3</v>
      </c>
      <c r="T542">
        <v>1.2999999999999999E-3</v>
      </c>
      <c r="U542">
        <v>1.1999999999999999E-3</v>
      </c>
      <c r="V542">
        <v>1.2999999999999999E-3</v>
      </c>
      <c r="W542">
        <v>1.2999999999999999E-3</v>
      </c>
      <c r="X542">
        <v>1.2999999999999999E-3</v>
      </c>
      <c r="Y542">
        <v>1.2999999999999999E-3</v>
      </c>
    </row>
    <row r="543" spans="1:25" hidden="1">
      <c r="A543" t="s">
        <v>18803</v>
      </c>
      <c r="B543" t="s">
        <v>865</v>
      </c>
      <c r="C543" t="s">
        <v>841</v>
      </c>
      <c r="D543" t="s">
        <v>866</v>
      </c>
      <c r="E543" t="s">
        <v>597</v>
      </c>
      <c r="F543" t="s">
        <v>598</v>
      </c>
      <c r="G543" t="s">
        <v>599</v>
      </c>
      <c r="H543" t="s">
        <v>600</v>
      </c>
      <c r="I543" t="s">
        <v>601</v>
      </c>
      <c r="J543">
        <v>5.9999999999999995E-4</v>
      </c>
      <c r="K543">
        <v>5.9999999999999995E-4</v>
      </c>
      <c r="L543">
        <v>5.9999999999999995E-4</v>
      </c>
      <c r="M543">
        <v>5.9999999999999995E-4</v>
      </c>
      <c r="N543">
        <v>5.9999999999999995E-4</v>
      </c>
      <c r="O543">
        <v>5.9999999999999995E-4</v>
      </c>
      <c r="P543">
        <v>5.9999999999999995E-4</v>
      </c>
      <c r="Q543">
        <v>5.9999999999999995E-4</v>
      </c>
      <c r="R543">
        <v>5.9999999999999995E-4</v>
      </c>
      <c r="S543">
        <v>5.9999999999999995E-4</v>
      </c>
      <c r="T543">
        <v>5.9999999999999995E-4</v>
      </c>
      <c r="U543">
        <v>5.9999999999999995E-4</v>
      </c>
      <c r="V543">
        <v>5.9999999999999995E-4</v>
      </c>
      <c r="W543">
        <v>5.9999999999999995E-4</v>
      </c>
      <c r="X543">
        <v>5.9999999999999995E-4</v>
      </c>
      <c r="Y543">
        <v>5.9999999999999995E-4</v>
      </c>
    </row>
    <row r="544" spans="1:25" hidden="1">
      <c r="A544" t="s">
        <v>18803</v>
      </c>
      <c r="B544" t="s">
        <v>870</v>
      </c>
      <c r="C544" t="s">
        <v>841</v>
      </c>
      <c r="D544" t="s">
        <v>621</v>
      </c>
      <c r="E544" t="s">
        <v>603</v>
      </c>
      <c r="F544" t="s">
        <v>598</v>
      </c>
      <c r="G544" t="s">
        <v>599</v>
      </c>
      <c r="H544" t="s">
        <v>600</v>
      </c>
      <c r="I544" t="s">
        <v>601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hidden="1">
      <c r="A545" t="s">
        <v>18803</v>
      </c>
      <c r="B545" t="s">
        <v>876</v>
      </c>
      <c r="C545" t="s">
        <v>841</v>
      </c>
      <c r="D545" t="s">
        <v>621</v>
      </c>
      <c r="E545" t="s">
        <v>628</v>
      </c>
      <c r="F545" t="s">
        <v>598</v>
      </c>
      <c r="G545" t="s">
        <v>599</v>
      </c>
      <c r="H545" t="s">
        <v>600</v>
      </c>
      <c r="I545" t="s">
        <v>601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hidden="1">
      <c r="A546" t="s">
        <v>18803</v>
      </c>
      <c r="B546" t="s">
        <v>898</v>
      </c>
      <c r="C546" t="s">
        <v>841</v>
      </c>
      <c r="D546" t="s">
        <v>640</v>
      </c>
      <c r="E546" t="s">
        <v>656</v>
      </c>
      <c r="F546" t="s">
        <v>598</v>
      </c>
      <c r="G546" t="s">
        <v>599</v>
      </c>
      <c r="H546" t="s">
        <v>600</v>
      </c>
      <c r="I546" t="s">
        <v>601</v>
      </c>
      <c r="J546">
        <v>1.12E-2</v>
      </c>
      <c r="K546">
        <v>1.12E-2</v>
      </c>
      <c r="L546">
        <v>1.12E-2</v>
      </c>
      <c r="M546">
        <v>1.12E-2</v>
      </c>
      <c r="N546">
        <v>1.12E-2</v>
      </c>
      <c r="O546">
        <v>1.12E-2</v>
      </c>
      <c r="P546">
        <v>1.12E-2</v>
      </c>
      <c r="Q546">
        <v>1.12E-2</v>
      </c>
      <c r="R546">
        <v>1.12E-2</v>
      </c>
      <c r="S546">
        <v>1.12E-2</v>
      </c>
      <c r="T546">
        <v>1.12E-2</v>
      </c>
      <c r="U546">
        <v>1.12E-2</v>
      </c>
      <c r="V546">
        <v>1.12E-2</v>
      </c>
      <c r="W546">
        <v>1.12E-2</v>
      </c>
      <c r="X546">
        <v>1.12E-2</v>
      </c>
      <c r="Y546">
        <v>1.12E-2</v>
      </c>
    </row>
    <row r="547" spans="1:25" hidden="1">
      <c r="A547" t="s">
        <v>18803</v>
      </c>
      <c r="B547" t="s">
        <v>901</v>
      </c>
      <c r="C547" t="s">
        <v>841</v>
      </c>
      <c r="D547" t="s">
        <v>648</v>
      </c>
      <c r="E547" t="s">
        <v>649</v>
      </c>
      <c r="F547" t="s">
        <v>598</v>
      </c>
      <c r="G547" t="s">
        <v>599</v>
      </c>
      <c r="H547" t="s">
        <v>600</v>
      </c>
      <c r="I547" t="s">
        <v>601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hidden="1">
      <c r="A548" t="s">
        <v>18803</v>
      </c>
      <c r="B548" t="s">
        <v>902</v>
      </c>
      <c r="C548" t="s">
        <v>841</v>
      </c>
      <c r="D548" t="s">
        <v>648</v>
      </c>
      <c r="E548" t="s">
        <v>597</v>
      </c>
      <c r="F548" t="s">
        <v>598</v>
      </c>
      <c r="G548" t="s">
        <v>599</v>
      </c>
      <c r="H548" t="s">
        <v>600</v>
      </c>
      <c r="I548" t="s">
        <v>601</v>
      </c>
      <c r="J548">
        <v>1.7299999999999999E-2</v>
      </c>
      <c r="K548">
        <v>1.7500000000000002E-2</v>
      </c>
      <c r="L548">
        <v>1.7899999999999999E-2</v>
      </c>
      <c r="M548">
        <v>1.83E-2</v>
      </c>
      <c r="N548">
        <v>1.84E-2</v>
      </c>
      <c r="O548">
        <v>1.8599999999999998E-2</v>
      </c>
      <c r="P548">
        <v>1.8700000000000001E-2</v>
      </c>
      <c r="Q548">
        <v>1.8800000000000001E-2</v>
      </c>
      <c r="R548">
        <v>1.8800000000000001E-2</v>
      </c>
      <c r="S548">
        <v>1.8800000000000001E-2</v>
      </c>
      <c r="T548">
        <v>1.8800000000000001E-2</v>
      </c>
      <c r="U548">
        <v>1.8700000000000001E-2</v>
      </c>
      <c r="V548">
        <v>1.8800000000000001E-2</v>
      </c>
      <c r="W548">
        <v>1.8800000000000001E-2</v>
      </c>
      <c r="X548">
        <v>1.9E-2</v>
      </c>
      <c r="Y548">
        <v>1.9099999999999999E-2</v>
      </c>
    </row>
    <row r="549" spans="1:25" hidden="1">
      <c r="A549" t="s">
        <v>18803</v>
      </c>
      <c r="B549" t="s">
        <v>912</v>
      </c>
      <c r="C549" t="s">
        <v>841</v>
      </c>
      <c r="D549" t="s">
        <v>648</v>
      </c>
      <c r="E549" t="s">
        <v>676</v>
      </c>
      <c r="F549" t="s">
        <v>598</v>
      </c>
      <c r="G549" t="s">
        <v>599</v>
      </c>
      <c r="H549" t="s">
        <v>600</v>
      </c>
      <c r="I549" t="s">
        <v>601</v>
      </c>
      <c r="J549">
        <v>6.8999999999999999E-3</v>
      </c>
      <c r="K549">
        <v>6.8999999999999999E-3</v>
      </c>
      <c r="L549">
        <v>6.8999999999999999E-3</v>
      </c>
      <c r="M549">
        <v>6.8999999999999999E-3</v>
      </c>
      <c r="N549">
        <v>6.8999999999999999E-3</v>
      </c>
      <c r="O549">
        <v>6.8999999999999999E-3</v>
      </c>
      <c r="P549">
        <v>6.8999999999999999E-3</v>
      </c>
      <c r="Q549">
        <v>6.8999999999999999E-3</v>
      </c>
      <c r="R549">
        <v>6.8999999999999999E-3</v>
      </c>
      <c r="S549">
        <v>6.8999999999999999E-3</v>
      </c>
      <c r="T549">
        <v>6.8999999999999999E-3</v>
      </c>
      <c r="U549">
        <v>6.8999999999999999E-3</v>
      </c>
      <c r="V549">
        <v>6.8999999999999999E-3</v>
      </c>
      <c r="W549">
        <v>6.8999999999999999E-3</v>
      </c>
      <c r="X549">
        <v>6.8999999999999999E-3</v>
      </c>
      <c r="Y549">
        <v>6.8999999999999999E-3</v>
      </c>
    </row>
    <row r="550" spans="1:25" hidden="1">
      <c r="A550" t="s">
        <v>18803</v>
      </c>
      <c r="B550" t="s">
        <v>916</v>
      </c>
      <c r="C550" t="s">
        <v>914</v>
      </c>
      <c r="D550" t="s">
        <v>621</v>
      </c>
      <c r="E550" t="s">
        <v>628</v>
      </c>
      <c r="F550" t="s">
        <v>598</v>
      </c>
      <c r="G550" t="s">
        <v>599</v>
      </c>
      <c r="H550" t="s">
        <v>600</v>
      </c>
      <c r="I550" t="s">
        <v>601</v>
      </c>
      <c r="J550">
        <v>2.1269599999999998E-3</v>
      </c>
      <c r="K550">
        <v>2.1752999999999998E-3</v>
      </c>
      <c r="L550">
        <v>2.1752999999999998E-3</v>
      </c>
      <c r="M550">
        <v>2.1752999999999998E-3</v>
      </c>
      <c r="N550">
        <v>2.1752999999999998E-3</v>
      </c>
      <c r="O550">
        <v>1.9819400000000002E-3</v>
      </c>
      <c r="P550">
        <v>1.9819400000000002E-3</v>
      </c>
      <c r="Q550">
        <v>1.9819400000000002E-3</v>
      </c>
      <c r="R550">
        <v>1.9819400000000002E-3</v>
      </c>
      <c r="S550">
        <v>1.9819400000000002E-3</v>
      </c>
      <c r="T550">
        <v>1.9819400000000002E-3</v>
      </c>
      <c r="U550">
        <v>1.9819400000000002E-3</v>
      </c>
      <c r="V550">
        <v>1.9819400000000002E-3</v>
      </c>
      <c r="W550">
        <v>1.9819400000000002E-3</v>
      </c>
      <c r="X550">
        <v>1.9819400000000002E-3</v>
      </c>
      <c r="Y550">
        <v>2.0302800000000002E-3</v>
      </c>
    </row>
    <row r="551" spans="1:25" hidden="1">
      <c r="A551" t="s">
        <v>18803</v>
      </c>
      <c r="B551" t="s">
        <v>917</v>
      </c>
      <c r="C551" t="s">
        <v>914</v>
      </c>
      <c r="D551" t="s">
        <v>918</v>
      </c>
      <c r="E551" t="s">
        <v>649</v>
      </c>
      <c r="F551" t="s">
        <v>598</v>
      </c>
      <c r="G551" t="s">
        <v>599</v>
      </c>
      <c r="H551" t="s">
        <v>600</v>
      </c>
      <c r="I551" t="s">
        <v>601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18803</v>
      </c>
      <c r="B552" t="s">
        <v>924</v>
      </c>
      <c r="C552" t="s">
        <v>925</v>
      </c>
      <c r="D552" t="s">
        <v>926</v>
      </c>
      <c r="E552" t="s">
        <v>927</v>
      </c>
      <c r="F552" t="s">
        <v>598</v>
      </c>
      <c r="G552" t="s">
        <v>599</v>
      </c>
      <c r="H552" t="s">
        <v>600</v>
      </c>
      <c r="I552" t="s">
        <v>601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18803</v>
      </c>
      <c r="B553" t="s">
        <v>947</v>
      </c>
      <c r="C553" t="s">
        <v>943</v>
      </c>
      <c r="D553" t="s">
        <v>946</v>
      </c>
      <c r="E553" t="s">
        <v>948</v>
      </c>
      <c r="F553" t="s">
        <v>598</v>
      </c>
      <c r="G553" t="s">
        <v>599</v>
      </c>
      <c r="H553" t="s">
        <v>600</v>
      </c>
      <c r="I553" t="s">
        <v>601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18803</v>
      </c>
      <c r="B554" t="s">
        <v>951</v>
      </c>
      <c r="C554" t="s">
        <v>943</v>
      </c>
      <c r="D554" t="s">
        <v>934</v>
      </c>
      <c r="E554" t="s">
        <v>937</v>
      </c>
      <c r="F554" t="s">
        <v>598</v>
      </c>
      <c r="G554" t="s">
        <v>599</v>
      </c>
      <c r="H554" t="s">
        <v>600</v>
      </c>
      <c r="I554" t="s">
        <v>601</v>
      </c>
      <c r="J554">
        <v>1.5E-3</v>
      </c>
      <c r="K554">
        <v>1.5E-3</v>
      </c>
      <c r="L554">
        <v>1.5E-3</v>
      </c>
      <c r="M554">
        <v>1.5E-3</v>
      </c>
      <c r="N554">
        <v>1.5E-3</v>
      </c>
      <c r="O554">
        <v>1.5E-3</v>
      </c>
      <c r="P554">
        <v>1.5E-3</v>
      </c>
      <c r="Q554">
        <v>1.5E-3</v>
      </c>
      <c r="R554">
        <v>1.5E-3</v>
      </c>
      <c r="S554">
        <v>1.5E-3</v>
      </c>
      <c r="T554">
        <v>1.6000000000000001E-3</v>
      </c>
      <c r="U554">
        <v>1.6000000000000001E-3</v>
      </c>
      <c r="V554">
        <v>1.6000000000000001E-3</v>
      </c>
      <c r="W554">
        <v>1.6000000000000001E-3</v>
      </c>
      <c r="X554">
        <v>1.6000000000000001E-3</v>
      </c>
      <c r="Y554">
        <v>1.6000000000000001E-3</v>
      </c>
    </row>
    <row r="555" spans="1:25" hidden="1">
      <c r="A555" t="s">
        <v>18803</v>
      </c>
      <c r="B555" t="s">
        <v>959</v>
      </c>
      <c r="C555" t="s">
        <v>956</v>
      </c>
      <c r="D555" t="s">
        <v>931</v>
      </c>
      <c r="E555" t="s">
        <v>613</v>
      </c>
      <c r="F555" t="s">
        <v>598</v>
      </c>
      <c r="G555" t="s">
        <v>599</v>
      </c>
      <c r="H555" t="s">
        <v>600</v>
      </c>
      <c r="I555" t="s">
        <v>601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18803</v>
      </c>
      <c r="B556" t="s">
        <v>960</v>
      </c>
      <c r="C556" t="s">
        <v>956</v>
      </c>
      <c r="D556" t="s">
        <v>931</v>
      </c>
      <c r="E556" t="s">
        <v>961</v>
      </c>
      <c r="F556" t="s">
        <v>598</v>
      </c>
      <c r="G556" t="s">
        <v>599</v>
      </c>
      <c r="H556" t="s">
        <v>600</v>
      </c>
      <c r="I556" t="s">
        <v>601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hidden="1">
      <c r="A557" t="s">
        <v>18803</v>
      </c>
      <c r="B557" t="s">
        <v>968</v>
      </c>
      <c r="C557" t="s">
        <v>956</v>
      </c>
      <c r="D557" t="s">
        <v>648</v>
      </c>
      <c r="E557" t="s">
        <v>961</v>
      </c>
      <c r="F557" t="s">
        <v>598</v>
      </c>
      <c r="G557" t="s">
        <v>599</v>
      </c>
      <c r="H557" t="s">
        <v>600</v>
      </c>
      <c r="I557" t="s">
        <v>601</v>
      </c>
      <c r="J557">
        <v>1E-4</v>
      </c>
      <c r="K557">
        <v>1E-4</v>
      </c>
      <c r="L557">
        <v>1E-4</v>
      </c>
      <c r="M557">
        <v>1E-4</v>
      </c>
      <c r="N557">
        <v>1E-4</v>
      </c>
      <c r="O557">
        <v>1E-4</v>
      </c>
      <c r="P557">
        <v>1E-4</v>
      </c>
      <c r="Q557">
        <v>1E-4</v>
      </c>
      <c r="R557">
        <v>1E-4</v>
      </c>
      <c r="S557">
        <v>1E-4</v>
      </c>
      <c r="T557">
        <v>1E-4</v>
      </c>
      <c r="U557">
        <v>1E-4</v>
      </c>
      <c r="V557">
        <v>1E-4</v>
      </c>
      <c r="W557">
        <v>1E-4</v>
      </c>
      <c r="X557">
        <v>1E-4</v>
      </c>
      <c r="Y557">
        <v>1E-4</v>
      </c>
    </row>
    <row r="558" spans="1:25" hidden="1">
      <c r="A558" t="s">
        <v>18803</v>
      </c>
      <c r="B558" t="s">
        <v>974</v>
      </c>
      <c r="C558" t="s">
        <v>971</v>
      </c>
      <c r="D558" t="s">
        <v>648</v>
      </c>
      <c r="E558" t="s">
        <v>973</v>
      </c>
      <c r="F558" t="s">
        <v>598</v>
      </c>
      <c r="G558" t="s">
        <v>599</v>
      </c>
      <c r="H558" t="s">
        <v>600</v>
      </c>
      <c r="I558" t="s">
        <v>601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hidden="1">
      <c r="A559" t="s">
        <v>18803</v>
      </c>
      <c r="B559" t="s">
        <v>981</v>
      </c>
      <c r="C559" t="s">
        <v>980</v>
      </c>
      <c r="D559" t="s">
        <v>982</v>
      </c>
      <c r="E559" t="s">
        <v>613</v>
      </c>
      <c r="F559" t="s">
        <v>598</v>
      </c>
      <c r="G559" t="s">
        <v>599</v>
      </c>
      <c r="H559" t="s">
        <v>600</v>
      </c>
      <c r="I559" t="s">
        <v>601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18803</v>
      </c>
      <c r="B560" t="s">
        <v>990</v>
      </c>
      <c r="C560" t="s">
        <v>980</v>
      </c>
      <c r="D560" t="s">
        <v>648</v>
      </c>
      <c r="E560" t="s">
        <v>984</v>
      </c>
      <c r="F560" t="s">
        <v>598</v>
      </c>
      <c r="G560" t="s">
        <v>599</v>
      </c>
      <c r="H560" t="s">
        <v>600</v>
      </c>
      <c r="I560" t="s">
        <v>601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hidden="1">
      <c r="A561" t="s">
        <v>18803</v>
      </c>
      <c r="B561" t="s">
        <v>997</v>
      </c>
      <c r="C561" t="s">
        <v>998</v>
      </c>
      <c r="D561" t="s">
        <v>999</v>
      </c>
      <c r="E561" t="s">
        <v>1000</v>
      </c>
      <c r="F561" t="s">
        <v>598</v>
      </c>
      <c r="G561" t="s">
        <v>599</v>
      </c>
      <c r="H561" t="s">
        <v>600</v>
      </c>
      <c r="I561" t="s">
        <v>601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18803</v>
      </c>
      <c r="B562" t="s">
        <v>1009</v>
      </c>
      <c r="C562" t="s">
        <v>998</v>
      </c>
      <c r="D562" t="s">
        <v>999</v>
      </c>
      <c r="E562" t="s">
        <v>1010</v>
      </c>
      <c r="F562" t="s">
        <v>598</v>
      </c>
      <c r="G562" t="s">
        <v>599</v>
      </c>
      <c r="H562" t="s">
        <v>600</v>
      </c>
      <c r="I562" t="s">
        <v>601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18803</v>
      </c>
      <c r="B563" t="s">
        <v>1015</v>
      </c>
      <c r="C563" t="s">
        <v>1016</v>
      </c>
      <c r="D563" t="s">
        <v>1017</v>
      </c>
      <c r="E563" t="s">
        <v>1018</v>
      </c>
      <c r="F563" t="s">
        <v>598</v>
      </c>
      <c r="G563" t="s">
        <v>599</v>
      </c>
      <c r="H563" t="s">
        <v>600</v>
      </c>
      <c r="I563" t="s">
        <v>601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18803</v>
      </c>
      <c r="B564" t="s">
        <v>1021</v>
      </c>
      <c r="C564" t="s">
        <v>1016</v>
      </c>
      <c r="D564" t="s">
        <v>1017</v>
      </c>
      <c r="E564" t="s">
        <v>1022</v>
      </c>
      <c r="F564" t="s">
        <v>598</v>
      </c>
      <c r="G564" t="s">
        <v>599</v>
      </c>
      <c r="H564" t="s">
        <v>600</v>
      </c>
      <c r="I564" t="s">
        <v>601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18803</v>
      </c>
      <c r="B565" t="s">
        <v>1023</v>
      </c>
      <c r="C565" t="s">
        <v>1016</v>
      </c>
      <c r="D565" t="s">
        <v>1017</v>
      </c>
      <c r="E565" t="s">
        <v>1024</v>
      </c>
      <c r="F565" t="s">
        <v>598</v>
      </c>
      <c r="G565" t="s">
        <v>599</v>
      </c>
      <c r="H565" t="s">
        <v>600</v>
      </c>
      <c r="I565" t="s">
        <v>601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18803</v>
      </c>
      <c r="B566" t="s">
        <v>1025</v>
      </c>
      <c r="C566" t="s">
        <v>1016</v>
      </c>
      <c r="D566" t="s">
        <v>1017</v>
      </c>
      <c r="E566" t="s">
        <v>1026</v>
      </c>
      <c r="F566" t="s">
        <v>598</v>
      </c>
      <c r="G566" t="s">
        <v>599</v>
      </c>
      <c r="H566" t="s">
        <v>600</v>
      </c>
      <c r="I566" t="s">
        <v>601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hidden="1">
      <c r="A567" t="s">
        <v>18803</v>
      </c>
      <c r="B567" t="s">
        <v>1029</v>
      </c>
      <c r="C567" t="s">
        <v>1016</v>
      </c>
      <c r="D567" t="s">
        <v>1017</v>
      </c>
      <c r="E567" t="s">
        <v>1030</v>
      </c>
      <c r="F567" t="s">
        <v>598</v>
      </c>
      <c r="G567" t="s">
        <v>599</v>
      </c>
      <c r="H567" t="s">
        <v>600</v>
      </c>
      <c r="I567" t="s">
        <v>601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hidden="1">
      <c r="A568" t="s">
        <v>18803</v>
      </c>
      <c r="B568" t="s">
        <v>1037</v>
      </c>
      <c r="C568" t="s">
        <v>1016</v>
      </c>
      <c r="D568" t="s">
        <v>1017</v>
      </c>
      <c r="E568" t="s">
        <v>1038</v>
      </c>
      <c r="F568" t="s">
        <v>598</v>
      </c>
      <c r="G568" t="s">
        <v>599</v>
      </c>
      <c r="H568" t="s">
        <v>600</v>
      </c>
      <c r="I568" t="s">
        <v>601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18803</v>
      </c>
      <c r="B569" t="s">
        <v>1039</v>
      </c>
      <c r="C569" t="s">
        <v>1016</v>
      </c>
      <c r="D569" t="s">
        <v>1017</v>
      </c>
      <c r="E569" t="s">
        <v>1040</v>
      </c>
      <c r="F569" t="s">
        <v>598</v>
      </c>
      <c r="G569" t="s">
        <v>599</v>
      </c>
      <c r="H569" t="s">
        <v>600</v>
      </c>
      <c r="I569" t="s">
        <v>601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hidden="1">
      <c r="A570" t="s">
        <v>18803</v>
      </c>
      <c r="B570" t="s">
        <v>1041</v>
      </c>
      <c r="C570" t="s">
        <v>1016</v>
      </c>
      <c r="D570" t="s">
        <v>1017</v>
      </c>
      <c r="E570" t="s">
        <v>1042</v>
      </c>
      <c r="F570" t="s">
        <v>598</v>
      </c>
      <c r="G570" t="s">
        <v>599</v>
      </c>
      <c r="H570" t="s">
        <v>600</v>
      </c>
      <c r="I570" t="s">
        <v>601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18803</v>
      </c>
      <c r="B571" t="s">
        <v>1047</v>
      </c>
      <c r="C571" t="s">
        <v>1016</v>
      </c>
      <c r="D571" t="s">
        <v>1017</v>
      </c>
      <c r="E571" t="s">
        <v>1048</v>
      </c>
      <c r="F571" t="s">
        <v>598</v>
      </c>
      <c r="G571" t="s">
        <v>599</v>
      </c>
      <c r="H571" t="s">
        <v>600</v>
      </c>
      <c r="I571" t="s">
        <v>601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18803</v>
      </c>
      <c r="B572" t="s">
        <v>1049</v>
      </c>
      <c r="C572" t="s">
        <v>1016</v>
      </c>
      <c r="D572" t="s">
        <v>1050</v>
      </c>
      <c r="E572" t="s">
        <v>1024</v>
      </c>
      <c r="F572" t="s">
        <v>598</v>
      </c>
      <c r="G572" t="s">
        <v>599</v>
      </c>
      <c r="H572" t="s">
        <v>600</v>
      </c>
      <c r="I572" t="s">
        <v>601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18803</v>
      </c>
      <c r="B573" t="s">
        <v>1051</v>
      </c>
      <c r="C573" t="s">
        <v>1016</v>
      </c>
      <c r="D573" t="s">
        <v>1050</v>
      </c>
      <c r="E573" t="s">
        <v>1052</v>
      </c>
      <c r="F573" t="s">
        <v>598</v>
      </c>
      <c r="G573" t="s">
        <v>599</v>
      </c>
      <c r="H573" t="s">
        <v>600</v>
      </c>
      <c r="I573" t="s">
        <v>601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18803</v>
      </c>
      <c r="B574" t="s">
        <v>1059</v>
      </c>
      <c r="C574" t="s">
        <v>1016</v>
      </c>
      <c r="D574" t="s">
        <v>1050</v>
      </c>
      <c r="E574" t="s">
        <v>1042</v>
      </c>
      <c r="F574" t="s">
        <v>598</v>
      </c>
      <c r="G574" t="s">
        <v>599</v>
      </c>
      <c r="H574" t="s">
        <v>600</v>
      </c>
      <c r="I574" t="s">
        <v>601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18803</v>
      </c>
      <c r="B575" t="s">
        <v>1062</v>
      </c>
      <c r="C575" t="s">
        <v>1016</v>
      </c>
      <c r="D575" t="s">
        <v>1063</v>
      </c>
      <c r="E575" t="s">
        <v>1018</v>
      </c>
      <c r="F575" t="s">
        <v>598</v>
      </c>
      <c r="G575" t="s">
        <v>599</v>
      </c>
      <c r="H575" t="s">
        <v>600</v>
      </c>
      <c r="I575" t="s">
        <v>601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18803</v>
      </c>
      <c r="B576" t="s">
        <v>1064</v>
      </c>
      <c r="C576" t="s">
        <v>1016</v>
      </c>
      <c r="D576" t="s">
        <v>1063</v>
      </c>
      <c r="E576" t="s">
        <v>1022</v>
      </c>
      <c r="F576" t="s">
        <v>598</v>
      </c>
      <c r="G576" t="s">
        <v>599</v>
      </c>
      <c r="H576" t="s">
        <v>600</v>
      </c>
      <c r="I576" t="s">
        <v>601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18803</v>
      </c>
      <c r="B577" t="s">
        <v>1065</v>
      </c>
      <c r="C577" t="s">
        <v>1016</v>
      </c>
      <c r="D577" t="s">
        <v>1063</v>
      </c>
      <c r="E577" t="s">
        <v>1024</v>
      </c>
      <c r="F577" t="s">
        <v>598</v>
      </c>
      <c r="G577" t="s">
        <v>599</v>
      </c>
      <c r="H577" t="s">
        <v>600</v>
      </c>
      <c r="I577" t="s">
        <v>601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18803</v>
      </c>
      <c r="B578" t="s">
        <v>1067</v>
      </c>
      <c r="C578" t="s">
        <v>1016</v>
      </c>
      <c r="D578" t="s">
        <v>1063</v>
      </c>
      <c r="E578" t="s">
        <v>1026</v>
      </c>
      <c r="F578" t="s">
        <v>598</v>
      </c>
      <c r="G578" t="s">
        <v>599</v>
      </c>
      <c r="H578" t="s">
        <v>600</v>
      </c>
      <c r="I578" t="s">
        <v>601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18803</v>
      </c>
      <c r="B579" t="s">
        <v>1068</v>
      </c>
      <c r="C579" t="s">
        <v>1016</v>
      </c>
      <c r="D579" t="s">
        <v>1063</v>
      </c>
      <c r="E579" t="s">
        <v>1030</v>
      </c>
      <c r="F579" t="s">
        <v>598</v>
      </c>
      <c r="G579" t="s">
        <v>599</v>
      </c>
      <c r="H579" t="s">
        <v>600</v>
      </c>
      <c r="I579" t="s">
        <v>601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18803</v>
      </c>
      <c r="B580" t="s">
        <v>1069</v>
      </c>
      <c r="C580" t="s">
        <v>1016</v>
      </c>
      <c r="D580" t="s">
        <v>1063</v>
      </c>
      <c r="E580" t="s">
        <v>1035</v>
      </c>
      <c r="F580" t="s">
        <v>598</v>
      </c>
      <c r="G580" t="s">
        <v>599</v>
      </c>
      <c r="H580" t="s">
        <v>600</v>
      </c>
      <c r="I580" t="s">
        <v>601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18803</v>
      </c>
      <c r="B581" t="s">
        <v>1072</v>
      </c>
      <c r="C581" t="s">
        <v>1016</v>
      </c>
      <c r="D581" t="s">
        <v>1063</v>
      </c>
      <c r="E581" t="s">
        <v>1040</v>
      </c>
      <c r="F581" t="s">
        <v>598</v>
      </c>
      <c r="G581" t="s">
        <v>599</v>
      </c>
      <c r="H581" t="s">
        <v>600</v>
      </c>
      <c r="I581" t="s">
        <v>601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18803</v>
      </c>
      <c r="B582" t="s">
        <v>1073</v>
      </c>
      <c r="C582" t="s">
        <v>1016</v>
      </c>
      <c r="D582" t="s">
        <v>1063</v>
      </c>
      <c r="E582" t="s">
        <v>1042</v>
      </c>
      <c r="F582" t="s">
        <v>598</v>
      </c>
      <c r="G582" t="s">
        <v>599</v>
      </c>
      <c r="H582" t="s">
        <v>600</v>
      </c>
      <c r="I582" t="s">
        <v>601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18803</v>
      </c>
      <c r="B583" t="s">
        <v>1075</v>
      </c>
      <c r="C583" t="s">
        <v>1016</v>
      </c>
      <c r="D583" t="s">
        <v>1063</v>
      </c>
      <c r="E583" t="s">
        <v>1046</v>
      </c>
      <c r="F583" t="s">
        <v>598</v>
      </c>
      <c r="G583" t="s">
        <v>599</v>
      </c>
      <c r="H583" t="s">
        <v>600</v>
      </c>
      <c r="I583" t="s">
        <v>601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18803</v>
      </c>
      <c r="B584" t="s">
        <v>1076</v>
      </c>
      <c r="C584" t="s">
        <v>1016</v>
      </c>
      <c r="D584" t="s">
        <v>1063</v>
      </c>
      <c r="E584" t="s">
        <v>1048</v>
      </c>
      <c r="F584" t="s">
        <v>598</v>
      </c>
      <c r="G584" t="s">
        <v>599</v>
      </c>
      <c r="H584" t="s">
        <v>600</v>
      </c>
      <c r="I584" t="s">
        <v>601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18803</v>
      </c>
      <c r="B585" t="s">
        <v>1082</v>
      </c>
      <c r="C585" t="s">
        <v>1079</v>
      </c>
      <c r="D585" t="s">
        <v>1083</v>
      </c>
      <c r="E585" t="s">
        <v>1084</v>
      </c>
      <c r="F585" t="s">
        <v>598</v>
      </c>
      <c r="G585" t="s">
        <v>599</v>
      </c>
      <c r="H585" t="s">
        <v>600</v>
      </c>
      <c r="I585" t="s">
        <v>601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18803</v>
      </c>
      <c r="B586" t="s">
        <v>1087</v>
      </c>
      <c r="C586" t="s">
        <v>1079</v>
      </c>
      <c r="D586" t="s">
        <v>1086</v>
      </c>
      <c r="E586" t="s">
        <v>1081</v>
      </c>
      <c r="F586" t="s">
        <v>598</v>
      </c>
      <c r="G586" t="s">
        <v>599</v>
      </c>
      <c r="H586" t="s">
        <v>600</v>
      </c>
      <c r="I586" t="s">
        <v>601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18803</v>
      </c>
      <c r="B587" t="s">
        <v>1100</v>
      </c>
      <c r="C587" t="s">
        <v>1079</v>
      </c>
      <c r="D587" t="s">
        <v>1086</v>
      </c>
      <c r="E587" t="s">
        <v>1101</v>
      </c>
      <c r="F587" t="s">
        <v>598</v>
      </c>
      <c r="G587" t="s">
        <v>599</v>
      </c>
      <c r="H587" t="s">
        <v>600</v>
      </c>
      <c r="I587" t="s">
        <v>601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18803</v>
      </c>
      <c r="B588" t="s">
        <v>1144</v>
      </c>
      <c r="C588" t="s">
        <v>1079</v>
      </c>
      <c r="D588" t="s">
        <v>1145</v>
      </c>
      <c r="E588" t="s">
        <v>1081</v>
      </c>
      <c r="F588" t="s">
        <v>598</v>
      </c>
      <c r="G588" t="s">
        <v>599</v>
      </c>
      <c r="H588" t="s">
        <v>600</v>
      </c>
      <c r="I588" t="s">
        <v>601</v>
      </c>
      <c r="J588">
        <v>2.9999999999999997E-4</v>
      </c>
      <c r="K588">
        <v>2.9999999999999997E-4</v>
      </c>
      <c r="L588">
        <v>2.9999999999999997E-4</v>
      </c>
      <c r="M588">
        <v>2.9999999999999997E-4</v>
      </c>
      <c r="N588">
        <v>4.0000000000000002E-4</v>
      </c>
      <c r="O588">
        <v>4.0000000000000002E-4</v>
      </c>
      <c r="P588">
        <v>4.0000000000000002E-4</v>
      </c>
      <c r="Q588">
        <v>4.0000000000000002E-4</v>
      </c>
      <c r="R588">
        <v>4.0000000000000002E-4</v>
      </c>
      <c r="S588">
        <v>4.0000000000000002E-4</v>
      </c>
      <c r="T588">
        <v>4.0000000000000002E-4</v>
      </c>
      <c r="U588">
        <v>4.0000000000000002E-4</v>
      </c>
      <c r="V588">
        <v>4.0000000000000002E-4</v>
      </c>
      <c r="W588">
        <v>4.0000000000000002E-4</v>
      </c>
      <c r="X588">
        <v>5.0000000000000001E-4</v>
      </c>
      <c r="Y588">
        <v>5.0000000000000001E-4</v>
      </c>
    </row>
    <row r="589" spans="1:25" hidden="1">
      <c r="A589" t="s">
        <v>18803</v>
      </c>
      <c r="B589" t="s">
        <v>1151</v>
      </c>
      <c r="C589" t="s">
        <v>1079</v>
      </c>
      <c r="D589" t="s">
        <v>1145</v>
      </c>
      <c r="E589" t="s">
        <v>1101</v>
      </c>
      <c r="F589" t="s">
        <v>598</v>
      </c>
      <c r="G589" t="s">
        <v>599</v>
      </c>
      <c r="H589" t="s">
        <v>600</v>
      </c>
      <c r="I589" t="s">
        <v>601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18803</v>
      </c>
      <c r="B590" t="s">
        <v>1155</v>
      </c>
      <c r="C590" t="s">
        <v>1079</v>
      </c>
      <c r="D590" t="s">
        <v>1156</v>
      </c>
      <c r="E590" t="s">
        <v>1081</v>
      </c>
      <c r="F590" t="s">
        <v>598</v>
      </c>
      <c r="G590" t="s">
        <v>599</v>
      </c>
      <c r="H590" t="s">
        <v>600</v>
      </c>
      <c r="I590" t="s">
        <v>601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18803</v>
      </c>
      <c r="B591" t="s">
        <v>1157</v>
      </c>
      <c r="C591" t="s">
        <v>1079</v>
      </c>
      <c r="D591" t="s">
        <v>1156</v>
      </c>
      <c r="E591" t="s">
        <v>1091</v>
      </c>
      <c r="F591" t="s">
        <v>598</v>
      </c>
      <c r="G591" t="s">
        <v>599</v>
      </c>
      <c r="H591" t="s">
        <v>600</v>
      </c>
      <c r="I591" t="s">
        <v>601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18803</v>
      </c>
      <c r="B592" t="s">
        <v>1161</v>
      </c>
      <c r="C592" t="s">
        <v>1079</v>
      </c>
      <c r="D592" t="s">
        <v>1156</v>
      </c>
      <c r="E592" t="s">
        <v>1101</v>
      </c>
      <c r="F592" t="s">
        <v>598</v>
      </c>
      <c r="G592" t="s">
        <v>599</v>
      </c>
      <c r="H592" t="s">
        <v>600</v>
      </c>
      <c r="I592" t="s">
        <v>601</v>
      </c>
      <c r="J592">
        <v>1.1000000000000001E-3</v>
      </c>
      <c r="K592">
        <v>1.1999999999999999E-3</v>
      </c>
      <c r="L592">
        <v>1.1999999999999999E-3</v>
      </c>
      <c r="M592">
        <v>1.1999999999999999E-3</v>
      </c>
      <c r="N592">
        <v>1.2999999999999999E-3</v>
      </c>
      <c r="O592">
        <v>1.2999999999999999E-3</v>
      </c>
      <c r="P592">
        <v>1.2999999999999999E-3</v>
      </c>
      <c r="Q592">
        <v>1.4E-3</v>
      </c>
      <c r="R592">
        <v>1.4E-3</v>
      </c>
      <c r="S592">
        <v>1.5E-3</v>
      </c>
      <c r="T592">
        <v>1.5E-3</v>
      </c>
      <c r="U592">
        <v>1.5E-3</v>
      </c>
      <c r="V592">
        <v>1.6000000000000001E-3</v>
      </c>
      <c r="W592">
        <v>1.6000000000000001E-3</v>
      </c>
      <c r="X592">
        <v>1.6999999999999999E-3</v>
      </c>
      <c r="Y592">
        <v>1.6999999999999999E-3</v>
      </c>
    </row>
    <row r="593" spans="1:25" hidden="1">
      <c r="A593" t="s">
        <v>18803</v>
      </c>
      <c r="B593" t="s">
        <v>1217</v>
      </c>
      <c r="C593" t="s">
        <v>1079</v>
      </c>
      <c r="D593" t="s">
        <v>1188</v>
      </c>
      <c r="E593" t="s">
        <v>1106</v>
      </c>
      <c r="F593" t="s">
        <v>598</v>
      </c>
      <c r="G593" t="s">
        <v>599</v>
      </c>
      <c r="H593" t="s">
        <v>600</v>
      </c>
      <c r="I593" t="s">
        <v>601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18803</v>
      </c>
      <c r="B594" t="s">
        <v>1221</v>
      </c>
      <c r="C594" t="s">
        <v>1079</v>
      </c>
      <c r="D594" t="s">
        <v>648</v>
      </c>
      <c r="E594" t="s">
        <v>1081</v>
      </c>
      <c r="F594" t="s">
        <v>598</v>
      </c>
      <c r="G594" t="s">
        <v>599</v>
      </c>
      <c r="H594" t="s">
        <v>600</v>
      </c>
      <c r="I594" t="s">
        <v>601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18803</v>
      </c>
      <c r="B595" t="s">
        <v>1227</v>
      </c>
      <c r="C595" t="s">
        <v>1079</v>
      </c>
      <c r="D595" t="s">
        <v>648</v>
      </c>
      <c r="E595" t="s">
        <v>1101</v>
      </c>
      <c r="F595" t="s">
        <v>598</v>
      </c>
      <c r="G595" t="s">
        <v>599</v>
      </c>
      <c r="H595" t="s">
        <v>600</v>
      </c>
      <c r="I595" t="s">
        <v>601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18803</v>
      </c>
      <c r="B596" t="s">
        <v>1228</v>
      </c>
      <c r="C596" t="s">
        <v>1079</v>
      </c>
      <c r="D596" t="s">
        <v>648</v>
      </c>
      <c r="E596" t="s">
        <v>1103</v>
      </c>
      <c r="F596" t="s">
        <v>598</v>
      </c>
      <c r="G596" t="s">
        <v>599</v>
      </c>
      <c r="H596" t="s">
        <v>600</v>
      </c>
      <c r="I596" t="s">
        <v>601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18803</v>
      </c>
      <c r="B597" t="s">
        <v>1247</v>
      </c>
      <c r="C597" t="s">
        <v>1230</v>
      </c>
      <c r="D597" t="s">
        <v>1246</v>
      </c>
      <c r="E597" t="s">
        <v>1239</v>
      </c>
      <c r="F597" t="s">
        <v>598</v>
      </c>
      <c r="G597" t="s">
        <v>599</v>
      </c>
      <c r="H597" t="s">
        <v>600</v>
      </c>
      <c r="I597" t="s">
        <v>601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18803</v>
      </c>
      <c r="B598" t="s">
        <v>1250</v>
      </c>
      <c r="C598" t="s">
        <v>1230</v>
      </c>
      <c r="D598" t="s">
        <v>648</v>
      </c>
      <c r="E598" t="s">
        <v>1004</v>
      </c>
      <c r="F598" t="s">
        <v>598</v>
      </c>
      <c r="G598" t="s">
        <v>599</v>
      </c>
      <c r="H598" t="s">
        <v>600</v>
      </c>
      <c r="I598" t="s">
        <v>601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18803</v>
      </c>
      <c r="B599" t="s">
        <v>1256</v>
      </c>
      <c r="C599" t="s">
        <v>1253</v>
      </c>
      <c r="D599" t="s">
        <v>1254</v>
      </c>
      <c r="E599" t="s">
        <v>1257</v>
      </c>
      <c r="F599" t="s">
        <v>598</v>
      </c>
      <c r="G599" t="s">
        <v>599</v>
      </c>
      <c r="H599" t="s">
        <v>600</v>
      </c>
      <c r="I599" t="s">
        <v>601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18803</v>
      </c>
      <c r="B600" t="s">
        <v>1258</v>
      </c>
      <c r="C600" t="s">
        <v>1253</v>
      </c>
      <c r="D600" t="s">
        <v>1254</v>
      </c>
      <c r="E600" t="s">
        <v>1259</v>
      </c>
      <c r="F600" t="s">
        <v>598</v>
      </c>
      <c r="G600" t="s">
        <v>599</v>
      </c>
      <c r="H600" t="s">
        <v>600</v>
      </c>
      <c r="I600" t="s">
        <v>601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18803</v>
      </c>
      <c r="B601" t="s">
        <v>1260</v>
      </c>
      <c r="C601" t="s">
        <v>1261</v>
      </c>
      <c r="D601" t="s">
        <v>648</v>
      </c>
      <c r="E601" t="s">
        <v>920</v>
      </c>
      <c r="F601" t="s">
        <v>598</v>
      </c>
      <c r="G601" t="s">
        <v>599</v>
      </c>
      <c r="H601" t="s">
        <v>600</v>
      </c>
      <c r="I601" t="s">
        <v>601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18803</v>
      </c>
      <c r="B602" t="s">
        <v>1263</v>
      </c>
      <c r="C602" t="s">
        <v>1261</v>
      </c>
      <c r="D602" t="s">
        <v>648</v>
      </c>
      <c r="E602" t="s">
        <v>1264</v>
      </c>
      <c r="F602" t="s">
        <v>598</v>
      </c>
      <c r="G602" t="s">
        <v>599</v>
      </c>
      <c r="H602" t="s">
        <v>600</v>
      </c>
      <c r="I602" t="s">
        <v>601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18803</v>
      </c>
      <c r="B603" t="s">
        <v>1276</v>
      </c>
      <c r="C603" t="s">
        <v>1267</v>
      </c>
      <c r="D603" t="s">
        <v>1274</v>
      </c>
      <c r="E603" t="s">
        <v>678</v>
      </c>
      <c r="F603" t="s">
        <v>598</v>
      </c>
      <c r="G603" t="s">
        <v>599</v>
      </c>
      <c r="H603" t="s">
        <v>600</v>
      </c>
      <c r="I603" t="s">
        <v>601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18803</v>
      </c>
      <c r="B604" t="s">
        <v>1279</v>
      </c>
      <c r="C604" t="s">
        <v>1267</v>
      </c>
      <c r="D604" t="s">
        <v>1278</v>
      </c>
      <c r="E604" t="s">
        <v>678</v>
      </c>
      <c r="F604" t="s">
        <v>598</v>
      </c>
      <c r="G604" t="s">
        <v>599</v>
      </c>
      <c r="H604" t="s">
        <v>600</v>
      </c>
      <c r="I604" t="s">
        <v>601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18803</v>
      </c>
      <c r="B605" t="s">
        <v>1283</v>
      </c>
      <c r="C605" t="s">
        <v>1267</v>
      </c>
      <c r="D605" t="s">
        <v>1281</v>
      </c>
      <c r="E605" t="s">
        <v>678</v>
      </c>
      <c r="F605" t="s">
        <v>598</v>
      </c>
      <c r="G605" t="s">
        <v>599</v>
      </c>
      <c r="H605" t="s">
        <v>600</v>
      </c>
      <c r="I605" t="s">
        <v>601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18803</v>
      </c>
      <c r="B606" t="s">
        <v>1294</v>
      </c>
      <c r="C606" t="s">
        <v>1267</v>
      </c>
      <c r="D606" t="s">
        <v>1293</v>
      </c>
      <c r="E606" t="s">
        <v>678</v>
      </c>
      <c r="F606" t="s">
        <v>598</v>
      </c>
      <c r="G606" t="s">
        <v>599</v>
      </c>
      <c r="H606" t="s">
        <v>600</v>
      </c>
      <c r="I606" t="s">
        <v>601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18803</v>
      </c>
      <c r="B607" t="s">
        <v>1303</v>
      </c>
      <c r="C607" t="s">
        <v>1267</v>
      </c>
      <c r="D607" t="s">
        <v>1302</v>
      </c>
      <c r="E607" t="s">
        <v>678</v>
      </c>
      <c r="F607" t="s">
        <v>598</v>
      </c>
      <c r="G607" t="s">
        <v>599</v>
      </c>
      <c r="H607" t="s">
        <v>600</v>
      </c>
      <c r="I607" t="s">
        <v>601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hidden="1">
      <c r="A608" t="s">
        <v>18803</v>
      </c>
      <c r="B608" t="s">
        <v>1314</v>
      </c>
      <c r="C608" t="s">
        <v>1267</v>
      </c>
      <c r="D608" t="s">
        <v>1311</v>
      </c>
      <c r="E608" t="s">
        <v>678</v>
      </c>
      <c r="F608" t="s">
        <v>598</v>
      </c>
      <c r="G608" t="s">
        <v>599</v>
      </c>
      <c r="H608" t="s">
        <v>600</v>
      </c>
      <c r="I608" t="s">
        <v>601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18803</v>
      </c>
      <c r="B609" t="s">
        <v>1351</v>
      </c>
      <c r="C609" t="s">
        <v>1267</v>
      </c>
      <c r="D609" t="s">
        <v>1352</v>
      </c>
      <c r="E609" t="s">
        <v>672</v>
      </c>
      <c r="F609" t="s">
        <v>598</v>
      </c>
      <c r="G609" t="s">
        <v>599</v>
      </c>
      <c r="H609" t="s">
        <v>600</v>
      </c>
      <c r="I609" t="s">
        <v>601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18803</v>
      </c>
      <c r="B610" t="s">
        <v>1353</v>
      </c>
      <c r="C610" t="s">
        <v>1267</v>
      </c>
      <c r="D610" t="s">
        <v>1354</v>
      </c>
      <c r="E610" t="s">
        <v>672</v>
      </c>
      <c r="F610" t="s">
        <v>598</v>
      </c>
      <c r="G610" t="s">
        <v>599</v>
      </c>
      <c r="H610" t="s">
        <v>600</v>
      </c>
      <c r="I610" t="s">
        <v>601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hidden="1">
      <c r="A611" t="s">
        <v>18803</v>
      </c>
      <c r="B611" t="s">
        <v>1371</v>
      </c>
      <c r="C611" t="s">
        <v>1267</v>
      </c>
      <c r="D611" t="s">
        <v>1370</v>
      </c>
      <c r="E611" t="s">
        <v>678</v>
      </c>
      <c r="F611" t="s">
        <v>598</v>
      </c>
      <c r="G611" t="s">
        <v>599</v>
      </c>
      <c r="H611" t="s">
        <v>600</v>
      </c>
      <c r="I611" t="s">
        <v>601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hidden="1">
      <c r="A612" t="s">
        <v>18803</v>
      </c>
      <c r="B612" t="s">
        <v>1376</v>
      </c>
      <c r="C612" t="s">
        <v>1267</v>
      </c>
      <c r="D612" t="s">
        <v>648</v>
      </c>
      <c r="E612" t="s">
        <v>678</v>
      </c>
      <c r="F612" t="s">
        <v>598</v>
      </c>
      <c r="G612" t="s">
        <v>599</v>
      </c>
      <c r="H612" t="s">
        <v>600</v>
      </c>
      <c r="I612" t="s">
        <v>601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hidden="1">
      <c r="A613" t="s">
        <v>18803</v>
      </c>
      <c r="B613" t="s">
        <v>1482</v>
      </c>
      <c r="C613" t="s">
        <v>1472</v>
      </c>
      <c r="D613" t="s">
        <v>1483</v>
      </c>
      <c r="E613" t="s">
        <v>597</v>
      </c>
      <c r="F613" t="s">
        <v>598</v>
      </c>
      <c r="G613" t="s">
        <v>599</v>
      </c>
      <c r="H613" t="s">
        <v>600</v>
      </c>
      <c r="I613" t="s">
        <v>601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hidden="1">
      <c r="A614" t="s">
        <v>18803</v>
      </c>
      <c r="B614" t="s">
        <v>1566</v>
      </c>
      <c r="C614" t="s">
        <v>1472</v>
      </c>
      <c r="D614" t="s">
        <v>1567</v>
      </c>
      <c r="E614" t="s">
        <v>626</v>
      </c>
      <c r="F614" t="s">
        <v>598</v>
      </c>
      <c r="G614" t="s">
        <v>599</v>
      </c>
      <c r="H614" t="s">
        <v>600</v>
      </c>
      <c r="I614" t="s">
        <v>601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18803</v>
      </c>
      <c r="B615" t="s">
        <v>1568</v>
      </c>
      <c r="C615" t="s">
        <v>1472</v>
      </c>
      <c r="D615" t="s">
        <v>1569</v>
      </c>
      <c r="E615" t="s">
        <v>626</v>
      </c>
      <c r="F615" t="s">
        <v>598</v>
      </c>
      <c r="G615" t="s">
        <v>599</v>
      </c>
      <c r="H615" t="s">
        <v>600</v>
      </c>
      <c r="I615" t="s">
        <v>601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hidden="1">
      <c r="A616" t="s">
        <v>18803</v>
      </c>
      <c r="B616" t="s">
        <v>1570</v>
      </c>
      <c r="C616" t="s">
        <v>1472</v>
      </c>
      <c r="D616" t="s">
        <v>1571</v>
      </c>
      <c r="E616" t="s">
        <v>626</v>
      </c>
      <c r="F616" t="s">
        <v>598</v>
      </c>
      <c r="G616" t="s">
        <v>599</v>
      </c>
      <c r="H616" t="s">
        <v>600</v>
      </c>
      <c r="I616" t="s">
        <v>601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18803</v>
      </c>
      <c r="B617" t="s">
        <v>1573</v>
      </c>
      <c r="C617" t="s">
        <v>1472</v>
      </c>
      <c r="D617" t="s">
        <v>1574</v>
      </c>
      <c r="E617" t="s">
        <v>626</v>
      </c>
      <c r="F617" t="s">
        <v>598</v>
      </c>
      <c r="G617" t="s">
        <v>599</v>
      </c>
      <c r="H617" t="s">
        <v>600</v>
      </c>
      <c r="I617" t="s">
        <v>601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18803</v>
      </c>
      <c r="B618" t="s">
        <v>1575</v>
      </c>
      <c r="C618" t="s">
        <v>1472</v>
      </c>
      <c r="D618" t="s">
        <v>1576</v>
      </c>
      <c r="E618" t="s">
        <v>626</v>
      </c>
      <c r="F618" t="s">
        <v>598</v>
      </c>
      <c r="G618" t="s">
        <v>599</v>
      </c>
      <c r="H618" t="s">
        <v>600</v>
      </c>
      <c r="I618" t="s">
        <v>601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18803</v>
      </c>
      <c r="B619" t="s">
        <v>1577</v>
      </c>
      <c r="C619" t="s">
        <v>1472</v>
      </c>
      <c r="D619" t="s">
        <v>1578</v>
      </c>
      <c r="E619" t="s">
        <v>626</v>
      </c>
      <c r="F619" t="s">
        <v>598</v>
      </c>
      <c r="G619" t="s">
        <v>599</v>
      </c>
      <c r="H619" t="s">
        <v>600</v>
      </c>
      <c r="I619" t="s">
        <v>601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18803</v>
      </c>
      <c r="B620" t="s">
        <v>1582</v>
      </c>
      <c r="C620" t="s">
        <v>1472</v>
      </c>
      <c r="D620" t="s">
        <v>1583</v>
      </c>
      <c r="E620" t="s">
        <v>626</v>
      </c>
      <c r="F620" t="s">
        <v>598</v>
      </c>
      <c r="G620" t="s">
        <v>599</v>
      </c>
      <c r="H620" t="s">
        <v>600</v>
      </c>
      <c r="I620" t="s">
        <v>601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18803</v>
      </c>
      <c r="B621" t="s">
        <v>1590</v>
      </c>
      <c r="C621" t="s">
        <v>1472</v>
      </c>
      <c r="D621" t="s">
        <v>1365</v>
      </c>
      <c r="E621" t="s">
        <v>626</v>
      </c>
      <c r="F621" t="s">
        <v>598</v>
      </c>
      <c r="G621" t="s">
        <v>599</v>
      </c>
      <c r="H621" t="s">
        <v>600</v>
      </c>
      <c r="I621" t="s">
        <v>601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18803</v>
      </c>
      <c r="B622" t="s">
        <v>1600</v>
      </c>
      <c r="C622" t="s">
        <v>1472</v>
      </c>
      <c r="D622" t="s">
        <v>1601</v>
      </c>
      <c r="E622" t="s">
        <v>626</v>
      </c>
      <c r="F622" t="s">
        <v>598</v>
      </c>
      <c r="G622" t="s">
        <v>599</v>
      </c>
      <c r="H622" t="s">
        <v>600</v>
      </c>
      <c r="I622" t="s">
        <v>601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18803</v>
      </c>
      <c r="B623" t="s">
        <v>1602</v>
      </c>
      <c r="C623" t="s">
        <v>1472</v>
      </c>
      <c r="D623" t="s">
        <v>1603</v>
      </c>
      <c r="E623" t="s">
        <v>626</v>
      </c>
      <c r="F623" t="s">
        <v>598</v>
      </c>
      <c r="G623" t="s">
        <v>599</v>
      </c>
      <c r="H623" t="s">
        <v>600</v>
      </c>
      <c r="I623" t="s">
        <v>601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hidden="1">
      <c r="A624" t="s">
        <v>18803</v>
      </c>
      <c r="B624" t="s">
        <v>1604</v>
      </c>
      <c r="C624" t="s">
        <v>1472</v>
      </c>
      <c r="D624" t="s">
        <v>1605</v>
      </c>
      <c r="E624" t="s">
        <v>626</v>
      </c>
      <c r="F624" t="s">
        <v>598</v>
      </c>
      <c r="G624" t="s">
        <v>599</v>
      </c>
      <c r="H624" t="s">
        <v>600</v>
      </c>
      <c r="I624" t="s">
        <v>601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hidden="1">
      <c r="A625" t="s">
        <v>18803</v>
      </c>
      <c r="B625" t="s">
        <v>1775</v>
      </c>
      <c r="C625" t="s">
        <v>1614</v>
      </c>
      <c r="D625" t="s">
        <v>1776</v>
      </c>
      <c r="E625" t="s">
        <v>1777</v>
      </c>
      <c r="F625" t="s">
        <v>598</v>
      </c>
      <c r="G625" t="s">
        <v>599</v>
      </c>
      <c r="H625" t="s">
        <v>600</v>
      </c>
      <c r="I625" t="s">
        <v>601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18803</v>
      </c>
      <c r="B626" t="s">
        <v>1780</v>
      </c>
      <c r="C626" t="s">
        <v>1614</v>
      </c>
      <c r="D626" t="s">
        <v>1781</v>
      </c>
      <c r="E626" t="s">
        <v>1716</v>
      </c>
      <c r="F626" t="s">
        <v>598</v>
      </c>
      <c r="G626" t="s">
        <v>599</v>
      </c>
      <c r="H626" t="s">
        <v>600</v>
      </c>
      <c r="I626" t="s">
        <v>601</v>
      </c>
      <c r="J626">
        <v>6.0699999999999997E-2</v>
      </c>
      <c r="K626">
        <v>6.2899999999999998E-2</v>
      </c>
      <c r="L626">
        <v>6.5100000000000005E-2</v>
      </c>
      <c r="M626">
        <v>6.7199999999999996E-2</v>
      </c>
      <c r="N626">
        <v>6.8900000000000003E-2</v>
      </c>
      <c r="O626">
        <v>7.0999999999999994E-2</v>
      </c>
      <c r="P626">
        <v>7.3099999999999998E-2</v>
      </c>
      <c r="Q626">
        <v>7.5300000000000006E-2</v>
      </c>
      <c r="R626">
        <v>7.7399999999999997E-2</v>
      </c>
      <c r="S626">
        <v>8.0199999999999994E-2</v>
      </c>
      <c r="T626">
        <v>8.2299999999999998E-2</v>
      </c>
      <c r="U626">
        <v>8.5000000000000006E-2</v>
      </c>
      <c r="V626">
        <v>8.7099999999999997E-2</v>
      </c>
      <c r="W626">
        <v>8.9800000000000005E-2</v>
      </c>
      <c r="X626">
        <v>9.2499999999999999E-2</v>
      </c>
      <c r="Y626">
        <v>9.5200000000000007E-2</v>
      </c>
    </row>
    <row r="627" spans="1:25" hidden="1">
      <c r="A627" t="s">
        <v>18803</v>
      </c>
      <c r="B627" t="s">
        <v>1858</v>
      </c>
      <c r="C627" t="s">
        <v>1845</v>
      </c>
      <c r="D627" t="s">
        <v>1859</v>
      </c>
      <c r="E627" t="s">
        <v>1860</v>
      </c>
      <c r="F627" t="s">
        <v>598</v>
      </c>
      <c r="G627" t="s">
        <v>599</v>
      </c>
      <c r="H627" t="s">
        <v>600</v>
      </c>
      <c r="I627" t="s">
        <v>601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18803</v>
      </c>
      <c r="B628" t="s">
        <v>1861</v>
      </c>
      <c r="C628" t="s">
        <v>1845</v>
      </c>
      <c r="D628" t="s">
        <v>1862</v>
      </c>
      <c r="E628" t="s">
        <v>1860</v>
      </c>
      <c r="F628" t="s">
        <v>598</v>
      </c>
      <c r="G628" t="s">
        <v>599</v>
      </c>
      <c r="H628" t="s">
        <v>600</v>
      </c>
      <c r="I628" t="s">
        <v>601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18803</v>
      </c>
      <c r="B629" t="s">
        <v>1863</v>
      </c>
      <c r="C629" t="s">
        <v>1845</v>
      </c>
      <c r="D629" t="s">
        <v>1864</v>
      </c>
      <c r="E629" t="s">
        <v>1865</v>
      </c>
      <c r="F629" t="s">
        <v>598</v>
      </c>
      <c r="G629" t="s">
        <v>599</v>
      </c>
      <c r="H629" t="s">
        <v>600</v>
      </c>
      <c r="I629" t="s">
        <v>601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18803</v>
      </c>
      <c r="B630" t="s">
        <v>1870</v>
      </c>
      <c r="C630" t="s">
        <v>1845</v>
      </c>
      <c r="D630" t="s">
        <v>1871</v>
      </c>
      <c r="E630" t="s">
        <v>1872</v>
      </c>
      <c r="F630" t="s">
        <v>598</v>
      </c>
      <c r="G630" t="s">
        <v>599</v>
      </c>
      <c r="H630" t="s">
        <v>600</v>
      </c>
      <c r="I630" t="s">
        <v>601</v>
      </c>
      <c r="J630">
        <v>2.2000000000000001E-3</v>
      </c>
      <c r="K630">
        <v>2.2000000000000001E-3</v>
      </c>
      <c r="L630">
        <v>2.3E-3</v>
      </c>
      <c r="M630">
        <v>2.3E-3</v>
      </c>
      <c r="N630">
        <v>2.3999999999999998E-3</v>
      </c>
      <c r="O630">
        <v>2.3999999999999998E-3</v>
      </c>
      <c r="P630">
        <v>2.3999999999999998E-3</v>
      </c>
      <c r="Q630">
        <v>2.5000000000000001E-3</v>
      </c>
      <c r="R630">
        <v>2.5000000000000001E-3</v>
      </c>
      <c r="S630">
        <v>2.5999999999999999E-3</v>
      </c>
      <c r="T630">
        <v>2.5999999999999999E-3</v>
      </c>
      <c r="U630">
        <v>2.5999999999999999E-3</v>
      </c>
      <c r="V630">
        <v>2.7000000000000001E-3</v>
      </c>
      <c r="W630">
        <v>2.7000000000000001E-3</v>
      </c>
      <c r="X630">
        <v>2.7000000000000001E-3</v>
      </c>
      <c r="Y630">
        <v>2.8E-3</v>
      </c>
    </row>
    <row r="631" spans="1:25" hidden="1">
      <c r="A631" t="s">
        <v>18803</v>
      </c>
      <c r="B631" t="s">
        <v>1964</v>
      </c>
      <c r="C631" t="s">
        <v>1959</v>
      </c>
      <c r="D631" t="s">
        <v>1965</v>
      </c>
      <c r="E631" t="s">
        <v>1966</v>
      </c>
      <c r="F631" t="s">
        <v>598</v>
      </c>
      <c r="G631" t="s">
        <v>599</v>
      </c>
      <c r="H631" t="s">
        <v>600</v>
      </c>
      <c r="I631" t="s">
        <v>601</v>
      </c>
      <c r="J631">
        <v>0.18160000000000001</v>
      </c>
      <c r="K631">
        <v>0.19009999999999999</v>
      </c>
      <c r="L631">
        <v>0.1976</v>
      </c>
      <c r="M631">
        <v>0.2072</v>
      </c>
      <c r="N631">
        <v>0.20949999999999999</v>
      </c>
      <c r="O631">
        <v>0.2112</v>
      </c>
      <c r="P631">
        <v>0.21290000000000001</v>
      </c>
      <c r="Q631">
        <v>0.215</v>
      </c>
      <c r="R631">
        <v>0.2175</v>
      </c>
      <c r="S631">
        <v>0.2205</v>
      </c>
      <c r="T631">
        <v>0.22450000000000001</v>
      </c>
      <c r="U631">
        <v>0.22819999999999999</v>
      </c>
      <c r="V631">
        <v>0.2319</v>
      </c>
      <c r="W631">
        <v>0.23680000000000001</v>
      </c>
      <c r="X631">
        <v>0.24060000000000001</v>
      </c>
      <c r="Y631">
        <v>0.24540000000000001</v>
      </c>
    </row>
    <row r="632" spans="1:25" hidden="1">
      <c r="A632" t="s">
        <v>18803</v>
      </c>
      <c r="B632" t="s">
        <v>1967</v>
      </c>
      <c r="C632" t="s">
        <v>1959</v>
      </c>
      <c r="D632" t="s">
        <v>1968</v>
      </c>
      <c r="E632" t="s">
        <v>1962</v>
      </c>
      <c r="F632" t="s">
        <v>598</v>
      </c>
      <c r="G632" t="s">
        <v>599</v>
      </c>
      <c r="H632" t="s">
        <v>600</v>
      </c>
      <c r="I632" t="s">
        <v>601</v>
      </c>
      <c r="J632">
        <v>4.7699999999999999E-2</v>
      </c>
      <c r="K632">
        <v>5.0099999999999999E-2</v>
      </c>
      <c r="L632">
        <v>5.1900000000000002E-2</v>
      </c>
      <c r="M632">
        <v>5.4399999999999997E-2</v>
      </c>
      <c r="N632">
        <v>5.5100000000000003E-2</v>
      </c>
      <c r="O632">
        <v>5.5500000000000001E-2</v>
      </c>
      <c r="P632">
        <v>5.6000000000000001E-2</v>
      </c>
      <c r="Q632">
        <v>5.6500000000000002E-2</v>
      </c>
      <c r="R632">
        <v>5.7200000000000001E-2</v>
      </c>
      <c r="S632">
        <v>5.8000000000000003E-2</v>
      </c>
      <c r="T632">
        <v>5.8999999999999997E-2</v>
      </c>
      <c r="U632">
        <v>0.06</v>
      </c>
      <c r="V632">
        <v>6.0999999999999999E-2</v>
      </c>
      <c r="W632">
        <v>6.2199999999999998E-2</v>
      </c>
      <c r="X632">
        <v>6.3299999999999995E-2</v>
      </c>
      <c r="Y632">
        <v>6.4399999999999999E-2</v>
      </c>
    </row>
    <row r="633" spans="1:25" hidden="1">
      <c r="A633" t="s">
        <v>18803</v>
      </c>
      <c r="B633" t="s">
        <v>1977</v>
      </c>
      <c r="C633" t="s">
        <v>1959</v>
      </c>
      <c r="D633" t="s">
        <v>1972</v>
      </c>
      <c r="E633" t="s">
        <v>1966</v>
      </c>
      <c r="F633" t="s">
        <v>598</v>
      </c>
      <c r="G633" t="s">
        <v>599</v>
      </c>
      <c r="H633" t="s">
        <v>600</v>
      </c>
      <c r="I633" t="s">
        <v>601</v>
      </c>
      <c r="J633">
        <v>0.1052</v>
      </c>
      <c r="K633">
        <v>0.11020000000000001</v>
      </c>
      <c r="L633">
        <v>0.1145</v>
      </c>
      <c r="M633">
        <v>0.1201</v>
      </c>
      <c r="N633">
        <v>0.1212</v>
      </c>
      <c r="O633">
        <v>0.12230000000000001</v>
      </c>
      <c r="P633">
        <v>0.1234</v>
      </c>
      <c r="Q633">
        <v>0.1245</v>
      </c>
      <c r="R633">
        <v>0.12620000000000001</v>
      </c>
      <c r="S633">
        <v>0.1278</v>
      </c>
      <c r="T633">
        <v>0.13</v>
      </c>
      <c r="U633">
        <v>0.1321</v>
      </c>
      <c r="V633">
        <v>0.13450000000000001</v>
      </c>
      <c r="W633">
        <v>0.13730000000000001</v>
      </c>
      <c r="X633">
        <v>0.1394</v>
      </c>
      <c r="Y633">
        <v>0.14230000000000001</v>
      </c>
    </row>
    <row r="634" spans="1:25" hidden="1">
      <c r="A634" t="s">
        <v>18803</v>
      </c>
      <c r="B634" t="s">
        <v>1978</v>
      </c>
      <c r="C634" t="s">
        <v>1959</v>
      </c>
      <c r="D634" t="s">
        <v>1972</v>
      </c>
      <c r="E634" t="s">
        <v>1979</v>
      </c>
      <c r="F634" t="s">
        <v>598</v>
      </c>
      <c r="G634" t="s">
        <v>599</v>
      </c>
      <c r="H634" t="s">
        <v>600</v>
      </c>
      <c r="I634" t="s">
        <v>601</v>
      </c>
      <c r="J634">
        <v>1.44E-2</v>
      </c>
      <c r="K634">
        <v>1.49E-2</v>
      </c>
      <c r="L634">
        <v>1.55E-2</v>
      </c>
      <c r="M634">
        <v>1.61E-2</v>
      </c>
      <c r="N634">
        <v>1.6500000000000001E-2</v>
      </c>
      <c r="O634">
        <v>1.66E-2</v>
      </c>
      <c r="P634">
        <v>1.67E-2</v>
      </c>
      <c r="Q634">
        <v>1.6899999999999998E-2</v>
      </c>
      <c r="R634">
        <v>1.7299999999999999E-2</v>
      </c>
      <c r="S634">
        <v>1.7299999999999999E-2</v>
      </c>
      <c r="T634">
        <v>1.7899999999999999E-2</v>
      </c>
      <c r="U634">
        <v>1.8100000000000002E-2</v>
      </c>
      <c r="V634">
        <v>1.84E-2</v>
      </c>
      <c r="W634">
        <v>1.8700000000000001E-2</v>
      </c>
      <c r="X634">
        <v>1.9099999999999999E-2</v>
      </c>
      <c r="Y634">
        <v>1.9400000000000001E-2</v>
      </c>
    </row>
    <row r="635" spans="1:25" hidden="1">
      <c r="A635" t="s">
        <v>18803</v>
      </c>
      <c r="B635" t="s">
        <v>1980</v>
      </c>
      <c r="C635" t="s">
        <v>1959</v>
      </c>
      <c r="D635" t="s">
        <v>1972</v>
      </c>
      <c r="E635" t="s">
        <v>1981</v>
      </c>
      <c r="F635" t="s">
        <v>598</v>
      </c>
      <c r="G635" t="s">
        <v>599</v>
      </c>
      <c r="H635" t="s">
        <v>600</v>
      </c>
      <c r="I635" t="s">
        <v>601</v>
      </c>
      <c r="J635">
        <v>9.5999999999999992E-3</v>
      </c>
      <c r="K635">
        <v>1.01E-2</v>
      </c>
      <c r="L635">
        <v>1.0500000000000001E-2</v>
      </c>
      <c r="M635">
        <v>1.0999999999999999E-2</v>
      </c>
      <c r="N635">
        <v>1.11E-2</v>
      </c>
      <c r="O635">
        <v>1.12E-2</v>
      </c>
      <c r="P635">
        <v>1.1299999999999999E-2</v>
      </c>
      <c r="Q635">
        <v>1.14E-2</v>
      </c>
      <c r="R635">
        <v>1.1599999999999999E-2</v>
      </c>
      <c r="S635">
        <v>1.17E-2</v>
      </c>
      <c r="T635">
        <v>1.1900000000000001E-2</v>
      </c>
      <c r="U635">
        <v>1.21E-2</v>
      </c>
      <c r="V635">
        <v>1.23E-2</v>
      </c>
      <c r="W635">
        <v>1.2500000000000001E-2</v>
      </c>
      <c r="X635">
        <v>1.2699999999999999E-2</v>
      </c>
      <c r="Y635">
        <v>1.3100000000000001E-2</v>
      </c>
    </row>
    <row r="636" spans="1:25" hidden="1">
      <c r="A636" t="s">
        <v>18803</v>
      </c>
      <c r="B636" t="s">
        <v>2005</v>
      </c>
      <c r="C636" t="s">
        <v>1959</v>
      </c>
      <c r="D636" t="s">
        <v>2001</v>
      </c>
      <c r="E636" t="s">
        <v>1976</v>
      </c>
      <c r="F636" t="s">
        <v>598</v>
      </c>
      <c r="G636" t="s">
        <v>599</v>
      </c>
      <c r="H636" t="s">
        <v>600</v>
      </c>
      <c r="I636" t="s">
        <v>601</v>
      </c>
      <c r="J636">
        <v>5.2499999999999998E-2</v>
      </c>
      <c r="K636">
        <v>5.4800000000000001E-2</v>
      </c>
      <c r="L636">
        <v>5.7799999999999997E-2</v>
      </c>
      <c r="M636">
        <v>6.0699999999999997E-2</v>
      </c>
      <c r="N636">
        <v>6.2199999999999998E-2</v>
      </c>
      <c r="O636">
        <v>6.3700000000000007E-2</v>
      </c>
      <c r="P636">
        <v>6.5100000000000005E-2</v>
      </c>
      <c r="Q636">
        <v>6.6400000000000001E-2</v>
      </c>
      <c r="R636">
        <v>6.83E-2</v>
      </c>
      <c r="S636">
        <v>7.0599999999999996E-2</v>
      </c>
      <c r="T636">
        <v>7.2099999999999997E-2</v>
      </c>
      <c r="U636">
        <v>7.3899999999999993E-2</v>
      </c>
      <c r="V636">
        <v>7.5499999999999998E-2</v>
      </c>
      <c r="W636">
        <v>7.7399999999999997E-2</v>
      </c>
      <c r="X636">
        <v>7.8799999999999995E-2</v>
      </c>
      <c r="Y636">
        <v>8.0699999999999994E-2</v>
      </c>
    </row>
    <row r="637" spans="1:25" hidden="1">
      <c r="A637" t="s">
        <v>18803</v>
      </c>
      <c r="B637" t="s">
        <v>2014</v>
      </c>
      <c r="C637" t="s">
        <v>1959</v>
      </c>
      <c r="D637" t="s">
        <v>2012</v>
      </c>
      <c r="E637" t="s">
        <v>1970</v>
      </c>
      <c r="F637" t="s">
        <v>598</v>
      </c>
      <c r="G637" t="s">
        <v>599</v>
      </c>
      <c r="H637" t="s">
        <v>600</v>
      </c>
      <c r="I637" t="s">
        <v>601</v>
      </c>
      <c r="J637">
        <v>1.4800000000000001E-2</v>
      </c>
      <c r="K637">
        <v>1.54E-2</v>
      </c>
      <c r="L637">
        <v>1.61E-2</v>
      </c>
      <c r="M637">
        <v>1.67E-2</v>
      </c>
      <c r="N637">
        <v>1.6899999999999998E-2</v>
      </c>
      <c r="O637">
        <v>1.7100000000000001E-2</v>
      </c>
      <c r="P637">
        <v>1.72E-2</v>
      </c>
      <c r="Q637">
        <v>1.7399999999999999E-2</v>
      </c>
      <c r="R637">
        <v>1.77E-2</v>
      </c>
      <c r="S637">
        <v>1.7899999999999999E-2</v>
      </c>
      <c r="T637">
        <v>1.8200000000000001E-2</v>
      </c>
      <c r="U637">
        <v>1.8499999999999999E-2</v>
      </c>
      <c r="V637">
        <v>1.8800000000000001E-2</v>
      </c>
      <c r="W637">
        <v>1.9099999999999999E-2</v>
      </c>
      <c r="X637">
        <v>1.9599999999999999E-2</v>
      </c>
      <c r="Y637">
        <v>1.9900000000000001E-2</v>
      </c>
    </row>
    <row r="638" spans="1:25" hidden="1">
      <c r="A638" t="s">
        <v>18803</v>
      </c>
      <c r="B638" t="s">
        <v>2017</v>
      </c>
      <c r="C638" t="s">
        <v>1959</v>
      </c>
      <c r="D638" t="s">
        <v>1817</v>
      </c>
      <c r="E638" t="s">
        <v>1962</v>
      </c>
      <c r="F638" t="s">
        <v>598</v>
      </c>
      <c r="G638" t="s">
        <v>599</v>
      </c>
      <c r="H638" t="s">
        <v>600</v>
      </c>
      <c r="I638" t="s">
        <v>601</v>
      </c>
      <c r="J638">
        <v>1.6000000000000001E-3</v>
      </c>
      <c r="K638">
        <v>1.6999999999999999E-3</v>
      </c>
      <c r="L638">
        <v>1.8E-3</v>
      </c>
      <c r="M638">
        <v>1.8E-3</v>
      </c>
      <c r="N638">
        <v>1.9E-3</v>
      </c>
      <c r="O638">
        <v>1.9E-3</v>
      </c>
      <c r="P638">
        <v>1.9E-3</v>
      </c>
      <c r="Q638">
        <v>1.9E-3</v>
      </c>
      <c r="R638">
        <v>1.9E-3</v>
      </c>
      <c r="S638">
        <v>2E-3</v>
      </c>
      <c r="T638">
        <v>2E-3</v>
      </c>
      <c r="U638">
        <v>2E-3</v>
      </c>
      <c r="V638">
        <v>2.0999999999999999E-3</v>
      </c>
      <c r="W638">
        <v>2.0999999999999999E-3</v>
      </c>
      <c r="X638">
        <v>2.0999999999999999E-3</v>
      </c>
      <c r="Y638">
        <v>2.2000000000000001E-3</v>
      </c>
    </row>
    <row r="639" spans="1:25" hidden="1">
      <c r="A639" t="s">
        <v>18803</v>
      </c>
      <c r="B639" t="s">
        <v>2019</v>
      </c>
      <c r="C639" t="s">
        <v>1959</v>
      </c>
      <c r="D639" t="s">
        <v>1817</v>
      </c>
      <c r="E639" t="s">
        <v>1976</v>
      </c>
      <c r="F639" t="s">
        <v>598</v>
      </c>
      <c r="G639" t="s">
        <v>599</v>
      </c>
      <c r="H639" t="s">
        <v>600</v>
      </c>
      <c r="I639" t="s">
        <v>601</v>
      </c>
      <c r="J639">
        <v>8.0000000000000004E-4</v>
      </c>
      <c r="K639">
        <v>1E-3</v>
      </c>
      <c r="L639">
        <v>1E-3</v>
      </c>
      <c r="M639">
        <v>1E-3</v>
      </c>
      <c r="N639">
        <v>1E-3</v>
      </c>
      <c r="O639">
        <v>1E-3</v>
      </c>
      <c r="P639">
        <v>1E-3</v>
      </c>
      <c r="Q639">
        <v>1E-3</v>
      </c>
      <c r="R639">
        <v>1E-3</v>
      </c>
      <c r="S639">
        <v>1E-3</v>
      </c>
      <c r="T639">
        <v>1.1000000000000001E-3</v>
      </c>
      <c r="U639">
        <v>1.1000000000000001E-3</v>
      </c>
      <c r="V639">
        <v>1.1000000000000001E-3</v>
      </c>
      <c r="W639">
        <v>1.1000000000000001E-3</v>
      </c>
      <c r="X639">
        <v>1.1000000000000001E-3</v>
      </c>
      <c r="Y639">
        <v>1.1999999999999999E-3</v>
      </c>
    </row>
    <row r="640" spans="1:25" hidden="1">
      <c r="A640" t="s">
        <v>18803</v>
      </c>
      <c r="B640" t="s">
        <v>2028</v>
      </c>
      <c r="C640" t="s">
        <v>1959</v>
      </c>
      <c r="D640" t="s">
        <v>1817</v>
      </c>
      <c r="E640" t="s">
        <v>1966</v>
      </c>
      <c r="F640" t="s">
        <v>598</v>
      </c>
      <c r="G640" t="s">
        <v>599</v>
      </c>
      <c r="H640" t="s">
        <v>600</v>
      </c>
      <c r="I640" t="s">
        <v>601</v>
      </c>
      <c r="J640">
        <v>1.1000000000000001E-3</v>
      </c>
      <c r="K640">
        <v>1.1000000000000001E-3</v>
      </c>
      <c r="L640">
        <v>1.1000000000000001E-3</v>
      </c>
      <c r="M640">
        <v>1.1999999999999999E-3</v>
      </c>
      <c r="N640">
        <v>1.1999999999999999E-3</v>
      </c>
      <c r="O640">
        <v>1.1999999999999999E-3</v>
      </c>
      <c r="P640">
        <v>1.1999999999999999E-3</v>
      </c>
      <c r="Q640">
        <v>1.1999999999999999E-3</v>
      </c>
      <c r="R640">
        <v>1.1999999999999999E-3</v>
      </c>
      <c r="S640">
        <v>1.1999999999999999E-3</v>
      </c>
      <c r="T640">
        <v>1.2999999999999999E-3</v>
      </c>
      <c r="U640">
        <v>1.2999999999999999E-3</v>
      </c>
      <c r="V640">
        <v>1.2999999999999999E-3</v>
      </c>
      <c r="W640">
        <v>1.2999999999999999E-3</v>
      </c>
      <c r="X640">
        <v>1.2999999999999999E-3</v>
      </c>
      <c r="Y640">
        <v>1.4E-3</v>
      </c>
    </row>
    <row r="641" spans="1:25" hidden="1">
      <c r="A641" t="s">
        <v>18803</v>
      </c>
      <c r="B641" t="s">
        <v>2039</v>
      </c>
      <c r="C641" t="s">
        <v>1959</v>
      </c>
      <c r="D641" t="s">
        <v>648</v>
      </c>
      <c r="E641" t="s">
        <v>1378</v>
      </c>
      <c r="F641" t="s">
        <v>598</v>
      </c>
      <c r="G641" t="s">
        <v>599</v>
      </c>
      <c r="H641" t="s">
        <v>600</v>
      </c>
      <c r="I641" t="s">
        <v>601</v>
      </c>
      <c r="J641">
        <v>0.18770000000000001</v>
      </c>
      <c r="K641">
        <v>0.19650000000000001</v>
      </c>
      <c r="L641">
        <v>0.2044</v>
      </c>
      <c r="M641">
        <v>0.2142</v>
      </c>
      <c r="N641">
        <v>0.2162</v>
      </c>
      <c r="O641">
        <v>0.21820000000000001</v>
      </c>
      <c r="P641">
        <v>0.22009999999999999</v>
      </c>
      <c r="Q641">
        <v>0.222</v>
      </c>
      <c r="R641">
        <v>0.22500000000000001</v>
      </c>
      <c r="S641">
        <v>0.22800000000000001</v>
      </c>
      <c r="T641">
        <v>0.2319</v>
      </c>
      <c r="U641">
        <v>0.23580000000000001</v>
      </c>
      <c r="V641">
        <v>0.23980000000000001</v>
      </c>
      <c r="W641">
        <v>0.2447</v>
      </c>
      <c r="X641">
        <v>0.2485</v>
      </c>
      <c r="Y641">
        <v>0.2535</v>
      </c>
    </row>
    <row r="642" spans="1:25" hidden="1">
      <c r="A642" t="s">
        <v>18803</v>
      </c>
      <c r="B642" t="s">
        <v>2041</v>
      </c>
      <c r="C642" t="s">
        <v>1959</v>
      </c>
      <c r="D642" t="s">
        <v>648</v>
      </c>
      <c r="E642" t="s">
        <v>2003</v>
      </c>
      <c r="F642" t="s">
        <v>598</v>
      </c>
      <c r="G642" t="s">
        <v>599</v>
      </c>
      <c r="H642" t="s">
        <v>600</v>
      </c>
      <c r="I642" t="s">
        <v>601</v>
      </c>
      <c r="J642">
        <v>3.7000000000000002E-3</v>
      </c>
      <c r="K642">
        <v>3.8999999999999998E-3</v>
      </c>
      <c r="L642">
        <v>4.0000000000000001E-3</v>
      </c>
      <c r="M642">
        <v>4.1999999999999997E-3</v>
      </c>
      <c r="N642">
        <v>4.3E-3</v>
      </c>
      <c r="O642">
        <v>4.3E-3</v>
      </c>
      <c r="P642">
        <v>4.3E-3</v>
      </c>
      <c r="Q642">
        <v>4.3E-3</v>
      </c>
      <c r="R642">
        <v>4.4000000000000003E-3</v>
      </c>
      <c r="S642">
        <v>4.4000000000000003E-3</v>
      </c>
      <c r="T642">
        <v>4.4999999999999997E-3</v>
      </c>
      <c r="U642">
        <v>4.4999999999999997E-3</v>
      </c>
      <c r="V642">
        <v>4.5999999999999999E-3</v>
      </c>
      <c r="W642">
        <v>4.8999999999999998E-3</v>
      </c>
      <c r="X642">
        <v>4.8999999999999998E-3</v>
      </c>
      <c r="Y642">
        <v>5.0000000000000001E-3</v>
      </c>
    </row>
    <row r="643" spans="1:25" hidden="1">
      <c r="A643" t="s">
        <v>18803</v>
      </c>
      <c r="B643" t="s">
        <v>2046</v>
      </c>
      <c r="C643" t="s">
        <v>1959</v>
      </c>
      <c r="D643" t="s">
        <v>648</v>
      </c>
      <c r="E643" t="s">
        <v>2047</v>
      </c>
      <c r="F643" t="s">
        <v>598</v>
      </c>
      <c r="G643" t="s">
        <v>599</v>
      </c>
      <c r="H643" t="s">
        <v>600</v>
      </c>
      <c r="I643" t="s">
        <v>601</v>
      </c>
      <c r="J643">
        <v>4.1700000000000001E-2</v>
      </c>
      <c r="K643">
        <v>4.3700000000000003E-2</v>
      </c>
      <c r="L643">
        <v>4.53E-2</v>
      </c>
      <c r="M643">
        <v>4.7500000000000001E-2</v>
      </c>
      <c r="N643">
        <v>4.8000000000000001E-2</v>
      </c>
      <c r="O643">
        <v>4.8500000000000001E-2</v>
      </c>
      <c r="P643">
        <v>4.8899999999999999E-2</v>
      </c>
      <c r="Q643">
        <v>4.9299999999999997E-2</v>
      </c>
      <c r="R643">
        <v>0.05</v>
      </c>
      <c r="S643">
        <v>5.0599999999999999E-2</v>
      </c>
      <c r="T643">
        <v>5.1499999999999997E-2</v>
      </c>
      <c r="U643">
        <v>5.2499999999999998E-2</v>
      </c>
      <c r="V643">
        <v>5.3199999999999997E-2</v>
      </c>
      <c r="W643">
        <v>5.4300000000000001E-2</v>
      </c>
      <c r="X643">
        <v>5.5300000000000002E-2</v>
      </c>
      <c r="Y643">
        <v>5.6399999999999999E-2</v>
      </c>
    </row>
    <row r="644" spans="1:25" hidden="1">
      <c r="A644" t="s">
        <v>18803</v>
      </c>
      <c r="B644" t="s">
        <v>2058</v>
      </c>
      <c r="C644" t="s">
        <v>1959</v>
      </c>
      <c r="D644" t="s">
        <v>648</v>
      </c>
      <c r="E644" t="s">
        <v>2025</v>
      </c>
      <c r="F644" t="s">
        <v>598</v>
      </c>
      <c r="G644" t="s">
        <v>599</v>
      </c>
      <c r="H644" t="s">
        <v>600</v>
      </c>
      <c r="I644" t="s">
        <v>601</v>
      </c>
      <c r="J644">
        <v>2.3999999999999998E-3</v>
      </c>
      <c r="K644">
        <v>2.5000000000000001E-3</v>
      </c>
      <c r="L644">
        <v>2.5999999999999999E-3</v>
      </c>
      <c r="M644">
        <v>2.8E-3</v>
      </c>
      <c r="N644">
        <v>2.8E-3</v>
      </c>
      <c r="O644">
        <v>2.8E-3</v>
      </c>
      <c r="P644">
        <v>2.8E-3</v>
      </c>
      <c r="Q644">
        <v>2.8999999999999998E-3</v>
      </c>
      <c r="R644">
        <v>2.8999999999999998E-3</v>
      </c>
      <c r="S644">
        <v>2.8999999999999998E-3</v>
      </c>
      <c r="T644">
        <v>3.0000000000000001E-3</v>
      </c>
      <c r="U644">
        <v>3.0999999999999999E-3</v>
      </c>
      <c r="V644">
        <v>3.0999999999999999E-3</v>
      </c>
      <c r="W644">
        <v>3.2000000000000002E-3</v>
      </c>
      <c r="X644">
        <v>3.2000000000000002E-3</v>
      </c>
      <c r="Y644">
        <v>3.3E-3</v>
      </c>
    </row>
    <row r="645" spans="1:25" hidden="1">
      <c r="A645" t="s">
        <v>18803</v>
      </c>
      <c r="B645" t="s">
        <v>2068</v>
      </c>
      <c r="C645" t="s">
        <v>1959</v>
      </c>
      <c r="D645" t="s">
        <v>648</v>
      </c>
      <c r="E645" t="s">
        <v>2069</v>
      </c>
      <c r="F645" t="s">
        <v>598</v>
      </c>
      <c r="G645" t="s">
        <v>599</v>
      </c>
      <c r="H645" t="s">
        <v>600</v>
      </c>
      <c r="I645" t="s">
        <v>601</v>
      </c>
      <c r="J645">
        <v>1E-4</v>
      </c>
      <c r="K645">
        <v>1E-4</v>
      </c>
      <c r="L645">
        <v>1E-4</v>
      </c>
      <c r="M645">
        <v>1E-4</v>
      </c>
      <c r="N645">
        <v>1E-4</v>
      </c>
      <c r="O645">
        <v>1E-4</v>
      </c>
      <c r="P645">
        <v>1E-4</v>
      </c>
      <c r="Q645">
        <v>1E-4</v>
      </c>
      <c r="R645">
        <v>1E-4</v>
      </c>
      <c r="S645">
        <v>1E-4</v>
      </c>
      <c r="T645">
        <v>2.0000000000000001E-4</v>
      </c>
      <c r="U645">
        <v>2.0000000000000001E-4</v>
      </c>
      <c r="V645">
        <v>2.0000000000000001E-4</v>
      </c>
      <c r="W645">
        <v>2.0000000000000001E-4</v>
      </c>
      <c r="X645">
        <v>2.0000000000000001E-4</v>
      </c>
      <c r="Y645">
        <v>2.0000000000000001E-4</v>
      </c>
    </row>
    <row r="646" spans="1:25" hidden="1">
      <c r="A646" t="s">
        <v>18803</v>
      </c>
      <c r="B646" t="s">
        <v>2072</v>
      </c>
      <c r="C646" t="s">
        <v>1959</v>
      </c>
      <c r="D646" t="s">
        <v>648</v>
      </c>
      <c r="E646" t="s">
        <v>1966</v>
      </c>
      <c r="F646" t="s">
        <v>598</v>
      </c>
      <c r="G646" t="s">
        <v>599</v>
      </c>
      <c r="H646" t="s">
        <v>600</v>
      </c>
      <c r="I646" t="s">
        <v>601</v>
      </c>
      <c r="J646">
        <v>1.9E-3</v>
      </c>
      <c r="K646">
        <v>2E-3</v>
      </c>
      <c r="L646">
        <v>2.0999999999999999E-3</v>
      </c>
      <c r="M646">
        <v>2.2000000000000001E-3</v>
      </c>
      <c r="N646">
        <v>2.2000000000000001E-3</v>
      </c>
      <c r="O646">
        <v>2.2000000000000001E-3</v>
      </c>
      <c r="P646">
        <v>2.2000000000000001E-3</v>
      </c>
      <c r="Q646">
        <v>2.2000000000000001E-3</v>
      </c>
      <c r="R646">
        <v>2.3E-3</v>
      </c>
      <c r="S646">
        <v>2.3E-3</v>
      </c>
      <c r="T646">
        <v>2.3E-3</v>
      </c>
      <c r="U646">
        <v>2.3999999999999998E-3</v>
      </c>
      <c r="V646">
        <v>2.3999999999999998E-3</v>
      </c>
      <c r="W646">
        <v>2.5000000000000001E-3</v>
      </c>
      <c r="X646">
        <v>2.5000000000000001E-3</v>
      </c>
      <c r="Y646">
        <v>2.5000000000000001E-3</v>
      </c>
    </row>
    <row r="647" spans="1:25" hidden="1">
      <c r="A647" t="s">
        <v>18803</v>
      </c>
      <c r="B647" t="s">
        <v>2073</v>
      </c>
      <c r="C647" t="s">
        <v>1959</v>
      </c>
      <c r="D647" t="s">
        <v>648</v>
      </c>
      <c r="E647" t="s">
        <v>1979</v>
      </c>
      <c r="F647" t="s">
        <v>598</v>
      </c>
      <c r="G647" t="s">
        <v>599</v>
      </c>
      <c r="H647" t="s">
        <v>600</v>
      </c>
      <c r="I647" t="s">
        <v>601</v>
      </c>
      <c r="J647">
        <v>3.0000000000000001E-3</v>
      </c>
      <c r="K647">
        <v>3.0999999999999999E-3</v>
      </c>
      <c r="L647">
        <v>3.2000000000000002E-3</v>
      </c>
      <c r="M647">
        <v>3.3999999999999998E-3</v>
      </c>
      <c r="N647">
        <v>3.3999999999999998E-3</v>
      </c>
      <c r="O647">
        <v>3.5000000000000001E-3</v>
      </c>
      <c r="P647">
        <v>3.5000000000000001E-3</v>
      </c>
      <c r="Q647">
        <v>3.5000000000000001E-3</v>
      </c>
      <c r="R647">
        <v>3.5999999999999999E-3</v>
      </c>
      <c r="S647">
        <v>3.5999999999999999E-3</v>
      </c>
      <c r="T647">
        <v>3.7000000000000002E-3</v>
      </c>
      <c r="U647">
        <v>3.7000000000000002E-3</v>
      </c>
      <c r="V647">
        <v>3.8E-3</v>
      </c>
      <c r="W647">
        <v>3.8999999999999998E-3</v>
      </c>
      <c r="X647">
        <v>4.0000000000000001E-3</v>
      </c>
      <c r="Y647">
        <v>4.0000000000000001E-3</v>
      </c>
    </row>
    <row r="648" spans="1:25" hidden="1">
      <c r="A648" t="s">
        <v>18803</v>
      </c>
      <c r="B648" t="s">
        <v>2110</v>
      </c>
      <c r="C648" t="s">
        <v>2075</v>
      </c>
      <c r="D648" t="s">
        <v>648</v>
      </c>
      <c r="E648" t="s">
        <v>1966</v>
      </c>
      <c r="F648" t="s">
        <v>598</v>
      </c>
      <c r="G648" t="s">
        <v>599</v>
      </c>
      <c r="H648" t="s">
        <v>600</v>
      </c>
      <c r="I648" t="s">
        <v>601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18803</v>
      </c>
      <c r="B649" t="s">
        <v>2111</v>
      </c>
      <c r="C649" t="s">
        <v>2075</v>
      </c>
      <c r="D649" t="s">
        <v>648</v>
      </c>
      <c r="E649" t="s">
        <v>2099</v>
      </c>
      <c r="F649" t="s">
        <v>598</v>
      </c>
      <c r="G649" t="s">
        <v>599</v>
      </c>
      <c r="H649" t="s">
        <v>600</v>
      </c>
      <c r="I649" t="s">
        <v>601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18803</v>
      </c>
      <c r="B650" t="s">
        <v>2123</v>
      </c>
      <c r="C650" t="s">
        <v>2116</v>
      </c>
      <c r="D650" t="s">
        <v>2124</v>
      </c>
      <c r="E650" t="s">
        <v>2125</v>
      </c>
      <c r="F650" t="s">
        <v>598</v>
      </c>
      <c r="G650" t="s">
        <v>599</v>
      </c>
      <c r="H650" t="s">
        <v>600</v>
      </c>
      <c r="I650" t="s">
        <v>601</v>
      </c>
      <c r="J650">
        <v>1.0615000000000001</v>
      </c>
      <c r="K650">
        <v>1.0783</v>
      </c>
      <c r="L650">
        <v>1.0927</v>
      </c>
      <c r="M650">
        <v>1.1094999999999999</v>
      </c>
      <c r="N650">
        <v>1.1094999999999999</v>
      </c>
      <c r="O650">
        <v>1.1048</v>
      </c>
      <c r="P650">
        <v>1.0976999999999999</v>
      </c>
      <c r="Q650">
        <v>1.0952999999999999</v>
      </c>
      <c r="R650">
        <v>1.0927</v>
      </c>
      <c r="S650">
        <v>1.0927</v>
      </c>
      <c r="T650">
        <v>1.0952999999999999</v>
      </c>
      <c r="U650">
        <v>1.1000000000000001</v>
      </c>
      <c r="V650">
        <v>1.1094999999999999</v>
      </c>
      <c r="W650">
        <v>1.1193</v>
      </c>
      <c r="X650">
        <v>1.1264000000000001</v>
      </c>
      <c r="Y650">
        <v>1.1385000000000001</v>
      </c>
    </row>
    <row r="651" spans="1:25" hidden="1">
      <c r="A651" t="s">
        <v>18803</v>
      </c>
      <c r="B651" t="s">
        <v>2126</v>
      </c>
      <c r="C651" t="s">
        <v>2116</v>
      </c>
      <c r="D651" t="s">
        <v>2127</v>
      </c>
      <c r="E651" t="s">
        <v>656</v>
      </c>
      <c r="F651" t="s">
        <v>598</v>
      </c>
      <c r="G651" t="s">
        <v>599</v>
      </c>
      <c r="H651" t="s">
        <v>600</v>
      </c>
      <c r="I651" t="s">
        <v>601</v>
      </c>
      <c r="J651">
        <v>0.17960000000000001</v>
      </c>
      <c r="K651">
        <v>0.18260000000000001</v>
      </c>
      <c r="L651">
        <v>0.18490000000000001</v>
      </c>
      <c r="M651">
        <v>0.18779999999999999</v>
      </c>
      <c r="N651">
        <v>0.18779999999999999</v>
      </c>
      <c r="O651">
        <v>0.18659999999999999</v>
      </c>
      <c r="P651">
        <v>0.1857</v>
      </c>
      <c r="Q651">
        <v>0.18540000000000001</v>
      </c>
      <c r="R651">
        <v>0.18490000000000001</v>
      </c>
      <c r="S651">
        <v>0.18490000000000001</v>
      </c>
      <c r="T651">
        <v>0.18540000000000001</v>
      </c>
      <c r="U651">
        <v>0.18609999999999999</v>
      </c>
      <c r="V651">
        <v>0.18779999999999999</v>
      </c>
      <c r="W651">
        <v>0.18940000000000001</v>
      </c>
      <c r="X651">
        <v>0.1905</v>
      </c>
      <c r="Y651">
        <v>0.1928</v>
      </c>
    </row>
    <row r="652" spans="1:25" hidden="1">
      <c r="A652" t="s">
        <v>18803</v>
      </c>
      <c r="B652" t="s">
        <v>2128</v>
      </c>
      <c r="C652" t="s">
        <v>2116</v>
      </c>
      <c r="D652" t="s">
        <v>648</v>
      </c>
      <c r="E652" t="s">
        <v>656</v>
      </c>
      <c r="F652" t="s">
        <v>598</v>
      </c>
      <c r="G652" t="s">
        <v>599</v>
      </c>
      <c r="H652" t="s">
        <v>600</v>
      </c>
      <c r="I652" t="s">
        <v>601</v>
      </c>
      <c r="J652">
        <v>0.57640000000000002</v>
      </c>
      <c r="K652">
        <v>0.58550000000000002</v>
      </c>
      <c r="L652">
        <v>0.59340000000000004</v>
      </c>
      <c r="M652">
        <v>0.60250000000000004</v>
      </c>
      <c r="N652">
        <v>0.60250000000000004</v>
      </c>
      <c r="O652">
        <v>0.6</v>
      </c>
      <c r="P652">
        <v>0.59599999999999997</v>
      </c>
      <c r="Q652">
        <v>0.5948</v>
      </c>
      <c r="R652">
        <v>0.59340000000000004</v>
      </c>
      <c r="S652">
        <v>0.59340000000000004</v>
      </c>
      <c r="T652">
        <v>0.5948</v>
      </c>
      <c r="U652">
        <v>0.59730000000000005</v>
      </c>
      <c r="V652">
        <v>0.60250000000000004</v>
      </c>
      <c r="W652">
        <v>0.60780000000000001</v>
      </c>
      <c r="X652">
        <v>0.61170000000000002</v>
      </c>
      <c r="Y652">
        <v>0.61829999999999996</v>
      </c>
    </row>
    <row r="653" spans="1:25" hidden="1">
      <c r="A653" t="s">
        <v>18803</v>
      </c>
      <c r="B653" t="s">
        <v>2187</v>
      </c>
      <c r="C653" t="s">
        <v>2154</v>
      </c>
      <c r="D653" t="s">
        <v>648</v>
      </c>
      <c r="E653" t="s">
        <v>920</v>
      </c>
      <c r="F653" t="s">
        <v>598</v>
      </c>
      <c r="G653" t="s">
        <v>599</v>
      </c>
      <c r="H653" t="s">
        <v>600</v>
      </c>
      <c r="I653" t="s">
        <v>601</v>
      </c>
      <c r="J653">
        <v>5.9999999999999995E-4</v>
      </c>
      <c r="K653">
        <v>5.9999999999999995E-4</v>
      </c>
      <c r="L653">
        <v>6.9999999999999999E-4</v>
      </c>
      <c r="M653">
        <v>8.0000000000000004E-4</v>
      </c>
      <c r="N653">
        <v>8.0000000000000004E-4</v>
      </c>
      <c r="O653">
        <v>8.0000000000000004E-4</v>
      </c>
      <c r="P653">
        <v>8.9999999999999998E-4</v>
      </c>
      <c r="Q653">
        <v>8.9999999999999998E-4</v>
      </c>
      <c r="R653">
        <v>8.9999999999999998E-4</v>
      </c>
      <c r="S653">
        <v>8.9999999999999998E-4</v>
      </c>
      <c r="T653">
        <v>1E-3</v>
      </c>
      <c r="U653">
        <v>1E-3</v>
      </c>
      <c r="V653">
        <v>1E-3</v>
      </c>
      <c r="W653">
        <v>1.1000000000000001E-3</v>
      </c>
      <c r="X653">
        <v>1.1000000000000001E-3</v>
      </c>
      <c r="Y653">
        <v>1.1000000000000001E-3</v>
      </c>
    </row>
    <row r="654" spans="1:25">
      <c r="J654">
        <f>SUBTOTAL(109,Table107[2015])</f>
        <v>0.17380000000000001</v>
      </c>
      <c r="K654">
        <f>SUBTOTAL(109,Table107[2016])</f>
        <v>0.17950000000000002</v>
      </c>
      <c r="L654">
        <f>SUBTOTAL(109,Table107[2017])</f>
        <v>0.1804</v>
      </c>
      <c r="M654">
        <f>SUBTOTAL(109,Table107[2018])</f>
        <v>0.1837</v>
      </c>
      <c r="N654">
        <f>SUBTOTAL(109,Table107[2019])</f>
        <v>0.18590000000000001</v>
      </c>
      <c r="O654">
        <f>SUBTOTAL(109,Table107[2020])</f>
        <v>0.19290000000000002</v>
      </c>
      <c r="P654">
        <f>SUBTOTAL(109,Table107[2021])</f>
        <v>0.19410000000000002</v>
      </c>
      <c r="Q654">
        <f>SUBTOTAL(109,Table107[2022])</f>
        <v>0.19720000000000001</v>
      </c>
      <c r="R654">
        <f>SUBTOTAL(109,Table107[2023])</f>
        <v>0.1993</v>
      </c>
      <c r="S654">
        <f>SUBTOTAL(109,Table107[2024])</f>
        <v>0.20430000000000001</v>
      </c>
      <c r="T654">
        <f>SUBTOTAL(109,Table107[2025])</f>
        <v>0.21000000000000002</v>
      </c>
      <c r="U654">
        <f>SUBTOTAL(109,Table107[2026])</f>
        <v>0.21410000000000001</v>
      </c>
      <c r="V654">
        <f>SUBTOTAL(109,Table107[2027])</f>
        <v>0.21590000000000001</v>
      </c>
      <c r="W654">
        <f>SUBTOTAL(109,Table107[2028])</f>
        <v>0.22040000000000001</v>
      </c>
      <c r="X654">
        <f>SUBTOTAL(109,Table107[2029])</f>
        <v>0.22500000000000001</v>
      </c>
      <c r="Y654">
        <f>SUBTOTAL(109,Table107[2030])</f>
        <v>0.2278</v>
      </c>
    </row>
    <row r="656" spans="1:25">
      <c r="A656" t="s">
        <v>569</v>
      </c>
      <c r="B656" t="s">
        <v>570</v>
      </c>
      <c r="C656" t="s">
        <v>571</v>
      </c>
      <c r="D656" t="s">
        <v>572</v>
      </c>
      <c r="E656" t="s">
        <v>573</v>
      </c>
      <c r="F656" t="s">
        <v>574</v>
      </c>
      <c r="G656" t="s">
        <v>575</v>
      </c>
      <c r="H656" t="s">
        <v>576</v>
      </c>
      <c r="I656" t="s">
        <v>577</v>
      </c>
      <c r="J656" t="s">
        <v>578</v>
      </c>
      <c r="K656" t="s">
        <v>579</v>
      </c>
      <c r="L656" t="s">
        <v>580</v>
      </c>
      <c r="M656" t="s">
        <v>581</v>
      </c>
      <c r="N656" t="s">
        <v>582</v>
      </c>
      <c r="O656" t="s">
        <v>583</v>
      </c>
      <c r="P656" t="s">
        <v>584</v>
      </c>
      <c r="Q656" t="s">
        <v>585</v>
      </c>
      <c r="R656" t="s">
        <v>586</v>
      </c>
      <c r="S656" t="s">
        <v>587</v>
      </c>
      <c r="T656" t="s">
        <v>588</v>
      </c>
      <c r="U656" t="s">
        <v>589</v>
      </c>
      <c r="V656" t="s">
        <v>590</v>
      </c>
      <c r="W656" t="s">
        <v>591</v>
      </c>
      <c r="X656" t="s">
        <v>592</v>
      </c>
      <c r="Y656" t="s">
        <v>593</v>
      </c>
    </row>
    <row r="657" spans="1:25">
      <c r="A657" t="s">
        <v>18804</v>
      </c>
      <c r="B657" t="s">
        <v>594</v>
      </c>
      <c r="C657" t="s">
        <v>595</v>
      </c>
      <c r="D657" t="s">
        <v>596</v>
      </c>
      <c r="E657" t="s">
        <v>597</v>
      </c>
      <c r="F657" t="s">
        <v>598</v>
      </c>
      <c r="G657" t="s">
        <v>599</v>
      </c>
      <c r="H657" t="s">
        <v>600</v>
      </c>
      <c r="I657" t="s">
        <v>601</v>
      </c>
      <c r="J657">
        <v>5.0799999999999998E-2</v>
      </c>
      <c r="K657">
        <v>5.2299999999999999E-2</v>
      </c>
      <c r="L657">
        <v>5.3900000000000003E-2</v>
      </c>
      <c r="M657">
        <v>5.3900000000000003E-2</v>
      </c>
      <c r="N657">
        <v>5.3800000000000001E-2</v>
      </c>
      <c r="O657">
        <v>0.05</v>
      </c>
      <c r="P657">
        <v>5.0099999999999999E-2</v>
      </c>
      <c r="Q657">
        <v>5.0200000000000002E-2</v>
      </c>
      <c r="R657">
        <v>5.0299999999999997E-2</v>
      </c>
      <c r="S657">
        <v>5.04E-2</v>
      </c>
      <c r="T657">
        <v>5.0500000000000003E-2</v>
      </c>
      <c r="U657">
        <v>5.0599999999999999E-2</v>
      </c>
      <c r="V657">
        <v>5.0700000000000002E-2</v>
      </c>
      <c r="W657">
        <v>5.0700000000000002E-2</v>
      </c>
      <c r="X657">
        <v>5.0799999999999998E-2</v>
      </c>
      <c r="Y657">
        <v>5.0900000000000001E-2</v>
      </c>
    </row>
    <row r="658" spans="1:25">
      <c r="A658" t="s">
        <v>18804</v>
      </c>
      <c r="B658" t="s">
        <v>616</v>
      </c>
      <c r="C658" t="s">
        <v>595</v>
      </c>
      <c r="D658" t="s">
        <v>596</v>
      </c>
      <c r="E658" t="s">
        <v>617</v>
      </c>
      <c r="F658" t="s">
        <v>598</v>
      </c>
      <c r="G658" t="s">
        <v>599</v>
      </c>
      <c r="H658" t="s">
        <v>600</v>
      </c>
      <c r="I658" t="s">
        <v>601</v>
      </c>
      <c r="J658">
        <v>2.07E-2</v>
      </c>
      <c r="K658">
        <v>2.1399999999999999E-2</v>
      </c>
      <c r="L658">
        <v>2.1499999999999998E-2</v>
      </c>
      <c r="M658">
        <v>2.1899999999999999E-2</v>
      </c>
      <c r="N658">
        <v>2.2100000000000002E-2</v>
      </c>
      <c r="O658">
        <v>2.3E-2</v>
      </c>
      <c r="P658">
        <v>2.3099999999999999E-2</v>
      </c>
      <c r="Q658">
        <v>2.35E-2</v>
      </c>
      <c r="R658">
        <v>2.3800000000000002E-2</v>
      </c>
      <c r="S658">
        <v>2.4400000000000002E-2</v>
      </c>
      <c r="T658">
        <v>2.5100000000000001E-2</v>
      </c>
      <c r="U658">
        <v>2.5600000000000001E-2</v>
      </c>
      <c r="V658">
        <v>2.58E-2</v>
      </c>
      <c r="W658">
        <v>2.63E-2</v>
      </c>
      <c r="X658">
        <v>2.69E-2</v>
      </c>
      <c r="Y658">
        <v>2.7199999999999998E-2</v>
      </c>
    </row>
    <row r="659" spans="1:25">
      <c r="A659" t="s">
        <v>18804</v>
      </c>
      <c r="B659" t="s">
        <v>620</v>
      </c>
      <c r="C659" t="s">
        <v>595</v>
      </c>
      <c r="D659" t="s">
        <v>621</v>
      </c>
      <c r="E659" t="s">
        <v>597</v>
      </c>
      <c r="F659" t="s">
        <v>598</v>
      </c>
      <c r="G659" t="s">
        <v>599</v>
      </c>
      <c r="H659" t="s">
        <v>600</v>
      </c>
      <c r="I659" t="s">
        <v>601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>
      <c r="A660" t="s">
        <v>18804</v>
      </c>
      <c r="B660" t="s">
        <v>623</v>
      </c>
      <c r="C660" t="s">
        <v>595</v>
      </c>
      <c r="D660" t="s">
        <v>621</v>
      </c>
      <c r="E660" t="s">
        <v>624</v>
      </c>
      <c r="F660" t="s">
        <v>598</v>
      </c>
      <c r="G660" t="s">
        <v>599</v>
      </c>
      <c r="H660" t="s">
        <v>600</v>
      </c>
      <c r="I660" t="s">
        <v>601</v>
      </c>
      <c r="J660">
        <v>2.1600000000000001E-2</v>
      </c>
      <c r="K660">
        <v>2.23E-2</v>
      </c>
      <c r="L660">
        <v>2.24E-2</v>
      </c>
      <c r="M660">
        <v>2.29E-2</v>
      </c>
      <c r="N660">
        <v>2.3099999999999999E-2</v>
      </c>
      <c r="O660">
        <v>2.4E-2</v>
      </c>
      <c r="P660">
        <v>2.4199999999999999E-2</v>
      </c>
      <c r="Q660">
        <v>2.46E-2</v>
      </c>
      <c r="R660">
        <v>2.4799999999999999E-2</v>
      </c>
      <c r="S660">
        <v>2.5499999999999998E-2</v>
      </c>
      <c r="T660">
        <v>2.6200000000000001E-2</v>
      </c>
      <c r="U660">
        <v>2.6800000000000001E-2</v>
      </c>
      <c r="V660">
        <v>2.69E-2</v>
      </c>
      <c r="W660">
        <v>2.75E-2</v>
      </c>
      <c r="X660">
        <v>2.8199999999999999E-2</v>
      </c>
      <c r="Y660">
        <v>2.8500000000000001E-2</v>
      </c>
    </row>
    <row r="661" spans="1:25">
      <c r="A661" t="s">
        <v>18804</v>
      </c>
      <c r="B661" t="s">
        <v>631</v>
      </c>
      <c r="C661" t="s">
        <v>595</v>
      </c>
      <c r="D661" t="s">
        <v>632</v>
      </c>
      <c r="E661" t="s">
        <v>597</v>
      </c>
      <c r="F661" t="s">
        <v>598</v>
      </c>
      <c r="G661" t="s">
        <v>599</v>
      </c>
      <c r="H661" t="s">
        <v>600</v>
      </c>
      <c r="I661" t="s">
        <v>601</v>
      </c>
      <c r="J661">
        <v>0.17749999999999999</v>
      </c>
      <c r="K661">
        <v>0.1827</v>
      </c>
      <c r="L661">
        <v>0.1883</v>
      </c>
      <c r="M661">
        <v>0.18820000000000001</v>
      </c>
      <c r="N661">
        <v>0.188</v>
      </c>
      <c r="O661">
        <v>0.17469999999999999</v>
      </c>
      <c r="P661">
        <v>0.17499999999999999</v>
      </c>
      <c r="Q661">
        <v>0.1754</v>
      </c>
      <c r="R661">
        <v>0.17560000000000001</v>
      </c>
      <c r="S661">
        <v>0.1759</v>
      </c>
      <c r="T661">
        <v>0.17630000000000001</v>
      </c>
      <c r="U661">
        <v>0.1767</v>
      </c>
      <c r="V661">
        <v>0.17699999999999999</v>
      </c>
      <c r="W661">
        <v>0.1772</v>
      </c>
      <c r="X661">
        <v>0.17749999999999999</v>
      </c>
      <c r="Y661">
        <v>0.17780000000000001</v>
      </c>
    </row>
    <row r="662" spans="1:25">
      <c r="A662" t="s">
        <v>18804</v>
      </c>
      <c r="B662" t="s">
        <v>635</v>
      </c>
      <c r="C662" t="s">
        <v>595</v>
      </c>
      <c r="D662" t="s">
        <v>632</v>
      </c>
      <c r="E662" t="s">
        <v>624</v>
      </c>
      <c r="F662" t="s">
        <v>598</v>
      </c>
      <c r="G662" t="s">
        <v>599</v>
      </c>
      <c r="H662" t="s">
        <v>600</v>
      </c>
      <c r="I662" t="s">
        <v>601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hidden="1">
      <c r="A663" t="s">
        <v>18804</v>
      </c>
      <c r="B663" t="s">
        <v>657</v>
      </c>
      <c r="C663" t="s">
        <v>651</v>
      </c>
      <c r="D663" t="s">
        <v>621</v>
      </c>
      <c r="E663" t="s">
        <v>597</v>
      </c>
      <c r="F663" t="s">
        <v>598</v>
      </c>
      <c r="G663" t="s">
        <v>599</v>
      </c>
      <c r="H663" t="s">
        <v>600</v>
      </c>
      <c r="I663" t="s">
        <v>601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hidden="1">
      <c r="A664" t="s">
        <v>18804</v>
      </c>
      <c r="B664" t="s">
        <v>660</v>
      </c>
      <c r="C664" t="s">
        <v>651</v>
      </c>
      <c r="D664" t="s">
        <v>632</v>
      </c>
      <c r="E664" t="s">
        <v>597</v>
      </c>
      <c r="F664" t="s">
        <v>598</v>
      </c>
      <c r="G664" t="s">
        <v>599</v>
      </c>
      <c r="H664" t="s">
        <v>600</v>
      </c>
      <c r="I664" t="s">
        <v>601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18804</v>
      </c>
      <c r="B665" t="s">
        <v>662</v>
      </c>
      <c r="C665" t="s">
        <v>651</v>
      </c>
      <c r="D665" t="s">
        <v>648</v>
      </c>
      <c r="E665" t="s">
        <v>649</v>
      </c>
      <c r="F665" t="s">
        <v>598</v>
      </c>
      <c r="G665" t="s">
        <v>599</v>
      </c>
      <c r="H665" t="s">
        <v>600</v>
      </c>
      <c r="I665" t="s">
        <v>601</v>
      </c>
      <c r="J665">
        <v>1.5299999999999999E-2</v>
      </c>
      <c r="K665">
        <v>1.6E-2</v>
      </c>
      <c r="L665">
        <v>1.6299999999999999E-2</v>
      </c>
      <c r="M665">
        <v>1.6899999999999998E-2</v>
      </c>
      <c r="N665">
        <v>1.7299999999999999E-2</v>
      </c>
      <c r="O665">
        <v>1.7600000000000001E-2</v>
      </c>
      <c r="P665">
        <v>1.7999999999999999E-2</v>
      </c>
      <c r="Q665">
        <v>1.84E-2</v>
      </c>
      <c r="R665">
        <v>1.89E-2</v>
      </c>
      <c r="S665">
        <v>1.9300000000000001E-2</v>
      </c>
      <c r="T665">
        <v>1.9599999999999999E-2</v>
      </c>
      <c r="U665">
        <v>0.02</v>
      </c>
      <c r="V665">
        <v>2.0400000000000001E-2</v>
      </c>
      <c r="W665">
        <v>2.0799999999999999E-2</v>
      </c>
      <c r="X665">
        <v>2.12E-2</v>
      </c>
      <c r="Y665">
        <v>2.1600000000000001E-2</v>
      </c>
    </row>
    <row r="666" spans="1:25" hidden="1">
      <c r="A666" t="s">
        <v>18804</v>
      </c>
      <c r="B666" t="s">
        <v>670</v>
      </c>
      <c r="C666" t="s">
        <v>664</v>
      </c>
      <c r="D666" t="s">
        <v>671</v>
      </c>
      <c r="E666" t="s">
        <v>672</v>
      </c>
      <c r="F666" t="s">
        <v>598</v>
      </c>
      <c r="G666" t="s">
        <v>599</v>
      </c>
      <c r="H666" t="s">
        <v>600</v>
      </c>
      <c r="I666" t="s">
        <v>601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18804</v>
      </c>
      <c r="B667" t="s">
        <v>673</v>
      </c>
      <c r="C667" t="s">
        <v>664</v>
      </c>
      <c r="D667" t="s">
        <v>671</v>
      </c>
      <c r="E667" t="s">
        <v>597</v>
      </c>
      <c r="F667" t="s">
        <v>598</v>
      </c>
      <c r="G667" t="s">
        <v>599</v>
      </c>
      <c r="H667" t="s">
        <v>600</v>
      </c>
      <c r="I667" t="s">
        <v>601</v>
      </c>
      <c r="J667">
        <v>1.1000000000000001E-3</v>
      </c>
      <c r="K667">
        <v>1.1000000000000001E-3</v>
      </c>
      <c r="L667">
        <v>1E-3</v>
      </c>
      <c r="M667">
        <v>1E-3</v>
      </c>
      <c r="N667">
        <v>1E-3</v>
      </c>
      <c r="O667">
        <v>1E-3</v>
      </c>
      <c r="P667">
        <v>1E-3</v>
      </c>
      <c r="Q667">
        <v>8.9999999999999998E-4</v>
      </c>
      <c r="R667">
        <v>8.9999999999999998E-4</v>
      </c>
      <c r="S667">
        <v>8.9999999999999998E-4</v>
      </c>
      <c r="T667">
        <v>8.9999999999999998E-4</v>
      </c>
      <c r="U667">
        <v>8.9999999999999998E-4</v>
      </c>
      <c r="V667">
        <v>8.0000000000000004E-4</v>
      </c>
      <c r="W667">
        <v>8.0000000000000004E-4</v>
      </c>
      <c r="X667">
        <v>8.0000000000000004E-4</v>
      </c>
      <c r="Y667">
        <v>8.0000000000000004E-4</v>
      </c>
    </row>
    <row r="668" spans="1:25" hidden="1">
      <c r="A668" t="s">
        <v>18804</v>
      </c>
      <c r="B668" t="s">
        <v>674</v>
      </c>
      <c r="C668" t="s">
        <v>664</v>
      </c>
      <c r="D668" t="s">
        <v>671</v>
      </c>
      <c r="E668" t="s">
        <v>605</v>
      </c>
      <c r="F668" t="s">
        <v>598</v>
      </c>
      <c r="G668" t="s">
        <v>599</v>
      </c>
      <c r="H668" t="s">
        <v>600</v>
      </c>
      <c r="I668" t="s">
        <v>601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hidden="1">
      <c r="A669" t="s">
        <v>18804</v>
      </c>
      <c r="B669" t="s">
        <v>677</v>
      </c>
      <c r="C669" t="s">
        <v>664</v>
      </c>
      <c r="D669" t="s">
        <v>671</v>
      </c>
      <c r="E669" t="s">
        <v>678</v>
      </c>
      <c r="F669" t="s">
        <v>598</v>
      </c>
      <c r="G669" t="s">
        <v>599</v>
      </c>
      <c r="H669" t="s">
        <v>600</v>
      </c>
      <c r="I669" t="s">
        <v>601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18804</v>
      </c>
      <c r="B670" t="s">
        <v>679</v>
      </c>
      <c r="C670" t="s">
        <v>664</v>
      </c>
      <c r="D670" t="s">
        <v>680</v>
      </c>
      <c r="E670" t="s">
        <v>597</v>
      </c>
      <c r="F670" t="s">
        <v>598</v>
      </c>
      <c r="G670" t="s">
        <v>599</v>
      </c>
      <c r="H670" t="s">
        <v>600</v>
      </c>
      <c r="I670" t="s">
        <v>601</v>
      </c>
      <c r="J670">
        <v>7.2999999999999995E-2</v>
      </c>
      <c r="K670">
        <v>7.1400000000000005E-2</v>
      </c>
      <c r="L670">
        <v>6.9800000000000001E-2</v>
      </c>
      <c r="M670">
        <v>6.83E-2</v>
      </c>
      <c r="N670">
        <v>6.6799999999999998E-2</v>
      </c>
      <c r="O670">
        <v>6.5299999999999997E-2</v>
      </c>
      <c r="P670">
        <v>6.3899999999999998E-2</v>
      </c>
      <c r="Q670">
        <v>6.25E-2</v>
      </c>
      <c r="R670">
        <v>6.1100000000000002E-2</v>
      </c>
      <c r="S670">
        <v>5.9700000000000003E-2</v>
      </c>
      <c r="T670">
        <v>5.8400000000000001E-2</v>
      </c>
      <c r="U670">
        <v>5.7099999999999998E-2</v>
      </c>
      <c r="V670">
        <v>5.5899999999999998E-2</v>
      </c>
      <c r="W670">
        <v>5.4699999999999999E-2</v>
      </c>
      <c r="X670">
        <v>5.3499999999999999E-2</v>
      </c>
      <c r="Y670">
        <v>5.2299999999999999E-2</v>
      </c>
    </row>
    <row r="671" spans="1:25" hidden="1">
      <c r="A671" t="s">
        <v>18804</v>
      </c>
      <c r="B671" t="s">
        <v>681</v>
      </c>
      <c r="C671" t="s">
        <v>664</v>
      </c>
      <c r="D671" t="s">
        <v>680</v>
      </c>
      <c r="E671" t="s">
        <v>605</v>
      </c>
      <c r="F671" t="s">
        <v>598</v>
      </c>
      <c r="G671" t="s">
        <v>599</v>
      </c>
      <c r="H671" t="s">
        <v>600</v>
      </c>
      <c r="I671" t="s">
        <v>601</v>
      </c>
      <c r="J671">
        <v>1.66E-2</v>
      </c>
      <c r="K671">
        <v>1.6199999999999999E-2</v>
      </c>
      <c r="L671">
        <v>1.5900000000000001E-2</v>
      </c>
      <c r="M671">
        <v>1.55E-2</v>
      </c>
      <c r="N671">
        <v>1.52E-2</v>
      </c>
      <c r="O671">
        <v>1.4800000000000001E-2</v>
      </c>
      <c r="P671">
        <v>1.4500000000000001E-2</v>
      </c>
      <c r="Q671">
        <v>1.4200000000000001E-2</v>
      </c>
      <c r="R671">
        <v>1.3899999999999999E-2</v>
      </c>
      <c r="S671">
        <v>1.3599999999999999E-2</v>
      </c>
      <c r="T671">
        <v>1.3299999999999999E-2</v>
      </c>
      <c r="U671">
        <v>1.2999999999999999E-2</v>
      </c>
      <c r="V671">
        <v>1.2699999999999999E-2</v>
      </c>
      <c r="W671">
        <v>1.24E-2</v>
      </c>
      <c r="X671">
        <v>1.21E-2</v>
      </c>
      <c r="Y671">
        <v>1.1900000000000001E-2</v>
      </c>
    </row>
    <row r="672" spans="1:25" hidden="1">
      <c r="A672" t="s">
        <v>18804</v>
      </c>
      <c r="B672" t="s">
        <v>683</v>
      </c>
      <c r="C672" t="s">
        <v>664</v>
      </c>
      <c r="D672" t="s">
        <v>621</v>
      </c>
      <c r="E672" t="s">
        <v>672</v>
      </c>
      <c r="F672" t="s">
        <v>598</v>
      </c>
      <c r="G672" t="s">
        <v>599</v>
      </c>
      <c r="H672" t="s">
        <v>600</v>
      </c>
      <c r="I672" t="s">
        <v>601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hidden="1">
      <c r="A673" t="s">
        <v>18804</v>
      </c>
      <c r="B673" t="s">
        <v>693</v>
      </c>
      <c r="C673" t="s">
        <v>664</v>
      </c>
      <c r="D673" t="s">
        <v>621</v>
      </c>
      <c r="E673" t="s">
        <v>678</v>
      </c>
      <c r="F673" t="s">
        <v>598</v>
      </c>
      <c r="G673" t="s">
        <v>599</v>
      </c>
      <c r="H673" t="s">
        <v>600</v>
      </c>
      <c r="I673" t="s">
        <v>601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hidden="1">
      <c r="A674" t="s">
        <v>18804</v>
      </c>
      <c r="B674" t="s">
        <v>700</v>
      </c>
      <c r="C674" t="s">
        <v>664</v>
      </c>
      <c r="D674" t="s">
        <v>701</v>
      </c>
      <c r="E674" t="s">
        <v>672</v>
      </c>
      <c r="F674" t="s">
        <v>598</v>
      </c>
      <c r="G674" t="s">
        <v>599</v>
      </c>
      <c r="H674" t="s">
        <v>600</v>
      </c>
      <c r="I674" t="s">
        <v>601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18804</v>
      </c>
      <c r="B675" t="s">
        <v>702</v>
      </c>
      <c r="C675" t="s">
        <v>664</v>
      </c>
      <c r="D675" t="s">
        <v>701</v>
      </c>
      <c r="E675" t="s">
        <v>597</v>
      </c>
      <c r="F675" t="s">
        <v>598</v>
      </c>
      <c r="G675" t="s">
        <v>599</v>
      </c>
      <c r="H675" t="s">
        <v>600</v>
      </c>
      <c r="I675" t="s">
        <v>601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18804</v>
      </c>
      <c r="B676" t="s">
        <v>703</v>
      </c>
      <c r="C676" t="s">
        <v>664</v>
      </c>
      <c r="D676" t="s">
        <v>704</v>
      </c>
      <c r="E676" t="s">
        <v>672</v>
      </c>
      <c r="F676" t="s">
        <v>598</v>
      </c>
      <c r="G676" t="s">
        <v>599</v>
      </c>
      <c r="H676" t="s">
        <v>600</v>
      </c>
      <c r="I676" t="s">
        <v>601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hidden="1">
      <c r="A677" t="s">
        <v>18804</v>
      </c>
      <c r="B677" t="s">
        <v>705</v>
      </c>
      <c r="C677" t="s">
        <v>664</v>
      </c>
      <c r="D677" t="s">
        <v>704</v>
      </c>
      <c r="E677" t="s">
        <v>597</v>
      </c>
      <c r="F677" t="s">
        <v>598</v>
      </c>
      <c r="G677" t="s">
        <v>599</v>
      </c>
      <c r="H677" t="s">
        <v>600</v>
      </c>
      <c r="I677" t="s">
        <v>601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hidden="1">
      <c r="A678" t="s">
        <v>18804</v>
      </c>
      <c r="B678" t="s">
        <v>728</v>
      </c>
      <c r="C678" t="s">
        <v>729</v>
      </c>
      <c r="D678" t="s">
        <v>596</v>
      </c>
      <c r="E678" t="s">
        <v>597</v>
      </c>
      <c r="F678" t="s">
        <v>598</v>
      </c>
      <c r="G678" t="s">
        <v>599</v>
      </c>
      <c r="H678" t="s">
        <v>600</v>
      </c>
      <c r="I678" t="s">
        <v>601</v>
      </c>
      <c r="J678">
        <v>4.4999999999999997E-3</v>
      </c>
      <c r="K678">
        <v>4.3E-3</v>
      </c>
      <c r="L678">
        <v>4.1999999999999997E-3</v>
      </c>
      <c r="M678">
        <v>4.1999999999999997E-3</v>
      </c>
      <c r="N678">
        <v>4.1999999999999997E-3</v>
      </c>
      <c r="O678">
        <v>4.1999999999999997E-3</v>
      </c>
      <c r="P678">
        <v>4.1999999999999997E-3</v>
      </c>
      <c r="Q678">
        <v>4.1999999999999997E-3</v>
      </c>
      <c r="R678">
        <v>4.1999999999999997E-3</v>
      </c>
      <c r="S678">
        <v>4.1999999999999997E-3</v>
      </c>
      <c r="T678">
        <v>4.1999999999999997E-3</v>
      </c>
      <c r="U678">
        <v>4.1999999999999997E-3</v>
      </c>
      <c r="V678">
        <v>4.1999999999999997E-3</v>
      </c>
      <c r="W678">
        <v>4.3E-3</v>
      </c>
      <c r="X678">
        <v>4.1999999999999997E-3</v>
      </c>
      <c r="Y678">
        <v>4.3E-3</v>
      </c>
    </row>
    <row r="679" spans="1:25" hidden="1">
      <c r="A679" t="s">
        <v>18804</v>
      </c>
      <c r="B679" t="s">
        <v>745</v>
      </c>
      <c r="C679" t="s">
        <v>729</v>
      </c>
      <c r="D679" t="s">
        <v>671</v>
      </c>
      <c r="E679" t="s">
        <v>597</v>
      </c>
      <c r="F679" t="s">
        <v>598</v>
      </c>
      <c r="G679" t="s">
        <v>599</v>
      </c>
      <c r="H679" t="s">
        <v>600</v>
      </c>
      <c r="I679" t="s">
        <v>601</v>
      </c>
      <c r="J679">
        <v>5.0000000000000001E-4</v>
      </c>
      <c r="K679">
        <v>5.0000000000000001E-4</v>
      </c>
      <c r="L679">
        <v>5.0000000000000001E-4</v>
      </c>
      <c r="M679">
        <v>5.0000000000000001E-4</v>
      </c>
      <c r="N679">
        <v>5.0000000000000001E-4</v>
      </c>
      <c r="O679">
        <v>5.0000000000000001E-4</v>
      </c>
      <c r="P679">
        <v>5.0000000000000001E-4</v>
      </c>
      <c r="Q679">
        <v>5.0000000000000001E-4</v>
      </c>
      <c r="R679">
        <v>5.0000000000000001E-4</v>
      </c>
      <c r="S679">
        <v>5.0000000000000001E-4</v>
      </c>
      <c r="T679">
        <v>5.0000000000000001E-4</v>
      </c>
      <c r="U679">
        <v>5.0000000000000001E-4</v>
      </c>
      <c r="V679">
        <v>5.0000000000000001E-4</v>
      </c>
      <c r="W679">
        <v>5.0000000000000001E-4</v>
      </c>
      <c r="X679">
        <v>5.0000000000000001E-4</v>
      </c>
      <c r="Y679">
        <v>5.0000000000000001E-4</v>
      </c>
    </row>
    <row r="680" spans="1:25" hidden="1">
      <c r="A680" t="s">
        <v>18804</v>
      </c>
      <c r="B680" t="s">
        <v>746</v>
      </c>
      <c r="C680" t="s">
        <v>729</v>
      </c>
      <c r="D680" t="s">
        <v>671</v>
      </c>
      <c r="E680" t="s">
        <v>642</v>
      </c>
      <c r="F680" t="s">
        <v>598</v>
      </c>
      <c r="G680" t="s">
        <v>599</v>
      </c>
      <c r="H680" t="s">
        <v>600</v>
      </c>
      <c r="I680" t="s">
        <v>601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hidden="1">
      <c r="A681" t="s">
        <v>18804</v>
      </c>
      <c r="B681" t="s">
        <v>748</v>
      </c>
      <c r="C681" t="s">
        <v>729</v>
      </c>
      <c r="D681" t="s">
        <v>671</v>
      </c>
      <c r="E681" t="s">
        <v>619</v>
      </c>
      <c r="F681" t="s">
        <v>598</v>
      </c>
      <c r="G681" t="s">
        <v>599</v>
      </c>
      <c r="H681" t="s">
        <v>600</v>
      </c>
      <c r="I681" t="s">
        <v>601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hidden="1">
      <c r="A682" t="s">
        <v>18804</v>
      </c>
      <c r="B682" t="s">
        <v>766</v>
      </c>
      <c r="C682" t="s">
        <v>729</v>
      </c>
      <c r="D682" t="s">
        <v>621</v>
      </c>
      <c r="E682" t="s">
        <v>624</v>
      </c>
      <c r="F682" t="s">
        <v>598</v>
      </c>
      <c r="G682" t="s">
        <v>599</v>
      </c>
      <c r="H682" t="s">
        <v>600</v>
      </c>
      <c r="I682" t="s">
        <v>601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hidden="1">
      <c r="A683" t="s">
        <v>18804</v>
      </c>
      <c r="B683" t="s">
        <v>770</v>
      </c>
      <c r="C683" t="s">
        <v>729</v>
      </c>
      <c r="D683" t="s">
        <v>621</v>
      </c>
      <c r="E683" t="s">
        <v>628</v>
      </c>
      <c r="F683" t="s">
        <v>598</v>
      </c>
      <c r="G683" t="s">
        <v>599</v>
      </c>
      <c r="H683" t="s">
        <v>600</v>
      </c>
      <c r="I683" t="s">
        <v>601</v>
      </c>
      <c r="J683">
        <v>6.9999999999999999E-4</v>
      </c>
      <c r="K683">
        <v>6.9999999999999999E-4</v>
      </c>
      <c r="L683">
        <v>6.9999999999999999E-4</v>
      </c>
      <c r="M683">
        <v>6.9999999999999999E-4</v>
      </c>
      <c r="N683">
        <v>6.9999999999999999E-4</v>
      </c>
      <c r="O683">
        <v>6.9999999999999999E-4</v>
      </c>
      <c r="P683">
        <v>6.9999999999999999E-4</v>
      </c>
      <c r="Q683">
        <v>6.9999999999999999E-4</v>
      </c>
      <c r="R683">
        <v>6.9999999999999999E-4</v>
      </c>
      <c r="S683">
        <v>6.9999999999999999E-4</v>
      </c>
      <c r="T683">
        <v>6.9999999999999999E-4</v>
      </c>
      <c r="U683">
        <v>6.9999999999999999E-4</v>
      </c>
      <c r="V683">
        <v>6.9999999999999999E-4</v>
      </c>
      <c r="W683">
        <v>6.9999999999999999E-4</v>
      </c>
      <c r="X683">
        <v>6.9999999999999999E-4</v>
      </c>
      <c r="Y683">
        <v>6.9999999999999999E-4</v>
      </c>
    </row>
    <row r="684" spans="1:25" hidden="1">
      <c r="A684" t="s">
        <v>18804</v>
      </c>
      <c r="B684" t="s">
        <v>785</v>
      </c>
      <c r="C684" t="s">
        <v>729</v>
      </c>
      <c r="D684" t="s">
        <v>640</v>
      </c>
      <c r="E684" t="s">
        <v>597</v>
      </c>
      <c r="F684" t="s">
        <v>598</v>
      </c>
      <c r="G684" t="s">
        <v>599</v>
      </c>
      <c r="H684" t="s">
        <v>600</v>
      </c>
      <c r="I684" t="s">
        <v>601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hidden="1">
      <c r="A685" t="s">
        <v>18804</v>
      </c>
      <c r="B685" t="s">
        <v>791</v>
      </c>
      <c r="C685" t="s">
        <v>729</v>
      </c>
      <c r="D685" t="s">
        <v>640</v>
      </c>
      <c r="E685" t="s">
        <v>619</v>
      </c>
      <c r="F685" t="s">
        <v>598</v>
      </c>
      <c r="G685" t="s">
        <v>599</v>
      </c>
      <c r="H685" t="s">
        <v>600</v>
      </c>
      <c r="I685" t="s">
        <v>601</v>
      </c>
      <c r="J685">
        <v>1E-4</v>
      </c>
      <c r="K685">
        <v>1E-4</v>
      </c>
      <c r="L685">
        <v>1E-4</v>
      </c>
      <c r="M685">
        <v>1E-4</v>
      </c>
      <c r="N685">
        <v>1E-4</v>
      </c>
      <c r="O685">
        <v>1E-4</v>
      </c>
      <c r="P685">
        <v>1E-4</v>
      </c>
      <c r="Q685">
        <v>1E-4</v>
      </c>
      <c r="R685">
        <v>1E-4</v>
      </c>
      <c r="S685">
        <v>1E-4</v>
      </c>
      <c r="T685">
        <v>1E-4</v>
      </c>
      <c r="U685">
        <v>1E-4</v>
      </c>
      <c r="V685">
        <v>1E-4</v>
      </c>
      <c r="W685">
        <v>1E-4</v>
      </c>
      <c r="X685">
        <v>1E-4</v>
      </c>
      <c r="Y685">
        <v>1E-4</v>
      </c>
    </row>
    <row r="686" spans="1:25" hidden="1">
      <c r="A686" t="s">
        <v>18804</v>
      </c>
      <c r="B686" t="s">
        <v>793</v>
      </c>
      <c r="C686" t="s">
        <v>729</v>
      </c>
      <c r="D686" t="s">
        <v>640</v>
      </c>
      <c r="E686" t="s">
        <v>676</v>
      </c>
      <c r="F686" t="s">
        <v>598</v>
      </c>
      <c r="G686" t="s">
        <v>599</v>
      </c>
      <c r="H686" t="s">
        <v>600</v>
      </c>
      <c r="I686" t="s">
        <v>601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hidden="1">
      <c r="A687" t="s">
        <v>18804</v>
      </c>
      <c r="B687" t="s">
        <v>795</v>
      </c>
      <c r="C687" t="s">
        <v>729</v>
      </c>
      <c r="D687" t="s">
        <v>648</v>
      </c>
      <c r="E687" t="s">
        <v>597</v>
      </c>
      <c r="F687" t="s">
        <v>598</v>
      </c>
      <c r="G687" t="s">
        <v>599</v>
      </c>
      <c r="H687" t="s">
        <v>600</v>
      </c>
      <c r="I687" t="s">
        <v>601</v>
      </c>
      <c r="J687">
        <v>0.35770000000000002</v>
      </c>
      <c r="K687">
        <v>0.35120000000000001</v>
      </c>
      <c r="L687">
        <v>0.35859999999999997</v>
      </c>
      <c r="M687">
        <v>0.36170000000000002</v>
      </c>
      <c r="N687">
        <v>0.36</v>
      </c>
      <c r="O687">
        <v>0.35859999999999997</v>
      </c>
      <c r="P687">
        <v>0.36030000000000001</v>
      </c>
      <c r="Q687">
        <v>0.36030000000000001</v>
      </c>
      <c r="R687">
        <v>0.35949999999999999</v>
      </c>
      <c r="S687">
        <v>0.35720000000000002</v>
      </c>
      <c r="T687">
        <v>0.35870000000000002</v>
      </c>
      <c r="U687">
        <v>0.36009999999999998</v>
      </c>
      <c r="V687">
        <v>0.3634</v>
      </c>
      <c r="W687">
        <v>0.36730000000000002</v>
      </c>
      <c r="X687">
        <v>0.3679</v>
      </c>
      <c r="Y687">
        <v>0.37140000000000001</v>
      </c>
    </row>
    <row r="688" spans="1:25" hidden="1">
      <c r="A688" t="s">
        <v>18804</v>
      </c>
      <c r="B688" t="s">
        <v>801</v>
      </c>
      <c r="C688" t="s">
        <v>729</v>
      </c>
      <c r="D688" t="s">
        <v>648</v>
      </c>
      <c r="E688" t="s">
        <v>619</v>
      </c>
      <c r="F688" t="s">
        <v>598</v>
      </c>
      <c r="G688" t="s">
        <v>599</v>
      </c>
      <c r="H688" t="s">
        <v>600</v>
      </c>
      <c r="I688" t="s">
        <v>601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hidden="1">
      <c r="A689" t="s">
        <v>18804</v>
      </c>
      <c r="B689" t="s">
        <v>802</v>
      </c>
      <c r="C689" t="s">
        <v>729</v>
      </c>
      <c r="D689" t="s">
        <v>648</v>
      </c>
      <c r="E689" t="s">
        <v>676</v>
      </c>
      <c r="F689" t="s">
        <v>598</v>
      </c>
      <c r="G689" t="s">
        <v>599</v>
      </c>
      <c r="H689" t="s">
        <v>600</v>
      </c>
      <c r="I689" t="s">
        <v>601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hidden="1">
      <c r="A690" t="s">
        <v>18804</v>
      </c>
      <c r="B690" t="s">
        <v>803</v>
      </c>
      <c r="C690" t="s">
        <v>804</v>
      </c>
      <c r="D690" t="s">
        <v>596</v>
      </c>
      <c r="E690" t="s">
        <v>597</v>
      </c>
      <c r="F690" t="s">
        <v>598</v>
      </c>
      <c r="G690" t="s">
        <v>599</v>
      </c>
      <c r="H690" t="s">
        <v>600</v>
      </c>
      <c r="I690" t="s">
        <v>601</v>
      </c>
      <c r="J690">
        <v>3.0000000000000001E-3</v>
      </c>
      <c r="K690">
        <v>2.8999999999999998E-3</v>
      </c>
      <c r="L690">
        <v>2.8999999999999998E-3</v>
      </c>
      <c r="M690">
        <v>2.8999999999999998E-3</v>
      </c>
      <c r="N690">
        <v>2.8999999999999998E-3</v>
      </c>
      <c r="O690">
        <v>2.8999999999999998E-3</v>
      </c>
      <c r="P690">
        <v>2.8999999999999998E-3</v>
      </c>
      <c r="Q690">
        <v>3.0000000000000001E-3</v>
      </c>
      <c r="R690">
        <v>3.0000000000000001E-3</v>
      </c>
      <c r="S690">
        <v>2.8999999999999998E-3</v>
      </c>
      <c r="T690">
        <v>2.8999999999999998E-3</v>
      </c>
      <c r="U690">
        <v>2.8999999999999998E-3</v>
      </c>
      <c r="V690">
        <v>2.8999999999999998E-3</v>
      </c>
      <c r="W690">
        <v>2.8999999999999998E-3</v>
      </c>
      <c r="X690">
        <v>2.8999999999999998E-3</v>
      </c>
      <c r="Y690">
        <v>2.8999999999999998E-3</v>
      </c>
    </row>
    <row r="691" spans="1:25" hidden="1">
      <c r="A691" t="s">
        <v>18804</v>
      </c>
      <c r="B691" t="s">
        <v>815</v>
      </c>
      <c r="C691" t="s">
        <v>804</v>
      </c>
      <c r="D691" t="s">
        <v>671</v>
      </c>
      <c r="E691" t="s">
        <v>597</v>
      </c>
      <c r="F691" t="s">
        <v>598</v>
      </c>
      <c r="G691" t="s">
        <v>599</v>
      </c>
      <c r="H691" t="s">
        <v>600</v>
      </c>
      <c r="I691" t="s">
        <v>601</v>
      </c>
      <c r="J691">
        <v>1.4E-3</v>
      </c>
      <c r="K691">
        <v>1.4E-3</v>
      </c>
      <c r="L691">
        <v>1.4E-3</v>
      </c>
      <c r="M691">
        <v>1.4E-3</v>
      </c>
      <c r="N691">
        <v>1.5E-3</v>
      </c>
      <c r="O691">
        <v>1.5E-3</v>
      </c>
      <c r="P691">
        <v>1.5E-3</v>
      </c>
      <c r="Q691">
        <v>1.5E-3</v>
      </c>
      <c r="R691">
        <v>1.4E-3</v>
      </c>
      <c r="S691">
        <v>1.4E-3</v>
      </c>
      <c r="T691">
        <v>1.4E-3</v>
      </c>
      <c r="U691">
        <v>1.4E-3</v>
      </c>
      <c r="V691">
        <v>1.4E-3</v>
      </c>
      <c r="W691">
        <v>1.4E-3</v>
      </c>
      <c r="X691">
        <v>1.4E-3</v>
      </c>
      <c r="Y691">
        <v>1.4E-3</v>
      </c>
    </row>
    <row r="692" spans="1:25" hidden="1">
      <c r="A692" t="s">
        <v>18804</v>
      </c>
      <c r="B692" t="s">
        <v>825</v>
      </c>
      <c r="C692" t="s">
        <v>804</v>
      </c>
      <c r="D692" t="s">
        <v>621</v>
      </c>
      <c r="E692" t="s">
        <v>628</v>
      </c>
      <c r="F692" t="s">
        <v>598</v>
      </c>
      <c r="G692" t="s">
        <v>599</v>
      </c>
      <c r="H692" t="s">
        <v>600</v>
      </c>
      <c r="I692" t="s">
        <v>601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18804</v>
      </c>
      <c r="B693" t="s">
        <v>830</v>
      </c>
      <c r="C693" t="s">
        <v>804</v>
      </c>
      <c r="D693" t="s">
        <v>828</v>
      </c>
      <c r="E693" t="s">
        <v>628</v>
      </c>
      <c r="F693" t="s">
        <v>831</v>
      </c>
      <c r="G693" t="s">
        <v>599</v>
      </c>
      <c r="H693" t="s">
        <v>600</v>
      </c>
      <c r="I693" t="s">
        <v>601</v>
      </c>
      <c r="J693">
        <v>1.9400000000000001E-2</v>
      </c>
      <c r="K693">
        <v>6.1000000000000004E-3</v>
      </c>
      <c r="L693">
        <v>5.5999999999999999E-3</v>
      </c>
      <c r="M693">
        <v>5.1999999999999998E-3</v>
      </c>
      <c r="N693">
        <v>5.1999999999999998E-3</v>
      </c>
      <c r="O693">
        <v>5.1999999999999998E-3</v>
      </c>
      <c r="P693">
        <v>5.1000000000000004E-3</v>
      </c>
      <c r="Q693">
        <v>5.1000000000000004E-3</v>
      </c>
      <c r="R693">
        <v>5.1000000000000004E-3</v>
      </c>
      <c r="S693">
        <v>5.1000000000000004E-3</v>
      </c>
      <c r="T693">
        <v>5.0000000000000001E-3</v>
      </c>
      <c r="U693">
        <v>4.7999999999999996E-3</v>
      </c>
      <c r="V693">
        <v>4.7000000000000002E-3</v>
      </c>
      <c r="W693">
        <v>4.4999999999999997E-3</v>
      </c>
      <c r="X693">
        <v>4.4000000000000003E-3</v>
      </c>
      <c r="Y693">
        <v>4.1999999999999997E-3</v>
      </c>
    </row>
    <row r="694" spans="1:25" hidden="1">
      <c r="A694" t="s">
        <v>18804</v>
      </c>
      <c r="B694" t="s">
        <v>832</v>
      </c>
      <c r="C694" t="s">
        <v>804</v>
      </c>
      <c r="D694" t="s">
        <v>828</v>
      </c>
      <c r="E694" t="s">
        <v>628</v>
      </c>
      <c r="F694" t="s">
        <v>833</v>
      </c>
      <c r="G694" t="s">
        <v>599</v>
      </c>
      <c r="H694" t="s">
        <v>600</v>
      </c>
      <c r="I694" t="s">
        <v>601</v>
      </c>
      <c r="J694">
        <v>1.0699999999999999E-2</v>
      </c>
      <c r="K694">
        <v>1.01E-2</v>
      </c>
      <c r="L694">
        <v>9.7000000000000003E-3</v>
      </c>
      <c r="M694">
        <v>9.1000000000000004E-3</v>
      </c>
      <c r="N694">
        <v>8.5000000000000006E-3</v>
      </c>
      <c r="O694">
        <v>7.9000000000000008E-3</v>
      </c>
      <c r="P694">
        <v>7.1000000000000004E-3</v>
      </c>
      <c r="Q694">
        <v>6.6E-3</v>
      </c>
      <c r="R694">
        <v>5.8999999999999999E-3</v>
      </c>
      <c r="S694">
        <v>5.3E-3</v>
      </c>
      <c r="T694">
        <v>4.8999999999999998E-3</v>
      </c>
      <c r="U694">
        <v>4.4000000000000003E-3</v>
      </c>
      <c r="V694">
        <v>4.0000000000000001E-3</v>
      </c>
      <c r="W694">
        <v>3.5999999999999999E-3</v>
      </c>
      <c r="X694">
        <v>3.3E-3</v>
      </c>
      <c r="Y694">
        <v>2.7000000000000001E-3</v>
      </c>
    </row>
    <row r="695" spans="1:25" hidden="1">
      <c r="A695" t="s">
        <v>18804</v>
      </c>
      <c r="B695" t="s">
        <v>842</v>
      </c>
      <c r="C695" t="s">
        <v>841</v>
      </c>
      <c r="D695" t="s">
        <v>596</v>
      </c>
      <c r="E695" t="s">
        <v>597</v>
      </c>
      <c r="F695" t="s">
        <v>598</v>
      </c>
      <c r="G695" t="s">
        <v>599</v>
      </c>
      <c r="H695" t="s">
        <v>600</v>
      </c>
      <c r="I695" t="s">
        <v>601</v>
      </c>
      <c r="J695">
        <v>1.4E-3</v>
      </c>
      <c r="K695">
        <v>1.4E-3</v>
      </c>
      <c r="L695">
        <v>1.4E-3</v>
      </c>
      <c r="M695">
        <v>1.4E-3</v>
      </c>
      <c r="N695">
        <v>1.5E-3</v>
      </c>
      <c r="O695">
        <v>1.5E-3</v>
      </c>
      <c r="P695">
        <v>1.5E-3</v>
      </c>
      <c r="Q695">
        <v>1.5E-3</v>
      </c>
      <c r="R695">
        <v>1.5E-3</v>
      </c>
      <c r="S695">
        <v>1.5E-3</v>
      </c>
      <c r="T695">
        <v>1.5E-3</v>
      </c>
      <c r="U695">
        <v>1.5E-3</v>
      </c>
      <c r="V695">
        <v>1.5E-3</v>
      </c>
      <c r="W695">
        <v>1.5E-3</v>
      </c>
      <c r="X695">
        <v>1.5E-3</v>
      </c>
      <c r="Y695">
        <v>1.5E-3</v>
      </c>
    </row>
    <row r="696" spans="1:25" hidden="1">
      <c r="A696" t="s">
        <v>18804</v>
      </c>
      <c r="B696" t="s">
        <v>847</v>
      </c>
      <c r="C696" t="s">
        <v>841</v>
      </c>
      <c r="D696" t="s">
        <v>596</v>
      </c>
      <c r="E696" t="s">
        <v>808</v>
      </c>
      <c r="F696" t="s">
        <v>598</v>
      </c>
      <c r="G696" t="s">
        <v>599</v>
      </c>
      <c r="H696" t="s">
        <v>600</v>
      </c>
      <c r="I696" t="s">
        <v>601</v>
      </c>
      <c r="J696">
        <v>6.9999999999999999E-4</v>
      </c>
      <c r="K696">
        <v>6.9999999999999999E-4</v>
      </c>
      <c r="L696">
        <v>6.9999999999999999E-4</v>
      </c>
      <c r="M696">
        <v>6.9999999999999999E-4</v>
      </c>
      <c r="N696">
        <v>6.9999999999999999E-4</v>
      </c>
      <c r="O696">
        <v>6.9999999999999999E-4</v>
      </c>
      <c r="P696">
        <v>6.9999999999999999E-4</v>
      </c>
      <c r="Q696">
        <v>6.9999999999999999E-4</v>
      </c>
      <c r="R696">
        <v>6.9999999999999999E-4</v>
      </c>
      <c r="S696">
        <v>6.9999999999999999E-4</v>
      </c>
      <c r="T696">
        <v>6.9999999999999999E-4</v>
      </c>
      <c r="U696">
        <v>6.9999999999999999E-4</v>
      </c>
      <c r="V696">
        <v>6.9999999999999999E-4</v>
      </c>
      <c r="W696">
        <v>6.9999999999999999E-4</v>
      </c>
      <c r="X696">
        <v>6.9999999999999999E-4</v>
      </c>
      <c r="Y696">
        <v>6.9999999999999999E-4</v>
      </c>
    </row>
    <row r="697" spans="1:25" hidden="1">
      <c r="A697" t="s">
        <v>18804</v>
      </c>
      <c r="B697" t="s">
        <v>855</v>
      </c>
      <c r="C697" t="s">
        <v>841</v>
      </c>
      <c r="D697" t="s">
        <v>671</v>
      </c>
      <c r="E697" t="s">
        <v>597</v>
      </c>
      <c r="F697" t="s">
        <v>598</v>
      </c>
      <c r="G697" t="s">
        <v>599</v>
      </c>
      <c r="H697" t="s">
        <v>600</v>
      </c>
      <c r="I697" t="s">
        <v>601</v>
      </c>
      <c r="J697">
        <v>2.9999999999999997E-4</v>
      </c>
      <c r="K697">
        <v>2.9999999999999997E-4</v>
      </c>
      <c r="L697">
        <v>2.9999999999999997E-4</v>
      </c>
      <c r="M697">
        <v>2.9999999999999997E-4</v>
      </c>
      <c r="N697">
        <v>4.0000000000000002E-4</v>
      </c>
      <c r="O697">
        <v>4.0000000000000002E-4</v>
      </c>
      <c r="P697">
        <v>4.0000000000000002E-4</v>
      </c>
      <c r="Q697">
        <v>4.0000000000000002E-4</v>
      </c>
      <c r="R697">
        <v>4.0000000000000002E-4</v>
      </c>
      <c r="S697">
        <v>4.0000000000000002E-4</v>
      </c>
      <c r="T697">
        <v>4.0000000000000002E-4</v>
      </c>
      <c r="U697">
        <v>4.0000000000000002E-4</v>
      </c>
      <c r="V697">
        <v>4.0000000000000002E-4</v>
      </c>
      <c r="W697">
        <v>4.0000000000000002E-4</v>
      </c>
      <c r="X697">
        <v>4.0000000000000002E-4</v>
      </c>
      <c r="Y697">
        <v>4.0000000000000002E-4</v>
      </c>
    </row>
    <row r="698" spans="1:25" hidden="1">
      <c r="A698" t="s">
        <v>18804</v>
      </c>
      <c r="B698" t="s">
        <v>867</v>
      </c>
      <c r="C698" t="s">
        <v>841</v>
      </c>
      <c r="D698" t="s">
        <v>621</v>
      </c>
      <c r="E698" t="s">
        <v>649</v>
      </c>
      <c r="F698" t="s">
        <v>598</v>
      </c>
      <c r="G698" t="s">
        <v>599</v>
      </c>
      <c r="H698" t="s">
        <v>600</v>
      </c>
      <c r="I698" t="s">
        <v>601</v>
      </c>
      <c r="J698">
        <v>5.9999999999999995E-4</v>
      </c>
      <c r="K698">
        <v>5.9999999999999995E-4</v>
      </c>
      <c r="L698">
        <v>5.9999999999999995E-4</v>
      </c>
      <c r="M698">
        <v>5.9999999999999995E-4</v>
      </c>
      <c r="N698">
        <v>5.9999999999999995E-4</v>
      </c>
      <c r="O698">
        <v>5.9999999999999995E-4</v>
      </c>
      <c r="P698">
        <v>5.9999999999999995E-4</v>
      </c>
      <c r="Q698">
        <v>5.9999999999999995E-4</v>
      </c>
      <c r="R698">
        <v>5.9999999999999995E-4</v>
      </c>
      <c r="S698">
        <v>5.9999999999999995E-4</v>
      </c>
      <c r="T698">
        <v>5.9999999999999995E-4</v>
      </c>
      <c r="U698">
        <v>5.9999999999999995E-4</v>
      </c>
      <c r="V698">
        <v>5.9999999999999995E-4</v>
      </c>
      <c r="W698">
        <v>5.9999999999999995E-4</v>
      </c>
      <c r="X698">
        <v>5.9999999999999995E-4</v>
      </c>
      <c r="Y698">
        <v>5.9999999999999995E-4</v>
      </c>
    </row>
    <row r="699" spans="1:25" hidden="1">
      <c r="A699" t="s">
        <v>18804</v>
      </c>
      <c r="B699" t="s">
        <v>871</v>
      </c>
      <c r="C699" t="s">
        <v>841</v>
      </c>
      <c r="D699" t="s">
        <v>621</v>
      </c>
      <c r="E699" t="s">
        <v>605</v>
      </c>
      <c r="F699" t="s">
        <v>598</v>
      </c>
      <c r="G699" t="s">
        <v>599</v>
      </c>
      <c r="H699" t="s">
        <v>600</v>
      </c>
      <c r="I699" t="s">
        <v>601</v>
      </c>
      <c r="J699">
        <v>8.0000000000000004E-4</v>
      </c>
      <c r="K699">
        <v>8.0000000000000004E-4</v>
      </c>
      <c r="L699">
        <v>8.0000000000000004E-4</v>
      </c>
      <c r="M699">
        <v>8.0000000000000004E-4</v>
      </c>
      <c r="N699">
        <v>8.0000000000000004E-4</v>
      </c>
      <c r="O699">
        <v>8.0000000000000004E-4</v>
      </c>
      <c r="P699">
        <v>8.0000000000000004E-4</v>
      </c>
      <c r="Q699">
        <v>8.0000000000000004E-4</v>
      </c>
      <c r="R699">
        <v>8.0000000000000004E-4</v>
      </c>
      <c r="S699">
        <v>8.0000000000000004E-4</v>
      </c>
      <c r="T699">
        <v>8.0000000000000004E-4</v>
      </c>
      <c r="U699">
        <v>8.0000000000000004E-4</v>
      </c>
      <c r="V699">
        <v>8.0000000000000004E-4</v>
      </c>
      <c r="W699">
        <v>8.0000000000000004E-4</v>
      </c>
      <c r="X699">
        <v>8.0000000000000004E-4</v>
      </c>
      <c r="Y699">
        <v>8.0000000000000004E-4</v>
      </c>
    </row>
    <row r="700" spans="1:25" hidden="1">
      <c r="A700" t="s">
        <v>18804</v>
      </c>
      <c r="B700" t="s">
        <v>876</v>
      </c>
      <c r="C700" t="s">
        <v>841</v>
      </c>
      <c r="D700" t="s">
        <v>621</v>
      </c>
      <c r="E700" t="s">
        <v>628</v>
      </c>
      <c r="F700" t="s">
        <v>598</v>
      </c>
      <c r="G700" t="s">
        <v>599</v>
      </c>
      <c r="H700" t="s">
        <v>600</v>
      </c>
      <c r="I700" t="s">
        <v>601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hidden="1">
      <c r="A701" t="s">
        <v>18804</v>
      </c>
      <c r="B701" t="s">
        <v>885</v>
      </c>
      <c r="C701" t="s">
        <v>841</v>
      </c>
      <c r="D701" t="s">
        <v>632</v>
      </c>
      <c r="E701" t="s">
        <v>628</v>
      </c>
      <c r="F701" t="s">
        <v>598</v>
      </c>
      <c r="G701" t="s">
        <v>599</v>
      </c>
      <c r="H701" t="s">
        <v>600</v>
      </c>
      <c r="I701" t="s">
        <v>601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hidden="1">
      <c r="A702" t="s">
        <v>18804</v>
      </c>
      <c r="B702" t="s">
        <v>902</v>
      </c>
      <c r="C702" t="s">
        <v>841</v>
      </c>
      <c r="D702" t="s">
        <v>648</v>
      </c>
      <c r="E702" t="s">
        <v>597</v>
      </c>
      <c r="F702" t="s">
        <v>598</v>
      </c>
      <c r="G702" t="s">
        <v>599</v>
      </c>
      <c r="H702" t="s">
        <v>600</v>
      </c>
      <c r="I702" t="s">
        <v>601</v>
      </c>
      <c r="J702">
        <v>0.1203</v>
      </c>
      <c r="K702">
        <v>0.122</v>
      </c>
      <c r="L702">
        <v>0.12379999999999999</v>
      </c>
      <c r="M702">
        <v>0.12620000000000001</v>
      </c>
      <c r="N702">
        <v>0.12759999999999999</v>
      </c>
      <c r="O702">
        <v>0.12870000000000001</v>
      </c>
      <c r="P702">
        <v>0.12959999999999999</v>
      </c>
      <c r="Q702">
        <v>0.13020000000000001</v>
      </c>
      <c r="R702">
        <v>0.13070000000000001</v>
      </c>
      <c r="S702">
        <v>0.13089999999999999</v>
      </c>
      <c r="T702">
        <v>0.13059999999999999</v>
      </c>
      <c r="U702">
        <v>0.13020000000000001</v>
      </c>
      <c r="V702">
        <v>0.13039999999999999</v>
      </c>
      <c r="W702">
        <v>0.13120000000000001</v>
      </c>
      <c r="X702">
        <v>0.13189999999999999</v>
      </c>
      <c r="Y702">
        <v>0.13270000000000001</v>
      </c>
    </row>
    <row r="703" spans="1:25" hidden="1">
      <c r="A703" t="s">
        <v>18804</v>
      </c>
      <c r="B703" t="s">
        <v>912</v>
      </c>
      <c r="C703" t="s">
        <v>841</v>
      </c>
      <c r="D703" t="s">
        <v>648</v>
      </c>
      <c r="E703" t="s">
        <v>676</v>
      </c>
      <c r="F703" t="s">
        <v>598</v>
      </c>
      <c r="G703" t="s">
        <v>599</v>
      </c>
      <c r="H703" t="s">
        <v>600</v>
      </c>
      <c r="I703" t="s">
        <v>601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hidden="1">
      <c r="A704" t="s">
        <v>18804</v>
      </c>
      <c r="B704" t="s">
        <v>916</v>
      </c>
      <c r="C704" t="s">
        <v>914</v>
      </c>
      <c r="D704" t="s">
        <v>621</v>
      </c>
      <c r="E704" t="s">
        <v>628</v>
      </c>
      <c r="F704" t="s">
        <v>598</v>
      </c>
      <c r="G704" t="s">
        <v>599</v>
      </c>
      <c r="H704" t="s">
        <v>600</v>
      </c>
      <c r="I704" t="s">
        <v>601</v>
      </c>
      <c r="J704">
        <v>2.0302800000000002E-3</v>
      </c>
      <c r="K704">
        <v>2.0302800000000002E-3</v>
      </c>
      <c r="L704">
        <v>2.0302800000000002E-3</v>
      </c>
      <c r="M704">
        <v>2.0302800000000002E-3</v>
      </c>
      <c r="N704">
        <v>2.0302800000000002E-3</v>
      </c>
      <c r="O704">
        <v>1.49854E-3</v>
      </c>
      <c r="P704">
        <v>1.54688E-3</v>
      </c>
      <c r="Q704">
        <v>1.54688E-3</v>
      </c>
      <c r="R704">
        <v>1.54688E-3</v>
      </c>
      <c r="S704">
        <v>1.54688E-3</v>
      </c>
      <c r="T704">
        <v>1.5952200000000001E-3</v>
      </c>
      <c r="U704">
        <v>1.5952200000000001E-3</v>
      </c>
      <c r="V704">
        <v>1.5952200000000001E-3</v>
      </c>
      <c r="W704">
        <v>1.5952200000000001E-3</v>
      </c>
      <c r="X704">
        <v>1.5952200000000001E-3</v>
      </c>
      <c r="Y704">
        <v>1.5952200000000001E-3</v>
      </c>
    </row>
    <row r="705" spans="1:25" hidden="1">
      <c r="A705" t="s">
        <v>18804</v>
      </c>
      <c r="B705" t="s">
        <v>919</v>
      </c>
      <c r="C705" t="s">
        <v>914</v>
      </c>
      <c r="D705" t="s">
        <v>648</v>
      </c>
      <c r="E705" t="s">
        <v>920</v>
      </c>
      <c r="F705" t="s">
        <v>598</v>
      </c>
      <c r="G705" t="s">
        <v>599</v>
      </c>
      <c r="H705" t="s">
        <v>600</v>
      </c>
      <c r="I705" t="s">
        <v>601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18804</v>
      </c>
      <c r="B706" t="s">
        <v>924</v>
      </c>
      <c r="C706" t="s">
        <v>925</v>
      </c>
      <c r="D706" t="s">
        <v>926</v>
      </c>
      <c r="E706" t="s">
        <v>927</v>
      </c>
      <c r="F706" t="s">
        <v>598</v>
      </c>
      <c r="G706" t="s">
        <v>599</v>
      </c>
      <c r="H706" t="s">
        <v>600</v>
      </c>
      <c r="I706" t="s">
        <v>601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18804</v>
      </c>
      <c r="B707" t="s">
        <v>947</v>
      </c>
      <c r="C707" t="s">
        <v>943</v>
      </c>
      <c r="D707" t="s">
        <v>946</v>
      </c>
      <c r="E707" t="s">
        <v>948</v>
      </c>
      <c r="F707" t="s">
        <v>598</v>
      </c>
      <c r="G707" t="s">
        <v>599</v>
      </c>
      <c r="H707" t="s">
        <v>600</v>
      </c>
      <c r="I707" t="s">
        <v>601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18804</v>
      </c>
      <c r="B708" t="s">
        <v>951</v>
      </c>
      <c r="C708" t="s">
        <v>943</v>
      </c>
      <c r="D708" t="s">
        <v>934</v>
      </c>
      <c r="E708" t="s">
        <v>937</v>
      </c>
      <c r="F708" t="s">
        <v>598</v>
      </c>
      <c r="G708" t="s">
        <v>599</v>
      </c>
      <c r="H708" t="s">
        <v>600</v>
      </c>
      <c r="I708" t="s">
        <v>601</v>
      </c>
      <c r="J708">
        <v>1.6E-2</v>
      </c>
      <c r="K708">
        <v>1.61E-2</v>
      </c>
      <c r="L708">
        <v>1.6199999999999999E-2</v>
      </c>
      <c r="M708">
        <v>1.6299999999999999E-2</v>
      </c>
      <c r="N708">
        <v>1.6500000000000001E-2</v>
      </c>
      <c r="O708">
        <v>1.66E-2</v>
      </c>
      <c r="P708">
        <v>1.67E-2</v>
      </c>
      <c r="Q708">
        <v>1.6899999999999998E-2</v>
      </c>
      <c r="R708">
        <v>1.7000000000000001E-2</v>
      </c>
      <c r="S708">
        <v>1.7100000000000001E-2</v>
      </c>
      <c r="T708">
        <v>1.72E-2</v>
      </c>
      <c r="U708">
        <v>1.7299999999999999E-2</v>
      </c>
      <c r="V708">
        <v>1.7399999999999999E-2</v>
      </c>
      <c r="W708">
        <v>1.7500000000000002E-2</v>
      </c>
      <c r="X708">
        <v>1.7600000000000001E-2</v>
      </c>
      <c r="Y708">
        <v>1.78E-2</v>
      </c>
    </row>
    <row r="709" spans="1:25" hidden="1">
      <c r="A709" t="s">
        <v>18804</v>
      </c>
      <c r="B709" t="s">
        <v>965</v>
      </c>
      <c r="C709" t="s">
        <v>956</v>
      </c>
      <c r="D709" t="s">
        <v>934</v>
      </c>
      <c r="E709" t="s">
        <v>937</v>
      </c>
      <c r="F709" t="s">
        <v>598</v>
      </c>
      <c r="G709" t="s">
        <v>599</v>
      </c>
      <c r="H709" t="s">
        <v>600</v>
      </c>
      <c r="I709" t="s">
        <v>601</v>
      </c>
      <c r="J709">
        <v>4.0000000000000002E-4</v>
      </c>
      <c r="K709">
        <v>4.0000000000000002E-4</v>
      </c>
      <c r="L709">
        <v>4.0000000000000002E-4</v>
      </c>
      <c r="M709">
        <v>4.0000000000000002E-4</v>
      </c>
      <c r="N709">
        <v>4.0000000000000002E-4</v>
      </c>
      <c r="O709">
        <v>4.0000000000000002E-4</v>
      </c>
      <c r="P709">
        <v>5.0000000000000001E-4</v>
      </c>
      <c r="Q709">
        <v>5.0000000000000001E-4</v>
      </c>
      <c r="R709">
        <v>5.0000000000000001E-4</v>
      </c>
      <c r="S709">
        <v>5.0000000000000001E-4</v>
      </c>
      <c r="T709">
        <v>5.0000000000000001E-4</v>
      </c>
      <c r="U709">
        <v>5.0000000000000001E-4</v>
      </c>
      <c r="V709">
        <v>5.0000000000000001E-4</v>
      </c>
      <c r="W709">
        <v>5.0000000000000001E-4</v>
      </c>
      <c r="X709">
        <v>5.0000000000000001E-4</v>
      </c>
      <c r="Y709">
        <v>5.0000000000000001E-4</v>
      </c>
    </row>
    <row r="710" spans="1:25" hidden="1">
      <c r="A710" t="s">
        <v>18804</v>
      </c>
      <c r="B710" t="s">
        <v>981</v>
      </c>
      <c r="C710" t="s">
        <v>980</v>
      </c>
      <c r="D710" t="s">
        <v>982</v>
      </c>
      <c r="E710" t="s">
        <v>613</v>
      </c>
      <c r="F710" t="s">
        <v>598</v>
      </c>
      <c r="G710" t="s">
        <v>599</v>
      </c>
      <c r="H710" t="s">
        <v>600</v>
      </c>
      <c r="I710" t="s">
        <v>601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18804</v>
      </c>
      <c r="B711" t="s">
        <v>997</v>
      </c>
      <c r="C711" t="s">
        <v>998</v>
      </c>
      <c r="D711" t="s">
        <v>999</v>
      </c>
      <c r="E711" t="s">
        <v>1000</v>
      </c>
      <c r="F711" t="s">
        <v>598</v>
      </c>
      <c r="G711" t="s">
        <v>599</v>
      </c>
      <c r="H711" t="s">
        <v>600</v>
      </c>
      <c r="I711" t="s">
        <v>601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18804</v>
      </c>
      <c r="B712" t="s">
        <v>1009</v>
      </c>
      <c r="C712" t="s">
        <v>998</v>
      </c>
      <c r="D712" t="s">
        <v>999</v>
      </c>
      <c r="E712" t="s">
        <v>1010</v>
      </c>
      <c r="F712" t="s">
        <v>598</v>
      </c>
      <c r="G712" t="s">
        <v>599</v>
      </c>
      <c r="H712" t="s">
        <v>600</v>
      </c>
      <c r="I712" t="s">
        <v>601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18804</v>
      </c>
      <c r="B713" t="s">
        <v>1015</v>
      </c>
      <c r="C713" t="s">
        <v>1016</v>
      </c>
      <c r="D713" t="s">
        <v>1017</v>
      </c>
      <c r="E713" t="s">
        <v>1018</v>
      </c>
      <c r="F713" t="s">
        <v>598</v>
      </c>
      <c r="G713" t="s">
        <v>599</v>
      </c>
      <c r="H713" t="s">
        <v>600</v>
      </c>
      <c r="I713" t="s">
        <v>601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18804</v>
      </c>
      <c r="B714" t="s">
        <v>1021</v>
      </c>
      <c r="C714" t="s">
        <v>1016</v>
      </c>
      <c r="D714" t="s">
        <v>1017</v>
      </c>
      <c r="E714" t="s">
        <v>1022</v>
      </c>
      <c r="F714" t="s">
        <v>598</v>
      </c>
      <c r="G714" t="s">
        <v>599</v>
      </c>
      <c r="H714" t="s">
        <v>600</v>
      </c>
      <c r="I714" t="s">
        <v>601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18804</v>
      </c>
      <c r="B715" t="s">
        <v>1023</v>
      </c>
      <c r="C715" t="s">
        <v>1016</v>
      </c>
      <c r="D715" t="s">
        <v>1017</v>
      </c>
      <c r="E715" t="s">
        <v>1024</v>
      </c>
      <c r="F715" t="s">
        <v>598</v>
      </c>
      <c r="G715" t="s">
        <v>599</v>
      </c>
      <c r="H715" t="s">
        <v>600</v>
      </c>
      <c r="I715" t="s">
        <v>601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18804</v>
      </c>
      <c r="B716" t="s">
        <v>1025</v>
      </c>
      <c r="C716" t="s">
        <v>1016</v>
      </c>
      <c r="D716" t="s">
        <v>1017</v>
      </c>
      <c r="E716" t="s">
        <v>1026</v>
      </c>
      <c r="F716" t="s">
        <v>598</v>
      </c>
      <c r="G716" t="s">
        <v>599</v>
      </c>
      <c r="H716" t="s">
        <v>600</v>
      </c>
      <c r="I716" t="s">
        <v>601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18804</v>
      </c>
      <c r="B717" t="s">
        <v>1029</v>
      </c>
      <c r="C717" t="s">
        <v>1016</v>
      </c>
      <c r="D717" t="s">
        <v>1017</v>
      </c>
      <c r="E717" t="s">
        <v>1030</v>
      </c>
      <c r="F717" t="s">
        <v>598</v>
      </c>
      <c r="G717" t="s">
        <v>599</v>
      </c>
      <c r="H717" t="s">
        <v>600</v>
      </c>
      <c r="I717" t="s">
        <v>601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18804</v>
      </c>
      <c r="B718" t="s">
        <v>1034</v>
      </c>
      <c r="C718" t="s">
        <v>1016</v>
      </c>
      <c r="D718" t="s">
        <v>1017</v>
      </c>
      <c r="E718" t="s">
        <v>1035</v>
      </c>
      <c r="F718" t="s">
        <v>598</v>
      </c>
      <c r="G718" t="s">
        <v>599</v>
      </c>
      <c r="H718" t="s">
        <v>600</v>
      </c>
      <c r="I718" t="s">
        <v>601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18804</v>
      </c>
      <c r="B719" t="s">
        <v>1037</v>
      </c>
      <c r="C719" t="s">
        <v>1016</v>
      </c>
      <c r="D719" t="s">
        <v>1017</v>
      </c>
      <c r="E719" t="s">
        <v>1038</v>
      </c>
      <c r="F719" t="s">
        <v>598</v>
      </c>
      <c r="G719" t="s">
        <v>599</v>
      </c>
      <c r="H719" t="s">
        <v>600</v>
      </c>
      <c r="I719" t="s">
        <v>601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18804</v>
      </c>
      <c r="B720" t="s">
        <v>1039</v>
      </c>
      <c r="C720" t="s">
        <v>1016</v>
      </c>
      <c r="D720" t="s">
        <v>1017</v>
      </c>
      <c r="E720" t="s">
        <v>1040</v>
      </c>
      <c r="F720" t="s">
        <v>598</v>
      </c>
      <c r="G720" t="s">
        <v>599</v>
      </c>
      <c r="H720" t="s">
        <v>600</v>
      </c>
      <c r="I720" t="s">
        <v>601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hidden="1">
      <c r="A721" t="s">
        <v>18804</v>
      </c>
      <c r="B721" t="s">
        <v>1041</v>
      </c>
      <c r="C721" t="s">
        <v>1016</v>
      </c>
      <c r="D721" t="s">
        <v>1017</v>
      </c>
      <c r="E721" t="s">
        <v>1042</v>
      </c>
      <c r="F721" t="s">
        <v>598</v>
      </c>
      <c r="G721" t="s">
        <v>599</v>
      </c>
      <c r="H721" t="s">
        <v>600</v>
      </c>
      <c r="I721" t="s">
        <v>601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18804</v>
      </c>
      <c r="B722" t="s">
        <v>1047</v>
      </c>
      <c r="C722" t="s">
        <v>1016</v>
      </c>
      <c r="D722" t="s">
        <v>1017</v>
      </c>
      <c r="E722" t="s">
        <v>1048</v>
      </c>
      <c r="F722" t="s">
        <v>598</v>
      </c>
      <c r="G722" t="s">
        <v>599</v>
      </c>
      <c r="H722" t="s">
        <v>600</v>
      </c>
      <c r="I722" t="s">
        <v>601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18804</v>
      </c>
      <c r="B723" t="s">
        <v>1049</v>
      </c>
      <c r="C723" t="s">
        <v>1016</v>
      </c>
      <c r="D723" t="s">
        <v>1050</v>
      </c>
      <c r="E723" t="s">
        <v>1024</v>
      </c>
      <c r="F723" t="s">
        <v>598</v>
      </c>
      <c r="G723" t="s">
        <v>599</v>
      </c>
      <c r="H723" t="s">
        <v>600</v>
      </c>
      <c r="I723" t="s">
        <v>601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18804</v>
      </c>
      <c r="B724" t="s">
        <v>1051</v>
      </c>
      <c r="C724" t="s">
        <v>1016</v>
      </c>
      <c r="D724" t="s">
        <v>1050</v>
      </c>
      <c r="E724" t="s">
        <v>1052</v>
      </c>
      <c r="F724" t="s">
        <v>598</v>
      </c>
      <c r="G724" t="s">
        <v>599</v>
      </c>
      <c r="H724" t="s">
        <v>600</v>
      </c>
      <c r="I724" t="s">
        <v>601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18804</v>
      </c>
      <c r="B725" t="s">
        <v>1054</v>
      </c>
      <c r="C725" t="s">
        <v>1016</v>
      </c>
      <c r="D725" t="s">
        <v>1050</v>
      </c>
      <c r="E725" t="s">
        <v>1055</v>
      </c>
      <c r="F725" t="s">
        <v>598</v>
      </c>
      <c r="G725" t="s">
        <v>599</v>
      </c>
      <c r="H725" t="s">
        <v>600</v>
      </c>
      <c r="I725" t="s">
        <v>601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18804</v>
      </c>
      <c r="B726" t="s">
        <v>1059</v>
      </c>
      <c r="C726" t="s">
        <v>1016</v>
      </c>
      <c r="D726" t="s">
        <v>1050</v>
      </c>
      <c r="E726" t="s">
        <v>1042</v>
      </c>
      <c r="F726" t="s">
        <v>598</v>
      </c>
      <c r="G726" t="s">
        <v>599</v>
      </c>
      <c r="H726" t="s">
        <v>600</v>
      </c>
      <c r="I726" t="s">
        <v>601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18804</v>
      </c>
      <c r="B727" t="s">
        <v>1060</v>
      </c>
      <c r="C727" t="s">
        <v>1016</v>
      </c>
      <c r="D727" t="s">
        <v>1050</v>
      </c>
      <c r="E727" t="s">
        <v>1044</v>
      </c>
      <c r="F727" t="s">
        <v>598</v>
      </c>
      <c r="G727" t="s">
        <v>599</v>
      </c>
      <c r="H727" t="s">
        <v>600</v>
      </c>
      <c r="I727" t="s">
        <v>601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18804</v>
      </c>
      <c r="B728" t="s">
        <v>1062</v>
      </c>
      <c r="C728" t="s">
        <v>1016</v>
      </c>
      <c r="D728" t="s">
        <v>1063</v>
      </c>
      <c r="E728" t="s">
        <v>1018</v>
      </c>
      <c r="F728" t="s">
        <v>598</v>
      </c>
      <c r="G728" t="s">
        <v>599</v>
      </c>
      <c r="H728" t="s">
        <v>600</v>
      </c>
      <c r="I728" t="s">
        <v>601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18804</v>
      </c>
      <c r="B729" t="s">
        <v>1064</v>
      </c>
      <c r="C729" t="s">
        <v>1016</v>
      </c>
      <c r="D729" t="s">
        <v>1063</v>
      </c>
      <c r="E729" t="s">
        <v>1022</v>
      </c>
      <c r="F729" t="s">
        <v>598</v>
      </c>
      <c r="G729" t="s">
        <v>599</v>
      </c>
      <c r="H729" t="s">
        <v>600</v>
      </c>
      <c r="I729" t="s">
        <v>601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18804</v>
      </c>
      <c r="B730" t="s">
        <v>1065</v>
      </c>
      <c r="C730" t="s">
        <v>1016</v>
      </c>
      <c r="D730" t="s">
        <v>1063</v>
      </c>
      <c r="E730" t="s">
        <v>1024</v>
      </c>
      <c r="F730" t="s">
        <v>598</v>
      </c>
      <c r="G730" t="s">
        <v>599</v>
      </c>
      <c r="H730" t="s">
        <v>600</v>
      </c>
      <c r="I730" t="s">
        <v>601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18804</v>
      </c>
      <c r="B731" t="s">
        <v>1067</v>
      </c>
      <c r="C731" t="s">
        <v>1016</v>
      </c>
      <c r="D731" t="s">
        <v>1063</v>
      </c>
      <c r="E731" t="s">
        <v>1026</v>
      </c>
      <c r="F731" t="s">
        <v>598</v>
      </c>
      <c r="G731" t="s">
        <v>599</v>
      </c>
      <c r="H731" t="s">
        <v>600</v>
      </c>
      <c r="I731" t="s">
        <v>601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18804</v>
      </c>
      <c r="B732" t="s">
        <v>1068</v>
      </c>
      <c r="C732" t="s">
        <v>1016</v>
      </c>
      <c r="D732" t="s">
        <v>1063</v>
      </c>
      <c r="E732" t="s">
        <v>1030</v>
      </c>
      <c r="F732" t="s">
        <v>598</v>
      </c>
      <c r="G732" t="s">
        <v>599</v>
      </c>
      <c r="H732" t="s">
        <v>600</v>
      </c>
      <c r="I732" t="s">
        <v>601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18804</v>
      </c>
      <c r="B733" t="s">
        <v>1069</v>
      </c>
      <c r="C733" t="s">
        <v>1016</v>
      </c>
      <c r="D733" t="s">
        <v>1063</v>
      </c>
      <c r="E733" t="s">
        <v>1035</v>
      </c>
      <c r="F733" t="s">
        <v>598</v>
      </c>
      <c r="G733" t="s">
        <v>599</v>
      </c>
      <c r="H733" t="s">
        <v>600</v>
      </c>
      <c r="I733" t="s">
        <v>601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18804</v>
      </c>
      <c r="B734" t="s">
        <v>1072</v>
      </c>
      <c r="C734" t="s">
        <v>1016</v>
      </c>
      <c r="D734" t="s">
        <v>1063</v>
      </c>
      <c r="E734" t="s">
        <v>1040</v>
      </c>
      <c r="F734" t="s">
        <v>598</v>
      </c>
      <c r="G734" t="s">
        <v>599</v>
      </c>
      <c r="H734" t="s">
        <v>600</v>
      </c>
      <c r="I734" t="s">
        <v>601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18804</v>
      </c>
      <c r="B735" t="s">
        <v>1073</v>
      </c>
      <c r="C735" t="s">
        <v>1016</v>
      </c>
      <c r="D735" t="s">
        <v>1063</v>
      </c>
      <c r="E735" t="s">
        <v>1042</v>
      </c>
      <c r="F735" t="s">
        <v>598</v>
      </c>
      <c r="G735" t="s">
        <v>599</v>
      </c>
      <c r="H735" t="s">
        <v>600</v>
      </c>
      <c r="I735" t="s">
        <v>601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18804</v>
      </c>
      <c r="B736" t="s">
        <v>1075</v>
      </c>
      <c r="C736" t="s">
        <v>1016</v>
      </c>
      <c r="D736" t="s">
        <v>1063</v>
      </c>
      <c r="E736" t="s">
        <v>1046</v>
      </c>
      <c r="F736" t="s">
        <v>598</v>
      </c>
      <c r="G736" t="s">
        <v>599</v>
      </c>
      <c r="H736" t="s">
        <v>600</v>
      </c>
      <c r="I736" t="s">
        <v>601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18804</v>
      </c>
      <c r="B737" t="s">
        <v>1076</v>
      </c>
      <c r="C737" t="s">
        <v>1016</v>
      </c>
      <c r="D737" t="s">
        <v>1063</v>
      </c>
      <c r="E737" t="s">
        <v>1048</v>
      </c>
      <c r="F737" t="s">
        <v>598</v>
      </c>
      <c r="G737" t="s">
        <v>599</v>
      </c>
      <c r="H737" t="s">
        <v>600</v>
      </c>
      <c r="I737" t="s">
        <v>601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18804</v>
      </c>
      <c r="B738" t="s">
        <v>1087</v>
      </c>
      <c r="C738" t="s">
        <v>1079</v>
      </c>
      <c r="D738" t="s">
        <v>1086</v>
      </c>
      <c r="E738" t="s">
        <v>1081</v>
      </c>
      <c r="F738" t="s">
        <v>598</v>
      </c>
      <c r="G738" t="s">
        <v>599</v>
      </c>
      <c r="H738" t="s">
        <v>600</v>
      </c>
      <c r="I738" t="s">
        <v>601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18804</v>
      </c>
      <c r="B739" t="s">
        <v>1144</v>
      </c>
      <c r="C739" t="s">
        <v>1079</v>
      </c>
      <c r="D739" t="s">
        <v>1145</v>
      </c>
      <c r="E739" t="s">
        <v>1081</v>
      </c>
      <c r="F739" t="s">
        <v>598</v>
      </c>
      <c r="G739" t="s">
        <v>599</v>
      </c>
      <c r="H739" t="s">
        <v>600</v>
      </c>
      <c r="I739" t="s">
        <v>601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18804</v>
      </c>
      <c r="B740" t="s">
        <v>1151</v>
      </c>
      <c r="C740" t="s">
        <v>1079</v>
      </c>
      <c r="D740" t="s">
        <v>1145</v>
      </c>
      <c r="E740" t="s">
        <v>1101</v>
      </c>
      <c r="F740" t="s">
        <v>598</v>
      </c>
      <c r="G740" t="s">
        <v>599</v>
      </c>
      <c r="H740" t="s">
        <v>600</v>
      </c>
      <c r="I740" t="s">
        <v>601</v>
      </c>
      <c r="J740">
        <v>3.2599999999999997E-2</v>
      </c>
      <c r="K740">
        <v>3.32E-2</v>
      </c>
      <c r="L740">
        <v>3.3500000000000002E-2</v>
      </c>
      <c r="M740">
        <v>3.3700000000000001E-2</v>
      </c>
      <c r="N740">
        <v>3.4099999999999998E-2</v>
      </c>
      <c r="O740">
        <v>3.4500000000000003E-2</v>
      </c>
      <c r="P740">
        <v>3.5000000000000003E-2</v>
      </c>
      <c r="Q740">
        <v>3.56E-2</v>
      </c>
      <c r="R740">
        <v>3.6200000000000003E-2</v>
      </c>
      <c r="S740">
        <v>3.6900000000000002E-2</v>
      </c>
      <c r="T740">
        <v>3.7600000000000001E-2</v>
      </c>
      <c r="U740">
        <v>3.8300000000000001E-2</v>
      </c>
      <c r="V740">
        <v>3.9100000000000003E-2</v>
      </c>
      <c r="W740">
        <v>0.04</v>
      </c>
      <c r="X740">
        <v>4.1000000000000002E-2</v>
      </c>
      <c r="Y740">
        <v>4.2000000000000003E-2</v>
      </c>
    </row>
    <row r="741" spans="1:25" hidden="1">
      <c r="A741" t="s">
        <v>18804</v>
      </c>
      <c r="B741" t="s">
        <v>1155</v>
      </c>
      <c r="C741" t="s">
        <v>1079</v>
      </c>
      <c r="D741" t="s">
        <v>1156</v>
      </c>
      <c r="E741" t="s">
        <v>1081</v>
      </c>
      <c r="F741" t="s">
        <v>598</v>
      </c>
      <c r="G741" t="s">
        <v>599</v>
      </c>
      <c r="H741" t="s">
        <v>600</v>
      </c>
      <c r="I741" t="s">
        <v>601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18804</v>
      </c>
      <c r="B742" t="s">
        <v>1160</v>
      </c>
      <c r="C742" t="s">
        <v>1079</v>
      </c>
      <c r="D742" t="s">
        <v>1156</v>
      </c>
      <c r="E742" t="s">
        <v>1099</v>
      </c>
      <c r="F742" t="s">
        <v>598</v>
      </c>
      <c r="G742" t="s">
        <v>599</v>
      </c>
      <c r="H742" t="s">
        <v>600</v>
      </c>
      <c r="I742" t="s">
        <v>601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18804</v>
      </c>
      <c r="B743" t="s">
        <v>1161</v>
      </c>
      <c r="C743" t="s">
        <v>1079</v>
      </c>
      <c r="D743" t="s">
        <v>1156</v>
      </c>
      <c r="E743" t="s">
        <v>1101</v>
      </c>
      <c r="F743" t="s">
        <v>598</v>
      </c>
      <c r="G743" t="s">
        <v>599</v>
      </c>
      <c r="H743" t="s">
        <v>600</v>
      </c>
      <c r="I743" t="s">
        <v>601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18804</v>
      </c>
      <c r="B744" t="s">
        <v>1217</v>
      </c>
      <c r="C744" t="s">
        <v>1079</v>
      </c>
      <c r="D744" t="s">
        <v>1188</v>
      </c>
      <c r="E744" t="s">
        <v>1106</v>
      </c>
      <c r="F744" t="s">
        <v>598</v>
      </c>
      <c r="G744" t="s">
        <v>599</v>
      </c>
      <c r="H744" t="s">
        <v>600</v>
      </c>
      <c r="I744" t="s">
        <v>601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18804</v>
      </c>
      <c r="B745" t="s">
        <v>1221</v>
      </c>
      <c r="C745" t="s">
        <v>1079</v>
      </c>
      <c r="D745" t="s">
        <v>648</v>
      </c>
      <c r="E745" t="s">
        <v>1081</v>
      </c>
      <c r="F745" t="s">
        <v>598</v>
      </c>
      <c r="G745" t="s">
        <v>599</v>
      </c>
      <c r="H745" t="s">
        <v>600</v>
      </c>
      <c r="I745" t="s">
        <v>601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18804</v>
      </c>
      <c r="B746" t="s">
        <v>1227</v>
      </c>
      <c r="C746" t="s">
        <v>1079</v>
      </c>
      <c r="D746" t="s">
        <v>648</v>
      </c>
      <c r="E746" t="s">
        <v>1101</v>
      </c>
      <c r="F746" t="s">
        <v>598</v>
      </c>
      <c r="G746" t="s">
        <v>599</v>
      </c>
      <c r="H746" t="s">
        <v>600</v>
      </c>
      <c r="I746" t="s">
        <v>601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hidden="1">
      <c r="A747" t="s">
        <v>18804</v>
      </c>
      <c r="B747" t="s">
        <v>1228</v>
      </c>
      <c r="C747" t="s">
        <v>1079</v>
      </c>
      <c r="D747" t="s">
        <v>648</v>
      </c>
      <c r="E747" t="s">
        <v>1103</v>
      </c>
      <c r="F747" t="s">
        <v>598</v>
      </c>
      <c r="G747" t="s">
        <v>599</v>
      </c>
      <c r="H747" t="s">
        <v>600</v>
      </c>
      <c r="I747" t="s">
        <v>601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hidden="1">
      <c r="A748" t="s">
        <v>18804</v>
      </c>
      <c r="B748" t="s">
        <v>1244</v>
      </c>
      <c r="C748" t="s">
        <v>1230</v>
      </c>
      <c r="D748" t="s">
        <v>1243</v>
      </c>
      <c r="E748" t="s">
        <v>1239</v>
      </c>
      <c r="F748" t="s">
        <v>598</v>
      </c>
      <c r="G748" t="s">
        <v>599</v>
      </c>
      <c r="H748" t="s">
        <v>600</v>
      </c>
      <c r="I748" t="s">
        <v>601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18804</v>
      </c>
      <c r="B749" t="s">
        <v>1250</v>
      </c>
      <c r="C749" t="s">
        <v>1230</v>
      </c>
      <c r="D749" t="s">
        <v>648</v>
      </c>
      <c r="E749" t="s">
        <v>1004</v>
      </c>
      <c r="F749" t="s">
        <v>598</v>
      </c>
      <c r="G749" t="s">
        <v>599</v>
      </c>
      <c r="H749" t="s">
        <v>600</v>
      </c>
      <c r="I749" t="s">
        <v>601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18804</v>
      </c>
      <c r="B750" t="s">
        <v>1252</v>
      </c>
      <c r="C750" t="s">
        <v>1253</v>
      </c>
      <c r="D750" t="s">
        <v>1254</v>
      </c>
      <c r="E750" t="s">
        <v>1255</v>
      </c>
      <c r="F750" t="s">
        <v>598</v>
      </c>
      <c r="G750" t="s">
        <v>599</v>
      </c>
      <c r="H750" t="s">
        <v>600</v>
      </c>
      <c r="I750" t="s">
        <v>601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hidden="1">
      <c r="A751" t="s">
        <v>18804</v>
      </c>
      <c r="B751" t="s">
        <v>1256</v>
      </c>
      <c r="C751" t="s">
        <v>1253</v>
      </c>
      <c r="D751" t="s">
        <v>1254</v>
      </c>
      <c r="E751" t="s">
        <v>1257</v>
      </c>
      <c r="F751" t="s">
        <v>598</v>
      </c>
      <c r="G751" t="s">
        <v>599</v>
      </c>
      <c r="H751" t="s">
        <v>600</v>
      </c>
      <c r="I751" t="s">
        <v>601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18804</v>
      </c>
      <c r="B752" t="s">
        <v>1258</v>
      </c>
      <c r="C752" t="s">
        <v>1253</v>
      </c>
      <c r="D752" t="s">
        <v>1254</v>
      </c>
      <c r="E752" t="s">
        <v>1259</v>
      </c>
      <c r="F752" t="s">
        <v>598</v>
      </c>
      <c r="G752" t="s">
        <v>599</v>
      </c>
      <c r="H752" t="s">
        <v>600</v>
      </c>
      <c r="I752" t="s">
        <v>601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18804</v>
      </c>
      <c r="B753" t="s">
        <v>1260</v>
      </c>
      <c r="C753" t="s">
        <v>1261</v>
      </c>
      <c r="D753" t="s">
        <v>648</v>
      </c>
      <c r="E753" t="s">
        <v>920</v>
      </c>
      <c r="F753" t="s">
        <v>598</v>
      </c>
      <c r="G753" t="s">
        <v>599</v>
      </c>
      <c r="H753" t="s">
        <v>600</v>
      </c>
      <c r="I753" t="s">
        <v>601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18804</v>
      </c>
      <c r="B754" t="s">
        <v>1269</v>
      </c>
      <c r="C754" t="s">
        <v>1267</v>
      </c>
      <c r="D754" t="s">
        <v>1268</v>
      </c>
      <c r="E754" t="s">
        <v>678</v>
      </c>
      <c r="F754" t="s">
        <v>598</v>
      </c>
      <c r="G754" t="s">
        <v>599</v>
      </c>
      <c r="H754" t="s">
        <v>600</v>
      </c>
      <c r="I754" t="s">
        <v>601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18804</v>
      </c>
      <c r="B755" t="s">
        <v>1272</v>
      </c>
      <c r="C755" t="s">
        <v>1267</v>
      </c>
      <c r="D755" t="s">
        <v>1271</v>
      </c>
      <c r="E755" t="s">
        <v>678</v>
      </c>
      <c r="F755" t="s">
        <v>598</v>
      </c>
      <c r="G755" t="s">
        <v>599</v>
      </c>
      <c r="H755" t="s">
        <v>600</v>
      </c>
      <c r="I755" t="s">
        <v>601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18804</v>
      </c>
      <c r="B756" t="s">
        <v>1273</v>
      </c>
      <c r="C756" t="s">
        <v>1267</v>
      </c>
      <c r="D756" t="s">
        <v>1274</v>
      </c>
      <c r="E756" t="s">
        <v>672</v>
      </c>
      <c r="F756" t="s">
        <v>598</v>
      </c>
      <c r="G756" t="s">
        <v>599</v>
      </c>
      <c r="H756" t="s">
        <v>600</v>
      </c>
      <c r="I756" t="s">
        <v>601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18804</v>
      </c>
      <c r="B757" t="s">
        <v>1276</v>
      </c>
      <c r="C757" t="s">
        <v>1267</v>
      </c>
      <c r="D757" t="s">
        <v>1274</v>
      </c>
      <c r="E757" t="s">
        <v>678</v>
      </c>
      <c r="F757" t="s">
        <v>598</v>
      </c>
      <c r="G757" t="s">
        <v>599</v>
      </c>
      <c r="H757" t="s">
        <v>600</v>
      </c>
      <c r="I757" t="s">
        <v>601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18804</v>
      </c>
      <c r="B758" t="s">
        <v>1277</v>
      </c>
      <c r="C758" t="s">
        <v>1267</v>
      </c>
      <c r="D758" t="s">
        <v>1278</v>
      </c>
      <c r="E758" t="s">
        <v>672</v>
      </c>
      <c r="F758" t="s">
        <v>598</v>
      </c>
      <c r="G758" t="s">
        <v>599</v>
      </c>
      <c r="H758" t="s">
        <v>600</v>
      </c>
      <c r="I758" t="s">
        <v>601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18804</v>
      </c>
      <c r="B759" t="s">
        <v>1279</v>
      </c>
      <c r="C759" t="s">
        <v>1267</v>
      </c>
      <c r="D759" t="s">
        <v>1278</v>
      </c>
      <c r="E759" t="s">
        <v>678</v>
      </c>
      <c r="F759" t="s">
        <v>598</v>
      </c>
      <c r="G759" t="s">
        <v>599</v>
      </c>
      <c r="H759" t="s">
        <v>600</v>
      </c>
      <c r="I759" t="s">
        <v>601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18804</v>
      </c>
      <c r="B760" t="s">
        <v>1280</v>
      </c>
      <c r="C760" t="s">
        <v>1267</v>
      </c>
      <c r="D760" t="s">
        <v>1281</v>
      </c>
      <c r="E760" t="s">
        <v>672</v>
      </c>
      <c r="F760" t="s">
        <v>598</v>
      </c>
      <c r="G760" t="s">
        <v>599</v>
      </c>
      <c r="H760" t="s">
        <v>600</v>
      </c>
      <c r="I760" t="s">
        <v>601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18804</v>
      </c>
      <c r="B761" t="s">
        <v>1283</v>
      </c>
      <c r="C761" t="s">
        <v>1267</v>
      </c>
      <c r="D761" t="s">
        <v>1281</v>
      </c>
      <c r="E761" t="s">
        <v>678</v>
      </c>
      <c r="F761" t="s">
        <v>598</v>
      </c>
      <c r="G761" t="s">
        <v>599</v>
      </c>
      <c r="H761" t="s">
        <v>600</v>
      </c>
      <c r="I761" t="s">
        <v>601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18804</v>
      </c>
      <c r="B762" t="s">
        <v>1284</v>
      </c>
      <c r="C762" t="s">
        <v>1267</v>
      </c>
      <c r="D762" t="s">
        <v>1285</v>
      </c>
      <c r="E762" t="s">
        <v>678</v>
      </c>
      <c r="F762" t="s">
        <v>598</v>
      </c>
      <c r="G762" t="s">
        <v>599</v>
      </c>
      <c r="H762" t="s">
        <v>600</v>
      </c>
      <c r="I762" t="s">
        <v>601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18804</v>
      </c>
      <c r="B763" t="s">
        <v>1292</v>
      </c>
      <c r="C763" t="s">
        <v>1267</v>
      </c>
      <c r="D763" t="s">
        <v>1293</v>
      </c>
      <c r="E763" t="s">
        <v>672</v>
      </c>
      <c r="F763" t="s">
        <v>598</v>
      </c>
      <c r="G763" t="s">
        <v>599</v>
      </c>
      <c r="H763" t="s">
        <v>600</v>
      </c>
      <c r="I763" t="s">
        <v>601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18804</v>
      </c>
      <c r="B764" t="s">
        <v>1294</v>
      </c>
      <c r="C764" t="s">
        <v>1267</v>
      </c>
      <c r="D764" t="s">
        <v>1293</v>
      </c>
      <c r="E764" t="s">
        <v>678</v>
      </c>
      <c r="F764" t="s">
        <v>598</v>
      </c>
      <c r="G764" t="s">
        <v>599</v>
      </c>
      <c r="H764" t="s">
        <v>600</v>
      </c>
      <c r="I764" t="s">
        <v>601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18804</v>
      </c>
      <c r="B765" t="s">
        <v>1295</v>
      </c>
      <c r="C765" t="s">
        <v>1267</v>
      </c>
      <c r="D765" t="s">
        <v>1296</v>
      </c>
      <c r="E765" t="s">
        <v>678</v>
      </c>
      <c r="F765" t="s">
        <v>598</v>
      </c>
      <c r="G765" t="s">
        <v>599</v>
      </c>
      <c r="H765" t="s">
        <v>600</v>
      </c>
      <c r="I765" t="s">
        <v>601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18804</v>
      </c>
      <c r="B766" t="s">
        <v>1297</v>
      </c>
      <c r="C766" t="s">
        <v>1267</v>
      </c>
      <c r="D766" t="s">
        <v>1298</v>
      </c>
      <c r="E766" t="s">
        <v>672</v>
      </c>
      <c r="F766" t="s">
        <v>598</v>
      </c>
      <c r="G766" t="s">
        <v>599</v>
      </c>
      <c r="H766" t="s">
        <v>600</v>
      </c>
      <c r="I766" t="s">
        <v>601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18804</v>
      </c>
      <c r="B767" t="s">
        <v>1301</v>
      </c>
      <c r="C767" t="s">
        <v>1267</v>
      </c>
      <c r="D767" t="s">
        <v>1302</v>
      </c>
      <c r="E767" t="s">
        <v>672</v>
      </c>
      <c r="F767" t="s">
        <v>598</v>
      </c>
      <c r="G767" t="s">
        <v>599</v>
      </c>
      <c r="H767" t="s">
        <v>600</v>
      </c>
      <c r="I767" t="s">
        <v>601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18804</v>
      </c>
      <c r="B768" t="s">
        <v>1303</v>
      </c>
      <c r="C768" t="s">
        <v>1267</v>
      </c>
      <c r="D768" t="s">
        <v>1302</v>
      </c>
      <c r="E768" t="s">
        <v>678</v>
      </c>
      <c r="F768" t="s">
        <v>598</v>
      </c>
      <c r="G768" t="s">
        <v>599</v>
      </c>
      <c r="H768" t="s">
        <v>600</v>
      </c>
      <c r="I768" t="s">
        <v>601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18804</v>
      </c>
      <c r="B769" t="s">
        <v>1304</v>
      </c>
      <c r="C769" t="s">
        <v>1267</v>
      </c>
      <c r="D769" t="s">
        <v>1305</v>
      </c>
      <c r="E769" t="s">
        <v>672</v>
      </c>
      <c r="F769" t="s">
        <v>598</v>
      </c>
      <c r="G769" t="s">
        <v>599</v>
      </c>
      <c r="H769" t="s">
        <v>600</v>
      </c>
      <c r="I769" t="s">
        <v>601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18804</v>
      </c>
      <c r="B770" t="s">
        <v>1307</v>
      </c>
      <c r="C770" t="s">
        <v>1267</v>
      </c>
      <c r="D770" t="s">
        <v>1305</v>
      </c>
      <c r="E770" t="s">
        <v>678</v>
      </c>
      <c r="F770" t="s">
        <v>598</v>
      </c>
      <c r="G770" t="s">
        <v>599</v>
      </c>
      <c r="H770" t="s">
        <v>600</v>
      </c>
      <c r="I770" t="s">
        <v>601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18804</v>
      </c>
      <c r="B771" t="s">
        <v>1308</v>
      </c>
      <c r="C771" t="s">
        <v>1267</v>
      </c>
      <c r="D771" t="s">
        <v>1309</v>
      </c>
      <c r="E771" t="s">
        <v>672</v>
      </c>
      <c r="F771" t="s">
        <v>598</v>
      </c>
      <c r="G771" t="s">
        <v>599</v>
      </c>
      <c r="H771" t="s">
        <v>600</v>
      </c>
      <c r="I771" t="s">
        <v>601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18804</v>
      </c>
      <c r="B772" t="s">
        <v>1314</v>
      </c>
      <c r="C772" t="s">
        <v>1267</v>
      </c>
      <c r="D772" t="s">
        <v>1311</v>
      </c>
      <c r="E772" t="s">
        <v>678</v>
      </c>
      <c r="F772" t="s">
        <v>598</v>
      </c>
      <c r="G772" t="s">
        <v>599</v>
      </c>
      <c r="H772" t="s">
        <v>600</v>
      </c>
      <c r="I772" t="s">
        <v>601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18804</v>
      </c>
      <c r="B773" t="s">
        <v>1337</v>
      </c>
      <c r="C773" t="s">
        <v>1267</v>
      </c>
      <c r="D773" t="s">
        <v>1332</v>
      </c>
      <c r="E773" t="s">
        <v>678</v>
      </c>
      <c r="F773" t="s">
        <v>598</v>
      </c>
      <c r="G773" t="s">
        <v>599</v>
      </c>
      <c r="H773" t="s">
        <v>600</v>
      </c>
      <c r="I773" t="s">
        <v>601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18804</v>
      </c>
      <c r="B774" t="s">
        <v>1351</v>
      </c>
      <c r="C774" t="s">
        <v>1267</v>
      </c>
      <c r="D774" t="s">
        <v>1352</v>
      </c>
      <c r="E774" t="s">
        <v>672</v>
      </c>
      <c r="F774" t="s">
        <v>598</v>
      </c>
      <c r="G774" t="s">
        <v>599</v>
      </c>
      <c r="H774" t="s">
        <v>600</v>
      </c>
      <c r="I774" t="s">
        <v>601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18804</v>
      </c>
      <c r="B775" t="s">
        <v>1353</v>
      </c>
      <c r="C775" t="s">
        <v>1267</v>
      </c>
      <c r="D775" t="s">
        <v>1354</v>
      </c>
      <c r="E775" t="s">
        <v>672</v>
      </c>
      <c r="F775" t="s">
        <v>598</v>
      </c>
      <c r="G775" t="s">
        <v>599</v>
      </c>
      <c r="H775" t="s">
        <v>600</v>
      </c>
      <c r="I775" t="s">
        <v>601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18804</v>
      </c>
      <c r="B776" t="s">
        <v>1355</v>
      </c>
      <c r="C776" t="s">
        <v>1267</v>
      </c>
      <c r="D776" t="s">
        <v>1354</v>
      </c>
      <c r="E776" t="s">
        <v>678</v>
      </c>
      <c r="F776" t="s">
        <v>598</v>
      </c>
      <c r="G776" t="s">
        <v>599</v>
      </c>
      <c r="H776" t="s">
        <v>600</v>
      </c>
      <c r="I776" t="s">
        <v>601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18804</v>
      </c>
      <c r="B777" t="s">
        <v>1362</v>
      </c>
      <c r="C777" t="s">
        <v>1267</v>
      </c>
      <c r="D777" t="s">
        <v>1363</v>
      </c>
      <c r="E777" t="s">
        <v>597</v>
      </c>
      <c r="F777" t="s">
        <v>598</v>
      </c>
      <c r="G777" t="s">
        <v>599</v>
      </c>
      <c r="H777" t="s">
        <v>600</v>
      </c>
      <c r="I777" t="s">
        <v>601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18804</v>
      </c>
      <c r="B778" t="s">
        <v>1371</v>
      </c>
      <c r="C778" t="s">
        <v>1267</v>
      </c>
      <c r="D778" t="s">
        <v>1370</v>
      </c>
      <c r="E778" t="s">
        <v>678</v>
      </c>
      <c r="F778" t="s">
        <v>598</v>
      </c>
      <c r="G778" t="s">
        <v>599</v>
      </c>
      <c r="H778" t="s">
        <v>600</v>
      </c>
      <c r="I778" t="s">
        <v>601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18804</v>
      </c>
      <c r="B779" t="s">
        <v>1373</v>
      </c>
      <c r="C779" t="s">
        <v>1267</v>
      </c>
      <c r="D779" t="s">
        <v>648</v>
      </c>
      <c r="E779" t="s">
        <v>672</v>
      </c>
      <c r="F779" t="s">
        <v>598</v>
      </c>
      <c r="G779" t="s">
        <v>599</v>
      </c>
      <c r="H779" t="s">
        <v>600</v>
      </c>
      <c r="I779" t="s">
        <v>601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18804</v>
      </c>
      <c r="B780" t="s">
        <v>1376</v>
      </c>
      <c r="C780" t="s">
        <v>1267</v>
      </c>
      <c r="D780" t="s">
        <v>648</v>
      </c>
      <c r="E780" t="s">
        <v>678</v>
      </c>
      <c r="F780" t="s">
        <v>598</v>
      </c>
      <c r="G780" t="s">
        <v>599</v>
      </c>
      <c r="H780" t="s">
        <v>600</v>
      </c>
      <c r="I780" t="s">
        <v>601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hidden="1">
      <c r="A781" t="s">
        <v>18804</v>
      </c>
      <c r="B781" t="s">
        <v>1388</v>
      </c>
      <c r="C781" t="s">
        <v>1382</v>
      </c>
      <c r="D781" t="s">
        <v>1311</v>
      </c>
      <c r="E781" t="s">
        <v>597</v>
      </c>
      <c r="F781" t="s">
        <v>598</v>
      </c>
      <c r="G781" t="s">
        <v>599</v>
      </c>
      <c r="H781" t="s">
        <v>600</v>
      </c>
      <c r="I781" t="s">
        <v>601</v>
      </c>
      <c r="J781">
        <v>1E-4</v>
      </c>
      <c r="K781">
        <v>1E-4</v>
      </c>
      <c r="L781">
        <v>1E-4</v>
      </c>
      <c r="M781">
        <v>1E-4</v>
      </c>
      <c r="N781">
        <v>1E-4</v>
      </c>
      <c r="O781">
        <v>1E-4</v>
      </c>
      <c r="P781">
        <v>1E-4</v>
      </c>
      <c r="Q781">
        <v>1E-4</v>
      </c>
      <c r="R781">
        <v>1E-4</v>
      </c>
      <c r="S781">
        <v>1E-4</v>
      </c>
      <c r="T781">
        <v>1E-4</v>
      </c>
      <c r="U781">
        <v>1E-4</v>
      </c>
      <c r="V781">
        <v>1E-4</v>
      </c>
      <c r="W781">
        <v>1E-4</v>
      </c>
      <c r="X781">
        <v>1E-4</v>
      </c>
      <c r="Y781">
        <v>1E-4</v>
      </c>
    </row>
    <row r="782" spans="1:25" hidden="1">
      <c r="A782" t="s">
        <v>18804</v>
      </c>
      <c r="B782" t="s">
        <v>1459</v>
      </c>
      <c r="C782" t="s">
        <v>1382</v>
      </c>
      <c r="D782" t="s">
        <v>648</v>
      </c>
      <c r="E782" t="s">
        <v>920</v>
      </c>
      <c r="F782" t="s">
        <v>598</v>
      </c>
      <c r="G782" t="s">
        <v>599</v>
      </c>
      <c r="H782" t="s">
        <v>600</v>
      </c>
      <c r="I782" t="s">
        <v>601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18804</v>
      </c>
      <c r="B783" t="s">
        <v>1471</v>
      </c>
      <c r="C783" t="s">
        <v>1472</v>
      </c>
      <c r="D783" t="s">
        <v>1274</v>
      </c>
      <c r="E783" t="s">
        <v>973</v>
      </c>
      <c r="F783" t="s">
        <v>598</v>
      </c>
      <c r="G783" t="s">
        <v>599</v>
      </c>
      <c r="H783" t="s">
        <v>600</v>
      </c>
      <c r="I783" t="s">
        <v>601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18804</v>
      </c>
      <c r="B784" t="s">
        <v>1538</v>
      </c>
      <c r="C784" t="s">
        <v>1472</v>
      </c>
      <c r="D784" t="s">
        <v>1332</v>
      </c>
      <c r="E784" t="s">
        <v>1318</v>
      </c>
      <c r="F784" t="s">
        <v>598</v>
      </c>
      <c r="G784" t="s">
        <v>599</v>
      </c>
      <c r="H784" t="s">
        <v>600</v>
      </c>
      <c r="I784" t="s">
        <v>601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18804</v>
      </c>
      <c r="B785" t="s">
        <v>1541</v>
      </c>
      <c r="C785" t="s">
        <v>1472</v>
      </c>
      <c r="D785" t="s">
        <v>1348</v>
      </c>
      <c r="E785" t="s">
        <v>1399</v>
      </c>
      <c r="F785" t="s">
        <v>598</v>
      </c>
      <c r="G785" t="s">
        <v>599</v>
      </c>
      <c r="H785" t="s">
        <v>600</v>
      </c>
      <c r="I785" t="s">
        <v>601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18804</v>
      </c>
      <c r="B786" t="s">
        <v>1542</v>
      </c>
      <c r="C786" t="s">
        <v>1472</v>
      </c>
      <c r="D786" t="s">
        <v>1348</v>
      </c>
      <c r="E786" t="s">
        <v>1417</v>
      </c>
      <c r="F786" t="s">
        <v>598</v>
      </c>
      <c r="G786" t="s">
        <v>599</v>
      </c>
      <c r="H786" t="s">
        <v>600</v>
      </c>
      <c r="I786" t="s">
        <v>601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18804</v>
      </c>
      <c r="B787" t="s">
        <v>1566</v>
      </c>
      <c r="C787" t="s">
        <v>1472</v>
      </c>
      <c r="D787" t="s">
        <v>1567</v>
      </c>
      <c r="E787" t="s">
        <v>626</v>
      </c>
      <c r="F787" t="s">
        <v>598</v>
      </c>
      <c r="G787" t="s">
        <v>599</v>
      </c>
      <c r="H787" t="s">
        <v>600</v>
      </c>
      <c r="I787" t="s">
        <v>601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18804</v>
      </c>
      <c r="B788" t="s">
        <v>1568</v>
      </c>
      <c r="C788" t="s">
        <v>1472</v>
      </c>
      <c r="D788" t="s">
        <v>1569</v>
      </c>
      <c r="E788" t="s">
        <v>626</v>
      </c>
      <c r="F788" t="s">
        <v>598</v>
      </c>
      <c r="G788" t="s">
        <v>599</v>
      </c>
      <c r="H788" t="s">
        <v>600</v>
      </c>
      <c r="I788" t="s">
        <v>601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18804</v>
      </c>
      <c r="B789" t="s">
        <v>1570</v>
      </c>
      <c r="C789" t="s">
        <v>1472</v>
      </c>
      <c r="D789" t="s">
        <v>1571</v>
      </c>
      <c r="E789" t="s">
        <v>626</v>
      </c>
      <c r="F789" t="s">
        <v>598</v>
      </c>
      <c r="G789" t="s">
        <v>599</v>
      </c>
      <c r="H789" t="s">
        <v>600</v>
      </c>
      <c r="I789" t="s">
        <v>601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18804</v>
      </c>
      <c r="B790" t="s">
        <v>1573</v>
      </c>
      <c r="C790" t="s">
        <v>1472</v>
      </c>
      <c r="D790" t="s">
        <v>1574</v>
      </c>
      <c r="E790" t="s">
        <v>626</v>
      </c>
      <c r="F790" t="s">
        <v>598</v>
      </c>
      <c r="G790" t="s">
        <v>599</v>
      </c>
      <c r="H790" t="s">
        <v>600</v>
      </c>
      <c r="I790" t="s">
        <v>601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18804</v>
      </c>
      <c r="B791" t="s">
        <v>1575</v>
      </c>
      <c r="C791" t="s">
        <v>1472</v>
      </c>
      <c r="D791" t="s">
        <v>1576</v>
      </c>
      <c r="E791" t="s">
        <v>626</v>
      </c>
      <c r="F791" t="s">
        <v>598</v>
      </c>
      <c r="G791" t="s">
        <v>599</v>
      </c>
      <c r="H791" t="s">
        <v>600</v>
      </c>
      <c r="I791" t="s">
        <v>601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18804</v>
      </c>
      <c r="B792" t="s">
        <v>1577</v>
      </c>
      <c r="C792" t="s">
        <v>1472</v>
      </c>
      <c r="D792" t="s">
        <v>1578</v>
      </c>
      <c r="E792" t="s">
        <v>626</v>
      </c>
      <c r="F792" t="s">
        <v>598</v>
      </c>
      <c r="G792" t="s">
        <v>599</v>
      </c>
      <c r="H792" t="s">
        <v>600</v>
      </c>
      <c r="I792" t="s">
        <v>601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18804</v>
      </c>
      <c r="B793" t="s">
        <v>1582</v>
      </c>
      <c r="C793" t="s">
        <v>1472</v>
      </c>
      <c r="D793" t="s">
        <v>1583</v>
      </c>
      <c r="E793" t="s">
        <v>626</v>
      </c>
      <c r="F793" t="s">
        <v>598</v>
      </c>
      <c r="G793" t="s">
        <v>599</v>
      </c>
      <c r="H793" t="s">
        <v>600</v>
      </c>
      <c r="I793" t="s">
        <v>601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18804</v>
      </c>
      <c r="B794" t="s">
        <v>1590</v>
      </c>
      <c r="C794" t="s">
        <v>1472</v>
      </c>
      <c r="D794" t="s">
        <v>1365</v>
      </c>
      <c r="E794" t="s">
        <v>626</v>
      </c>
      <c r="F794" t="s">
        <v>598</v>
      </c>
      <c r="G794" t="s">
        <v>599</v>
      </c>
      <c r="H794" t="s">
        <v>600</v>
      </c>
      <c r="I794" t="s">
        <v>601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18804</v>
      </c>
      <c r="B795" t="s">
        <v>1600</v>
      </c>
      <c r="C795" t="s">
        <v>1472</v>
      </c>
      <c r="D795" t="s">
        <v>1601</v>
      </c>
      <c r="E795" t="s">
        <v>626</v>
      </c>
      <c r="F795" t="s">
        <v>598</v>
      </c>
      <c r="G795" t="s">
        <v>599</v>
      </c>
      <c r="H795" t="s">
        <v>600</v>
      </c>
      <c r="I795" t="s">
        <v>601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18804</v>
      </c>
      <c r="B796" t="s">
        <v>1602</v>
      </c>
      <c r="C796" t="s">
        <v>1472</v>
      </c>
      <c r="D796" t="s">
        <v>1603</v>
      </c>
      <c r="E796" t="s">
        <v>626</v>
      </c>
      <c r="F796" t="s">
        <v>598</v>
      </c>
      <c r="G796" t="s">
        <v>599</v>
      </c>
      <c r="H796" t="s">
        <v>600</v>
      </c>
      <c r="I796" t="s">
        <v>601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18804</v>
      </c>
      <c r="B797" t="s">
        <v>1604</v>
      </c>
      <c r="C797" t="s">
        <v>1472</v>
      </c>
      <c r="D797" t="s">
        <v>1605</v>
      </c>
      <c r="E797" t="s">
        <v>626</v>
      </c>
      <c r="F797" t="s">
        <v>598</v>
      </c>
      <c r="G797" t="s">
        <v>599</v>
      </c>
      <c r="H797" t="s">
        <v>600</v>
      </c>
      <c r="I797" t="s">
        <v>601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18804</v>
      </c>
      <c r="B798" t="s">
        <v>1609</v>
      </c>
      <c r="C798" t="s">
        <v>1472</v>
      </c>
      <c r="D798" t="s">
        <v>648</v>
      </c>
      <c r="E798" t="s">
        <v>626</v>
      </c>
      <c r="F798" t="s">
        <v>598</v>
      </c>
      <c r="G798" t="s">
        <v>599</v>
      </c>
      <c r="H798" t="s">
        <v>600</v>
      </c>
      <c r="I798" t="s">
        <v>601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18804</v>
      </c>
      <c r="B799" t="s">
        <v>1610</v>
      </c>
      <c r="C799" t="s">
        <v>1611</v>
      </c>
      <c r="D799" t="s">
        <v>648</v>
      </c>
      <c r="E799" t="s">
        <v>920</v>
      </c>
      <c r="F799" t="s">
        <v>598</v>
      </c>
      <c r="G799" t="s">
        <v>599</v>
      </c>
      <c r="H799" t="s">
        <v>600</v>
      </c>
      <c r="I799" t="s">
        <v>601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18804</v>
      </c>
      <c r="B800" t="s">
        <v>1746</v>
      </c>
      <c r="C800" t="s">
        <v>1614</v>
      </c>
      <c r="D800" t="s">
        <v>1722</v>
      </c>
      <c r="E800" t="s">
        <v>954</v>
      </c>
      <c r="F800" t="s">
        <v>598</v>
      </c>
      <c r="G800" t="s">
        <v>599</v>
      </c>
      <c r="H800" t="s">
        <v>600</v>
      </c>
      <c r="I800" t="s">
        <v>601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18804</v>
      </c>
      <c r="B801" t="s">
        <v>1760</v>
      </c>
      <c r="C801" t="s">
        <v>1614</v>
      </c>
      <c r="D801" t="s">
        <v>1722</v>
      </c>
      <c r="E801" t="s">
        <v>1761</v>
      </c>
      <c r="F801" t="s">
        <v>598</v>
      </c>
      <c r="G801" t="s">
        <v>599</v>
      </c>
      <c r="H801" t="s">
        <v>600</v>
      </c>
      <c r="I801" t="s">
        <v>601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18804</v>
      </c>
      <c r="B802" t="s">
        <v>1775</v>
      </c>
      <c r="C802" t="s">
        <v>1614</v>
      </c>
      <c r="D802" t="s">
        <v>1776</v>
      </c>
      <c r="E802" t="s">
        <v>1777</v>
      </c>
      <c r="F802" t="s">
        <v>598</v>
      </c>
      <c r="G802" t="s">
        <v>599</v>
      </c>
      <c r="H802" t="s">
        <v>600</v>
      </c>
      <c r="I802" t="s">
        <v>601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18804</v>
      </c>
      <c r="B803" t="s">
        <v>1780</v>
      </c>
      <c r="C803" t="s">
        <v>1614</v>
      </c>
      <c r="D803" t="s">
        <v>1781</v>
      </c>
      <c r="E803" t="s">
        <v>1716</v>
      </c>
      <c r="F803" t="s">
        <v>598</v>
      </c>
      <c r="G803" t="s">
        <v>599</v>
      </c>
      <c r="H803" t="s">
        <v>600</v>
      </c>
      <c r="I803" t="s">
        <v>601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18804</v>
      </c>
      <c r="B804" t="s">
        <v>1818</v>
      </c>
      <c r="C804" t="s">
        <v>1614</v>
      </c>
      <c r="D804" t="s">
        <v>648</v>
      </c>
      <c r="E804" t="s">
        <v>973</v>
      </c>
      <c r="F804" t="s">
        <v>598</v>
      </c>
      <c r="G804" t="s">
        <v>599</v>
      </c>
      <c r="H804" t="s">
        <v>600</v>
      </c>
      <c r="I804" t="s">
        <v>601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18804</v>
      </c>
      <c r="B805" t="s">
        <v>1832</v>
      </c>
      <c r="C805" t="s">
        <v>1614</v>
      </c>
      <c r="D805" t="s">
        <v>648</v>
      </c>
      <c r="E805" t="s">
        <v>1393</v>
      </c>
      <c r="F805" t="s">
        <v>598</v>
      </c>
      <c r="G805" t="s">
        <v>599</v>
      </c>
      <c r="H805" t="s">
        <v>600</v>
      </c>
      <c r="I805" t="s">
        <v>601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18804</v>
      </c>
      <c r="B806" t="s">
        <v>1837</v>
      </c>
      <c r="C806" t="s">
        <v>1614</v>
      </c>
      <c r="D806" t="s">
        <v>648</v>
      </c>
      <c r="E806" t="s">
        <v>1759</v>
      </c>
      <c r="F806" t="s">
        <v>598</v>
      </c>
      <c r="G806" t="s">
        <v>599</v>
      </c>
      <c r="H806" t="s">
        <v>600</v>
      </c>
      <c r="I806" t="s">
        <v>601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18804</v>
      </c>
      <c r="B807" t="s">
        <v>1856</v>
      </c>
      <c r="C807" t="s">
        <v>1845</v>
      </c>
      <c r="D807" t="s">
        <v>1435</v>
      </c>
      <c r="E807" t="s">
        <v>973</v>
      </c>
      <c r="F807" t="s">
        <v>598</v>
      </c>
      <c r="G807" t="s">
        <v>599</v>
      </c>
      <c r="H807" t="s">
        <v>600</v>
      </c>
      <c r="I807" t="s">
        <v>601</v>
      </c>
      <c r="J807">
        <v>5.0000000000000001E-4</v>
      </c>
      <c r="K807">
        <v>5.9999999999999995E-4</v>
      </c>
      <c r="L807">
        <v>5.9999999999999995E-4</v>
      </c>
      <c r="M807">
        <v>5.9999999999999995E-4</v>
      </c>
      <c r="N807">
        <v>5.9999999999999995E-4</v>
      </c>
      <c r="O807">
        <v>5.9999999999999995E-4</v>
      </c>
      <c r="P807">
        <v>5.9999999999999995E-4</v>
      </c>
      <c r="Q807">
        <v>5.9999999999999995E-4</v>
      </c>
      <c r="R807">
        <v>5.9999999999999995E-4</v>
      </c>
      <c r="S807">
        <v>5.9999999999999995E-4</v>
      </c>
      <c r="T807">
        <v>5.9999999999999995E-4</v>
      </c>
      <c r="U807">
        <v>6.9999999999999999E-4</v>
      </c>
      <c r="V807">
        <v>6.9999999999999999E-4</v>
      </c>
      <c r="W807">
        <v>6.9999999999999999E-4</v>
      </c>
      <c r="X807">
        <v>6.9999999999999999E-4</v>
      </c>
      <c r="Y807">
        <v>6.9999999999999999E-4</v>
      </c>
    </row>
    <row r="808" spans="1:25" hidden="1">
      <c r="A808" t="s">
        <v>18804</v>
      </c>
      <c r="B808" t="s">
        <v>1857</v>
      </c>
      <c r="C808" t="s">
        <v>1845</v>
      </c>
      <c r="D808" t="s">
        <v>1354</v>
      </c>
      <c r="E808" t="s">
        <v>973</v>
      </c>
      <c r="F808" t="s">
        <v>598</v>
      </c>
      <c r="G808" t="s">
        <v>599</v>
      </c>
      <c r="H808" t="s">
        <v>600</v>
      </c>
      <c r="I808" t="s">
        <v>601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18804</v>
      </c>
      <c r="B809" t="s">
        <v>1858</v>
      </c>
      <c r="C809" t="s">
        <v>1845</v>
      </c>
      <c r="D809" t="s">
        <v>1859</v>
      </c>
      <c r="E809" t="s">
        <v>1860</v>
      </c>
      <c r="F809" t="s">
        <v>598</v>
      </c>
      <c r="G809" t="s">
        <v>599</v>
      </c>
      <c r="H809" t="s">
        <v>600</v>
      </c>
      <c r="I809" t="s">
        <v>601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18804</v>
      </c>
      <c r="B810" t="s">
        <v>1861</v>
      </c>
      <c r="C810" t="s">
        <v>1845</v>
      </c>
      <c r="D810" t="s">
        <v>1862</v>
      </c>
      <c r="E810" t="s">
        <v>1860</v>
      </c>
      <c r="F810" t="s">
        <v>598</v>
      </c>
      <c r="G810" t="s">
        <v>599</v>
      </c>
      <c r="H810" t="s">
        <v>600</v>
      </c>
      <c r="I810" t="s">
        <v>601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18804</v>
      </c>
      <c r="B811" t="s">
        <v>1877</v>
      </c>
      <c r="C811" t="s">
        <v>1845</v>
      </c>
      <c r="D811" t="s">
        <v>1878</v>
      </c>
      <c r="E811" t="s">
        <v>1872</v>
      </c>
      <c r="F811" t="s">
        <v>598</v>
      </c>
      <c r="G811" t="s">
        <v>599</v>
      </c>
      <c r="H811" t="s">
        <v>600</v>
      </c>
      <c r="I811" t="s">
        <v>601</v>
      </c>
      <c r="J811">
        <v>3.5099999999999999E-2</v>
      </c>
      <c r="K811">
        <v>3.5799999999999998E-2</v>
      </c>
      <c r="L811">
        <v>3.6499999999999998E-2</v>
      </c>
      <c r="M811">
        <v>3.73E-2</v>
      </c>
      <c r="N811">
        <v>3.8100000000000002E-2</v>
      </c>
      <c r="O811">
        <v>3.8699999999999998E-2</v>
      </c>
      <c r="P811">
        <v>3.9300000000000002E-2</v>
      </c>
      <c r="Q811">
        <v>3.9899999999999998E-2</v>
      </c>
      <c r="R811">
        <v>4.0399999999999998E-2</v>
      </c>
      <c r="S811">
        <v>4.1000000000000002E-2</v>
      </c>
      <c r="T811">
        <v>4.1599999999999998E-2</v>
      </c>
      <c r="U811">
        <v>4.2099999999999999E-2</v>
      </c>
      <c r="V811">
        <v>4.2700000000000002E-2</v>
      </c>
      <c r="W811">
        <v>4.3299999999999998E-2</v>
      </c>
      <c r="X811">
        <v>4.3999999999999997E-2</v>
      </c>
      <c r="Y811">
        <v>4.4600000000000001E-2</v>
      </c>
    </row>
    <row r="812" spans="1:25" hidden="1">
      <c r="A812" t="s">
        <v>18804</v>
      </c>
      <c r="B812" t="s">
        <v>1917</v>
      </c>
      <c r="C812" t="s">
        <v>1845</v>
      </c>
      <c r="D812" t="s">
        <v>1918</v>
      </c>
      <c r="E812" t="s">
        <v>1872</v>
      </c>
      <c r="F812" t="s">
        <v>598</v>
      </c>
      <c r="G812" t="s">
        <v>599</v>
      </c>
      <c r="H812" t="s">
        <v>600</v>
      </c>
      <c r="I812" t="s">
        <v>601</v>
      </c>
      <c r="J812">
        <v>6.9999999999999999E-4</v>
      </c>
      <c r="K812">
        <v>6.9999999999999999E-4</v>
      </c>
      <c r="L812">
        <v>6.9999999999999999E-4</v>
      </c>
      <c r="M812">
        <v>6.9999999999999999E-4</v>
      </c>
      <c r="N812">
        <v>8.0000000000000004E-4</v>
      </c>
      <c r="O812">
        <v>8.0000000000000004E-4</v>
      </c>
      <c r="P812">
        <v>8.0000000000000004E-4</v>
      </c>
      <c r="Q812">
        <v>8.0000000000000004E-4</v>
      </c>
      <c r="R812">
        <v>8.0000000000000004E-4</v>
      </c>
      <c r="S812">
        <v>8.0000000000000004E-4</v>
      </c>
      <c r="T812">
        <v>8.0000000000000004E-4</v>
      </c>
      <c r="U812">
        <v>8.0000000000000004E-4</v>
      </c>
      <c r="V812">
        <v>8.0000000000000004E-4</v>
      </c>
      <c r="W812">
        <v>8.9999999999999998E-4</v>
      </c>
      <c r="X812">
        <v>8.9999999999999998E-4</v>
      </c>
      <c r="Y812">
        <v>8.9999999999999998E-4</v>
      </c>
    </row>
    <row r="813" spans="1:25" hidden="1">
      <c r="A813" t="s">
        <v>18804</v>
      </c>
      <c r="B813" t="s">
        <v>1964</v>
      </c>
      <c r="C813" t="s">
        <v>1959</v>
      </c>
      <c r="D813" t="s">
        <v>1965</v>
      </c>
      <c r="E813" t="s">
        <v>1966</v>
      </c>
      <c r="F813" t="s">
        <v>598</v>
      </c>
      <c r="G813" t="s">
        <v>599</v>
      </c>
      <c r="H813" t="s">
        <v>600</v>
      </c>
      <c r="I813" t="s">
        <v>601</v>
      </c>
      <c r="J813">
        <v>7.7000000000000002E-3</v>
      </c>
      <c r="K813">
        <v>7.9000000000000008E-3</v>
      </c>
      <c r="L813">
        <v>8.3000000000000001E-3</v>
      </c>
      <c r="M813">
        <v>8.6999999999999994E-3</v>
      </c>
      <c r="N813">
        <v>8.8000000000000005E-3</v>
      </c>
      <c r="O813">
        <v>8.8999999999999999E-3</v>
      </c>
      <c r="P813">
        <v>9.1000000000000004E-3</v>
      </c>
      <c r="Q813">
        <v>9.2999999999999992E-3</v>
      </c>
      <c r="R813">
        <v>9.4000000000000004E-3</v>
      </c>
      <c r="S813">
        <v>9.7000000000000003E-3</v>
      </c>
      <c r="T813">
        <v>9.9000000000000008E-3</v>
      </c>
      <c r="U813">
        <v>1.0200000000000001E-2</v>
      </c>
      <c r="V813">
        <v>1.04E-2</v>
      </c>
      <c r="W813">
        <v>1.06E-2</v>
      </c>
      <c r="X813">
        <v>1.09E-2</v>
      </c>
      <c r="Y813">
        <v>1.0999999999999999E-2</v>
      </c>
    </row>
    <row r="814" spans="1:25" hidden="1">
      <c r="A814" t="s">
        <v>18804</v>
      </c>
      <c r="B814" t="s">
        <v>1967</v>
      </c>
      <c r="C814" t="s">
        <v>1959</v>
      </c>
      <c r="D814" t="s">
        <v>1968</v>
      </c>
      <c r="E814" t="s">
        <v>1962</v>
      </c>
      <c r="F814" t="s">
        <v>598</v>
      </c>
      <c r="G814" t="s">
        <v>599</v>
      </c>
      <c r="H814" t="s">
        <v>600</v>
      </c>
      <c r="I814" t="s">
        <v>601</v>
      </c>
      <c r="J814">
        <v>5.0200000000000002E-2</v>
      </c>
      <c r="K814">
        <v>5.2200000000000003E-2</v>
      </c>
      <c r="L814">
        <v>5.4199999999999998E-2</v>
      </c>
      <c r="M814">
        <v>5.6399999999999999E-2</v>
      </c>
      <c r="N814">
        <v>5.7500000000000002E-2</v>
      </c>
      <c r="O814">
        <v>5.8500000000000003E-2</v>
      </c>
      <c r="P814">
        <v>5.9799999999999999E-2</v>
      </c>
      <c r="Q814">
        <v>6.1100000000000002E-2</v>
      </c>
      <c r="R814">
        <v>6.2300000000000001E-2</v>
      </c>
      <c r="S814">
        <v>6.3600000000000004E-2</v>
      </c>
      <c r="T814">
        <v>6.5100000000000005E-2</v>
      </c>
      <c r="U814">
        <v>6.6400000000000001E-2</v>
      </c>
      <c r="V814">
        <v>6.8000000000000005E-2</v>
      </c>
      <c r="W814">
        <v>6.9699999999999998E-2</v>
      </c>
      <c r="X814">
        <v>7.1099999999999997E-2</v>
      </c>
      <c r="Y814">
        <v>7.2400000000000006E-2</v>
      </c>
    </row>
    <row r="815" spans="1:25" hidden="1">
      <c r="A815" t="s">
        <v>18804</v>
      </c>
      <c r="B815" t="s">
        <v>1977</v>
      </c>
      <c r="C815" t="s">
        <v>1959</v>
      </c>
      <c r="D815" t="s">
        <v>1972</v>
      </c>
      <c r="E815" t="s">
        <v>1966</v>
      </c>
      <c r="F815" t="s">
        <v>598</v>
      </c>
      <c r="G815" t="s">
        <v>599</v>
      </c>
      <c r="H815" t="s">
        <v>600</v>
      </c>
      <c r="I815" t="s">
        <v>601</v>
      </c>
      <c r="J815">
        <v>0.19650000000000001</v>
      </c>
      <c r="K815">
        <v>0.20449999999999999</v>
      </c>
      <c r="L815">
        <v>0.21240000000000001</v>
      </c>
      <c r="M815">
        <v>0.2213</v>
      </c>
      <c r="N815">
        <v>0.2253</v>
      </c>
      <c r="O815">
        <v>0.2293</v>
      </c>
      <c r="P815">
        <v>0.23419999999999999</v>
      </c>
      <c r="Q815">
        <v>0.2392</v>
      </c>
      <c r="R815">
        <v>0.2442</v>
      </c>
      <c r="S815">
        <v>0.2492</v>
      </c>
      <c r="T815">
        <v>0.255</v>
      </c>
      <c r="U815">
        <v>0.26</v>
      </c>
      <c r="V815">
        <v>0.26690000000000003</v>
      </c>
      <c r="W815">
        <v>0.27289999999999998</v>
      </c>
      <c r="X815">
        <v>0.27889999999999998</v>
      </c>
      <c r="Y815">
        <v>0.2838</v>
      </c>
    </row>
    <row r="816" spans="1:25" hidden="1">
      <c r="A816" t="s">
        <v>18804</v>
      </c>
      <c r="B816" t="s">
        <v>1980</v>
      </c>
      <c r="C816" t="s">
        <v>1959</v>
      </c>
      <c r="D816" t="s">
        <v>1972</v>
      </c>
      <c r="E816" t="s">
        <v>1981</v>
      </c>
      <c r="F816" t="s">
        <v>598</v>
      </c>
      <c r="G816" t="s">
        <v>599</v>
      </c>
      <c r="H816" t="s">
        <v>600</v>
      </c>
      <c r="I816" t="s">
        <v>601</v>
      </c>
      <c r="J816">
        <v>3.8100000000000002E-2</v>
      </c>
      <c r="K816">
        <v>3.9600000000000003E-2</v>
      </c>
      <c r="L816">
        <v>4.1099999999999998E-2</v>
      </c>
      <c r="M816">
        <v>4.2799999999999998E-2</v>
      </c>
      <c r="N816">
        <v>4.36E-2</v>
      </c>
      <c r="O816">
        <v>4.4299999999999999E-2</v>
      </c>
      <c r="P816">
        <v>4.5400000000000003E-2</v>
      </c>
      <c r="Q816">
        <v>4.6300000000000001E-2</v>
      </c>
      <c r="R816">
        <v>4.7199999999999999E-2</v>
      </c>
      <c r="S816">
        <v>4.8300000000000003E-2</v>
      </c>
      <c r="T816">
        <v>4.9399999999999999E-2</v>
      </c>
      <c r="U816">
        <v>5.04E-2</v>
      </c>
      <c r="V816">
        <v>5.1799999999999999E-2</v>
      </c>
      <c r="W816">
        <v>5.2900000000000003E-2</v>
      </c>
      <c r="X816">
        <v>5.3999999999999999E-2</v>
      </c>
      <c r="Y816">
        <v>5.4899999999999997E-2</v>
      </c>
    </row>
    <row r="817" spans="1:25" hidden="1">
      <c r="A817" t="s">
        <v>18804</v>
      </c>
      <c r="B817" t="s">
        <v>1985</v>
      </c>
      <c r="C817" t="s">
        <v>1959</v>
      </c>
      <c r="D817" t="s">
        <v>1983</v>
      </c>
      <c r="E817" t="s">
        <v>1378</v>
      </c>
      <c r="F817" t="s">
        <v>598</v>
      </c>
      <c r="G817" t="s">
        <v>599</v>
      </c>
      <c r="H817" t="s">
        <v>600</v>
      </c>
      <c r="I817" t="s">
        <v>601</v>
      </c>
      <c r="J817">
        <v>1.1999999999999999E-3</v>
      </c>
      <c r="K817">
        <v>1.2999999999999999E-3</v>
      </c>
      <c r="L817">
        <v>1.2999999999999999E-3</v>
      </c>
      <c r="M817">
        <v>1.4E-3</v>
      </c>
      <c r="N817">
        <v>1.4E-3</v>
      </c>
      <c r="O817">
        <v>1.4E-3</v>
      </c>
      <c r="P817">
        <v>1.5E-3</v>
      </c>
      <c r="Q817">
        <v>1.5E-3</v>
      </c>
      <c r="R817">
        <v>1.5E-3</v>
      </c>
      <c r="S817">
        <v>1.6000000000000001E-3</v>
      </c>
      <c r="T817">
        <v>1.6000000000000001E-3</v>
      </c>
      <c r="U817">
        <v>1.6000000000000001E-3</v>
      </c>
      <c r="V817">
        <v>1.6999999999999999E-3</v>
      </c>
      <c r="W817">
        <v>1.6999999999999999E-3</v>
      </c>
      <c r="X817">
        <v>1.8E-3</v>
      </c>
      <c r="Y817">
        <v>1.8E-3</v>
      </c>
    </row>
    <row r="818" spans="1:25" hidden="1">
      <c r="A818" t="s">
        <v>18804</v>
      </c>
      <c r="B818" t="s">
        <v>2005</v>
      </c>
      <c r="C818" t="s">
        <v>1959</v>
      </c>
      <c r="D818" t="s">
        <v>2001</v>
      </c>
      <c r="E818" t="s">
        <v>1976</v>
      </c>
      <c r="F818" t="s">
        <v>598</v>
      </c>
      <c r="G818" t="s">
        <v>599</v>
      </c>
      <c r="H818" t="s">
        <v>600</v>
      </c>
      <c r="I818" t="s">
        <v>601</v>
      </c>
      <c r="J818">
        <v>2.2000000000000001E-3</v>
      </c>
      <c r="K818">
        <v>2.3E-3</v>
      </c>
      <c r="L818">
        <v>2.3999999999999998E-3</v>
      </c>
      <c r="M818">
        <v>2.5999999999999999E-3</v>
      </c>
      <c r="N818">
        <v>2.7000000000000001E-3</v>
      </c>
      <c r="O818">
        <v>2.7000000000000001E-3</v>
      </c>
      <c r="P818">
        <v>2.8E-3</v>
      </c>
      <c r="Q818">
        <v>2.8E-3</v>
      </c>
      <c r="R818">
        <v>2.8999999999999998E-3</v>
      </c>
      <c r="S818">
        <v>2.8999999999999998E-3</v>
      </c>
      <c r="T818">
        <v>3.0000000000000001E-3</v>
      </c>
      <c r="U818">
        <v>3.0000000000000001E-3</v>
      </c>
      <c r="V818">
        <v>3.0999999999999999E-3</v>
      </c>
      <c r="W818">
        <v>3.2000000000000002E-3</v>
      </c>
      <c r="X818">
        <v>3.2000000000000002E-3</v>
      </c>
      <c r="Y818">
        <v>3.3E-3</v>
      </c>
    </row>
    <row r="819" spans="1:25" hidden="1">
      <c r="A819" t="s">
        <v>18804</v>
      </c>
      <c r="B819" t="s">
        <v>2007</v>
      </c>
      <c r="C819" t="s">
        <v>1959</v>
      </c>
      <c r="D819" t="s">
        <v>2001</v>
      </c>
      <c r="E819" t="s">
        <v>1966</v>
      </c>
      <c r="F819" t="s">
        <v>598</v>
      </c>
      <c r="G819" t="s">
        <v>599</v>
      </c>
      <c r="H819" t="s">
        <v>600</v>
      </c>
      <c r="I819" t="s">
        <v>601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18804</v>
      </c>
      <c r="B820" t="s">
        <v>2011</v>
      </c>
      <c r="C820" t="s">
        <v>1959</v>
      </c>
      <c r="D820" t="s">
        <v>2012</v>
      </c>
      <c r="E820" t="s">
        <v>2013</v>
      </c>
      <c r="F820" t="s">
        <v>598</v>
      </c>
      <c r="G820" t="s">
        <v>599</v>
      </c>
      <c r="H820" t="s">
        <v>600</v>
      </c>
      <c r="I820" t="s">
        <v>601</v>
      </c>
      <c r="J820">
        <v>4.7500000000000001E-2</v>
      </c>
      <c r="K820">
        <v>4.9299999999999997E-2</v>
      </c>
      <c r="L820">
        <v>5.1299999999999998E-2</v>
      </c>
      <c r="M820">
        <v>5.3400000000000003E-2</v>
      </c>
      <c r="N820">
        <v>5.4300000000000001E-2</v>
      </c>
      <c r="O820">
        <v>5.5199999999999999E-2</v>
      </c>
      <c r="P820">
        <v>5.6399999999999999E-2</v>
      </c>
      <c r="Q820">
        <v>5.79E-2</v>
      </c>
      <c r="R820">
        <v>5.8999999999999997E-2</v>
      </c>
      <c r="S820">
        <v>6.0100000000000001E-2</v>
      </c>
      <c r="T820">
        <v>6.1699999999999998E-2</v>
      </c>
      <c r="U820">
        <v>6.2700000000000006E-2</v>
      </c>
      <c r="V820">
        <v>6.4399999999999999E-2</v>
      </c>
      <c r="W820">
        <v>6.59E-2</v>
      </c>
      <c r="X820">
        <v>6.7400000000000002E-2</v>
      </c>
      <c r="Y820">
        <v>6.8400000000000002E-2</v>
      </c>
    </row>
    <row r="821" spans="1:25" hidden="1">
      <c r="A821" t="s">
        <v>18804</v>
      </c>
      <c r="B821" t="s">
        <v>2014</v>
      </c>
      <c r="C821" t="s">
        <v>1959</v>
      </c>
      <c r="D821" t="s">
        <v>2012</v>
      </c>
      <c r="E821" t="s">
        <v>1970</v>
      </c>
      <c r="F821" t="s">
        <v>598</v>
      </c>
      <c r="G821" t="s">
        <v>599</v>
      </c>
      <c r="H821" t="s">
        <v>600</v>
      </c>
      <c r="I821" t="s">
        <v>601</v>
      </c>
      <c r="J821">
        <v>1E-4</v>
      </c>
      <c r="K821">
        <v>1E-4</v>
      </c>
      <c r="L821">
        <v>1E-4</v>
      </c>
      <c r="M821">
        <v>1E-4</v>
      </c>
      <c r="N821">
        <v>1E-4</v>
      </c>
      <c r="O821">
        <v>1E-4</v>
      </c>
      <c r="P821">
        <v>1E-4</v>
      </c>
      <c r="Q821">
        <v>1E-4</v>
      </c>
      <c r="R821">
        <v>1E-4</v>
      </c>
      <c r="S821">
        <v>1E-4</v>
      </c>
      <c r="T821">
        <v>1E-4</v>
      </c>
      <c r="U821">
        <v>1E-4</v>
      </c>
      <c r="V821">
        <v>1E-4</v>
      </c>
      <c r="W821">
        <v>1E-4</v>
      </c>
      <c r="X821">
        <v>1E-4</v>
      </c>
      <c r="Y821">
        <v>1E-4</v>
      </c>
    </row>
    <row r="822" spans="1:25" hidden="1">
      <c r="A822" t="s">
        <v>18804</v>
      </c>
      <c r="B822" t="s">
        <v>2024</v>
      </c>
      <c r="C822" t="s">
        <v>1959</v>
      </c>
      <c r="D822" t="s">
        <v>1817</v>
      </c>
      <c r="E822" t="s">
        <v>2025</v>
      </c>
      <c r="F822" t="s">
        <v>598</v>
      </c>
      <c r="G822" t="s">
        <v>599</v>
      </c>
      <c r="H822" t="s">
        <v>600</v>
      </c>
      <c r="I822" t="s">
        <v>601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18804</v>
      </c>
      <c r="B823" t="s">
        <v>2028</v>
      </c>
      <c r="C823" t="s">
        <v>1959</v>
      </c>
      <c r="D823" t="s">
        <v>1817</v>
      </c>
      <c r="E823" t="s">
        <v>1966</v>
      </c>
      <c r="F823" t="s">
        <v>598</v>
      </c>
      <c r="G823" t="s">
        <v>599</v>
      </c>
      <c r="H823" t="s">
        <v>600</v>
      </c>
      <c r="I823" t="s">
        <v>601</v>
      </c>
      <c r="J823">
        <v>1.6999999999999999E-3</v>
      </c>
      <c r="K823">
        <v>1.6999999999999999E-3</v>
      </c>
      <c r="L823">
        <v>1.8E-3</v>
      </c>
      <c r="M823">
        <v>1.9E-3</v>
      </c>
      <c r="N823">
        <v>1.9E-3</v>
      </c>
      <c r="O823">
        <v>2E-3</v>
      </c>
      <c r="P823">
        <v>2E-3</v>
      </c>
      <c r="Q823">
        <v>2E-3</v>
      </c>
      <c r="R823">
        <v>2.0999999999999999E-3</v>
      </c>
      <c r="S823">
        <v>2.0999999999999999E-3</v>
      </c>
      <c r="T823">
        <v>2.2000000000000001E-3</v>
      </c>
      <c r="U823">
        <v>2.2000000000000001E-3</v>
      </c>
      <c r="V823">
        <v>2.3E-3</v>
      </c>
      <c r="W823">
        <v>2.3E-3</v>
      </c>
      <c r="X823">
        <v>2.3999999999999998E-3</v>
      </c>
      <c r="Y823">
        <v>2.3999999999999998E-3</v>
      </c>
    </row>
    <row r="824" spans="1:25" hidden="1">
      <c r="A824" t="s">
        <v>18804</v>
      </c>
      <c r="B824" t="s">
        <v>2034</v>
      </c>
      <c r="C824" t="s">
        <v>1959</v>
      </c>
      <c r="D824" t="s">
        <v>648</v>
      </c>
      <c r="E824" t="s">
        <v>1973</v>
      </c>
      <c r="F824" t="s">
        <v>598</v>
      </c>
      <c r="G824" t="s">
        <v>599</v>
      </c>
      <c r="H824" t="s">
        <v>600</v>
      </c>
      <c r="I824" t="s">
        <v>601</v>
      </c>
      <c r="J824">
        <v>6.4000000000000003E-3</v>
      </c>
      <c r="K824">
        <v>6.7000000000000002E-3</v>
      </c>
      <c r="L824">
        <v>6.8999999999999999E-3</v>
      </c>
      <c r="M824">
        <v>7.1999999999999998E-3</v>
      </c>
      <c r="N824">
        <v>7.3000000000000001E-3</v>
      </c>
      <c r="O824">
        <v>7.4999999999999997E-3</v>
      </c>
      <c r="P824">
        <v>7.6E-3</v>
      </c>
      <c r="Q824">
        <v>7.7999999999999996E-3</v>
      </c>
      <c r="R824">
        <v>7.9000000000000008E-3</v>
      </c>
      <c r="S824">
        <v>8.0999999999999996E-3</v>
      </c>
      <c r="T824">
        <v>8.3000000000000001E-3</v>
      </c>
      <c r="U824">
        <v>8.5000000000000006E-3</v>
      </c>
      <c r="V824">
        <v>8.6999999999999994E-3</v>
      </c>
      <c r="W824">
        <v>8.8999999999999999E-3</v>
      </c>
      <c r="X824">
        <v>9.1000000000000004E-3</v>
      </c>
      <c r="Y824">
        <v>9.1999999999999998E-3</v>
      </c>
    </row>
    <row r="825" spans="1:25" hidden="1">
      <c r="A825" t="s">
        <v>18804</v>
      </c>
      <c r="B825" t="s">
        <v>2039</v>
      </c>
      <c r="C825" t="s">
        <v>1959</v>
      </c>
      <c r="D825" t="s">
        <v>648</v>
      </c>
      <c r="E825" t="s">
        <v>1378</v>
      </c>
      <c r="F825" t="s">
        <v>598</v>
      </c>
      <c r="G825" t="s">
        <v>599</v>
      </c>
      <c r="H825" t="s">
        <v>600</v>
      </c>
      <c r="I825" t="s">
        <v>601</v>
      </c>
      <c r="J825">
        <v>0.26850000000000002</v>
      </c>
      <c r="K825">
        <v>0.27929999999999999</v>
      </c>
      <c r="L825">
        <v>0.29010000000000002</v>
      </c>
      <c r="M825">
        <v>0.30230000000000001</v>
      </c>
      <c r="N825">
        <v>0.30780000000000002</v>
      </c>
      <c r="O825">
        <v>0.31319999999999998</v>
      </c>
      <c r="P825">
        <v>0.32</v>
      </c>
      <c r="Q825">
        <v>0.3266</v>
      </c>
      <c r="R825">
        <v>0.33350000000000002</v>
      </c>
      <c r="S825">
        <v>0.34010000000000001</v>
      </c>
      <c r="T825">
        <v>0.3483</v>
      </c>
      <c r="U825">
        <v>0.35499999999999998</v>
      </c>
      <c r="V825">
        <v>0.36459999999999998</v>
      </c>
      <c r="W825">
        <v>0.37290000000000001</v>
      </c>
      <c r="X825">
        <v>0.38090000000000002</v>
      </c>
      <c r="Y825">
        <v>0.3876</v>
      </c>
    </row>
    <row r="826" spans="1:25" hidden="1">
      <c r="A826" t="s">
        <v>18804</v>
      </c>
      <c r="B826" t="s">
        <v>2040</v>
      </c>
      <c r="C826" t="s">
        <v>1959</v>
      </c>
      <c r="D826" t="s">
        <v>648</v>
      </c>
      <c r="E826" t="s">
        <v>1962</v>
      </c>
      <c r="F826" t="s">
        <v>598</v>
      </c>
      <c r="G826" t="s">
        <v>599</v>
      </c>
      <c r="H826" t="s">
        <v>600</v>
      </c>
      <c r="I826" t="s">
        <v>601</v>
      </c>
      <c r="J826">
        <v>1.6000000000000001E-3</v>
      </c>
      <c r="K826">
        <v>1.6000000000000001E-3</v>
      </c>
      <c r="L826">
        <v>1.6999999999999999E-3</v>
      </c>
      <c r="M826">
        <v>1.6999999999999999E-3</v>
      </c>
      <c r="N826">
        <v>1.8E-3</v>
      </c>
      <c r="O826">
        <v>1.8E-3</v>
      </c>
      <c r="P826">
        <v>1.8E-3</v>
      </c>
      <c r="Q826">
        <v>1.9E-3</v>
      </c>
      <c r="R826">
        <v>1.9E-3</v>
      </c>
      <c r="S826">
        <v>2E-3</v>
      </c>
      <c r="T826">
        <v>2E-3</v>
      </c>
      <c r="U826">
        <v>2.0999999999999999E-3</v>
      </c>
      <c r="V826">
        <v>2.0999999999999999E-3</v>
      </c>
      <c r="W826">
        <v>2.2000000000000001E-3</v>
      </c>
      <c r="X826">
        <v>2.2000000000000001E-3</v>
      </c>
      <c r="Y826">
        <v>2.2000000000000001E-3</v>
      </c>
    </row>
    <row r="827" spans="1:25" hidden="1">
      <c r="A827" t="s">
        <v>18804</v>
      </c>
      <c r="B827" t="s">
        <v>2055</v>
      </c>
      <c r="C827" t="s">
        <v>1959</v>
      </c>
      <c r="D827" t="s">
        <v>648</v>
      </c>
      <c r="E827" t="s">
        <v>1970</v>
      </c>
      <c r="F827" t="s">
        <v>598</v>
      </c>
      <c r="G827" t="s">
        <v>599</v>
      </c>
      <c r="H827" t="s">
        <v>600</v>
      </c>
      <c r="I827" t="s">
        <v>601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18804</v>
      </c>
      <c r="B828" t="s">
        <v>2117</v>
      </c>
      <c r="C828" t="s">
        <v>2116</v>
      </c>
      <c r="D828" t="s">
        <v>2118</v>
      </c>
      <c r="E828" t="s">
        <v>2119</v>
      </c>
      <c r="F828" t="s">
        <v>598</v>
      </c>
      <c r="G828" t="s">
        <v>599</v>
      </c>
      <c r="H828" t="s">
        <v>600</v>
      </c>
      <c r="I828" t="s">
        <v>601</v>
      </c>
      <c r="J828">
        <v>1E-3</v>
      </c>
      <c r="K828">
        <v>1E-3</v>
      </c>
      <c r="L828">
        <v>1E-3</v>
      </c>
      <c r="M828">
        <v>1E-3</v>
      </c>
      <c r="N828">
        <v>1E-3</v>
      </c>
      <c r="O828">
        <v>1E-3</v>
      </c>
      <c r="P828">
        <v>1E-3</v>
      </c>
      <c r="Q828">
        <v>1E-3</v>
      </c>
      <c r="R828">
        <v>1E-3</v>
      </c>
      <c r="S828">
        <v>1E-3</v>
      </c>
      <c r="T828">
        <v>1E-3</v>
      </c>
      <c r="U828">
        <v>1E-3</v>
      </c>
      <c r="V828">
        <v>1E-3</v>
      </c>
      <c r="W828">
        <v>1E-3</v>
      </c>
      <c r="X828">
        <v>1E-3</v>
      </c>
      <c r="Y828">
        <v>1E-3</v>
      </c>
    </row>
    <row r="829" spans="1:25" hidden="1">
      <c r="A829" t="s">
        <v>18804</v>
      </c>
      <c r="B829" t="s">
        <v>2126</v>
      </c>
      <c r="C829" t="s">
        <v>2116</v>
      </c>
      <c r="D829" t="s">
        <v>2127</v>
      </c>
      <c r="E829" t="s">
        <v>656</v>
      </c>
      <c r="F829" t="s">
        <v>598</v>
      </c>
      <c r="G829" t="s">
        <v>599</v>
      </c>
      <c r="H829" t="s">
        <v>600</v>
      </c>
      <c r="I829" t="s">
        <v>601</v>
      </c>
      <c r="J829">
        <v>3.6999999999999998E-2</v>
      </c>
      <c r="K829">
        <v>3.73E-2</v>
      </c>
      <c r="L829">
        <v>3.7699999999999997E-2</v>
      </c>
      <c r="M829">
        <v>3.8199999999999998E-2</v>
      </c>
      <c r="N829">
        <v>3.8199999999999998E-2</v>
      </c>
      <c r="O829">
        <v>3.8199999999999998E-2</v>
      </c>
      <c r="P829">
        <v>3.7900000000000003E-2</v>
      </c>
      <c r="Q829">
        <v>3.7900000000000003E-2</v>
      </c>
      <c r="R829">
        <v>3.7900000000000003E-2</v>
      </c>
      <c r="S829">
        <v>3.8199999999999998E-2</v>
      </c>
      <c r="T829">
        <v>3.8199999999999998E-2</v>
      </c>
      <c r="U829">
        <v>3.8399999999999997E-2</v>
      </c>
      <c r="V829">
        <v>3.8699999999999998E-2</v>
      </c>
      <c r="W829">
        <v>3.9E-2</v>
      </c>
      <c r="X829">
        <v>3.9100000000000003E-2</v>
      </c>
      <c r="Y829">
        <v>3.95E-2</v>
      </c>
    </row>
    <row r="830" spans="1:25" hidden="1">
      <c r="A830" t="s">
        <v>18804</v>
      </c>
      <c r="B830" t="s">
        <v>2128</v>
      </c>
      <c r="C830" t="s">
        <v>2116</v>
      </c>
      <c r="D830" t="s">
        <v>648</v>
      </c>
      <c r="E830" t="s">
        <v>656</v>
      </c>
      <c r="F830" t="s">
        <v>598</v>
      </c>
      <c r="G830" t="s">
        <v>599</v>
      </c>
      <c r="H830" t="s">
        <v>600</v>
      </c>
      <c r="I830" t="s">
        <v>601</v>
      </c>
      <c r="J830">
        <v>5.8999999999999999E-3</v>
      </c>
      <c r="K830">
        <v>6.1000000000000004E-3</v>
      </c>
      <c r="L830">
        <v>6.3E-3</v>
      </c>
      <c r="M830">
        <v>6.6E-3</v>
      </c>
      <c r="N830">
        <v>6.7000000000000002E-3</v>
      </c>
      <c r="O830">
        <v>6.8999999999999999E-3</v>
      </c>
      <c r="P830">
        <v>7.0000000000000001E-3</v>
      </c>
      <c r="Q830">
        <v>7.1000000000000004E-3</v>
      </c>
      <c r="R830">
        <v>7.3000000000000001E-3</v>
      </c>
      <c r="S830">
        <v>7.4000000000000003E-3</v>
      </c>
      <c r="T830">
        <v>7.4999999999999997E-3</v>
      </c>
      <c r="U830">
        <v>7.7000000000000002E-3</v>
      </c>
      <c r="V830">
        <v>7.7999999999999996E-3</v>
      </c>
      <c r="W830">
        <v>8.0000000000000002E-3</v>
      </c>
      <c r="X830">
        <v>8.2000000000000007E-3</v>
      </c>
      <c r="Y830">
        <v>8.3000000000000001E-3</v>
      </c>
    </row>
    <row r="831" spans="1:25" hidden="1">
      <c r="A831" t="s">
        <v>18804</v>
      </c>
      <c r="B831" t="s">
        <v>2145</v>
      </c>
      <c r="C831" t="s">
        <v>2144</v>
      </c>
      <c r="D831" t="s">
        <v>1435</v>
      </c>
      <c r="E831" t="s">
        <v>973</v>
      </c>
      <c r="F831" t="s">
        <v>598</v>
      </c>
      <c r="G831" t="s">
        <v>599</v>
      </c>
      <c r="H831" t="s">
        <v>600</v>
      </c>
      <c r="I831" t="s">
        <v>601</v>
      </c>
      <c r="J831">
        <v>1.8E-3</v>
      </c>
      <c r="K831">
        <v>1.8E-3</v>
      </c>
      <c r="L831">
        <v>1.6999999999999999E-3</v>
      </c>
      <c r="M831">
        <v>1.6999999999999999E-3</v>
      </c>
      <c r="N831">
        <v>1.6000000000000001E-3</v>
      </c>
      <c r="O831">
        <v>1.6000000000000001E-3</v>
      </c>
      <c r="P831">
        <v>1.6000000000000001E-3</v>
      </c>
      <c r="Q831">
        <v>1.5E-3</v>
      </c>
      <c r="R831">
        <v>1.5E-3</v>
      </c>
      <c r="S831">
        <v>1.5E-3</v>
      </c>
      <c r="T831">
        <v>1.4E-3</v>
      </c>
      <c r="U831">
        <v>1.4E-3</v>
      </c>
      <c r="V831">
        <v>1.4E-3</v>
      </c>
      <c r="W831">
        <v>1.2999999999999999E-3</v>
      </c>
      <c r="X831">
        <v>1.2999999999999999E-3</v>
      </c>
      <c r="Y831">
        <v>1.2999999999999999E-3</v>
      </c>
    </row>
    <row r="832" spans="1:25" hidden="1">
      <c r="A832" t="s">
        <v>18804</v>
      </c>
      <c r="B832" t="s">
        <v>2167</v>
      </c>
      <c r="C832" t="s">
        <v>2154</v>
      </c>
      <c r="D832" t="s">
        <v>1332</v>
      </c>
      <c r="E832" t="s">
        <v>1684</v>
      </c>
      <c r="F832" t="s">
        <v>598</v>
      </c>
      <c r="G832" t="s">
        <v>599</v>
      </c>
      <c r="H832" t="s">
        <v>600</v>
      </c>
      <c r="I832" t="s">
        <v>601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18804</v>
      </c>
      <c r="B833" t="s">
        <v>2172</v>
      </c>
      <c r="C833" t="s">
        <v>2154</v>
      </c>
      <c r="D833" t="s">
        <v>1435</v>
      </c>
      <c r="E833" t="s">
        <v>973</v>
      </c>
      <c r="F833" t="s">
        <v>598</v>
      </c>
      <c r="G833" t="s">
        <v>599</v>
      </c>
      <c r="H833" t="s">
        <v>600</v>
      </c>
      <c r="I833" t="s">
        <v>601</v>
      </c>
      <c r="J833">
        <v>5.7999999999999996E-3</v>
      </c>
      <c r="K833">
        <v>6.0000000000000001E-3</v>
      </c>
      <c r="L833">
        <v>6.1999999999999998E-3</v>
      </c>
      <c r="M833">
        <v>6.4999999999999997E-3</v>
      </c>
      <c r="N833">
        <v>6.6E-3</v>
      </c>
      <c r="O833">
        <v>6.7000000000000002E-3</v>
      </c>
      <c r="P833">
        <v>6.8999999999999999E-3</v>
      </c>
      <c r="Q833">
        <v>7.0000000000000001E-3</v>
      </c>
      <c r="R833">
        <v>7.1000000000000004E-3</v>
      </c>
      <c r="S833">
        <v>7.1999999999999998E-3</v>
      </c>
      <c r="T833">
        <v>7.4000000000000003E-3</v>
      </c>
      <c r="U833">
        <v>7.4999999999999997E-3</v>
      </c>
      <c r="V833">
        <v>7.7000000000000002E-3</v>
      </c>
      <c r="W833">
        <v>7.9000000000000008E-3</v>
      </c>
      <c r="X833">
        <v>8.0000000000000002E-3</v>
      </c>
      <c r="Y833">
        <v>8.2000000000000007E-3</v>
      </c>
    </row>
    <row r="834" spans="1:25" hidden="1">
      <c r="A834" t="s">
        <v>18804</v>
      </c>
      <c r="B834" t="s">
        <v>2173</v>
      </c>
      <c r="C834" t="s">
        <v>2154</v>
      </c>
      <c r="D834" t="s">
        <v>1354</v>
      </c>
      <c r="E834" t="s">
        <v>973</v>
      </c>
      <c r="F834" t="s">
        <v>598</v>
      </c>
      <c r="G834" t="s">
        <v>599</v>
      </c>
      <c r="H834" t="s">
        <v>600</v>
      </c>
      <c r="I834" t="s">
        <v>601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hidden="1">
      <c r="A835" t="s">
        <v>18804</v>
      </c>
      <c r="B835" t="s">
        <v>2187</v>
      </c>
      <c r="C835" t="s">
        <v>2154</v>
      </c>
      <c r="D835" t="s">
        <v>648</v>
      </c>
      <c r="E835" t="s">
        <v>920</v>
      </c>
      <c r="F835" t="s">
        <v>598</v>
      </c>
      <c r="G835" t="s">
        <v>599</v>
      </c>
      <c r="H835" t="s">
        <v>600</v>
      </c>
      <c r="I835" t="s">
        <v>601</v>
      </c>
      <c r="J835">
        <v>2.2000000000000001E-3</v>
      </c>
      <c r="K835">
        <v>2.3E-3</v>
      </c>
      <c r="L835">
        <v>2.3999999999999998E-3</v>
      </c>
      <c r="M835">
        <v>2.3999999999999998E-3</v>
      </c>
      <c r="N835">
        <v>2.5000000000000001E-3</v>
      </c>
      <c r="O835">
        <v>2.5000000000000001E-3</v>
      </c>
      <c r="P835">
        <v>2.5999999999999999E-3</v>
      </c>
      <c r="Q835">
        <v>2.5999999999999999E-3</v>
      </c>
      <c r="R835">
        <v>2.7000000000000001E-3</v>
      </c>
      <c r="S835">
        <v>2.7000000000000001E-3</v>
      </c>
      <c r="T835">
        <v>2.8E-3</v>
      </c>
      <c r="U835">
        <v>2.8999999999999998E-3</v>
      </c>
      <c r="V835">
        <v>3.0000000000000001E-3</v>
      </c>
      <c r="W835">
        <v>3.0000000000000001E-3</v>
      </c>
      <c r="X835">
        <v>3.0999999999999999E-3</v>
      </c>
      <c r="Y835">
        <v>3.0999999999999999E-3</v>
      </c>
    </row>
    <row r="836" spans="1:25" hidden="1">
      <c r="A836" t="s">
        <v>18804</v>
      </c>
      <c r="B836" t="s">
        <v>2197</v>
      </c>
      <c r="C836" t="s">
        <v>2154</v>
      </c>
      <c r="D836" t="s">
        <v>648</v>
      </c>
      <c r="E836" t="s">
        <v>646</v>
      </c>
      <c r="F836" t="s">
        <v>598</v>
      </c>
      <c r="G836" t="s">
        <v>599</v>
      </c>
      <c r="H836" t="s">
        <v>600</v>
      </c>
      <c r="I836" t="s">
        <v>601</v>
      </c>
      <c r="J836">
        <v>1E-3</v>
      </c>
      <c r="K836">
        <v>1E-3</v>
      </c>
      <c r="L836">
        <v>1.1000000000000001E-3</v>
      </c>
      <c r="M836">
        <v>1.1000000000000001E-3</v>
      </c>
      <c r="N836">
        <v>1.1000000000000001E-3</v>
      </c>
      <c r="O836">
        <v>1.1999999999999999E-3</v>
      </c>
      <c r="P836">
        <v>1.2999999999999999E-3</v>
      </c>
      <c r="Q836">
        <v>1.2999999999999999E-3</v>
      </c>
      <c r="R836">
        <v>1.2999999999999999E-3</v>
      </c>
      <c r="S836">
        <v>1.2999999999999999E-3</v>
      </c>
      <c r="T836">
        <v>1.2999999999999999E-3</v>
      </c>
      <c r="U836">
        <v>1.4E-3</v>
      </c>
      <c r="V836">
        <v>1.4E-3</v>
      </c>
      <c r="W836">
        <v>1.4E-3</v>
      </c>
      <c r="X836">
        <v>1.4E-3</v>
      </c>
      <c r="Y836">
        <v>1.5E-3</v>
      </c>
    </row>
    <row r="837" spans="1:25">
      <c r="J837">
        <f>SUBTOTAL(109,Table108[2015])</f>
        <v>0.27059999999999995</v>
      </c>
      <c r="K837">
        <f>SUBTOTAL(109,Table108[2016])</f>
        <v>0.2787</v>
      </c>
      <c r="L837">
        <f>SUBTOTAL(109,Table108[2017])</f>
        <v>0.28610000000000002</v>
      </c>
      <c r="M837">
        <f>SUBTOTAL(109,Table108[2018])</f>
        <v>0.28690000000000004</v>
      </c>
      <c r="N837">
        <f>SUBTOTAL(109,Table108[2019])</f>
        <v>0.28699999999999998</v>
      </c>
      <c r="O837">
        <f>SUBTOTAL(109,Table108[2020])</f>
        <v>0.2717</v>
      </c>
      <c r="P837">
        <f>SUBTOTAL(109,Table108[2021])</f>
        <v>0.27239999999999998</v>
      </c>
      <c r="Q837">
        <f>SUBTOTAL(109,Table108[2022])</f>
        <v>0.2737</v>
      </c>
      <c r="R837">
        <f>SUBTOTAL(109,Table108[2023])</f>
        <v>0.27450000000000002</v>
      </c>
      <c r="S837">
        <f>SUBTOTAL(109,Table108[2024])</f>
        <v>0.2762</v>
      </c>
      <c r="T837">
        <f>SUBTOTAL(109,Table108[2025])</f>
        <v>0.27810000000000001</v>
      </c>
      <c r="U837">
        <f>SUBTOTAL(109,Table108[2026])</f>
        <v>0.2797</v>
      </c>
      <c r="V837">
        <f>SUBTOTAL(109,Table108[2027])</f>
        <v>0.28039999999999998</v>
      </c>
      <c r="W837">
        <f>SUBTOTAL(109,Table108[2028])</f>
        <v>0.28170000000000001</v>
      </c>
      <c r="X837">
        <f>SUBTOTAL(109,Table108[2029])</f>
        <v>0.28339999999999999</v>
      </c>
      <c r="Y837">
        <f>SUBTOTAL(109,Table108[2030])</f>
        <v>0.28439999999999999</v>
      </c>
    </row>
    <row r="839" spans="1:25">
      <c r="A839" t="s">
        <v>569</v>
      </c>
      <c r="B839" t="s">
        <v>570</v>
      </c>
      <c r="C839" t="s">
        <v>571</v>
      </c>
      <c r="D839" t="s">
        <v>572</v>
      </c>
      <c r="E839" t="s">
        <v>573</v>
      </c>
      <c r="F839" t="s">
        <v>574</v>
      </c>
      <c r="G839" t="s">
        <v>575</v>
      </c>
      <c r="H839" t="s">
        <v>576</v>
      </c>
      <c r="I839" t="s">
        <v>577</v>
      </c>
      <c r="J839" t="s">
        <v>578</v>
      </c>
      <c r="K839" t="s">
        <v>579</v>
      </c>
      <c r="L839" t="s">
        <v>580</v>
      </c>
      <c r="M839" t="s">
        <v>581</v>
      </c>
      <c r="N839" t="s">
        <v>582</v>
      </c>
      <c r="O839" t="s">
        <v>583</v>
      </c>
      <c r="P839" t="s">
        <v>584</v>
      </c>
      <c r="Q839" t="s">
        <v>585</v>
      </c>
      <c r="R839" t="s">
        <v>586</v>
      </c>
      <c r="S839" t="s">
        <v>587</v>
      </c>
      <c r="T839" t="s">
        <v>588</v>
      </c>
      <c r="U839" t="s">
        <v>589</v>
      </c>
      <c r="V839" t="s">
        <v>590</v>
      </c>
      <c r="W839" t="s">
        <v>591</v>
      </c>
      <c r="X839" t="s">
        <v>592</v>
      </c>
      <c r="Y839" t="s">
        <v>593</v>
      </c>
    </row>
    <row r="840" spans="1:25">
      <c r="A840" t="s">
        <v>18805</v>
      </c>
      <c r="B840" t="s">
        <v>594</v>
      </c>
      <c r="C840" t="s">
        <v>595</v>
      </c>
      <c r="D840" t="s">
        <v>596</v>
      </c>
      <c r="E840" t="s">
        <v>597</v>
      </c>
      <c r="F840" t="s">
        <v>598</v>
      </c>
      <c r="G840" t="s">
        <v>599</v>
      </c>
      <c r="H840" t="s">
        <v>600</v>
      </c>
      <c r="I840" t="s">
        <v>601</v>
      </c>
      <c r="J840">
        <v>2.9999999999999997E-4</v>
      </c>
      <c r="K840">
        <v>4.0000000000000002E-4</v>
      </c>
      <c r="L840">
        <v>4.0000000000000002E-4</v>
      </c>
      <c r="M840">
        <v>4.0000000000000002E-4</v>
      </c>
      <c r="N840">
        <v>4.0000000000000002E-4</v>
      </c>
      <c r="O840">
        <v>2.9999999999999997E-4</v>
      </c>
      <c r="P840">
        <v>2.9999999999999997E-4</v>
      </c>
      <c r="Q840">
        <v>2.9999999999999997E-4</v>
      </c>
      <c r="R840">
        <v>2.9999999999999997E-4</v>
      </c>
      <c r="S840">
        <v>2.9999999999999997E-4</v>
      </c>
      <c r="T840">
        <v>2.9999999999999997E-4</v>
      </c>
      <c r="U840">
        <v>2.9999999999999997E-4</v>
      </c>
      <c r="V840">
        <v>2.9999999999999997E-4</v>
      </c>
      <c r="W840">
        <v>2.9999999999999997E-4</v>
      </c>
      <c r="X840">
        <v>2.9999999999999997E-4</v>
      </c>
      <c r="Y840">
        <v>2.9999999999999997E-4</v>
      </c>
    </row>
    <row r="841" spans="1:25">
      <c r="A841" t="s">
        <v>18805</v>
      </c>
      <c r="B841" t="s">
        <v>602</v>
      </c>
      <c r="C841" t="s">
        <v>595</v>
      </c>
      <c r="D841" t="s">
        <v>596</v>
      </c>
      <c r="E841" t="s">
        <v>603</v>
      </c>
      <c r="F841" t="s">
        <v>598</v>
      </c>
      <c r="G841" t="s">
        <v>599</v>
      </c>
      <c r="H841" t="s">
        <v>600</v>
      </c>
      <c r="I841" t="s">
        <v>601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25">
      <c r="A842" t="s">
        <v>18805</v>
      </c>
      <c r="B842" t="s">
        <v>616</v>
      </c>
      <c r="C842" t="s">
        <v>595</v>
      </c>
      <c r="D842" t="s">
        <v>596</v>
      </c>
      <c r="E842" t="s">
        <v>617</v>
      </c>
      <c r="F842" t="s">
        <v>598</v>
      </c>
      <c r="G842" t="s">
        <v>599</v>
      </c>
      <c r="H842" t="s">
        <v>600</v>
      </c>
      <c r="I842" t="s">
        <v>601</v>
      </c>
      <c r="J842">
        <v>0.14499999999999999</v>
      </c>
      <c r="K842">
        <v>0.14990000000000001</v>
      </c>
      <c r="L842">
        <v>0.15060000000000001</v>
      </c>
      <c r="M842">
        <v>0.1535</v>
      </c>
      <c r="N842">
        <v>0.15529999999999999</v>
      </c>
      <c r="O842">
        <v>0.16139999999999999</v>
      </c>
      <c r="P842">
        <v>0.16239999999999999</v>
      </c>
      <c r="Q842">
        <v>0.16500000000000001</v>
      </c>
      <c r="R842">
        <v>0.1668</v>
      </c>
      <c r="S842">
        <v>0.1711</v>
      </c>
      <c r="T842">
        <v>0.17599999999999999</v>
      </c>
      <c r="U842">
        <v>0.17949999999999999</v>
      </c>
      <c r="V842">
        <v>0.18099999999999999</v>
      </c>
      <c r="W842">
        <v>0.18490000000000001</v>
      </c>
      <c r="X842">
        <v>0.1888</v>
      </c>
      <c r="Y842">
        <v>0.19120000000000001</v>
      </c>
    </row>
    <row r="843" spans="1:25">
      <c r="A843" t="s">
        <v>18805</v>
      </c>
      <c r="B843" t="s">
        <v>620</v>
      </c>
      <c r="C843" t="s">
        <v>595</v>
      </c>
      <c r="D843" t="s">
        <v>621</v>
      </c>
      <c r="E843" t="s">
        <v>597</v>
      </c>
      <c r="F843" t="s">
        <v>598</v>
      </c>
      <c r="G843" t="s">
        <v>599</v>
      </c>
      <c r="H843" t="s">
        <v>600</v>
      </c>
      <c r="I843" t="s">
        <v>601</v>
      </c>
      <c r="J843">
        <v>2.0400000000000001E-2</v>
      </c>
      <c r="K843">
        <v>2.1000000000000001E-2</v>
      </c>
      <c r="L843">
        <v>2.1600000000000001E-2</v>
      </c>
      <c r="M843">
        <v>2.1600000000000001E-2</v>
      </c>
      <c r="N843">
        <v>2.1600000000000001E-2</v>
      </c>
      <c r="O843">
        <v>2.01E-2</v>
      </c>
      <c r="P843">
        <v>2.01E-2</v>
      </c>
      <c r="Q843">
        <v>2.01E-2</v>
      </c>
      <c r="R843">
        <v>2.0199999999999999E-2</v>
      </c>
      <c r="S843">
        <v>2.0199999999999999E-2</v>
      </c>
      <c r="T843">
        <v>2.0199999999999999E-2</v>
      </c>
      <c r="U843">
        <v>2.0299999999999999E-2</v>
      </c>
      <c r="V843">
        <v>2.0299999999999999E-2</v>
      </c>
      <c r="W843">
        <v>2.0299999999999999E-2</v>
      </c>
      <c r="X843">
        <v>2.0400000000000001E-2</v>
      </c>
      <c r="Y843">
        <v>2.0400000000000001E-2</v>
      </c>
    </row>
    <row r="844" spans="1:25">
      <c r="A844" t="s">
        <v>18805</v>
      </c>
      <c r="B844" t="s">
        <v>627</v>
      </c>
      <c r="C844" t="s">
        <v>595</v>
      </c>
      <c r="D844" t="s">
        <v>621</v>
      </c>
      <c r="E844" t="s">
        <v>628</v>
      </c>
      <c r="F844" t="s">
        <v>598</v>
      </c>
      <c r="G844" t="s">
        <v>599</v>
      </c>
      <c r="H844" t="s">
        <v>600</v>
      </c>
      <c r="I844" t="s">
        <v>601</v>
      </c>
      <c r="J844">
        <v>2.0000000000000001E-4</v>
      </c>
      <c r="K844">
        <v>2.0000000000000001E-4</v>
      </c>
      <c r="L844">
        <v>2.0000000000000001E-4</v>
      </c>
      <c r="M844">
        <v>2.0000000000000001E-4</v>
      </c>
      <c r="N844">
        <v>2.0000000000000001E-4</v>
      </c>
      <c r="O844">
        <v>2.0000000000000001E-4</v>
      </c>
      <c r="P844">
        <v>2.0000000000000001E-4</v>
      </c>
      <c r="Q844">
        <v>2.0000000000000001E-4</v>
      </c>
      <c r="R844">
        <v>2.0000000000000001E-4</v>
      </c>
      <c r="S844">
        <v>2.0000000000000001E-4</v>
      </c>
      <c r="T844">
        <v>2.0000000000000001E-4</v>
      </c>
      <c r="U844">
        <v>2.0000000000000001E-4</v>
      </c>
      <c r="V844">
        <v>2.0000000000000001E-4</v>
      </c>
      <c r="W844">
        <v>2.0000000000000001E-4</v>
      </c>
      <c r="X844">
        <v>2.0000000000000001E-4</v>
      </c>
      <c r="Y844">
        <v>2.0000000000000001E-4</v>
      </c>
    </row>
    <row r="845" spans="1:25">
      <c r="A845" t="s">
        <v>18805</v>
      </c>
      <c r="B845" t="s">
        <v>629</v>
      </c>
      <c r="C845" t="s">
        <v>595</v>
      </c>
      <c r="D845" t="s">
        <v>621</v>
      </c>
      <c r="E845" t="s">
        <v>630</v>
      </c>
      <c r="F845" t="s">
        <v>598</v>
      </c>
      <c r="G845" t="s">
        <v>599</v>
      </c>
      <c r="H845" t="s">
        <v>600</v>
      </c>
      <c r="I845" t="s">
        <v>601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>
      <c r="A846" t="s">
        <v>18805</v>
      </c>
      <c r="B846" t="s">
        <v>647</v>
      </c>
      <c r="C846" t="s">
        <v>595</v>
      </c>
      <c r="D846" t="s">
        <v>648</v>
      </c>
      <c r="E846" t="s">
        <v>649</v>
      </c>
      <c r="F846" t="s">
        <v>598</v>
      </c>
      <c r="G846" t="s">
        <v>599</v>
      </c>
      <c r="H846" t="s">
        <v>600</v>
      </c>
      <c r="I846" t="s">
        <v>601</v>
      </c>
      <c r="J846">
        <v>0.10050000000000001</v>
      </c>
      <c r="K846">
        <v>0.10050000000000001</v>
      </c>
      <c r="L846">
        <v>0.10050000000000001</v>
      </c>
      <c r="M846">
        <v>0.10050000000000001</v>
      </c>
      <c r="N846">
        <v>0.10050000000000001</v>
      </c>
      <c r="O846">
        <v>0.10050000000000001</v>
      </c>
      <c r="P846">
        <v>0.10050000000000001</v>
      </c>
      <c r="Q846">
        <v>0.10050000000000001</v>
      </c>
      <c r="R846">
        <v>0.10050000000000001</v>
      </c>
      <c r="S846">
        <v>0.10050000000000001</v>
      </c>
      <c r="T846">
        <v>0.10050000000000001</v>
      </c>
      <c r="U846">
        <v>0.10050000000000001</v>
      </c>
      <c r="V846">
        <v>0.10050000000000001</v>
      </c>
      <c r="W846">
        <v>0.10050000000000001</v>
      </c>
      <c r="X846">
        <v>0.10050000000000001</v>
      </c>
      <c r="Y846">
        <v>0.10050000000000001</v>
      </c>
    </row>
    <row r="847" spans="1:25" hidden="1">
      <c r="A847" t="s">
        <v>18805</v>
      </c>
      <c r="B847" t="s">
        <v>655</v>
      </c>
      <c r="C847" t="s">
        <v>651</v>
      </c>
      <c r="D847" t="s">
        <v>596</v>
      </c>
      <c r="E847" t="s">
        <v>656</v>
      </c>
      <c r="F847" t="s">
        <v>598</v>
      </c>
      <c r="G847" t="s">
        <v>599</v>
      </c>
      <c r="H847" t="s">
        <v>600</v>
      </c>
      <c r="I847" t="s">
        <v>601</v>
      </c>
      <c r="J847">
        <v>2.6599999999999999E-2</v>
      </c>
      <c r="K847">
        <v>3.0499999999999999E-2</v>
      </c>
      <c r="L847">
        <v>3.27E-2</v>
      </c>
      <c r="M847">
        <v>3.56E-2</v>
      </c>
      <c r="N847">
        <v>3.7600000000000001E-2</v>
      </c>
      <c r="O847">
        <v>3.9100000000000003E-2</v>
      </c>
      <c r="P847">
        <v>3.9600000000000003E-2</v>
      </c>
      <c r="Q847">
        <v>0.04</v>
      </c>
      <c r="R847">
        <v>4.1000000000000002E-2</v>
      </c>
      <c r="S847">
        <v>4.1700000000000001E-2</v>
      </c>
      <c r="T847">
        <v>4.24E-2</v>
      </c>
      <c r="U847">
        <v>4.3099999999999999E-2</v>
      </c>
      <c r="V847">
        <v>4.3900000000000002E-2</v>
      </c>
      <c r="W847">
        <v>4.3799999999999999E-2</v>
      </c>
      <c r="X847">
        <v>4.41E-2</v>
      </c>
      <c r="Y847">
        <v>4.3999999999999997E-2</v>
      </c>
    </row>
    <row r="848" spans="1:25" hidden="1">
      <c r="A848" t="s">
        <v>18805</v>
      </c>
      <c r="B848" t="s">
        <v>670</v>
      </c>
      <c r="C848" t="s">
        <v>664</v>
      </c>
      <c r="D848" t="s">
        <v>671</v>
      </c>
      <c r="E848" t="s">
        <v>672</v>
      </c>
      <c r="F848" t="s">
        <v>598</v>
      </c>
      <c r="G848" t="s">
        <v>599</v>
      </c>
      <c r="H848" t="s">
        <v>600</v>
      </c>
      <c r="I848" t="s">
        <v>601</v>
      </c>
      <c r="J848">
        <v>1E-4</v>
      </c>
      <c r="K848">
        <v>1E-4</v>
      </c>
      <c r="L848">
        <v>1E-4</v>
      </c>
      <c r="M848">
        <v>1E-4</v>
      </c>
      <c r="N848">
        <v>1E-4</v>
      </c>
      <c r="O848">
        <v>1E-4</v>
      </c>
      <c r="P848">
        <v>1E-4</v>
      </c>
      <c r="Q848">
        <v>1E-4</v>
      </c>
      <c r="R848">
        <v>1E-4</v>
      </c>
      <c r="S848">
        <v>1E-4</v>
      </c>
      <c r="T848">
        <v>1E-4</v>
      </c>
      <c r="U848">
        <v>1E-4</v>
      </c>
      <c r="V848">
        <v>1E-4</v>
      </c>
      <c r="W848">
        <v>1E-4</v>
      </c>
      <c r="X848">
        <v>1E-4</v>
      </c>
      <c r="Y848">
        <v>1E-4</v>
      </c>
    </row>
    <row r="849" spans="1:25" hidden="1">
      <c r="A849" t="s">
        <v>18805</v>
      </c>
      <c r="B849" t="s">
        <v>700</v>
      </c>
      <c r="C849" t="s">
        <v>664</v>
      </c>
      <c r="D849" t="s">
        <v>701</v>
      </c>
      <c r="E849" t="s">
        <v>672</v>
      </c>
      <c r="F849" t="s">
        <v>598</v>
      </c>
      <c r="G849" t="s">
        <v>599</v>
      </c>
      <c r="H849" t="s">
        <v>600</v>
      </c>
      <c r="I849" t="s">
        <v>601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25" hidden="1">
      <c r="A850" t="s">
        <v>18805</v>
      </c>
      <c r="B850" t="s">
        <v>702</v>
      </c>
      <c r="C850" t="s">
        <v>664</v>
      </c>
      <c r="D850" t="s">
        <v>701</v>
      </c>
      <c r="E850" t="s">
        <v>597</v>
      </c>
      <c r="F850" t="s">
        <v>598</v>
      </c>
      <c r="G850" t="s">
        <v>599</v>
      </c>
      <c r="H850" t="s">
        <v>600</v>
      </c>
      <c r="I850" t="s">
        <v>601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</row>
    <row r="851" spans="1:25" hidden="1">
      <c r="A851" t="s">
        <v>18805</v>
      </c>
      <c r="B851" t="s">
        <v>703</v>
      </c>
      <c r="C851" t="s">
        <v>664</v>
      </c>
      <c r="D851" t="s">
        <v>704</v>
      </c>
      <c r="E851" t="s">
        <v>672</v>
      </c>
      <c r="F851" t="s">
        <v>598</v>
      </c>
      <c r="G851" t="s">
        <v>599</v>
      </c>
      <c r="H851" t="s">
        <v>600</v>
      </c>
      <c r="I851" t="s">
        <v>601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hidden="1">
      <c r="A852" t="s">
        <v>18805</v>
      </c>
      <c r="B852" t="s">
        <v>705</v>
      </c>
      <c r="C852" t="s">
        <v>664</v>
      </c>
      <c r="D852" t="s">
        <v>704</v>
      </c>
      <c r="E852" t="s">
        <v>597</v>
      </c>
      <c r="F852" t="s">
        <v>598</v>
      </c>
      <c r="G852" t="s">
        <v>599</v>
      </c>
      <c r="H852" t="s">
        <v>600</v>
      </c>
      <c r="I852" t="s">
        <v>601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hidden="1">
      <c r="A853" t="s">
        <v>18805</v>
      </c>
      <c r="B853" t="s">
        <v>728</v>
      </c>
      <c r="C853" t="s">
        <v>729</v>
      </c>
      <c r="D853" t="s">
        <v>596</v>
      </c>
      <c r="E853" t="s">
        <v>597</v>
      </c>
      <c r="F853" t="s">
        <v>598</v>
      </c>
      <c r="G853" t="s">
        <v>599</v>
      </c>
      <c r="H853" t="s">
        <v>600</v>
      </c>
      <c r="I853" t="s">
        <v>601</v>
      </c>
      <c r="J853">
        <v>4.5400000000000003E-2</v>
      </c>
      <c r="K853">
        <v>4.4600000000000001E-2</v>
      </c>
      <c r="L853">
        <v>4.3799999999999999E-2</v>
      </c>
      <c r="M853">
        <v>4.41E-2</v>
      </c>
      <c r="N853">
        <v>4.3900000000000002E-2</v>
      </c>
      <c r="O853">
        <v>4.3799999999999999E-2</v>
      </c>
      <c r="P853">
        <v>4.3999999999999997E-2</v>
      </c>
      <c r="Q853">
        <v>4.3999999999999997E-2</v>
      </c>
      <c r="R853">
        <v>4.3900000000000002E-2</v>
      </c>
      <c r="S853">
        <v>4.36E-2</v>
      </c>
      <c r="T853">
        <v>4.3799999999999999E-2</v>
      </c>
      <c r="U853">
        <v>4.3999999999999997E-2</v>
      </c>
      <c r="V853">
        <v>4.4400000000000002E-2</v>
      </c>
      <c r="W853">
        <v>4.4999999999999998E-2</v>
      </c>
      <c r="X853">
        <v>4.4999999999999998E-2</v>
      </c>
      <c r="Y853">
        <v>4.5400000000000003E-2</v>
      </c>
    </row>
    <row r="854" spans="1:25" hidden="1">
      <c r="A854" t="s">
        <v>18805</v>
      </c>
      <c r="B854" t="s">
        <v>738</v>
      </c>
      <c r="C854" t="s">
        <v>729</v>
      </c>
      <c r="D854" t="s">
        <v>596</v>
      </c>
      <c r="E854" t="s">
        <v>617</v>
      </c>
      <c r="F854" t="s">
        <v>598</v>
      </c>
      <c r="G854" t="s">
        <v>599</v>
      </c>
      <c r="H854" t="s">
        <v>600</v>
      </c>
      <c r="I854" t="s">
        <v>601</v>
      </c>
      <c r="J854">
        <v>5.8900000000000001E-2</v>
      </c>
      <c r="K854">
        <v>5.8900000000000001E-2</v>
      </c>
      <c r="L854">
        <v>5.8900000000000001E-2</v>
      </c>
      <c r="M854">
        <v>5.8900000000000001E-2</v>
      </c>
      <c r="N854">
        <v>5.8900000000000001E-2</v>
      </c>
      <c r="O854">
        <v>5.8900000000000001E-2</v>
      </c>
      <c r="P854">
        <v>5.8900000000000001E-2</v>
      </c>
      <c r="Q854">
        <v>5.8900000000000001E-2</v>
      </c>
      <c r="R854">
        <v>5.8900000000000001E-2</v>
      </c>
      <c r="S854">
        <v>5.8900000000000001E-2</v>
      </c>
      <c r="T854">
        <v>5.8900000000000001E-2</v>
      </c>
      <c r="U854">
        <v>5.8900000000000001E-2</v>
      </c>
      <c r="V854">
        <v>5.8900000000000001E-2</v>
      </c>
      <c r="W854">
        <v>5.8900000000000001E-2</v>
      </c>
      <c r="X854">
        <v>5.8900000000000001E-2</v>
      </c>
      <c r="Y854">
        <v>5.8900000000000001E-2</v>
      </c>
    </row>
    <row r="855" spans="1:25" hidden="1">
      <c r="A855" t="s">
        <v>18805</v>
      </c>
      <c r="B855" t="s">
        <v>740</v>
      </c>
      <c r="C855" t="s">
        <v>729</v>
      </c>
      <c r="D855" t="s">
        <v>596</v>
      </c>
      <c r="E855" t="s">
        <v>619</v>
      </c>
      <c r="F855" t="s">
        <v>598</v>
      </c>
      <c r="G855" t="s">
        <v>599</v>
      </c>
      <c r="H855" t="s">
        <v>600</v>
      </c>
      <c r="I855" t="s">
        <v>601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hidden="1">
      <c r="A856" t="s">
        <v>18805</v>
      </c>
      <c r="B856" t="s">
        <v>770</v>
      </c>
      <c r="C856" t="s">
        <v>729</v>
      </c>
      <c r="D856" t="s">
        <v>621</v>
      </c>
      <c r="E856" t="s">
        <v>628</v>
      </c>
      <c r="F856" t="s">
        <v>598</v>
      </c>
      <c r="G856" t="s">
        <v>599</v>
      </c>
      <c r="H856" t="s">
        <v>600</v>
      </c>
      <c r="I856" t="s">
        <v>601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25" hidden="1">
      <c r="A857" t="s">
        <v>18805</v>
      </c>
      <c r="B857" t="s">
        <v>785</v>
      </c>
      <c r="C857" t="s">
        <v>729</v>
      </c>
      <c r="D857" t="s">
        <v>640</v>
      </c>
      <c r="E857" t="s">
        <v>597</v>
      </c>
      <c r="F857" t="s">
        <v>598</v>
      </c>
      <c r="G857" t="s">
        <v>599</v>
      </c>
      <c r="H857" t="s">
        <v>600</v>
      </c>
      <c r="I857" t="s">
        <v>601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</row>
    <row r="858" spans="1:25" hidden="1">
      <c r="A858" t="s">
        <v>18805</v>
      </c>
      <c r="B858" t="s">
        <v>795</v>
      </c>
      <c r="C858" t="s">
        <v>729</v>
      </c>
      <c r="D858" t="s">
        <v>648</v>
      </c>
      <c r="E858" t="s">
        <v>597</v>
      </c>
      <c r="F858" t="s">
        <v>598</v>
      </c>
      <c r="G858" t="s">
        <v>599</v>
      </c>
      <c r="H858" t="s">
        <v>600</v>
      </c>
      <c r="I858" t="s">
        <v>601</v>
      </c>
      <c r="J858">
        <v>0.1588</v>
      </c>
      <c r="K858">
        <v>0.15629999999999999</v>
      </c>
      <c r="L858">
        <v>0.1532</v>
      </c>
      <c r="M858">
        <v>0.15459999999999999</v>
      </c>
      <c r="N858">
        <v>0.15379999999999999</v>
      </c>
      <c r="O858">
        <v>0.1532</v>
      </c>
      <c r="P858">
        <v>0.15390000000000001</v>
      </c>
      <c r="Q858">
        <v>0.15390000000000001</v>
      </c>
      <c r="R858">
        <v>0.1535</v>
      </c>
      <c r="S858">
        <v>0.15260000000000001</v>
      </c>
      <c r="T858">
        <v>0.15329999999999999</v>
      </c>
      <c r="U858">
        <v>0.154</v>
      </c>
      <c r="V858">
        <v>0.1555</v>
      </c>
      <c r="W858">
        <v>0.1573</v>
      </c>
      <c r="X858">
        <v>0.1573</v>
      </c>
      <c r="Y858">
        <v>0.15870000000000001</v>
      </c>
    </row>
    <row r="859" spans="1:25" hidden="1">
      <c r="A859" t="s">
        <v>18805</v>
      </c>
      <c r="B859" t="s">
        <v>801</v>
      </c>
      <c r="C859" t="s">
        <v>729</v>
      </c>
      <c r="D859" t="s">
        <v>648</v>
      </c>
      <c r="E859" t="s">
        <v>619</v>
      </c>
      <c r="F859" t="s">
        <v>598</v>
      </c>
      <c r="G859" t="s">
        <v>599</v>
      </c>
      <c r="H859" t="s">
        <v>600</v>
      </c>
      <c r="I859" t="s">
        <v>601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25" hidden="1">
      <c r="A860" t="s">
        <v>18805</v>
      </c>
      <c r="B860" t="s">
        <v>802</v>
      </c>
      <c r="C860" t="s">
        <v>729</v>
      </c>
      <c r="D860" t="s">
        <v>648</v>
      </c>
      <c r="E860" t="s">
        <v>676</v>
      </c>
      <c r="F860" t="s">
        <v>598</v>
      </c>
      <c r="G860" t="s">
        <v>599</v>
      </c>
      <c r="H860" t="s">
        <v>600</v>
      </c>
      <c r="I860" t="s">
        <v>601</v>
      </c>
      <c r="J860">
        <v>2.1600000000000001E-2</v>
      </c>
      <c r="K860">
        <v>2.1600000000000001E-2</v>
      </c>
      <c r="L860">
        <v>2.1600000000000001E-2</v>
      </c>
      <c r="M860">
        <v>2.1600000000000001E-2</v>
      </c>
      <c r="N860">
        <v>2.1600000000000001E-2</v>
      </c>
      <c r="O860">
        <v>2.1600000000000001E-2</v>
      </c>
      <c r="P860">
        <v>2.1600000000000001E-2</v>
      </c>
      <c r="Q860">
        <v>2.1600000000000001E-2</v>
      </c>
      <c r="R860">
        <v>2.1600000000000001E-2</v>
      </c>
      <c r="S860">
        <v>2.1600000000000001E-2</v>
      </c>
      <c r="T860">
        <v>2.1600000000000001E-2</v>
      </c>
      <c r="U860">
        <v>2.1600000000000001E-2</v>
      </c>
      <c r="V860">
        <v>2.1600000000000001E-2</v>
      </c>
      <c r="W860">
        <v>2.1600000000000001E-2</v>
      </c>
      <c r="X860">
        <v>2.1600000000000001E-2</v>
      </c>
      <c r="Y860">
        <v>2.1600000000000001E-2</v>
      </c>
    </row>
    <row r="861" spans="1:25" hidden="1">
      <c r="A861" t="s">
        <v>18805</v>
      </c>
      <c r="B861" t="s">
        <v>830</v>
      </c>
      <c r="C861" t="s">
        <v>804</v>
      </c>
      <c r="D861" t="s">
        <v>828</v>
      </c>
      <c r="E861" t="s">
        <v>628</v>
      </c>
      <c r="F861" t="s">
        <v>831</v>
      </c>
      <c r="G861" t="s">
        <v>599</v>
      </c>
      <c r="H861" t="s">
        <v>600</v>
      </c>
      <c r="I861" t="s">
        <v>601</v>
      </c>
      <c r="J861">
        <v>2E-3</v>
      </c>
      <c r="K861">
        <v>2.2000000000000001E-3</v>
      </c>
      <c r="L861">
        <v>2.0999999999999999E-3</v>
      </c>
      <c r="M861">
        <v>2E-3</v>
      </c>
      <c r="N861">
        <v>2E-3</v>
      </c>
      <c r="O861">
        <v>2E-3</v>
      </c>
      <c r="P861">
        <v>2E-3</v>
      </c>
      <c r="Q861">
        <v>2E-3</v>
      </c>
      <c r="R861">
        <v>2E-3</v>
      </c>
      <c r="S861">
        <v>2E-3</v>
      </c>
      <c r="T861">
        <v>2E-3</v>
      </c>
      <c r="U861">
        <v>2E-3</v>
      </c>
      <c r="V861">
        <v>2E-3</v>
      </c>
      <c r="W861">
        <v>2E-3</v>
      </c>
      <c r="X861">
        <v>2E-3</v>
      </c>
      <c r="Y861">
        <v>2E-3</v>
      </c>
    </row>
    <row r="862" spans="1:25" hidden="1">
      <c r="A862" t="s">
        <v>18805</v>
      </c>
      <c r="B862" t="s">
        <v>832</v>
      </c>
      <c r="C862" t="s">
        <v>804</v>
      </c>
      <c r="D862" t="s">
        <v>828</v>
      </c>
      <c r="E862" t="s">
        <v>628</v>
      </c>
      <c r="F862" t="s">
        <v>833</v>
      </c>
      <c r="G862" t="s">
        <v>599</v>
      </c>
      <c r="H862" t="s">
        <v>600</v>
      </c>
      <c r="I862" t="s">
        <v>601</v>
      </c>
      <c r="J862">
        <v>2.2000000000000001E-3</v>
      </c>
      <c r="K862">
        <v>2.2000000000000001E-3</v>
      </c>
      <c r="L862">
        <v>1.9E-3</v>
      </c>
      <c r="M862">
        <v>1.8E-3</v>
      </c>
      <c r="N862">
        <v>1.6999999999999999E-3</v>
      </c>
      <c r="O862">
        <v>1.6000000000000001E-3</v>
      </c>
      <c r="P862">
        <v>1.4E-3</v>
      </c>
      <c r="Q862">
        <v>1.2999999999999999E-3</v>
      </c>
      <c r="R862">
        <v>1.1999999999999999E-3</v>
      </c>
      <c r="S862">
        <v>1.1000000000000001E-3</v>
      </c>
      <c r="T862">
        <v>1.1999999999999999E-3</v>
      </c>
      <c r="U862">
        <v>1.1000000000000001E-3</v>
      </c>
      <c r="V862">
        <v>1E-3</v>
      </c>
      <c r="W862">
        <v>1.2999999999999999E-3</v>
      </c>
      <c r="X862">
        <v>1.1999999999999999E-3</v>
      </c>
      <c r="Y862">
        <v>1.1000000000000001E-3</v>
      </c>
    </row>
    <row r="863" spans="1:25" hidden="1">
      <c r="A863" t="s">
        <v>18805</v>
      </c>
      <c r="B863" t="s">
        <v>839</v>
      </c>
      <c r="C863" t="s">
        <v>804</v>
      </c>
      <c r="D863" t="s">
        <v>648</v>
      </c>
      <c r="E863" t="s">
        <v>688</v>
      </c>
      <c r="F863" t="s">
        <v>598</v>
      </c>
      <c r="G863" t="s">
        <v>599</v>
      </c>
      <c r="H863" t="s">
        <v>600</v>
      </c>
      <c r="I863" t="s">
        <v>601</v>
      </c>
      <c r="J863">
        <v>6.54E-2</v>
      </c>
      <c r="K863">
        <v>6.5299999999999997E-2</v>
      </c>
      <c r="L863">
        <v>6.54E-2</v>
      </c>
      <c r="M863">
        <v>6.5100000000000005E-2</v>
      </c>
      <c r="N863">
        <v>6.5299999999999997E-2</v>
      </c>
      <c r="O863">
        <v>6.6299999999999998E-2</v>
      </c>
      <c r="P863">
        <v>6.6799999999999998E-2</v>
      </c>
      <c r="Q863">
        <v>6.6900000000000001E-2</v>
      </c>
      <c r="R863">
        <v>6.7400000000000002E-2</v>
      </c>
      <c r="S863">
        <v>6.83E-2</v>
      </c>
      <c r="T863">
        <v>6.8900000000000003E-2</v>
      </c>
      <c r="U863">
        <v>6.9199999999999998E-2</v>
      </c>
      <c r="V863">
        <v>7.0000000000000007E-2</v>
      </c>
      <c r="W863">
        <v>7.0300000000000001E-2</v>
      </c>
      <c r="X863">
        <v>7.0900000000000005E-2</v>
      </c>
      <c r="Y863">
        <v>7.1599999999999997E-2</v>
      </c>
    </row>
    <row r="864" spans="1:25" hidden="1">
      <c r="A864" t="s">
        <v>18805</v>
      </c>
      <c r="B864" t="s">
        <v>902</v>
      </c>
      <c r="C864" t="s">
        <v>841</v>
      </c>
      <c r="D864" t="s">
        <v>648</v>
      </c>
      <c r="E864" t="s">
        <v>597</v>
      </c>
      <c r="F864" t="s">
        <v>598</v>
      </c>
      <c r="G864" t="s">
        <v>599</v>
      </c>
      <c r="H864" t="s">
        <v>600</v>
      </c>
      <c r="I864" t="s">
        <v>601</v>
      </c>
      <c r="J864">
        <v>2.2599999999999999E-2</v>
      </c>
      <c r="K864">
        <v>2.29E-2</v>
      </c>
      <c r="L864">
        <v>2.3300000000000001E-2</v>
      </c>
      <c r="M864">
        <v>2.3699999999999999E-2</v>
      </c>
      <c r="N864">
        <v>2.3900000000000001E-2</v>
      </c>
      <c r="O864">
        <v>2.4199999999999999E-2</v>
      </c>
      <c r="P864">
        <v>2.4299999999999999E-2</v>
      </c>
      <c r="Q864">
        <v>2.4400000000000002E-2</v>
      </c>
      <c r="R864">
        <v>2.4400000000000002E-2</v>
      </c>
      <c r="S864">
        <v>2.3E-2</v>
      </c>
      <c r="T864">
        <v>2.29E-2</v>
      </c>
      <c r="U864">
        <v>2.2700000000000001E-2</v>
      </c>
      <c r="V864">
        <v>2.2700000000000001E-2</v>
      </c>
      <c r="W864">
        <v>2.2800000000000001E-2</v>
      </c>
      <c r="X864">
        <v>2.2800000000000001E-2</v>
      </c>
      <c r="Y864">
        <v>2.3E-2</v>
      </c>
    </row>
    <row r="865" spans="1:25" hidden="1">
      <c r="A865" t="s">
        <v>18805</v>
      </c>
      <c r="B865" t="s">
        <v>916</v>
      </c>
      <c r="C865" t="s">
        <v>914</v>
      </c>
      <c r="D865" t="s">
        <v>621</v>
      </c>
      <c r="E865" t="s">
        <v>628</v>
      </c>
      <c r="F865" t="s">
        <v>598</v>
      </c>
      <c r="G865" t="s">
        <v>599</v>
      </c>
      <c r="H865" t="s">
        <v>600</v>
      </c>
      <c r="I865" t="s">
        <v>601</v>
      </c>
      <c r="J865">
        <v>5.8007999999999996E-4</v>
      </c>
      <c r="K865">
        <v>5.8007999999999996E-4</v>
      </c>
      <c r="L865">
        <v>5.8007999999999996E-4</v>
      </c>
      <c r="M865">
        <v>5.8007999999999996E-4</v>
      </c>
      <c r="N865">
        <v>5.8007999999999996E-4</v>
      </c>
      <c r="O865">
        <v>5.8007999999999996E-4</v>
      </c>
      <c r="P865">
        <v>5.8007999999999996E-4</v>
      </c>
      <c r="Q865">
        <v>5.8007999999999996E-4</v>
      </c>
      <c r="R865">
        <v>5.8007999999999996E-4</v>
      </c>
      <c r="S865">
        <v>5.8007999999999996E-4</v>
      </c>
      <c r="T865">
        <v>5.8007999999999996E-4</v>
      </c>
      <c r="U865">
        <v>5.8007999999999996E-4</v>
      </c>
      <c r="V865">
        <v>5.8007999999999996E-4</v>
      </c>
      <c r="W865">
        <v>5.8007999999999996E-4</v>
      </c>
      <c r="X865">
        <v>5.8007999999999996E-4</v>
      </c>
      <c r="Y865">
        <v>5.8007999999999996E-4</v>
      </c>
    </row>
    <row r="866" spans="1:25" hidden="1">
      <c r="A866" t="s">
        <v>18805</v>
      </c>
      <c r="B866" t="s">
        <v>924</v>
      </c>
      <c r="C866" t="s">
        <v>925</v>
      </c>
      <c r="D866" t="s">
        <v>926</v>
      </c>
      <c r="E866" t="s">
        <v>927</v>
      </c>
      <c r="F866" t="s">
        <v>598</v>
      </c>
      <c r="G866" t="s">
        <v>599</v>
      </c>
      <c r="H866" t="s">
        <v>600</v>
      </c>
      <c r="I866" t="s">
        <v>601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18805</v>
      </c>
      <c r="B867" t="s">
        <v>947</v>
      </c>
      <c r="C867" t="s">
        <v>943</v>
      </c>
      <c r="D867" t="s">
        <v>946</v>
      </c>
      <c r="E867" t="s">
        <v>948</v>
      </c>
      <c r="F867" t="s">
        <v>598</v>
      </c>
      <c r="G867" t="s">
        <v>599</v>
      </c>
      <c r="H867" t="s">
        <v>600</v>
      </c>
      <c r="I867" t="s">
        <v>601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hidden="1">
      <c r="A868" t="s">
        <v>18805</v>
      </c>
      <c r="B868" t="s">
        <v>951</v>
      </c>
      <c r="C868" t="s">
        <v>943</v>
      </c>
      <c r="D868" t="s">
        <v>934</v>
      </c>
      <c r="E868" t="s">
        <v>937</v>
      </c>
      <c r="F868" t="s">
        <v>598</v>
      </c>
      <c r="G868" t="s">
        <v>599</v>
      </c>
      <c r="H868" t="s">
        <v>600</v>
      </c>
      <c r="I868" t="s">
        <v>601</v>
      </c>
      <c r="J868">
        <v>2.8E-3</v>
      </c>
      <c r="K868">
        <v>2.8E-3</v>
      </c>
      <c r="L868">
        <v>2.8E-3</v>
      </c>
      <c r="M868">
        <v>2.8E-3</v>
      </c>
      <c r="N868">
        <v>2.8E-3</v>
      </c>
      <c r="O868">
        <v>2.8E-3</v>
      </c>
      <c r="P868">
        <v>2.8E-3</v>
      </c>
      <c r="Q868">
        <v>2.8E-3</v>
      </c>
      <c r="R868">
        <v>2.8E-3</v>
      </c>
      <c r="S868">
        <v>2.8E-3</v>
      </c>
      <c r="T868">
        <v>2.8999999999999998E-3</v>
      </c>
      <c r="U868">
        <v>2.8999999999999998E-3</v>
      </c>
      <c r="V868">
        <v>2.8999999999999998E-3</v>
      </c>
      <c r="W868">
        <v>2.8999999999999998E-3</v>
      </c>
      <c r="X868">
        <v>2.8999999999999998E-3</v>
      </c>
      <c r="Y868">
        <v>2.8999999999999998E-3</v>
      </c>
    </row>
    <row r="869" spans="1:25" hidden="1">
      <c r="A869" t="s">
        <v>18805</v>
      </c>
      <c r="B869" t="s">
        <v>981</v>
      </c>
      <c r="C869" t="s">
        <v>980</v>
      </c>
      <c r="D869" t="s">
        <v>982</v>
      </c>
      <c r="E869" t="s">
        <v>613</v>
      </c>
      <c r="F869" t="s">
        <v>598</v>
      </c>
      <c r="G869" t="s">
        <v>599</v>
      </c>
      <c r="H869" t="s">
        <v>600</v>
      </c>
      <c r="I869" t="s">
        <v>601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hidden="1">
      <c r="A870" t="s">
        <v>18805</v>
      </c>
      <c r="B870" t="s">
        <v>997</v>
      </c>
      <c r="C870" t="s">
        <v>998</v>
      </c>
      <c r="D870" t="s">
        <v>999</v>
      </c>
      <c r="E870" t="s">
        <v>1000</v>
      </c>
      <c r="F870" t="s">
        <v>598</v>
      </c>
      <c r="G870" t="s">
        <v>599</v>
      </c>
      <c r="H870" t="s">
        <v>600</v>
      </c>
      <c r="I870" t="s">
        <v>601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18805</v>
      </c>
      <c r="B871" t="s">
        <v>1009</v>
      </c>
      <c r="C871" t="s">
        <v>998</v>
      </c>
      <c r="D871" t="s">
        <v>999</v>
      </c>
      <c r="E871" t="s">
        <v>1010</v>
      </c>
      <c r="F871" t="s">
        <v>598</v>
      </c>
      <c r="G871" t="s">
        <v>599</v>
      </c>
      <c r="H871" t="s">
        <v>600</v>
      </c>
      <c r="I871" t="s">
        <v>601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18805</v>
      </c>
      <c r="B872" t="s">
        <v>1015</v>
      </c>
      <c r="C872" t="s">
        <v>1016</v>
      </c>
      <c r="D872" t="s">
        <v>1017</v>
      </c>
      <c r="E872" t="s">
        <v>1018</v>
      </c>
      <c r="F872" t="s">
        <v>598</v>
      </c>
      <c r="G872" t="s">
        <v>599</v>
      </c>
      <c r="H872" t="s">
        <v>600</v>
      </c>
      <c r="I872" t="s">
        <v>601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hidden="1">
      <c r="A873" t="s">
        <v>18805</v>
      </c>
      <c r="B873" t="s">
        <v>1021</v>
      </c>
      <c r="C873" t="s">
        <v>1016</v>
      </c>
      <c r="D873" t="s">
        <v>1017</v>
      </c>
      <c r="E873" t="s">
        <v>1022</v>
      </c>
      <c r="F873" t="s">
        <v>598</v>
      </c>
      <c r="G873" t="s">
        <v>599</v>
      </c>
      <c r="H873" t="s">
        <v>600</v>
      </c>
      <c r="I873" t="s">
        <v>601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18805</v>
      </c>
      <c r="B874" t="s">
        <v>1023</v>
      </c>
      <c r="C874" t="s">
        <v>1016</v>
      </c>
      <c r="D874" t="s">
        <v>1017</v>
      </c>
      <c r="E874" t="s">
        <v>1024</v>
      </c>
      <c r="F874" t="s">
        <v>598</v>
      </c>
      <c r="G874" t="s">
        <v>599</v>
      </c>
      <c r="H874" t="s">
        <v>600</v>
      </c>
      <c r="I874" t="s">
        <v>601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hidden="1">
      <c r="A875" t="s">
        <v>18805</v>
      </c>
      <c r="B875" t="s">
        <v>1025</v>
      </c>
      <c r="C875" t="s">
        <v>1016</v>
      </c>
      <c r="D875" t="s">
        <v>1017</v>
      </c>
      <c r="E875" t="s">
        <v>1026</v>
      </c>
      <c r="F875" t="s">
        <v>598</v>
      </c>
      <c r="G875" t="s">
        <v>599</v>
      </c>
      <c r="H875" t="s">
        <v>600</v>
      </c>
      <c r="I875" t="s">
        <v>601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hidden="1">
      <c r="A876" t="s">
        <v>18805</v>
      </c>
      <c r="B876" t="s">
        <v>1029</v>
      </c>
      <c r="C876" t="s">
        <v>1016</v>
      </c>
      <c r="D876" t="s">
        <v>1017</v>
      </c>
      <c r="E876" t="s">
        <v>1030</v>
      </c>
      <c r="F876" t="s">
        <v>598</v>
      </c>
      <c r="G876" t="s">
        <v>599</v>
      </c>
      <c r="H876" t="s">
        <v>600</v>
      </c>
      <c r="I876" t="s">
        <v>601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hidden="1">
      <c r="A877" t="s">
        <v>18805</v>
      </c>
      <c r="B877" t="s">
        <v>1037</v>
      </c>
      <c r="C877" t="s">
        <v>1016</v>
      </c>
      <c r="D877" t="s">
        <v>1017</v>
      </c>
      <c r="E877" t="s">
        <v>1038</v>
      </c>
      <c r="F877" t="s">
        <v>598</v>
      </c>
      <c r="G877" t="s">
        <v>599</v>
      </c>
      <c r="H877" t="s">
        <v>600</v>
      </c>
      <c r="I877" t="s">
        <v>601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hidden="1">
      <c r="A878" t="s">
        <v>18805</v>
      </c>
      <c r="B878" t="s">
        <v>1041</v>
      </c>
      <c r="C878" t="s">
        <v>1016</v>
      </c>
      <c r="D878" t="s">
        <v>1017</v>
      </c>
      <c r="E878" t="s">
        <v>1042</v>
      </c>
      <c r="F878" t="s">
        <v>598</v>
      </c>
      <c r="G878" t="s">
        <v>599</v>
      </c>
      <c r="H878" t="s">
        <v>600</v>
      </c>
      <c r="I878" t="s">
        <v>601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18805</v>
      </c>
      <c r="B879" t="s">
        <v>1047</v>
      </c>
      <c r="C879" t="s">
        <v>1016</v>
      </c>
      <c r="D879" t="s">
        <v>1017</v>
      </c>
      <c r="E879" t="s">
        <v>1048</v>
      </c>
      <c r="F879" t="s">
        <v>598</v>
      </c>
      <c r="G879" t="s">
        <v>599</v>
      </c>
      <c r="H879" t="s">
        <v>600</v>
      </c>
      <c r="I879" t="s">
        <v>601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hidden="1">
      <c r="A880" t="s">
        <v>18805</v>
      </c>
      <c r="B880" t="s">
        <v>1049</v>
      </c>
      <c r="C880" t="s">
        <v>1016</v>
      </c>
      <c r="D880" t="s">
        <v>1050</v>
      </c>
      <c r="E880" t="s">
        <v>1024</v>
      </c>
      <c r="F880" t="s">
        <v>598</v>
      </c>
      <c r="G880" t="s">
        <v>599</v>
      </c>
      <c r="H880" t="s">
        <v>600</v>
      </c>
      <c r="I880" t="s">
        <v>601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hidden="1">
      <c r="A881" t="s">
        <v>18805</v>
      </c>
      <c r="B881" t="s">
        <v>1051</v>
      </c>
      <c r="C881" t="s">
        <v>1016</v>
      </c>
      <c r="D881" t="s">
        <v>1050</v>
      </c>
      <c r="E881" t="s">
        <v>1052</v>
      </c>
      <c r="F881" t="s">
        <v>598</v>
      </c>
      <c r="G881" t="s">
        <v>599</v>
      </c>
      <c r="H881" t="s">
        <v>600</v>
      </c>
      <c r="I881" t="s">
        <v>601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hidden="1">
      <c r="A882" t="s">
        <v>18805</v>
      </c>
      <c r="B882" t="s">
        <v>1059</v>
      </c>
      <c r="C882" t="s">
        <v>1016</v>
      </c>
      <c r="D882" t="s">
        <v>1050</v>
      </c>
      <c r="E882" t="s">
        <v>1042</v>
      </c>
      <c r="F882" t="s">
        <v>598</v>
      </c>
      <c r="G882" t="s">
        <v>599</v>
      </c>
      <c r="H882" t="s">
        <v>600</v>
      </c>
      <c r="I882" t="s">
        <v>601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hidden="1">
      <c r="A883" t="s">
        <v>18805</v>
      </c>
      <c r="B883" t="s">
        <v>1060</v>
      </c>
      <c r="C883" t="s">
        <v>1016</v>
      </c>
      <c r="D883" t="s">
        <v>1050</v>
      </c>
      <c r="E883" t="s">
        <v>1044</v>
      </c>
      <c r="F883" t="s">
        <v>598</v>
      </c>
      <c r="G883" t="s">
        <v>599</v>
      </c>
      <c r="H883" t="s">
        <v>600</v>
      </c>
      <c r="I883" t="s">
        <v>601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hidden="1">
      <c r="A884" t="s">
        <v>18805</v>
      </c>
      <c r="B884" t="s">
        <v>1062</v>
      </c>
      <c r="C884" t="s">
        <v>1016</v>
      </c>
      <c r="D884" t="s">
        <v>1063</v>
      </c>
      <c r="E884" t="s">
        <v>1018</v>
      </c>
      <c r="F884" t="s">
        <v>598</v>
      </c>
      <c r="G884" t="s">
        <v>599</v>
      </c>
      <c r="H884" t="s">
        <v>600</v>
      </c>
      <c r="I884" t="s">
        <v>601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18805</v>
      </c>
      <c r="B885" t="s">
        <v>1064</v>
      </c>
      <c r="C885" t="s">
        <v>1016</v>
      </c>
      <c r="D885" t="s">
        <v>1063</v>
      </c>
      <c r="E885" t="s">
        <v>1022</v>
      </c>
      <c r="F885" t="s">
        <v>598</v>
      </c>
      <c r="G885" t="s">
        <v>599</v>
      </c>
      <c r="H885" t="s">
        <v>600</v>
      </c>
      <c r="I885" t="s">
        <v>601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hidden="1">
      <c r="A886" t="s">
        <v>18805</v>
      </c>
      <c r="B886" t="s">
        <v>1065</v>
      </c>
      <c r="C886" t="s">
        <v>1016</v>
      </c>
      <c r="D886" t="s">
        <v>1063</v>
      </c>
      <c r="E886" t="s">
        <v>1024</v>
      </c>
      <c r="F886" t="s">
        <v>598</v>
      </c>
      <c r="G886" t="s">
        <v>599</v>
      </c>
      <c r="H886" t="s">
        <v>600</v>
      </c>
      <c r="I886" t="s">
        <v>601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hidden="1">
      <c r="A887" t="s">
        <v>18805</v>
      </c>
      <c r="B887" t="s">
        <v>1067</v>
      </c>
      <c r="C887" t="s">
        <v>1016</v>
      </c>
      <c r="D887" t="s">
        <v>1063</v>
      </c>
      <c r="E887" t="s">
        <v>1026</v>
      </c>
      <c r="F887" t="s">
        <v>598</v>
      </c>
      <c r="G887" t="s">
        <v>599</v>
      </c>
      <c r="H887" t="s">
        <v>600</v>
      </c>
      <c r="I887" t="s">
        <v>601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hidden="1">
      <c r="A888" t="s">
        <v>18805</v>
      </c>
      <c r="B888" t="s">
        <v>1068</v>
      </c>
      <c r="C888" t="s">
        <v>1016</v>
      </c>
      <c r="D888" t="s">
        <v>1063</v>
      </c>
      <c r="E888" t="s">
        <v>1030</v>
      </c>
      <c r="F888" t="s">
        <v>598</v>
      </c>
      <c r="G888" t="s">
        <v>599</v>
      </c>
      <c r="H888" t="s">
        <v>600</v>
      </c>
      <c r="I888" t="s">
        <v>601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18805</v>
      </c>
      <c r="B889" t="s">
        <v>1069</v>
      </c>
      <c r="C889" t="s">
        <v>1016</v>
      </c>
      <c r="D889" t="s">
        <v>1063</v>
      </c>
      <c r="E889" t="s">
        <v>1035</v>
      </c>
      <c r="F889" t="s">
        <v>598</v>
      </c>
      <c r="G889" t="s">
        <v>599</v>
      </c>
      <c r="H889" t="s">
        <v>600</v>
      </c>
      <c r="I889" t="s">
        <v>601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hidden="1">
      <c r="A890" t="s">
        <v>18805</v>
      </c>
      <c r="B890" t="s">
        <v>1072</v>
      </c>
      <c r="C890" t="s">
        <v>1016</v>
      </c>
      <c r="D890" t="s">
        <v>1063</v>
      </c>
      <c r="E890" t="s">
        <v>1040</v>
      </c>
      <c r="F890" t="s">
        <v>598</v>
      </c>
      <c r="G890" t="s">
        <v>599</v>
      </c>
      <c r="H890" t="s">
        <v>600</v>
      </c>
      <c r="I890" t="s">
        <v>601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 hidden="1">
      <c r="A891" t="s">
        <v>18805</v>
      </c>
      <c r="B891" t="s">
        <v>1073</v>
      </c>
      <c r="C891" t="s">
        <v>1016</v>
      </c>
      <c r="D891" t="s">
        <v>1063</v>
      </c>
      <c r="E891" t="s">
        <v>1042</v>
      </c>
      <c r="F891" t="s">
        <v>598</v>
      </c>
      <c r="G891" t="s">
        <v>599</v>
      </c>
      <c r="H891" t="s">
        <v>600</v>
      </c>
      <c r="I891" t="s">
        <v>601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hidden="1">
      <c r="A892" t="s">
        <v>18805</v>
      </c>
      <c r="B892" t="s">
        <v>1075</v>
      </c>
      <c r="C892" t="s">
        <v>1016</v>
      </c>
      <c r="D892" t="s">
        <v>1063</v>
      </c>
      <c r="E892" t="s">
        <v>1046</v>
      </c>
      <c r="F892" t="s">
        <v>598</v>
      </c>
      <c r="G892" t="s">
        <v>599</v>
      </c>
      <c r="H892" t="s">
        <v>600</v>
      </c>
      <c r="I892" t="s">
        <v>601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hidden="1">
      <c r="A893" t="s">
        <v>18805</v>
      </c>
      <c r="B893" t="s">
        <v>1076</v>
      </c>
      <c r="C893" t="s">
        <v>1016</v>
      </c>
      <c r="D893" t="s">
        <v>1063</v>
      </c>
      <c r="E893" t="s">
        <v>1048</v>
      </c>
      <c r="F893" t="s">
        <v>598</v>
      </c>
      <c r="G893" t="s">
        <v>599</v>
      </c>
      <c r="H893" t="s">
        <v>600</v>
      </c>
      <c r="I893" t="s">
        <v>601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hidden="1">
      <c r="A894" t="s">
        <v>18805</v>
      </c>
      <c r="B894" t="s">
        <v>1087</v>
      </c>
      <c r="C894" t="s">
        <v>1079</v>
      </c>
      <c r="D894" t="s">
        <v>1086</v>
      </c>
      <c r="E894" t="s">
        <v>1081</v>
      </c>
      <c r="F894" t="s">
        <v>598</v>
      </c>
      <c r="G894" t="s">
        <v>599</v>
      </c>
      <c r="H894" t="s">
        <v>600</v>
      </c>
      <c r="I894" t="s">
        <v>601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18805</v>
      </c>
      <c r="B895" t="s">
        <v>1114</v>
      </c>
      <c r="C895" t="s">
        <v>1079</v>
      </c>
      <c r="D895" t="s">
        <v>1115</v>
      </c>
      <c r="E895" t="s">
        <v>1081</v>
      </c>
      <c r="F895" t="s">
        <v>598</v>
      </c>
      <c r="G895" t="s">
        <v>599</v>
      </c>
      <c r="H895" t="s">
        <v>600</v>
      </c>
      <c r="I895" t="s">
        <v>601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18805</v>
      </c>
      <c r="B896" t="s">
        <v>1120</v>
      </c>
      <c r="C896" t="s">
        <v>1079</v>
      </c>
      <c r="D896" t="s">
        <v>1121</v>
      </c>
      <c r="E896" t="s">
        <v>1081</v>
      </c>
      <c r="F896" t="s">
        <v>598</v>
      </c>
      <c r="G896" t="s">
        <v>599</v>
      </c>
      <c r="H896" t="s">
        <v>600</v>
      </c>
      <c r="I896" t="s">
        <v>601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hidden="1">
      <c r="A897" t="s">
        <v>18805</v>
      </c>
      <c r="B897" t="s">
        <v>1125</v>
      </c>
      <c r="C897" t="s">
        <v>1079</v>
      </c>
      <c r="D897" t="s">
        <v>1126</v>
      </c>
      <c r="E897" t="s">
        <v>1081</v>
      </c>
      <c r="F897" t="s">
        <v>598</v>
      </c>
      <c r="G897" t="s">
        <v>599</v>
      </c>
      <c r="H897" t="s">
        <v>600</v>
      </c>
      <c r="I897" t="s">
        <v>601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18805</v>
      </c>
      <c r="B898" t="s">
        <v>1133</v>
      </c>
      <c r="C898" t="s">
        <v>1079</v>
      </c>
      <c r="D898" t="s">
        <v>1134</v>
      </c>
      <c r="E898" t="s">
        <v>1081</v>
      </c>
      <c r="F898" t="s">
        <v>598</v>
      </c>
      <c r="G898" t="s">
        <v>599</v>
      </c>
      <c r="H898" t="s">
        <v>600</v>
      </c>
      <c r="I898" t="s">
        <v>601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hidden="1">
      <c r="A899" t="s">
        <v>18805</v>
      </c>
      <c r="B899" t="s">
        <v>1144</v>
      </c>
      <c r="C899" t="s">
        <v>1079</v>
      </c>
      <c r="D899" t="s">
        <v>1145</v>
      </c>
      <c r="E899" t="s">
        <v>1081</v>
      </c>
      <c r="F899" t="s">
        <v>598</v>
      </c>
      <c r="G899" t="s">
        <v>599</v>
      </c>
      <c r="H899" t="s">
        <v>600</v>
      </c>
      <c r="I899" t="s">
        <v>601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18805</v>
      </c>
      <c r="B900" t="s">
        <v>1155</v>
      </c>
      <c r="C900" t="s">
        <v>1079</v>
      </c>
      <c r="D900" t="s">
        <v>1156</v>
      </c>
      <c r="E900" t="s">
        <v>1081</v>
      </c>
      <c r="F900" t="s">
        <v>598</v>
      </c>
      <c r="G900" t="s">
        <v>599</v>
      </c>
      <c r="H900" t="s">
        <v>600</v>
      </c>
      <c r="I900" t="s">
        <v>601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18805</v>
      </c>
      <c r="B901" t="s">
        <v>1217</v>
      </c>
      <c r="C901" t="s">
        <v>1079</v>
      </c>
      <c r="D901" t="s">
        <v>1188</v>
      </c>
      <c r="E901" t="s">
        <v>1106</v>
      </c>
      <c r="F901" t="s">
        <v>598</v>
      </c>
      <c r="G901" t="s">
        <v>599</v>
      </c>
      <c r="H901" t="s">
        <v>600</v>
      </c>
      <c r="I901" t="s">
        <v>601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hidden="1">
      <c r="A902" t="s">
        <v>18805</v>
      </c>
      <c r="B902" t="s">
        <v>1221</v>
      </c>
      <c r="C902" t="s">
        <v>1079</v>
      </c>
      <c r="D902" t="s">
        <v>648</v>
      </c>
      <c r="E902" t="s">
        <v>1081</v>
      </c>
      <c r="F902" t="s">
        <v>598</v>
      </c>
      <c r="G902" t="s">
        <v>599</v>
      </c>
      <c r="H902" t="s">
        <v>600</v>
      </c>
      <c r="I902" t="s">
        <v>601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hidden="1">
      <c r="A903" t="s">
        <v>18805</v>
      </c>
      <c r="B903" t="s">
        <v>1256</v>
      </c>
      <c r="C903" t="s">
        <v>1253</v>
      </c>
      <c r="D903" t="s">
        <v>1254</v>
      </c>
      <c r="E903" t="s">
        <v>1257</v>
      </c>
      <c r="F903" t="s">
        <v>598</v>
      </c>
      <c r="G903" t="s">
        <v>599</v>
      </c>
      <c r="H903" t="s">
        <v>600</v>
      </c>
      <c r="I903" t="s">
        <v>601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hidden="1">
      <c r="A904" t="s">
        <v>18805</v>
      </c>
      <c r="B904" t="s">
        <v>1258</v>
      </c>
      <c r="C904" t="s">
        <v>1253</v>
      </c>
      <c r="D904" t="s">
        <v>1254</v>
      </c>
      <c r="E904" t="s">
        <v>1259</v>
      </c>
      <c r="F904" t="s">
        <v>598</v>
      </c>
      <c r="G904" t="s">
        <v>599</v>
      </c>
      <c r="H904" t="s">
        <v>600</v>
      </c>
      <c r="I904" t="s">
        <v>601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18805</v>
      </c>
      <c r="B905" t="s">
        <v>1273</v>
      </c>
      <c r="C905" t="s">
        <v>1267</v>
      </c>
      <c r="D905" t="s">
        <v>1274</v>
      </c>
      <c r="E905" t="s">
        <v>672</v>
      </c>
      <c r="F905" t="s">
        <v>598</v>
      </c>
      <c r="G905" t="s">
        <v>599</v>
      </c>
      <c r="H905" t="s">
        <v>600</v>
      </c>
      <c r="I905" t="s">
        <v>601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hidden="1">
      <c r="A906" t="s">
        <v>18805</v>
      </c>
      <c r="B906" t="s">
        <v>1276</v>
      </c>
      <c r="C906" t="s">
        <v>1267</v>
      </c>
      <c r="D906" t="s">
        <v>1274</v>
      </c>
      <c r="E906" t="s">
        <v>678</v>
      </c>
      <c r="F906" t="s">
        <v>598</v>
      </c>
      <c r="G906" t="s">
        <v>599</v>
      </c>
      <c r="H906" t="s">
        <v>600</v>
      </c>
      <c r="I906" t="s">
        <v>601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hidden="1">
      <c r="A907" t="s">
        <v>18805</v>
      </c>
      <c r="B907" t="s">
        <v>1277</v>
      </c>
      <c r="C907" t="s">
        <v>1267</v>
      </c>
      <c r="D907" t="s">
        <v>1278</v>
      </c>
      <c r="E907" t="s">
        <v>672</v>
      </c>
      <c r="F907" t="s">
        <v>598</v>
      </c>
      <c r="G907" t="s">
        <v>599</v>
      </c>
      <c r="H907" t="s">
        <v>600</v>
      </c>
      <c r="I907" t="s">
        <v>601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hidden="1">
      <c r="A908" t="s">
        <v>18805</v>
      </c>
      <c r="B908" t="s">
        <v>1280</v>
      </c>
      <c r="C908" t="s">
        <v>1267</v>
      </c>
      <c r="D908" t="s">
        <v>1281</v>
      </c>
      <c r="E908" t="s">
        <v>672</v>
      </c>
      <c r="F908" t="s">
        <v>598</v>
      </c>
      <c r="G908" t="s">
        <v>599</v>
      </c>
      <c r="H908" t="s">
        <v>600</v>
      </c>
      <c r="I908" t="s">
        <v>601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18805</v>
      </c>
      <c r="B909" t="s">
        <v>1283</v>
      </c>
      <c r="C909" t="s">
        <v>1267</v>
      </c>
      <c r="D909" t="s">
        <v>1281</v>
      </c>
      <c r="E909" t="s">
        <v>678</v>
      </c>
      <c r="F909" t="s">
        <v>598</v>
      </c>
      <c r="G909" t="s">
        <v>599</v>
      </c>
      <c r="H909" t="s">
        <v>600</v>
      </c>
      <c r="I909" t="s">
        <v>601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hidden="1">
      <c r="A910" t="s">
        <v>18805</v>
      </c>
      <c r="B910" t="s">
        <v>1292</v>
      </c>
      <c r="C910" t="s">
        <v>1267</v>
      </c>
      <c r="D910" t="s">
        <v>1293</v>
      </c>
      <c r="E910" t="s">
        <v>672</v>
      </c>
      <c r="F910" t="s">
        <v>598</v>
      </c>
      <c r="G910" t="s">
        <v>599</v>
      </c>
      <c r="H910" t="s">
        <v>600</v>
      </c>
      <c r="I910" t="s">
        <v>601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hidden="1">
      <c r="A911" t="s">
        <v>18805</v>
      </c>
      <c r="B911" t="s">
        <v>1295</v>
      </c>
      <c r="C911" t="s">
        <v>1267</v>
      </c>
      <c r="D911" t="s">
        <v>1296</v>
      </c>
      <c r="E911" t="s">
        <v>678</v>
      </c>
      <c r="F911" t="s">
        <v>598</v>
      </c>
      <c r="G911" t="s">
        <v>599</v>
      </c>
      <c r="H911" t="s">
        <v>600</v>
      </c>
      <c r="I911" t="s">
        <v>601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18805</v>
      </c>
      <c r="B912" t="s">
        <v>1297</v>
      </c>
      <c r="C912" t="s">
        <v>1267</v>
      </c>
      <c r="D912" t="s">
        <v>1298</v>
      </c>
      <c r="E912" t="s">
        <v>672</v>
      </c>
      <c r="F912" t="s">
        <v>598</v>
      </c>
      <c r="G912" t="s">
        <v>599</v>
      </c>
      <c r="H912" t="s">
        <v>600</v>
      </c>
      <c r="I912" t="s">
        <v>601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18805</v>
      </c>
      <c r="B913" t="s">
        <v>1301</v>
      </c>
      <c r="C913" t="s">
        <v>1267</v>
      </c>
      <c r="D913" t="s">
        <v>1302</v>
      </c>
      <c r="E913" t="s">
        <v>672</v>
      </c>
      <c r="F913" t="s">
        <v>598</v>
      </c>
      <c r="G913" t="s">
        <v>599</v>
      </c>
      <c r="H913" t="s">
        <v>600</v>
      </c>
      <c r="I913" t="s">
        <v>601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18805</v>
      </c>
      <c r="B914" t="s">
        <v>1304</v>
      </c>
      <c r="C914" t="s">
        <v>1267</v>
      </c>
      <c r="D914" t="s">
        <v>1305</v>
      </c>
      <c r="E914" t="s">
        <v>672</v>
      </c>
      <c r="F914" t="s">
        <v>598</v>
      </c>
      <c r="G914" t="s">
        <v>599</v>
      </c>
      <c r="H914" t="s">
        <v>600</v>
      </c>
      <c r="I914" t="s">
        <v>601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18805</v>
      </c>
      <c r="B915" t="s">
        <v>1308</v>
      </c>
      <c r="C915" t="s">
        <v>1267</v>
      </c>
      <c r="D915" t="s">
        <v>1309</v>
      </c>
      <c r="E915" t="s">
        <v>672</v>
      </c>
      <c r="F915" t="s">
        <v>598</v>
      </c>
      <c r="G915" t="s">
        <v>599</v>
      </c>
      <c r="H915" t="s">
        <v>600</v>
      </c>
      <c r="I915" t="s">
        <v>601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18805</v>
      </c>
      <c r="B916" t="s">
        <v>1351</v>
      </c>
      <c r="C916" t="s">
        <v>1267</v>
      </c>
      <c r="D916" t="s">
        <v>1352</v>
      </c>
      <c r="E916" t="s">
        <v>672</v>
      </c>
      <c r="F916" t="s">
        <v>598</v>
      </c>
      <c r="G916" t="s">
        <v>599</v>
      </c>
      <c r="H916" t="s">
        <v>600</v>
      </c>
      <c r="I916" t="s">
        <v>601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18805</v>
      </c>
      <c r="B917" t="s">
        <v>1353</v>
      </c>
      <c r="C917" t="s">
        <v>1267</v>
      </c>
      <c r="D917" t="s">
        <v>1354</v>
      </c>
      <c r="E917" t="s">
        <v>672</v>
      </c>
      <c r="F917" t="s">
        <v>598</v>
      </c>
      <c r="G917" t="s">
        <v>599</v>
      </c>
      <c r="H917" t="s">
        <v>600</v>
      </c>
      <c r="I917" t="s">
        <v>601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18805</v>
      </c>
      <c r="B918" t="s">
        <v>1373</v>
      </c>
      <c r="C918" t="s">
        <v>1267</v>
      </c>
      <c r="D918" t="s">
        <v>648</v>
      </c>
      <c r="E918" t="s">
        <v>672</v>
      </c>
      <c r="F918" t="s">
        <v>598</v>
      </c>
      <c r="G918" t="s">
        <v>599</v>
      </c>
      <c r="H918" t="s">
        <v>600</v>
      </c>
      <c r="I918" t="s">
        <v>601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18805</v>
      </c>
      <c r="B919" t="s">
        <v>1471</v>
      </c>
      <c r="C919" t="s">
        <v>1472</v>
      </c>
      <c r="D919" t="s">
        <v>1274</v>
      </c>
      <c r="E919" t="s">
        <v>973</v>
      </c>
      <c r="F919" t="s">
        <v>598</v>
      </c>
      <c r="G919" t="s">
        <v>599</v>
      </c>
      <c r="H919" t="s">
        <v>600</v>
      </c>
      <c r="I919" t="s">
        <v>601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18805</v>
      </c>
      <c r="B920" t="s">
        <v>1478</v>
      </c>
      <c r="C920" t="s">
        <v>1472</v>
      </c>
      <c r="D920" t="s">
        <v>1305</v>
      </c>
      <c r="E920" t="s">
        <v>973</v>
      </c>
      <c r="F920" t="s">
        <v>598</v>
      </c>
      <c r="G920" t="s">
        <v>599</v>
      </c>
      <c r="H920" t="s">
        <v>600</v>
      </c>
      <c r="I920" t="s">
        <v>601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18805</v>
      </c>
      <c r="B921" t="s">
        <v>1482</v>
      </c>
      <c r="C921" t="s">
        <v>1472</v>
      </c>
      <c r="D921" t="s">
        <v>1483</v>
      </c>
      <c r="E921" t="s">
        <v>597</v>
      </c>
      <c r="F921" t="s">
        <v>598</v>
      </c>
      <c r="G921" t="s">
        <v>599</v>
      </c>
      <c r="H921" t="s">
        <v>600</v>
      </c>
      <c r="I921" t="s">
        <v>601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hidden="1">
      <c r="A922" t="s">
        <v>18805</v>
      </c>
      <c r="B922" t="s">
        <v>1530</v>
      </c>
      <c r="C922" t="s">
        <v>1472</v>
      </c>
      <c r="D922" t="s">
        <v>1332</v>
      </c>
      <c r="E922" t="s">
        <v>692</v>
      </c>
      <c r="F922" t="s">
        <v>598</v>
      </c>
      <c r="G922" t="s">
        <v>599</v>
      </c>
      <c r="H922" t="s">
        <v>600</v>
      </c>
      <c r="I922" t="s">
        <v>601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18805</v>
      </c>
      <c r="B923" t="s">
        <v>1566</v>
      </c>
      <c r="C923" t="s">
        <v>1472</v>
      </c>
      <c r="D923" t="s">
        <v>1567</v>
      </c>
      <c r="E923" t="s">
        <v>626</v>
      </c>
      <c r="F923" t="s">
        <v>598</v>
      </c>
      <c r="G923" t="s">
        <v>599</v>
      </c>
      <c r="H923" t="s">
        <v>600</v>
      </c>
      <c r="I923" t="s">
        <v>601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18805</v>
      </c>
      <c r="B924" t="s">
        <v>1568</v>
      </c>
      <c r="C924" t="s">
        <v>1472</v>
      </c>
      <c r="D924" t="s">
        <v>1569</v>
      </c>
      <c r="E924" t="s">
        <v>626</v>
      </c>
      <c r="F924" t="s">
        <v>598</v>
      </c>
      <c r="G924" t="s">
        <v>599</v>
      </c>
      <c r="H924" t="s">
        <v>600</v>
      </c>
      <c r="I924" t="s">
        <v>601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18805</v>
      </c>
      <c r="B925" t="s">
        <v>1570</v>
      </c>
      <c r="C925" t="s">
        <v>1472</v>
      </c>
      <c r="D925" t="s">
        <v>1571</v>
      </c>
      <c r="E925" t="s">
        <v>626</v>
      </c>
      <c r="F925" t="s">
        <v>598</v>
      </c>
      <c r="G925" t="s">
        <v>599</v>
      </c>
      <c r="H925" t="s">
        <v>600</v>
      </c>
      <c r="I925" t="s">
        <v>601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hidden="1">
      <c r="A926" t="s">
        <v>18805</v>
      </c>
      <c r="B926" t="s">
        <v>1573</v>
      </c>
      <c r="C926" t="s">
        <v>1472</v>
      </c>
      <c r="D926" t="s">
        <v>1574</v>
      </c>
      <c r="E926" t="s">
        <v>626</v>
      </c>
      <c r="F926" t="s">
        <v>598</v>
      </c>
      <c r="G926" t="s">
        <v>599</v>
      </c>
      <c r="H926" t="s">
        <v>600</v>
      </c>
      <c r="I926" t="s">
        <v>601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hidden="1">
      <c r="A927" t="s">
        <v>18805</v>
      </c>
      <c r="B927" t="s">
        <v>1575</v>
      </c>
      <c r="C927" t="s">
        <v>1472</v>
      </c>
      <c r="D927" t="s">
        <v>1576</v>
      </c>
      <c r="E927" t="s">
        <v>626</v>
      </c>
      <c r="F927" t="s">
        <v>598</v>
      </c>
      <c r="G927" t="s">
        <v>599</v>
      </c>
      <c r="H927" t="s">
        <v>600</v>
      </c>
      <c r="I927" t="s">
        <v>601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18805</v>
      </c>
      <c r="B928" t="s">
        <v>1577</v>
      </c>
      <c r="C928" t="s">
        <v>1472</v>
      </c>
      <c r="D928" t="s">
        <v>1578</v>
      </c>
      <c r="E928" t="s">
        <v>626</v>
      </c>
      <c r="F928" t="s">
        <v>598</v>
      </c>
      <c r="G928" t="s">
        <v>599</v>
      </c>
      <c r="H928" t="s">
        <v>600</v>
      </c>
      <c r="I928" t="s">
        <v>601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hidden="1">
      <c r="A929" t="s">
        <v>18805</v>
      </c>
      <c r="B929" t="s">
        <v>1582</v>
      </c>
      <c r="C929" t="s">
        <v>1472</v>
      </c>
      <c r="D929" t="s">
        <v>1583</v>
      </c>
      <c r="E929" t="s">
        <v>626</v>
      </c>
      <c r="F929" t="s">
        <v>598</v>
      </c>
      <c r="G929" t="s">
        <v>599</v>
      </c>
      <c r="H929" t="s">
        <v>600</v>
      </c>
      <c r="I929" t="s">
        <v>601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hidden="1">
      <c r="A930" t="s">
        <v>18805</v>
      </c>
      <c r="B930" t="s">
        <v>1590</v>
      </c>
      <c r="C930" t="s">
        <v>1472</v>
      </c>
      <c r="D930" t="s">
        <v>1365</v>
      </c>
      <c r="E930" t="s">
        <v>626</v>
      </c>
      <c r="F930" t="s">
        <v>598</v>
      </c>
      <c r="G930" t="s">
        <v>599</v>
      </c>
      <c r="H930" t="s">
        <v>600</v>
      </c>
      <c r="I930" t="s">
        <v>601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18805</v>
      </c>
      <c r="B931" t="s">
        <v>1600</v>
      </c>
      <c r="C931" t="s">
        <v>1472</v>
      </c>
      <c r="D931" t="s">
        <v>1601</v>
      </c>
      <c r="E931" t="s">
        <v>626</v>
      </c>
      <c r="F931" t="s">
        <v>598</v>
      </c>
      <c r="G931" t="s">
        <v>599</v>
      </c>
      <c r="H931" t="s">
        <v>600</v>
      </c>
      <c r="I931" t="s">
        <v>601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hidden="1">
      <c r="A932" t="s">
        <v>18805</v>
      </c>
      <c r="B932" t="s">
        <v>1602</v>
      </c>
      <c r="C932" t="s">
        <v>1472</v>
      </c>
      <c r="D932" t="s">
        <v>1603</v>
      </c>
      <c r="E932" t="s">
        <v>626</v>
      </c>
      <c r="F932" t="s">
        <v>598</v>
      </c>
      <c r="G932" t="s">
        <v>599</v>
      </c>
      <c r="H932" t="s">
        <v>600</v>
      </c>
      <c r="I932" t="s">
        <v>601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hidden="1">
      <c r="A933" t="s">
        <v>18805</v>
      </c>
      <c r="B933" t="s">
        <v>1604</v>
      </c>
      <c r="C933" t="s">
        <v>1472</v>
      </c>
      <c r="D933" t="s">
        <v>1605</v>
      </c>
      <c r="E933" t="s">
        <v>626</v>
      </c>
      <c r="F933" t="s">
        <v>598</v>
      </c>
      <c r="G933" t="s">
        <v>599</v>
      </c>
      <c r="H933" t="s">
        <v>600</v>
      </c>
      <c r="I933" t="s">
        <v>601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 hidden="1">
      <c r="A934" t="s">
        <v>18805</v>
      </c>
      <c r="B934" t="s">
        <v>1775</v>
      </c>
      <c r="C934" t="s">
        <v>1614</v>
      </c>
      <c r="D934" t="s">
        <v>1776</v>
      </c>
      <c r="E934" t="s">
        <v>1777</v>
      </c>
      <c r="F934" t="s">
        <v>598</v>
      </c>
      <c r="G934" t="s">
        <v>599</v>
      </c>
      <c r="H934" t="s">
        <v>600</v>
      </c>
      <c r="I934" t="s">
        <v>601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hidden="1">
      <c r="A935" t="s">
        <v>18805</v>
      </c>
      <c r="B935" t="s">
        <v>1780</v>
      </c>
      <c r="C935" t="s">
        <v>1614</v>
      </c>
      <c r="D935" t="s">
        <v>1781</v>
      </c>
      <c r="E935" t="s">
        <v>1716</v>
      </c>
      <c r="F935" t="s">
        <v>598</v>
      </c>
      <c r="G935" t="s">
        <v>599</v>
      </c>
      <c r="H935" t="s">
        <v>600</v>
      </c>
      <c r="I935" t="s">
        <v>601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hidden="1">
      <c r="A936" t="s">
        <v>18805</v>
      </c>
      <c r="B936" t="s">
        <v>1858</v>
      </c>
      <c r="C936" t="s">
        <v>1845</v>
      </c>
      <c r="D936" t="s">
        <v>1859</v>
      </c>
      <c r="E936" t="s">
        <v>1860</v>
      </c>
      <c r="F936" t="s">
        <v>598</v>
      </c>
      <c r="G936" t="s">
        <v>599</v>
      </c>
      <c r="H936" t="s">
        <v>600</v>
      </c>
      <c r="I936" t="s">
        <v>601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hidden="1">
      <c r="A937" t="s">
        <v>18805</v>
      </c>
      <c r="B937" t="s">
        <v>1861</v>
      </c>
      <c r="C937" t="s">
        <v>1845</v>
      </c>
      <c r="D937" t="s">
        <v>1862</v>
      </c>
      <c r="E937" t="s">
        <v>1860</v>
      </c>
      <c r="F937" t="s">
        <v>598</v>
      </c>
      <c r="G937" t="s">
        <v>599</v>
      </c>
      <c r="H937" t="s">
        <v>600</v>
      </c>
      <c r="I937" t="s">
        <v>601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hidden="1">
      <c r="A938" t="s">
        <v>18805</v>
      </c>
      <c r="B938" t="s">
        <v>1863</v>
      </c>
      <c r="C938" t="s">
        <v>1845</v>
      </c>
      <c r="D938" t="s">
        <v>1864</v>
      </c>
      <c r="E938" t="s">
        <v>1865</v>
      </c>
      <c r="F938" t="s">
        <v>598</v>
      </c>
      <c r="G938" t="s">
        <v>599</v>
      </c>
      <c r="H938" t="s">
        <v>600</v>
      </c>
      <c r="I938" t="s">
        <v>601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18805</v>
      </c>
      <c r="B939" t="s">
        <v>1964</v>
      </c>
      <c r="C939" t="s">
        <v>1959</v>
      </c>
      <c r="D939" t="s">
        <v>1965</v>
      </c>
      <c r="E939" t="s">
        <v>1966</v>
      </c>
      <c r="F939" t="s">
        <v>598</v>
      </c>
      <c r="G939" t="s">
        <v>599</v>
      </c>
      <c r="H939" t="s">
        <v>600</v>
      </c>
      <c r="I939" t="s">
        <v>601</v>
      </c>
      <c r="J939">
        <v>8.7599999999999997E-2</v>
      </c>
      <c r="K939">
        <v>9.0899999999999995E-2</v>
      </c>
      <c r="L939">
        <v>9.3600000000000003E-2</v>
      </c>
      <c r="M939">
        <v>9.69E-2</v>
      </c>
      <c r="N939">
        <v>9.7699999999999995E-2</v>
      </c>
      <c r="O939">
        <v>9.8900000000000002E-2</v>
      </c>
      <c r="P939">
        <v>0.1003</v>
      </c>
      <c r="Q939">
        <v>0.1014</v>
      </c>
      <c r="R939">
        <v>0.10299999999999999</v>
      </c>
      <c r="S939">
        <v>0.10489999999999999</v>
      </c>
      <c r="T939">
        <v>0.10630000000000001</v>
      </c>
      <c r="U939">
        <v>0.1081</v>
      </c>
      <c r="V939">
        <v>0.1101</v>
      </c>
      <c r="W939">
        <v>0.11210000000000001</v>
      </c>
      <c r="X939">
        <v>0.1142</v>
      </c>
      <c r="Y939">
        <v>0.1162</v>
      </c>
    </row>
    <row r="940" spans="1:25" hidden="1">
      <c r="A940" t="s">
        <v>18805</v>
      </c>
      <c r="B940" t="s">
        <v>1967</v>
      </c>
      <c r="C940" t="s">
        <v>1959</v>
      </c>
      <c r="D940" t="s">
        <v>1968</v>
      </c>
      <c r="E940" t="s">
        <v>1962</v>
      </c>
      <c r="F940" t="s">
        <v>598</v>
      </c>
      <c r="G940" t="s">
        <v>599</v>
      </c>
      <c r="H940" t="s">
        <v>600</v>
      </c>
      <c r="I940" t="s">
        <v>601</v>
      </c>
      <c r="J940">
        <v>6.54E-2</v>
      </c>
      <c r="K940">
        <v>6.7699999999999996E-2</v>
      </c>
      <c r="L940">
        <v>6.9599999999999995E-2</v>
      </c>
      <c r="M940">
        <v>7.2099999999999997E-2</v>
      </c>
      <c r="N940">
        <v>7.2499999999999995E-2</v>
      </c>
      <c r="O940">
        <v>7.3599999999999999E-2</v>
      </c>
      <c r="P940">
        <v>7.46E-2</v>
      </c>
      <c r="Q940">
        <v>7.5600000000000001E-2</v>
      </c>
      <c r="R940">
        <v>7.6799999999999993E-2</v>
      </c>
      <c r="S940">
        <v>7.8100000000000003E-2</v>
      </c>
      <c r="T940">
        <v>7.9100000000000004E-2</v>
      </c>
      <c r="U940">
        <v>8.0299999999999996E-2</v>
      </c>
      <c r="V940">
        <v>8.2100000000000006E-2</v>
      </c>
      <c r="W940">
        <v>8.3500000000000005E-2</v>
      </c>
      <c r="X940">
        <v>8.4900000000000003E-2</v>
      </c>
      <c r="Y940">
        <v>8.6499999999999994E-2</v>
      </c>
    </row>
    <row r="941" spans="1:25" hidden="1">
      <c r="A941" t="s">
        <v>18805</v>
      </c>
      <c r="B941" t="s">
        <v>2005</v>
      </c>
      <c r="C941" t="s">
        <v>1959</v>
      </c>
      <c r="D941" t="s">
        <v>2001</v>
      </c>
      <c r="E941" t="s">
        <v>1976</v>
      </c>
      <c r="F941" t="s">
        <v>598</v>
      </c>
      <c r="G941" t="s">
        <v>599</v>
      </c>
      <c r="H941" t="s">
        <v>600</v>
      </c>
      <c r="I941" t="s">
        <v>601</v>
      </c>
      <c r="J941">
        <v>6.8999999999999999E-3</v>
      </c>
      <c r="K941">
        <v>7.1999999999999998E-3</v>
      </c>
      <c r="L941">
        <v>7.4999999999999997E-3</v>
      </c>
      <c r="M941">
        <v>7.7999999999999996E-3</v>
      </c>
      <c r="N941">
        <v>8.0000000000000002E-3</v>
      </c>
      <c r="O941">
        <v>8.0000000000000002E-3</v>
      </c>
      <c r="P941">
        <v>8.2000000000000007E-3</v>
      </c>
      <c r="Q941">
        <v>8.3999999999999995E-3</v>
      </c>
      <c r="R941">
        <v>8.6E-3</v>
      </c>
      <c r="S941">
        <v>8.8999999999999999E-3</v>
      </c>
      <c r="T941">
        <v>8.9999999999999993E-3</v>
      </c>
      <c r="U941">
        <v>9.2999999999999992E-3</v>
      </c>
      <c r="V941">
        <v>9.4999999999999998E-3</v>
      </c>
      <c r="W941">
        <v>9.7000000000000003E-3</v>
      </c>
      <c r="X941">
        <v>9.9000000000000008E-3</v>
      </c>
      <c r="Y941">
        <v>1.01E-2</v>
      </c>
    </row>
    <row r="942" spans="1:25" hidden="1">
      <c r="A942" t="s">
        <v>18805</v>
      </c>
      <c r="B942" t="s">
        <v>2039</v>
      </c>
      <c r="C942" t="s">
        <v>1959</v>
      </c>
      <c r="D942" t="s">
        <v>648</v>
      </c>
      <c r="E942" t="s">
        <v>1378</v>
      </c>
      <c r="F942" t="s">
        <v>598</v>
      </c>
      <c r="G942" t="s">
        <v>599</v>
      </c>
      <c r="H942" t="s">
        <v>600</v>
      </c>
      <c r="I942" t="s">
        <v>601</v>
      </c>
      <c r="J942">
        <v>1.14E-2</v>
      </c>
      <c r="K942">
        <v>1.18E-2</v>
      </c>
      <c r="L942">
        <v>1.2200000000000001E-2</v>
      </c>
      <c r="M942">
        <v>1.2699999999999999E-2</v>
      </c>
      <c r="N942">
        <v>1.29E-2</v>
      </c>
      <c r="O942">
        <v>1.3100000000000001E-2</v>
      </c>
      <c r="P942">
        <v>1.3299999999999999E-2</v>
      </c>
      <c r="Q942">
        <v>1.35E-2</v>
      </c>
      <c r="R942">
        <v>1.37E-2</v>
      </c>
      <c r="S942">
        <v>1.3899999999999999E-2</v>
      </c>
      <c r="T942">
        <v>1.41E-2</v>
      </c>
      <c r="U942">
        <v>1.44E-2</v>
      </c>
      <c r="V942">
        <v>1.47E-2</v>
      </c>
      <c r="W942">
        <v>1.49E-2</v>
      </c>
      <c r="X942">
        <v>1.5100000000000001E-2</v>
      </c>
      <c r="Y942">
        <v>1.55E-2</v>
      </c>
    </row>
    <row r="943" spans="1:25" hidden="1">
      <c r="A943" t="s">
        <v>18805</v>
      </c>
      <c r="B943" t="s">
        <v>2078</v>
      </c>
      <c r="C943" t="s">
        <v>2075</v>
      </c>
      <c r="D943" t="s">
        <v>2079</v>
      </c>
      <c r="E943" t="s">
        <v>1378</v>
      </c>
      <c r="F943" t="s">
        <v>598</v>
      </c>
      <c r="G943" t="s">
        <v>599</v>
      </c>
      <c r="H943" t="s">
        <v>600</v>
      </c>
      <c r="I943" t="s">
        <v>601</v>
      </c>
      <c r="J943">
        <v>4.7999999999999996E-3</v>
      </c>
      <c r="K943">
        <v>4.7999999999999996E-3</v>
      </c>
      <c r="L943">
        <v>4.7000000000000002E-3</v>
      </c>
      <c r="M943">
        <v>4.7000000000000002E-3</v>
      </c>
      <c r="N943">
        <v>4.5999999999999999E-3</v>
      </c>
      <c r="O943">
        <v>4.5999999999999999E-3</v>
      </c>
      <c r="P943">
        <v>4.5999999999999999E-3</v>
      </c>
      <c r="Q943">
        <v>4.5999999999999999E-3</v>
      </c>
      <c r="R943">
        <v>4.5999999999999999E-3</v>
      </c>
      <c r="S943">
        <v>4.5999999999999999E-3</v>
      </c>
      <c r="T943">
        <v>4.5999999999999999E-3</v>
      </c>
      <c r="U943">
        <v>4.5999999999999999E-3</v>
      </c>
      <c r="V943">
        <v>4.5999999999999999E-3</v>
      </c>
      <c r="W943">
        <v>4.5999999999999999E-3</v>
      </c>
      <c r="X943">
        <v>4.5999999999999999E-3</v>
      </c>
      <c r="Y943">
        <v>4.5999999999999999E-3</v>
      </c>
    </row>
    <row r="944" spans="1:25" hidden="1">
      <c r="A944" t="s">
        <v>18805</v>
      </c>
      <c r="B944" t="s">
        <v>2123</v>
      </c>
      <c r="C944" t="s">
        <v>2116</v>
      </c>
      <c r="D944" t="s">
        <v>2124</v>
      </c>
      <c r="E944" t="s">
        <v>2125</v>
      </c>
      <c r="F944" t="s">
        <v>598</v>
      </c>
      <c r="G944" t="s">
        <v>599</v>
      </c>
      <c r="H944" t="s">
        <v>600</v>
      </c>
      <c r="I944" t="s">
        <v>601</v>
      </c>
      <c r="J944">
        <v>4.4000000000000003E-3</v>
      </c>
      <c r="K944">
        <v>4.4000000000000003E-3</v>
      </c>
      <c r="L944">
        <v>4.4999999999999997E-3</v>
      </c>
      <c r="M944">
        <v>4.4999999999999997E-3</v>
      </c>
      <c r="N944">
        <v>4.4999999999999997E-3</v>
      </c>
      <c r="O944">
        <v>4.4999999999999997E-3</v>
      </c>
      <c r="P944">
        <v>4.4999999999999997E-3</v>
      </c>
      <c r="Q944">
        <v>4.4000000000000003E-3</v>
      </c>
      <c r="R944">
        <v>4.4000000000000003E-3</v>
      </c>
      <c r="S944">
        <v>4.4000000000000003E-3</v>
      </c>
      <c r="T944">
        <v>4.4000000000000003E-3</v>
      </c>
      <c r="U944">
        <v>4.4000000000000003E-3</v>
      </c>
      <c r="V944">
        <v>4.4999999999999997E-3</v>
      </c>
      <c r="W944">
        <v>4.4999999999999997E-3</v>
      </c>
      <c r="X944">
        <v>4.4999999999999997E-3</v>
      </c>
      <c r="Y944">
        <v>4.5999999999999999E-3</v>
      </c>
    </row>
    <row r="945" spans="1:25" hidden="1">
      <c r="A945" t="s">
        <v>18805</v>
      </c>
      <c r="B945" t="s">
        <v>2126</v>
      </c>
      <c r="C945" t="s">
        <v>2116</v>
      </c>
      <c r="D945" t="s">
        <v>2127</v>
      </c>
      <c r="E945" t="s">
        <v>656</v>
      </c>
      <c r="F945" t="s">
        <v>598</v>
      </c>
      <c r="G945" t="s">
        <v>599</v>
      </c>
      <c r="H945" t="s">
        <v>600</v>
      </c>
      <c r="I945" t="s">
        <v>601</v>
      </c>
      <c r="J945">
        <v>2.1999999999999999E-2</v>
      </c>
      <c r="K945">
        <v>2.23E-2</v>
      </c>
      <c r="L945">
        <v>2.2499999999999999E-2</v>
      </c>
      <c r="M945">
        <v>2.2800000000000001E-2</v>
      </c>
      <c r="N945">
        <v>2.2800000000000001E-2</v>
      </c>
      <c r="O945">
        <v>2.2599999999999999E-2</v>
      </c>
      <c r="P945">
        <v>2.2499999999999999E-2</v>
      </c>
      <c r="Q945">
        <v>2.24E-2</v>
      </c>
      <c r="R945">
        <v>2.23E-2</v>
      </c>
      <c r="S945">
        <v>2.2200000000000001E-2</v>
      </c>
      <c r="T945">
        <v>2.23E-2</v>
      </c>
      <c r="U945">
        <v>2.24E-2</v>
      </c>
      <c r="V945">
        <v>2.2499999999999999E-2</v>
      </c>
      <c r="W945">
        <v>2.2800000000000001E-2</v>
      </c>
      <c r="X945">
        <v>2.2800000000000001E-2</v>
      </c>
      <c r="Y945">
        <v>2.3099999999999999E-2</v>
      </c>
    </row>
    <row r="946" spans="1:25" hidden="1">
      <c r="A946" t="s">
        <v>18805</v>
      </c>
      <c r="B946" t="s">
        <v>2128</v>
      </c>
      <c r="C946" t="s">
        <v>2116</v>
      </c>
      <c r="D946" t="s">
        <v>648</v>
      </c>
      <c r="E946" t="s">
        <v>656</v>
      </c>
      <c r="F946" t="s">
        <v>598</v>
      </c>
      <c r="G946" t="s">
        <v>599</v>
      </c>
      <c r="H946" t="s">
        <v>600</v>
      </c>
      <c r="I946" t="s">
        <v>601</v>
      </c>
      <c r="J946">
        <v>0.60160000000000002</v>
      </c>
      <c r="K946">
        <v>0.60899999999999999</v>
      </c>
      <c r="L946">
        <v>0.61639999999999995</v>
      </c>
      <c r="M946">
        <v>0.62380000000000002</v>
      </c>
      <c r="N946">
        <v>0.62219999999999998</v>
      </c>
      <c r="O946">
        <v>0.61809999999999998</v>
      </c>
      <c r="P946">
        <v>0.6139</v>
      </c>
      <c r="Q946">
        <v>0.61070000000000002</v>
      </c>
      <c r="R946">
        <v>0.60899999999999999</v>
      </c>
      <c r="S946">
        <v>0.60819999999999996</v>
      </c>
      <c r="T946">
        <v>0.60899999999999999</v>
      </c>
      <c r="U946">
        <v>0.61150000000000004</v>
      </c>
      <c r="V946">
        <v>0.61719999999999997</v>
      </c>
      <c r="W946">
        <v>0.62290000000000001</v>
      </c>
      <c r="X946">
        <v>0.62549999999999994</v>
      </c>
      <c r="Y946">
        <v>0.63280000000000003</v>
      </c>
    </row>
    <row r="947" spans="1:25">
      <c r="J947">
        <f>SUBTOTAL(109,Table109[2015])</f>
        <v>0.26639999999999997</v>
      </c>
      <c r="K947">
        <f>SUBTOTAL(109,Table109[2016])</f>
        <v>0.27200000000000002</v>
      </c>
      <c r="L947">
        <f>SUBTOTAL(109,Table109[2017])</f>
        <v>0.27330000000000004</v>
      </c>
      <c r="M947">
        <f>SUBTOTAL(109,Table109[2018])</f>
        <v>0.2762</v>
      </c>
      <c r="N947">
        <f>SUBTOTAL(109,Table109[2019])</f>
        <v>0.27800000000000002</v>
      </c>
      <c r="O947">
        <f>SUBTOTAL(109,Table109[2020])</f>
        <v>0.28249999999999997</v>
      </c>
      <c r="P947">
        <f>SUBTOTAL(109,Table109[2021])</f>
        <v>0.28349999999999997</v>
      </c>
      <c r="Q947">
        <f>SUBTOTAL(109,Table109[2022])</f>
        <v>0.28610000000000002</v>
      </c>
      <c r="R947">
        <f>SUBTOTAL(109,Table109[2023])</f>
        <v>0.28800000000000003</v>
      </c>
      <c r="S947">
        <f>SUBTOTAL(109,Table109[2024])</f>
        <v>0.2923</v>
      </c>
      <c r="T947">
        <f>SUBTOTAL(109,Table109[2025])</f>
        <v>0.29720000000000002</v>
      </c>
      <c r="U947">
        <f>SUBTOTAL(109,Table109[2026])</f>
        <v>0.30080000000000001</v>
      </c>
      <c r="V947">
        <f>SUBTOTAL(109,Table109[2027])</f>
        <v>0.30230000000000001</v>
      </c>
      <c r="W947">
        <f>SUBTOTAL(109,Table109[2028])</f>
        <v>0.30620000000000003</v>
      </c>
      <c r="X947">
        <f>SUBTOTAL(109,Table109[2029])</f>
        <v>0.31020000000000003</v>
      </c>
      <c r="Y947">
        <f>SUBTOTAL(109,Table109[2030])</f>
        <v>0.31259999999999999</v>
      </c>
    </row>
    <row r="948" spans="1:25" hidden="1">
      <c r="A948" t="s">
        <v>569</v>
      </c>
      <c r="B948" t="s">
        <v>570</v>
      </c>
      <c r="C948" t="s">
        <v>571</v>
      </c>
      <c r="D948" t="s">
        <v>572</v>
      </c>
      <c r="E948" t="s">
        <v>573</v>
      </c>
      <c r="F948" t="s">
        <v>574</v>
      </c>
      <c r="G948" t="s">
        <v>575</v>
      </c>
      <c r="H948" t="s">
        <v>576</v>
      </c>
      <c r="I948" t="s">
        <v>577</v>
      </c>
      <c r="J948" t="s">
        <v>578</v>
      </c>
      <c r="K948" t="s">
        <v>579</v>
      </c>
      <c r="L948" t="s">
        <v>580</v>
      </c>
      <c r="M948" t="s">
        <v>581</v>
      </c>
      <c r="N948" t="s">
        <v>582</v>
      </c>
      <c r="O948" t="s">
        <v>583</v>
      </c>
      <c r="P948" t="s">
        <v>584</v>
      </c>
      <c r="Q948" t="s">
        <v>585</v>
      </c>
      <c r="R948" t="s">
        <v>586</v>
      </c>
      <c r="S948" t="s">
        <v>587</v>
      </c>
      <c r="T948" t="s">
        <v>588</v>
      </c>
      <c r="U948" t="s">
        <v>589</v>
      </c>
      <c r="V948" t="s">
        <v>590</v>
      </c>
      <c r="W948" t="s">
        <v>591</v>
      </c>
      <c r="X948" t="s">
        <v>592</v>
      </c>
      <c r="Y948" t="s">
        <v>593</v>
      </c>
    </row>
    <row r="949" spans="1:25" hidden="1">
      <c r="A949" t="s">
        <v>18806</v>
      </c>
      <c r="B949" t="s">
        <v>655</v>
      </c>
      <c r="C949" t="s">
        <v>651</v>
      </c>
      <c r="D949" t="s">
        <v>596</v>
      </c>
      <c r="E949" t="s">
        <v>656</v>
      </c>
      <c r="F949" t="s">
        <v>598</v>
      </c>
      <c r="G949" t="s">
        <v>599</v>
      </c>
      <c r="H949" t="s">
        <v>600</v>
      </c>
      <c r="I949" t="s">
        <v>601</v>
      </c>
      <c r="J949">
        <v>0.18809999999999999</v>
      </c>
      <c r="K949">
        <v>0.2152</v>
      </c>
      <c r="L949">
        <v>0.23100000000000001</v>
      </c>
      <c r="M949">
        <v>0.25140000000000001</v>
      </c>
      <c r="N949">
        <v>0.26579999999999998</v>
      </c>
      <c r="O949">
        <v>0.2762</v>
      </c>
      <c r="P949">
        <v>0.27939999999999998</v>
      </c>
      <c r="Q949">
        <v>0.28260000000000002</v>
      </c>
      <c r="R949">
        <v>0.2898</v>
      </c>
      <c r="S949">
        <v>0.29480000000000001</v>
      </c>
      <c r="T949">
        <v>0.29980000000000001</v>
      </c>
      <c r="U949">
        <v>0.30470000000000003</v>
      </c>
      <c r="V949">
        <v>0.31019999999999998</v>
      </c>
      <c r="W949">
        <v>0.30919999999999997</v>
      </c>
      <c r="X949">
        <v>0.3115</v>
      </c>
      <c r="Y949">
        <v>0.31059999999999999</v>
      </c>
    </row>
    <row r="950" spans="1:25" hidden="1">
      <c r="A950" t="s">
        <v>18806</v>
      </c>
      <c r="B950" t="s">
        <v>662</v>
      </c>
      <c r="C950" t="s">
        <v>651</v>
      </c>
      <c r="D950" t="s">
        <v>648</v>
      </c>
      <c r="E950" t="s">
        <v>649</v>
      </c>
      <c r="F950" t="s">
        <v>598</v>
      </c>
      <c r="G950" t="s">
        <v>599</v>
      </c>
      <c r="H950" t="s">
        <v>600</v>
      </c>
      <c r="I950" t="s">
        <v>601</v>
      </c>
      <c r="J950">
        <v>4.0500000000000001E-2</v>
      </c>
      <c r="K950">
        <v>4.2200000000000001E-2</v>
      </c>
      <c r="L950">
        <v>4.3099999999999999E-2</v>
      </c>
      <c r="M950">
        <v>4.4400000000000002E-2</v>
      </c>
      <c r="N950">
        <v>4.5600000000000002E-2</v>
      </c>
      <c r="O950">
        <v>4.65E-2</v>
      </c>
      <c r="P950">
        <v>4.7600000000000003E-2</v>
      </c>
      <c r="Q950">
        <v>4.8500000000000001E-2</v>
      </c>
      <c r="R950">
        <v>4.9599999999999998E-2</v>
      </c>
      <c r="S950">
        <v>5.0599999999999999E-2</v>
      </c>
      <c r="T950">
        <v>5.16E-2</v>
      </c>
      <c r="U950">
        <v>5.28E-2</v>
      </c>
      <c r="V950">
        <v>5.3900000000000003E-2</v>
      </c>
      <c r="W950">
        <v>5.4800000000000001E-2</v>
      </c>
      <c r="X950">
        <v>5.5800000000000002E-2</v>
      </c>
      <c r="Y950">
        <v>5.6800000000000003E-2</v>
      </c>
    </row>
    <row r="951" spans="1:25" hidden="1">
      <c r="A951" t="s">
        <v>18806</v>
      </c>
      <c r="B951" t="s">
        <v>738</v>
      </c>
      <c r="C951" t="s">
        <v>729</v>
      </c>
      <c r="D951" t="s">
        <v>596</v>
      </c>
      <c r="E951" t="s">
        <v>617</v>
      </c>
      <c r="F951" t="s">
        <v>598</v>
      </c>
      <c r="G951" t="s">
        <v>599</v>
      </c>
      <c r="H951" t="s">
        <v>600</v>
      </c>
      <c r="I951" t="s">
        <v>601</v>
      </c>
      <c r="J951">
        <v>0.2266</v>
      </c>
      <c r="K951">
        <v>0.2266</v>
      </c>
      <c r="L951">
        <v>0.2266</v>
      </c>
      <c r="M951">
        <v>0.2266</v>
      </c>
      <c r="N951">
        <v>0.2266</v>
      </c>
      <c r="O951">
        <v>0.2266</v>
      </c>
      <c r="P951">
        <v>0.2266</v>
      </c>
      <c r="Q951">
        <v>0.2266</v>
      </c>
      <c r="R951">
        <v>0.2266</v>
      </c>
      <c r="S951">
        <v>0.2266</v>
      </c>
      <c r="T951">
        <v>0.2266</v>
      </c>
      <c r="U951">
        <v>0.2266</v>
      </c>
      <c r="V951">
        <v>0.2266</v>
      </c>
      <c r="W951">
        <v>0.2266</v>
      </c>
      <c r="X951">
        <v>0.2266</v>
      </c>
      <c r="Y951">
        <v>0.2266</v>
      </c>
    </row>
    <row r="952" spans="1:25" hidden="1">
      <c r="A952" t="s">
        <v>18806</v>
      </c>
      <c r="B952" t="s">
        <v>830</v>
      </c>
      <c r="C952" t="s">
        <v>804</v>
      </c>
      <c r="D952" t="s">
        <v>828</v>
      </c>
      <c r="E952" t="s">
        <v>628</v>
      </c>
      <c r="F952" t="s">
        <v>831</v>
      </c>
      <c r="G952" t="s">
        <v>599</v>
      </c>
      <c r="H952" t="s">
        <v>600</v>
      </c>
      <c r="I952" t="s">
        <v>601</v>
      </c>
      <c r="J952">
        <v>1.0699999999999999E-2</v>
      </c>
      <c r="K952">
        <v>4.0000000000000001E-3</v>
      </c>
      <c r="L952">
        <v>3.8E-3</v>
      </c>
      <c r="M952">
        <v>3.5000000000000001E-3</v>
      </c>
      <c r="N952">
        <v>3.5000000000000001E-3</v>
      </c>
      <c r="O952">
        <v>3.5000000000000001E-3</v>
      </c>
      <c r="P952">
        <v>3.5000000000000001E-3</v>
      </c>
      <c r="Q952">
        <v>3.5000000000000001E-3</v>
      </c>
      <c r="R952">
        <v>3.5000000000000001E-3</v>
      </c>
      <c r="S952">
        <v>3.5000000000000001E-3</v>
      </c>
      <c r="T952">
        <v>3.5000000000000001E-3</v>
      </c>
      <c r="U952">
        <v>3.3999999999999998E-3</v>
      </c>
      <c r="V952">
        <v>3.3E-3</v>
      </c>
      <c r="W952">
        <v>3.0999999999999999E-3</v>
      </c>
      <c r="X952">
        <v>2.8999999999999998E-3</v>
      </c>
      <c r="Y952">
        <v>2.8999999999999998E-3</v>
      </c>
    </row>
    <row r="953" spans="1:25" hidden="1">
      <c r="A953" t="s">
        <v>18806</v>
      </c>
      <c r="B953" t="s">
        <v>832</v>
      </c>
      <c r="C953" t="s">
        <v>804</v>
      </c>
      <c r="D953" t="s">
        <v>828</v>
      </c>
      <c r="E953" t="s">
        <v>628</v>
      </c>
      <c r="F953" t="s">
        <v>833</v>
      </c>
      <c r="G953" t="s">
        <v>599</v>
      </c>
      <c r="H953" t="s">
        <v>600</v>
      </c>
      <c r="I953" t="s">
        <v>601</v>
      </c>
      <c r="J953">
        <v>1.12E-2</v>
      </c>
      <c r="K953">
        <v>1.06E-2</v>
      </c>
      <c r="L953">
        <v>1.01E-2</v>
      </c>
      <c r="M953">
        <v>9.4000000000000004E-3</v>
      </c>
      <c r="N953">
        <v>8.8999999999999999E-3</v>
      </c>
      <c r="O953">
        <v>8.2000000000000007E-3</v>
      </c>
      <c r="P953">
        <v>7.4000000000000003E-3</v>
      </c>
      <c r="Q953">
        <v>6.7999999999999996E-3</v>
      </c>
      <c r="R953">
        <v>6.0000000000000001E-3</v>
      </c>
      <c r="S953">
        <v>5.4999999999999997E-3</v>
      </c>
      <c r="T953">
        <v>4.8999999999999998E-3</v>
      </c>
      <c r="U953">
        <v>4.5999999999999999E-3</v>
      </c>
      <c r="V953">
        <v>4.0000000000000001E-3</v>
      </c>
      <c r="W953">
        <v>3.5999999999999999E-3</v>
      </c>
      <c r="X953">
        <v>3.3E-3</v>
      </c>
      <c r="Y953">
        <v>2.8E-3</v>
      </c>
    </row>
    <row r="954" spans="1:25" hidden="1">
      <c r="A954" t="s">
        <v>18806</v>
      </c>
      <c r="B954" t="s">
        <v>848</v>
      </c>
      <c r="C954" t="s">
        <v>841</v>
      </c>
      <c r="D954" t="s">
        <v>596</v>
      </c>
      <c r="E954" t="s">
        <v>735</v>
      </c>
      <c r="F954" t="s">
        <v>598</v>
      </c>
      <c r="G954" t="s">
        <v>599</v>
      </c>
      <c r="H954" t="s">
        <v>600</v>
      </c>
      <c r="I954" t="s">
        <v>601</v>
      </c>
      <c r="J954">
        <v>8.0000000000000004E-4</v>
      </c>
      <c r="K954">
        <v>8.0000000000000004E-4</v>
      </c>
      <c r="L954">
        <v>8.0000000000000004E-4</v>
      </c>
      <c r="M954">
        <v>8.0000000000000004E-4</v>
      </c>
      <c r="N954">
        <v>8.0000000000000004E-4</v>
      </c>
      <c r="O954">
        <v>8.0000000000000004E-4</v>
      </c>
      <c r="P954">
        <v>8.0000000000000004E-4</v>
      </c>
      <c r="Q954">
        <v>8.0000000000000004E-4</v>
      </c>
      <c r="R954">
        <v>8.0000000000000004E-4</v>
      </c>
      <c r="S954">
        <v>8.0000000000000004E-4</v>
      </c>
      <c r="T954">
        <v>8.0000000000000004E-4</v>
      </c>
      <c r="U954">
        <v>8.0000000000000004E-4</v>
      </c>
      <c r="V954">
        <v>8.0000000000000004E-4</v>
      </c>
      <c r="W954">
        <v>8.0000000000000004E-4</v>
      </c>
      <c r="X954">
        <v>8.0000000000000004E-4</v>
      </c>
      <c r="Y954">
        <v>8.0000000000000004E-4</v>
      </c>
    </row>
    <row r="955" spans="1:25" hidden="1">
      <c r="A955" t="s">
        <v>18806</v>
      </c>
      <c r="B955" t="s">
        <v>852</v>
      </c>
      <c r="C955" t="s">
        <v>841</v>
      </c>
      <c r="D955" t="s">
        <v>596</v>
      </c>
      <c r="E955" t="s">
        <v>619</v>
      </c>
      <c r="F955" t="s">
        <v>598</v>
      </c>
      <c r="G955" t="s">
        <v>599</v>
      </c>
      <c r="H955" t="s">
        <v>600</v>
      </c>
      <c r="I955" t="s">
        <v>601</v>
      </c>
      <c r="J955">
        <v>0.1351</v>
      </c>
      <c r="K955">
        <v>0.1351</v>
      </c>
      <c r="L955">
        <v>0.1351</v>
      </c>
      <c r="M955">
        <v>0.1351</v>
      </c>
      <c r="N955">
        <v>0.1351</v>
      </c>
      <c r="O955">
        <v>0.1351</v>
      </c>
      <c r="P955">
        <v>0.1351</v>
      </c>
      <c r="Q955">
        <v>0.1351</v>
      </c>
      <c r="R955">
        <v>0.1351</v>
      </c>
      <c r="S955">
        <v>0.1351</v>
      </c>
      <c r="T955">
        <v>0.1351</v>
      </c>
      <c r="U955">
        <v>0.1351</v>
      </c>
      <c r="V955">
        <v>0.1351</v>
      </c>
      <c r="W955">
        <v>0.1351</v>
      </c>
      <c r="X955">
        <v>0.1351</v>
      </c>
      <c r="Y955">
        <v>0.1351</v>
      </c>
    </row>
    <row r="956" spans="1:25" hidden="1">
      <c r="A956" t="s">
        <v>18806</v>
      </c>
      <c r="B956" t="s">
        <v>854</v>
      </c>
      <c r="C956" t="s">
        <v>841</v>
      </c>
      <c r="D956" t="s">
        <v>596</v>
      </c>
      <c r="E956" t="s">
        <v>669</v>
      </c>
      <c r="F956" t="s">
        <v>598</v>
      </c>
      <c r="G956" t="s">
        <v>599</v>
      </c>
      <c r="H956" t="s">
        <v>600</v>
      </c>
      <c r="I956" t="s">
        <v>601</v>
      </c>
      <c r="J956">
        <v>2.0799999999999999E-2</v>
      </c>
      <c r="K956">
        <v>2.0799999999999999E-2</v>
      </c>
      <c r="L956">
        <v>2.0799999999999999E-2</v>
      </c>
      <c r="M956">
        <v>2.0799999999999999E-2</v>
      </c>
      <c r="N956">
        <v>2.0799999999999999E-2</v>
      </c>
      <c r="O956">
        <v>2.0799999999999999E-2</v>
      </c>
      <c r="P956">
        <v>2.0799999999999999E-2</v>
      </c>
      <c r="Q956">
        <v>2.0799999999999999E-2</v>
      </c>
      <c r="R956">
        <v>2.0799999999999999E-2</v>
      </c>
      <c r="S956">
        <v>2.0799999999999999E-2</v>
      </c>
      <c r="T956">
        <v>2.0799999999999999E-2</v>
      </c>
      <c r="U956">
        <v>2.0799999999999999E-2</v>
      </c>
      <c r="V956">
        <v>2.0799999999999999E-2</v>
      </c>
      <c r="W956">
        <v>2.0799999999999999E-2</v>
      </c>
      <c r="X956">
        <v>2.0799999999999999E-2</v>
      </c>
      <c r="Y956">
        <v>2.0799999999999999E-2</v>
      </c>
    </row>
    <row r="957" spans="1:25" hidden="1">
      <c r="A957" t="s">
        <v>18806</v>
      </c>
      <c r="B957" t="s">
        <v>902</v>
      </c>
      <c r="C957" t="s">
        <v>841</v>
      </c>
      <c r="D957" t="s">
        <v>648</v>
      </c>
      <c r="E957" t="s">
        <v>597</v>
      </c>
      <c r="F957" t="s">
        <v>598</v>
      </c>
      <c r="G957" t="s">
        <v>599</v>
      </c>
      <c r="H957" t="s">
        <v>600</v>
      </c>
      <c r="I957" t="s">
        <v>601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</row>
    <row r="958" spans="1:25" hidden="1">
      <c r="A958" t="s">
        <v>18806</v>
      </c>
      <c r="B958" t="s">
        <v>912</v>
      </c>
      <c r="C958" t="s">
        <v>841</v>
      </c>
      <c r="D958" t="s">
        <v>648</v>
      </c>
      <c r="E958" t="s">
        <v>676</v>
      </c>
      <c r="F958" t="s">
        <v>598</v>
      </c>
      <c r="G958" t="s">
        <v>599</v>
      </c>
      <c r="H958" t="s">
        <v>600</v>
      </c>
      <c r="I958" t="s">
        <v>601</v>
      </c>
      <c r="J958">
        <v>2.3E-3</v>
      </c>
      <c r="K958">
        <v>2.3E-3</v>
      </c>
      <c r="L958">
        <v>2.3E-3</v>
      </c>
      <c r="M958">
        <v>2.3E-3</v>
      </c>
      <c r="N958">
        <v>2.3E-3</v>
      </c>
      <c r="O958">
        <v>2.3E-3</v>
      </c>
      <c r="P958">
        <v>2.3E-3</v>
      </c>
      <c r="Q958">
        <v>2.3E-3</v>
      </c>
      <c r="R958">
        <v>2.3E-3</v>
      </c>
      <c r="S958">
        <v>2.3E-3</v>
      </c>
      <c r="T958">
        <v>2.3E-3</v>
      </c>
      <c r="U958">
        <v>2.3E-3</v>
      </c>
      <c r="V958">
        <v>2.3E-3</v>
      </c>
      <c r="W958">
        <v>2.3E-3</v>
      </c>
      <c r="X958">
        <v>2.3E-3</v>
      </c>
      <c r="Y958">
        <v>2.3E-3</v>
      </c>
    </row>
    <row r="959" spans="1:25" hidden="1">
      <c r="A959" t="s">
        <v>18806</v>
      </c>
      <c r="B959" t="s">
        <v>916</v>
      </c>
      <c r="C959" t="s">
        <v>914</v>
      </c>
      <c r="D959" t="s">
        <v>621</v>
      </c>
      <c r="E959" t="s">
        <v>628</v>
      </c>
      <c r="F959" t="s">
        <v>598</v>
      </c>
      <c r="G959" t="s">
        <v>599</v>
      </c>
      <c r="H959" t="s">
        <v>600</v>
      </c>
      <c r="I959" t="s">
        <v>601</v>
      </c>
      <c r="J959">
        <v>3.8672000000000001E-4</v>
      </c>
      <c r="K959">
        <v>3.8672000000000001E-4</v>
      </c>
      <c r="L959">
        <v>3.8672000000000001E-4</v>
      </c>
      <c r="M959">
        <v>3.8672000000000001E-4</v>
      </c>
      <c r="N959">
        <v>3.8672000000000001E-4</v>
      </c>
      <c r="O959">
        <v>3.8672000000000001E-4</v>
      </c>
      <c r="P959">
        <v>3.8672000000000001E-4</v>
      </c>
      <c r="Q959">
        <v>3.8672000000000001E-4</v>
      </c>
      <c r="R959">
        <v>3.8672000000000001E-4</v>
      </c>
      <c r="S959">
        <v>3.8672000000000001E-4</v>
      </c>
      <c r="T959">
        <v>3.8672000000000001E-4</v>
      </c>
      <c r="U959">
        <v>3.8672000000000001E-4</v>
      </c>
      <c r="V959">
        <v>3.8672000000000001E-4</v>
      </c>
      <c r="W959">
        <v>3.8672000000000001E-4</v>
      </c>
      <c r="X959">
        <v>3.8672000000000001E-4</v>
      </c>
      <c r="Y959">
        <v>3.8672000000000001E-4</v>
      </c>
    </row>
    <row r="960" spans="1:25" hidden="1">
      <c r="A960" t="s">
        <v>18806</v>
      </c>
      <c r="B960" t="s">
        <v>924</v>
      </c>
      <c r="C960" t="s">
        <v>925</v>
      </c>
      <c r="D960" t="s">
        <v>926</v>
      </c>
      <c r="E960" t="s">
        <v>927</v>
      </c>
      <c r="F960" t="s">
        <v>598</v>
      </c>
      <c r="G960" t="s">
        <v>599</v>
      </c>
      <c r="H960" t="s">
        <v>600</v>
      </c>
      <c r="I960" t="s">
        <v>601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25" hidden="1">
      <c r="A961" t="s">
        <v>18806</v>
      </c>
      <c r="B961" t="s">
        <v>947</v>
      </c>
      <c r="C961" t="s">
        <v>943</v>
      </c>
      <c r="D961" t="s">
        <v>946</v>
      </c>
      <c r="E961" t="s">
        <v>948</v>
      </c>
      <c r="F961" t="s">
        <v>598</v>
      </c>
      <c r="G961" t="s">
        <v>599</v>
      </c>
      <c r="H961" t="s">
        <v>600</v>
      </c>
      <c r="I961" t="s">
        <v>601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hidden="1">
      <c r="A962" t="s">
        <v>18806</v>
      </c>
      <c r="B962" t="s">
        <v>988</v>
      </c>
      <c r="C962" t="s">
        <v>980</v>
      </c>
      <c r="D962" t="s">
        <v>648</v>
      </c>
      <c r="E962" t="s">
        <v>920</v>
      </c>
      <c r="F962" t="s">
        <v>598</v>
      </c>
      <c r="G962" t="s">
        <v>599</v>
      </c>
      <c r="H962" t="s">
        <v>600</v>
      </c>
      <c r="I962" t="s">
        <v>601</v>
      </c>
      <c r="J962">
        <v>2.8E-3</v>
      </c>
      <c r="K962">
        <v>3.0000000000000001E-3</v>
      </c>
      <c r="L962">
        <v>3.0999999999999999E-3</v>
      </c>
      <c r="M962">
        <v>3.2000000000000002E-3</v>
      </c>
      <c r="N962">
        <v>3.2000000000000002E-3</v>
      </c>
      <c r="O962">
        <v>3.3E-3</v>
      </c>
      <c r="P962">
        <v>3.3999999999999998E-3</v>
      </c>
      <c r="Q962">
        <v>3.5000000000000001E-3</v>
      </c>
      <c r="R962">
        <v>3.5999999999999999E-3</v>
      </c>
      <c r="S962">
        <v>3.7000000000000002E-3</v>
      </c>
      <c r="T962">
        <v>3.8E-3</v>
      </c>
      <c r="U962">
        <v>3.8999999999999998E-3</v>
      </c>
      <c r="V962">
        <v>4.0000000000000001E-3</v>
      </c>
      <c r="W962">
        <v>4.1000000000000003E-3</v>
      </c>
      <c r="X962">
        <v>4.1999999999999997E-3</v>
      </c>
      <c r="Y962">
        <v>4.3E-3</v>
      </c>
    </row>
    <row r="963" spans="1:25" hidden="1">
      <c r="A963" t="s">
        <v>18806</v>
      </c>
      <c r="B963" t="s">
        <v>997</v>
      </c>
      <c r="C963" t="s">
        <v>998</v>
      </c>
      <c r="D963" t="s">
        <v>999</v>
      </c>
      <c r="E963" t="s">
        <v>1000</v>
      </c>
      <c r="F963" t="s">
        <v>598</v>
      </c>
      <c r="G963" t="s">
        <v>599</v>
      </c>
      <c r="H963" t="s">
        <v>600</v>
      </c>
      <c r="I963" t="s">
        <v>601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</row>
    <row r="964" spans="1:25" hidden="1">
      <c r="A964" t="s">
        <v>18806</v>
      </c>
      <c r="B964" t="s">
        <v>1009</v>
      </c>
      <c r="C964" t="s">
        <v>998</v>
      </c>
      <c r="D964" t="s">
        <v>999</v>
      </c>
      <c r="E964" t="s">
        <v>1010</v>
      </c>
      <c r="F964" t="s">
        <v>598</v>
      </c>
      <c r="G964" t="s">
        <v>599</v>
      </c>
      <c r="H964" t="s">
        <v>600</v>
      </c>
      <c r="I964" t="s">
        <v>601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hidden="1">
      <c r="A965" t="s">
        <v>18806</v>
      </c>
      <c r="B965" t="s">
        <v>1015</v>
      </c>
      <c r="C965" t="s">
        <v>1016</v>
      </c>
      <c r="D965" t="s">
        <v>1017</v>
      </c>
      <c r="E965" t="s">
        <v>1018</v>
      </c>
      <c r="F965" t="s">
        <v>598</v>
      </c>
      <c r="G965" t="s">
        <v>599</v>
      </c>
      <c r="H965" t="s">
        <v>600</v>
      </c>
      <c r="I965" t="s">
        <v>601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hidden="1">
      <c r="A966" t="s">
        <v>18806</v>
      </c>
      <c r="B966" t="s">
        <v>1021</v>
      </c>
      <c r="C966" t="s">
        <v>1016</v>
      </c>
      <c r="D966" t="s">
        <v>1017</v>
      </c>
      <c r="E966" t="s">
        <v>1022</v>
      </c>
      <c r="F966" t="s">
        <v>598</v>
      </c>
      <c r="G966" t="s">
        <v>599</v>
      </c>
      <c r="H966" t="s">
        <v>600</v>
      </c>
      <c r="I966" t="s">
        <v>601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</row>
    <row r="967" spans="1:25" hidden="1">
      <c r="A967" t="s">
        <v>18806</v>
      </c>
      <c r="B967" t="s">
        <v>1023</v>
      </c>
      <c r="C967" t="s">
        <v>1016</v>
      </c>
      <c r="D967" t="s">
        <v>1017</v>
      </c>
      <c r="E967" t="s">
        <v>1024</v>
      </c>
      <c r="F967" t="s">
        <v>598</v>
      </c>
      <c r="G967" t="s">
        <v>599</v>
      </c>
      <c r="H967" t="s">
        <v>600</v>
      </c>
      <c r="I967" t="s">
        <v>601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hidden="1">
      <c r="A968" t="s">
        <v>18806</v>
      </c>
      <c r="B968" t="s">
        <v>1029</v>
      </c>
      <c r="C968" t="s">
        <v>1016</v>
      </c>
      <c r="D968" t="s">
        <v>1017</v>
      </c>
      <c r="E968" t="s">
        <v>1030</v>
      </c>
      <c r="F968" t="s">
        <v>598</v>
      </c>
      <c r="G968" t="s">
        <v>599</v>
      </c>
      <c r="H968" t="s">
        <v>600</v>
      </c>
      <c r="I968" t="s">
        <v>601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hidden="1">
      <c r="A969" t="s">
        <v>18806</v>
      </c>
      <c r="B969" t="s">
        <v>1037</v>
      </c>
      <c r="C969" t="s">
        <v>1016</v>
      </c>
      <c r="D969" t="s">
        <v>1017</v>
      </c>
      <c r="E969" t="s">
        <v>1038</v>
      </c>
      <c r="F969" t="s">
        <v>598</v>
      </c>
      <c r="G969" t="s">
        <v>599</v>
      </c>
      <c r="H969" t="s">
        <v>600</v>
      </c>
      <c r="I969" t="s">
        <v>601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hidden="1">
      <c r="A970" t="s">
        <v>18806</v>
      </c>
      <c r="B970" t="s">
        <v>1041</v>
      </c>
      <c r="C970" t="s">
        <v>1016</v>
      </c>
      <c r="D970" t="s">
        <v>1017</v>
      </c>
      <c r="E970" t="s">
        <v>1042</v>
      </c>
      <c r="F970" t="s">
        <v>598</v>
      </c>
      <c r="G970" t="s">
        <v>599</v>
      </c>
      <c r="H970" t="s">
        <v>600</v>
      </c>
      <c r="I970" t="s">
        <v>601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hidden="1">
      <c r="A971" t="s">
        <v>18806</v>
      </c>
      <c r="B971" t="s">
        <v>1047</v>
      </c>
      <c r="C971" t="s">
        <v>1016</v>
      </c>
      <c r="D971" t="s">
        <v>1017</v>
      </c>
      <c r="E971" t="s">
        <v>1048</v>
      </c>
      <c r="F971" t="s">
        <v>598</v>
      </c>
      <c r="G971" t="s">
        <v>599</v>
      </c>
      <c r="H971" t="s">
        <v>600</v>
      </c>
      <c r="I971" t="s">
        <v>601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hidden="1">
      <c r="A972" t="s">
        <v>18806</v>
      </c>
      <c r="B972" t="s">
        <v>1049</v>
      </c>
      <c r="C972" t="s">
        <v>1016</v>
      </c>
      <c r="D972" t="s">
        <v>1050</v>
      </c>
      <c r="E972" t="s">
        <v>1024</v>
      </c>
      <c r="F972" t="s">
        <v>598</v>
      </c>
      <c r="G972" t="s">
        <v>599</v>
      </c>
      <c r="H972" t="s">
        <v>600</v>
      </c>
      <c r="I972" t="s">
        <v>601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hidden="1">
      <c r="A973" t="s">
        <v>18806</v>
      </c>
      <c r="B973" t="s">
        <v>1059</v>
      </c>
      <c r="C973" t="s">
        <v>1016</v>
      </c>
      <c r="D973" t="s">
        <v>1050</v>
      </c>
      <c r="E973" t="s">
        <v>1042</v>
      </c>
      <c r="F973" t="s">
        <v>598</v>
      </c>
      <c r="G973" t="s">
        <v>599</v>
      </c>
      <c r="H973" t="s">
        <v>600</v>
      </c>
      <c r="I973" t="s">
        <v>601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hidden="1">
      <c r="A974" t="s">
        <v>18806</v>
      </c>
      <c r="B974" t="s">
        <v>1062</v>
      </c>
      <c r="C974" t="s">
        <v>1016</v>
      </c>
      <c r="D974" t="s">
        <v>1063</v>
      </c>
      <c r="E974" t="s">
        <v>1018</v>
      </c>
      <c r="F974" t="s">
        <v>598</v>
      </c>
      <c r="G974" t="s">
        <v>599</v>
      </c>
      <c r="H974" t="s">
        <v>600</v>
      </c>
      <c r="I974" t="s">
        <v>601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18806</v>
      </c>
      <c r="B975" t="s">
        <v>1064</v>
      </c>
      <c r="C975" t="s">
        <v>1016</v>
      </c>
      <c r="D975" t="s">
        <v>1063</v>
      </c>
      <c r="E975" t="s">
        <v>1022</v>
      </c>
      <c r="F975" t="s">
        <v>598</v>
      </c>
      <c r="G975" t="s">
        <v>599</v>
      </c>
      <c r="H975" t="s">
        <v>600</v>
      </c>
      <c r="I975" t="s">
        <v>601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hidden="1">
      <c r="A976" t="s">
        <v>18806</v>
      </c>
      <c r="B976" t="s">
        <v>1067</v>
      </c>
      <c r="C976" t="s">
        <v>1016</v>
      </c>
      <c r="D976" t="s">
        <v>1063</v>
      </c>
      <c r="E976" t="s">
        <v>1026</v>
      </c>
      <c r="F976" t="s">
        <v>598</v>
      </c>
      <c r="G976" t="s">
        <v>599</v>
      </c>
      <c r="H976" t="s">
        <v>600</v>
      </c>
      <c r="I976" t="s">
        <v>601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hidden="1">
      <c r="A977" t="s">
        <v>18806</v>
      </c>
      <c r="B977" t="s">
        <v>1068</v>
      </c>
      <c r="C977" t="s">
        <v>1016</v>
      </c>
      <c r="D977" t="s">
        <v>1063</v>
      </c>
      <c r="E977" t="s">
        <v>1030</v>
      </c>
      <c r="F977" t="s">
        <v>598</v>
      </c>
      <c r="G977" t="s">
        <v>599</v>
      </c>
      <c r="H977" t="s">
        <v>600</v>
      </c>
      <c r="I977" t="s">
        <v>601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</row>
    <row r="978" spans="1:25" hidden="1">
      <c r="A978" t="s">
        <v>18806</v>
      </c>
      <c r="B978" t="s">
        <v>1069</v>
      </c>
      <c r="C978" t="s">
        <v>1016</v>
      </c>
      <c r="D978" t="s">
        <v>1063</v>
      </c>
      <c r="E978" t="s">
        <v>1035</v>
      </c>
      <c r="F978" t="s">
        <v>598</v>
      </c>
      <c r="G978" t="s">
        <v>599</v>
      </c>
      <c r="H978" t="s">
        <v>600</v>
      </c>
      <c r="I978" t="s">
        <v>601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18806</v>
      </c>
      <c r="B979" t="s">
        <v>1072</v>
      </c>
      <c r="C979" t="s">
        <v>1016</v>
      </c>
      <c r="D979" t="s">
        <v>1063</v>
      </c>
      <c r="E979" t="s">
        <v>1040</v>
      </c>
      <c r="F979" t="s">
        <v>598</v>
      </c>
      <c r="G979" t="s">
        <v>599</v>
      </c>
      <c r="H979" t="s">
        <v>600</v>
      </c>
      <c r="I979" t="s">
        <v>601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hidden="1">
      <c r="A980" t="s">
        <v>18806</v>
      </c>
      <c r="B980" t="s">
        <v>1073</v>
      </c>
      <c r="C980" t="s">
        <v>1016</v>
      </c>
      <c r="D980" t="s">
        <v>1063</v>
      </c>
      <c r="E980" t="s">
        <v>1042</v>
      </c>
      <c r="F980" t="s">
        <v>598</v>
      </c>
      <c r="G980" t="s">
        <v>599</v>
      </c>
      <c r="H980" t="s">
        <v>600</v>
      </c>
      <c r="I980" t="s">
        <v>601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18806</v>
      </c>
      <c r="B981" t="s">
        <v>1075</v>
      </c>
      <c r="C981" t="s">
        <v>1016</v>
      </c>
      <c r="D981" t="s">
        <v>1063</v>
      </c>
      <c r="E981" t="s">
        <v>1046</v>
      </c>
      <c r="F981" t="s">
        <v>598</v>
      </c>
      <c r="G981" t="s">
        <v>599</v>
      </c>
      <c r="H981" t="s">
        <v>600</v>
      </c>
      <c r="I981" t="s">
        <v>601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hidden="1">
      <c r="A982" t="s">
        <v>18806</v>
      </c>
      <c r="B982" t="s">
        <v>1076</v>
      </c>
      <c r="C982" t="s">
        <v>1016</v>
      </c>
      <c r="D982" t="s">
        <v>1063</v>
      </c>
      <c r="E982" t="s">
        <v>1048</v>
      </c>
      <c r="F982" t="s">
        <v>598</v>
      </c>
      <c r="G982" t="s">
        <v>599</v>
      </c>
      <c r="H982" t="s">
        <v>600</v>
      </c>
      <c r="I982" t="s">
        <v>601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18806</v>
      </c>
      <c r="B983" t="s">
        <v>1087</v>
      </c>
      <c r="C983" t="s">
        <v>1079</v>
      </c>
      <c r="D983" t="s">
        <v>1086</v>
      </c>
      <c r="E983" t="s">
        <v>1081</v>
      </c>
      <c r="F983" t="s">
        <v>598</v>
      </c>
      <c r="G983" t="s">
        <v>599</v>
      </c>
      <c r="H983" t="s">
        <v>600</v>
      </c>
      <c r="I983" t="s">
        <v>601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18806</v>
      </c>
      <c r="B984" t="s">
        <v>1144</v>
      </c>
      <c r="C984" t="s">
        <v>1079</v>
      </c>
      <c r="D984" t="s">
        <v>1145</v>
      </c>
      <c r="E984" t="s">
        <v>1081</v>
      </c>
      <c r="F984" t="s">
        <v>598</v>
      </c>
      <c r="G984" t="s">
        <v>599</v>
      </c>
      <c r="H984" t="s">
        <v>600</v>
      </c>
      <c r="I984" t="s">
        <v>601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18806</v>
      </c>
      <c r="B985" t="s">
        <v>1155</v>
      </c>
      <c r="C985" t="s">
        <v>1079</v>
      </c>
      <c r="D985" t="s">
        <v>1156</v>
      </c>
      <c r="E985" t="s">
        <v>1081</v>
      </c>
      <c r="F985" t="s">
        <v>598</v>
      </c>
      <c r="G985" t="s">
        <v>599</v>
      </c>
      <c r="H985" t="s">
        <v>600</v>
      </c>
      <c r="I985" t="s">
        <v>601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hidden="1">
      <c r="A986" t="s">
        <v>18806</v>
      </c>
      <c r="B986" t="s">
        <v>1217</v>
      </c>
      <c r="C986" t="s">
        <v>1079</v>
      </c>
      <c r="D986" t="s">
        <v>1188</v>
      </c>
      <c r="E986" t="s">
        <v>1106</v>
      </c>
      <c r="F986" t="s">
        <v>598</v>
      </c>
      <c r="G986" t="s">
        <v>599</v>
      </c>
      <c r="H986" t="s">
        <v>600</v>
      </c>
      <c r="I986" t="s">
        <v>601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hidden="1">
      <c r="A987" t="s">
        <v>18806</v>
      </c>
      <c r="B987" t="s">
        <v>1221</v>
      </c>
      <c r="C987" t="s">
        <v>1079</v>
      </c>
      <c r="D987" t="s">
        <v>648</v>
      </c>
      <c r="E987" t="s">
        <v>1081</v>
      </c>
      <c r="F987" t="s">
        <v>598</v>
      </c>
      <c r="G987" t="s">
        <v>599</v>
      </c>
      <c r="H987" t="s">
        <v>600</v>
      </c>
      <c r="I987" t="s">
        <v>601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hidden="1">
      <c r="A988" t="s">
        <v>18806</v>
      </c>
      <c r="B988" t="s">
        <v>1256</v>
      </c>
      <c r="C988" t="s">
        <v>1253</v>
      </c>
      <c r="D988" t="s">
        <v>1254</v>
      </c>
      <c r="E988" t="s">
        <v>1257</v>
      </c>
      <c r="F988" t="s">
        <v>598</v>
      </c>
      <c r="G988" t="s">
        <v>599</v>
      </c>
      <c r="H988" t="s">
        <v>600</v>
      </c>
      <c r="I988" t="s">
        <v>601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18806</v>
      </c>
      <c r="B989" t="s">
        <v>1258</v>
      </c>
      <c r="C989" t="s">
        <v>1253</v>
      </c>
      <c r="D989" t="s">
        <v>1254</v>
      </c>
      <c r="E989" t="s">
        <v>1259</v>
      </c>
      <c r="F989" t="s">
        <v>598</v>
      </c>
      <c r="G989" t="s">
        <v>599</v>
      </c>
      <c r="H989" t="s">
        <v>600</v>
      </c>
      <c r="I989" t="s">
        <v>601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18806</v>
      </c>
      <c r="B990" t="s">
        <v>1566</v>
      </c>
      <c r="C990" t="s">
        <v>1472</v>
      </c>
      <c r="D990" t="s">
        <v>1567</v>
      </c>
      <c r="E990" t="s">
        <v>626</v>
      </c>
      <c r="F990" t="s">
        <v>598</v>
      </c>
      <c r="G990" t="s">
        <v>599</v>
      </c>
      <c r="H990" t="s">
        <v>600</v>
      </c>
      <c r="I990" t="s">
        <v>601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hidden="1">
      <c r="A991" t="s">
        <v>18806</v>
      </c>
      <c r="B991" t="s">
        <v>1568</v>
      </c>
      <c r="C991" t="s">
        <v>1472</v>
      </c>
      <c r="D991" t="s">
        <v>1569</v>
      </c>
      <c r="E991" t="s">
        <v>626</v>
      </c>
      <c r="F991" t="s">
        <v>598</v>
      </c>
      <c r="G991" t="s">
        <v>599</v>
      </c>
      <c r="H991" t="s">
        <v>600</v>
      </c>
      <c r="I991" t="s">
        <v>601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hidden="1">
      <c r="A992" t="s">
        <v>18806</v>
      </c>
      <c r="B992" t="s">
        <v>1570</v>
      </c>
      <c r="C992" t="s">
        <v>1472</v>
      </c>
      <c r="D992" t="s">
        <v>1571</v>
      </c>
      <c r="E992" t="s">
        <v>626</v>
      </c>
      <c r="F992" t="s">
        <v>598</v>
      </c>
      <c r="G992" t="s">
        <v>599</v>
      </c>
      <c r="H992" t="s">
        <v>600</v>
      </c>
      <c r="I992" t="s">
        <v>601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hidden="1">
      <c r="A993" t="s">
        <v>18806</v>
      </c>
      <c r="B993" t="s">
        <v>1573</v>
      </c>
      <c r="C993" t="s">
        <v>1472</v>
      </c>
      <c r="D993" t="s">
        <v>1574</v>
      </c>
      <c r="E993" t="s">
        <v>626</v>
      </c>
      <c r="F993" t="s">
        <v>598</v>
      </c>
      <c r="G993" t="s">
        <v>599</v>
      </c>
      <c r="H993" t="s">
        <v>600</v>
      </c>
      <c r="I993" t="s">
        <v>601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hidden="1">
      <c r="A994" t="s">
        <v>18806</v>
      </c>
      <c r="B994" t="s">
        <v>1575</v>
      </c>
      <c r="C994" t="s">
        <v>1472</v>
      </c>
      <c r="D994" t="s">
        <v>1576</v>
      </c>
      <c r="E994" t="s">
        <v>626</v>
      </c>
      <c r="F994" t="s">
        <v>598</v>
      </c>
      <c r="G994" t="s">
        <v>599</v>
      </c>
      <c r="H994" t="s">
        <v>600</v>
      </c>
      <c r="I994" t="s">
        <v>601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hidden="1">
      <c r="A995" t="s">
        <v>18806</v>
      </c>
      <c r="B995" t="s">
        <v>1577</v>
      </c>
      <c r="C995" t="s">
        <v>1472</v>
      </c>
      <c r="D995" t="s">
        <v>1578</v>
      </c>
      <c r="E995" t="s">
        <v>626</v>
      </c>
      <c r="F995" t="s">
        <v>598</v>
      </c>
      <c r="G995" t="s">
        <v>599</v>
      </c>
      <c r="H995" t="s">
        <v>600</v>
      </c>
      <c r="I995" t="s">
        <v>601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18806</v>
      </c>
      <c r="B996" t="s">
        <v>1582</v>
      </c>
      <c r="C996" t="s">
        <v>1472</v>
      </c>
      <c r="D996" t="s">
        <v>1583</v>
      </c>
      <c r="E996" t="s">
        <v>626</v>
      </c>
      <c r="F996" t="s">
        <v>598</v>
      </c>
      <c r="G996" t="s">
        <v>599</v>
      </c>
      <c r="H996" t="s">
        <v>600</v>
      </c>
      <c r="I996" t="s">
        <v>601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hidden="1">
      <c r="A997" t="s">
        <v>18806</v>
      </c>
      <c r="B997" t="s">
        <v>1590</v>
      </c>
      <c r="C997" t="s">
        <v>1472</v>
      </c>
      <c r="D997" t="s">
        <v>1365</v>
      </c>
      <c r="E997" t="s">
        <v>626</v>
      </c>
      <c r="F997" t="s">
        <v>598</v>
      </c>
      <c r="G997" t="s">
        <v>599</v>
      </c>
      <c r="H997" t="s">
        <v>600</v>
      </c>
      <c r="I997" t="s">
        <v>601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hidden="1">
      <c r="A998" t="s">
        <v>18806</v>
      </c>
      <c r="B998" t="s">
        <v>1600</v>
      </c>
      <c r="C998" t="s">
        <v>1472</v>
      </c>
      <c r="D998" t="s">
        <v>1601</v>
      </c>
      <c r="E998" t="s">
        <v>626</v>
      </c>
      <c r="F998" t="s">
        <v>598</v>
      </c>
      <c r="G998" t="s">
        <v>599</v>
      </c>
      <c r="H998" t="s">
        <v>600</v>
      </c>
      <c r="I998" t="s">
        <v>601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hidden="1">
      <c r="A999" t="s">
        <v>18806</v>
      </c>
      <c r="B999" t="s">
        <v>1602</v>
      </c>
      <c r="C999" t="s">
        <v>1472</v>
      </c>
      <c r="D999" t="s">
        <v>1603</v>
      </c>
      <c r="E999" t="s">
        <v>626</v>
      </c>
      <c r="F999" t="s">
        <v>598</v>
      </c>
      <c r="G999" t="s">
        <v>599</v>
      </c>
      <c r="H999" t="s">
        <v>600</v>
      </c>
      <c r="I999" t="s">
        <v>601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hidden="1">
      <c r="A1000" t="s">
        <v>18806</v>
      </c>
      <c r="B1000" t="s">
        <v>1604</v>
      </c>
      <c r="C1000" t="s">
        <v>1472</v>
      </c>
      <c r="D1000" t="s">
        <v>1605</v>
      </c>
      <c r="E1000" t="s">
        <v>626</v>
      </c>
      <c r="F1000" t="s">
        <v>598</v>
      </c>
      <c r="G1000" t="s">
        <v>599</v>
      </c>
      <c r="H1000" t="s">
        <v>600</v>
      </c>
      <c r="I1000" t="s">
        <v>601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hidden="1">
      <c r="A1001" t="s">
        <v>18806</v>
      </c>
      <c r="B1001" t="s">
        <v>1858</v>
      </c>
      <c r="C1001" t="s">
        <v>1845</v>
      </c>
      <c r="D1001" t="s">
        <v>1859</v>
      </c>
      <c r="E1001" t="s">
        <v>1860</v>
      </c>
      <c r="F1001" t="s">
        <v>598</v>
      </c>
      <c r="G1001" t="s">
        <v>599</v>
      </c>
      <c r="H1001" t="s">
        <v>600</v>
      </c>
      <c r="I1001" t="s">
        <v>601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hidden="1">
      <c r="A1002" t="s">
        <v>18806</v>
      </c>
      <c r="B1002" t="s">
        <v>1964</v>
      </c>
      <c r="C1002" t="s">
        <v>1959</v>
      </c>
      <c r="D1002" t="s">
        <v>1965</v>
      </c>
      <c r="E1002" t="s">
        <v>1966</v>
      </c>
      <c r="F1002" t="s">
        <v>598</v>
      </c>
      <c r="G1002" t="s">
        <v>599</v>
      </c>
      <c r="H1002" t="s">
        <v>600</v>
      </c>
      <c r="I1002" t="s">
        <v>601</v>
      </c>
      <c r="J1002">
        <v>2.2200000000000001E-2</v>
      </c>
      <c r="K1002">
        <v>2.2200000000000001E-2</v>
      </c>
      <c r="L1002">
        <v>2.3699999999999999E-2</v>
      </c>
      <c r="M1002">
        <v>2.3699999999999999E-2</v>
      </c>
      <c r="N1002">
        <v>2.52E-2</v>
      </c>
      <c r="O1002">
        <v>2.52E-2</v>
      </c>
      <c r="P1002">
        <v>2.52E-2</v>
      </c>
      <c r="Q1002">
        <v>2.6700000000000002E-2</v>
      </c>
      <c r="R1002">
        <v>2.6700000000000002E-2</v>
      </c>
      <c r="S1002">
        <v>2.6700000000000002E-2</v>
      </c>
      <c r="T1002">
        <v>2.81E-2</v>
      </c>
      <c r="U1002">
        <v>2.81E-2</v>
      </c>
      <c r="V1002">
        <v>2.81E-2</v>
      </c>
      <c r="W1002">
        <v>2.9600000000000001E-2</v>
      </c>
      <c r="X1002">
        <v>2.9600000000000001E-2</v>
      </c>
      <c r="Y1002">
        <v>3.1099999999999999E-2</v>
      </c>
    </row>
    <row r="1003" spans="1:25" hidden="1">
      <c r="A1003" t="s">
        <v>18806</v>
      </c>
      <c r="B1003" t="s">
        <v>1967</v>
      </c>
      <c r="C1003" t="s">
        <v>1959</v>
      </c>
      <c r="D1003" t="s">
        <v>1968</v>
      </c>
      <c r="E1003" t="s">
        <v>1962</v>
      </c>
      <c r="F1003" t="s">
        <v>598</v>
      </c>
      <c r="G1003" t="s">
        <v>599</v>
      </c>
      <c r="H1003" t="s">
        <v>600</v>
      </c>
      <c r="I1003" t="s">
        <v>601</v>
      </c>
      <c r="J1003">
        <v>3.8E-3</v>
      </c>
      <c r="K1003">
        <v>3.8E-3</v>
      </c>
      <c r="L1003">
        <v>4.1000000000000003E-3</v>
      </c>
      <c r="M1003">
        <v>4.1000000000000003E-3</v>
      </c>
      <c r="N1003">
        <v>4.3E-3</v>
      </c>
      <c r="O1003">
        <v>4.3E-3</v>
      </c>
      <c r="P1003">
        <v>4.3E-3</v>
      </c>
      <c r="Q1003">
        <v>4.4999999999999997E-3</v>
      </c>
      <c r="R1003">
        <v>4.4999999999999997E-3</v>
      </c>
      <c r="S1003">
        <v>4.4999999999999997E-3</v>
      </c>
      <c r="T1003">
        <v>4.7999999999999996E-3</v>
      </c>
      <c r="U1003">
        <v>4.7999999999999996E-3</v>
      </c>
      <c r="V1003">
        <v>4.7999999999999996E-3</v>
      </c>
      <c r="W1003">
        <v>5.0000000000000001E-3</v>
      </c>
      <c r="X1003">
        <v>5.0000000000000001E-3</v>
      </c>
      <c r="Y1003">
        <v>5.3E-3</v>
      </c>
    </row>
    <row r="1004" spans="1:25" hidden="1">
      <c r="A1004" t="s">
        <v>18806</v>
      </c>
      <c r="B1004" t="s">
        <v>2005</v>
      </c>
      <c r="C1004" t="s">
        <v>1959</v>
      </c>
      <c r="D1004" t="s">
        <v>2001</v>
      </c>
      <c r="E1004" t="s">
        <v>1976</v>
      </c>
      <c r="F1004" t="s">
        <v>598</v>
      </c>
      <c r="G1004" t="s">
        <v>599</v>
      </c>
      <c r="H1004" t="s">
        <v>600</v>
      </c>
      <c r="I1004" t="s">
        <v>601</v>
      </c>
      <c r="J1004">
        <v>8.0000000000000004E-4</v>
      </c>
      <c r="K1004">
        <v>8.0000000000000004E-4</v>
      </c>
      <c r="L1004">
        <v>8.0000000000000004E-4</v>
      </c>
      <c r="M1004">
        <v>8.9999999999999998E-4</v>
      </c>
      <c r="N1004">
        <v>8.9999999999999998E-4</v>
      </c>
      <c r="O1004">
        <v>8.9999999999999998E-4</v>
      </c>
      <c r="P1004">
        <v>8.9999999999999998E-4</v>
      </c>
      <c r="Q1004">
        <v>8.9999999999999998E-4</v>
      </c>
      <c r="R1004">
        <v>8.9999999999999998E-4</v>
      </c>
      <c r="S1004">
        <v>8.9999999999999998E-4</v>
      </c>
      <c r="T1004">
        <v>1E-3</v>
      </c>
      <c r="U1004">
        <v>1E-3</v>
      </c>
      <c r="V1004">
        <v>1.1000000000000001E-3</v>
      </c>
      <c r="W1004">
        <v>1.1000000000000001E-3</v>
      </c>
      <c r="X1004">
        <v>1.1000000000000001E-3</v>
      </c>
      <c r="Y1004">
        <v>1.1000000000000001E-3</v>
      </c>
    </row>
    <row r="1005" spans="1:25" hidden="1">
      <c r="A1005" t="s">
        <v>18806</v>
      </c>
      <c r="B1005" t="s">
        <v>2039</v>
      </c>
      <c r="C1005" t="s">
        <v>1959</v>
      </c>
      <c r="D1005" t="s">
        <v>648</v>
      </c>
      <c r="E1005" t="s">
        <v>1378</v>
      </c>
      <c r="F1005" t="s">
        <v>598</v>
      </c>
      <c r="G1005" t="s">
        <v>599</v>
      </c>
      <c r="H1005" t="s">
        <v>600</v>
      </c>
      <c r="I1005" t="s">
        <v>601</v>
      </c>
      <c r="J1005">
        <v>2.8999999999999998E-3</v>
      </c>
      <c r="K1005">
        <v>3.0000000000000001E-3</v>
      </c>
      <c r="L1005">
        <v>3.0999999999999999E-3</v>
      </c>
      <c r="M1005">
        <v>3.2000000000000002E-3</v>
      </c>
      <c r="N1005">
        <v>3.2000000000000002E-3</v>
      </c>
      <c r="O1005">
        <v>3.3E-3</v>
      </c>
      <c r="P1005">
        <v>3.3E-3</v>
      </c>
      <c r="Q1005">
        <v>3.3E-3</v>
      </c>
      <c r="R1005">
        <v>3.3999999999999998E-3</v>
      </c>
      <c r="S1005">
        <v>3.3999999999999998E-3</v>
      </c>
      <c r="T1005">
        <v>3.3999999999999998E-3</v>
      </c>
      <c r="U1005">
        <v>3.5000000000000001E-3</v>
      </c>
      <c r="V1005">
        <v>3.5000000000000001E-3</v>
      </c>
      <c r="W1005">
        <v>3.5999999999999999E-3</v>
      </c>
      <c r="X1005">
        <v>3.5999999999999999E-3</v>
      </c>
      <c r="Y1005">
        <v>3.7000000000000002E-3</v>
      </c>
    </row>
    <row r="1006" spans="1:25" hidden="1">
      <c r="A1006" t="s">
        <v>18806</v>
      </c>
      <c r="B1006" t="s">
        <v>2078</v>
      </c>
      <c r="C1006" t="s">
        <v>2075</v>
      </c>
      <c r="D1006" t="s">
        <v>2079</v>
      </c>
      <c r="E1006" t="s">
        <v>1378</v>
      </c>
      <c r="F1006" t="s">
        <v>598</v>
      </c>
      <c r="G1006" t="s">
        <v>599</v>
      </c>
      <c r="H1006" t="s">
        <v>600</v>
      </c>
      <c r="I1006" t="s">
        <v>601</v>
      </c>
      <c r="J1006">
        <v>5.6399999999999999E-2</v>
      </c>
      <c r="K1006">
        <v>5.6399999999999999E-2</v>
      </c>
      <c r="L1006">
        <v>5.6399999999999999E-2</v>
      </c>
      <c r="M1006">
        <v>5.6399999999999999E-2</v>
      </c>
      <c r="N1006">
        <v>5.6399999999999999E-2</v>
      </c>
      <c r="O1006">
        <v>5.6399999999999999E-2</v>
      </c>
      <c r="P1006">
        <v>5.6399999999999999E-2</v>
      </c>
      <c r="Q1006">
        <v>5.6399999999999999E-2</v>
      </c>
      <c r="R1006">
        <v>5.6399999999999999E-2</v>
      </c>
      <c r="S1006">
        <v>5.6399999999999999E-2</v>
      </c>
      <c r="T1006">
        <v>5.6399999999999999E-2</v>
      </c>
      <c r="U1006">
        <v>5.6399999999999999E-2</v>
      </c>
      <c r="V1006">
        <v>5.6399999999999999E-2</v>
      </c>
      <c r="W1006">
        <v>5.6399999999999999E-2</v>
      </c>
      <c r="X1006">
        <v>5.6399999999999999E-2</v>
      </c>
      <c r="Y1006">
        <v>5.6399999999999999E-2</v>
      </c>
    </row>
    <row r="1007" spans="1:25" hidden="1">
      <c r="A1007" t="s">
        <v>18806</v>
      </c>
      <c r="B1007" t="s">
        <v>2123</v>
      </c>
      <c r="C1007" t="s">
        <v>2116</v>
      </c>
      <c r="D1007" t="s">
        <v>2124</v>
      </c>
      <c r="E1007" t="s">
        <v>2125</v>
      </c>
      <c r="F1007" t="s">
        <v>598</v>
      </c>
      <c r="G1007" t="s">
        <v>599</v>
      </c>
      <c r="H1007" t="s">
        <v>600</v>
      </c>
      <c r="I1007" t="s">
        <v>601</v>
      </c>
      <c r="J1007">
        <v>2.5499999999999998E-2</v>
      </c>
      <c r="K1007">
        <v>2.5700000000000001E-2</v>
      </c>
      <c r="L1007">
        <v>2.5999999999999999E-2</v>
      </c>
      <c r="M1007">
        <v>2.6200000000000001E-2</v>
      </c>
      <c r="N1007">
        <v>2.6200000000000001E-2</v>
      </c>
      <c r="O1007">
        <v>2.5999999999999999E-2</v>
      </c>
      <c r="P1007">
        <v>2.5700000000000001E-2</v>
      </c>
      <c r="Q1007">
        <v>2.5499999999999998E-2</v>
      </c>
      <c r="R1007">
        <v>2.5499999999999998E-2</v>
      </c>
      <c r="S1007">
        <v>2.53E-2</v>
      </c>
      <c r="T1007">
        <v>2.53E-2</v>
      </c>
      <c r="U1007">
        <v>2.53E-2</v>
      </c>
      <c r="V1007">
        <v>2.5499999999999998E-2</v>
      </c>
      <c r="W1007">
        <v>2.5499999999999998E-2</v>
      </c>
      <c r="X1007">
        <v>2.5499999999999998E-2</v>
      </c>
      <c r="Y1007">
        <v>2.5700000000000001E-2</v>
      </c>
    </row>
    <row r="1008" spans="1:25" hidden="1">
      <c r="A1008" t="s">
        <v>18806</v>
      </c>
      <c r="B1008" t="s">
        <v>2126</v>
      </c>
      <c r="C1008" t="s">
        <v>2116</v>
      </c>
      <c r="D1008" t="s">
        <v>2127</v>
      </c>
      <c r="E1008" t="s">
        <v>656</v>
      </c>
      <c r="F1008" t="s">
        <v>598</v>
      </c>
      <c r="G1008" t="s">
        <v>599</v>
      </c>
      <c r="H1008" t="s">
        <v>600</v>
      </c>
      <c r="I1008" t="s">
        <v>601</v>
      </c>
      <c r="J1008">
        <v>6.3E-3</v>
      </c>
      <c r="K1008">
        <v>6.4000000000000003E-3</v>
      </c>
      <c r="L1008">
        <v>6.4000000000000003E-3</v>
      </c>
      <c r="M1008">
        <v>6.4999999999999997E-3</v>
      </c>
      <c r="N1008">
        <v>6.4999999999999997E-3</v>
      </c>
      <c r="O1008">
        <v>6.4000000000000003E-3</v>
      </c>
      <c r="P1008">
        <v>6.4000000000000003E-3</v>
      </c>
      <c r="Q1008">
        <v>6.3E-3</v>
      </c>
      <c r="R1008">
        <v>6.3E-3</v>
      </c>
      <c r="S1008">
        <v>6.3E-3</v>
      </c>
      <c r="T1008">
        <v>6.3E-3</v>
      </c>
      <c r="U1008">
        <v>6.3E-3</v>
      </c>
      <c r="V1008">
        <v>6.3E-3</v>
      </c>
      <c r="W1008">
        <v>6.3E-3</v>
      </c>
      <c r="X1008">
        <v>6.3E-3</v>
      </c>
      <c r="Y1008">
        <v>6.4000000000000003E-3</v>
      </c>
    </row>
    <row r="1009" spans="1:25" hidden="1">
      <c r="A1009" t="s">
        <v>18806</v>
      </c>
      <c r="B1009" t="s">
        <v>2128</v>
      </c>
      <c r="C1009" t="s">
        <v>2116</v>
      </c>
      <c r="D1009" t="s">
        <v>648</v>
      </c>
      <c r="E1009" t="s">
        <v>656</v>
      </c>
      <c r="F1009" t="s">
        <v>598</v>
      </c>
      <c r="G1009" t="s">
        <v>599</v>
      </c>
      <c r="H1009" t="s">
        <v>600</v>
      </c>
      <c r="I1009" t="s">
        <v>601</v>
      </c>
      <c r="J1009">
        <v>0.1842</v>
      </c>
      <c r="K1009">
        <v>0.18579999999999999</v>
      </c>
      <c r="L1009">
        <v>0.1875</v>
      </c>
      <c r="M1009">
        <v>0.18920000000000001</v>
      </c>
      <c r="N1009">
        <v>0.18920000000000001</v>
      </c>
      <c r="O1009">
        <v>0.1875</v>
      </c>
      <c r="P1009">
        <v>0.18579999999999999</v>
      </c>
      <c r="Q1009">
        <v>0.1842</v>
      </c>
      <c r="R1009">
        <v>0.1842</v>
      </c>
      <c r="S1009">
        <v>0.18260000000000001</v>
      </c>
      <c r="T1009">
        <v>0.18260000000000001</v>
      </c>
      <c r="U1009">
        <v>0.18260000000000001</v>
      </c>
      <c r="V1009">
        <v>0.1842</v>
      </c>
      <c r="W1009">
        <v>0.1842</v>
      </c>
      <c r="X1009">
        <v>0.1842</v>
      </c>
      <c r="Y1009">
        <v>0.18579999999999999</v>
      </c>
    </row>
    <row r="1011" spans="1:25">
      <c r="A1011" t="s">
        <v>569</v>
      </c>
      <c r="B1011" t="s">
        <v>570</v>
      </c>
      <c r="C1011" t="s">
        <v>571</v>
      </c>
      <c r="D1011" t="s">
        <v>572</v>
      </c>
      <c r="E1011" t="s">
        <v>573</v>
      </c>
      <c r="F1011" t="s">
        <v>574</v>
      </c>
      <c r="G1011" t="s">
        <v>575</v>
      </c>
      <c r="H1011" t="s">
        <v>576</v>
      </c>
      <c r="I1011" t="s">
        <v>577</v>
      </c>
      <c r="J1011" t="s">
        <v>578</v>
      </c>
      <c r="K1011" t="s">
        <v>579</v>
      </c>
      <c r="L1011" t="s">
        <v>580</v>
      </c>
      <c r="M1011" t="s">
        <v>581</v>
      </c>
      <c r="N1011" t="s">
        <v>582</v>
      </c>
      <c r="O1011" t="s">
        <v>583</v>
      </c>
      <c r="P1011" t="s">
        <v>584</v>
      </c>
      <c r="Q1011" t="s">
        <v>585</v>
      </c>
      <c r="R1011" t="s">
        <v>586</v>
      </c>
      <c r="S1011" t="s">
        <v>587</v>
      </c>
      <c r="T1011" t="s">
        <v>588</v>
      </c>
      <c r="U1011" t="s">
        <v>589</v>
      </c>
      <c r="V1011" t="s">
        <v>590</v>
      </c>
      <c r="W1011" t="s">
        <v>591</v>
      </c>
      <c r="X1011" t="s">
        <v>592</v>
      </c>
      <c r="Y1011" t="s">
        <v>593</v>
      </c>
    </row>
    <row r="1012" spans="1:25">
      <c r="A1012" t="s">
        <v>18807</v>
      </c>
      <c r="B1012" t="s">
        <v>594</v>
      </c>
      <c r="C1012" t="s">
        <v>595</v>
      </c>
      <c r="D1012" t="s">
        <v>596</v>
      </c>
      <c r="E1012" t="s">
        <v>597</v>
      </c>
      <c r="F1012" t="s">
        <v>598</v>
      </c>
      <c r="G1012" t="s">
        <v>599</v>
      </c>
      <c r="H1012" t="s">
        <v>600</v>
      </c>
      <c r="I1012" t="s">
        <v>601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</row>
    <row r="1013" spans="1:25">
      <c r="A1013" t="s">
        <v>18807</v>
      </c>
      <c r="B1013" t="s">
        <v>608</v>
      </c>
      <c r="C1013" t="s">
        <v>595</v>
      </c>
      <c r="D1013" t="s">
        <v>596</v>
      </c>
      <c r="E1013" t="s">
        <v>609</v>
      </c>
      <c r="F1013" t="s">
        <v>598</v>
      </c>
      <c r="G1013" t="s">
        <v>599</v>
      </c>
      <c r="H1013" t="s">
        <v>600</v>
      </c>
      <c r="I1013" t="s">
        <v>601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</row>
    <row r="1014" spans="1:25">
      <c r="A1014" t="s">
        <v>18807</v>
      </c>
      <c r="B1014" t="s">
        <v>614</v>
      </c>
      <c r="C1014" t="s">
        <v>595</v>
      </c>
      <c r="D1014" t="s">
        <v>596</v>
      </c>
      <c r="E1014" t="s">
        <v>615</v>
      </c>
      <c r="F1014" t="s">
        <v>598</v>
      </c>
      <c r="G1014" t="s">
        <v>599</v>
      </c>
      <c r="H1014" t="s">
        <v>600</v>
      </c>
      <c r="I1014" t="s">
        <v>601</v>
      </c>
      <c r="J1014">
        <v>0.1053</v>
      </c>
      <c r="K1014">
        <v>0.1087</v>
      </c>
      <c r="L1014">
        <v>0.10929999999999999</v>
      </c>
      <c r="M1014">
        <v>0.1114</v>
      </c>
      <c r="N1014">
        <v>0.11269999999999999</v>
      </c>
      <c r="O1014">
        <v>0.1171</v>
      </c>
      <c r="P1014">
        <v>0.1178</v>
      </c>
      <c r="Q1014">
        <v>0.1197</v>
      </c>
      <c r="R1014">
        <v>0.121</v>
      </c>
      <c r="S1014">
        <v>0.1242</v>
      </c>
      <c r="T1014">
        <v>0.12770000000000001</v>
      </c>
      <c r="U1014">
        <v>0.1303</v>
      </c>
      <c r="V1014">
        <v>0.13139999999999999</v>
      </c>
      <c r="W1014">
        <v>0.1341</v>
      </c>
      <c r="X1014">
        <v>0.13689999999999999</v>
      </c>
      <c r="Y1014">
        <v>0.13880000000000001</v>
      </c>
    </row>
    <row r="1015" spans="1:25">
      <c r="A1015" t="s">
        <v>18807</v>
      </c>
      <c r="B1015" t="s">
        <v>616</v>
      </c>
      <c r="C1015" t="s">
        <v>595</v>
      </c>
      <c r="D1015" t="s">
        <v>596</v>
      </c>
      <c r="E1015" t="s">
        <v>617</v>
      </c>
      <c r="F1015" t="s">
        <v>598</v>
      </c>
      <c r="G1015" t="s">
        <v>599</v>
      </c>
      <c r="H1015" t="s">
        <v>600</v>
      </c>
      <c r="I1015" t="s">
        <v>601</v>
      </c>
      <c r="J1015">
        <v>0.27479999999999999</v>
      </c>
      <c r="K1015">
        <v>0.28410000000000002</v>
      </c>
      <c r="L1015">
        <v>0.28560000000000002</v>
      </c>
      <c r="M1015">
        <v>0.29099999999999998</v>
      </c>
      <c r="N1015">
        <v>0.2944</v>
      </c>
      <c r="O1015">
        <v>0.30580000000000002</v>
      </c>
      <c r="P1015">
        <v>0.30790000000000001</v>
      </c>
      <c r="Q1015">
        <v>0.31280000000000002</v>
      </c>
      <c r="R1015">
        <v>0.31630000000000003</v>
      </c>
      <c r="S1015">
        <v>0.32429999999999998</v>
      </c>
      <c r="T1015">
        <v>0.33360000000000001</v>
      </c>
      <c r="U1015">
        <v>0.3402</v>
      </c>
      <c r="V1015">
        <v>0.34310000000000002</v>
      </c>
      <c r="W1015">
        <v>0.35039999999999999</v>
      </c>
      <c r="X1015">
        <v>0.35780000000000001</v>
      </c>
      <c r="Y1015">
        <v>0.3624</v>
      </c>
    </row>
    <row r="1016" spans="1:25">
      <c r="A1016" t="s">
        <v>18807</v>
      </c>
      <c r="B1016" t="s">
        <v>620</v>
      </c>
      <c r="C1016" t="s">
        <v>595</v>
      </c>
      <c r="D1016" t="s">
        <v>621</v>
      </c>
      <c r="E1016" t="s">
        <v>597</v>
      </c>
      <c r="F1016" t="s">
        <v>598</v>
      </c>
      <c r="G1016" t="s">
        <v>599</v>
      </c>
      <c r="H1016" t="s">
        <v>600</v>
      </c>
      <c r="I1016" t="s">
        <v>601</v>
      </c>
      <c r="J1016">
        <v>3.5000000000000001E-3</v>
      </c>
      <c r="K1016">
        <v>3.5999999999999999E-3</v>
      </c>
      <c r="L1016">
        <v>3.7000000000000002E-3</v>
      </c>
      <c r="M1016">
        <v>3.7000000000000002E-3</v>
      </c>
      <c r="N1016">
        <v>3.7000000000000002E-3</v>
      </c>
      <c r="O1016">
        <v>3.5000000000000001E-3</v>
      </c>
      <c r="P1016">
        <v>3.5000000000000001E-3</v>
      </c>
      <c r="Q1016">
        <v>3.5000000000000001E-3</v>
      </c>
      <c r="R1016">
        <v>3.5000000000000001E-3</v>
      </c>
      <c r="S1016">
        <v>3.5000000000000001E-3</v>
      </c>
      <c r="T1016">
        <v>3.5000000000000001E-3</v>
      </c>
      <c r="U1016">
        <v>3.5000000000000001E-3</v>
      </c>
      <c r="V1016">
        <v>3.5000000000000001E-3</v>
      </c>
      <c r="W1016">
        <v>3.5000000000000001E-3</v>
      </c>
      <c r="X1016">
        <v>3.5000000000000001E-3</v>
      </c>
      <c r="Y1016">
        <v>3.5000000000000001E-3</v>
      </c>
    </row>
    <row r="1017" spans="1:25">
      <c r="A1017" t="s">
        <v>18807</v>
      </c>
      <c r="B1017" t="s">
        <v>623</v>
      </c>
      <c r="C1017" t="s">
        <v>595</v>
      </c>
      <c r="D1017" t="s">
        <v>621</v>
      </c>
      <c r="E1017" t="s">
        <v>624</v>
      </c>
      <c r="F1017" t="s">
        <v>598</v>
      </c>
      <c r="G1017" t="s">
        <v>599</v>
      </c>
      <c r="H1017" t="s">
        <v>600</v>
      </c>
      <c r="I1017" t="s">
        <v>601</v>
      </c>
      <c r="J1017">
        <v>7.5200000000000003E-2</v>
      </c>
      <c r="K1017">
        <v>7.7600000000000002E-2</v>
      </c>
      <c r="L1017">
        <v>7.8100000000000003E-2</v>
      </c>
      <c r="M1017">
        <v>7.9500000000000001E-2</v>
      </c>
      <c r="N1017">
        <v>8.0399999999999999E-2</v>
      </c>
      <c r="O1017">
        <v>8.3699999999999997E-2</v>
      </c>
      <c r="P1017">
        <v>8.4099999999999994E-2</v>
      </c>
      <c r="Q1017">
        <v>8.5500000000000007E-2</v>
      </c>
      <c r="R1017">
        <v>8.6400000000000005E-2</v>
      </c>
      <c r="S1017">
        <v>8.8599999999999998E-2</v>
      </c>
      <c r="T1017">
        <v>9.1200000000000003E-2</v>
      </c>
      <c r="U1017">
        <v>9.2899999999999996E-2</v>
      </c>
      <c r="V1017">
        <v>9.3899999999999997E-2</v>
      </c>
      <c r="W1017">
        <v>9.5699999999999993E-2</v>
      </c>
      <c r="X1017">
        <v>9.7799999999999998E-2</v>
      </c>
      <c r="Y1017">
        <v>9.9099999999999994E-2</v>
      </c>
    </row>
    <row r="1018" spans="1:25">
      <c r="A1018" t="s">
        <v>18807</v>
      </c>
      <c r="B1018" t="s">
        <v>627</v>
      </c>
      <c r="C1018" t="s">
        <v>595</v>
      </c>
      <c r="D1018" t="s">
        <v>621</v>
      </c>
      <c r="E1018" t="s">
        <v>628</v>
      </c>
      <c r="F1018" t="s">
        <v>598</v>
      </c>
      <c r="G1018" t="s">
        <v>599</v>
      </c>
      <c r="H1018" t="s">
        <v>600</v>
      </c>
      <c r="I1018" t="s">
        <v>601</v>
      </c>
      <c r="J1018">
        <v>8.0000000000000004E-4</v>
      </c>
      <c r="K1018">
        <v>8.0000000000000004E-4</v>
      </c>
      <c r="L1018">
        <v>8.0000000000000004E-4</v>
      </c>
      <c r="M1018">
        <v>8.0000000000000004E-4</v>
      </c>
      <c r="N1018">
        <v>8.0000000000000004E-4</v>
      </c>
      <c r="O1018">
        <v>8.0000000000000004E-4</v>
      </c>
      <c r="P1018">
        <v>8.0000000000000004E-4</v>
      </c>
      <c r="Q1018">
        <v>8.0000000000000004E-4</v>
      </c>
      <c r="R1018">
        <v>8.0000000000000004E-4</v>
      </c>
      <c r="S1018">
        <v>8.0000000000000004E-4</v>
      </c>
      <c r="T1018">
        <v>8.0000000000000004E-4</v>
      </c>
      <c r="U1018">
        <v>8.0000000000000004E-4</v>
      </c>
      <c r="V1018">
        <v>8.0000000000000004E-4</v>
      </c>
      <c r="W1018">
        <v>8.0000000000000004E-4</v>
      </c>
      <c r="X1018">
        <v>8.0000000000000004E-4</v>
      </c>
      <c r="Y1018">
        <v>8.0000000000000004E-4</v>
      </c>
    </row>
    <row r="1019" spans="1:25">
      <c r="A1019" t="s">
        <v>18807</v>
      </c>
      <c r="B1019" t="s">
        <v>631</v>
      </c>
      <c r="C1019" t="s">
        <v>595</v>
      </c>
      <c r="D1019" t="s">
        <v>632</v>
      </c>
      <c r="E1019" t="s">
        <v>597</v>
      </c>
      <c r="F1019" t="s">
        <v>598</v>
      </c>
      <c r="G1019" t="s">
        <v>599</v>
      </c>
      <c r="H1019" t="s">
        <v>600</v>
      </c>
      <c r="I1019" t="s">
        <v>601</v>
      </c>
      <c r="J1019">
        <v>0.2109</v>
      </c>
      <c r="K1019">
        <v>0.2172</v>
      </c>
      <c r="L1019">
        <v>0.2238</v>
      </c>
      <c r="M1019">
        <v>0.22359999999999999</v>
      </c>
      <c r="N1019">
        <v>0.2235</v>
      </c>
      <c r="O1019">
        <v>0.2077</v>
      </c>
      <c r="P1019">
        <v>0.20810000000000001</v>
      </c>
      <c r="Q1019">
        <v>0.20849999999999999</v>
      </c>
      <c r="R1019">
        <v>0.2087</v>
      </c>
      <c r="S1019">
        <v>0.20910000000000001</v>
      </c>
      <c r="T1019">
        <v>0.20949999999999999</v>
      </c>
      <c r="U1019">
        <v>0.2099</v>
      </c>
      <c r="V1019">
        <v>0.2104</v>
      </c>
      <c r="W1019">
        <v>0.21060000000000001</v>
      </c>
      <c r="X1019">
        <v>0.2109</v>
      </c>
      <c r="Y1019">
        <v>0.2114</v>
      </c>
    </row>
    <row r="1020" spans="1:25">
      <c r="A1020" t="s">
        <v>18807</v>
      </c>
      <c r="B1020" t="s">
        <v>637</v>
      </c>
      <c r="C1020" t="s">
        <v>595</v>
      </c>
      <c r="D1020" t="s">
        <v>632</v>
      </c>
      <c r="E1020" t="s">
        <v>638</v>
      </c>
      <c r="F1020" t="s">
        <v>598</v>
      </c>
      <c r="G1020" t="s">
        <v>599</v>
      </c>
      <c r="H1020" t="s">
        <v>600</v>
      </c>
      <c r="I1020" t="s">
        <v>601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5" hidden="1">
      <c r="A1021" t="s">
        <v>18807</v>
      </c>
      <c r="B1021" t="s">
        <v>650</v>
      </c>
      <c r="C1021" t="s">
        <v>651</v>
      </c>
      <c r="D1021" t="s">
        <v>596</v>
      </c>
      <c r="E1021" t="s">
        <v>597</v>
      </c>
      <c r="F1021" t="s">
        <v>598</v>
      </c>
      <c r="G1021" t="s">
        <v>599</v>
      </c>
      <c r="H1021" t="s">
        <v>600</v>
      </c>
      <c r="I1021" t="s">
        <v>601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</row>
    <row r="1022" spans="1:25" hidden="1">
      <c r="A1022" t="s">
        <v>18807</v>
      </c>
      <c r="B1022" t="s">
        <v>655</v>
      </c>
      <c r="C1022" t="s">
        <v>651</v>
      </c>
      <c r="D1022" t="s">
        <v>596</v>
      </c>
      <c r="E1022" t="s">
        <v>656</v>
      </c>
      <c r="F1022" t="s">
        <v>598</v>
      </c>
      <c r="G1022" t="s">
        <v>599</v>
      </c>
      <c r="H1022" t="s">
        <v>600</v>
      </c>
      <c r="I1022" t="s">
        <v>601</v>
      </c>
      <c r="J1022">
        <v>0.32950000000000002</v>
      </c>
      <c r="K1022">
        <v>0.377</v>
      </c>
      <c r="L1022">
        <v>0.4047</v>
      </c>
      <c r="M1022">
        <v>0.44030000000000002</v>
      </c>
      <c r="N1022">
        <v>0.4657</v>
      </c>
      <c r="O1022">
        <v>0.4839</v>
      </c>
      <c r="P1022">
        <v>0.4894</v>
      </c>
      <c r="Q1022">
        <v>0.495</v>
      </c>
      <c r="R1022">
        <v>0.50770000000000004</v>
      </c>
      <c r="S1022">
        <v>0.51639999999999997</v>
      </c>
      <c r="T1022">
        <v>0.52510000000000001</v>
      </c>
      <c r="U1022">
        <v>0.53380000000000005</v>
      </c>
      <c r="V1022">
        <v>0.54330000000000001</v>
      </c>
      <c r="W1022">
        <v>0.54169999999999996</v>
      </c>
      <c r="X1022">
        <v>0.54569999999999996</v>
      </c>
      <c r="Y1022">
        <v>0.54410000000000003</v>
      </c>
    </row>
    <row r="1023" spans="1:25" hidden="1">
      <c r="A1023" t="s">
        <v>18807</v>
      </c>
      <c r="B1023" t="s">
        <v>657</v>
      </c>
      <c r="C1023" t="s">
        <v>651</v>
      </c>
      <c r="D1023" t="s">
        <v>621</v>
      </c>
      <c r="E1023" t="s">
        <v>597</v>
      </c>
      <c r="F1023" t="s">
        <v>598</v>
      </c>
      <c r="G1023" t="s">
        <v>599</v>
      </c>
      <c r="H1023" t="s">
        <v>600</v>
      </c>
      <c r="I1023" t="s">
        <v>601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</row>
    <row r="1024" spans="1:25" hidden="1">
      <c r="A1024" t="s">
        <v>18807</v>
      </c>
      <c r="B1024" t="s">
        <v>660</v>
      </c>
      <c r="C1024" t="s">
        <v>651</v>
      </c>
      <c r="D1024" t="s">
        <v>632</v>
      </c>
      <c r="E1024" t="s">
        <v>597</v>
      </c>
      <c r="F1024" t="s">
        <v>598</v>
      </c>
      <c r="G1024" t="s">
        <v>599</v>
      </c>
      <c r="H1024" t="s">
        <v>600</v>
      </c>
      <c r="I1024" t="s">
        <v>601</v>
      </c>
      <c r="J1024">
        <v>7.4000000000000003E-3</v>
      </c>
      <c r="K1024">
        <v>7.4999999999999997E-3</v>
      </c>
      <c r="L1024">
        <v>7.6E-3</v>
      </c>
      <c r="M1024">
        <v>7.7000000000000002E-3</v>
      </c>
      <c r="N1024">
        <v>7.7000000000000002E-3</v>
      </c>
      <c r="O1024">
        <v>7.7999999999999996E-3</v>
      </c>
      <c r="P1024">
        <v>7.9000000000000008E-3</v>
      </c>
      <c r="Q1024">
        <v>7.9000000000000008E-3</v>
      </c>
      <c r="R1024">
        <v>8.0000000000000002E-3</v>
      </c>
      <c r="S1024">
        <v>8.0999999999999996E-3</v>
      </c>
      <c r="T1024">
        <v>8.2000000000000007E-3</v>
      </c>
      <c r="U1024">
        <v>8.2000000000000007E-3</v>
      </c>
      <c r="V1024">
        <v>8.3000000000000001E-3</v>
      </c>
      <c r="W1024">
        <v>8.3999999999999995E-3</v>
      </c>
      <c r="X1024">
        <v>8.5000000000000006E-3</v>
      </c>
      <c r="Y1024">
        <v>8.6E-3</v>
      </c>
    </row>
    <row r="1025" spans="1:25" hidden="1">
      <c r="A1025" t="s">
        <v>18807</v>
      </c>
      <c r="B1025" t="s">
        <v>662</v>
      </c>
      <c r="C1025" t="s">
        <v>651</v>
      </c>
      <c r="D1025" t="s">
        <v>648</v>
      </c>
      <c r="E1025" t="s">
        <v>649</v>
      </c>
      <c r="F1025" t="s">
        <v>598</v>
      </c>
      <c r="G1025" t="s">
        <v>599</v>
      </c>
      <c r="H1025" t="s">
        <v>600</v>
      </c>
      <c r="I1025" t="s">
        <v>601</v>
      </c>
      <c r="J1025">
        <v>2.9999999999999997E-4</v>
      </c>
      <c r="K1025">
        <v>2.9999999999999997E-4</v>
      </c>
      <c r="L1025">
        <v>4.0000000000000002E-4</v>
      </c>
      <c r="M1025">
        <v>4.0000000000000002E-4</v>
      </c>
      <c r="N1025">
        <v>4.0000000000000002E-4</v>
      </c>
      <c r="O1025">
        <v>4.0000000000000002E-4</v>
      </c>
      <c r="P1025">
        <v>4.0000000000000002E-4</v>
      </c>
      <c r="Q1025">
        <v>4.0000000000000002E-4</v>
      </c>
      <c r="R1025">
        <v>4.0000000000000002E-4</v>
      </c>
      <c r="S1025">
        <v>4.0000000000000002E-4</v>
      </c>
      <c r="T1025">
        <v>4.0000000000000002E-4</v>
      </c>
      <c r="U1025">
        <v>4.0000000000000002E-4</v>
      </c>
      <c r="V1025">
        <v>4.0000000000000002E-4</v>
      </c>
      <c r="W1025">
        <v>4.0000000000000002E-4</v>
      </c>
      <c r="X1025">
        <v>5.0000000000000001E-4</v>
      </c>
      <c r="Y1025">
        <v>5.0000000000000001E-4</v>
      </c>
    </row>
    <row r="1026" spans="1:25" hidden="1">
      <c r="A1026" t="s">
        <v>18807</v>
      </c>
      <c r="B1026" t="s">
        <v>663</v>
      </c>
      <c r="C1026" t="s">
        <v>664</v>
      </c>
      <c r="D1026" t="s">
        <v>596</v>
      </c>
      <c r="E1026" t="s">
        <v>597</v>
      </c>
      <c r="F1026" t="s">
        <v>598</v>
      </c>
      <c r="G1026" t="s">
        <v>599</v>
      </c>
      <c r="H1026" t="s">
        <v>600</v>
      </c>
      <c r="I1026" t="s">
        <v>601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</row>
    <row r="1027" spans="1:25" hidden="1">
      <c r="A1027" t="s">
        <v>18807</v>
      </c>
      <c r="B1027" t="s">
        <v>670</v>
      </c>
      <c r="C1027" t="s">
        <v>664</v>
      </c>
      <c r="D1027" t="s">
        <v>671</v>
      </c>
      <c r="E1027" t="s">
        <v>672</v>
      </c>
      <c r="F1027" t="s">
        <v>598</v>
      </c>
      <c r="G1027" t="s">
        <v>599</v>
      </c>
      <c r="H1027" t="s">
        <v>600</v>
      </c>
      <c r="I1027" t="s">
        <v>601</v>
      </c>
      <c r="J1027">
        <v>3.0999999999999999E-3</v>
      </c>
      <c r="K1027">
        <v>3.0999999999999999E-3</v>
      </c>
      <c r="L1027">
        <v>3.0000000000000001E-3</v>
      </c>
      <c r="M1027">
        <v>2.8999999999999998E-3</v>
      </c>
      <c r="N1027">
        <v>2.8999999999999998E-3</v>
      </c>
      <c r="O1027">
        <v>2.8E-3</v>
      </c>
      <c r="P1027">
        <v>2.8E-3</v>
      </c>
      <c r="Q1027">
        <v>2.8E-3</v>
      </c>
      <c r="R1027">
        <v>2.7000000000000001E-3</v>
      </c>
      <c r="S1027">
        <v>2.7000000000000001E-3</v>
      </c>
      <c r="T1027">
        <v>2.3999999999999998E-3</v>
      </c>
      <c r="U1027">
        <v>2.3E-3</v>
      </c>
      <c r="V1027">
        <v>2.2000000000000001E-3</v>
      </c>
      <c r="W1027">
        <v>2.0999999999999999E-3</v>
      </c>
      <c r="X1027">
        <v>2.0999999999999999E-3</v>
      </c>
      <c r="Y1027">
        <v>2.0999999999999999E-3</v>
      </c>
    </row>
    <row r="1028" spans="1:25" hidden="1">
      <c r="A1028" t="s">
        <v>18807</v>
      </c>
      <c r="B1028" t="s">
        <v>673</v>
      </c>
      <c r="C1028" t="s">
        <v>664</v>
      </c>
      <c r="D1028" t="s">
        <v>671</v>
      </c>
      <c r="E1028" t="s">
        <v>597</v>
      </c>
      <c r="F1028" t="s">
        <v>598</v>
      </c>
      <c r="G1028" t="s">
        <v>599</v>
      </c>
      <c r="H1028" t="s">
        <v>600</v>
      </c>
      <c r="I1028" t="s">
        <v>601</v>
      </c>
      <c r="J1028">
        <v>2.0000000000000001E-4</v>
      </c>
      <c r="K1028">
        <v>2.0000000000000001E-4</v>
      </c>
      <c r="L1028">
        <v>2.0000000000000001E-4</v>
      </c>
      <c r="M1028">
        <v>2.0000000000000001E-4</v>
      </c>
      <c r="N1028">
        <v>2.0000000000000001E-4</v>
      </c>
      <c r="O1028">
        <v>2.0000000000000001E-4</v>
      </c>
      <c r="P1028">
        <v>2.0000000000000001E-4</v>
      </c>
      <c r="Q1028">
        <v>2.0000000000000001E-4</v>
      </c>
      <c r="R1028">
        <v>2.0000000000000001E-4</v>
      </c>
      <c r="S1028">
        <v>2.0000000000000001E-4</v>
      </c>
      <c r="T1028">
        <v>2.0000000000000001E-4</v>
      </c>
      <c r="U1028">
        <v>2.0000000000000001E-4</v>
      </c>
      <c r="V1028">
        <v>2.0000000000000001E-4</v>
      </c>
      <c r="W1028">
        <v>2.0000000000000001E-4</v>
      </c>
      <c r="X1028">
        <v>2.0000000000000001E-4</v>
      </c>
      <c r="Y1028">
        <v>2.0000000000000001E-4</v>
      </c>
    </row>
    <row r="1029" spans="1:25" hidden="1">
      <c r="A1029" t="s">
        <v>18807</v>
      </c>
      <c r="B1029" t="s">
        <v>683</v>
      </c>
      <c r="C1029" t="s">
        <v>664</v>
      </c>
      <c r="D1029" t="s">
        <v>621</v>
      </c>
      <c r="E1029" t="s">
        <v>672</v>
      </c>
      <c r="F1029" t="s">
        <v>598</v>
      </c>
      <c r="G1029" t="s">
        <v>599</v>
      </c>
      <c r="H1029" t="s">
        <v>600</v>
      </c>
      <c r="I1029" t="s">
        <v>601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</row>
    <row r="1030" spans="1:25" hidden="1">
      <c r="A1030" t="s">
        <v>18807</v>
      </c>
      <c r="B1030" t="s">
        <v>684</v>
      </c>
      <c r="C1030" t="s">
        <v>664</v>
      </c>
      <c r="D1030" t="s">
        <v>621</v>
      </c>
      <c r="E1030" t="s">
        <v>597</v>
      </c>
      <c r="F1030" t="s">
        <v>598</v>
      </c>
      <c r="G1030" t="s">
        <v>599</v>
      </c>
      <c r="H1030" t="s">
        <v>600</v>
      </c>
      <c r="I1030" t="s">
        <v>601</v>
      </c>
      <c r="J1030">
        <v>2.6200000000000001E-2</v>
      </c>
      <c r="K1030">
        <v>2.5700000000000001E-2</v>
      </c>
      <c r="L1030">
        <v>2.5100000000000001E-2</v>
      </c>
      <c r="M1030">
        <v>2.4500000000000001E-2</v>
      </c>
      <c r="N1030">
        <v>2.4E-2</v>
      </c>
      <c r="O1030">
        <v>2.3599999999999999E-2</v>
      </c>
      <c r="P1030">
        <v>2.2800000000000001E-2</v>
      </c>
      <c r="Q1030">
        <v>2.2499999999999999E-2</v>
      </c>
      <c r="R1030">
        <v>2.1999999999999999E-2</v>
      </c>
      <c r="S1030">
        <v>2.1499999999999998E-2</v>
      </c>
      <c r="T1030">
        <v>2.1000000000000001E-2</v>
      </c>
      <c r="U1030">
        <v>2.06E-2</v>
      </c>
      <c r="V1030">
        <v>2.0299999999999999E-2</v>
      </c>
      <c r="W1030">
        <v>1.9599999999999999E-2</v>
      </c>
      <c r="X1030">
        <v>1.9099999999999999E-2</v>
      </c>
      <c r="Y1030">
        <v>1.8700000000000001E-2</v>
      </c>
    </row>
    <row r="1031" spans="1:25" hidden="1">
      <c r="A1031" t="s">
        <v>18807</v>
      </c>
      <c r="B1031" t="s">
        <v>690</v>
      </c>
      <c r="C1031" t="s">
        <v>664</v>
      </c>
      <c r="D1031" t="s">
        <v>621</v>
      </c>
      <c r="E1031" t="s">
        <v>628</v>
      </c>
      <c r="F1031" t="s">
        <v>598</v>
      </c>
      <c r="G1031" t="s">
        <v>599</v>
      </c>
      <c r="H1031" t="s">
        <v>600</v>
      </c>
      <c r="I1031" t="s">
        <v>601</v>
      </c>
      <c r="J1031">
        <v>1E-4</v>
      </c>
      <c r="K1031">
        <v>1E-4</v>
      </c>
      <c r="L1031">
        <v>1E-4</v>
      </c>
      <c r="M1031">
        <v>1E-4</v>
      </c>
      <c r="N1031">
        <v>1E-4</v>
      </c>
      <c r="O1031">
        <v>1E-4</v>
      </c>
      <c r="P1031">
        <v>1E-4</v>
      </c>
      <c r="Q1031">
        <v>1E-4</v>
      </c>
      <c r="R1031">
        <v>1E-4</v>
      </c>
      <c r="S1031">
        <v>1E-4</v>
      </c>
      <c r="T1031">
        <v>1E-4</v>
      </c>
      <c r="U1031">
        <v>1E-4</v>
      </c>
      <c r="V1031">
        <v>1E-4</v>
      </c>
      <c r="W1031">
        <v>1E-4</v>
      </c>
      <c r="X1031">
        <v>1E-4</v>
      </c>
      <c r="Y1031">
        <v>1E-4</v>
      </c>
    </row>
    <row r="1032" spans="1:25" hidden="1">
      <c r="A1032" t="s">
        <v>18807</v>
      </c>
      <c r="B1032" t="s">
        <v>696</v>
      </c>
      <c r="C1032" t="s">
        <v>664</v>
      </c>
      <c r="D1032" t="s">
        <v>632</v>
      </c>
      <c r="E1032" t="s">
        <v>597</v>
      </c>
      <c r="F1032" t="s">
        <v>598</v>
      </c>
      <c r="G1032" t="s">
        <v>599</v>
      </c>
      <c r="H1032" t="s">
        <v>600</v>
      </c>
      <c r="I1032" t="s">
        <v>601</v>
      </c>
      <c r="J1032">
        <v>3.2000000000000002E-3</v>
      </c>
      <c r="K1032">
        <v>3.0999999999999999E-3</v>
      </c>
      <c r="L1032">
        <v>3.0000000000000001E-3</v>
      </c>
      <c r="M1032">
        <v>3.0000000000000001E-3</v>
      </c>
      <c r="N1032">
        <v>2.8999999999999998E-3</v>
      </c>
      <c r="O1032">
        <v>2.8999999999999998E-3</v>
      </c>
      <c r="P1032">
        <v>2.8E-3</v>
      </c>
      <c r="Q1032">
        <v>2.7000000000000001E-3</v>
      </c>
      <c r="R1032">
        <v>2.7000000000000001E-3</v>
      </c>
      <c r="S1032">
        <v>2.5999999999999999E-3</v>
      </c>
      <c r="T1032">
        <v>2.5999999999999999E-3</v>
      </c>
      <c r="U1032">
        <v>2.5000000000000001E-3</v>
      </c>
      <c r="V1032">
        <v>2.5000000000000001E-3</v>
      </c>
      <c r="W1032">
        <v>2.3999999999999998E-3</v>
      </c>
      <c r="X1032">
        <v>2.3999999999999998E-3</v>
      </c>
      <c r="Y1032">
        <v>2.3E-3</v>
      </c>
    </row>
    <row r="1033" spans="1:25" hidden="1">
      <c r="A1033" t="s">
        <v>18807</v>
      </c>
      <c r="B1033" t="s">
        <v>700</v>
      </c>
      <c r="C1033" t="s">
        <v>664</v>
      </c>
      <c r="D1033" t="s">
        <v>701</v>
      </c>
      <c r="E1033" t="s">
        <v>672</v>
      </c>
      <c r="F1033" t="s">
        <v>598</v>
      </c>
      <c r="G1033" t="s">
        <v>599</v>
      </c>
      <c r="H1033" t="s">
        <v>600</v>
      </c>
      <c r="I1033" t="s">
        <v>601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</row>
    <row r="1034" spans="1:25" hidden="1">
      <c r="A1034" t="s">
        <v>18807</v>
      </c>
      <c r="B1034" t="s">
        <v>702</v>
      </c>
      <c r="C1034" t="s">
        <v>664</v>
      </c>
      <c r="D1034" t="s">
        <v>701</v>
      </c>
      <c r="E1034" t="s">
        <v>597</v>
      </c>
      <c r="F1034" t="s">
        <v>598</v>
      </c>
      <c r="G1034" t="s">
        <v>599</v>
      </c>
      <c r="H1034" t="s">
        <v>600</v>
      </c>
      <c r="I1034" t="s">
        <v>601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</row>
    <row r="1035" spans="1:25" hidden="1">
      <c r="A1035" t="s">
        <v>18807</v>
      </c>
      <c r="B1035" t="s">
        <v>703</v>
      </c>
      <c r="C1035" t="s">
        <v>664</v>
      </c>
      <c r="D1035" t="s">
        <v>704</v>
      </c>
      <c r="E1035" t="s">
        <v>672</v>
      </c>
      <c r="F1035" t="s">
        <v>598</v>
      </c>
      <c r="G1035" t="s">
        <v>599</v>
      </c>
      <c r="H1035" t="s">
        <v>600</v>
      </c>
      <c r="I1035" t="s">
        <v>601</v>
      </c>
      <c r="J1035">
        <v>1E-3</v>
      </c>
      <c r="K1035">
        <v>1E-3</v>
      </c>
      <c r="L1035">
        <v>1E-3</v>
      </c>
      <c r="M1035">
        <v>1E-3</v>
      </c>
      <c r="N1035">
        <v>1E-3</v>
      </c>
      <c r="O1035">
        <v>1E-3</v>
      </c>
      <c r="P1035">
        <v>1E-3</v>
      </c>
      <c r="Q1035">
        <v>1E-3</v>
      </c>
      <c r="R1035">
        <v>1E-3</v>
      </c>
      <c r="S1035">
        <v>8.9999999999999998E-4</v>
      </c>
      <c r="T1035">
        <v>8.9999999999999998E-4</v>
      </c>
      <c r="U1035">
        <v>8.9999999999999998E-4</v>
      </c>
      <c r="V1035">
        <v>8.9999999999999998E-4</v>
      </c>
      <c r="W1035">
        <v>8.9999999999999998E-4</v>
      </c>
      <c r="X1035">
        <v>8.0000000000000004E-4</v>
      </c>
      <c r="Y1035">
        <v>8.0000000000000004E-4</v>
      </c>
    </row>
    <row r="1036" spans="1:25" hidden="1">
      <c r="A1036" t="s">
        <v>18807</v>
      </c>
      <c r="B1036" t="s">
        <v>705</v>
      </c>
      <c r="C1036" t="s">
        <v>664</v>
      </c>
      <c r="D1036" t="s">
        <v>704</v>
      </c>
      <c r="E1036" t="s">
        <v>597</v>
      </c>
      <c r="F1036" t="s">
        <v>598</v>
      </c>
      <c r="G1036" t="s">
        <v>599</v>
      </c>
      <c r="H1036" t="s">
        <v>600</v>
      </c>
      <c r="I1036" t="s">
        <v>601</v>
      </c>
      <c r="J1036">
        <v>2.9999999999999997E-4</v>
      </c>
      <c r="K1036">
        <v>2.9999999999999997E-4</v>
      </c>
      <c r="L1036">
        <v>2.9999999999999997E-4</v>
      </c>
      <c r="M1036">
        <v>2.9999999999999997E-4</v>
      </c>
      <c r="N1036">
        <v>2.9999999999999997E-4</v>
      </c>
      <c r="O1036">
        <v>2.9999999999999997E-4</v>
      </c>
      <c r="P1036">
        <v>2.9999999999999997E-4</v>
      </c>
      <c r="Q1036">
        <v>2.9999999999999997E-4</v>
      </c>
      <c r="R1036">
        <v>2.9999999999999997E-4</v>
      </c>
      <c r="S1036">
        <v>2.9999999999999997E-4</v>
      </c>
      <c r="T1036">
        <v>2.9999999999999997E-4</v>
      </c>
      <c r="U1036">
        <v>2.9999999999999997E-4</v>
      </c>
      <c r="V1036">
        <v>2.9999999999999997E-4</v>
      </c>
      <c r="W1036">
        <v>2.9999999999999997E-4</v>
      </c>
      <c r="X1036">
        <v>2.9999999999999997E-4</v>
      </c>
      <c r="Y1036">
        <v>2.9999999999999997E-4</v>
      </c>
    </row>
    <row r="1037" spans="1:25" hidden="1">
      <c r="A1037" t="s">
        <v>18807</v>
      </c>
      <c r="B1037" t="s">
        <v>707</v>
      </c>
      <c r="C1037" t="s">
        <v>664</v>
      </c>
      <c r="D1037" t="s">
        <v>648</v>
      </c>
      <c r="E1037" t="s">
        <v>672</v>
      </c>
      <c r="F1037" t="s">
        <v>598</v>
      </c>
      <c r="G1037" t="s">
        <v>599</v>
      </c>
      <c r="H1037" t="s">
        <v>600</v>
      </c>
      <c r="I1037" t="s">
        <v>601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</row>
    <row r="1038" spans="1:25" hidden="1">
      <c r="A1038" t="s">
        <v>18807</v>
      </c>
      <c r="B1038" t="s">
        <v>728</v>
      </c>
      <c r="C1038" t="s">
        <v>729</v>
      </c>
      <c r="D1038" t="s">
        <v>596</v>
      </c>
      <c r="E1038" t="s">
        <v>597</v>
      </c>
      <c r="F1038" t="s">
        <v>598</v>
      </c>
      <c r="G1038" t="s">
        <v>599</v>
      </c>
      <c r="H1038" t="s">
        <v>600</v>
      </c>
      <c r="I1038" t="s">
        <v>601</v>
      </c>
      <c r="J1038">
        <v>1.2999999999999999E-2</v>
      </c>
      <c r="K1038">
        <v>1.2999999999999999E-2</v>
      </c>
      <c r="L1038">
        <v>1.2500000000000001E-2</v>
      </c>
      <c r="M1038">
        <v>1.2500000000000001E-2</v>
      </c>
      <c r="N1038">
        <v>1.2500000000000001E-2</v>
      </c>
      <c r="O1038">
        <v>1.3599999999999999E-2</v>
      </c>
      <c r="P1038">
        <v>1.37E-2</v>
      </c>
      <c r="Q1038">
        <v>1.37E-2</v>
      </c>
      <c r="R1038">
        <v>1.3599999999999999E-2</v>
      </c>
      <c r="S1038">
        <v>1.3599999999999999E-2</v>
      </c>
      <c r="T1038">
        <v>1.38E-2</v>
      </c>
      <c r="U1038">
        <v>1.38E-2</v>
      </c>
      <c r="V1038">
        <v>1.3899999999999999E-2</v>
      </c>
      <c r="W1038">
        <v>1.4E-2</v>
      </c>
      <c r="X1038">
        <v>1.41E-2</v>
      </c>
      <c r="Y1038">
        <v>1.41E-2</v>
      </c>
    </row>
    <row r="1039" spans="1:25" hidden="1">
      <c r="A1039" t="s">
        <v>18807</v>
      </c>
      <c r="B1039" t="s">
        <v>732</v>
      </c>
      <c r="C1039" t="s">
        <v>729</v>
      </c>
      <c r="D1039" t="s">
        <v>596</v>
      </c>
      <c r="E1039" t="s">
        <v>603</v>
      </c>
      <c r="F1039" t="s">
        <v>598</v>
      </c>
      <c r="G1039" t="s">
        <v>599</v>
      </c>
      <c r="H1039" t="s">
        <v>600</v>
      </c>
      <c r="I1039" t="s">
        <v>601</v>
      </c>
      <c r="J1039">
        <v>5.9999999999999995E-4</v>
      </c>
      <c r="K1039">
        <v>5.9999999999999995E-4</v>
      </c>
      <c r="L1039">
        <v>5.9999999999999995E-4</v>
      </c>
      <c r="M1039">
        <v>5.9999999999999995E-4</v>
      </c>
      <c r="N1039">
        <v>5.9999999999999995E-4</v>
      </c>
      <c r="O1039">
        <v>5.9999999999999995E-4</v>
      </c>
      <c r="P1039">
        <v>5.9999999999999995E-4</v>
      </c>
      <c r="Q1039">
        <v>5.9999999999999995E-4</v>
      </c>
      <c r="R1039">
        <v>5.9999999999999995E-4</v>
      </c>
      <c r="S1039">
        <v>5.9999999999999995E-4</v>
      </c>
      <c r="T1039">
        <v>5.9999999999999995E-4</v>
      </c>
      <c r="U1039">
        <v>5.9999999999999995E-4</v>
      </c>
      <c r="V1039">
        <v>5.9999999999999995E-4</v>
      </c>
      <c r="W1039">
        <v>5.9999999999999995E-4</v>
      </c>
      <c r="X1039">
        <v>5.9999999999999995E-4</v>
      </c>
      <c r="Y1039">
        <v>5.9999999999999995E-4</v>
      </c>
    </row>
    <row r="1040" spans="1:25" hidden="1">
      <c r="A1040" t="s">
        <v>18807</v>
      </c>
      <c r="B1040" t="s">
        <v>737</v>
      </c>
      <c r="C1040" t="s">
        <v>729</v>
      </c>
      <c r="D1040" t="s">
        <v>596</v>
      </c>
      <c r="E1040" t="s">
        <v>615</v>
      </c>
      <c r="F1040" t="s">
        <v>598</v>
      </c>
      <c r="G1040" t="s">
        <v>599</v>
      </c>
      <c r="H1040" t="s">
        <v>600</v>
      </c>
      <c r="I1040" t="s">
        <v>601</v>
      </c>
      <c r="J1040">
        <v>1E-4</v>
      </c>
      <c r="K1040">
        <v>1E-4</v>
      </c>
      <c r="L1040">
        <v>1E-4</v>
      </c>
      <c r="M1040">
        <v>1E-4</v>
      </c>
      <c r="N1040">
        <v>1E-4</v>
      </c>
      <c r="O1040">
        <v>1E-4</v>
      </c>
      <c r="P1040">
        <v>1E-4</v>
      </c>
      <c r="Q1040">
        <v>1E-4</v>
      </c>
      <c r="R1040">
        <v>1E-4</v>
      </c>
      <c r="S1040">
        <v>1E-4</v>
      </c>
      <c r="T1040">
        <v>1E-4</v>
      </c>
      <c r="U1040">
        <v>1E-4</v>
      </c>
      <c r="V1040">
        <v>1E-4</v>
      </c>
      <c r="W1040">
        <v>1E-4</v>
      </c>
      <c r="X1040">
        <v>1E-4</v>
      </c>
      <c r="Y1040">
        <v>1E-4</v>
      </c>
    </row>
    <row r="1041" spans="1:25" hidden="1">
      <c r="A1041" t="s">
        <v>18807</v>
      </c>
      <c r="B1041" t="s">
        <v>738</v>
      </c>
      <c r="C1041" t="s">
        <v>729</v>
      </c>
      <c r="D1041" t="s">
        <v>596</v>
      </c>
      <c r="E1041" t="s">
        <v>617</v>
      </c>
      <c r="F1041" t="s">
        <v>598</v>
      </c>
      <c r="G1041" t="s">
        <v>599</v>
      </c>
      <c r="H1041" t="s">
        <v>600</v>
      </c>
      <c r="I1041" t="s">
        <v>601</v>
      </c>
      <c r="J1041">
        <v>0.24149999999999999</v>
      </c>
      <c r="K1041">
        <v>0.25119999999999998</v>
      </c>
      <c r="L1041">
        <v>0.25829999999999997</v>
      </c>
      <c r="M1041">
        <v>0.26500000000000001</v>
      </c>
      <c r="N1041">
        <v>0.2722</v>
      </c>
      <c r="O1041">
        <v>0.2797</v>
      </c>
      <c r="P1041">
        <v>0.28710000000000002</v>
      </c>
      <c r="Q1041">
        <v>0.29430000000000001</v>
      </c>
      <c r="R1041">
        <v>0.3014</v>
      </c>
      <c r="S1041">
        <v>0.30890000000000001</v>
      </c>
      <c r="T1041">
        <v>0.31609999999999999</v>
      </c>
      <c r="U1041">
        <v>0.32300000000000001</v>
      </c>
      <c r="V1041">
        <v>0.33</v>
      </c>
      <c r="W1041">
        <v>0.33750000000000002</v>
      </c>
      <c r="X1041">
        <v>0.34499999999999997</v>
      </c>
      <c r="Y1041">
        <v>0.35249999999999998</v>
      </c>
    </row>
    <row r="1042" spans="1:25" hidden="1">
      <c r="A1042" t="s">
        <v>18807</v>
      </c>
      <c r="B1042" t="s">
        <v>739</v>
      </c>
      <c r="C1042" t="s">
        <v>729</v>
      </c>
      <c r="D1042" t="s">
        <v>596</v>
      </c>
      <c r="E1042" t="s">
        <v>628</v>
      </c>
      <c r="F1042" t="s">
        <v>598</v>
      </c>
      <c r="G1042" t="s">
        <v>599</v>
      </c>
      <c r="H1042" t="s">
        <v>600</v>
      </c>
      <c r="I1042" t="s">
        <v>601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5" hidden="1">
      <c r="A1043" t="s">
        <v>18807</v>
      </c>
      <c r="B1043" t="s">
        <v>740</v>
      </c>
      <c r="C1043" t="s">
        <v>729</v>
      </c>
      <c r="D1043" t="s">
        <v>596</v>
      </c>
      <c r="E1043" t="s">
        <v>619</v>
      </c>
      <c r="F1043" t="s">
        <v>598</v>
      </c>
      <c r="G1043" t="s">
        <v>599</v>
      </c>
      <c r="H1043" t="s">
        <v>600</v>
      </c>
      <c r="I1043" t="s">
        <v>601</v>
      </c>
      <c r="J1043">
        <v>5.0000000000000001E-4</v>
      </c>
      <c r="K1043">
        <v>5.0000000000000001E-4</v>
      </c>
      <c r="L1043">
        <v>5.0000000000000001E-4</v>
      </c>
      <c r="M1043">
        <v>5.0000000000000001E-4</v>
      </c>
      <c r="N1043">
        <v>5.0000000000000001E-4</v>
      </c>
      <c r="O1043">
        <v>5.0000000000000001E-4</v>
      </c>
      <c r="P1043">
        <v>5.0000000000000001E-4</v>
      </c>
      <c r="Q1043">
        <v>5.0000000000000001E-4</v>
      </c>
      <c r="R1043">
        <v>5.0000000000000001E-4</v>
      </c>
      <c r="S1043">
        <v>5.0000000000000001E-4</v>
      </c>
      <c r="T1043">
        <v>5.0000000000000001E-4</v>
      </c>
      <c r="U1043">
        <v>5.0000000000000001E-4</v>
      </c>
      <c r="V1043">
        <v>5.0000000000000001E-4</v>
      </c>
      <c r="W1043">
        <v>5.0000000000000001E-4</v>
      </c>
      <c r="X1043">
        <v>5.0000000000000001E-4</v>
      </c>
      <c r="Y1043">
        <v>5.0000000000000001E-4</v>
      </c>
    </row>
    <row r="1044" spans="1:25" hidden="1">
      <c r="A1044" t="s">
        <v>18807</v>
      </c>
      <c r="B1044" t="s">
        <v>745</v>
      </c>
      <c r="C1044" t="s">
        <v>729</v>
      </c>
      <c r="D1044" t="s">
        <v>671</v>
      </c>
      <c r="E1044" t="s">
        <v>597</v>
      </c>
      <c r="F1044" t="s">
        <v>598</v>
      </c>
      <c r="G1044" t="s">
        <v>599</v>
      </c>
      <c r="H1044" t="s">
        <v>600</v>
      </c>
      <c r="I1044" t="s">
        <v>601</v>
      </c>
      <c r="J1044">
        <v>7.1000000000000004E-3</v>
      </c>
      <c r="K1044">
        <v>7.0000000000000001E-3</v>
      </c>
      <c r="L1044">
        <v>6.8999999999999999E-3</v>
      </c>
      <c r="M1044">
        <v>6.8999999999999999E-3</v>
      </c>
      <c r="N1044">
        <v>6.8999999999999999E-3</v>
      </c>
      <c r="O1044">
        <v>6.8999999999999999E-3</v>
      </c>
      <c r="P1044">
        <v>7.1000000000000004E-3</v>
      </c>
      <c r="Q1044">
        <v>7.1000000000000004E-3</v>
      </c>
      <c r="R1044">
        <v>7.1000000000000004E-3</v>
      </c>
      <c r="S1044">
        <v>6.8999999999999999E-3</v>
      </c>
      <c r="T1044">
        <v>7.0000000000000001E-3</v>
      </c>
      <c r="U1044">
        <v>7.0000000000000001E-3</v>
      </c>
      <c r="V1044">
        <v>7.1999999999999998E-3</v>
      </c>
      <c r="W1044">
        <v>7.1999999999999998E-3</v>
      </c>
      <c r="X1044">
        <v>7.1999999999999998E-3</v>
      </c>
      <c r="Y1044">
        <v>7.3000000000000001E-3</v>
      </c>
    </row>
    <row r="1045" spans="1:25" hidden="1">
      <c r="A1045" t="s">
        <v>18807</v>
      </c>
      <c r="B1045" t="s">
        <v>746</v>
      </c>
      <c r="C1045" t="s">
        <v>729</v>
      </c>
      <c r="D1045" t="s">
        <v>671</v>
      </c>
      <c r="E1045" t="s">
        <v>642</v>
      </c>
      <c r="F1045" t="s">
        <v>598</v>
      </c>
      <c r="G1045" t="s">
        <v>599</v>
      </c>
      <c r="H1045" t="s">
        <v>600</v>
      </c>
      <c r="I1045" t="s">
        <v>601</v>
      </c>
      <c r="J1045">
        <v>1E-4</v>
      </c>
      <c r="K1045">
        <v>1E-4</v>
      </c>
      <c r="L1045">
        <v>1E-4</v>
      </c>
      <c r="M1045">
        <v>1E-4</v>
      </c>
      <c r="N1045">
        <v>1E-4</v>
      </c>
      <c r="O1045">
        <v>1E-4</v>
      </c>
      <c r="P1045">
        <v>1E-4</v>
      </c>
      <c r="Q1045">
        <v>1E-4</v>
      </c>
      <c r="R1045">
        <v>1E-4</v>
      </c>
      <c r="S1045">
        <v>1E-4</v>
      </c>
      <c r="T1045">
        <v>1E-4</v>
      </c>
      <c r="U1045">
        <v>1E-4</v>
      </c>
      <c r="V1045">
        <v>1E-4</v>
      </c>
      <c r="W1045">
        <v>1E-4</v>
      </c>
      <c r="X1045">
        <v>1E-4</v>
      </c>
      <c r="Y1045">
        <v>1E-4</v>
      </c>
    </row>
    <row r="1046" spans="1:25" hidden="1">
      <c r="A1046" t="s">
        <v>18807</v>
      </c>
      <c r="B1046" t="s">
        <v>747</v>
      </c>
      <c r="C1046" t="s">
        <v>729</v>
      </c>
      <c r="D1046" t="s">
        <v>671</v>
      </c>
      <c r="E1046" t="s">
        <v>605</v>
      </c>
      <c r="F1046" t="s">
        <v>598</v>
      </c>
      <c r="G1046" t="s">
        <v>599</v>
      </c>
      <c r="H1046" t="s">
        <v>600</v>
      </c>
      <c r="I1046" t="s">
        <v>601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</row>
    <row r="1047" spans="1:25" hidden="1">
      <c r="A1047" t="s">
        <v>18807</v>
      </c>
      <c r="B1047" t="s">
        <v>748</v>
      </c>
      <c r="C1047" t="s">
        <v>729</v>
      </c>
      <c r="D1047" t="s">
        <v>671</v>
      </c>
      <c r="E1047" t="s">
        <v>619</v>
      </c>
      <c r="F1047" t="s">
        <v>598</v>
      </c>
      <c r="G1047" t="s">
        <v>599</v>
      </c>
      <c r="H1047" t="s">
        <v>600</v>
      </c>
      <c r="I1047" t="s">
        <v>601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</row>
    <row r="1048" spans="1:25" hidden="1">
      <c r="A1048" t="s">
        <v>18807</v>
      </c>
      <c r="B1048" t="s">
        <v>749</v>
      </c>
      <c r="C1048" t="s">
        <v>729</v>
      </c>
      <c r="D1048" t="s">
        <v>671</v>
      </c>
      <c r="E1048" t="s">
        <v>750</v>
      </c>
      <c r="F1048" t="s">
        <v>598</v>
      </c>
      <c r="G1048" t="s">
        <v>599</v>
      </c>
      <c r="H1048" t="s">
        <v>600</v>
      </c>
      <c r="I1048" t="s">
        <v>601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hidden="1">
      <c r="A1049" t="s">
        <v>18807</v>
      </c>
      <c r="B1049" t="s">
        <v>752</v>
      </c>
      <c r="C1049" t="s">
        <v>729</v>
      </c>
      <c r="D1049" t="s">
        <v>753</v>
      </c>
      <c r="E1049" t="s">
        <v>597</v>
      </c>
      <c r="F1049" t="s">
        <v>598</v>
      </c>
      <c r="G1049" t="s">
        <v>599</v>
      </c>
      <c r="H1049" t="s">
        <v>600</v>
      </c>
      <c r="I1049" t="s">
        <v>601</v>
      </c>
      <c r="J1049">
        <v>3.5999999999999999E-3</v>
      </c>
      <c r="K1049">
        <v>3.5999999999999999E-3</v>
      </c>
      <c r="L1049">
        <v>3.5999999999999999E-3</v>
      </c>
      <c r="M1049">
        <v>3.5999999999999999E-3</v>
      </c>
      <c r="N1049">
        <v>3.5999999999999999E-3</v>
      </c>
      <c r="O1049">
        <v>3.5999999999999999E-3</v>
      </c>
      <c r="P1049">
        <v>3.5999999999999999E-3</v>
      </c>
      <c r="Q1049">
        <v>3.5999999999999999E-3</v>
      </c>
      <c r="R1049">
        <v>3.5999999999999999E-3</v>
      </c>
      <c r="S1049">
        <v>3.5999999999999999E-3</v>
      </c>
      <c r="T1049">
        <v>3.5999999999999999E-3</v>
      </c>
      <c r="U1049">
        <v>3.5999999999999999E-3</v>
      </c>
      <c r="V1049">
        <v>3.5999999999999999E-3</v>
      </c>
      <c r="W1049">
        <v>3.5999999999999999E-3</v>
      </c>
      <c r="X1049">
        <v>3.5999999999999999E-3</v>
      </c>
      <c r="Y1049">
        <v>3.5999999999999999E-3</v>
      </c>
    </row>
    <row r="1050" spans="1:25" hidden="1">
      <c r="A1050" t="s">
        <v>18807</v>
      </c>
      <c r="B1050" t="s">
        <v>754</v>
      </c>
      <c r="C1050" t="s">
        <v>729</v>
      </c>
      <c r="D1050" t="s">
        <v>753</v>
      </c>
      <c r="E1050" t="s">
        <v>642</v>
      </c>
      <c r="F1050" t="s">
        <v>598</v>
      </c>
      <c r="G1050" t="s">
        <v>599</v>
      </c>
      <c r="H1050" t="s">
        <v>600</v>
      </c>
      <c r="I1050" t="s">
        <v>601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5" hidden="1">
      <c r="A1051" t="s">
        <v>18807</v>
      </c>
      <c r="B1051" t="s">
        <v>755</v>
      </c>
      <c r="C1051" t="s">
        <v>729</v>
      </c>
      <c r="D1051" t="s">
        <v>756</v>
      </c>
      <c r="E1051" t="s">
        <v>597</v>
      </c>
      <c r="F1051" t="s">
        <v>598</v>
      </c>
      <c r="G1051" t="s">
        <v>599</v>
      </c>
      <c r="H1051" t="s">
        <v>600</v>
      </c>
      <c r="I1051" t="s">
        <v>601</v>
      </c>
      <c r="J1051">
        <v>2.0000000000000001E-4</v>
      </c>
      <c r="K1051">
        <v>2.0000000000000001E-4</v>
      </c>
      <c r="L1051">
        <v>2.0000000000000001E-4</v>
      </c>
      <c r="M1051">
        <v>2.0000000000000001E-4</v>
      </c>
      <c r="N1051">
        <v>2.0000000000000001E-4</v>
      </c>
      <c r="O1051">
        <v>2.0000000000000001E-4</v>
      </c>
      <c r="P1051">
        <v>2.0000000000000001E-4</v>
      </c>
      <c r="Q1051">
        <v>2.0000000000000001E-4</v>
      </c>
      <c r="R1051">
        <v>2.0000000000000001E-4</v>
      </c>
      <c r="S1051">
        <v>2.0000000000000001E-4</v>
      </c>
      <c r="T1051">
        <v>2.0000000000000001E-4</v>
      </c>
      <c r="U1051">
        <v>2.0000000000000001E-4</v>
      </c>
      <c r="V1051">
        <v>2.0000000000000001E-4</v>
      </c>
      <c r="W1051">
        <v>2.0000000000000001E-4</v>
      </c>
      <c r="X1051">
        <v>2.0000000000000001E-4</v>
      </c>
      <c r="Y1051">
        <v>2.0000000000000001E-4</v>
      </c>
    </row>
    <row r="1052" spans="1:25" hidden="1">
      <c r="A1052" t="s">
        <v>18807</v>
      </c>
      <c r="B1052" t="s">
        <v>758</v>
      </c>
      <c r="C1052" t="s">
        <v>729</v>
      </c>
      <c r="D1052" t="s">
        <v>756</v>
      </c>
      <c r="E1052" t="s">
        <v>656</v>
      </c>
      <c r="F1052" t="s">
        <v>598</v>
      </c>
      <c r="G1052" t="s">
        <v>599</v>
      </c>
      <c r="H1052" t="s">
        <v>600</v>
      </c>
      <c r="I1052" t="s">
        <v>601</v>
      </c>
      <c r="J1052">
        <v>5.9999999999999995E-4</v>
      </c>
      <c r="K1052">
        <v>6.9999999999999999E-4</v>
      </c>
      <c r="L1052">
        <v>6.9999999999999999E-4</v>
      </c>
      <c r="M1052">
        <v>6.9999999999999999E-4</v>
      </c>
      <c r="N1052">
        <v>6.9999999999999999E-4</v>
      </c>
      <c r="O1052">
        <v>6.9999999999999999E-4</v>
      </c>
      <c r="P1052">
        <v>6.9999999999999999E-4</v>
      </c>
      <c r="Q1052">
        <v>8.0000000000000004E-4</v>
      </c>
      <c r="R1052">
        <v>8.0000000000000004E-4</v>
      </c>
      <c r="S1052">
        <v>8.0000000000000004E-4</v>
      </c>
      <c r="T1052">
        <v>8.0000000000000004E-4</v>
      </c>
      <c r="U1052">
        <v>8.0000000000000004E-4</v>
      </c>
      <c r="V1052">
        <v>8.9999999999999998E-4</v>
      </c>
      <c r="W1052">
        <v>8.9999999999999998E-4</v>
      </c>
      <c r="X1052">
        <v>8.9999999999999998E-4</v>
      </c>
      <c r="Y1052">
        <v>8.9999999999999998E-4</v>
      </c>
    </row>
    <row r="1053" spans="1:25" hidden="1">
      <c r="A1053" t="s">
        <v>18807</v>
      </c>
      <c r="B1053" t="s">
        <v>760</v>
      </c>
      <c r="C1053" t="s">
        <v>729</v>
      </c>
      <c r="D1053" t="s">
        <v>621</v>
      </c>
      <c r="E1053" t="s">
        <v>649</v>
      </c>
      <c r="F1053" t="s">
        <v>598</v>
      </c>
      <c r="G1053" t="s">
        <v>599</v>
      </c>
      <c r="H1053" t="s">
        <v>600</v>
      </c>
      <c r="I1053" t="s">
        <v>601</v>
      </c>
      <c r="J1053">
        <v>1.8E-3</v>
      </c>
      <c r="K1053">
        <v>1.8E-3</v>
      </c>
      <c r="L1053">
        <v>1.8E-3</v>
      </c>
      <c r="M1053">
        <v>1.8E-3</v>
      </c>
      <c r="N1053">
        <v>1.8E-3</v>
      </c>
      <c r="O1053">
        <v>1.8E-3</v>
      </c>
      <c r="P1053">
        <v>1.8E-3</v>
      </c>
      <c r="Q1053">
        <v>1.8E-3</v>
      </c>
      <c r="R1053">
        <v>1.8E-3</v>
      </c>
      <c r="S1053">
        <v>1.8E-3</v>
      </c>
      <c r="T1053">
        <v>1.8E-3</v>
      </c>
      <c r="U1053">
        <v>1.8E-3</v>
      </c>
      <c r="V1053">
        <v>1.8E-3</v>
      </c>
      <c r="W1053">
        <v>1.8E-3</v>
      </c>
      <c r="X1053">
        <v>1.8E-3</v>
      </c>
      <c r="Y1053">
        <v>1.8E-3</v>
      </c>
    </row>
    <row r="1054" spans="1:25" hidden="1">
      <c r="A1054" t="s">
        <v>18807</v>
      </c>
      <c r="B1054" t="s">
        <v>761</v>
      </c>
      <c r="C1054" t="s">
        <v>729</v>
      </c>
      <c r="D1054" t="s">
        <v>621</v>
      </c>
      <c r="E1054" t="s">
        <v>597</v>
      </c>
      <c r="F1054" t="s">
        <v>598</v>
      </c>
      <c r="G1054" t="s">
        <v>599</v>
      </c>
      <c r="H1054" t="s">
        <v>600</v>
      </c>
      <c r="I1054" t="s">
        <v>601</v>
      </c>
      <c r="J1054">
        <v>4.8599999999999997E-2</v>
      </c>
      <c r="K1054">
        <v>4.7800000000000002E-2</v>
      </c>
      <c r="L1054">
        <v>4.6800000000000001E-2</v>
      </c>
      <c r="M1054">
        <v>4.7300000000000002E-2</v>
      </c>
      <c r="N1054">
        <v>5.2200000000000003E-2</v>
      </c>
      <c r="O1054">
        <v>5.1900000000000002E-2</v>
      </c>
      <c r="P1054">
        <v>5.2200000000000003E-2</v>
      </c>
      <c r="Q1054">
        <v>5.2200000000000003E-2</v>
      </c>
      <c r="R1054">
        <v>5.1900000000000002E-2</v>
      </c>
      <c r="S1054">
        <v>5.16E-2</v>
      </c>
      <c r="T1054">
        <v>5.2299999999999999E-2</v>
      </c>
      <c r="U1054">
        <v>5.2999999999999999E-2</v>
      </c>
      <c r="V1054">
        <v>5.3999999999999999E-2</v>
      </c>
      <c r="W1054">
        <v>5.5100000000000003E-2</v>
      </c>
      <c r="X1054">
        <v>5.57E-2</v>
      </c>
      <c r="Y1054">
        <v>5.6899999999999999E-2</v>
      </c>
    </row>
    <row r="1055" spans="1:25" hidden="1">
      <c r="A1055" t="s">
        <v>18807</v>
      </c>
      <c r="B1055" t="s">
        <v>762</v>
      </c>
      <c r="C1055" t="s">
        <v>729</v>
      </c>
      <c r="D1055" t="s">
        <v>621</v>
      </c>
      <c r="E1055" t="s">
        <v>642</v>
      </c>
      <c r="F1055" t="s">
        <v>598</v>
      </c>
      <c r="G1055" t="s">
        <v>599</v>
      </c>
      <c r="H1055" t="s">
        <v>600</v>
      </c>
      <c r="I1055" t="s">
        <v>601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</row>
    <row r="1056" spans="1:25" hidden="1">
      <c r="A1056" t="s">
        <v>18807</v>
      </c>
      <c r="B1056" t="s">
        <v>764</v>
      </c>
      <c r="C1056" t="s">
        <v>729</v>
      </c>
      <c r="D1056" t="s">
        <v>621</v>
      </c>
      <c r="E1056" t="s">
        <v>603</v>
      </c>
      <c r="F1056" t="s">
        <v>598</v>
      </c>
      <c r="G1056" t="s">
        <v>599</v>
      </c>
      <c r="H1056" t="s">
        <v>600</v>
      </c>
      <c r="I1056" t="s">
        <v>601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hidden="1">
      <c r="A1057" t="s">
        <v>18807</v>
      </c>
      <c r="B1057" t="s">
        <v>765</v>
      </c>
      <c r="C1057" t="s">
        <v>729</v>
      </c>
      <c r="D1057" t="s">
        <v>621</v>
      </c>
      <c r="E1057" t="s">
        <v>605</v>
      </c>
      <c r="F1057" t="s">
        <v>598</v>
      </c>
      <c r="G1057" t="s">
        <v>599</v>
      </c>
      <c r="H1057" t="s">
        <v>600</v>
      </c>
      <c r="I1057" t="s">
        <v>601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hidden="1">
      <c r="A1058" t="s">
        <v>18807</v>
      </c>
      <c r="B1058" t="s">
        <v>769</v>
      </c>
      <c r="C1058" t="s">
        <v>729</v>
      </c>
      <c r="D1058" t="s">
        <v>621</v>
      </c>
      <c r="E1058" t="s">
        <v>626</v>
      </c>
      <c r="F1058" t="s">
        <v>598</v>
      </c>
      <c r="G1058" t="s">
        <v>599</v>
      </c>
      <c r="H1058" t="s">
        <v>600</v>
      </c>
      <c r="I1058" t="s">
        <v>601</v>
      </c>
      <c r="J1058">
        <v>4.0000000000000002E-4</v>
      </c>
      <c r="K1058">
        <v>4.0000000000000002E-4</v>
      </c>
      <c r="L1058">
        <v>4.0000000000000002E-4</v>
      </c>
      <c r="M1058">
        <v>4.0000000000000002E-4</v>
      </c>
      <c r="N1058">
        <v>4.0000000000000002E-4</v>
      </c>
      <c r="O1058">
        <v>4.0000000000000002E-4</v>
      </c>
      <c r="P1058">
        <v>4.0000000000000002E-4</v>
      </c>
      <c r="Q1058">
        <v>4.0000000000000002E-4</v>
      </c>
      <c r="R1058">
        <v>4.0000000000000002E-4</v>
      </c>
      <c r="S1058">
        <v>4.0000000000000002E-4</v>
      </c>
      <c r="T1058">
        <v>4.0000000000000002E-4</v>
      </c>
      <c r="U1058">
        <v>4.0000000000000002E-4</v>
      </c>
      <c r="V1058">
        <v>4.0000000000000002E-4</v>
      </c>
      <c r="W1058">
        <v>4.0000000000000002E-4</v>
      </c>
      <c r="X1058">
        <v>4.0000000000000002E-4</v>
      </c>
      <c r="Y1058">
        <v>4.0000000000000002E-4</v>
      </c>
    </row>
    <row r="1059" spans="1:25" hidden="1">
      <c r="A1059" t="s">
        <v>18807</v>
      </c>
      <c r="B1059" t="s">
        <v>770</v>
      </c>
      <c r="C1059" t="s">
        <v>729</v>
      </c>
      <c r="D1059" t="s">
        <v>621</v>
      </c>
      <c r="E1059" t="s">
        <v>628</v>
      </c>
      <c r="F1059" t="s">
        <v>598</v>
      </c>
      <c r="G1059" t="s">
        <v>599</v>
      </c>
      <c r="H1059" t="s">
        <v>600</v>
      </c>
      <c r="I1059" t="s">
        <v>601</v>
      </c>
      <c r="J1059">
        <v>1.24E-2</v>
      </c>
      <c r="K1059">
        <v>1.24E-2</v>
      </c>
      <c r="L1059">
        <v>1.24E-2</v>
      </c>
      <c r="M1059">
        <v>1.24E-2</v>
      </c>
      <c r="N1059">
        <v>1.24E-2</v>
      </c>
      <c r="O1059">
        <v>1.2500000000000001E-2</v>
      </c>
      <c r="P1059">
        <v>1.2500000000000001E-2</v>
      </c>
      <c r="Q1059">
        <v>1.2500000000000001E-2</v>
      </c>
      <c r="R1059">
        <v>1.2500000000000001E-2</v>
      </c>
      <c r="S1059">
        <v>1.2500000000000001E-2</v>
      </c>
      <c r="T1059">
        <v>1.2500000000000001E-2</v>
      </c>
      <c r="U1059">
        <v>1.2500000000000001E-2</v>
      </c>
      <c r="V1059">
        <v>1.2500000000000001E-2</v>
      </c>
      <c r="W1059">
        <v>1.2500000000000001E-2</v>
      </c>
      <c r="X1059">
        <v>1.2500000000000001E-2</v>
      </c>
      <c r="Y1059">
        <v>1.2500000000000001E-2</v>
      </c>
    </row>
    <row r="1060" spans="1:25" hidden="1">
      <c r="A1060" t="s">
        <v>18807</v>
      </c>
      <c r="B1060" t="s">
        <v>785</v>
      </c>
      <c r="C1060" t="s">
        <v>729</v>
      </c>
      <c r="D1060" t="s">
        <v>640</v>
      </c>
      <c r="E1060" t="s">
        <v>597</v>
      </c>
      <c r="F1060" t="s">
        <v>598</v>
      </c>
      <c r="G1060" t="s">
        <v>599</v>
      </c>
      <c r="H1060" t="s">
        <v>600</v>
      </c>
      <c r="I1060" t="s">
        <v>601</v>
      </c>
      <c r="J1060">
        <v>5.0599999999999999E-2</v>
      </c>
      <c r="K1060">
        <v>4.9799999999999997E-2</v>
      </c>
      <c r="L1060">
        <v>4.8800000000000003E-2</v>
      </c>
      <c r="M1060">
        <v>4.9200000000000001E-2</v>
      </c>
      <c r="N1060">
        <v>5.4699999999999999E-2</v>
      </c>
      <c r="O1060">
        <v>5.45E-2</v>
      </c>
      <c r="P1060">
        <v>5.4800000000000001E-2</v>
      </c>
      <c r="Q1060">
        <v>5.4800000000000001E-2</v>
      </c>
      <c r="R1060">
        <v>5.4699999999999999E-2</v>
      </c>
      <c r="S1060">
        <v>5.4300000000000001E-2</v>
      </c>
      <c r="T1060">
        <v>5.5100000000000003E-2</v>
      </c>
      <c r="U1060">
        <v>5.5800000000000002E-2</v>
      </c>
      <c r="V1060">
        <v>5.6899999999999999E-2</v>
      </c>
      <c r="W1060">
        <v>5.8099999999999999E-2</v>
      </c>
      <c r="X1060">
        <v>5.8799999999999998E-2</v>
      </c>
      <c r="Y1060">
        <v>0.06</v>
      </c>
    </row>
    <row r="1061" spans="1:25" hidden="1">
      <c r="A1061" t="s">
        <v>18807</v>
      </c>
      <c r="B1061" t="s">
        <v>786</v>
      </c>
      <c r="C1061" t="s">
        <v>729</v>
      </c>
      <c r="D1061" t="s">
        <v>640</v>
      </c>
      <c r="E1061" t="s">
        <v>642</v>
      </c>
      <c r="F1061" t="s">
        <v>598</v>
      </c>
      <c r="G1061" t="s">
        <v>599</v>
      </c>
      <c r="H1061" t="s">
        <v>600</v>
      </c>
      <c r="I1061" t="s">
        <v>601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</row>
    <row r="1062" spans="1:25" hidden="1">
      <c r="A1062" t="s">
        <v>18807</v>
      </c>
      <c r="B1062" t="s">
        <v>795</v>
      </c>
      <c r="C1062" t="s">
        <v>729</v>
      </c>
      <c r="D1062" t="s">
        <v>648</v>
      </c>
      <c r="E1062" t="s">
        <v>597</v>
      </c>
      <c r="F1062" t="s">
        <v>598</v>
      </c>
      <c r="G1062" t="s">
        <v>599</v>
      </c>
      <c r="H1062" t="s">
        <v>600</v>
      </c>
      <c r="I1062" t="s">
        <v>601</v>
      </c>
      <c r="J1062">
        <v>0.19</v>
      </c>
      <c r="K1062">
        <v>0.187</v>
      </c>
      <c r="L1062">
        <v>0.1847</v>
      </c>
      <c r="M1062">
        <v>0.18629999999999999</v>
      </c>
      <c r="N1062">
        <v>0.18970000000000001</v>
      </c>
      <c r="O1062">
        <v>0.189</v>
      </c>
      <c r="P1062">
        <v>0.1898</v>
      </c>
      <c r="Q1062">
        <v>0.19109999999999999</v>
      </c>
      <c r="R1062">
        <v>0.19059999999999999</v>
      </c>
      <c r="S1062">
        <v>0.1895</v>
      </c>
      <c r="T1062">
        <v>0.1903</v>
      </c>
      <c r="U1062">
        <v>0.1915</v>
      </c>
      <c r="V1062">
        <v>0.19350000000000001</v>
      </c>
      <c r="W1062">
        <v>0.1958</v>
      </c>
      <c r="X1062">
        <v>0.19639999999999999</v>
      </c>
      <c r="Y1062">
        <v>0.1986</v>
      </c>
    </row>
    <row r="1063" spans="1:25" hidden="1">
      <c r="A1063" t="s">
        <v>18807</v>
      </c>
      <c r="B1063" t="s">
        <v>796</v>
      </c>
      <c r="C1063" t="s">
        <v>729</v>
      </c>
      <c r="D1063" t="s">
        <v>648</v>
      </c>
      <c r="E1063" t="s">
        <v>642</v>
      </c>
      <c r="F1063" t="s">
        <v>598</v>
      </c>
      <c r="G1063" t="s">
        <v>599</v>
      </c>
      <c r="H1063" t="s">
        <v>600</v>
      </c>
      <c r="I1063" t="s">
        <v>601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 hidden="1">
      <c r="A1064" t="s">
        <v>18807</v>
      </c>
      <c r="B1064" t="s">
        <v>798</v>
      </c>
      <c r="C1064" t="s">
        <v>729</v>
      </c>
      <c r="D1064" t="s">
        <v>648</v>
      </c>
      <c r="E1064" t="s">
        <v>799</v>
      </c>
      <c r="F1064" t="s">
        <v>598</v>
      </c>
      <c r="G1064" t="s">
        <v>599</v>
      </c>
      <c r="H1064" t="s">
        <v>600</v>
      </c>
      <c r="I1064" t="s">
        <v>601</v>
      </c>
      <c r="J1064">
        <v>1.84E-2</v>
      </c>
      <c r="K1064">
        <v>1.84E-2</v>
      </c>
      <c r="L1064">
        <v>1.84E-2</v>
      </c>
      <c r="M1064">
        <v>1.84E-2</v>
      </c>
      <c r="N1064">
        <v>1.84E-2</v>
      </c>
      <c r="O1064">
        <v>1.84E-2</v>
      </c>
      <c r="P1064">
        <v>1.84E-2</v>
      </c>
      <c r="Q1064">
        <v>1.84E-2</v>
      </c>
      <c r="R1064">
        <v>1.84E-2</v>
      </c>
      <c r="S1064">
        <v>1.84E-2</v>
      </c>
      <c r="T1064">
        <v>1.84E-2</v>
      </c>
      <c r="U1064">
        <v>1.84E-2</v>
      </c>
      <c r="V1064">
        <v>1.84E-2</v>
      </c>
      <c r="W1064">
        <v>1.84E-2</v>
      </c>
      <c r="X1064">
        <v>1.84E-2</v>
      </c>
      <c r="Y1064">
        <v>1.84E-2</v>
      </c>
    </row>
    <row r="1065" spans="1:25" hidden="1">
      <c r="A1065" t="s">
        <v>18807</v>
      </c>
      <c r="B1065" t="s">
        <v>800</v>
      </c>
      <c r="C1065" t="s">
        <v>729</v>
      </c>
      <c r="D1065" t="s">
        <v>648</v>
      </c>
      <c r="E1065" t="s">
        <v>688</v>
      </c>
      <c r="F1065" t="s">
        <v>598</v>
      </c>
      <c r="G1065" t="s">
        <v>599</v>
      </c>
      <c r="H1065" t="s">
        <v>600</v>
      </c>
      <c r="I1065" t="s">
        <v>601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hidden="1">
      <c r="A1066" t="s">
        <v>18807</v>
      </c>
      <c r="B1066" t="s">
        <v>801</v>
      </c>
      <c r="C1066" t="s">
        <v>729</v>
      </c>
      <c r="D1066" t="s">
        <v>648</v>
      </c>
      <c r="E1066" t="s">
        <v>619</v>
      </c>
      <c r="F1066" t="s">
        <v>598</v>
      </c>
      <c r="G1066" t="s">
        <v>599</v>
      </c>
      <c r="H1066" t="s">
        <v>600</v>
      </c>
      <c r="I1066" t="s">
        <v>601</v>
      </c>
      <c r="J1066">
        <v>1.12E-2</v>
      </c>
      <c r="K1066">
        <v>1.2200000000000001E-2</v>
      </c>
      <c r="L1066">
        <v>1.2200000000000001E-2</v>
      </c>
      <c r="M1066">
        <v>1.2200000000000001E-2</v>
      </c>
      <c r="N1066">
        <v>1.2200000000000001E-2</v>
      </c>
      <c r="O1066">
        <v>1.2200000000000001E-2</v>
      </c>
      <c r="P1066">
        <v>1.2200000000000001E-2</v>
      </c>
      <c r="Q1066">
        <v>1.2200000000000001E-2</v>
      </c>
      <c r="R1066">
        <v>1.2200000000000001E-2</v>
      </c>
      <c r="S1066">
        <v>1.2200000000000001E-2</v>
      </c>
      <c r="T1066">
        <v>1.2200000000000001E-2</v>
      </c>
      <c r="U1066">
        <v>1.2200000000000001E-2</v>
      </c>
      <c r="V1066">
        <v>1.2200000000000001E-2</v>
      </c>
      <c r="W1066">
        <v>1.12E-2</v>
      </c>
      <c r="X1066">
        <v>1.12E-2</v>
      </c>
      <c r="Y1066">
        <v>1.12E-2</v>
      </c>
    </row>
    <row r="1067" spans="1:25" hidden="1">
      <c r="A1067" t="s">
        <v>18807</v>
      </c>
      <c r="B1067" t="s">
        <v>802</v>
      </c>
      <c r="C1067" t="s">
        <v>729</v>
      </c>
      <c r="D1067" t="s">
        <v>648</v>
      </c>
      <c r="E1067" t="s">
        <v>676</v>
      </c>
      <c r="F1067" t="s">
        <v>598</v>
      </c>
      <c r="G1067" t="s">
        <v>599</v>
      </c>
      <c r="H1067" t="s">
        <v>600</v>
      </c>
      <c r="I1067" t="s">
        <v>601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 hidden="1">
      <c r="A1068" t="s">
        <v>18807</v>
      </c>
      <c r="B1068" t="s">
        <v>803</v>
      </c>
      <c r="C1068" t="s">
        <v>804</v>
      </c>
      <c r="D1068" t="s">
        <v>596</v>
      </c>
      <c r="E1068" t="s">
        <v>597</v>
      </c>
      <c r="F1068" t="s">
        <v>598</v>
      </c>
      <c r="G1068" t="s">
        <v>599</v>
      </c>
      <c r="H1068" t="s">
        <v>600</v>
      </c>
      <c r="I1068" t="s">
        <v>601</v>
      </c>
      <c r="J1068">
        <v>4.4900000000000002E-2</v>
      </c>
      <c r="K1068">
        <v>4.4400000000000002E-2</v>
      </c>
      <c r="L1068">
        <v>4.24E-2</v>
      </c>
      <c r="M1068">
        <v>4.2599999999999999E-2</v>
      </c>
      <c r="N1068">
        <v>4.2500000000000003E-2</v>
      </c>
      <c r="O1068">
        <v>4.2299999999999997E-2</v>
      </c>
      <c r="P1068">
        <v>4.1099999999999998E-2</v>
      </c>
      <c r="Q1068">
        <v>4.0500000000000001E-2</v>
      </c>
      <c r="R1068">
        <v>0.04</v>
      </c>
      <c r="S1068">
        <v>3.9199999999999999E-2</v>
      </c>
      <c r="T1068">
        <v>3.9E-2</v>
      </c>
      <c r="U1068">
        <v>3.8600000000000002E-2</v>
      </c>
      <c r="V1068">
        <v>3.85E-2</v>
      </c>
      <c r="W1068">
        <v>3.85E-2</v>
      </c>
      <c r="X1068">
        <v>3.78E-2</v>
      </c>
      <c r="Y1068">
        <v>3.78E-2</v>
      </c>
    </row>
    <row r="1069" spans="1:25" hidden="1">
      <c r="A1069" t="s">
        <v>18807</v>
      </c>
      <c r="B1069" t="s">
        <v>805</v>
      </c>
      <c r="C1069" t="s">
        <v>804</v>
      </c>
      <c r="D1069" t="s">
        <v>596</v>
      </c>
      <c r="E1069" t="s">
        <v>603</v>
      </c>
      <c r="F1069" t="s">
        <v>598</v>
      </c>
      <c r="G1069" t="s">
        <v>599</v>
      </c>
      <c r="H1069" t="s">
        <v>600</v>
      </c>
      <c r="I1069" t="s">
        <v>601</v>
      </c>
      <c r="J1069">
        <v>6.9999999999999999E-4</v>
      </c>
      <c r="K1069">
        <v>6.9999999999999999E-4</v>
      </c>
      <c r="L1069">
        <v>6.9999999999999999E-4</v>
      </c>
      <c r="M1069">
        <v>6.9999999999999999E-4</v>
      </c>
      <c r="N1069">
        <v>6.9999999999999999E-4</v>
      </c>
      <c r="O1069">
        <v>6.9999999999999999E-4</v>
      </c>
      <c r="P1069">
        <v>6.9999999999999999E-4</v>
      </c>
      <c r="Q1069">
        <v>6.9999999999999999E-4</v>
      </c>
      <c r="R1069">
        <v>6.9999999999999999E-4</v>
      </c>
      <c r="S1069">
        <v>6.9999999999999999E-4</v>
      </c>
      <c r="T1069">
        <v>6.9999999999999999E-4</v>
      </c>
      <c r="U1069">
        <v>6.9999999999999999E-4</v>
      </c>
      <c r="V1069">
        <v>6.9999999999999999E-4</v>
      </c>
      <c r="W1069">
        <v>6.9999999999999999E-4</v>
      </c>
      <c r="X1069">
        <v>6.9999999999999999E-4</v>
      </c>
      <c r="Y1069">
        <v>6.9999999999999999E-4</v>
      </c>
    </row>
    <row r="1070" spans="1:25" hidden="1">
      <c r="A1070" t="s">
        <v>18807</v>
      </c>
      <c r="B1070" t="s">
        <v>812</v>
      </c>
      <c r="C1070" t="s">
        <v>804</v>
      </c>
      <c r="D1070" t="s">
        <v>596</v>
      </c>
      <c r="E1070" t="s">
        <v>619</v>
      </c>
      <c r="F1070" t="s">
        <v>598</v>
      </c>
      <c r="G1070" t="s">
        <v>599</v>
      </c>
      <c r="H1070" t="s">
        <v>600</v>
      </c>
      <c r="I1070" t="s">
        <v>601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hidden="1">
      <c r="A1071" t="s">
        <v>18807</v>
      </c>
      <c r="B1071" t="s">
        <v>815</v>
      </c>
      <c r="C1071" t="s">
        <v>804</v>
      </c>
      <c r="D1071" t="s">
        <v>671</v>
      </c>
      <c r="E1071" t="s">
        <v>597</v>
      </c>
      <c r="F1071" t="s">
        <v>598</v>
      </c>
      <c r="G1071" t="s">
        <v>599</v>
      </c>
      <c r="H1071" t="s">
        <v>600</v>
      </c>
      <c r="I1071" t="s">
        <v>601</v>
      </c>
      <c r="J1071">
        <v>8.5000000000000006E-3</v>
      </c>
      <c r="K1071">
        <v>8.3999999999999995E-3</v>
      </c>
      <c r="L1071">
        <v>8.3000000000000001E-3</v>
      </c>
      <c r="M1071">
        <v>8.0000000000000002E-3</v>
      </c>
      <c r="N1071">
        <v>8.0000000000000002E-3</v>
      </c>
      <c r="O1071">
        <v>7.9000000000000008E-3</v>
      </c>
      <c r="P1071">
        <v>7.9000000000000008E-3</v>
      </c>
      <c r="Q1071">
        <v>7.7999999999999996E-3</v>
      </c>
      <c r="R1071">
        <v>7.4999999999999997E-3</v>
      </c>
      <c r="S1071">
        <v>7.4000000000000003E-3</v>
      </c>
      <c r="T1071">
        <v>7.3000000000000001E-3</v>
      </c>
      <c r="U1071">
        <v>7.3000000000000001E-3</v>
      </c>
      <c r="V1071">
        <v>7.3000000000000001E-3</v>
      </c>
      <c r="W1071">
        <v>7.1999999999999998E-3</v>
      </c>
      <c r="X1071">
        <v>7.1999999999999998E-3</v>
      </c>
      <c r="Y1071">
        <v>7.0000000000000001E-3</v>
      </c>
    </row>
    <row r="1072" spans="1:25" hidden="1">
      <c r="A1072" t="s">
        <v>18807</v>
      </c>
      <c r="B1072" t="s">
        <v>816</v>
      </c>
      <c r="C1072" t="s">
        <v>804</v>
      </c>
      <c r="D1072" t="s">
        <v>671</v>
      </c>
      <c r="E1072" t="s">
        <v>642</v>
      </c>
      <c r="F1072" t="s">
        <v>598</v>
      </c>
      <c r="G1072" t="s">
        <v>599</v>
      </c>
      <c r="H1072" t="s">
        <v>600</v>
      </c>
      <c r="I1072" t="s">
        <v>601</v>
      </c>
      <c r="J1072">
        <v>3.5000000000000001E-3</v>
      </c>
      <c r="K1072">
        <v>3.5000000000000001E-3</v>
      </c>
      <c r="L1072">
        <v>3.5000000000000001E-3</v>
      </c>
      <c r="M1072">
        <v>3.5999999999999999E-3</v>
      </c>
      <c r="N1072">
        <v>3.5999999999999999E-3</v>
      </c>
      <c r="O1072">
        <v>3.5999999999999999E-3</v>
      </c>
      <c r="P1072">
        <v>3.5999999999999999E-3</v>
      </c>
      <c r="Q1072">
        <v>3.5999999999999999E-3</v>
      </c>
      <c r="R1072">
        <v>3.5000000000000001E-3</v>
      </c>
      <c r="S1072">
        <v>3.7000000000000002E-3</v>
      </c>
      <c r="T1072">
        <v>3.5999999999999999E-3</v>
      </c>
      <c r="U1072">
        <v>3.5999999999999999E-3</v>
      </c>
      <c r="V1072">
        <v>3.5999999999999999E-3</v>
      </c>
      <c r="W1072">
        <v>3.5999999999999999E-3</v>
      </c>
      <c r="X1072">
        <v>3.5999999999999999E-3</v>
      </c>
      <c r="Y1072">
        <v>3.5999999999999999E-3</v>
      </c>
    </row>
    <row r="1073" spans="1:25" hidden="1">
      <c r="A1073" t="s">
        <v>18807</v>
      </c>
      <c r="B1073" t="s">
        <v>817</v>
      </c>
      <c r="C1073" t="s">
        <v>804</v>
      </c>
      <c r="D1073" t="s">
        <v>671</v>
      </c>
      <c r="E1073" t="s">
        <v>750</v>
      </c>
      <c r="F1073" t="s">
        <v>598</v>
      </c>
      <c r="G1073" t="s">
        <v>599</v>
      </c>
      <c r="H1073" t="s">
        <v>600</v>
      </c>
      <c r="I1073" t="s">
        <v>601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 hidden="1">
      <c r="A1074" t="s">
        <v>18807</v>
      </c>
      <c r="B1074" t="s">
        <v>819</v>
      </c>
      <c r="C1074" t="s">
        <v>804</v>
      </c>
      <c r="D1074" t="s">
        <v>756</v>
      </c>
      <c r="E1074" t="s">
        <v>597</v>
      </c>
      <c r="F1074" t="s">
        <v>598</v>
      </c>
      <c r="G1074" t="s">
        <v>599</v>
      </c>
      <c r="H1074" t="s">
        <v>600</v>
      </c>
      <c r="I1074" t="s">
        <v>601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25" hidden="1">
      <c r="A1075" t="s">
        <v>18807</v>
      </c>
      <c r="B1075" t="s">
        <v>820</v>
      </c>
      <c r="C1075" t="s">
        <v>804</v>
      </c>
      <c r="D1075" t="s">
        <v>621</v>
      </c>
      <c r="E1075" t="s">
        <v>597</v>
      </c>
      <c r="F1075" t="s">
        <v>598</v>
      </c>
      <c r="G1075" t="s">
        <v>599</v>
      </c>
      <c r="H1075" t="s">
        <v>600</v>
      </c>
      <c r="I1075" t="s">
        <v>601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 hidden="1">
      <c r="A1076" t="s">
        <v>18807</v>
      </c>
      <c r="B1076" t="s">
        <v>825</v>
      </c>
      <c r="C1076" t="s">
        <v>804</v>
      </c>
      <c r="D1076" t="s">
        <v>621</v>
      </c>
      <c r="E1076" t="s">
        <v>628</v>
      </c>
      <c r="F1076" t="s">
        <v>598</v>
      </c>
      <c r="G1076" t="s">
        <v>599</v>
      </c>
      <c r="H1076" t="s">
        <v>600</v>
      </c>
      <c r="I1076" t="s">
        <v>601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hidden="1">
      <c r="A1077" t="s">
        <v>18807</v>
      </c>
      <c r="B1077" t="s">
        <v>826</v>
      </c>
      <c r="C1077" t="s">
        <v>804</v>
      </c>
      <c r="D1077" t="s">
        <v>621</v>
      </c>
      <c r="E1077" t="s">
        <v>638</v>
      </c>
      <c r="F1077" t="s">
        <v>598</v>
      </c>
      <c r="G1077" t="s">
        <v>599</v>
      </c>
      <c r="H1077" t="s">
        <v>600</v>
      </c>
      <c r="I1077" t="s">
        <v>601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 hidden="1">
      <c r="A1078" t="s">
        <v>18807</v>
      </c>
      <c r="B1078" t="s">
        <v>827</v>
      </c>
      <c r="C1078" t="s">
        <v>804</v>
      </c>
      <c r="D1078" t="s">
        <v>828</v>
      </c>
      <c r="E1078" t="s">
        <v>597</v>
      </c>
      <c r="F1078" t="s">
        <v>598</v>
      </c>
      <c r="G1078" t="s">
        <v>599</v>
      </c>
      <c r="H1078" t="s">
        <v>600</v>
      </c>
      <c r="I1078" t="s">
        <v>601</v>
      </c>
      <c r="J1078">
        <v>8.9999999999999998E-4</v>
      </c>
      <c r="K1078">
        <v>8.9999999999999998E-4</v>
      </c>
      <c r="L1078">
        <v>8.9999999999999998E-4</v>
      </c>
      <c r="M1078">
        <v>8.9999999999999998E-4</v>
      </c>
      <c r="N1078">
        <v>8.9999999999999998E-4</v>
      </c>
      <c r="O1078">
        <v>8.9999999999999998E-4</v>
      </c>
      <c r="P1078">
        <v>8.9999999999999998E-4</v>
      </c>
      <c r="Q1078">
        <v>8.9999999999999998E-4</v>
      </c>
      <c r="R1078">
        <v>8.9999999999999998E-4</v>
      </c>
      <c r="S1078">
        <v>8.9999999999999998E-4</v>
      </c>
      <c r="T1078">
        <v>8.9999999999999998E-4</v>
      </c>
      <c r="U1078">
        <v>8.9999999999999998E-4</v>
      </c>
      <c r="V1078">
        <v>8.9999999999999998E-4</v>
      </c>
      <c r="W1078">
        <v>8.9999999999999998E-4</v>
      </c>
      <c r="X1078">
        <v>8.9999999999999998E-4</v>
      </c>
      <c r="Y1078">
        <v>8.9999999999999998E-4</v>
      </c>
    </row>
    <row r="1079" spans="1:25" hidden="1">
      <c r="A1079" t="s">
        <v>18807</v>
      </c>
      <c r="B1079" t="s">
        <v>830</v>
      </c>
      <c r="C1079" t="s">
        <v>804</v>
      </c>
      <c r="D1079" t="s">
        <v>828</v>
      </c>
      <c r="E1079" t="s">
        <v>628</v>
      </c>
      <c r="F1079" t="s">
        <v>831</v>
      </c>
      <c r="G1079" t="s">
        <v>599</v>
      </c>
      <c r="H1079" t="s">
        <v>600</v>
      </c>
      <c r="I1079" t="s">
        <v>601</v>
      </c>
      <c r="J1079">
        <v>7.0599999999999996E-2</v>
      </c>
      <c r="K1079">
        <v>2.24E-2</v>
      </c>
      <c r="L1079">
        <v>2.0500000000000001E-2</v>
      </c>
      <c r="M1079">
        <v>1.9300000000000001E-2</v>
      </c>
      <c r="N1079">
        <v>1.9300000000000001E-2</v>
      </c>
      <c r="O1079">
        <v>1.9300000000000001E-2</v>
      </c>
      <c r="P1079">
        <v>1.9300000000000001E-2</v>
      </c>
      <c r="Q1079">
        <v>1.9099999999999999E-2</v>
      </c>
      <c r="R1079">
        <v>1.9099999999999999E-2</v>
      </c>
      <c r="S1079">
        <v>1.89E-2</v>
      </c>
      <c r="T1079">
        <v>1.8599999999999998E-2</v>
      </c>
      <c r="U1079">
        <v>1.8200000000000001E-2</v>
      </c>
      <c r="V1079">
        <v>1.7899999999999999E-2</v>
      </c>
      <c r="W1079">
        <v>1.7000000000000001E-2</v>
      </c>
      <c r="X1079">
        <v>1.6299999999999999E-2</v>
      </c>
      <c r="Y1079">
        <v>1.5599999999999999E-2</v>
      </c>
    </row>
    <row r="1080" spans="1:25" hidden="1">
      <c r="A1080" t="s">
        <v>18807</v>
      </c>
      <c r="B1080" t="s">
        <v>832</v>
      </c>
      <c r="C1080" t="s">
        <v>804</v>
      </c>
      <c r="D1080" t="s">
        <v>828</v>
      </c>
      <c r="E1080" t="s">
        <v>628</v>
      </c>
      <c r="F1080" t="s">
        <v>833</v>
      </c>
      <c r="G1080" t="s">
        <v>599</v>
      </c>
      <c r="H1080" t="s">
        <v>600</v>
      </c>
      <c r="I1080" t="s">
        <v>601</v>
      </c>
      <c r="J1080">
        <v>6.93E-2</v>
      </c>
      <c r="K1080">
        <v>6.6000000000000003E-2</v>
      </c>
      <c r="L1080">
        <v>6.2600000000000003E-2</v>
      </c>
      <c r="M1080">
        <v>5.8999999999999997E-2</v>
      </c>
      <c r="N1080">
        <v>5.5100000000000003E-2</v>
      </c>
      <c r="O1080">
        <v>5.0999999999999997E-2</v>
      </c>
      <c r="P1080">
        <v>4.6699999999999998E-2</v>
      </c>
      <c r="Q1080">
        <v>4.2299999999999997E-2</v>
      </c>
      <c r="R1080">
        <v>3.8199999999999998E-2</v>
      </c>
      <c r="S1080">
        <v>3.49E-2</v>
      </c>
      <c r="T1080">
        <v>3.1699999999999999E-2</v>
      </c>
      <c r="U1080">
        <v>2.8500000000000001E-2</v>
      </c>
      <c r="V1080">
        <v>2.5700000000000001E-2</v>
      </c>
      <c r="W1080">
        <v>2.3E-2</v>
      </c>
      <c r="X1080">
        <v>2.0400000000000001E-2</v>
      </c>
      <c r="Y1080">
        <v>1.7899999999999999E-2</v>
      </c>
    </row>
    <row r="1081" spans="1:25" hidden="1">
      <c r="A1081" t="s">
        <v>18807</v>
      </c>
      <c r="B1081" t="s">
        <v>834</v>
      </c>
      <c r="C1081" t="s">
        <v>804</v>
      </c>
      <c r="D1081" t="s">
        <v>632</v>
      </c>
      <c r="E1081" t="s">
        <v>597</v>
      </c>
      <c r="F1081" t="s">
        <v>598</v>
      </c>
      <c r="G1081" t="s">
        <v>599</v>
      </c>
      <c r="H1081" t="s">
        <v>600</v>
      </c>
      <c r="I1081" t="s">
        <v>601</v>
      </c>
      <c r="J1081">
        <v>1E-4</v>
      </c>
      <c r="K1081">
        <v>1E-4</v>
      </c>
      <c r="L1081">
        <v>1E-4</v>
      </c>
      <c r="M1081">
        <v>1E-4</v>
      </c>
      <c r="N1081">
        <v>1E-4</v>
      </c>
      <c r="O1081">
        <v>1E-4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 hidden="1">
      <c r="A1082" t="s">
        <v>18807</v>
      </c>
      <c r="B1082" t="s">
        <v>836</v>
      </c>
      <c r="C1082" t="s">
        <v>804</v>
      </c>
      <c r="D1082" t="s">
        <v>640</v>
      </c>
      <c r="E1082" t="s">
        <v>597</v>
      </c>
      <c r="F1082" t="s">
        <v>598</v>
      </c>
      <c r="G1082" t="s">
        <v>599</v>
      </c>
      <c r="H1082" t="s">
        <v>600</v>
      </c>
      <c r="I1082" t="s">
        <v>601</v>
      </c>
      <c r="J1082">
        <v>8.9999999999999998E-4</v>
      </c>
      <c r="K1082">
        <v>8.0000000000000004E-4</v>
      </c>
      <c r="L1082">
        <v>6.9999999999999999E-4</v>
      </c>
      <c r="M1082">
        <v>8.0000000000000004E-4</v>
      </c>
      <c r="N1082">
        <v>8.0000000000000004E-4</v>
      </c>
      <c r="O1082">
        <v>6.9999999999999999E-4</v>
      </c>
      <c r="P1082">
        <v>6.9999999999999999E-4</v>
      </c>
      <c r="Q1082">
        <v>6.9999999999999999E-4</v>
      </c>
      <c r="R1082">
        <v>6.9999999999999999E-4</v>
      </c>
      <c r="S1082">
        <v>6.9999999999999999E-4</v>
      </c>
      <c r="T1082">
        <v>6.9999999999999999E-4</v>
      </c>
      <c r="U1082">
        <v>6.9999999999999999E-4</v>
      </c>
      <c r="V1082">
        <v>6.9999999999999999E-4</v>
      </c>
      <c r="W1082">
        <v>6.9999999999999999E-4</v>
      </c>
      <c r="X1082">
        <v>6.9999999999999999E-4</v>
      </c>
      <c r="Y1082">
        <v>6.9999999999999999E-4</v>
      </c>
    </row>
    <row r="1083" spans="1:25" hidden="1">
      <c r="A1083" t="s">
        <v>18807</v>
      </c>
      <c r="B1083" t="s">
        <v>842</v>
      </c>
      <c r="C1083" t="s">
        <v>841</v>
      </c>
      <c r="D1083" t="s">
        <v>596</v>
      </c>
      <c r="E1083" t="s">
        <v>597</v>
      </c>
      <c r="F1083" t="s">
        <v>598</v>
      </c>
      <c r="G1083" t="s">
        <v>599</v>
      </c>
      <c r="H1083" t="s">
        <v>600</v>
      </c>
      <c r="I1083" t="s">
        <v>601</v>
      </c>
      <c r="J1083">
        <v>2.23E-2</v>
      </c>
      <c r="K1083">
        <v>2.2599999999999999E-2</v>
      </c>
      <c r="L1083">
        <v>2.3199999999999998E-2</v>
      </c>
      <c r="M1083">
        <v>2.3400000000000001E-2</v>
      </c>
      <c r="N1083">
        <v>2.3800000000000002E-2</v>
      </c>
      <c r="O1083">
        <v>2.4E-2</v>
      </c>
      <c r="P1083">
        <v>2.41E-2</v>
      </c>
      <c r="Q1083">
        <v>2.4199999999999999E-2</v>
      </c>
      <c r="R1083">
        <v>2.4199999999999999E-2</v>
      </c>
      <c r="S1083">
        <v>2.4199999999999999E-2</v>
      </c>
      <c r="T1083">
        <v>2.4199999999999999E-2</v>
      </c>
      <c r="U1083">
        <v>2.41E-2</v>
      </c>
      <c r="V1083">
        <v>2.4199999999999999E-2</v>
      </c>
      <c r="W1083">
        <v>2.4500000000000001E-2</v>
      </c>
      <c r="X1083">
        <v>2.46E-2</v>
      </c>
      <c r="Y1083">
        <v>2.47E-2</v>
      </c>
    </row>
    <row r="1084" spans="1:25" hidden="1">
      <c r="A1084" t="s">
        <v>18807</v>
      </c>
      <c r="B1084" t="s">
        <v>844</v>
      </c>
      <c r="C1084" t="s">
        <v>841</v>
      </c>
      <c r="D1084" t="s">
        <v>596</v>
      </c>
      <c r="E1084" t="s">
        <v>603</v>
      </c>
      <c r="F1084" t="s">
        <v>598</v>
      </c>
      <c r="G1084" t="s">
        <v>599</v>
      </c>
      <c r="H1084" t="s">
        <v>600</v>
      </c>
      <c r="I1084" t="s">
        <v>601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 hidden="1">
      <c r="A1085" t="s">
        <v>18807</v>
      </c>
      <c r="B1085" t="s">
        <v>847</v>
      </c>
      <c r="C1085" t="s">
        <v>841</v>
      </c>
      <c r="D1085" t="s">
        <v>596</v>
      </c>
      <c r="E1085" t="s">
        <v>808</v>
      </c>
      <c r="F1085" t="s">
        <v>598</v>
      </c>
      <c r="G1085" t="s">
        <v>599</v>
      </c>
      <c r="H1085" t="s">
        <v>600</v>
      </c>
      <c r="I1085" t="s">
        <v>601</v>
      </c>
      <c r="J1085">
        <v>6.9999999999999999E-4</v>
      </c>
      <c r="K1085">
        <v>6.9999999999999999E-4</v>
      </c>
      <c r="L1085">
        <v>6.9999999999999999E-4</v>
      </c>
      <c r="M1085">
        <v>6.9999999999999999E-4</v>
      </c>
      <c r="N1085">
        <v>6.9999999999999999E-4</v>
      </c>
      <c r="O1085">
        <v>6.9999999999999999E-4</v>
      </c>
      <c r="P1085">
        <v>6.9999999999999999E-4</v>
      </c>
      <c r="Q1085">
        <v>6.9999999999999999E-4</v>
      </c>
      <c r="R1085">
        <v>6.9999999999999999E-4</v>
      </c>
      <c r="S1085">
        <v>6.9999999999999999E-4</v>
      </c>
      <c r="T1085">
        <v>6.9999999999999999E-4</v>
      </c>
      <c r="U1085">
        <v>6.9999999999999999E-4</v>
      </c>
      <c r="V1085">
        <v>6.9999999999999999E-4</v>
      </c>
      <c r="W1085">
        <v>6.9999999999999999E-4</v>
      </c>
      <c r="X1085">
        <v>6.9999999999999999E-4</v>
      </c>
      <c r="Y1085">
        <v>6.9999999999999999E-4</v>
      </c>
    </row>
    <row r="1086" spans="1:25" hidden="1">
      <c r="A1086" t="s">
        <v>18807</v>
      </c>
      <c r="B1086" t="s">
        <v>849</v>
      </c>
      <c r="C1086" t="s">
        <v>841</v>
      </c>
      <c r="D1086" t="s">
        <v>596</v>
      </c>
      <c r="E1086" t="s">
        <v>609</v>
      </c>
      <c r="F1086" t="s">
        <v>598</v>
      </c>
      <c r="G1086" t="s">
        <v>599</v>
      </c>
      <c r="H1086" t="s">
        <v>600</v>
      </c>
      <c r="I1086" t="s">
        <v>601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 hidden="1">
      <c r="A1087" t="s">
        <v>18807</v>
      </c>
      <c r="B1087" t="s">
        <v>852</v>
      </c>
      <c r="C1087" t="s">
        <v>841</v>
      </c>
      <c r="D1087" t="s">
        <v>596</v>
      </c>
      <c r="E1087" t="s">
        <v>619</v>
      </c>
      <c r="F1087" t="s">
        <v>598</v>
      </c>
      <c r="G1087" t="s">
        <v>599</v>
      </c>
      <c r="H1087" t="s">
        <v>600</v>
      </c>
      <c r="I1087" t="s">
        <v>601</v>
      </c>
      <c r="J1087">
        <v>1E-4</v>
      </c>
      <c r="K1087">
        <v>1E-4</v>
      </c>
      <c r="L1087">
        <v>1E-4</v>
      </c>
      <c r="M1087">
        <v>1E-4</v>
      </c>
      <c r="N1087">
        <v>1E-4</v>
      </c>
      <c r="O1087">
        <v>1E-4</v>
      </c>
      <c r="P1087">
        <v>1E-4</v>
      </c>
      <c r="Q1087">
        <v>1E-4</v>
      </c>
      <c r="R1087">
        <v>1E-4</v>
      </c>
      <c r="S1087">
        <v>1E-4</v>
      </c>
      <c r="T1087">
        <v>1E-4</v>
      </c>
      <c r="U1087">
        <v>1E-4</v>
      </c>
      <c r="V1087">
        <v>1E-4</v>
      </c>
      <c r="W1087">
        <v>1E-4</v>
      </c>
      <c r="X1087">
        <v>1E-4</v>
      </c>
      <c r="Y1087">
        <v>1E-4</v>
      </c>
    </row>
    <row r="1088" spans="1:25" hidden="1">
      <c r="A1088" t="s">
        <v>18807</v>
      </c>
      <c r="B1088" t="s">
        <v>855</v>
      </c>
      <c r="C1088" t="s">
        <v>841</v>
      </c>
      <c r="D1088" t="s">
        <v>671</v>
      </c>
      <c r="E1088" t="s">
        <v>597</v>
      </c>
      <c r="F1088" t="s">
        <v>598</v>
      </c>
      <c r="G1088" t="s">
        <v>599</v>
      </c>
      <c r="H1088" t="s">
        <v>600</v>
      </c>
      <c r="I1088" t="s">
        <v>601</v>
      </c>
      <c r="J1088">
        <v>5.0000000000000001E-4</v>
      </c>
      <c r="K1088">
        <v>5.0000000000000001E-4</v>
      </c>
      <c r="L1088">
        <v>5.0000000000000001E-4</v>
      </c>
      <c r="M1088">
        <v>5.9999999999999995E-4</v>
      </c>
      <c r="N1088">
        <v>5.9999999999999995E-4</v>
      </c>
      <c r="O1088">
        <v>5.9999999999999995E-4</v>
      </c>
      <c r="P1088">
        <v>5.9999999999999995E-4</v>
      </c>
      <c r="Q1088">
        <v>5.9999999999999995E-4</v>
      </c>
      <c r="R1088">
        <v>5.9999999999999995E-4</v>
      </c>
      <c r="S1088">
        <v>5.9999999999999995E-4</v>
      </c>
      <c r="T1088">
        <v>5.9999999999999995E-4</v>
      </c>
      <c r="U1088">
        <v>5.9999999999999995E-4</v>
      </c>
      <c r="V1088">
        <v>5.9999999999999995E-4</v>
      </c>
      <c r="W1088">
        <v>6.9999999999999999E-4</v>
      </c>
      <c r="X1088">
        <v>6.9999999999999999E-4</v>
      </c>
      <c r="Y1088">
        <v>6.9999999999999999E-4</v>
      </c>
    </row>
    <row r="1089" spans="1:25" hidden="1">
      <c r="A1089" t="s">
        <v>18807</v>
      </c>
      <c r="B1089" t="s">
        <v>857</v>
      </c>
      <c r="C1089" t="s">
        <v>841</v>
      </c>
      <c r="D1089" t="s">
        <v>671</v>
      </c>
      <c r="E1089" t="s">
        <v>605</v>
      </c>
      <c r="F1089" t="s">
        <v>598</v>
      </c>
      <c r="G1089" t="s">
        <v>599</v>
      </c>
      <c r="H1089" t="s">
        <v>600</v>
      </c>
      <c r="I1089" t="s">
        <v>601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 hidden="1">
      <c r="A1090" t="s">
        <v>18807</v>
      </c>
      <c r="B1090" t="s">
        <v>860</v>
      </c>
      <c r="C1090" t="s">
        <v>841</v>
      </c>
      <c r="D1090" t="s">
        <v>753</v>
      </c>
      <c r="E1090" t="s">
        <v>597</v>
      </c>
      <c r="F1090" t="s">
        <v>598</v>
      </c>
      <c r="G1090" t="s">
        <v>599</v>
      </c>
      <c r="H1090" t="s">
        <v>600</v>
      </c>
      <c r="I1090" t="s">
        <v>601</v>
      </c>
      <c r="J1090">
        <v>5.0000000000000001E-4</v>
      </c>
      <c r="K1090">
        <v>5.0000000000000001E-4</v>
      </c>
      <c r="L1090">
        <v>5.0000000000000001E-4</v>
      </c>
      <c r="M1090">
        <v>5.0000000000000001E-4</v>
      </c>
      <c r="N1090">
        <v>5.0000000000000001E-4</v>
      </c>
      <c r="O1090">
        <v>5.0000000000000001E-4</v>
      </c>
      <c r="P1090">
        <v>5.0000000000000001E-4</v>
      </c>
      <c r="Q1090">
        <v>5.0000000000000001E-4</v>
      </c>
      <c r="R1090">
        <v>5.0000000000000001E-4</v>
      </c>
      <c r="S1090">
        <v>5.0000000000000001E-4</v>
      </c>
      <c r="T1090">
        <v>5.0000000000000001E-4</v>
      </c>
      <c r="U1090">
        <v>5.0000000000000001E-4</v>
      </c>
      <c r="V1090">
        <v>5.0000000000000001E-4</v>
      </c>
      <c r="W1090">
        <v>5.0000000000000001E-4</v>
      </c>
      <c r="X1090">
        <v>5.0000000000000001E-4</v>
      </c>
      <c r="Y1090">
        <v>5.0000000000000001E-4</v>
      </c>
    </row>
    <row r="1091" spans="1:25" hidden="1">
      <c r="A1091" t="s">
        <v>18807</v>
      </c>
      <c r="B1091" t="s">
        <v>862</v>
      </c>
      <c r="C1091" t="s">
        <v>841</v>
      </c>
      <c r="D1091" t="s">
        <v>756</v>
      </c>
      <c r="E1091" t="s">
        <v>597</v>
      </c>
      <c r="F1091" t="s">
        <v>598</v>
      </c>
      <c r="G1091" t="s">
        <v>599</v>
      </c>
      <c r="H1091" t="s">
        <v>600</v>
      </c>
      <c r="I1091" t="s">
        <v>601</v>
      </c>
      <c r="J1091">
        <v>1.8599999999999998E-2</v>
      </c>
      <c r="K1091">
        <v>1.89E-2</v>
      </c>
      <c r="L1091">
        <v>1.9300000000000001E-2</v>
      </c>
      <c r="M1091">
        <v>1.9699999999999999E-2</v>
      </c>
      <c r="N1091">
        <v>1.9900000000000001E-2</v>
      </c>
      <c r="O1091">
        <v>1.9900000000000001E-2</v>
      </c>
      <c r="P1091">
        <v>0.02</v>
      </c>
      <c r="Q1091">
        <v>2.01E-2</v>
      </c>
      <c r="R1091">
        <v>2.0199999999999999E-2</v>
      </c>
      <c r="S1091">
        <v>0.02</v>
      </c>
      <c r="T1091">
        <v>0.02</v>
      </c>
      <c r="U1091">
        <v>1.9900000000000001E-2</v>
      </c>
      <c r="V1091">
        <v>1.9900000000000001E-2</v>
      </c>
      <c r="W1091">
        <v>2.01E-2</v>
      </c>
      <c r="X1091">
        <v>2.0199999999999999E-2</v>
      </c>
      <c r="Y1091">
        <v>2.0299999999999999E-2</v>
      </c>
    </row>
    <row r="1092" spans="1:25" hidden="1">
      <c r="A1092" t="s">
        <v>18807</v>
      </c>
      <c r="B1092" t="s">
        <v>865</v>
      </c>
      <c r="C1092" t="s">
        <v>841</v>
      </c>
      <c r="D1092" t="s">
        <v>866</v>
      </c>
      <c r="E1092" t="s">
        <v>597</v>
      </c>
      <c r="F1092" t="s">
        <v>598</v>
      </c>
      <c r="G1092" t="s">
        <v>599</v>
      </c>
      <c r="H1092" t="s">
        <v>600</v>
      </c>
      <c r="I1092" t="s">
        <v>601</v>
      </c>
      <c r="J1092">
        <v>1.23E-2</v>
      </c>
      <c r="K1092">
        <v>1.2500000000000001E-2</v>
      </c>
      <c r="L1092">
        <v>1.2800000000000001E-2</v>
      </c>
      <c r="M1092">
        <v>1.2999999999999999E-2</v>
      </c>
      <c r="N1092">
        <v>1.32E-2</v>
      </c>
      <c r="O1092">
        <v>1.32E-2</v>
      </c>
      <c r="P1092">
        <v>1.3299999999999999E-2</v>
      </c>
      <c r="Q1092">
        <v>1.34E-2</v>
      </c>
      <c r="R1092">
        <v>1.34E-2</v>
      </c>
      <c r="S1092">
        <v>1.3299999999999999E-2</v>
      </c>
      <c r="T1092">
        <v>1.32E-2</v>
      </c>
      <c r="U1092">
        <v>1.32E-2</v>
      </c>
      <c r="V1092">
        <v>1.32E-2</v>
      </c>
      <c r="W1092">
        <v>1.3299999999999999E-2</v>
      </c>
      <c r="X1092">
        <v>1.34E-2</v>
      </c>
      <c r="Y1092">
        <v>1.35E-2</v>
      </c>
    </row>
    <row r="1093" spans="1:25" hidden="1">
      <c r="A1093" t="s">
        <v>18807</v>
      </c>
      <c r="B1093" t="s">
        <v>867</v>
      </c>
      <c r="C1093" t="s">
        <v>841</v>
      </c>
      <c r="D1093" t="s">
        <v>621</v>
      </c>
      <c r="E1093" t="s">
        <v>649</v>
      </c>
      <c r="F1093" t="s">
        <v>598</v>
      </c>
      <c r="G1093" t="s">
        <v>599</v>
      </c>
      <c r="H1093" t="s">
        <v>600</v>
      </c>
      <c r="I1093" t="s">
        <v>601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hidden="1">
      <c r="A1094" t="s">
        <v>18807</v>
      </c>
      <c r="B1094" t="s">
        <v>868</v>
      </c>
      <c r="C1094" t="s">
        <v>841</v>
      </c>
      <c r="D1094" t="s">
        <v>621</v>
      </c>
      <c r="E1094" t="s">
        <v>597</v>
      </c>
      <c r="F1094" t="s">
        <v>598</v>
      </c>
      <c r="G1094" t="s">
        <v>599</v>
      </c>
      <c r="H1094" t="s">
        <v>600</v>
      </c>
      <c r="I1094" t="s">
        <v>601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hidden="1">
      <c r="A1095" t="s">
        <v>18807</v>
      </c>
      <c r="B1095" t="s">
        <v>870</v>
      </c>
      <c r="C1095" t="s">
        <v>841</v>
      </c>
      <c r="D1095" t="s">
        <v>621</v>
      </c>
      <c r="E1095" t="s">
        <v>603</v>
      </c>
      <c r="F1095" t="s">
        <v>598</v>
      </c>
      <c r="G1095" t="s">
        <v>599</v>
      </c>
      <c r="H1095" t="s">
        <v>600</v>
      </c>
      <c r="I1095" t="s">
        <v>601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</row>
    <row r="1096" spans="1:25" hidden="1">
      <c r="A1096" t="s">
        <v>18807</v>
      </c>
      <c r="B1096" t="s">
        <v>872</v>
      </c>
      <c r="C1096" t="s">
        <v>841</v>
      </c>
      <c r="D1096" t="s">
        <v>621</v>
      </c>
      <c r="E1096" t="s">
        <v>624</v>
      </c>
      <c r="F1096" t="s">
        <v>598</v>
      </c>
      <c r="G1096" t="s">
        <v>599</v>
      </c>
      <c r="H1096" t="s">
        <v>600</v>
      </c>
      <c r="I1096" t="s">
        <v>601</v>
      </c>
      <c r="J1096">
        <v>2.7900000000000001E-2</v>
      </c>
      <c r="K1096">
        <v>2.7900000000000001E-2</v>
      </c>
      <c r="L1096">
        <v>2.7900000000000001E-2</v>
      </c>
      <c r="M1096">
        <v>2.7900000000000001E-2</v>
      </c>
      <c r="N1096">
        <v>2.7900000000000001E-2</v>
      </c>
      <c r="O1096">
        <v>2.7900000000000001E-2</v>
      </c>
      <c r="P1096">
        <v>2.7900000000000001E-2</v>
      </c>
      <c r="Q1096">
        <v>2.7900000000000001E-2</v>
      </c>
      <c r="R1096">
        <v>2.7900000000000001E-2</v>
      </c>
      <c r="S1096">
        <v>2.7900000000000001E-2</v>
      </c>
      <c r="T1096">
        <v>2.7900000000000001E-2</v>
      </c>
      <c r="U1096">
        <v>2.7900000000000001E-2</v>
      </c>
      <c r="V1096">
        <v>2.7900000000000001E-2</v>
      </c>
      <c r="W1096">
        <v>2.7900000000000001E-2</v>
      </c>
      <c r="X1096">
        <v>2.7900000000000001E-2</v>
      </c>
      <c r="Y1096">
        <v>2.7900000000000001E-2</v>
      </c>
    </row>
    <row r="1097" spans="1:25" hidden="1">
      <c r="A1097" t="s">
        <v>18807</v>
      </c>
      <c r="B1097" t="s">
        <v>873</v>
      </c>
      <c r="C1097" t="s">
        <v>841</v>
      </c>
      <c r="D1097" t="s">
        <v>621</v>
      </c>
      <c r="E1097" t="s">
        <v>768</v>
      </c>
      <c r="F1097" t="s">
        <v>598</v>
      </c>
      <c r="G1097" t="s">
        <v>599</v>
      </c>
      <c r="H1097" t="s">
        <v>600</v>
      </c>
      <c r="I1097" t="s">
        <v>601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</row>
    <row r="1098" spans="1:25" hidden="1">
      <c r="A1098" t="s">
        <v>18807</v>
      </c>
      <c r="B1098" t="s">
        <v>876</v>
      </c>
      <c r="C1098" t="s">
        <v>841</v>
      </c>
      <c r="D1098" t="s">
        <v>621</v>
      </c>
      <c r="E1098" t="s">
        <v>628</v>
      </c>
      <c r="F1098" t="s">
        <v>598</v>
      </c>
      <c r="G1098" t="s">
        <v>599</v>
      </c>
      <c r="H1098" t="s">
        <v>600</v>
      </c>
      <c r="I1098" t="s">
        <v>601</v>
      </c>
      <c r="J1098">
        <v>2.7000000000000001E-3</v>
      </c>
      <c r="K1098">
        <v>2.7000000000000001E-3</v>
      </c>
      <c r="L1098">
        <v>2.7000000000000001E-3</v>
      </c>
      <c r="M1098">
        <v>2.7000000000000001E-3</v>
      </c>
      <c r="N1098">
        <v>2.7000000000000001E-3</v>
      </c>
      <c r="O1098">
        <v>2.7000000000000001E-3</v>
      </c>
      <c r="P1098">
        <v>2.7000000000000001E-3</v>
      </c>
      <c r="Q1098">
        <v>1.8E-3</v>
      </c>
      <c r="R1098">
        <v>1.8E-3</v>
      </c>
      <c r="S1098">
        <v>1.8E-3</v>
      </c>
      <c r="T1098">
        <v>1.8E-3</v>
      </c>
      <c r="U1098">
        <v>1.8E-3</v>
      </c>
      <c r="V1098">
        <v>1.8E-3</v>
      </c>
      <c r="W1098">
        <v>1.8E-3</v>
      </c>
      <c r="X1098">
        <v>1.8E-3</v>
      </c>
      <c r="Y1098">
        <v>1.8E-3</v>
      </c>
    </row>
    <row r="1099" spans="1:25" hidden="1">
      <c r="A1099" t="s">
        <v>18807</v>
      </c>
      <c r="B1099" t="s">
        <v>877</v>
      </c>
      <c r="C1099" t="s">
        <v>841</v>
      </c>
      <c r="D1099" t="s">
        <v>621</v>
      </c>
      <c r="E1099" t="s">
        <v>692</v>
      </c>
      <c r="F1099" t="s">
        <v>598</v>
      </c>
      <c r="G1099" t="s">
        <v>599</v>
      </c>
      <c r="H1099" t="s">
        <v>600</v>
      </c>
      <c r="I1099" t="s">
        <v>601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</row>
    <row r="1100" spans="1:25" hidden="1">
      <c r="A1100" t="s">
        <v>18807</v>
      </c>
      <c r="B1100" t="s">
        <v>880</v>
      </c>
      <c r="C1100" t="s">
        <v>841</v>
      </c>
      <c r="D1100" t="s">
        <v>621</v>
      </c>
      <c r="E1100" t="s">
        <v>638</v>
      </c>
      <c r="F1100" t="s">
        <v>598</v>
      </c>
      <c r="G1100" t="s">
        <v>599</v>
      </c>
      <c r="H1100" t="s">
        <v>600</v>
      </c>
      <c r="I1100" t="s">
        <v>601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hidden="1">
      <c r="A1101" t="s">
        <v>18807</v>
      </c>
      <c r="B1101" t="s">
        <v>882</v>
      </c>
      <c r="C1101" t="s">
        <v>841</v>
      </c>
      <c r="D1101" t="s">
        <v>632</v>
      </c>
      <c r="E1101" t="s">
        <v>597</v>
      </c>
      <c r="F1101" t="s">
        <v>598</v>
      </c>
      <c r="G1101" t="s">
        <v>599</v>
      </c>
      <c r="H1101" t="s">
        <v>600</v>
      </c>
      <c r="I1101" t="s">
        <v>601</v>
      </c>
      <c r="J1101">
        <v>1.4800000000000001E-2</v>
      </c>
      <c r="K1101">
        <v>1.4999999999999999E-2</v>
      </c>
      <c r="L1101">
        <v>1.52E-2</v>
      </c>
      <c r="M1101">
        <v>1.5599999999999999E-2</v>
      </c>
      <c r="N1101">
        <v>1.5699999999999999E-2</v>
      </c>
      <c r="O1101">
        <v>1.5800000000000002E-2</v>
      </c>
      <c r="P1101">
        <v>1.5900000000000001E-2</v>
      </c>
      <c r="Q1101">
        <v>1.61E-2</v>
      </c>
      <c r="R1101">
        <v>1.61E-2</v>
      </c>
      <c r="S1101">
        <v>1.61E-2</v>
      </c>
      <c r="T1101">
        <v>1.61E-2</v>
      </c>
      <c r="U1101">
        <v>1.6E-2</v>
      </c>
      <c r="V1101">
        <v>1.6E-2</v>
      </c>
      <c r="W1101">
        <v>1.61E-2</v>
      </c>
      <c r="X1101">
        <v>1.6199999999999999E-2</v>
      </c>
      <c r="Y1101">
        <v>1.6299999999999999E-2</v>
      </c>
    </row>
    <row r="1102" spans="1:25" hidden="1">
      <c r="A1102" t="s">
        <v>18807</v>
      </c>
      <c r="B1102" t="s">
        <v>884</v>
      </c>
      <c r="C1102" t="s">
        <v>841</v>
      </c>
      <c r="D1102" t="s">
        <v>632</v>
      </c>
      <c r="E1102" t="s">
        <v>768</v>
      </c>
      <c r="F1102" t="s">
        <v>598</v>
      </c>
      <c r="G1102" t="s">
        <v>599</v>
      </c>
      <c r="H1102" t="s">
        <v>600</v>
      </c>
      <c r="I1102" t="s">
        <v>601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hidden="1">
      <c r="A1103" t="s">
        <v>18807</v>
      </c>
      <c r="B1103" t="s">
        <v>885</v>
      </c>
      <c r="C1103" t="s">
        <v>841</v>
      </c>
      <c r="D1103" t="s">
        <v>632</v>
      </c>
      <c r="E1103" t="s">
        <v>628</v>
      </c>
      <c r="F1103" t="s">
        <v>598</v>
      </c>
      <c r="G1103" t="s">
        <v>599</v>
      </c>
      <c r="H1103" t="s">
        <v>600</v>
      </c>
      <c r="I1103" t="s">
        <v>601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</row>
    <row r="1104" spans="1:25" hidden="1">
      <c r="A1104" t="s">
        <v>18807</v>
      </c>
      <c r="B1104" t="s">
        <v>902</v>
      </c>
      <c r="C1104" t="s">
        <v>841</v>
      </c>
      <c r="D1104" t="s">
        <v>648</v>
      </c>
      <c r="E1104" t="s">
        <v>597</v>
      </c>
      <c r="F1104" t="s">
        <v>598</v>
      </c>
      <c r="G1104" t="s">
        <v>599</v>
      </c>
      <c r="H1104" t="s">
        <v>600</v>
      </c>
      <c r="I1104" t="s">
        <v>601</v>
      </c>
      <c r="J1104">
        <v>0.20499999999999999</v>
      </c>
      <c r="K1104">
        <v>0.20799999999999999</v>
      </c>
      <c r="L1104">
        <v>0.2112</v>
      </c>
      <c r="M1104">
        <v>0.215</v>
      </c>
      <c r="N1104">
        <v>0.2172</v>
      </c>
      <c r="O1104">
        <v>0.21879999999999999</v>
      </c>
      <c r="P1104">
        <v>0.22020000000000001</v>
      </c>
      <c r="Q1104">
        <v>0.2213</v>
      </c>
      <c r="R1104">
        <v>0.22189999999999999</v>
      </c>
      <c r="S1104">
        <v>0.2218</v>
      </c>
      <c r="T1104">
        <v>0.22159999999999999</v>
      </c>
      <c r="U1104">
        <v>0.221</v>
      </c>
      <c r="V1104">
        <v>0.22159999999999999</v>
      </c>
      <c r="W1104">
        <v>0.22309999999999999</v>
      </c>
      <c r="X1104">
        <v>0.2243</v>
      </c>
      <c r="Y1104">
        <v>0.2258</v>
      </c>
    </row>
    <row r="1105" spans="1:25" hidden="1">
      <c r="A1105" t="s">
        <v>18807</v>
      </c>
      <c r="B1105" t="s">
        <v>903</v>
      </c>
      <c r="C1105" t="s">
        <v>841</v>
      </c>
      <c r="D1105" t="s">
        <v>648</v>
      </c>
      <c r="E1105" t="s">
        <v>597</v>
      </c>
      <c r="F1105" t="s">
        <v>904</v>
      </c>
      <c r="G1105" t="s">
        <v>599</v>
      </c>
      <c r="H1105" t="s">
        <v>600</v>
      </c>
      <c r="I1105" t="s">
        <v>601</v>
      </c>
      <c r="J1105">
        <v>1.01E-2</v>
      </c>
      <c r="K1105">
        <v>1.01E-2</v>
      </c>
      <c r="L1105">
        <v>1.01E-2</v>
      </c>
      <c r="M1105">
        <v>1.01E-2</v>
      </c>
      <c r="N1105">
        <v>1.01E-2</v>
      </c>
      <c r="O1105">
        <v>1.01E-2</v>
      </c>
      <c r="P1105">
        <v>1.01E-2</v>
      </c>
      <c r="Q1105">
        <v>1.01E-2</v>
      </c>
      <c r="R1105">
        <v>1.01E-2</v>
      </c>
      <c r="S1105">
        <v>1.01E-2</v>
      </c>
      <c r="T1105">
        <v>1.01E-2</v>
      </c>
      <c r="U1105">
        <v>1.01E-2</v>
      </c>
      <c r="V1105">
        <v>1.01E-2</v>
      </c>
      <c r="W1105">
        <v>1.01E-2</v>
      </c>
      <c r="X1105">
        <v>1.01E-2</v>
      </c>
      <c r="Y1105">
        <v>1.01E-2</v>
      </c>
    </row>
    <row r="1106" spans="1:25" hidden="1">
      <c r="A1106" t="s">
        <v>18807</v>
      </c>
      <c r="B1106" t="s">
        <v>909</v>
      </c>
      <c r="C1106" t="s">
        <v>841</v>
      </c>
      <c r="D1106" t="s">
        <v>648</v>
      </c>
      <c r="E1106" t="s">
        <v>642</v>
      </c>
      <c r="F1106" t="s">
        <v>598</v>
      </c>
      <c r="G1106" t="s">
        <v>599</v>
      </c>
      <c r="H1106" t="s">
        <v>600</v>
      </c>
      <c r="I1106" t="s">
        <v>601</v>
      </c>
      <c r="J1106">
        <v>2.8999999999999998E-3</v>
      </c>
      <c r="K1106">
        <v>2.8999999999999998E-3</v>
      </c>
      <c r="L1106">
        <v>2.8999999999999998E-3</v>
      </c>
      <c r="M1106">
        <v>2.8999999999999998E-3</v>
      </c>
      <c r="N1106">
        <v>2.8999999999999998E-3</v>
      </c>
      <c r="O1106">
        <v>2.8999999999999998E-3</v>
      </c>
      <c r="P1106">
        <v>2.8999999999999998E-3</v>
      </c>
      <c r="Q1106">
        <v>2.8999999999999998E-3</v>
      </c>
      <c r="R1106">
        <v>2.8999999999999998E-3</v>
      </c>
      <c r="S1106">
        <v>2.8999999999999998E-3</v>
      </c>
      <c r="T1106">
        <v>2.8999999999999998E-3</v>
      </c>
      <c r="U1106">
        <v>2.8999999999999998E-3</v>
      </c>
      <c r="V1106">
        <v>2.8999999999999998E-3</v>
      </c>
      <c r="W1106">
        <v>5.7999999999999996E-3</v>
      </c>
      <c r="X1106">
        <v>5.7999999999999996E-3</v>
      </c>
      <c r="Y1106">
        <v>5.7999999999999996E-3</v>
      </c>
    </row>
    <row r="1107" spans="1:25" hidden="1">
      <c r="A1107" t="s">
        <v>18807</v>
      </c>
      <c r="B1107" t="s">
        <v>911</v>
      </c>
      <c r="C1107" t="s">
        <v>841</v>
      </c>
      <c r="D1107" t="s">
        <v>648</v>
      </c>
      <c r="E1107" t="s">
        <v>619</v>
      </c>
      <c r="F1107" t="s">
        <v>598</v>
      </c>
      <c r="G1107" t="s">
        <v>599</v>
      </c>
      <c r="H1107" t="s">
        <v>600</v>
      </c>
      <c r="I1107" t="s">
        <v>601</v>
      </c>
      <c r="J1107">
        <v>1E-3</v>
      </c>
      <c r="K1107">
        <v>1E-3</v>
      </c>
      <c r="L1107">
        <v>1E-3</v>
      </c>
      <c r="M1107">
        <v>1E-3</v>
      </c>
      <c r="N1107">
        <v>1E-3</v>
      </c>
      <c r="O1107">
        <v>1E-3</v>
      </c>
      <c r="P1107">
        <v>1E-3</v>
      </c>
      <c r="Q1107">
        <v>1E-3</v>
      </c>
      <c r="R1107">
        <v>1E-3</v>
      </c>
      <c r="S1107">
        <v>1E-3</v>
      </c>
      <c r="T1107">
        <v>1E-3</v>
      </c>
      <c r="U1107">
        <v>1E-3</v>
      </c>
      <c r="V1107">
        <v>1E-3</v>
      </c>
      <c r="W1107">
        <v>1E-3</v>
      </c>
      <c r="X1107">
        <v>1E-3</v>
      </c>
      <c r="Y1107">
        <v>1E-3</v>
      </c>
    </row>
    <row r="1108" spans="1:25" hidden="1">
      <c r="A1108" t="s">
        <v>18807</v>
      </c>
      <c r="B1108" t="s">
        <v>912</v>
      </c>
      <c r="C1108" t="s">
        <v>841</v>
      </c>
      <c r="D1108" t="s">
        <v>648</v>
      </c>
      <c r="E1108" t="s">
        <v>676</v>
      </c>
      <c r="F1108" t="s">
        <v>598</v>
      </c>
      <c r="G1108" t="s">
        <v>599</v>
      </c>
      <c r="H1108" t="s">
        <v>600</v>
      </c>
      <c r="I1108" t="s">
        <v>601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hidden="1">
      <c r="A1109" t="s">
        <v>18807</v>
      </c>
      <c r="B1109" t="s">
        <v>916</v>
      </c>
      <c r="C1109" t="s">
        <v>914</v>
      </c>
      <c r="D1109" t="s">
        <v>621</v>
      </c>
      <c r="E1109" t="s">
        <v>628</v>
      </c>
      <c r="F1109" t="s">
        <v>598</v>
      </c>
      <c r="G1109" t="s">
        <v>599</v>
      </c>
      <c r="H1109" t="s">
        <v>600</v>
      </c>
      <c r="I1109" t="s">
        <v>601</v>
      </c>
      <c r="J1109">
        <v>7.5410399999999997E-3</v>
      </c>
      <c r="K1109">
        <v>7.5410399999999997E-3</v>
      </c>
      <c r="L1109">
        <v>7.5410399999999997E-3</v>
      </c>
      <c r="M1109">
        <v>7.5893799999999997E-3</v>
      </c>
      <c r="N1109">
        <v>7.5893799999999997E-3</v>
      </c>
      <c r="O1109">
        <v>5.5591E-3</v>
      </c>
      <c r="P1109">
        <v>5.5591E-3</v>
      </c>
      <c r="Q1109">
        <v>5.5591E-3</v>
      </c>
      <c r="R1109">
        <v>5.65578E-3</v>
      </c>
      <c r="S1109">
        <v>5.70412E-3</v>
      </c>
      <c r="T1109">
        <v>5.70412E-3</v>
      </c>
      <c r="U1109">
        <v>5.70412E-3</v>
      </c>
      <c r="V1109">
        <v>5.70412E-3</v>
      </c>
      <c r="W1109">
        <v>5.70412E-3</v>
      </c>
      <c r="X1109">
        <v>5.8008000000000001E-3</v>
      </c>
      <c r="Y1109">
        <v>5.8008000000000001E-3</v>
      </c>
    </row>
    <row r="1110" spans="1:25" hidden="1">
      <c r="A1110" t="s">
        <v>18807</v>
      </c>
      <c r="B1110" t="s">
        <v>917</v>
      </c>
      <c r="C1110" t="s">
        <v>914</v>
      </c>
      <c r="D1110" t="s">
        <v>918</v>
      </c>
      <c r="E1110" t="s">
        <v>649</v>
      </c>
      <c r="F1110" t="s">
        <v>598</v>
      </c>
      <c r="G1110" t="s">
        <v>599</v>
      </c>
      <c r="H1110" t="s">
        <v>600</v>
      </c>
      <c r="I1110" t="s">
        <v>601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hidden="1">
      <c r="A1111" t="s">
        <v>18807</v>
      </c>
      <c r="B1111" t="s">
        <v>919</v>
      </c>
      <c r="C1111" t="s">
        <v>914</v>
      </c>
      <c r="D1111" t="s">
        <v>648</v>
      </c>
      <c r="E1111" t="s">
        <v>920</v>
      </c>
      <c r="F1111" t="s">
        <v>598</v>
      </c>
      <c r="G1111" t="s">
        <v>599</v>
      </c>
      <c r="H1111" t="s">
        <v>600</v>
      </c>
      <c r="I1111" t="s">
        <v>601</v>
      </c>
      <c r="J1111">
        <v>1.06E-2</v>
      </c>
      <c r="K1111">
        <v>1.0699999999999999E-2</v>
      </c>
      <c r="L1111">
        <v>1.0699999999999999E-2</v>
      </c>
      <c r="M1111">
        <v>1.0699999999999999E-2</v>
      </c>
      <c r="N1111">
        <v>1.0699999999999999E-2</v>
      </c>
      <c r="O1111">
        <v>1.0800000000000001E-2</v>
      </c>
      <c r="P1111">
        <v>1.0800000000000001E-2</v>
      </c>
      <c r="Q1111">
        <v>1.09E-2</v>
      </c>
      <c r="R1111">
        <v>1.0999999999999999E-2</v>
      </c>
      <c r="S1111">
        <v>1.0999999999999999E-2</v>
      </c>
      <c r="T1111">
        <v>1.0999999999999999E-2</v>
      </c>
      <c r="U1111">
        <v>1.11E-2</v>
      </c>
      <c r="V1111">
        <v>1.11E-2</v>
      </c>
      <c r="W1111">
        <v>1.11E-2</v>
      </c>
      <c r="X1111">
        <v>1.1299999999999999E-2</v>
      </c>
      <c r="Y1111">
        <v>1.1299999999999999E-2</v>
      </c>
    </row>
    <row r="1112" spans="1:25" hidden="1">
      <c r="A1112" t="s">
        <v>18807</v>
      </c>
      <c r="B1112" t="s">
        <v>924</v>
      </c>
      <c r="C1112" t="s">
        <v>925</v>
      </c>
      <c r="D1112" t="s">
        <v>926</v>
      </c>
      <c r="E1112" t="s">
        <v>927</v>
      </c>
      <c r="F1112" t="s">
        <v>598</v>
      </c>
      <c r="G1112" t="s">
        <v>599</v>
      </c>
      <c r="H1112" t="s">
        <v>600</v>
      </c>
      <c r="I1112" t="s">
        <v>601</v>
      </c>
      <c r="J1112">
        <v>8.9999999999999998E-4</v>
      </c>
      <c r="K1112">
        <v>8.9999999999999998E-4</v>
      </c>
      <c r="L1112">
        <v>8.9999999999999998E-4</v>
      </c>
      <c r="M1112">
        <v>1E-3</v>
      </c>
      <c r="N1112">
        <v>1E-3</v>
      </c>
      <c r="O1112">
        <v>1E-3</v>
      </c>
      <c r="P1112">
        <v>1E-3</v>
      </c>
      <c r="Q1112">
        <v>1E-3</v>
      </c>
      <c r="R1112">
        <v>1E-3</v>
      </c>
      <c r="S1112">
        <v>1E-3</v>
      </c>
      <c r="T1112">
        <v>1E-3</v>
      </c>
      <c r="U1112">
        <v>1E-3</v>
      </c>
      <c r="V1112">
        <v>1E-3</v>
      </c>
      <c r="W1112">
        <v>1E-3</v>
      </c>
      <c r="X1112">
        <v>1E-3</v>
      </c>
      <c r="Y1112">
        <v>1E-3</v>
      </c>
    </row>
    <row r="1113" spans="1:25" hidden="1">
      <c r="A1113" t="s">
        <v>18807</v>
      </c>
      <c r="B1113" t="s">
        <v>928</v>
      </c>
      <c r="C1113" t="s">
        <v>925</v>
      </c>
      <c r="D1113" t="s">
        <v>926</v>
      </c>
      <c r="E1113" t="s">
        <v>929</v>
      </c>
      <c r="F1113" t="s">
        <v>598</v>
      </c>
      <c r="G1113" t="s">
        <v>599</v>
      </c>
      <c r="H1113" t="s">
        <v>600</v>
      </c>
      <c r="I1113" t="s">
        <v>601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hidden="1">
      <c r="A1114" t="s">
        <v>18807</v>
      </c>
      <c r="B1114" t="s">
        <v>935</v>
      </c>
      <c r="C1114" t="s">
        <v>925</v>
      </c>
      <c r="D1114" t="s">
        <v>934</v>
      </c>
      <c r="E1114" t="s">
        <v>605</v>
      </c>
      <c r="F1114" t="s">
        <v>598</v>
      </c>
      <c r="G1114" t="s">
        <v>599</v>
      </c>
      <c r="H1114" t="s">
        <v>600</v>
      </c>
      <c r="I1114" t="s">
        <v>601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18807</v>
      </c>
      <c r="B1115" t="s">
        <v>938</v>
      </c>
      <c r="C1115" t="s">
        <v>925</v>
      </c>
      <c r="D1115" t="s">
        <v>934</v>
      </c>
      <c r="E1115" t="s">
        <v>768</v>
      </c>
      <c r="F1115" t="s">
        <v>598</v>
      </c>
      <c r="G1115" t="s">
        <v>599</v>
      </c>
      <c r="H1115" t="s">
        <v>600</v>
      </c>
      <c r="I1115" t="s">
        <v>601</v>
      </c>
      <c r="J1115">
        <v>4.0000000000000002E-4</v>
      </c>
      <c r="K1115">
        <v>4.0000000000000002E-4</v>
      </c>
      <c r="L1115">
        <v>4.0000000000000002E-4</v>
      </c>
      <c r="M1115">
        <v>4.0000000000000002E-4</v>
      </c>
      <c r="N1115">
        <v>4.0000000000000002E-4</v>
      </c>
      <c r="O1115">
        <v>4.0000000000000002E-4</v>
      </c>
      <c r="P1115">
        <v>4.0000000000000002E-4</v>
      </c>
      <c r="Q1115">
        <v>4.0000000000000002E-4</v>
      </c>
      <c r="R1115">
        <v>4.0000000000000002E-4</v>
      </c>
      <c r="S1115">
        <v>4.0000000000000002E-4</v>
      </c>
      <c r="T1115">
        <v>4.0000000000000002E-4</v>
      </c>
      <c r="U1115">
        <v>4.0000000000000002E-4</v>
      </c>
      <c r="V1115">
        <v>4.0000000000000002E-4</v>
      </c>
      <c r="W1115">
        <v>4.0000000000000002E-4</v>
      </c>
      <c r="X1115">
        <v>5.0000000000000001E-4</v>
      </c>
      <c r="Y1115">
        <v>5.0000000000000001E-4</v>
      </c>
    </row>
    <row r="1116" spans="1:25" hidden="1">
      <c r="A1116" t="s">
        <v>18807</v>
      </c>
      <c r="B1116" t="s">
        <v>940</v>
      </c>
      <c r="C1116" t="s">
        <v>925</v>
      </c>
      <c r="D1116" t="s">
        <v>648</v>
      </c>
      <c r="E1116" t="s">
        <v>927</v>
      </c>
      <c r="F1116" t="s">
        <v>598</v>
      </c>
      <c r="G1116" t="s">
        <v>599</v>
      </c>
      <c r="H1116" t="s">
        <v>600</v>
      </c>
      <c r="I1116" t="s">
        <v>601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hidden="1">
      <c r="A1117" t="s">
        <v>18807</v>
      </c>
      <c r="B1117" t="s">
        <v>947</v>
      </c>
      <c r="C1117" t="s">
        <v>943</v>
      </c>
      <c r="D1117" t="s">
        <v>946</v>
      </c>
      <c r="E1117" t="s">
        <v>948</v>
      </c>
      <c r="F1117" t="s">
        <v>598</v>
      </c>
      <c r="G1117" t="s">
        <v>599</v>
      </c>
      <c r="H1117" t="s">
        <v>600</v>
      </c>
      <c r="I1117" t="s">
        <v>601</v>
      </c>
      <c r="J1117">
        <v>2.0000000000000001E-4</v>
      </c>
      <c r="K1117">
        <v>2.0000000000000001E-4</v>
      </c>
      <c r="L1117">
        <v>2.0000000000000001E-4</v>
      </c>
      <c r="M1117">
        <v>2.0000000000000001E-4</v>
      </c>
      <c r="N1117">
        <v>2.0000000000000001E-4</v>
      </c>
      <c r="O1117">
        <v>2.0000000000000001E-4</v>
      </c>
      <c r="P1117">
        <v>2.0000000000000001E-4</v>
      </c>
      <c r="Q1117">
        <v>2.0000000000000001E-4</v>
      </c>
      <c r="R1117">
        <v>2.0000000000000001E-4</v>
      </c>
      <c r="S1117">
        <v>2.0000000000000001E-4</v>
      </c>
      <c r="T1117">
        <v>2.0000000000000001E-4</v>
      </c>
      <c r="U1117">
        <v>2.0000000000000001E-4</v>
      </c>
      <c r="V1117">
        <v>2.0000000000000001E-4</v>
      </c>
      <c r="W1117">
        <v>2.0000000000000001E-4</v>
      </c>
      <c r="X1117">
        <v>2.0000000000000001E-4</v>
      </c>
      <c r="Y1117">
        <v>2.0000000000000001E-4</v>
      </c>
    </row>
    <row r="1118" spans="1:25" hidden="1">
      <c r="A1118" t="s">
        <v>18807</v>
      </c>
      <c r="B1118" t="s">
        <v>949</v>
      </c>
      <c r="C1118" t="s">
        <v>943</v>
      </c>
      <c r="D1118" t="s">
        <v>950</v>
      </c>
      <c r="E1118" t="s">
        <v>646</v>
      </c>
      <c r="F1118" t="s">
        <v>598</v>
      </c>
      <c r="G1118" t="s">
        <v>599</v>
      </c>
      <c r="H1118" t="s">
        <v>600</v>
      </c>
      <c r="I1118" t="s">
        <v>601</v>
      </c>
      <c r="J1118">
        <v>2.8999999999999998E-3</v>
      </c>
      <c r="K1118">
        <v>3.0000000000000001E-3</v>
      </c>
      <c r="L1118">
        <v>3.0000000000000001E-3</v>
      </c>
      <c r="M1118">
        <v>3.0000000000000001E-3</v>
      </c>
      <c r="N1118">
        <v>3.0000000000000001E-3</v>
      </c>
      <c r="O1118">
        <v>3.0999999999999999E-3</v>
      </c>
      <c r="P1118">
        <v>3.0999999999999999E-3</v>
      </c>
      <c r="Q1118">
        <v>3.0999999999999999E-3</v>
      </c>
      <c r="R1118">
        <v>3.2000000000000002E-3</v>
      </c>
      <c r="S1118">
        <v>3.2000000000000002E-3</v>
      </c>
      <c r="T1118">
        <v>3.2000000000000002E-3</v>
      </c>
      <c r="U1118">
        <v>3.2000000000000002E-3</v>
      </c>
      <c r="V1118">
        <v>3.3E-3</v>
      </c>
      <c r="W1118">
        <v>3.3E-3</v>
      </c>
      <c r="X1118">
        <v>3.3E-3</v>
      </c>
      <c r="Y1118">
        <v>3.3E-3</v>
      </c>
    </row>
    <row r="1119" spans="1:25" hidden="1">
      <c r="A1119" t="s">
        <v>18807</v>
      </c>
      <c r="B1119" t="s">
        <v>951</v>
      </c>
      <c r="C1119" t="s">
        <v>943</v>
      </c>
      <c r="D1119" t="s">
        <v>934</v>
      </c>
      <c r="E1119" t="s">
        <v>937</v>
      </c>
      <c r="F1119" t="s">
        <v>598</v>
      </c>
      <c r="G1119" t="s">
        <v>599</v>
      </c>
      <c r="H1119" t="s">
        <v>600</v>
      </c>
      <c r="I1119" t="s">
        <v>601</v>
      </c>
      <c r="J1119">
        <v>6.1000000000000004E-3</v>
      </c>
      <c r="K1119">
        <v>6.1999999999999998E-3</v>
      </c>
      <c r="L1119">
        <v>6.3E-3</v>
      </c>
      <c r="M1119">
        <v>6.4000000000000003E-3</v>
      </c>
      <c r="N1119">
        <v>6.4000000000000003E-3</v>
      </c>
      <c r="O1119">
        <v>6.4999999999999997E-3</v>
      </c>
      <c r="P1119">
        <v>6.4999999999999997E-3</v>
      </c>
      <c r="Q1119">
        <v>6.6E-3</v>
      </c>
      <c r="R1119">
        <v>6.6E-3</v>
      </c>
      <c r="S1119">
        <v>6.7000000000000002E-3</v>
      </c>
      <c r="T1119">
        <v>6.7000000000000002E-3</v>
      </c>
      <c r="U1119">
        <v>6.7999999999999996E-3</v>
      </c>
      <c r="V1119">
        <v>6.7999999999999996E-3</v>
      </c>
      <c r="W1119">
        <v>6.8999999999999999E-3</v>
      </c>
      <c r="X1119">
        <v>6.8999999999999999E-3</v>
      </c>
      <c r="Y1119">
        <v>7.0000000000000001E-3</v>
      </c>
    </row>
    <row r="1120" spans="1:25" hidden="1">
      <c r="A1120" t="s">
        <v>18807</v>
      </c>
      <c r="B1120" t="s">
        <v>955</v>
      </c>
      <c r="C1120" t="s">
        <v>956</v>
      </c>
      <c r="D1120" t="s">
        <v>931</v>
      </c>
      <c r="E1120" t="s">
        <v>597</v>
      </c>
      <c r="F1120" t="s">
        <v>598</v>
      </c>
      <c r="G1120" t="s">
        <v>599</v>
      </c>
      <c r="H1120" t="s">
        <v>600</v>
      </c>
      <c r="I1120" t="s">
        <v>601</v>
      </c>
      <c r="J1120">
        <v>1.1000000000000001E-3</v>
      </c>
      <c r="K1120">
        <v>1.1999999999999999E-3</v>
      </c>
      <c r="L1120">
        <v>1.1999999999999999E-3</v>
      </c>
      <c r="M1120">
        <v>1.1999999999999999E-3</v>
      </c>
      <c r="N1120">
        <v>1.2999999999999999E-3</v>
      </c>
      <c r="O1120">
        <v>1.2999999999999999E-3</v>
      </c>
      <c r="P1120">
        <v>1.2999999999999999E-3</v>
      </c>
      <c r="Q1120">
        <v>1.4E-3</v>
      </c>
      <c r="R1120">
        <v>1.4E-3</v>
      </c>
      <c r="S1120">
        <v>1.5E-3</v>
      </c>
      <c r="T1120">
        <v>1.5E-3</v>
      </c>
      <c r="U1120">
        <v>1.6000000000000001E-3</v>
      </c>
      <c r="V1120">
        <v>1.6000000000000001E-3</v>
      </c>
      <c r="W1120">
        <v>1.6999999999999999E-3</v>
      </c>
      <c r="X1120">
        <v>1.6999999999999999E-3</v>
      </c>
      <c r="Y1120">
        <v>1.9E-3</v>
      </c>
    </row>
    <row r="1121" spans="1:25" hidden="1">
      <c r="A1121" t="s">
        <v>18807</v>
      </c>
      <c r="B1121" t="s">
        <v>957</v>
      </c>
      <c r="C1121" t="s">
        <v>956</v>
      </c>
      <c r="D1121" t="s">
        <v>931</v>
      </c>
      <c r="E1121" t="s">
        <v>605</v>
      </c>
      <c r="F1121" t="s">
        <v>598</v>
      </c>
      <c r="G1121" t="s">
        <v>599</v>
      </c>
      <c r="H1121" t="s">
        <v>600</v>
      </c>
      <c r="I1121" t="s">
        <v>601</v>
      </c>
      <c r="J1121">
        <v>1E-4</v>
      </c>
      <c r="K1121">
        <v>1E-4</v>
      </c>
      <c r="L1121">
        <v>1E-4</v>
      </c>
      <c r="M1121">
        <v>1E-4</v>
      </c>
      <c r="N1121">
        <v>1E-4</v>
      </c>
      <c r="O1121">
        <v>1E-4</v>
      </c>
      <c r="P1121">
        <v>1E-4</v>
      </c>
      <c r="Q1121">
        <v>1E-4</v>
      </c>
      <c r="R1121">
        <v>1E-4</v>
      </c>
      <c r="S1121">
        <v>1E-4</v>
      </c>
      <c r="T1121">
        <v>1E-4</v>
      </c>
      <c r="U1121">
        <v>1E-4</v>
      </c>
      <c r="V1121">
        <v>1E-4</v>
      </c>
      <c r="W1121">
        <v>1E-4</v>
      </c>
      <c r="X1121">
        <v>1E-4</v>
      </c>
      <c r="Y1121">
        <v>1E-4</v>
      </c>
    </row>
    <row r="1122" spans="1:25" hidden="1">
      <c r="A1122" t="s">
        <v>18807</v>
      </c>
      <c r="B1122" t="s">
        <v>958</v>
      </c>
      <c r="C1122" t="s">
        <v>956</v>
      </c>
      <c r="D1122" t="s">
        <v>931</v>
      </c>
      <c r="E1122" t="s">
        <v>656</v>
      </c>
      <c r="F1122" t="s">
        <v>598</v>
      </c>
      <c r="G1122" t="s">
        <v>599</v>
      </c>
      <c r="H1122" t="s">
        <v>600</v>
      </c>
      <c r="I1122" t="s">
        <v>601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hidden="1">
      <c r="A1123" t="s">
        <v>18807</v>
      </c>
      <c r="B1123" t="s">
        <v>959</v>
      </c>
      <c r="C1123" t="s">
        <v>956</v>
      </c>
      <c r="D1123" t="s">
        <v>931</v>
      </c>
      <c r="E1123" t="s">
        <v>613</v>
      </c>
      <c r="F1123" t="s">
        <v>598</v>
      </c>
      <c r="G1123" t="s">
        <v>599</v>
      </c>
      <c r="H1123" t="s">
        <v>600</v>
      </c>
      <c r="I1123" t="s">
        <v>601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18807</v>
      </c>
      <c r="B1124" t="s">
        <v>960</v>
      </c>
      <c r="C1124" t="s">
        <v>956</v>
      </c>
      <c r="D1124" t="s">
        <v>931</v>
      </c>
      <c r="E1124" t="s">
        <v>961</v>
      </c>
      <c r="F1124" t="s">
        <v>598</v>
      </c>
      <c r="G1124" t="s">
        <v>599</v>
      </c>
      <c r="H1124" t="s">
        <v>600</v>
      </c>
      <c r="I1124" t="s">
        <v>601</v>
      </c>
      <c r="J1124">
        <v>6.9999999999999999E-4</v>
      </c>
      <c r="K1124">
        <v>6.9999999999999999E-4</v>
      </c>
      <c r="L1124">
        <v>6.9999999999999999E-4</v>
      </c>
      <c r="M1124">
        <v>6.9999999999999999E-4</v>
      </c>
      <c r="N1124">
        <v>6.9999999999999999E-4</v>
      </c>
      <c r="O1124">
        <v>6.9999999999999999E-4</v>
      </c>
      <c r="P1124">
        <v>6.9999999999999999E-4</v>
      </c>
      <c r="Q1124">
        <v>6.9999999999999999E-4</v>
      </c>
      <c r="R1124">
        <v>6.9999999999999999E-4</v>
      </c>
      <c r="S1124">
        <v>6.9999999999999999E-4</v>
      </c>
      <c r="T1124">
        <v>6.9999999999999999E-4</v>
      </c>
      <c r="U1124">
        <v>6.9999999999999999E-4</v>
      </c>
      <c r="V1124">
        <v>6.9999999999999999E-4</v>
      </c>
      <c r="W1124">
        <v>6.9999999999999999E-4</v>
      </c>
      <c r="X1124">
        <v>6.9999999999999999E-4</v>
      </c>
      <c r="Y1124">
        <v>6.9999999999999999E-4</v>
      </c>
    </row>
    <row r="1125" spans="1:25" hidden="1">
      <c r="A1125" t="s">
        <v>18807</v>
      </c>
      <c r="B1125" t="s">
        <v>965</v>
      </c>
      <c r="C1125" t="s">
        <v>956</v>
      </c>
      <c r="D1125" t="s">
        <v>934</v>
      </c>
      <c r="E1125" t="s">
        <v>937</v>
      </c>
      <c r="F1125" t="s">
        <v>598</v>
      </c>
      <c r="G1125" t="s">
        <v>599</v>
      </c>
      <c r="H1125" t="s">
        <v>600</v>
      </c>
      <c r="I1125" t="s">
        <v>601</v>
      </c>
      <c r="J1125">
        <v>5.5999999999999999E-3</v>
      </c>
      <c r="K1125">
        <v>5.7000000000000002E-3</v>
      </c>
      <c r="L1125">
        <v>5.7000000000000002E-3</v>
      </c>
      <c r="M1125">
        <v>5.7999999999999996E-3</v>
      </c>
      <c r="N1125">
        <v>5.7999999999999996E-3</v>
      </c>
      <c r="O1125">
        <v>5.8999999999999999E-3</v>
      </c>
      <c r="P1125">
        <v>6.0000000000000001E-3</v>
      </c>
      <c r="Q1125">
        <v>6.0000000000000001E-3</v>
      </c>
      <c r="R1125">
        <v>6.1000000000000004E-3</v>
      </c>
      <c r="S1125">
        <v>6.1000000000000004E-3</v>
      </c>
      <c r="T1125">
        <v>6.1999999999999998E-3</v>
      </c>
      <c r="U1125">
        <v>6.1999999999999998E-3</v>
      </c>
      <c r="V1125">
        <v>6.3E-3</v>
      </c>
      <c r="W1125">
        <v>6.3E-3</v>
      </c>
      <c r="X1125">
        <v>6.3E-3</v>
      </c>
      <c r="Y1125">
        <v>6.3E-3</v>
      </c>
    </row>
    <row r="1126" spans="1:25" hidden="1">
      <c r="A1126" t="s">
        <v>18807</v>
      </c>
      <c r="B1126" t="s">
        <v>968</v>
      </c>
      <c r="C1126" t="s">
        <v>956</v>
      </c>
      <c r="D1126" t="s">
        <v>648</v>
      </c>
      <c r="E1126" t="s">
        <v>961</v>
      </c>
      <c r="F1126" t="s">
        <v>598</v>
      </c>
      <c r="G1126" t="s">
        <v>599</v>
      </c>
      <c r="H1126" t="s">
        <v>600</v>
      </c>
      <c r="I1126" t="s">
        <v>601</v>
      </c>
      <c r="J1126">
        <v>1.6000000000000001E-3</v>
      </c>
      <c r="K1126">
        <v>1.6999999999999999E-3</v>
      </c>
      <c r="L1126">
        <v>1.6999999999999999E-3</v>
      </c>
      <c r="M1126">
        <v>1.6999999999999999E-3</v>
      </c>
      <c r="N1126">
        <v>1.6999999999999999E-3</v>
      </c>
      <c r="O1126">
        <v>1.6999999999999999E-3</v>
      </c>
      <c r="P1126">
        <v>1.6999999999999999E-3</v>
      </c>
      <c r="Q1126">
        <v>1.6999999999999999E-3</v>
      </c>
      <c r="R1126">
        <v>1.8E-3</v>
      </c>
      <c r="S1126">
        <v>1.8E-3</v>
      </c>
      <c r="T1126">
        <v>1.8E-3</v>
      </c>
      <c r="U1126">
        <v>1.8E-3</v>
      </c>
      <c r="V1126">
        <v>1.8E-3</v>
      </c>
      <c r="W1126">
        <v>1.8E-3</v>
      </c>
      <c r="X1126">
        <v>1.8E-3</v>
      </c>
      <c r="Y1126">
        <v>1.8E-3</v>
      </c>
    </row>
    <row r="1127" spans="1:25" hidden="1">
      <c r="A1127" t="s">
        <v>18807</v>
      </c>
      <c r="B1127" t="s">
        <v>974</v>
      </c>
      <c r="C1127" t="s">
        <v>971</v>
      </c>
      <c r="D1127" t="s">
        <v>648</v>
      </c>
      <c r="E1127" t="s">
        <v>973</v>
      </c>
      <c r="F1127" t="s">
        <v>598</v>
      </c>
      <c r="G1127" t="s">
        <v>599</v>
      </c>
      <c r="H1127" t="s">
        <v>600</v>
      </c>
      <c r="I1127" t="s">
        <v>601</v>
      </c>
      <c r="J1127">
        <v>5.7999999999999996E-3</v>
      </c>
      <c r="K1127">
        <v>5.7999999999999996E-3</v>
      </c>
      <c r="L1127">
        <v>5.8999999999999999E-3</v>
      </c>
      <c r="M1127">
        <v>5.8999999999999999E-3</v>
      </c>
      <c r="N1127">
        <v>5.8999999999999999E-3</v>
      </c>
      <c r="O1127">
        <v>6.0000000000000001E-3</v>
      </c>
      <c r="P1127">
        <v>6.0000000000000001E-3</v>
      </c>
      <c r="Q1127">
        <v>6.0000000000000001E-3</v>
      </c>
      <c r="R1127">
        <v>6.1000000000000004E-3</v>
      </c>
      <c r="S1127">
        <v>6.1000000000000004E-3</v>
      </c>
      <c r="T1127">
        <v>6.1999999999999998E-3</v>
      </c>
      <c r="U1127">
        <v>6.1999999999999998E-3</v>
      </c>
      <c r="V1127">
        <v>6.1999999999999998E-3</v>
      </c>
      <c r="W1127">
        <v>6.1999999999999998E-3</v>
      </c>
      <c r="X1127">
        <v>6.3E-3</v>
      </c>
      <c r="Y1127">
        <v>6.3E-3</v>
      </c>
    </row>
    <row r="1128" spans="1:25" hidden="1">
      <c r="A1128" t="s">
        <v>18807</v>
      </c>
      <c r="B1128" t="s">
        <v>975</v>
      </c>
      <c r="C1128" t="s">
        <v>971</v>
      </c>
      <c r="D1128" t="s">
        <v>648</v>
      </c>
      <c r="E1128" t="s">
        <v>597</v>
      </c>
      <c r="F1128" t="s">
        <v>598</v>
      </c>
      <c r="G1128" t="s">
        <v>599</v>
      </c>
      <c r="H1128" t="s">
        <v>600</v>
      </c>
      <c r="I1128" t="s">
        <v>601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hidden="1">
      <c r="A1129" t="s">
        <v>18807</v>
      </c>
      <c r="B1129" t="s">
        <v>976</v>
      </c>
      <c r="C1129" t="s">
        <v>971</v>
      </c>
      <c r="D1129" t="s">
        <v>648</v>
      </c>
      <c r="E1129" t="s">
        <v>642</v>
      </c>
      <c r="F1129" t="s">
        <v>598</v>
      </c>
      <c r="G1129" t="s">
        <v>599</v>
      </c>
      <c r="H1129" t="s">
        <v>600</v>
      </c>
      <c r="I1129" t="s">
        <v>601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18807</v>
      </c>
      <c r="B1130" t="s">
        <v>977</v>
      </c>
      <c r="C1130" t="s">
        <v>971</v>
      </c>
      <c r="D1130" t="s">
        <v>648</v>
      </c>
      <c r="E1130" t="s">
        <v>613</v>
      </c>
      <c r="F1130" t="s">
        <v>598</v>
      </c>
      <c r="G1130" t="s">
        <v>599</v>
      </c>
      <c r="H1130" t="s">
        <v>600</v>
      </c>
      <c r="I1130" t="s">
        <v>601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18807</v>
      </c>
      <c r="B1131" t="s">
        <v>979</v>
      </c>
      <c r="C1131" t="s">
        <v>980</v>
      </c>
      <c r="D1131" t="s">
        <v>931</v>
      </c>
      <c r="E1131" t="s">
        <v>937</v>
      </c>
      <c r="F1131" t="s">
        <v>598</v>
      </c>
      <c r="G1131" t="s">
        <v>599</v>
      </c>
      <c r="H1131" t="s">
        <v>600</v>
      </c>
      <c r="I1131" t="s">
        <v>601</v>
      </c>
      <c r="J1131">
        <v>1E-4</v>
      </c>
      <c r="K1131">
        <v>1E-4</v>
      </c>
      <c r="L1131">
        <v>1E-4</v>
      </c>
      <c r="M1131">
        <v>1E-4</v>
      </c>
      <c r="N1131">
        <v>1E-4</v>
      </c>
      <c r="O1131">
        <v>1E-4</v>
      </c>
      <c r="P1131">
        <v>1E-4</v>
      </c>
      <c r="Q1131">
        <v>1E-4</v>
      </c>
      <c r="R1131">
        <v>1E-4</v>
      </c>
      <c r="S1131">
        <v>1E-4</v>
      </c>
      <c r="T1131">
        <v>1E-4</v>
      </c>
      <c r="U1131">
        <v>1E-4</v>
      </c>
      <c r="V1131">
        <v>1E-4</v>
      </c>
      <c r="W1131">
        <v>1E-4</v>
      </c>
      <c r="X1131">
        <v>1E-4</v>
      </c>
      <c r="Y1131">
        <v>1E-4</v>
      </c>
    </row>
    <row r="1132" spans="1:25" hidden="1">
      <c r="A1132" t="s">
        <v>18807</v>
      </c>
      <c r="B1132" t="s">
        <v>981</v>
      </c>
      <c r="C1132" t="s">
        <v>980</v>
      </c>
      <c r="D1132" t="s">
        <v>982</v>
      </c>
      <c r="E1132" t="s">
        <v>613</v>
      </c>
      <c r="F1132" t="s">
        <v>598</v>
      </c>
      <c r="G1132" t="s">
        <v>599</v>
      </c>
      <c r="H1132" t="s">
        <v>600</v>
      </c>
      <c r="I1132" t="s">
        <v>601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18807</v>
      </c>
      <c r="B1133" t="s">
        <v>983</v>
      </c>
      <c r="C1133" t="s">
        <v>980</v>
      </c>
      <c r="D1133" t="s">
        <v>982</v>
      </c>
      <c r="E1133" t="s">
        <v>984</v>
      </c>
      <c r="F1133" t="s">
        <v>598</v>
      </c>
      <c r="G1133" t="s">
        <v>599</v>
      </c>
      <c r="H1133" t="s">
        <v>600</v>
      </c>
      <c r="I1133" t="s">
        <v>601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hidden="1">
      <c r="A1134" t="s">
        <v>18807</v>
      </c>
      <c r="B1134" t="s">
        <v>985</v>
      </c>
      <c r="C1134" t="s">
        <v>980</v>
      </c>
      <c r="D1134" t="s">
        <v>986</v>
      </c>
      <c r="E1134" t="s">
        <v>973</v>
      </c>
      <c r="F1134" t="s">
        <v>598</v>
      </c>
      <c r="G1134" t="s">
        <v>599</v>
      </c>
      <c r="H1134" t="s">
        <v>600</v>
      </c>
      <c r="I1134" t="s">
        <v>601</v>
      </c>
      <c r="J1134">
        <v>8.9999999999999998E-4</v>
      </c>
      <c r="K1134">
        <v>8.9999999999999998E-4</v>
      </c>
      <c r="L1134">
        <v>8.9999999999999998E-4</v>
      </c>
      <c r="M1134">
        <v>8.9999999999999998E-4</v>
      </c>
      <c r="N1134">
        <v>8.9999999999999998E-4</v>
      </c>
      <c r="O1134">
        <v>8.9999999999999998E-4</v>
      </c>
      <c r="P1134">
        <v>8.9999999999999998E-4</v>
      </c>
      <c r="Q1134">
        <v>1E-3</v>
      </c>
      <c r="R1134">
        <v>1E-3</v>
      </c>
      <c r="S1134">
        <v>1E-3</v>
      </c>
      <c r="T1134">
        <v>1E-3</v>
      </c>
      <c r="U1134">
        <v>1E-3</v>
      </c>
      <c r="V1134">
        <v>1E-3</v>
      </c>
      <c r="W1134">
        <v>1E-3</v>
      </c>
      <c r="X1134">
        <v>1E-3</v>
      </c>
      <c r="Y1134">
        <v>1E-3</v>
      </c>
    </row>
    <row r="1135" spans="1:25" hidden="1">
      <c r="A1135" t="s">
        <v>18807</v>
      </c>
      <c r="B1135" t="s">
        <v>989</v>
      </c>
      <c r="C1135" t="s">
        <v>980</v>
      </c>
      <c r="D1135" t="s">
        <v>648</v>
      </c>
      <c r="E1135" t="s">
        <v>613</v>
      </c>
      <c r="F1135" t="s">
        <v>598</v>
      </c>
      <c r="G1135" t="s">
        <v>599</v>
      </c>
      <c r="H1135" t="s">
        <v>600</v>
      </c>
      <c r="I1135" t="s">
        <v>601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hidden="1">
      <c r="A1136" t="s">
        <v>18807</v>
      </c>
      <c r="B1136" t="s">
        <v>990</v>
      </c>
      <c r="C1136" t="s">
        <v>980</v>
      </c>
      <c r="D1136" t="s">
        <v>648</v>
      </c>
      <c r="E1136" t="s">
        <v>984</v>
      </c>
      <c r="F1136" t="s">
        <v>598</v>
      </c>
      <c r="G1136" t="s">
        <v>599</v>
      </c>
      <c r="H1136" t="s">
        <v>600</v>
      </c>
      <c r="I1136" t="s">
        <v>601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1E-4</v>
      </c>
      <c r="W1136">
        <v>1E-4</v>
      </c>
      <c r="X1136">
        <v>1E-4</v>
      </c>
      <c r="Y1136">
        <v>1E-4</v>
      </c>
    </row>
    <row r="1137" spans="1:25" hidden="1">
      <c r="A1137" t="s">
        <v>18807</v>
      </c>
      <c r="B1137" t="s">
        <v>997</v>
      </c>
      <c r="C1137" t="s">
        <v>998</v>
      </c>
      <c r="D1137" t="s">
        <v>999</v>
      </c>
      <c r="E1137" t="s">
        <v>1000</v>
      </c>
      <c r="F1137" t="s">
        <v>598</v>
      </c>
      <c r="G1137" t="s">
        <v>599</v>
      </c>
      <c r="H1137" t="s">
        <v>600</v>
      </c>
      <c r="I1137" t="s">
        <v>601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</row>
    <row r="1138" spans="1:25" hidden="1">
      <c r="A1138" t="s">
        <v>18807</v>
      </c>
      <c r="B1138" t="s">
        <v>1005</v>
      </c>
      <c r="C1138" t="s">
        <v>998</v>
      </c>
      <c r="D1138" t="s">
        <v>999</v>
      </c>
      <c r="E1138" t="s">
        <v>1006</v>
      </c>
      <c r="F1138" t="s">
        <v>598</v>
      </c>
      <c r="G1138" t="s">
        <v>599</v>
      </c>
      <c r="H1138" t="s">
        <v>600</v>
      </c>
      <c r="I1138" t="s">
        <v>601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18807</v>
      </c>
      <c r="B1139" t="s">
        <v>1009</v>
      </c>
      <c r="C1139" t="s">
        <v>998</v>
      </c>
      <c r="D1139" t="s">
        <v>999</v>
      </c>
      <c r="E1139" t="s">
        <v>1010</v>
      </c>
      <c r="F1139" t="s">
        <v>598</v>
      </c>
      <c r="G1139" t="s">
        <v>599</v>
      </c>
      <c r="H1139" t="s">
        <v>600</v>
      </c>
      <c r="I1139" t="s">
        <v>601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hidden="1">
      <c r="A1140" t="s">
        <v>18807</v>
      </c>
      <c r="B1140" t="s">
        <v>1015</v>
      </c>
      <c r="C1140" t="s">
        <v>1016</v>
      </c>
      <c r="D1140" t="s">
        <v>1017</v>
      </c>
      <c r="E1140" t="s">
        <v>1018</v>
      </c>
      <c r="F1140" t="s">
        <v>598</v>
      </c>
      <c r="G1140" t="s">
        <v>599</v>
      </c>
      <c r="H1140" t="s">
        <v>600</v>
      </c>
      <c r="I1140" t="s">
        <v>601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18807</v>
      </c>
      <c r="B1141" t="s">
        <v>1019</v>
      </c>
      <c r="C1141" t="s">
        <v>1016</v>
      </c>
      <c r="D1141" t="s">
        <v>1017</v>
      </c>
      <c r="E1141" t="s">
        <v>1020</v>
      </c>
      <c r="F1141" t="s">
        <v>598</v>
      </c>
      <c r="G1141" t="s">
        <v>599</v>
      </c>
      <c r="H1141" t="s">
        <v>600</v>
      </c>
      <c r="I1141" t="s">
        <v>601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18807</v>
      </c>
      <c r="B1142" t="s">
        <v>1021</v>
      </c>
      <c r="C1142" t="s">
        <v>1016</v>
      </c>
      <c r="D1142" t="s">
        <v>1017</v>
      </c>
      <c r="E1142" t="s">
        <v>1022</v>
      </c>
      <c r="F1142" t="s">
        <v>598</v>
      </c>
      <c r="G1142" t="s">
        <v>599</v>
      </c>
      <c r="H1142" t="s">
        <v>600</v>
      </c>
      <c r="I1142" t="s">
        <v>601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18807</v>
      </c>
      <c r="B1143" t="s">
        <v>1023</v>
      </c>
      <c r="C1143" t="s">
        <v>1016</v>
      </c>
      <c r="D1143" t="s">
        <v>1017</v>
      </c>
      <c r="E1143" t="s">
        <v>1024</v>
      </c>
      <c r="F1143" t="s">
        <v>598</v>
      </c>
      <c r="G1143" t="s">
        <v>599</v>
      </c>
      <c r="H1143" t="s">
        <v>600</v>
      </c>
      <c r="I1143" t="s">
        <v>601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hidden="1">
      <c r="A1144" t="s">
        <v>18807</v>
      </c>
      <c r="B1144" t="s">
        <v>1025</v>
      </c>
      <c r="C1144" t="s">
        <v>1016</v>
      </c>
      <c r="D1144" t="s">
        <v>1017</v>
      </c>
      <c r="E1144" t="s">
        <v>1026</v>
      </c>
      <c r="F1144" t="s">
        <v>598</v>
      </c>
      <c r="G1144" t="s">
        <v>599</v>
      </c>
      <c r="H1144" t="s">
        <v>600</v>
      </c>
      <c r="I1144" t="s">
        <v>601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hidden="1">
      <c r="A1145" t="s">
        <v>18807</v>
      </c>
      <c r="B1145" t="s">
        <v>1027</v>
      </c>
      <c r="C1145" t="s">
        <v>1016</v>
      </c>
      <c r="D1145" t="s">
        <v>1017</v>
      </c>
      <c r="E1145" t="s">
        <v>1028</v>
      </c>
      <c r="F1145" t="s">
        <v>598</v>
      </c>
      <c r="G1145" t="s">
        <v>599</v>
      </c>
      <c r="H1145" t="s">
        <v>600</v>
      </c>
      <c r="I1145" t="s">
        <v>601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18807</v>
      </c>
      <c r="B1146" t="s">
        <v>1029</v>
      </c>
      <c r="C1146" t="s">
        <v>1016</v>
      </c>
      <c r="D1146" t="s">
        <v>1017</v>
      </c>
      <c r="E1146" t="s">
        <v>1030</v>
      </c>
      <c r="F1146" t="s">
        <v>598</v>
      </c>
      <c r="G1146" t="s">
        <v>599</v>
      </c>
      <c r="H1146" t="s">
        <v>600</v>
      </c>
      <c r="I1146" t="s">
        <v>601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hidden="1">
      <c r="A1147" t="s">
        <v>18807</v>
      </c>
      <c r="B1147" t="s">
        <v>1034</v>
      </c>
      <c r="C1147" t="s">
        <v>1016</v>
      </c>
      <c r="D1147" t="s">
        <v>1017</v>
      </c>
      <c r="E1147" t="s">
        <v>1035</v>
      </c>
      <c r="F1147" t="s">
        <v>598</v>
      </c>
      <c r="G1147" t="s">
        <v>599</v>
      </c>
      <c r="H1147" t="s">
        <v>600</v>
      </c>
      <c r="I1147" t="s">
        <v>601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hidden="1">
      <c r="A1148" t="s">
        <v>18807</v>
      </c>
      <c r="B1148" t="s">
        <v>1037</v>
      </c>
      <c r="C1148" t="s">
        <v>1016</v>
      </c>
      <c r="D1148" t="s">
        <v>1017</v>
      </c>
      <c r="E1148" t="s">
        <v>1038</v>
      </c>
      <c r="F1148" t="s">
        <v>598</v>
      </c>
      <c r="G1148" t="s">
        <v>599</v>
      </c>
      <c r="H1148" t="s">
        <v>600</v>
      </c>
      <c r="I1148" t="s">
        <v>601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hidden="1">
      <c r="A1149" t="s">
        <v>18807</v>
      </c>
      <c r="B1149" t="s">
        <v>1039</v>
      </c>
      <c r="C1149" t="s">
        <v>1016</v>
      </c>
      <c r="D1149" t="s">
        <v>1017</v>
      </c>
      <c r="E1149" t="s">
        <v>1040</v>
      </c>
      <c r="F1149" t="s">
        <v>598</v>
      </c>
      <c r="G1149" t="s">
        <v>599</v>
      </c>
      <c r="H1149" t="s">
        <v>600</v>
      </c>
      <c r="I1149" t="s">
        <v>601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hidden="1">
      <c r="A1150" t="s">
        <v>18807</v>
      </c>
      <c r="B1150" t="s">
        <v>1041</v>
      </c>
      <c r="C1150" t="s">
        <v>1016</v>
      </c>
      <c r="D1150" t="s">
        <v>1017</v>
      </c>
      <c r="E1150" t="s">
        <v>1042</v>
      </c>
      <c r="F1150" t="s">
        <v>598</v>
      </c>
      <c r="G1150" t="s">
        <v>599</v>
      </c>
      <c r="H1150" t="s">
        <v>600</v>
      </c>
      <c r="I1150" t="s">
        <v>601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18807</v>
      </c>
      <c r="B1151" t="s">
        <v>1045</v>
      </c>
      <c r="C1151" t="s">
        <v>1016</v>
      </c>
      <c r="D1151" t="s">
        <v>1017</v>
      </c>
      <c r="E1151" t="s">
        <v>1046</v>
      </c>
      <c r="F1151" t="s">
        <v>598</v>
      </c>
      <c r="G1151" t="s">
        <v>599</v>
      </c>
      <c r="H1151" t="s">
        <v>600</v>
      </c>
      <c r="I1151" t="s">
        <v>601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hidden="1">
      <c r="A1152" t="s">
        <v>18807</v>
      </c>
      <c r="B1152" t="s">
        <v>1047</v>
      </c>
      <c r="C1152" t="s">
        <v>1016</v>
      </c>
      <c r="D1152" t="s">
        <v>1017</v>
      </c>
      <c r="E1152" t="s">
        <v>1048</v>
      </c>
      <c r="F1152" t="s">
        <v>598</v>
      </c>
      <c r="G1152" t="s">
        <v>599</v>
      </c>
      <c r="H1152" t="s">
        <v>600</v>
      </c>
      <c r="I1152" t="s">
        <v>601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18807</v>
      </c>
      <c r="B1153" t="s">
        <v>1049</v>
      </c>
      <c r="C1153" t="s">
        <v>1016</v>
      </c>
      <c r="D1153" t="s">
        <v>1050</v>
      </c>
      <c r="E1153" t="s">
        <v>1024</v>
      </c>
      <c r="F1153" t="s">
        <v>598</v>
      </c>
      <c r="G1153" t="s">
        <v>599</v>
      </c>
      <c r="H1153" t="s">
        <v>600</v>
      </c>
      <c r="I1153" t="s">
        <v>601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hidden="1">
      <c r="A1154" t="s">
        <v>18807</v>
      </c>
      <c r="B1154" t="s">
        <v>1051</v>
      </c>
      <c r="C1154" t="s">
        <v>1016</v>
      </c>
      <c r="D1154" t="s">
        <v>1050</v>
      </c>
      <c r="E1154" t="s">
        <v>1052</v>
      </c>
      <c r="F1154" t="s">
        <v>598</v>
      </c>
      <c r="G1154" t="s">
        <v>599</v>
      </c>
      <c r="H1154" t="s">
        <v>600</v>
      </c>
      <c r="I1154" t="s">
        <v>601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hidden="1">
      <c r="A1155" t="s">
        <v>18807</v>
      </c>
      <c r="B1155" t="s">
        <v>1053</v>
      </c>
      <c r="C1155" t="s">
        <v>1016</v>
      </c>
      <c r="D1155" t="s">
        <v>1050</v>
      </c>
      <c r="E1155" t="s">
        <v>1000</v>
      </c>
      <c r="F1155" t="s">
        <v>598</v>
      </c>
      <c r="G1155" t="s">
        <v>599</v>
      </c>
      <c r="H1155" t="s">
        <v>600</v>
      </c>
      <c r="I1155" t="s">
        <v>601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hidden="1">
      <c r="A1156" t="s">
        <v>18807</v>
      </c>
      <c r="B1156" t="s">
        <v>1054</v>
      </c>
      <c r="C1156" t="s">
        <v>1016</v>
      </c>
      <c r="D1156" t="s">
        <v>1050</v>
      </c>
      <c r="E1156" t="s">
        <v>1055</v>
      </c>
      <c r="F1156" t="s">
        <v>598</v>
      </c>
      <c r="G1156" t="s">
        <v>599</v>
      </c>
      <c r="H1156" t="s">
        <v>600</v>
      </c>
      <c r="I1156" t="s">
        <v>601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hidden="1">
      <c r="A1157" t="s">
        <v>18807</v>
      </c>
      <c r="B1157" t="s">
        <v>1059</v>
      </c>
      <c r="C1157" t="s">
        <v>1016</v>
      </c>
      <c r="D1157" t="s">
        <v>1050</v>
      </c>
      <c r="E1157" t="s">
        <v>1042</v>
      </c>
      <c r="F1157" t="s">
        <v>598</v>
      </c>
      <c r="G1157" t="s">
        <v>599</v>
      </c>
      <c r="H1157" t="s">
        <v>600</v>
      </c>
      <c r="I1157" t="s">
        <v>601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hidden="1">
      <c r="A1158" t="s">
        <v>18807</v>
      </c>
      <c r="B1158" t="s">
        <v>1060</v>
      </c>
      <c r="C1158" t="s">
        <v>1016</v>
      </c>
      <c r="D1158" t="s">
        <v>1050</v>
      </c>
      <c r="E1158" t="s">
        <v>1044</v>
      </c>
      <c r="F1158" t="s">
        <v>598</v>
      </c>
      <c r="G1158" t="s">
        <v>599</v>
      </c>
      <c r="H1158" t="s">
        <v>600</v>
      </c>
      <c r="I1158" t="s">
        <v>601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hidden="1">
      <c r="A1159" t="s">
        <v>18807</v>
      </c>
      <c r="B1159" t="s">
        <v>1061</v>
      </c>
      <c r="C1159" t="s">
        <v>1016</v>
      </c>
      <c r="D1159" t="s">
        <v>1050</v>
      </c>
      <c r="E1159" t="s">
        <v>1048</v>
      </c>
      <c r="F1159" t="s">
        <v>598</v>
      </c>
      <c r="G1159" t="s">
        <v>599</v>
      </c>
      <c r="H1159" t="s">
        <v>600</v>
      </c>
      <c r="I1159" t="s">
        <v>601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hidden="1">
      <c r="A1160" t="s">
        <v>18807</v>
      </c>
      <c r="B1160" t="s">
        <v>1062</v>
      </c>
      <c r="C1160" t="s">
        <v>1016</v>
      </c>
      <c r="D1160" t="s">
        <v>1063</v>
      </c>
      <c r="E1160" t="s">
        <v>1018</v>
      </c>
      <c r="F1160" t="s">
        <v>598</v>
      </c>
      <c r="G1160" t="s">
        <v>599</v>
      </c>
      <c r="H1160" t="s">
        <v>600</v>
      </c>
      <c r="I1160" t="s">
        <v>601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hidden="1">
      <c r="A1161" t="s">
        <v>18807</v>
      </c>
      <c r="B1161" t="s">
        <v>1064</v>
      </c>
      <c r="C1161" t="s">
        <v>1016</v>
      </c>
      <c r="D1161" t="s">
        <v>1063</v>
      </c>
      <c r="E1161" t="s">
        <v>1022</v>
      </c>
      <c r="F1161" t="s">
        <v>598</v>
      </c>
      <c r="G1161" t="s">
        <v>599</v>
      </c>
      <c r="H1161" t="s">
        <v>600</v>
      </c>
      <c r="I1161" t="s">
        <v>601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 hidden="1">
      <c r="A1162" t="s">
        <v>18807</v>
      </c>
      <c r="B1162" t="s">
        <v>1065</v>
      </c>
      <c r="C1162" t="s">
        <v>1016</v>
      </c>
      <c r="D1162" t="s">
        <v>1063</v>
      </c>
      <c r="E1162" t="s">
        <v>1024</v>
      </c>
      <c r="F1162" t="s">
        <v>598</v>
      </c>
      <c r="G1162" t="s">
        <v>599</v>
      </c>
      <c r="H1162" t="s">
        <v>600</v>
      </c>
      <c r="I1162" t="s">
        <v>601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hidden="1">
      <c r="A1163" t="s">
        <v>18807</v>
      </c>
      <c r="B1163" t="s">
        <v>1067</v>
      </c>
      <c r="C1163" t="s">
        <v>1016</v>
      </c>
      <c r="D1163" t="s">
        <v>1063</v>
      </c>
      <c r="E1163" t="s">
        <v>1026</v>
      </c>
      <c r="F1163" t="s">
        <v>598</v>
      </c>
      <c r="G1163" t="s">
        <v>599</v>
      </c>
      <c r="H1163" t="s">
        <v>600</v>
      </c>
      <c r="I1163" t="s">
        <v>601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 hidden="1">
      <c r="A1164" t="s">
        <v>18807</v>
      </c>
      <c r="B1164" t="s">
        <v>1068</v>
      </c>
      <c r="C1164" t="s">
        <v>1016</v>
      </c>
      <c r="D1164" t="s">
        <v>1063</v>
      </c>
      <c r="E1164" t="s">
        <v>1030</v>
      </c>
      <c r="F1164" t="s">
        <v>598</v>
      </c>
      <c r="G1164" t="s">
        <v>599</v>
      </c>
      <c r="H1164" t="s">
        <v>600</v>
      </c>
      <c r="I1164" t="s">
        <v>601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hidden="1">
      <c r="A1165" t="s">
        <v>18807</v>
      </c>
      <c r="B1165" t="s">
        <v>1069</v>
      </c>
      <c r="C1165" t="s">
        <v>1016</v>
      </c>
      <c r="D1165" t="s">
        <v>1063</v>
      </c>
      <c r="E1165" t="s">
        <v>1035</v>
      </c>
      <c r="F1165" t="s">
        <v>598</v>
      </c>
      <c r="G1165" t="s">
        <v>599</v>
      </c>
      <c r="H1165" t="s">
        <v>600</v>
      </c>
      <c r="I1165" t="s">
        <v>601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 hidden="1">
      <c r="A1166" t="s">
        <v>18807</v>
      </c>
      <c r="B1166" t="s">
        <v>1071</v>
      </c>
      <c r="C1166" t="s">
        <v>1016</v>
      </c>
      <c r="D1166" t="s">
        <v>1063</v>
      </c>
      <c r="E1166" t="s">
        <v>1038</v>
      </c>
      <c r="F1166" t="s">
        <v>598</v>
      </c>
      <c r="G1166" t="s">
        <v>599</v>
      </c>
      <c r="H1166" t="s">
        <v>600</v>
      </c>
      <c r="I1166" t="s">
        <v>601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hidden="1">
      <c r="A1167" t="s">
        <v>18807</v>
      </c>
      <c r="B1167" t="s">
        <v>1072</v>
      </c>
      <c r="C1167" t="s">
        <v>1016</v>
      </c>
      <c r="D1167" t="s">
        <v>1063</v>
      </c>
      <c r="E1167" t="s">
        <v>1040</v>
      </c>
      <c r="F1167" t="s">
        <v>598</v>
      </c>
      <c r="G1167" t="s">
        <v>599</v>
      </c>
      <c r="H1167" t="s">
        <v>600</v>
      </c>
      <c r="I1167" t="s">
        <v>601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hidden="1">
      <c r="A1168" t="s">
        <v>18807</v>
      </c>
      <c r="B1168" t="s">
        <v>1073</v>
      </c>
      <c r="C1168" t="s">
        <v>1016</v>
      </c>
      <c r="D1168" t="s">
        <v>1063</v>
      </c>
      <c r="E1168" t="s">
        <v>1042</v>
      </c>
      <c r="F1168" t="s">
        <v>598</v>
      </c>
      <c r="G1168" t="s">
        <v>599</v>
      </c>
      <c r="H1168" t="s">
        <v>600</v>
      </c>
      <c r="I1168" t="s">
        <v>601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hidden="1">
      <c r="A1169" t="s">
        <v>18807</v>
      </c>
      <c r="B1169" t="s">
        <v>1074</v>
      </c>
      <c r="C1169" t="s">
        <v>1016</v>
      </c>
      <c r="D1169" t="s">
        <v>1063</v>
      </c>
      <c r="E1169" t="s">
        <v>1044</v>
      </c>
      <c r="F1169" t="s">
        <v>598</v>
      </c>
      <c r="G1169" t="s">
        <v>599</v>
      </c>
      <c r="H1169" t="s">
        <v>600</v>
      </c>
      <c r="I1169" t="s">
        <v>601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 hidden="1">
      <c r="A1170" t="s">
        <v>18807</v>
      </c>
      <c r="B1170" t="s">
        <v>1075</v>
      </c>
      <c r="C1170" t="s">
        <v>1016</v>
      </c>
      <c r="D1170" t="s">
        <v>1063</v>
      </c>
      <c r="E1170" t="s">
        <v>1046</v>
      </c>
      <c r="F1170" t="s">
        <v>598</v>
      </c>
      <c r="G1170" t="s">
        <v>599</v>
      </c>
      <c r="H1170" t="s">
        <v>600</v>
      </c>
      <c r="I1170" t="s">
        <v>601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hidden="1">
      <c r="A1171" t="s">
        <v>18807</v>
      </c>
      <c r="B1171" t="s">
        <v>1076</v>
      </c>
      <c r="C1171" t="s">
        <v>1016</v>
      </c>
      <c r="D1171" t="s">
        <v>1063</v>
      </c>
      <c r="E1171" t="s">
        <v>1048</v>
      </c>
      <c r="F1171" t="s">
        <v>598</v>
      </c>
      <c r="G1171" t="s">
        <v>599</v>
      </c>
      <c r="H1171" t="s">
        <v>600</v>
      </c>
      <c r="I1171" t="s">
        <v>601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hidden="1">
      <c r="A1172" t="s">
        <v>18807</v>
      </c>
      <c r="B1172" t="s">
        <v>1077</v>
      </c>
      <c r="C1172" t="s">
        <v>1016</v>
      </c>
      <c r="D1172" t="s">
        <v>648</v>
      </c>
      <c r="E1172" t="s">
        <v>954</v>
      </c>
      <c r="F1172" t="s">
        <v>598</v>
      </c>
      <c r="G1172" t="s">
        <v>599</v>
      </c>
      <c r="H1172" t="s">
        <v>600</v>
      </c>
      <c r="I1172" t="s">
        <v>601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hidden="1">
      <c r="A1173" t="s">
        <v>18807</v>
      </c>
      <c r="B1173" t="s">
        <v>1082</v>
      </c>
      <c r="C1173" t="s">
        <v>1079</v>
      </c>
      <c r="D1173" t="s">
        <v>1083</v>
      </c>
      <c r="E1173" t="s">
        <v>1084</v>
      </c>
      <c r="F1173" t="s">
        <v>598</v>
      </c>
      <c r="G1173" t="s">
        <v>599</v>
      </c>
      <c r="H1173" t="s">
        <v>600</v>
      </c>
      <c r="I1173" t="s">
        <v>601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hidden="1">
      <c r="A1174" t="s">
        <v>18807</v>
      </c>
      <c r="B1174" t="s">
        <v>1087</v>
      </c>
      <c r="C1174" t="s">
        <v>1079</v>
      </c>
      <c r="D1174" t="s">
        <v>1086</v>
      </c>
      <c r="E1174" t="s">
        <v>1081</v>
      </c>
      <c r="F1174" t="s">
        <v>598</v>
      </c>
      <c r="G1174" t="s">
        <v>599</v>
      </c>
      <c r="H1174" t="s">
        <v>600</v>
      </c>
      <c r="I1174" t="s">
        <v>601</v>
      </c>
      <c r="J1174">
        <v>5.9999999999999995E-4</v>
      </c>
      <c r="K1174">
        <v>5.9999999999999995E-4</v>
      </c>
      <c r="L1174">
        <v>5.9999999999999995E-4</v>
      </c>
      <c r="M1174">
        <v>6.9999999999999999E-4</v>
      </c>
      <c r="N1174">
        <v>6.9999999999999999E-4</v>
      </c>
      <c r="O1174">
        <v>6.9999999999999999E-4</v>
      </c>
      <c r="P1174">
        <v>6.9999999999999999E-4</v>
      </c>
      <c r="Q1174">
        <v>6.9999999999999999E-4</v>
      </c>
      <c r="R1174">
        <v>6.9999999999999999E-4</v>
      </c>
      <c r="S1174">
        <v>6.9999999999999999E-4</v>
      </c>
      <c r="T1174">
        <v>8.0000000000000004E-4</v>
      </c>
      <c r="U1174">
        <v>8.0000000000000004E-4</v>
      </c>
      <c r="V1174">
        <v>8.0000000000000004E-4</v>
      </c>
      <c r="W1174">
        <v>8.0000000000000004E-4</v>
      </c>
      <c r="X1174">
        <v>8.9999999999999998E-4</v>
      </c>
      <c r="Y1174">
        <v>8.9999999999999998E-4</v>
      </c>
    </row>
    <row r="1175" spans="1:25" hidden="1">
      <c r="A1175" t="s">
        <v>18807</v>
      </c>
      <c r="B1175" t="s">
        <v>1090</v>
      </c>
      <c r="C1175" t="s">
        <v>1079</v>
      </c>
      <c r="D1175" t="s">
        <v>1086</v>
      </c>
      <c r="E1175" t="s">
        <v>1091</v>
      </c>
      <c r="F1175" t="s">
        <v>598</v>
      </c>
      <c r="G1175" t="s">
        <v>599</v>
      </c>
      <c r="H1175" t="s">
        <v>600</v>
      </c>
      <c r="I1175" t="s">
        <v>601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</row>
    <row r="1176" spans="1:25" hidden="1">
      <c r="A1176" t="s">
        <v>18807</v>
      </c>
      <c r="B1176" t="s">
        <v>1094</v>
      </c>
      <c r="C1176" t="s">
        <v>1079</v>
      </c>
      <c r="D1176" t="s">
        <v>1086</v>
      </c>
      <c r="E1176" t="s">
        <v>1095</v>
      </c>
      <c r="F1176" t="s">
        <v>598</v>
      </c>
      <c r="G1176" t="s">
        <v>599</v>
      </c>
      <c r="H1176" t="s">
        <v>600</v>
      </c>
      <c r="I1176" t="s">
        <v>601</v>
      </c>
      <c r="J1176">
        <v>1.9E-3</v>
      </c>
      <c r="K1176">
        <v>1.9E-3</v>
      </c>
      <c r="L1176">
        <v>1.9E-3</v>
      </c>
      <c r="M1176">
        <v>2E-3</v>
      </c>
      <c r="N1176">
        <v>2.0999999999999999E-3</v>
      </c>
      <c r="O1176">
        <v>2.0999999999999999E-3</v>
      </c>
      <c r="P1176">
        <v>2.0999999999999999E-3</v>
      </c>
      <c r="Q1176">
        <v>2.0999999999999999E-3</v>
      </c>
      <c r="R1176">
        <v>2.2000000000000001E-3</v>
      </c>
      <c r="S1176">
        <v>2.2000000000000001E-3</v>
      </c>
      <c r="T1176">
        <v>2.2000000000000001E-3</v>
      </c>
      <c r="U1176">
        <v>2.3E-3</v>
      </c>
      <c r="V1176">
        <v>2.3E-3</v>
      </c>
      <c r="W1176">
        <v>2.3E-3</v>
      </c>
      <c r="X1176">
        <v>2.3999999999999998E-3</v>
      </c>
      <c r="Y1176">
        <v>2.3999999999999998E-3</v>
      </c>
    </row>
    <row r="1177" spans="1:25" hidden="1">
      <c r="A1177" t="s">
        <v>18807</v>
      </c>
      <c r="B1177" t="s">
        <v>1100</v>
      </c>
      <c r="C1177" t="s">
        <v>1079</v>
      </c>
      <c r="D1177" t="s">
        <v>1086</v>
      </c>
      <c r="E1177" t="s">
        <v>1101</v>
      </c>
      <c r="F1177" t="s">
        <v>598</v>
      </c>
      <c r="G1177" t="s">
        <v>599</v>
      </c>
      <c r="H1177" t="s">
        <v>600</v>
      </c>
      <c r="I1177" t="s">
        <v>601</v>
      </c>
      <c r="J1177">
        <v>6.4000000000000003E-3</v>
      </c>
      <c r="K1177">
        <v>6.4000000000000003E-3</v>
      </c>
      <c r="L1177">
        <v>6.4000000000000003E-3</v>
      </c>
      <c r="M1177">
        <v>6.4000000000000003E-3</v>
      </c>
      <c r="N1177">
        <v>6.4999999999999997E-3</v>
      </c>
      <c r="O1177">
        <v>6.4999999999999997E-3</v>
      </c>
      <c r="P1177">
        <v>6.6E-3</v>
      </c>
      <c r="Q1177">
        <v>6.6E-3</v>
      </c>
      <c r="R1177">
        <v>6.7000000000000002E-3</v>
      </c>
      <c r="S1177">
        <v>6.7999999999999996E-3</v>
      </c>
      <c r="T1177">
        <v>7.0000000000000001E-3</v>
      </c>
      <c r="U1177">
        <v>7.1000000000000004E-3</v>
      </c>
      <c r="V1177">
        <v>7.1999999999999998E-3</v>
      </c>
      <c r="W1177">
        <v>7.3000000000000001E-3</v>
      </c>
      <c r="X1177">
        <v>7.4999999999999997E-3</v>
      </c>
      <c r="Y1177">
        <v>7.6E-3</v>
      </c>
    </row>
    <row r="1178" spans="1:25" hidden="1">
      <c r="A1178" t="s">
        <v>18807</v>
      </c>
      <c r="B1178" t="s">
        <v>1102</v>
      </c>
      <c r="C1178" t="s">
        <v>1079</v>
      </c>
      <c r="D1178" t="s">
        <v>1086</v>
      </c>
      <c r="E1178" t="s">
        <v>1103</v>
      </c>
      <c r="F1178" t="s">
        <v>598</v>
      </c>
      <c r="G1178" t="s">
        <v>599</v>
      </c>
      <c r="H1178" t="s">
        <v>600</v>
      </c>
      <c r="I1178" t="s">
        <v>601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hidden="1">
      <c r="A1179" t="s">
        <v>18807</v>
      </c>
      <c r="B1179" t="s">
        <v>1104</v>
      </c>
      <c r="C1179" t="s">
        <v>1079</v>
      </c>
      <c r="D1179" t="s">
        <v>1105</v>
      </c>
      <c r="E1179" t="s">
        <v>1106</v>
      </c>
      <c r="F1179" t="s">
        <v>598</v>
      </c>
      <c r="G1179" t="s">
        <v>599</v>
      </c>
      <c r="H1179" t="s">
        <v>600</v>
      </c>
      <c r="I1179" t="s">
        <v>601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hidden="1">
      <c r="A1180" t="s">
        <v>18807</v>
      </c>
      <c r="B1180" t="s">
        <v>1113</v>
      </c>
      <c r="C1180" t="s">
        <v>1079</v>
      </c>
      <c r="D1180" t="s">
        <v>1108</v>
      </c>
      <c r="E1180" t="s">
        <v>1101</v>
      </c>
      <c r="F1180" t="s">
        <v>598</v>
      </c>
      <c r="G1180" t="s">
        <v>599</v>
      </c>
      <c r="H1180" t="s">
        <v>600</v>
      </c>
      <c r="I1180" t="s">
        <v>601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hidden="1">
      <c r="A1181" t="s">
        <v>18807</v>
      </c>
      <c r="B1181" t="s">
        <v>1114</v>
      </c>
      <c r="C1181" t="s">
        <v>1079</v>
      </c>
      <c r="D1181" t="s">
        <v>1115</v>
      </c>
      <c r="E1181" t="s">
        <v>1081</v>
      </c>
      <c r="F1181" t="s">
        <v>598</v>
      </c>
      <c r="G1181" t="s">
        <v>599</v>
      </c>
      <c r="H1181" t="s">
        <v>600</v>
      </c>
      <c r="I1181" t="s">
        <v>601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hidden="1">
      <c r="A1182" t="s">
        <v>18807</v>
      </c>
      <c r="B1182" t="s">
        <v>1120</v>
      </c>
      <c r="C1182" t="s">
        <v>1079</v>
      </c>
      <c r="D1182" t="s">
        <v>1121</v>
      </c>
      <c r="E1182" t="s">
        <v>1081</v>
      </c>
      <c r="F1182" t="s">
        <v>598</v>
      </c>
      <c r="G1182" t="s">
        <v>599</v>
      </c>
      <c r="H1182" t="s">
        <v>600</v>
      </c>
      <c r="I1182" t="s">
        <v>601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hidden="1">
      <c r="A1183" t="s">
        <v>18807</v>
      </c>
      <c r="B1183" t="s">
        <v>1125</v>
      </c>
      <c r="C1183" t="s">
        <v>1079</v>
      </c>
      <c r="D1183" t="s">
        <v>1126</v>
      </c>
      <c r="E1183" t="s">
        <v>1081</v>
      </c>
      <c r="F1183" t="s">
        <v>598</v>
      </c>
      <c r="G1183" t="s">
        <v>599</v>
      </c>
      <c r="H1183" t="s">
        <v>600</v>
      </c>
      <c r="I1183" t="s">
        <v>601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hidden="1">
      <c r="A1184" t="s">
        <v>18807</v>
      </c>
      <c r="B1184" t="s">
        <v>1133</v>
      </c>
      <c r="C1184" t="s">
        <v>1079</v>
      </c>
      <c r="D1184" t="s">
        <v>1134</v>
      </c>
      <c r="E1184" t="s">
        <v>1081</v>
      </c>
      <c r="F1184" t="s">
        <v>598</v>
      </c>
      <c r="G1184" t="s">
        <v>599</v>
      </c>
      <c r="H1184" t="s">
        <v>600</v>
      </c>
      <c r="I1184" t="s">
        <v>601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</row>
    <row r="1185" spans="1:25" hidden="1">
      <c r="A1185" t="s">
        <v>18807</v>
      </c>
      <c r="B1185" t="s">
        <v>1140</v>
      </c>
      <c r="C1185" t="s">
        <v>1079</v>
      </c>
      <c r="D1185" t="s">
        <v>1134</v>
      </c>
      <c r="E1185" t="s">
        <v>1141</v>
      </c>
      <c r="F1185" t="s">
        <v>598</v>
      </c>
      <c r="G1185" t="s">
        <v>599</v>
      </c>
      <c r="H1185" t="s">
        <v>600</v>
      </c>
      <c r="I1185" t="s">
        <v>601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</row>
    <row r="1186" spans="1:25" hidden="1">
      <c r="A1186" t="s">
        <v>18807</v>
      </c>
      <c r="B1186" t="s">
        <v>1144</v>
      </c>
      <c r="C1186" t="s">
        <v>1079</v>
      </c>
      <c r="D1186" t="s">
        <v>1145</v>
      </c>
      <c r="E1186" t="s">
        <v>1081</v>
      </c>
      <c r="F1186" t="s">
        <v>598</v>
      </c>
      <c r="G1186" t="s">
        <v>599</v>
      </c>
      <c r="H1186" t="s">
        <v>600</v>
      </c>
      <c r="I1186" t="s">
        <v>601</v>
      </c>
      <c r="J1186">
        <v>4.4000000000000003E-3</v>
      </c>
      <c r="K1186">
        <v>4.4999999999999997E-3</v>
      </c>
      <c r="L1186">
        <v>4.5999999999999999E-3</v>
      </c>
      <c r="M1186">
        <v>4.5999999999999999E-3</v>
      </c>
      <c r="N1186">
        <v>4.7999999999999996E-3</v>
      </c>
      <c r="O1186">
        <v>4.7999999999999996E-3</v>
      </c>
      <c r="P1186">
        <v>5.0000000000000001E-3</v>
      </c>
      <c r="Q1186">
        <v>5.0000000000000001E-3</v>
      </c>
      <c r="R1186">
        <v>5.1000000000000004E-3</v>
      </c>
      <c r="S1186">
        <v>5.1999999999999998E-3</v>
      </c>
      <c r="T1186">
        <v>5.3E-3</v>
      </c>
      <c r="U1186">
        <v>5.4000000000000003E-3</v>
      </c>
      <c r="V1186">
        <v>5.4000000000000003E-3</v>
      </c>
      <c r="W1186">
        <v>5.5999999999999999E-3</v>
      </c>
      <c r="X1186">
        <v>5.7000000000000002E-3</v>
      </c>
      <c r="Y1186">
        <v>5.7999999999999996E-3</v>
      </c>
    </row>
    <row r="1187" spans="1:25" hidden="1">
      <c r="A1187" t="s">
        <v>18807</v>
      </c>
      <c r="B1187" t="s">
        <v>1146</v>
      </c>
      <c r="C1187" t="s">
        <v>1079</v>
      </c>
      <c r="D1187" t="s">
        <v>1145</v>
      </c>
      <c r="E1187" t="s">
        <v>1091</v>
      </c>
      <c r="F1187" t="s">
        <v>598</v>
      </c>
      <c r="G1187" t="s">
        <v>599</v>
      </c>
      <c r="H1187" t="s">
        <v>600</v>
      </c>
      <c r="I1187" t="s">
        <v>601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</row>
    <row r="1188" spans="1:25" hidden="1">
      <c r="A1188" t="s">
        <v>18807</v>
      </c>
      <c r="B1188" t="s">
        <v>1148</v>
      </c>
      <c r="C1188" t="s">
        <v>1079</v>
      </c>
      <c r="D1188" t="s">
        <v>1145</v>
      </c>
      <c r="E1188" t="s">
        <v>1095</v>
      </c>
      <c r="F1188" t="s">
        <v>598</v>
      </c>
      <c r="G1188" t="s">
        <v>599</v>
      </c>
      <c r="H1188" t="s">
        <v>600</v>
      </c>
      <c r="I1188" t="s">
        <v>601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hidden="1">
      <c r="A1189" t="s">
        <v>18807</v>
      </c>
      <c r="B1189" t="s">
        <v>1151</v>
      </c>
      <c r="C1189" t="s">
        <v>1079</v>
      </c>
      <c r="D1189" t="s">
        <v>1145</v>
      </c>
      <c r="E1189" t="s">
        <v>1101</v>
      </c>
      <c r="F1189" t="s">
        <v>598</v>
      </c>
      <c r="G1189" t="s">
        <v>599</v>
      </c>
      <c r="H1189" t="s">
        <v>600</v>
      </c>
      <c r="I1189" t="s">
        <v>601</v>
      </c>
      <c r="J1189">
        <v>2.0000000000000001E-4</v>
      </c>
      <c r="K1189">
        <v>2.0000000000000001E-4</v>
      </c>
      <c r="L1189">
        <v>2.0000000000000001E-4</v>
      </c>
      <c r="M1189">
        <v>2.0000000000000001E-4</v>
      </c>
      <c r="N1189">
        <v>2.0000000000000001E-4</v>
      </c>
      <c r="O1189">
        <v>2.0000000000000001E-4</v>
      </c>
      <c r="P1189">
        <v>2.0000000000000001E-4</v>
      </c>
      <c r="Q1189">
        <v>2.0000000000000001E-4</v>
      </c>
      <c r="R1189">
        <v>2.0000000000000001E-4</v>
      </c>
      <c r="S1189">
        <v>2.0000000000000001E-4</v>
      </c>
      <c r="T1189">
        <v>2.9999999999999997E-4</v>
      </c>
      <c r="U1189">
        <v>2.9999999999999997E-4</v>
      </c>
      <c r="V1189">
        <v>2.9999999999999997E-4</v>
      </c>
      <c r="W1189">
        <v>2.9999999999999997E-4</v>
      </c>
      <c r="X1189">
        <v>2.9999999999999997E-4</v>
      </c>
      <c r="Y1189">
        <v>2.9999999999999997E-4</v>
      </c>
    </row>
    <row r="1190" spans="1:25" hidden="1">
      <c r="A1190" t="s">
        <v>18807</v>
      </c>
      <c r="B1190" t="s">
        <v>1154</v>
      </c>
      <c r="C1190" t="s">
        <v>1079</v>
      </c>
      <c r="D1190" t="s">
        <v>1145</v>
      </c>
      <c r="E1190" t="s">
        <v>1103</v>
      </c>
      <c r="F1190" t="s">
        <v>598</v>
      </c>
      <c r="G1190" t="s">
        <v>599</v>
      </c>
      <c r="H1190" t="s">
        <v>600</v>
      </c>
      <c r="I1190" t="s">
        <v>601</v>
      </c>
      <c r="J1190">
        <v>8.6E-3</v>
      </c>
      <c r="K1190">
        <v>8.6999999999999994E-3</v>
      </c>
      <c r="L1190">
        <v>8.8000000000000005E-3</v>
      </c>
      <c r="M1190">
        <v>8.8999999999999999E-3</v>
      </c>
      <c r="N1190">
        <v>8.9999999999999993E-3</v>
      </c>
      <c r="O1190">
        <v>9.1999999999999998E-3</v>
      </c>
      <c r="P1190">
        <v>9.4000000000000004E-3</v>
      </c>
      <c r="Q1190">
        <v>9.5999999999999992E-3</v>
      </c>
      <c r="R1190">
        <v>9.7999999999999997E-3</v>
      </c>
      <c r="S1190">
        <v>1.01E-2</v>
      </c>
      <c r="T1190">
        <v>1.04E-2</v>
      </c>
      <c r="U1190">
        <v>1.0699999999999999E-2</v>
      </c>
      <c r="V1190">
        <v>1.0999999999999999E-2</v>
      </c>
      <c r="W1190">
        <v>1.1299999999999999E-2</v>
      </c>
      <c r="X1190">
        <v>1.1599999999999999E-2</v>
      </c>
      <c r="Y1190">
        <v>1.2E-2</v>
      </c>
    </row>
    <row r="1191" spans="1:25" hidden="1">
      <c r="A1191" t="s">
        <v>18807</v>
      </c>
      <c r="B1191" t="s">
        <v>1155</v>
      </c>
      <c r="C1191" t="s">
        <v>1079</v>
      </c>
      <c r="D1191" t="s">
        <v>1156</v>
      </c>
      <c r="E1191" t="s">
        <v>1081</v>
      </c>
      <c r="F1191" t="s">
        <v>598</v>
      </c>
      <c r="G1191" t="s">
        <v>599</v>
      </c>
      <c r="H1191" t="s">
        <v>600</v>
      </c>
      <c r="I1191" t="s">
        <v>601</v>
      </c>
      <c r="J1191">
        <v>1.6000000000000001E-3</v>
      </c>
      <c r="K1191">
        <v>1.6999999999999999E-3</v>
      </c>
      <c r="L1191">
        <v>1.6999999999999999E-3</v>
      </c>
      <c r="M1191">
        <v>1.8E-3</v>
      </c>
      <c r="N1191">
        <v>1.8E-3</v>
      </c>
      <c r="O1191">
        <v>1.9E-3</v>
      </c>
      <c r="P1191">
        <v>1.9E-3</v>
      </c>
      <c r="Q1191">
        <v>2E-3</v>
      </c>
      <c r="R1191">
        <v>2.0999999999999999E-3</v>
      </c>
      <c r="S1191">
        <v>2.0999999999999999E-3</v>
      </c>
      <c r="T1191">
        <v>2.2000000000000001E-3</v>
      </c>
      <c r="U1191">
        <v>2.3E-3</v>
      </c>
      <c r="V1191">
        <v>2.3E-3</v>
      </c>
      <c r="W1191">
        <v>2.3999999999999998E-3</v>
      </c>
      <c r="X1191">
        <v>2.5000000000000001E-3</v>
      </c>
      <c r="Y1191">
        <v>2.5000000000000001E-3</v>
      </c>
    </row>
    <row r="1192" spans="1:25" hidden="1">
      <c r="A1192" t="s">
        <v>18807</v>
      </c>
      <c r="B1192" t="s">
        <v>1157</v>
      </c>
      <c r="C1192" t="s">
        <v>1079</v>
      </c>
      <c r="D1192" t="s">
        <v>1156</v>
      </c>
      <c r="E1192" t="s">
        <v>1091</v>
      </c>
      <c r="F1192" t="s">
        <v>598</v>
      </c>
      <c r="G1192" t="s">
        <v>599</v>
      </c>
      <c r="H1192" t="s">
        <v>600</v>
      </c>
      <c r="I1192" t="s">
        <v>601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</row>
    <row r="1193" spans="1:25" hidden="1">
      <c r="A1193" t="s">
        <v>18807</v>
      </c>
      <c r="B1193" t="s">
        <v>1160</v>
      </c>
      <c r="C1193" t="s">
        <v>1079</v>
      </c>
      <c r="D1193" t="s">
        <v>1156</v>
      </c>
      <c r="E1193" t="s">
        <v>1099</v>
      </c>
      <c r="F1193" t="s">
        <v>598</v>
      </c>
      <c r="G1193" t="s">
        <v>599</v>
      </c>
      <c r="H1193" t="s">
        <v>600</v>
      </c>
      <c r="I1193" t="s">
        <v>601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25" hidden="1">
      <c r="A1194" t="s">
        <v>18807</v>
      </c>
      <c r="B1194" t="s">
        <v>1161</v>
      </c>
      <c r="C1194" t="s">
        <v>1079</v>
      </c>
      <c r="D1194" t="s">
        <v>1156</v>
      </c>
      <c r="E1194" t="s">
        <v>1101</v>
      </c>
      <c r="F1194" t="s">
        <v>598</v>
      </c>
      <c r="G1194" t="s">
        <v>599</v>
      </c>
      <c r="H1194" t="s">
        <v>600</v>
      </c>
      <c r="I1194" t="s">
        <v>601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1E-4</v>
      </c>
    </row>
    <row r="1195" spans="1:25" hidden="1">
      <c r="A1195" t="s">
        <v>18807</v>
      </c>
      <c r="B1195" t="s">
        <v>1165</v>
      </c>
      <c r="C1195" t="s">
        <v>1079</v>
      </c>
      <c r="D1195" t="s">
        <v>1164</v>
      </c>
      <c r="E1195" t="s">
        <v>1089</v>
      </c>
      <c r="F1195" t="s">
        <v>598</v>
      </c>
      <c r="G1195" t="s">
        <v>599</v>
      </c>
      <c r="H1195" t="s">
        <v>600</v>
      </c>
      <c r="I1195" t="s">
        <v>601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hidden="1">
      <c r="A1196" t="s">
        <v>18807</v>
      </c>
      <c r="B1196" t="s">
        <v>1166</v>
      </c>
      <c r="C1196" t="s">
        <v>1079</v>
      </c>
      <c r="D1196" t="s">
        <v>1164</v>
      </c>
      <c r="E1196" t="s">
        <v>1093</v>
      </c>
      <c r="F1196" t="s">
        <v>598</v>
      </c>
      <c r="G1196" t="s">
        <v>599</v>
      </c>
      <c r="H1196" t="s">
        <v>600</v>
      </c>
      <c r="I1196" t="s">
        <v>601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hidden="1">
      <c r="A1197" t="s">
        <v>18807</v>
      </c>
      <c r="B1197" t="s">
        <v>1167</v>
      </c>
      <c r="C1197" t="s">
        <v>1079</v>
      </c>
      <c r="D1197" t="s">
        <v>1164</v>
      </c>
      <c r="E1197" t="s">
        <v>1095</v>
      </c>
      <c r="F1197" t="s">
        <v>598</v>
      </c>
      <c r="G1197" t="s">
        <v>599</v>
      </c>
      <c r="H1197" t="s">
        <v>600</v>
      </c>
      <c r="I1197" t="s">
        <v>601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</row>
    <row r="1198" spans="1:25" hidden="1">
      <c r="A1198" t="s">
        <v>18807</v>
      </c>
      <c r="B1198" t="s">
        <v>1168</v>
      </c>
      <c r="C1198" t="s">
        <v>1079</v>
      </c>
      <c r="D1198" t="s">
        <v>1164</v>
      </c>
      <c r="E1198" t="s">
        <v>1141</v>
      </c>
      <c r="F1198" t="s">
        <v>598</v>
      </c>
      <c r="G1198" t="s">
        <v>599</v>
      </c>
      <c r="H1198" t="s">
        <v>600</v>
      </c>
      <c r="I1198" t="s">
        <v>601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</row>
    <row r="1199" spans="1:25" hidden="1">
      <c r="A1199" t="s">
        <v>18807</v>
      </c>
      <c r="B1199" t="s">
        <v>1170</v>
      </c>
      <c r="C1199" t="s">
        <v>1079</v>
      </c>
      <c r="D1199" t="s">
        <v>1164</v>
      </c>
      <c r="E1199" t="s">
        <v>1103</v>
      </c>
      <c r="F1199" t="s">
        <v>598</v>
      </c>
      <c r="G1199" t="s">
        <v>599</v>
      </c>
      <c r="H1199" t="s">
        <v>600</v>
      </c>
      <c r="I1199" t="s">
        <v>601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hidden="1">
      <c r="A1200" t="s">
        <v>18807</v>
      </c>
      <c r="B1200" t="s">
        <v>1175</v>
      </c>
      <c r="C1200" t="s">
        <v>1079</v>
      </c>
      <c r="D1200" t="s">
        <v>1172</v>
      </c>
      <c r="E1200" t="s">
        <v>1101</v>
      </c>
      <c r="F1200" t="s">
        <v>598</v>
      </c>
      <c r="G1200" t="s">
        <v>599</v>
      </c>
      <c r="H1200" t="s">
        <v>600</v>
      </c>
      <c r="I1200" t="s">
        <v>601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hidden="1">
      <c r="A1201" t="s">
        <v>18807</v>
      </c>
      <c r="B1201" t="s">
        <v>1179</v>
      </c>
      <c r="C1201" t="s">
        <v>1079</v>
      </c>
      <c r="D1201" t="s">
        <v>1180</v>
      </c>
      <c r="E1201" t="s">
        <v>1081</v>
      </c>
      <c r="F1201" t="s">
        <v>598</v>
      </c>
      <c r="G1201" t="s">
        <v>599</v>
      </c>
      <c r="H1201" t="s">
        <v>600</v>
      </c>
      <c r="I1201" t="s">
        <v>601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hidden="1">
      <c r="A1202" t="s">
        <v>18807</v>
      </c>
      <c r="B1202" t="s">
        <v>1181</v>
      </c>
      <c r="C1202" t="s">
        <v>1079</v>
      </c>
      <c r="D1202" t="s">
        <v>1180</v>
      </c>
      <c r="E1202" t="s">
        <v>1091</v>
      </c>
      <c r="F1202" t="s">
        <v>598</v>
      </c>
      <c r="G1202" t="s">
        <v>599</v>
      </c>
      <c r="H1202" t="s">
        <v>600</v>
      </c>
      <c r="I1202" t="s">
        <v>601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hidden="1">
      <c r="A1203" t="s">
        <v>18807</v>
      </c>
      <c r="B1203" t="s">
        <v>1182</v>
      </c>
      <c r="C1203" t="s">
        <v>1079</v>
      </c>
      <c r="D1203" t="s">
        <v>1180</v>
      </c>
      <c r="E1203" t="s">
        <v>1095</v>
      </c>
      <c r="F1203" t="s">
        <v>598</v>
      </c>
      <c r="G1203" t="s">
        <v>599</v>
      </c>
      <c r="H1203" t="s">
        <v>600</v>
      </c>
      <c r="I1203" t="s">
        <v>601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hidden="1">
      <c r="A1204" t="s">
        <v>18807</v>
      </c>
      <c r="B1204" t="s">
        <v>1185</v>
      </c>
      <c r="C1204" t="s">
        <v>1079</v>
      </c>
      <c r="D1204" t="s">
        <v>1180</v>
      </c>
      <c r="E1204" t="s">
        <v>1101</v>
      </c>
      <c r="F1204" t="s">
        <v>598</v>
      </c>
      <c r="G1204" t="s">
        <v>599</v>
      </c>
      <c r="H1204" t="s">
        <v>600</v>
      </c>
      <c r="I1204" t="s">
        <v>601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 hidden="1">
      <c r="A1205" t="s">
        <v>18807</v>
      </c>
      <c r="B1205" t="s">
        <v>1217</v>
      </c>
      <c r="C1205" t="s">
        <v>1079</v>
      </c>
      <c r="D1205" t="s">
        <v>1188</v>
      </c>
      <c r="E1205" t="s">
        <v>1106</v>
      </c>
      <c r="F1205" t="s">
        <v>598</v>
      </c>
      <c r="G1205" t="s">
        <v>599</v>
      </c>
      <c r="H1205" t="s">
        <v>600</v>
      </c>
      <c r="I1205" t="s">
        <v>601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hidden="1">
      <c r="A1206" t="s">
        <v>18807</v>
      </c>
      <c r="B1206" t="s">
        <v>1218</v>
      </c>
      <c r="C1206" t="s">
        <v>1079</v>
      </c>
      <c r="D1206" t="s">
        <v>1188</v>
      </c>
      <c r="E1206" t="s">
        <v>1219</v>
      </c>
      <c r="F1206" t="s">
        <v>598</v>
      </c>
      <c r="G1206" t="s">
        <v>599</v>
      </c>
      <c r="H1206" t="s">
        <v>600</v>
      </c>
      <c r="I1206" t="s">
        <v>601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hidden="1">
      <c r="A1207" t="s">
        <v>18807</v>
      </c>
      <c r="B1207" t="s">
        <v>1220</v>
      </c>
      <c r="C1207" t="s">
        <v>1079</v>
      </c>
      <c r="D1207" t="s">
        <v>1188</v>
      </c>
      <c r="E1207" t="s">
        <v>1084</v>
      </c>
      <c r="F1207" t="s">
        <v>598</v>
      </c>
      <c r="G1207" t="s">
        <v>599</v>
      </c>
      <c r="H1207" t="s">
        <v>600</v>
      </c>
      <c r="I1207" t="s">
        <v>601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hidden="1">
      <c r="A1208" t="s">
        <v>18807</v>
      </c>
      <c r="B1208" t="s">
        <v>1221</v>
      </c>
      <c r="C1208" t="s">
        <v>1079</v>
      </c>
      <c r="D1208" t="s">
        <v>648</v>
      </c>
      <c r="E1208" t="s">
        <v>1081</v>
      </c>
      <c r="F1208" t="s">
        <v>598</v>
      </c>
      <c r="G1208" t="s">
        <v>599</v>
      </c>
      <c r="H1208" t="s">
        <v>600</v>
      </c>
      <c r="I1208" t="s">
        <v>601</v>
      </c>
      <c r="J1208">
        <v>9.1999999999999998E-3</v>
      </c>
      <c r="K1208">
        <v>9.2999999999999992E-3</v>
      </c>
      <c r="L1208">
        <v>9.4000000000000004E-3</v>
      </c>
      <c r="M1208">
        <v>9.5999999999999992E-3</v>
      </c>
      <c r="N1208">
        <v>9.7000000000000003E-3</v>
      </c>
      <c r="O1208">
        <v>9.7999999999999997E-3</v>
      </c>
      <c r="P1208">
        <v>1.01E-2</v>
      </c>
      <c r="Q1208">
        <v>1.03E-2</v>
      </c>
      <c r="R1208">
        <v>1.04E-2</v>
      </c>
      <c r="S1208">
        <v>1.06E-2</v>
      </c>
      <c r="T1208">
        <v>1.09E-2</v>
      </c>
      <c r="U1208">
        <v>1.11E-2</v>
      </c>
      <c r="V1208">
        <v>1.1299999999999999E-2</v>
      </c>
      <c r="W1208">
        <v>1.1599999999999999E-2</v>
      </c>
      <c r="X1208">
        <v>1.1900000000000001E-2</v>
      </c>
      <c r="Y1208">
        <v>1.2200000000000001E-2</v>
      </c>
    </row>
    <row r="1209" spans="1:25" hidden="1">
      <c r="A1209" t="s">
        <v>18807</v>
      </c>
      <c r="B1209" t="s">
        <v>1224</v>
      </c>
      <c r="C1209" t="s">
        <v>1079</v>
      </c>
      <c r="D1209" t="s">
        <v>648</v>
      </c>
      <c r="E1209" t="s">
        <v>1095</v>
      </c>
      <c r="F1209" t="s">
        <v>598</v>
      </c>
      <c r="G1209" t="s">
        <v>599</v>
      </c>
      <c r="H1209" t="s">
        <v>600</v>
      </c>
      <c r="I1209" t="s">
        <v>601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</row>
    <row r="1210" spans="1:25" hidden="1">
      <c r="A1210" t="s">
        <v>18807</v>
      </c>
      <c r="B1210" t="s">
        <v>1227</v>
      </c>
      <c r="C1210" t="s">
        <v>1079</v>
      </c>
      <c r="D1210" t="s">
        <v>648</v>
      </c>
      <c r="E1210" t="s">
        <v>1101</v>
      </c>
      <c r="F1210" t="s">
        <v>598</v>
      </c>
      <c r="G1210" t="s">
        <v>599</v>
      </c>
      <c r="H1210" t="s">
        <v>600</v>
      </c>
      <c r="I1210" t="s">
        <v>601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hidden="1">
      <c r="A1211" t="s">
        <v>18807</v>
      </c>
      <c r="B1211" t="s">
        <v>1228</v>
      </c>
      <c r="C1211" t="s">
        <v>1079</v>
      </c>
      <c r="D1211" t="s">
        <v>648</v>
      </c>
      <c r="E1211" t="s">
        <v>1103</v>
      </c>
      <c r="F1211" t="s">
        <v>598</v>
      </c>
      <c r="G1211" t="s">
        <v>599</v>
      </c>
      <c r="H1211" t="s">
        <v>600</v>
      </c>
      <c r="I1211" t="s">
        <v>601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hidden="1">
      <c r="A1212" t="s">
        <v>18807</v>
      </c>
      <c r="B1212" t="s">
        <v>1231</v>
      </c>
      <c r="C1212" t="s">
        <v>1230</v>
      </c>
      <c r="D1212" t="s">
        <v>1188</v>
      </c>
      <c r="E1212" t="s">
        <v>1028</v>
      </c>
      <c r="F1212" t="s">
        <v>598</v>
      </c>
      <c r="G1212" t="s">
        <v>599</v>
      </c>
      <c r="H1212" t="s">
        <v>600</v>
      </c>
      <c r="I1212" t="s">
        <v>601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hidden="1">
      <c r="A1213" t="s">
        <v>18807</v>
      </c>
      <c r="B1213" t="s">
        <v>1232</v>
      </c>
      <c r="C1213" t="s">
        <v>1230</v>
      </c>
      <c r="D1213" t="s">
        <v>1188</v>
      </c>
      <c r="E1213" t="s">
        <v>1233</v>
      </c>
      <c r="F1213" t="s">
        <v>598</v>
      </c>
      <c r="G1213" t="s">
        <v>599</v>
      </c>
      <c r="H1213" t="s">
        <v>600</v>
      </c>
      <c r="I1213" t="s">
        <v>601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hidden="1">
      <c r="A1214" t="s">
        <v>18807</v>
      </c>
      <c r="B1214" t="s">
        <v>1234</v>
      </c>
      <c r="C1214" t="s">
        <v>1230</v>
      </c>
      <c r="D1214" t="s">
        <v>1188</v>
      </c>
      <c r="E1214" t="s">
        <v>1004</v>
      </c>
      <c r="F1214" t="s">
        <v>598</v>
      </c>
      <c r="G1214" t="s">
        <v>599</v>
      </c>
      <c r="H1214" t="s">
        <v>600</v>
      </c>
      <c r="I1214" t="s">
        <v>601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hidden="1">
      <c r="A1215" t="s">
        <v>18807</v>
      </c>
      <c r="B1215" t="s">
        <v>1235</v>
      </c>
      <c r="C1215" t="s">
        <v>1230</v>
      </c>
      <c r="D1215" t="s">
        <v>1188</v>
      </c>
      <c r="E1215" t="s">
        <v>1219</v>
      </c>
      <c r="F1215" t="s">
        <v>598</v>
      </c>
      <c r="G1215" t="s">
        <v>599</v>
      </c>
      <c r="H1215" t="s">
        <v>600</v>
      </c>
      <c r="I1215" t="s">
        <v>601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hidden="1">
      <c r="A1216" t="s">
        <v>18807</v>
      </c>
      <c r="B1216" t="s">
        <v>1240</v>
      </c>
      <c r="C1216" t="s">
        <v>1230</v>
      </c>
      <c r="D1216" t="s">
        <v>1241</v>
      </c>
      <c r="E1216" t="s">
        <v>1239</v>
      </c>
      <c r="F1216" t="s">
        <v>598</v>
      </c>
      <c r="G1216" t="s">
        <v>599</v>
      </c>
      <c r="H1216" t="s">
        <v>600</v>
      </c>
      <c r="I1216" t="s">
        <v>601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hidden="1">
      <c r="A1217" t="s">
        <v>18807</v>
      </c>
      <c r="B1217" t="s">
        <v>1244</v>
      </c>
      <c r="C1217" t="s">
        <v>1230</v>
      </c>
      <c r="D1217" t="s">
        <v>1243</v>
      </c>
      <c r="E1217" t="s">
        <v>1239</v>
      </c>
      <c r="F1217" t="s">
        <v>598</v>
      </c>
      <c r="G1217" t="s">
        <v>599</v>
      </c>
      <c r="H1217" t="s">
        <v>600</v>
      </c>
      <c r="I1217" t="s">
        <v>601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hidden="1">
      <c r="A1218" t="s">
        <v>18807</v>
      </c>
      <c r="B1218" t="s">
        <v>1247</v>
      </c>
      <c r="C1218" t="s">
        <v>1230</v>
      </c>
      <c r="D1218" t="s">
        <v>1246</v>
      </c>
      <c r="E1218" t="s">
        <v>1239</v>
      </c>
      <c r="F1218" t="s">
        <v>598</v>
      </c>
      <c r="G1218" t="s">
        <v>599</v>
      </c>
      <c r="H1218" t="s">
        <v>600</v>
      </c>
      <c r="I1218" t="s">
        <v>601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</row>
    <row r="1219" spans="1:25" hidden="1">
      <c r="A1219" t="s">
        <v>18807</v>
      </c>
      <c r="B1219" t="s">
        <v>1250</v>
      </c>
      <c r="C1219" t="s">
        <v>1230</v>
      </c>
      <c r="D1219" t="s">
        <v>648</v>
      </c>
      <c r="E1219" t="s">
        <v>1004</v>
      </c>
      <c r="F1219" t="s">
        <v>598</v>
      </c>
      <c r="G1219" t="s">
        <v>599</v>
      </c>
      <c r="H1219" t="s">
        <v>600</v>
      </c>
      <c r="I1219" t="s">
        <v>601</v>
      </c>
      <c r="J1219">
        <v>2.9999999999999997E-4</v>
      </c>
      <c r="K1219">
        <v>2.9999999999999997E-4</v>
      </c>
      <c r="L1219">
        <v>2.9999999999999997E-4</v>
      </c>
      <c r="M1219">
        <v>2.9999999999999997E-4</v>
      </c>
      <c r="N1219">
        <v>4.0000000000000002E-4</v>
      </c>
      <c r="O1219">
        <v>4.0000000000000002E-4</v>
      </c>
      <c r="P1219">
        <v>4.0000000000000002E-4</v>
      </c>
      <c r="Q1219">
        <v>4.0000000000000002E-4</v>
      </c>
      <c r="R1219">
        <v>4.0000000000000002E-4</v>
      </c>
      <c r="S1219">
        <v>4.0000000000000002E-4</v>
      </c>
      <c r="T1219">
        <v>4.0000000000000002E-4</v>
      </c>
      <c r="U1219">
        <v>4.0000000000000002E-4</v>
      </c>
      <c r="V1219">
        <v>4.0000000000000002E-4</v>
      </c>
      <c r="W1219">
        <v>4.0000000000000002E-4</v>
      </c>
      <c r="X1219">
        <v>4.0000000000000002E-4</v>
      </c>
      <c r="Y1219">
        <v>4.0000000000000002E-4</v>
      </c>
    </row>
    <row r="1220" spans="1:25" hidden="1">
      <c r="A1220" t="s">
        <v>18807</v>
      </c>
      <c r="B1220" t="s">
        <v>1252</v>
      </c>
      <c r="C1220" t="s">
        <v>1253</v>
      </c>
      <c r="D1220" t="s">
        <v>1254</v>
      </c>
      <c r="E1220" t="s">
        <v>1255</v>
      </c>
      <c r="F1220" t="s">
        <v>598</v>
      </c>
      <c r="G1220" t="s">
        <v>599</v>
      </c>
      <c r="H1220" t="s">
        <v>600</v>
      </c>
      <c r="I1220" t="s">
        <v>601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</row>
    <row r="1221" spans="1:25" hidden="1">
      <c r="A1221" t="s">
        <v>18807</v>
      </c>
      <c r="B1221" t="s">
        <v>1256</v>
      </c>
      <c r="C1221" t="s">
        <v>1253</v>
      </c>
      <c r="D1221" t="s">
        <v>1254</v>
      </c>
      <c r="E1221" t="s">
        <v>1257</v>
      </c>
      <c r="F1221" t="s">
        <v>598</v>
      </c>
      <c r="G1221" t="s">
        <v>599</v>
      </c>
      <c r="H1221" t="s">
        <v>600</v>
      </c>
      <c r="I1221" t="s">
        <v>601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hidden="1">
      <c r="A1222" t="s">
        <v>18807</v>
      </c>
      <c r="B1222" t="s">
        <v>1258</v>
      </c>
      <c r="C1222" t="s">
        <v>1253</v>
      </c>
      <c r="D1222" t="s">
        <v>1254</v>
      </c>
      <c r="E1222" t="s">
        <v>1259</v>
      </c>
      <c r="F1222" t="s">
        <v>598</v>
      </c>
      <c r="G1222" t="s">
        <v>599</v>
      </c>
      <c r="H1222" t="s">
        <v>600</v>
      </c>
      <c r="I1222" t="s">
        <v>601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hidden="1">
      <c r="A1223" t="s">
        <v>18807</v>
      </c>
      <c r="B1223" t="s">
        <v>1260</v>
      </c>
      <c r="C1223" t="s">
        <v>1261</v>
      </c>
      <c r="D1223" t="s">
        <v>648</v>
      </c>
      <c r="E1223" t="s">
        <v>920</v>
      </c>
      <c r="F1223" t="s">
        <v>598</v>
      </c>
      <c r="G1223" t="s">
        <v>599</v>
      </c>
      <c r="H1223" t="s">
        <v>600</v>
      </c>
      <c r="I1223" t="s">
        <v>601</v>
      </c>
      <c r="J1223">
        <v>2.0000000000000001E-4</v>
      </c>
      <c r="K1223">
        <v>2.0000000000000001E-4</v>
      </c>
      <c r="L1223">
        <v>2.0000000000000001E-4</v>
      </c>
      <c r="M1223">
        <v>2.0000000000000001E-4</v>
      </c>
      <c r="N1223">
        <v>2.0000000000000001E-4</v>
      </c>
      <c r="O1223">
        <v>2.0000000000000001E-4</v>
      </c>
      <c r="P1223">
        <v>2.0000000000000001E-4</v>
      </c>
      <c r="Q1223">
        <v>2.0000000000000001E-4</v>
      </c>
      <c r="R1223">
        <v>2.0000000000000001E-4</v>
      </c>
      <c r="S1223">
        <v>2.0000000000000001E-4</v>
      </c>
      <c r="T1223">
        <v>2.0000000000000001E-4</v>
      </c>
      <c r="U1223">
        <v>2.0000000000000001E-4</v>
      </c>
      <c r="V1223">
        <v>2.0000000000000001E-4</v>
      </c>
      <c r="W1223">
        <v>2.0000000000000001E-4</v>
      </c>
      <c r="X1223">
        <v>2.0000000000000001E-4</v>
      </c>
      <c r="Y1223">
        <v>2.0000000000000001E-4</v>
      </c>
    </row>
    <row r="1224" spans="1:25" hidden="1">
      <c r="A1224" t="s">
        <v>18807</v>
      </c>
      <c r="B1224" t="s">
        <v>1265</v>
      </c>
      <c r="C1224" t="s">
        <v>1261</v>
      </c>
      <c r="D1224" t="s">
        <v>648</v>
      </c>
      <c r="E1224" t="s">
        <v>1004</v>
      </c>
      <c r="F1224" t="s">
        <v>598</v>
      </c>
      <c r="G1224" t="s">
        <v>599</v>
      </c>
      <c r="H1224" t="s">
        <v>600</v>
      </c>
      <c r="I1224" t="s">
        <v>601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</row>
    <row r="1225" spans="1:25" hidden="1">
      <c r="A1225" t="s">
        <v>18807</v>
      </c>
      <c r="B1225" t="s">
        <v>1270</v>
      </c>
      <c r="C1225" t="s">
        <v>1267</v>
      </c>
      <c r="D1225" t="s">
        <v>1271</v>
      </c>
      <c r="E1225" t="s">
        <v>672</v>
      </c>
      <c r="F1225" t="s">
        <v>598</v>
      </c>
      <c r="G1225" t="s">
        <v>599</v>
      </c>
      <c r="H1225" t="s">
        <v>600</v>
      </c>
      <c r="I1225" t="s">
        <v>601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hidden="1">
      <c r="A1226" t="s">
        <v>18807</v>
      </c>
      <c r="B1226" t="s">
        <v>1273</v>
      </c>
      <c r="C1226" t="s">
        <v>1267</v>
      </c>
      <c r="D1226" t="s">
        <v>1274</v>
      </c>
      <c r="E1226" t="s">
        <v>672</v>
      </c>
      <c r="F1226" t="s">
        <v>598</v>
      </c>
      <c r="G1226" t="s">
        <v>599</v>
      </c>
      <c r="H1226" t="s">
        <v>600</v>
      </c>
      <c r="I1226" t="s">
        <v>601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hidden="1">
      <c r="A1227" t="s">
        <v>18807</v>
      </c>
      <c r="B1227" t="s">
        <v>1277</v>
      </c>
      <c r="C1227" t="s">
        <v>1267</v>
      </c>
      <c r="D1227" t="s">
        <v>1278</v>
      </c>
      <c r="E1227" t="s">
        <v>672</v>
      </c>
      <c r="F1227" t="s">
        <v>598</v>
      </c>
      <c r="G1227" t="s">
        <v>599</v>
      </c>
      <c r="H1227" t="s">
        <v>600</v>
      </c>
      <c r="I1227" t="s">
        <v>601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hidden="1">
      <c r="A1228" t="s">
        <v>18807</v>
      </c>
      <c r="B1228" t="s">
        <v>1280</v>
      </c>
      <c r="C1228" t="s">
        <v>1267</v>
      </c>
      <c r="D1228" t="s">
        <v>1281</v>
      </c>
      <c r="E1228" t="s">
        <v>672</v>
      </c>
      <c r="F1228" t="s">
        <v>598</v>
      </c>
      <c r="G1228" t="s">
        <v>599</v>
      </c>
      <c r="H1228" t="s">
        <v>600</v>
      </c>
      <c r="I1228" t="s">
        <v>601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</row>
    <row r="1229" spans="1:25" hidden="1">
      <c r="A1229" t="s">
        <v>18807</v>
      </c>
      <c r="B1229" t="s">
        <v>1284</v>
      </c>
      <c r="C1229" t="s">
        <v>1267</v>
      </c>
      <c r="D1229" t="s">
        <v>1285</v>
      </c>
      <c r="E1229" t="s">
        <v>678</v>
      </c>
      <c r="F1229" t="s">
        <v>598</v>
      </c>
      <c r="G1229" t="s">
        <v>599</v>
      </c>
      <c r="H1229" t="s">
        <v>600</v>
      </c>
      <c r="I1229" t="s">
        <v>601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hidden="1">
      <c r="A1230" t="s">
        <v>18807</v>
      </c>
      <c r="B1230" t="s">
        <v>1286</v>
      </c>
      <c r="C1230" t="s">
        <v>1267</v>
      </c>
      <c r="D1230" t="s">
        <v>1287</v>
      </c>
      <c r="E1230" t="s">
        <v>597</v>
      </c>
      <c r="F1230" t="s">
        <v>598</v>
      </c>
      <c r="G1230" t="s">
        <v>599</v>
      </c>
      <c r="H1230" t="s">
        <v>600</v>
      </c>
      <c r="I1230" t="s">
        <v>601</v>
      </c>
      <c r="J1230">
        <v>5.9999999999999995E-4</v>
      </c>
      <c r="K1230">
        <v>5.9999999999999995E-4</v>
      </c>
      <c r="L1230">
        <v>5.9999999999999995E-4</v>
      </c>
      <c r="M1230">
        <v>5.9999999999999995E-4</v>
      </c>
      <c r="N1230">
        <v>5.9999999999999995E-4</v>
      </c>
      <c r="O1230">
        <v>5.9999999999999995E-4</v>
      </c>
      <c r="P1230">
        <v>5.9999999999999995E-4</v>
      </c>
      <c r="Q1230">
        <v>5.0000000000000001E-4</v>
      </c>
      <c r="R1230">
        <v>5.0000000000000001E-4</v>
      </c>
      <c r="S1230">
        <v>5.0000000000000001E-4</v>
      </c>
      <c r="T1230">
        <v>5.0000000000000001E-4</v>
      </c>
      <c r="U1230">
        <v>5.0000000000000001E-4</v>
      </c>
      <c r="V1230">
        <v>5.0000000000000001E-4</v>
      </c>
      <c r="W1230">
        <v>5.0000000000000001E-4</v>
      </c>
      <c r="X1230">
        <v>5.0000000000000001E-4</v>
      </c>
      <c r="Y1230">
        <v>5.0000000000000001E-4</v>
      </c>
    </row>
    <row r="1231" spans="1:25" hidden="1">
      <c r="A1231" t="s">
        <v>18807</v>
      </c>
      <c r="B1231" t="s">
        <v>1288</v>
      </c>
      <c r="C1231" t="s">
        <v>1267</v>
      </c>
      <c r="D1231" t="s">
        <v>1287</v>
      </c>
      <c r="E1231" t="s">
        <v>678</v>
      </c>
      <c r="F1231" t="s">
        <v>598</v>
      </c>
      <c r="G1231" t="s">
        <v>599</v>
      </c>
      <c r="H1231" t="s">
        <v>600</v>
      </c>
      <c r="I1231" t="s">
        <v>601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</row>
    <row r="1232" spans="1:25" hidden="1">
      <c r="A1232" t="s">
        <v>18807</v>
      </c>
      <c r="B1232" t="s">
        <v>1292</v>
      </c>
      <c r="C1232" t="s">
        <v>1267</v>
      </c>
      <c r="D1232" t="s">
        <v>1293</v>
      </c>
      <c r="E1232" t="s">
        <v>672</v>
      </c>
      <c r="F1232" t="s">
        <v>598</v>
      </c>
      <c r="G1232" t="s">
        <v>599</v>
      </c>
      <c r="H1232" t="s">
        <v>600</v>
      </c>
      <c r="I1232" t="s">
        <v>601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</row>
    <row r="1233" spans="1:25" hidden="1">
      <c r="A1233" t="s">
        <v>18807</v>
      </c>
      <c r="B1233" t="s">
        <v>1295</v>
      </c>
      <c r="C1233" t="s">
        <v>1267</v>
      </c>
      <c r="D1233" t="s">
        <v>1296</v>
      </c>
      <c r="E1233" t="s">
        <v>678</v>
      </c>
      <c r="F1233" t="s">
        <v>598</v>
      </c>
      <c r="G1233" t="s">
        <v>599</v>
      </c>
      <c r="H1233" t="s">
        <v>600</v>
      </c>
      <c r="I1233" t="s">
        <v>601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hidden="1">
      <c r="A1234" t="s">
        <v>18807</v>
      </c>
      <c r="B1234" t="s">
        <v>1297</v>
      </c>
      <c r="C1234" t="s">
        <v>1267</v>
      </c>
      <c r="D1234" t="s">
        <v>1298</v>
      </c>
      <c r="E1234" t="s">
        <v>672</v>
      </c>
      <c r="F1234" t="s">
        <v>598</v>
      </c>
      <c r="G1234" t="s">
        <v>599</v>
      </c>
      <c r="H1234" t="s">
        <v>600</v>
      </c>
      <c r="I1234" t="s">
        <v>601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hidden="1">
      <c r="A1235" t="s">
        <v>18807</v>
      </c>
      <c r="B1235" t="s">
        <v>1301</v>
      </c>
      <c r="C1235" t="s">
        <v>1267</v>
      </c>
      <c r="D1235" t="s">
        <v>1302</v>
      </c>
      <c r="E1235" t="s">
        <v>672</v>
      </c>
      <c r="F1235" t="s">
        <v>598</v>
      </c>
      <c r="G1235" t="s">
        <v>599</v>
      </c>
      <c r="H1235" t="s">
        <v>600</v>
      </c>
      <c r="I1235" t="s">
        <v>601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hidden="1">
      <c r="A1236" t="s">
        <v>18807</v>
      </c>
      <c r="B1236" t="s">
        <v>1304</v>
      </c>
      <c r="C1236" t="s">
        <v>1267</v>
      </c>
      <c r="D1236" t="s">
        <v>1305</v>
      </c>
      <c r="E1236" t="s">
        <v>672</v>
      </c>
      <c r="F1236" t="s">
        <v>598</v>
      </c>
      <c r="G1236" t="s">
        <v>599</v>
      </c>
      <c r="H1236" t="s">
        <v>600</v>
      </c>
      <c r="I1236" t="s">
        <v>601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hidden="1">
      <c r="A1237" t="s">
        <v>18807</v>
      </c>
      <c r="B1237" t="s">
        <v>1307</v>
      </c>
      <c r="C1237" t="s">
        <v>1267</v>
      </c>
      <c r="D1237" t="s">
        <v>1305</v>
      </c>
      <c r="E1237" t="s">
        <v>678</v>
      </c>
      <c r="F1237" t="s">
        <v>598</v>
      </c>
      <c r="G1237" t="s">
        <v>599</v>
      </c>
      <c r="H1237" t="s">
        <v>600</v>
      </c>
      <c r="I1237" t="s">
        <v>601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</row>
    <row r="1238" spans="1:25" hidden="1">
      <c r="A1238" t="s">
        <v>18807</v>
      </c>
      <c r="B1238" t="s">
        <v>1308</v>
      </c>
      <c r="C1238" t="s">
        <v>1267</v>
      </c>
      <c r="D1238" t="s">
        <v>1309</v>
      </c>
      <c r="E1238" t="s">
        <v>672</v>
      </c>
      <c r="F1238" t="s">
        <v>598</v>
      </c>
      <c r="G1238" t="s">
        <v>599</v>
      </c>
      <c r="H1238" t="s">
        <v>600</v>
      </c>
      <c r="I1238" t="s">
        <v>601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hidden="1">
      <c r="A1239" t="s">
        <v>18807</v>
      </c>
      <c r="B1239" t="s">
        <v>1321</v>
      </c>
      <c r="C1239" t="s">
        <v>1267</v>
      </c>
      <c r="D1239" t="s">
        <v>1322</v>
      </c>
      <c r="E1239" t="s">
        <v>672</v>
      </c>
      <c r="F1239" t="s">
        <v>598</v>
      </c>
      <c r="G1239" t="s">
        <v>599</v>
      </c>
      <c r="H1239" t="s">
        <v>600</v>
      </c>
      <c r="I1239" t="s">
        <v>601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hidden="1">
      <c r="A1240" t="s">
        <v>18807</v>
      </c>
      <c r="B1240" t="s">
        <v>1331</v>
      </c>
      <c r="C1240" t="s">
        <v>1267</v>
      </c>
      <c r="D1240" t="s">
        <v>1332</v>
      </c>
      <c r="E1240" t="s">
        <v>688</v>
      </c>
      <c r="F1240" t="s">
        <v>598</v>
      </c>
      <c r="G1240" t="s">
        <v>599</v>
      </c>
      <c r="H1240" t="s">
        <v>600</v>
      </c>
      <c r="I1240" t="s">
        <v>601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hidden="1">
      <c r="A1241" t="s">
        <v>18807</v>
      </c>
      <c r="B1241" t="s">
        <v>1351</v>
      </c>
      <c r="C1241" t="s">
        <v>1267</v>
      </c>
      <c r="D1241" t="s">
        <v>1352</v>
      </c>
      <c r="E1241" t="s">
        <v>672</v>
      </c>
      <c r="F1241" t="s">
        <v>598</v>
      </c>
      <c r="G1241" t="s">
        <v>599</v>
      </c>
      <c r="H1241" t="s">
        <v>600</v>
      </c>
      <c r="I1241" t="s">
        <v>601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hidden="1">
      <c r="A1242" t="s">
        <v>18807</v>
      </c>
      <c r="B1242" t="s">
        <v>1353</v>
      </c>
      <c r="C1242" t="s">
        <v>1267</v>
      </c>
      <c r="D1242" t="s">
        <v>1354</v>
      </c>
      <c r="E1242" t="s">
        <v>672</v>
      </c>
      <c r="F1242" t="s">
        <v>598</v>
      </c>
      <c r="G1242" t="s">
        <v>599</v>
      </c>
      <c r="H1242" t="s">
        <v>600</v>
      </c>
      <c r="I1242" t="s">
        <v>601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hidden="1">
      <c r="A1243" t="s">
        <v>18807</v>
      </c>
      <c r="B1243" t="s">
        <v>1355</v>
      </c>
      <c r="C1243" t="s">
        <v>1267</v>
      </c>
      <c r="D1243" t="s">
        <v>1354</v>
      </c>
      <c r="E1243" t="s">
        <v>678</v>
      </c>
      <c r="F1243" t="s">
        <v>598</v>
      </c>
      <c r="G1243" t="s">
        <v>599</v>
      </c>
      <c r="H1243" t="s">
        <v>600</v>
      </c>
      <c r="I1243" t="s">
        <v>601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hidden="1">
      <c r="A1244" t="s">
        <v>18807</v>
      </c>
      <c r="B1244" t="s">
        <v>1362</v>
      </c>
      <c r="C1244" t="s">
        <v>1267</v>
      </c>
      <c r="D1244" t="s">
        <v>1363</v>
      </c>
      <c r="E1244" t="s">
        <v>597</v>
      </c>
      <c r="F1244" t="s">
        <v>598</v>
      </c>
      <c r="G1244" t="s">
        <v>599</v>
      </c>
      <c r="H1244" t="s">
        <v>600</v>
      </c>
      <c r="I1244" t="s">
        <v>601</v>
      </c>
      <c r="J1244">
        <v>1E-4</v>
      </c>
      <c r="K1244">
        <v>1E-4</v>
      </c>
      <c r="L1244">
        <v>1E-4</v>
      </c>
      <c r="M1244">
        <v>1E-4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hidden="1">
      <c r="A1245" t="s">
        <v>18807</v>
      </c>
      <c r="B1245" t="s">
        <v>1369</v>
      </c>
      <c r="C1245" t="s">
        <v>1267</v>
      </c>
      <c r="D1245" t="s">
        <v>1370</v>
      </c>
      <c r="E1245" t="s">
        <v>672</v>
      </c>
      <c r="F1245" t="s">
        <v>598</v>
      </c>
      <c r="G1245" t="s">
        <v>599</v>
      </c>
      <c r="H1245" t="s">
        <v>600</v>
      </c>
      <c r="I1245" t="s">
        <v>601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 hidden="1">
      <c r="A1246" t="s">
        <v>18807</v>
      </c>
      <c r="B1246" t="s">
        <v>1373</v>
      </c>
      <c r="C1246" t="s">
        <v>1267</v>
      </c>
      <c r="D1246" t="s">
        <v>648</v>
      </c>
      <c r="E1246" t="s">
        <v>672</v>
      </c>
      <c r="F1246" t="s">
        <v>598</v>
      </c>
      <c r="G1246" t="s">
        <v>599</v>
      </c>
      <c r="H1246" t="s">
        <v>600</v>
      </c>
      <c r="I1246" t="s">
        <v>601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hidden="1">
      <c r="A1247" t="s">
        <v>18807</v>
      </c>
      <c r="B1247" t="s">
        <v>1459</v>
      </c>
      <c r="C1247" t="s">
        <v>1382</v>
      </c>
      <c r="D1247" t="s">
        <v>648</v>
      </c>
      <c r="E1247" t="s">
        <v>920</v>
      </c>
      <c r="F1247" t="s">
        <v>598</v>
      </c>
      <c r="G1247" t="s">
        <v>599</v>
      </c>
      <c r="H1247" t="s">
        <v>600</v>
      </c>
      <c r="I1247" t="s">
        <v>601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hidden="1">
      <c r="A1248" t="s">
        <v>18807</v>
      </c>
      <c r="B1248" t="s">
        <v>1471</v>
      </c>
      <c r="C1248" t="s">
        <v>1472</v>
      </c>
      <c r="D1248" t="s">
        <v>1274</v>
      </c>
      <c r="E1248" t="s">
        <v>973</v>
      </c>
      <c r="F1248" t="s">
        <v>598</v>
      </c>
      <c r="G1248" t="s">
        <v>599</v>
      </c>
      <c r="H1248" t="s">
        <v>600</v>
      </c>
      <c r="I1248" t="s">
        <v>601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hidden="1">
      <c r="A1249" t="s">
        <v>18807</v>
      </c>
      <c r="B1249" t="s">
        <v>1478</v>
      </c>
      <c r="C1249" t="s">
        <v>1472</v>
      </c>
      <c r="D1249" t="s">
        <v>1305</v>
      </c>
      <c r="E1249" t="s">
        <v>973</v>
      </c>
      <c r="F1249" t="s">
        <v>598</v>
      </c>
      <c r="G1249" t="s">
        <v>599</v>
      </c>
      <c r="H1249" t="s">
        <v>600</v>
      </c>
      <c r="I1249" t="s">
        <v>601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hidden="1">
      <c r="A1250" t="s">
        <v>18807</v>
      </c>
      <c r="B1250" t="s">
        <v>1482</v>
      </c>
      <c r="C1250" t="s">
        <v>1472</v>
      </c>
      <c r="D1250" t="s">
        <v>1483</v>
      </c>
      <c r="E1250" t="s">
        <v>597</v>
      </c>
      <c r="F1250" t="s">
        <v>598</v>
      </c>
      <c r="G1250" t="s">
        <v>599</v>
      </c>
      <c r="H1250" t="s">
        <v>600</v>
      </c>
      <c r="I1250" t="s">
        <v>601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hidden="1">
      <c r="A1251" t="s">
        <v>18807</v>
      </c>
      <c r="B1251" t="s">
        <v>1484</v>
      </c>
      <c r="C1251" t="s">
        <v>1472</v>
      </c>
      <c r="D1251" t="s">
        <v>1485</v>
      </c>
      <c r="E1251" t="s">
        <v>642</v>
      </c>
      <c r="F1251" t="s">
        <v>598</v>
      </c>
      <c r="G1251" t="s">
        <v>599</v>
      </c>
      <c r="H1251" t="s">
        <v>600</v>
      </c>
      <c r="I1251" t="s">
        <v>601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hidden="1">
      <c r="A1252" t="s">
        <v>18807</v>
      </c>
      <c r="B1252" t="s">
        <v>1487</v>
      </c>
      <c r="C1252" t="s">
        <v>1472</v>
      </c>
      <c r="D1252" t="s">
        <v>1311</v>
      </c>
      <c r="E1252" t="s">
        <v>605</v>
      </c>
      <c r="F1252" t="s">
        <v>598</v>
      </c>
      <c r="G1252" t="s">
        <v>599</v>
      </c>
      <c r="H1252" t="s">
        <v>600</v>
      </c>
      <c r="I1252" t="s">
        <v>601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hidden="1">
      <c r="A1253" t="s">
        <v>18807</v>
      </c>
      <c r="B1253" t="s">
        <v>1490</v>
      </c>
      <c r="C1253" t="s">
        <v>1472</v>
      </c>
      <c r="D1253" t="s">
        <v>1392</v>
      </c>
      <c r="E1253" t="s">
        <v>892</v>
      </c>
      <c r="F1253" t="s">
        <v>598</v>
      </c>
      <c r="G1253" t="s">
        <v>599</v>
      </c>
      <c r="H1253" t="s">
        <v>600</v>
      </c>
      <c r="I1253" t="s">
        <v>601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 hidden="1">
      <c r="A1254" t="s">
        <v>18807</v>
      </c>
      <c r="B1254" t="s">
        <v>1493</v>
      </c>
      <c r="C1254" t="s">
        <v>1472</v>
      </c>
      <c r="D1254" t="s">
        <v>1316</v>
      </c>
      <c r="E1254" t="s">
        <v>626</v>
      </c>
      <c r="F1254" t="s">
        <v>598</v>
      </c>
      <c r="G1254" t="s">
        <v>599</v>
      </c>
      <c r="H1254" t="s">
        <v>600</v>
      </c>
      <c r="I1254" t="s">
        <v>601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hidden="1">
      <c r="A1255" t="s">
        <v>18807</v>
      </c>
      <c r="B1255" t="s">
        <v>1497</v>
      </c>
      <c r="C1255" t="s">
        <v>1472</v>
      </c>
      <c r="D1255" t="s">
        <v>1316</v>
      </c>
      <c r="E1255" t="s">
        <v>750</v>
      </c>
      <c r="F1255" t="s">
        <v>598</v>
      </c>
      <c r="G1255" t="s">
        <v>599</v>
      </c>
      <c r="H1255" t="s">
        <v>600</v>
      </c>
      <c r="I1255" t="s">
        <v>601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hidden="1">
      <c r="A1256" t="s">
        <v>18807</v>
      </c>
      <c r="B1256" t="s">
        <v>1507</v>
      </c>
      <c r="C1256" t="s">
        <v>1472</v>
      </c>
      <c r="D1256" t="s">
        <v>1320</v>
      </c>
      <c r="E1256" t="s">
        <v>892</v>
      </c>
      <c r="F1256" t="s">
        <v>598</v>
      </c>
      <c r="G1256" t="s">
        <v>599</v>
      </c>
      <c r="H1256" t="s">
        <v>600</v>
      </c>
      <c r="I1256" t="s">
        <v>601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hidden="1">
      <c r="A1257" t="s">
        <v>18807</v>
      </c>
      <c r="B1257" t="s">
        <v>1511</v>
      </c>
      <c r="C1257" t="s">
        <v>1472</v>
      </c>
      <c r="D1257" t="s">
        <v>1324</v>
      </c>
      <c r="E1257" t="s">
        <v>1512</v>
      </c>
      <c r="F1257" t="s">
        <v>598</v>
      </c>
      <c r="G1257" t="s">
        <v>599</v>
      </c>
      <c r="H1257" t="s">
        <v>600</v>
      </c>
      <c r="I1257" t="s">
        <v>601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hidden="1">
      <c r="A1258" t="s">
        <v>18807</v>
      </c>
      <c r="B1258" t="s">
        <v>1514</v>
      </c>
      <c r="C1258" t="s">
        <v>1472</v>
      </c>
      <c r="D1258" t="s">
        <v>1324</v>
      </c>
      <c r="E1258" t="s">
        <v>1334</v>
      </c>
      <c r="F1258" t="s">
        <v>598</v>
      </c>
      <c r="G1258" t="s">
        <v>599</v>
      </c>
      <c r="H1258" t="s">
        <v>600</v>
      </c>
      <c r="I1258" t="s">
        <v>601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hidden="1">
      <c r="A1259" t="s">
        <v>18807</v>
      </c>
      <c r="B1259" t="s">
        <v>1517</v>
      </c>
      <c r="C1259" t="s">
        <v>1472</v>
      </c>
      <c r="D1259" t="s">
        <v>1324</v>
      </c>
      <c r="E1259" t="s">
        <v>692</v>
      </c>
      <c r="F1259" t="s">
        <v>598</v>
      </c>
      <c r="G1259" t="s">
        <v>599</v>
      </c>
      <c r="H1259" t="s">
        <v>600</v>
      </c>
      <c r="I1259" t="s">
        <v>601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hidden="1">
      <c r="A1260" t="s">
        <v>18807</v>
      </c>
      <c r="B1260" t="s">
        <v>1519</v>
      </c>
      <c r="C1260" t="s">
        <v>1472</v>
      </c>
      <c r="D1260" t="s">
        <v>1324</v>
      </c>
      <c r="E1260" t="s">
        <v>750</v>
      </c>
      <c r="F1260" t="s">
        <v>598</v>
      </c>
      <c r="G1260" t="s">
        <v>599</v>
      </c>
      <c r="H1260" t="s">
        <v>600</v>
      </c>
      <c r="I1260" t="s">
        <v>601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hidden="1">
      <c r="A1261" t="s">
        <v>18807</v>
      </c>
      <c r="B1261" t="s">
        <v>1520</v>
      </c>
      <c r="C1261" t="s">
        <v>1472</v>
      </c>
      <c r="D1261" t="s">
        <v>1324</v>
      </c>
      <c r="E1261" t="s">
        <v>1402</v>
      </c>
      <c r="F1261" t="s">
        <v>598</v>
      </c>
      <c r="G1261" t="s">
        <v>599</v>
      </c>
      <c r="H1261" t="s">
        <v>600</v>
      </c>
      <c r="I1261" t="s">
        <v>601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hidden="1">
      <c r="A1262" t="s">
        <v>18807</v>
      </c>
      <c r="B1262" t="s">
        <v>1527</v>
      </c>
      <c r="C1262" t="s">
        <v>1472</v>
      </c>
      <c r="D1262" t="s">
        <v>1332</v>
      </c>
      <c r="E1262" t="s">
        <v>1334</v>
      </c>
      <c r="F1262" t="s">
        <v>598</v>
      </c>
      <c r="G1262" t="s">
        <v>599</v>
      </c>
      <c r="H1262" t="s">
        <v>600</v>
      </c>
      <c r="I1262" t="s">
        <v>601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hidden="1">
      <c r="A1263" t="s">
        <v>18807</v>
      </c>
      <c r="B1263" t="s">
        <v>1528</v>
      </c>
      <c r="C1263" t="s">
        <v>1472</v>
      </c>
      <c r="D1263" t="s">
        <v>1332</v>
      </c>
      <c r="E1263" t="s">
        <v>1399</v>
      </c>
      <c r="F1263" t="s">
        <v>598</v>
      </c>
      <c r="G1263" t="s">
        <v>599</v>
      </c>
      <c r="H1263" t="s">
        <v>600</v>
      </c>
      <c r="I1263" t="s">
        <v>601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</row>
    <row r="1264" spans="1:25" hidden="1">
      <c r="A1264" t="s">
        <v>18807</v>
      </c>
      <c r="B1264" t="s">
        <v>1529</v>
      </c>
      <c r="C1264" t="s">
        <v>1472</v>
      </c>
      <c r="D1264" t="s">
        <v>1332</v>
      </c>
      <c r="E1264" t="s">
        <v>1417</v>
      </c>
      <c r="F1264" t="s">
        <v>598</v>
      </c>
      <c r="G1264" t="s">
        <v>599</v>
      </c>
      <c r="H1264" t="s">
        <v>600</v>
      </c>
      <c r="I1264" t="s">
        <v>601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hidden="1">
      <c r="A1265" t="s">
        <v>18807</v>
      </c>
      <c r="B1265" t="s">
        <v>1531</v>
      </c>
      <c r="C1265" t="s">
        <v>1472</v>
      </c>
      <c r="D1265" t="s">
        <v>1332</v>
      </c>
      <c r="E1265" t="s">
        <v>1326</v>
      </c>
      <c r="F1265" t="s">
        <v>598</v>
      </c>
      <c r="G1265" t="s">
        <v>599</v>
      </c>
      <c r="H1265" t="s">
        <v>600</v>
      </c>
      <c r="I1265" t="s">
        <v>601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hidden="1">
      <c r="A1266" t="s">
        <v>18807</v>
      </c>
      <c r="B1266" t="s">
        <v>1540</v>
      </c>
      <c r="C1266" t="s">
        <v>1472</v>
      </c>
      <c r="D1266" t="s">
        <v>1348</v>
      </c>
      <c r="E1266" t="s">
        <v>1334</v>
      </c>
      <c r="F1266" t="s">
        <v>598</v>
      </c>
      <c r="G1266" t="s">
        <v>599</v>
      </c>
      <c r="H1266" t="s">
        <v>600</v>
      </c>
      <c r="I1266" t="s">
        <v>601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hidden="1">
      <c r="A1267" t="s">
        <v>18807</v>
      </c>
      <c r="B1267" t="s">
        <v>1542</v>
      </c>
      <c r="C1267" t="s">
        <v>1472</v>
      </c>
      <c r="D1267" t="s">
        <v>1348</v>
      </c>
      <c r="E1267" t="s">
        <v>1417</v>
      </c>
      <c r="F1267" t="s">
        <v>598</v>
      </c>
      <c r="G1267" t="s">
        <v>599</v>
      </c>
      <c r="H1267" t="s">
        <v>600</v>
      </c>
      <c r="I1267" t="s">
        <v>601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hidden="1">
      <c r="A1268" t="s">
        <v>18807</v>
      </c>
      <c r="B1268" t="s">
        <v>1546</v>
      </c>
      <c r="C1268" t="s">
        <v>1472</v>
      </c>
      <c r="D1268" t="s">
        <v>1348</v>
      </c>
      <c r="E1268" t="s">
        <v>1402</v>
      </c>
      <c r="F1268" t="s">
        <v>598</v>
      </c>
      <c r="G1268" t="s">
        <v>599</v>
      </c>
      <c r="H1268" t="s">
        <v>600</v>
      </c>
      <c r="I1268" t="s">
        <v>601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hidden="1">
      <c r="A1269" t="s">
        <v>18807</v>
      </c>
      <c r="B1269" t="s">
        <v>1547</v>
      </c>
      <c r="C1269" t="s">
        <v>1472</v>
      </c>
      <c r="D1269" t="s">
        <v>1348</v>
      </c>
      <c r="E1269" t="s">
        <v>892</v>
      </c>
      <c r="F1269" t="s">
        <v>598</v>
      </c>
      <c r="G1269" t="s">
        <v>599</v>
      </c>
      <c r="H1269" t="s">
        <v>600</v>
      </c>
      <c r="I1269" t="s">
        <v>601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hidden="1">
      <c r="A1270" t="s">
        <v>18807</v>
      </c>
      <c r="B1270" t="s">
        <v>1549</v>
      </c>
      <c r="C1270" t="s">
        <v>1472</v>
      </c>
      <c r="D1270" t="s">
        <v>1350</v>
      </c>
      <c r="E1270" t="s">
        <v>688</v>
      </c>
      <c r="F1270" t="s">
        <v>598</v>
      </c>
      <c r="G1270" t="s">
        <v>599</v>
      </c>
      <c r="H1270" t="s">
        <v>600</v>
      </c>
      <c r="I1270" t="s">
        <v>601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hidden="1">
      <c r="A1271" t="s">
        <v>18807</v>
      </c>
      <c r="B1271" t="s">
        <v>1550</v>
      </c>
      <c r="C1271" t="s">
        <v>1472</v>
      </c>
      <c r="D1271" t="s">
        <v>1354</v>
      </c>
      <c r="E1271" t="s">
        <v>973</v>
      </c>
      <c r="F1271" t="s">
        <v>598</v>
      </c>
      <c r="G1271" t="s">
        <v>599</v>
      </c>
      <c r="H1271" t="s">
        <v>600</v>
      </c>
      <c r="I1271" t="s">
        <v>601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hidden="1">
      <c r="A1272" t="s">
        <v>18807</v>
      </c>
      <c r="B1272" t="s">
        <v>1551</v>
      </c>
      <c r="C1272" t="s">
        <v>1472</v>
      </c>
      <c r="D1272" t="s">
        <v>1552</v>
      </c>
      <c r="E1272" t="s">
        <v>626</v>
      </c>
      <c r="F1272" t="s">
        <v>598</v>
      </c>
      <c r="G1272" t="s">
        <v>599</v>
      </c>
      <c r="H1272" t="s">
        <v>600</v>
      </c>
      <c r="I1272" t="s">
        <v>601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hidden="1">
      <c r="A1273" t="s">
        <v>18807</v>
      </c>
      <c r="B1273" t="s">
        <v>1566</v>
      </c>
      <c r="C1273" t="s">
        <v>1472</v>
      </c>
      <c r="D1273" t="s">
        <v>1567</v>
      </c>
      <c r="E1273" t="s">
        <v>626</v>
      </c>
      <c r="F1273" t="s">
        <v>598</v>
      </c>
      <c r="G1273" t="s">
        <v>599</v>
      </c>
      <c r="H1273" t="s">
        <v>600</v>
      </c>
      <c r="I1273" t="s">
        <v>601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hidden="1">
      <c r="A1274" t="s">
        <v>18807</v>
      </c>
      <c r="B1274" t="s">
        <v>1568</v>
      </c>
      <c r="C1274" t="s">
        <v>1472</v>
      </c>
      <c r="D1274" t="s">
        <v>1569</v>
      </c>
      <c r="E1274" t="s">
        <v>626</v>
      </c>
      <c r="F1274" t="s">
        <v>598</v>
      </c>
      <c r="G1274" t="s">
        <v>599</v>
      </c>
      <c r="H1274" t="s">
        <v>600</v>
      </c>
      <c r="I1274" t="s">
        <v>601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hidden="1">
      <c r="A1275" t="s">
        <v>18807</v>
      </c>
      <c r="B1275" t="s">
        <v>1570</v>
      </c>
      <c r="C1275" t="s">
        <v>1472</v>
      </c>
      <c r="D1275" t="s">
        <v>1571</v>
      </c>
      <c r="E1275" t="s">
        <v>626</v>
      </c>
      <c r="F1275" t="s">
        <v>598</v>
      </c>
      <c r="G1275" t="s">
        <v>599</v>
      </c>
      <c r="H1275" t="s">
        <v>600</v>
      </c>
      <c r="I1275" t="s">
        <v>601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hidden="1">
      <c r="A1276" t="s">
        <v>18807</v>
      </c>
      <c r="B1276" t="s">
        <v>1573</v>
      </c>
      <c r="C1276" t="s">
        <v>1472</v>
      </c>
      <c r="D1276" t="s">
        <v>1574</v>
      </c>
      <c r="E1276" t="s">
        <v>626</v>
      </c>
      <c r="F1276" t="s">
        <v>598</v>
      </c>
      <c r="G1276" t="s">
        <v>599</v>
      </c>
      <c r="H1276" t="s">
        <v>600</v>
      </c>
      <c r="I1276" t="s">
        <v>601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hidden="1">
      <c r="A1277" t="s">
        <v>18807</v>
      </c>
      <c r="B1277" t="s">
        <v>1575</v>
      </c>
      <c r="C1277" t="s">
        <v>1472</v>
      </c>
      <c r="D1277" t="s">
        <v>1576</v>
      </c>
      <c r="E1277" t="s">
        <v>626</v>
      </c>
      <c r="F1277" t="s">
        <v>598</v>
      </c>
      <c r="G1277" t="s">
        <v>599</v>
      </c>
      <c r="H1277" t="s">
        <v>600</v>
      </c>
      <c r="I1277" t="s">
        <v>601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hidden="1">
      <c r="A1278" t="s">
        <v>18807</v>
      </c>
      <c r="B1278" t="s">
        <v>1577</v>
      </c>
      <c r="C1278" t="s">
        <v>1472</v>
      </c>
      <c r="D1278" t="s">
        <v>1578</v>
      </c>
      <c r="E1278" t="s">
        <v>626</v>
      </c>
      <c r="F1278" t="s">
        <v>598</v>
      </c>
      <c r="G1278" t="s">
        <v>599</v>
      </c>
      <c r="H1278" t="s">
        <v>600</v>
      </c>
      <c r="I1278" t="s">
        <v>601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hidden="1">
      <c r="A1279" t="s">
        <v>18807</v>
      </c>
      <c r="B1279" t="s">
        <v>1579</v>
      </c>
      <c r="C1279" t="s">
        <v>1472</v>
      </c>
      <c r="D1279" t="s">
        <v>1578</v>
      </c>
      <c r="E1279" t="s">
        <v>1334</v>
      </c>
      <c r="F1279" t="s">
        <v>598</v>
      </c>
      <c r="G1279" t="s">
        <v>599</v>
      </c>
      <c r="H1279" t="s">
        <v>600</v>
      </c>
      <c r="I1279" t="s">
        <v>601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hidden="1">
      <c r="A1280" t="s">
        <v>18807</v>
      </c>
      <c r="B1280" t="s">
        <v>1581</v>
      </c>
      <c r="C1280" t="s">
        <v>1472</v>
      </c>
      <c r="D1280" t="s">
        <v>1578</v>
      </c>
      <c r="E1280" t="s">
        <v>1417</v>
      </c>
      <c r="F1280" t="s">
        <v>598</v>
      </c>
      <c r="G1280" t="s">
        <v>599</v>
      </c>
      <c r="H1280" t="s">
        <v>600</v>
      </c>
      <c r="I1280" t="s">
        <v>601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hidden="1">
      <c r="A1281" t="s">
        <v>18807</v>
      </c>
      <c r="B1281" t="s">
        <v>1582</v>
      </c>
      <c r="C1281" t="s">
        <v>1472</v>
      </c>
      <c r="D1281" t="s">
        <v>1583</v>
      </c>
      <c r="E1281" t="s">
        <v>626</v>
      </c>
      <c r="F1281" t="s">
        <v>598</v>
      </c>
      <c r="G1281" t="s">
        <v>599</v>
      </c>
      <c r="H1281" t="s">
        <v>600</v>
      </c>
      <c r="I1281" t="s">
        <v>601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hidden="1">
      <c r="A1282" t="s">
        <v>18807</v>
      </c>
      <c r="B1282" t="s">
        <v>1584</v>
      </c>
      <c r="C1282" t="s">
        <v>1472</v>
      </c>
      <c r="D1282" t="s">
        <v>1583</v>
      </c>
      <c r="E1282" t="s">
        <v>1334</v>
      </c>
      <c r="F1282" t="s">
        <v>598</v>
      </c>
      <c r="G1282" t="s">
        <v>599</v>
      </c>
      <c r="H1282" t="s">
        <v>600</v>
      </c>
      <c r="I1282" t="s">
        <v>601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</row>
    <row r="1283" spans="1:25" hidden="1">
      <c r="A1283" t="s">
        <v>18807</v>
      </c>
      <c r="B1283" t="s">
        <v>1586</v>
      </c>
      <c r="C1283" t="s">
        <v>1472</v>
      </c>
      <c r="D1283" t="s">
        <v>1583</v>
      </c>
      <c r="E1283" t="s">
        <v>1417</v>
      </c>
      <c r="F1283" t="s">
        <v>598</v>
      </c>
      <c r="G1283" t="s">
        <v>599</v>
      </c>
      <c r="H1283" t="s">
        <v>600</v>
      </c>
      <c r="I1283" t="s">
        <v>601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</row>
    <row r="1284" spans="1:25" hidden="1">
      <c r="A1284" t="s">
        <v>18807</v>
      </c>
      <c r="B1284" t="s">
        <v>1589</v>
      </c>
      <c r="C1284" t="s">
        <v>1472</v>
      </c>
      <c r="D1284" t="s">
        <v>1365</v>
      </c>
      <c r="E1284" t="s">
        <v>973</v>
      </c>
      <c r="F1284" t="s">
        <v>598</v>
      </c>
      <c r="G1284" t="s">
        <v>599</v>
      </c>
      <c r="H1284" t="s">
        <v>600</v>
      </c>
      <c r="I1284" t="s">
        <v>601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</row>
    <row r="1285" spans="1:25" hidden="1">
      <c r="A1285" t="s">
        <v>18807</v>
      </c>
      <c r="B1285" t="s">
        <v>1590</v>
      </c>
      <c r="C1285" t="s">
        <v>1472</v>
      </c>
      <c r="D1285" t="s">
        <v>1365</v>
      </c>
      <c r="E1285" t="s">
        <v>626</v>
      </c>
      <c r="F1285" t="s">
        <v>598</v>
      </c>
      <c r="G1285" t="s">
        <v>599</v>
      </c>
      <c r="H1285" t="s">
        <v>600</v>
      </c>
      <c r="I1285" t="s">
        <v>601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hidden="1">
      <c r="A1286" t="s">
        <v>18807</v>
      </c>
      <c r="B1286" t="s">
        <v>1593</v>
      </c>
      <c r="C1286" t="s">
        <v>1472</v>
      </c>
      <c r="D1286" t="s">
        <v>1365</v>
      </c>
      <c r="E1286" t="s">
        <v>781</v>
      </c>
      <c r="F1286" t="s">
        <v>598</v>
      </c>
      <c r="G1286" t="s">
        <v>599</v>
      </c>
      <c r="H1286" t="s">
        <v>600</v>
      </c>
      <c r="I1286" t="s">
        <v>601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</row>
    <row r="1287" spans="1:25" hidden="1">
      <c r="A1287" t="s">
        <v>18807</v>
      </c>
      <c r="B1287" t="s">
        <v>1596</v>
      </c>
      <c r="C1287" t="s">
        <v>1472</v>
      </c>
      <c r="D1287" t="s">
        <v>1458</v>
      </c>
      <c r="E1287" t="s">
        <v>781</v>
      </c>
      <c r="F1287" t="s">
        <v>598</v>
      </c>
      <c r="G1287" t="s">
        <v>599</v>
      </c>
      <c r="H1287" t="s">
        <v>600</v>
      </c>
      <c r="I1287" t="s">
        <v>601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</row>
    <row r="1288" spans="1:25" hidden="1">
      <c r="A1288" t="s">
        <v>18807</v>
      </c>
      <c r="B1288" t="s">
        <v>1600</v>
      </c>
      <c r="C1288" t="s">
        <v>1472</v>
      </c>
      <c r="D1288" t="s">
        <v>1601</v>
      </c>
      <c r="E1288" t="s">
        <v>626</v>
      </c>
      <c r="F1288" t="s">
        <v>598</v>
      </c>
      <c r="G1288" t="s">
        <v>599</v>
      </c>
      <c r="H1288" t="s">
        <v>600</v>
      </c>
      <c r="I1288" t="s">
        <v>601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hidden="1">
      <c r="A1289" t="s">
        <v>18807</v>
      </c>
      <c r="B1289" t="s">
        <v>1602</v>
      </c>
      <c r="C1289" t="s">
        <v>1472</v>
      </c>
      <c r="D1289" t="s">
        <v>1603</v>
      </c>
      <c r="E1289" t="s">
        <v>626</v>
      </c>
      <c r="F1289" t="s">
        <v>598</v>
      </c>
      <c r="G1289" t="s">
        <v>599</v>
      </c>
      <c r="H1289" t="s">
        <v>600</v>
      </c>
      <c r="I1289" t="s">
        <v>601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hidden="1">
      <c r="A1290" t="s">
        <v>18807</v>
      </c>
      <c r="B1290" t="s">
        <v>1604</v>
      </c>
      <c r="C1290" t="s">
        <v>1472</v>
      </c>
      <c r="D1290" t="s">
        <v>1605</v>
      </c>
      <c r="E1290" t="s">
        <v>626</v>
      </c>
      <c r="F1290" t="s">
        <v>598</v>
      </c>
      <c r="G1290" t="s">
        <v>599</v>
      </c>
      <c r="H1290" t="s">
        <v>600</v>
      </c>
      <c r="I1290" t="s">
        <v>601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hidden="1">
      <c r="A1291" t="s">
        <v>18807</v>
      </c>
      <c r="B1291" t="s">
        <v>1607</v>
      </c>
      <c r="C1291" t="s">
        <v>1472</v>
      </c>
      <c r="D1291" t="s">
        <v>648</v>
      </c>
      <c r="E1291" t="s">
        <v>597</v>
      </c>
      <c r="F1291" t="s">
        <v>598</v>
      </c>
      <c r="G1291" t="s">
        <v>599</v>
      </c>
      <c r="H1291" t="s">
        <v>600</v>
      </c>
      <c r="I1291" t="s">
        <v>601</v>
      </c>
      <c r="J1291">
        <v>5.9999999999999995E-4</v>
      </c>
      <c r="K1291">
        <v>5.9999999999999995E-4</v>
      </c>
      <c r="L1291">
        <v>5.9999999999999995E-4</v>
      </c>
      <c r="M1291">
        <v>5.9999999999999995E-4</v>
      </c>
      <c r="N1291">
        <v>5.9999999999999995E-4</v>
      </c>
      <c r="O1291">
        <v>5.9999999999999995E-4</v>
      </c>
      <c r="P1291">
        <v>5.9999999999999995E-4</v>
      </c>
      <c r="Q1291">
        <v>5.9999999999999995E-4</v>
      </c>
      <c r="R1291">
        <v>5.9999999999999995E-4</v>
      </c>
      <c r="S1291">
        <v>5.9999999999999995E-4</v>
      </c>
      <c r="T1291">
        <v>5.9999999999999995E-4</v>
      </c>
      <c r="U1291">
        <v>5.9999999999999995E-4</v>
      </c>
      <c r="V1291">
        <v>5.9999999999999995E-4</v>
      </c>
      <c r="W1291">
        <v>6.9999999999999999E-4</v>
      </c>
      <c r="X1291">
        <v>6.9999999999999999E-4</v>
      </c>
      <c r="Y1291">
        <v>6.9999999999999999E-4</v>
      </c>
    </row>
    <row r="1292" spans="1:25" hidden="1">
      <c r="A1292" t="s">
        <v>18807</v>
      </c>
      <c r="B1292" t="s">
        <v>1609</v>
      </c>
      <c r="C1292" t="s">
        <v>1472</v>
      </c>
      <c r="D1292" t="s">
        <v>648</v>
      </c>
      <c r="E1292" t="s">
        <v>626</v>
      </c>
      <c r="F1292" t="s">
        <v>598</v>
      </c>
      <c r="G1292" t="s">
        <v>599</v>
      </c>
      <c r="H1292" t="s">
        <v>600</v>
      </c>
      <c r="I1292" t="s">
        <v>601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 hidden="1">
      <c r="A1293" t="s">
        <v>18807</v>
      </c>
      <c r="B1293" t="s">
        <v>1610</v>
      </c>
      <c r="C1293" t="s">
        <v>1611</v>
      </c>
      <c r="D1293" t="s">
        <v>648</v>
      </c>
      <c r="E1293" t="s">
        <v>920</v>
      </c>
      <c r="F1293" t="s">
        <v>598</v>
      </c>
      <c r="G1293" t="s">
        <v>599</v>
      </c>
      <c r="H1293" t="s">
        <v>600</v>
      </c>
      <c r="I1293" t="s">
        <v>601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hidden="1">
      <c r="A1294" t="s">
        <v>18807</v>
      </c>
      <c r="B1294" t="s">
        <v>1691</v>
      </c>
      <c r="C1294" t="s">
        <v>1614</v>
      </c>
      <c r="D1294" t="s">
        <v>1332</v>
      </c>
      <c r="E1294" t="s">
        <v>1198</v>
      </c>
      <c r="F1294" t="s">
        <v>598</v>
      </c>
      <c r="G1294" t="s">
        <v>599</v>
      </c>
      <c r="H1294" t="s">
        <v>600</v>
      </c>
      <c r="I1294" t="s">
        <v>601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</row>
    <row r="1295" spans="1:25" hidden="1">
      <c r="A1295" t="s">
        <v>18807</v>
      </c>
      <c r="B1295" t="s">
        <v>1697</v>
      </c>
      <c r="C1295" t="s">
        <v>1614</v>
      </c>
      <c r="D1295" t="s">
        <v>1332</v>
      </c>
      <c r="E1295" t="s">
        <v>630</v>
      </c>
      <c r="F1295" t="s">
        <v>598</v>
      </c>
      <c r="G1295" t="s">
        <v>599</v>
      </c>
      <c r="H1295" t="s">
        <v>600</v>
      </c>
      <c r="I1295" t="s">
        <v>601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hidden="1">
      <c r="A1296" t="s">
        <v>18807</v>
      </c>
      <c r="B1296" t="s">
        <v>1717</v>
      </c>
      <c r="C1296" t="s">
        <v>1614</v>
      </c>
      <c r="D1296" t="s">
        <v>1354</v>
      </c>
      <c r="E1296" t="s">
        <v>1718</v>
      </c>
      <c r="F1296" t="s">
        <v>598</v>
      </c>
      <c r="G1296" t="s">
        <v>599</v>
      </c>
      <c r="H1296" t="s">
        <v>600</v>
      </c>
      <c r="I1296" t="s">
        <v>601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hidden="1">
      <c r="A1297" t="s">
        <v>18807</v>
      </c>
      <c r="B1297" t="s">
        <v>1725</v>
      </c>
      <c r="C1297" t="s">
        <v>1614</v>
      </c>
      <c r="D1297" t="s">
        <v>1722</v>
      </c>
      <c r="E1297" t="s">
        <v>1684</v>
      </c>
      <c r="F1297" t="s">
        <v>598</v>
      </c>
      <c r="G1297" t="s">
        <v>599</v>
      </c>
      <c r="H1297" t="s">
        <v>600</v>
      </c>
      <c r="I1297" t="s">
        <v>601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hidden="1">
      <c r="A1298" t="s">
        <v>18807</v>
      </c>
      <c r="B1298" t="s">
        <v>1736</v>
      </c>
      <c r="C1298" t="s">
        <v>1614</v>
      </c>
      <c r="D1298" t="s">
        <v>1722</v>
      </c>
      <c r="E1298" t="s">
        <v>1737</v>
      </c>
      <c r="F1298" t="s">
        <v>598</v>
      </c>
      <c r="G1298" t="s">
        <v>599</v>
      </c>
      <c r="H1298" t="s">
        <v>600</v>
      </c>
      <c r="I1298" t="s">
        <v>601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</row>
    <row r="1299" spans="1:25" hidden="1">
      <c r="A1299" t="s">
        <v>18807</v>
      </c>
      <c r="B1299" t="s">
        <v>1746</v>
      </c>
      <c r="C1299" t="s">
        <v>1614</v>
      </c>
      <c r="D1299" t="s">
        <v>1722</v>
      </c>
      <c r="E1299" t="s">
        <v>954</v>
      </c>
      <c r="F1299" t="s">
        <v>598</v>
      </c>
      <c r="G1299" t="s">
        <v>599</v>
      </c>
      <c r="H1299" t="s">
        <v>600</v>
      </c>
      <c r="I1299" t="s">
        <v>601</v>
      </c>
      <c r="J1299">
        <v>4.3E-3</v>
      </c>
      <c r="K1299">
        <v>4.4000000000000003E-3</v>
      </c>
      <c r="L1299">
        <v>4.5999999999999999E-3</v>
      </c>
      <c r="M1299">
        <v>4.7000000000000002E-3</v>
      </c>
      <c r="N1299">
        <v>4.8999999999999998E-3</v>
      </c>
      <c r="O1299">
        <v>5.1000000000000004E-3</v>
      </c>
      <c r="P1299">
        <v>5.1999999999999998E-3</v>
      </c>
      <c r="Q1299">
        <v>5.4000000000000003E-3</v>
      </c>
      <c r="R1299">
        <v>5.5999999999999999E-3</v>
      </c>
      <c r="S1299">
        <v>5.7999999999999996E-3</v>
      </c>
      <c r="T1299">
        <v>6.0000000000000001E-3</v>
      </c>
      <c r="U1299">
        <v>6.1999999999999998E-3</v>
      </c>
      <c r="V1299">
        <v>6.4000000000000003E-3</v>
      </c>
      <c r="W1299">
        <v>6.6E-3</v>
      </c>
      <c r="X1299">
        <v>6.7999999999999996E-3</v>
      </c>
      <c r="Y1299">
        <v>7.0000000000000001E-3</v>
      </c>
    </row>
    <row r="1300" spans="1:25" hidden="1">
      <c r="A1300" t="s">
        <v>18807</v>
      </c>
      <c r="B1300" t="s">
        <v>1755</v>
      </c>
      <c r="C1300" t="s">
        <v>1614</v>
      </c>
      <c r="D1300" t="s">
        <v>1722</v>
      </c>
      <c r="E1300" t="s">
        <v>1756</v>
      </c>
      <c r="F1300" t="s">
        <v>598</v>
      </c>
      <c r="G1300" t="s">
        <v>599</v>
      </c>
      <c r="H1300" t="s">
        <v>600</v>
      </c>
      <c r="I1300" t="s">
        <v>601</v>
      </c>
      <c r="J1300">
        <v>2.8999999999999998E-3</v>
      </c>
      <c r="K1300">
        <v>3.0000000000000001E-3</v>
      </c>
      <c r="L1300">
        <v>3.2000000000000002E-3</v>
      </c>
      <c r="M1300">
        <v>3.3E-3</v>
      </c>
      <c r="N1300">
        <v>3.3999999999999998E-3</v>
      </c>
      <c r="O1300">
        <v>3.5000000000000001E-3</v>
      </c>
      <c r="P1300">
        <v>3.5999999999999999E-3</v>
      </c>
      <c r="Q1300">
        <v>3.7000000000000002E-3</v>
      </c>
      <c r="R1300">
        <v>3.8999999999999998E-3</v>
      </c>
      <c r="S1300">
        <v>4.0000000000000001E-3</v>
      </c>
      <c r="T1300">
        <v>4.1000000000000003E-3</v>
      </c>
      <c r="U1300">
        <v>4.3E-3</v>
      </c>
      <c r="V1300">
        <v>4.4000000000000003E-3</v>
      </c>
      <c r="W1300">
        <v>4.4999999999999997E-3</v>
      </c>
      <c r="X1300">
        <v>4.7000000000000002E-3</v>
      </c>
      <c r="Y1300">
        <v>4.7999999999999996E-3</v>
      </c>
    </row>
    <row r="1301" spans="1:25" hidden="1">
      <c r="A1301" t="s">
        <v>18807</v>
      </c>
      <c r="B1301" t="s">
        <v>1758</v>
      </c>
      <c r="C1301" t="s">
        <v>1614</v>
      </c>
      <c r="D1301" t="s">
        <v>1722</v>
      </c>
      <c r="E1301" t="s">
        <v>1759</v>
      </c>
      <c r="F1301" t="s">
        <v>598</v>
      </c>
      <c r="G1301" t="s">
        <v>599</v>
      </c>
      <c r="H1301" t="s">
        <v>600</v>
      </c>
      <c r="I1301" t="s">
        <v>601</v>
      </c>
      <c r="J1301">
        <v>1E-4</v>
      </c>
      <c r="K1301">
        <v>1E-4</v>
      </c>
      <c r="L1301">
        <v>1E-4</v>
      </c>
      <c r="M1301">
        <v>1E-4</v>
      </c>
      <c r="N1301">
        <v>1E-4</v>
      </c>
      <c r="O1301">
        <v>1E-4</v>
      </c>
      <c r="P1301">
        <v>1E-4</v>
      </c>
      <c r="Q1301">
        <v>1E-4</v>
      </c>
      <c r="R1301">
        <v>1E-4</v>
      </c>
      <c r="S1301">
        <v>1E-4</v>
      </c>
      <c r="T1301">
        <v>1E-4</v>
      </c>
      <c r="U1301">
        <v>1E-4</v>
      </c>
      <c r="V1301">
        <v>1E-4</v>
      </c>
      <c r="W1301">
        <v>1E-4</v>
      </c>
      <c r="X1301">
        <v>1E-4</v>
      </c>
      <c r="Y1301">
        <v>1E-4</v>
      </c>
    </row>
    <row r="1302" spans="1:25" hidden="1">
      <c r="A1302" t="s">
        <v>18807</v>
      </c>
      <c r="B1302" t="s">
        <v>1764</v>
      </c>
      <c r="C1302" t="s">
        <v>1614</v>
      </c>
      <c r="D1302" t="s">
        <v>1722</v>
      </c>
      <c r="E1302" t="s">
        <v>1765</v>
      </c>
      <c r="F1302" t="s">
        <v>598</v>
      </c>
      <c r="G1302" t="s">
        <v>599</v>
      </c>
      <c r="H1302" t="s">
        <v>600</v>
      </c>
      <c r="I1302" t="s">
        <v>601</v>
      </c>
      <c r="J1302">
        <v>1.01E-2</v>
      </c>
      <c r="K1302">
        <v>1.0500000000000001E-2</v>
      </c>
      <c r="L1302">
        <v>1.09E-2</v>
      </c>
      <c r="M1302">
        <v>1.1299999999999999E-2</v>
      </c>
      <c r="N1302">
        <v>1.1599999999999999E-2</v>
      </c>
      <c r="O1302">
        <v>1.21E-2</v>
      </c>
      <c r="P1302">
        <v>1.2500000000000001E-2</v>
      </c>
      <c r="Q1302">
        <v>1.29E-2</v>
      </c>
      <c r="R1302">
        <v>1.34E-2</v>
      </c>
      <c r="S1302">
        <v>1.37E-2</v>
      </c>
      <c r="T1302">
        <v>1.4200000000000001E-2</v>
      </c>
      <c r="U1302">
        <v>1.47E-2</v>
      </c>
      <c r="V1302">
        <v>1.52E-2</v>
      </c>
      <c r="W1302">
        <v>1.5699999999999999E-2</v>
      </c>
      <c r="X1302">
        <v>1.61E-2</v>
      </c>
      <c r="Y1302">
        <v>1.66E-2</v>
      </c>
    </row>
    <row r="1303" spans="1:25" hidden="1">
      <c r="A1303" t="s">
        <v>18807</v>
      </c>
      <c r="B1303" t="s">
        <v>1769</v>
      </c>
      <c r="C1303" t="s">
        <v>1614</v>
      </c>
      <c r="D1303" t="s">
        <v>1768</v>
      </c>
      <c r="E1303" t="s">
        <v>1770</v>
      </c>
      <c r="F1303" t="s">
        <v>598</v>
      </c>
      <c r="G1303" t="s">
        <v>599</v>
      </c>
      <c r="H1303" t="s">
        <v>600</v>
      </c>
      <c r="I1303" t="s">
        <v>601</v>
      </c>
      <c r="J1303">
        <v>2E-3</v>
      </c>
      <c r="K1303">
        <v>2.0999999999999999E-3</v>
      </c>
      <c r="L1303">
        <v>2.2000000000000001E-3</v>
      </c>
      <c r="M1303">
        <v>2.2000000000000001E-3</v>
      </c>
      <c r="N1303">
        <v>2.3E-3</v>
      </c>
      <c r="O1303">
        <v>2.3E-3</v>
      </c>
      <c r="P1303">
        <v>2.5000000000000001E-3</v>
      </c>
      <c r="Q1303">
        <v>2.5000000000000001E-3</v>
      </c>
      <c r="R1303">
        <v>2.5999999999999999E-3</v>
      </c>
      <c r="S1303">
        <v>2.8E-3</v>
      </c>
      <c r="T1303">
        <v>2.8E-3</v>
      </c>
      <c r="U1303">
        <v>2.8999999999999998E-3</v>
      </c>
      <c r="V1303">
        <v>2.8999999999999998E-3</v>
      </c>
      <c r="W1303">
        <v>3.0999999999999999E-3</v>
      </c>
      <c r="X1303">
        <v>3.2000000000000002E-3</v>
      </c>
      <c r="Y1303">
        <v>3.2000000000000002E-3</v>
      </c>
    </row>
    <row r="1304" spans="1:25" hidden="1">
      <c r="A1304" t="s">
        <v>18807</v>
      </c>
      <c r="B1304" t="s">
        <v>1775</v>
      </c>
      <c r="C1304" t="s">
        <v>1614</v>
      </c>
      <c r="D1304" t="s">
        <v>1776</v>
      </c>
      <c r="E1304" t="s">
        <v>1777</v>
      </c>
      <c r="F1304" t="s">
        <v>598</v>
      </c>
      <c r="G1304" t="s">
        <v>599</v>
      </c>
      <c r="H1304" t="s">
        <v>600</v>
      </c>
      <c r="I1304" t="s">
        <v>601</v>
      </c>
      <c r="J1304">
        <v>5.0000000000000001E-3</v>
      </c>
      <c r="K1304">
        <v>5.1999999999999998E-3</v>
      </c>
      <c r="L1304">
        <v>5.4000000000000003E-3</v>
      </c>
      <c r="M1304">
        <v>5.5999999999999999E-3</v>
      </c>
      <c r="N1304">
        <v>5.7000000000000002E-3</v>
      </c>
      <c r="O1304">
        <v>6.0000000000000001E-3</v>
      </c>
      <c r="P1304">
        <v>6.1999999999999998E-3</v>
      </c>
      <c r="Q1304">
        <v>6.4000000000000003E-3</v>
      </c>
      <c r="R1304">
        <v>6.6E-3</v>
      </c>
      <c r="S1304">
        <v>6.7999999999999996E-3</v>
      </c>
      <c r="T1304">
        <v>7.0000000000000001E-3</v>
      </c>
      <c r="U1304">
        <v>7.3000000000000001E-3</v>
      </c>
      <c r="V1304">
        <v>7.4999999999999997E-3</v>
      </c>
      <c r="W1304">
        <v>7.7000000000000002E-3</v>
      </c>
      <c r="X1304">
        <v>8.0000000000000002E-3</v>
      </c>
      <c r="Y1304">
        <v>8.2000000000000007E-3</v>
      </c>
    </row>
    <row r="1305" spans="1:25" hidden="1">
      <c r="A1305" t="s">
        <v>18807</v>
      </c>
      <c r="B1305" t="s">
        <v>1780</v>
      </c>
      <c r="C1305" t="s">
        <v>1614</v>
      </c>
      <c r="D1305" t="s">
        <v>1781</v>
      </c>
      <c r="E1305" t="s">
        <v>1716</v>
      </c>
      <c r="F1305" t="s">
        <v>598</v>
      </c>
      <c r="G1305" t="s">
        <v>599</v>
      </c>
      <c r="H1305" t="s">
        <v>600</v>
      </c>
      <c r="I1305" t="s">
        <v>601</v>
      </c>
      <c r="J1305">
        <v>4.3E-3</v>
      </c>
      <c r="K1305">
        <v>4.4999999999999997E-3</v>
      </c>
      <c r="L1305">
        <v>4.7000000000000002E-3</v>
      </c>
      <c r="M1305">
        <v>4.7999999999999996E-3</v>
      </c>
      <c r="N1305">
        <v>5.0000000000000001E-3</v>
      </c>
      <c r="O1305">
        <v>5.3E-3</v>
      </c>
      <c r="P1305">
        <v>5.4999999999999997E-3</v>
      </c>
      <c r="Q1305">
        <v>5.4999999999999997E-3</v>
      </c>
      <c r="R1305">
        <v>5.7000000000000002E-3</v>
      </c>
      <c r="S1305">
        <v>5.8999999999999999E-3</v>
      </c>
      <c r="T1305">
        <v>6.1000000000000004E-3</v>
      </c>
      <c r="U1305">
        <v>6.3E-3</v>
      </c>
      <c r="V1305">
        <v>6.4999999999999997E-3</v>
      </c>
      <c r="W1305">
        <v>6.7999999999999996E-3</v>
      </c>
      <c r="X1305">
        <v>6.8999999999999999E-3</v>
      </c>
      <c r="Y1305">
        <v>7.1000000000000004E-3</v>
      </c>
    </row>
    <row r="1306" spans="1:25" hidden="1">
      <c r="A1306" t="s">
        <v>18807</v>
      </c>
      <c r="B1306" t="s">
        <v>1788</v>
      </c>
      <c r="C1306" t="s">
        <v>1614</v>
      </c>
      <c r="D1306" t="s">
        <v>1781</v>
      </c>
      <c r="E1306" t="s">
        <v>1789</v>
      </c>
      <c r="F1306" t="s">
        <v>598</v>
      </c>
      <c r="G1306" t="s">
        <v>599</v>
      </c>
      <c r="H1306" t="s">
        <v>600</v>
      </c>
      <c r="I1306" t="s">
        <v>601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</row>
    <row r="1307" spans="1:25" hidden="1">
      <c r="A1307" t="s">
        <v>18807</v>
      </c>
      <c r="B1307" t="s">
        <v>1790</v>
      </c>
      <c r="C1307" t="s">
        <v>1614</v>
      </c>
      <c r="D1307" t="s">
        <v>1781</v>
      </c>
      <c r="E1307" t="s">
        <v>1791</v>
      </c>
      <c r="F1307" t="s">
        <v>598</v>
      </c>
      <c r="G1307" t="s">
        <v>599</v>
      </c>
      <c r="H1307" t="s">
        <v>600</v>
      </c>
      <c r="I1307" t="s">
        <v>601</v>
      </c>
      <c r="J1307">
        <v>1.12E-2</v>
      </c>
      <c r="K1307">
        <v>1.1599999999999999E-2</v>
      </c>
      <c r="L1307">
        <v>1.2E-2</v>
      </c>
      <c r="M1307">
        <v>1.2500000000000001E-2</v>
      </c>
      <c r="N1307">
        <v>1.2800000000000001E-2</v>
      </c>
      <c r="O1307">
        <v>1.3299999999999999E-2</v>
      </c>
      <c r="P1307">
        <v>1.38E-2</v>
      </c>
      <c r="Q1307">
        <v>1.4200000000000001E-2</v>
      </c>
      <c r="R1307">
        <v>1.47E-2</v>
      </c>
      <c r="S1307">
        <v>1.52E-2</v>
      </c>
      <c r="T1307">
        <v>1.5699999999999999E-2</v>
      </c>
      <c r="U1307">
        <v>1.6199999999999999E-2</v>
      </c>
      <c r="V1307">
        <v>1.6799999999999999E-2</v>
      </c>
      <c r="W1307">
        <v>1.7299999999999999E-2</v>
      </c>
      <c r="X1307">
        <v>1.78E-2</v>
      </c>
      <c r="Y1307">
        <v>1.84E-2</v>
      </c>
    </row>
    <row r="1308" spans="1:25" hidden="1">
      <c r="A1308" t="s">
        <v>18807</v>
      </c>
      <c r="B1308" t="s">
        <v>1804</v>
      </c>
      <c r="C1308" t="s">
        <v>1614</v>
      </c>
      <c r="D1308" t="s">
        <v>1781</v>
      </c>
      <c r="E1308" t="s">
        <v>1805</v>
      </c>
      <c r="F1308" t="s">
        <v>598</v>
      </c>
      <c r="G1308" t="s">
        <v>599</v>
      </c>
      <c r="H1308" t="s">
        <v>600</v>
      </c>
      <c r="I1308" t="s">
        <v>601</v>
      </c>
      <c r="J1308">
        <v>1.6000000000000001E-3</v>
      </c>
      <c r="K1308">
        <v>1.6999999999999999E-3</v>
      </c>
      <c r="L1308">
        <v>1.6999999999999999E-3</v>
      </c>
      <c r="M1308">
        <v>1.8E-3</v>
      </c>
      <c r="N1308">
        <v>1.8E-3</v>
      </c>
      <c r="O1308">
        <v>1.9E-3</v>
      </c>
      <c r="P1308">
        <v>2E-3</v>
      </c>
      <c r="Q1308">
        <v>2E-3</v>
      </c>
      <c r="R1308">
        <v>2.0999999999999999E-3</v>
      </c>
      <c r="S1308">
        <v>2.2000000000000001E-3</v>
      </c>
      <c r="T1308">
        <v>2.2000000000000001E-3</v>
      </c>
      <c r="U1308">
        <v>2.3E-3</v>
      </c>
      <c r="V1308">
        <v>2.3999999999999998E-3</v>
      </c>
      <c r="W1308">
        <v>2.5000000000000001E-3</v>
      </c>
      <c r="X1308">
        <v>2.5999999999999999E-3</v>
      </c>
      <c r="Y1308">
        <v>2.5999999999999999E-3</v>
      </c>
    </row>
    <row r="1309" spans="1:25" hidden="1">
      <c r="A1309" t="s">
        <v>18807</v>
      </c>
      <c r="B1309" t="s">
        <v>1806</v>
      </c>
      <c r="C1309" t="s">
        <v>1614</v>
      </c>
      <c r="D1309" t="s">
        <v>1781</v>
      </c>
      <c r="E1309" t="s">
        <v>1807</v>
      </c>
      <c r="F1309" t="s">
        <v>598</v>
      </c>
      <c r="G1309" t="s">
        <v>599</v>
      </c>
      <c r="H1309" t="s">
        <v>600</v>
      </c>
      <c r="I1309" t="s">
        <v>601</v>
      </c>
      <c r="J1309">
        <v>3.5799999999999998E-2</v>
      </c>
      <c r="K1309">
        <v>3.7100000000000001E-2</v>
      </c>
      <c r="L1309">
        <v>3.85E-2</v>
      </c>
      <c r="M1309">
        <v>3.9899999999999998E-2</v>
      </c>
      <c r="N1309">
        <v>4.1000000000000002E-2</v>
      </c>
      <c r="O1309">
        <v>4.2500000000000003E-2</v>
      </c>
      <c r="P1309">
        <v>4.3999999999999997E-2</v>
      </c>
      <c r="Q1309">
        <v>4.5499999999999999E-2</v>
      </c>
      <c r="R1309">
        <v>4.7E-2</v>
      </c>
      <c r="S1309">
        <v>4.8599999999999997E-2</v>
      </c>
      <c r="T1309">
        <v>5.0099999999999999E-2</v>
      </c>
      <c r="U1309">
        <v>5.1799999999999999E-2</v>
      </c>
      <c r="V1309">
        <v>5.3499999999999999E-2</v>
      </c>
      <c r="W1309">
        <v>5.5300000000000002E-2</v>
      </c>
      <c r="X1309">
        <v>5.7000000000000002E-2</v>
      </c>
      <c r="Y1309">
        <v>5.8700000000000002E-2</v>
      </c>
    </row>
    <row r="1310" spans="1:25" hidden="1">
      <c r="A1310" t="s">
        <v>18807</v>
      </c>
      <c r="B1310" t="s">
        <v>1814</v>
      </c>
      <c r="C1310" t="s">
        <v>1614</v>
      </c>
      <c r="D1310" t="s">
        <v>1812</v>
      </c>
      <c r="E1310" t="s">
        <v>1081</v>
      </c>
      <c r="F1310" t="s">
        <v>598</v>
      </c>
      <c r="G1310" t="s">
        <v>599</v>
      </c>
      <c r="H1310" t="s">
        <v>600</v>
      </c>
      <c r="I1310" t="s">
        <v>601</v>
      </c>
      <c r="J1310">
        <v>4.1000000000000003E-3</v>
      </c>
      <c r="K1310">
        <v>4.3E-3</v>
      </c>
      <c r="L1310">
        <v>4.4000000000000003E-3</v>
      </c>
      <c r="M1310">
        <v>4.5999999999999999E-3</v>
      </c>
      <c r="N1310">
        <v>4.7000000000000002E-3</v>
      </c>
      <c r="O1310">
        <v>4.8999999999999998E-3</v>
      </c>
      <c r="P1310">
        <v>5.1000000000000004E-3</v>
      </c>
      <c r="Q1310">
        <v>5.1999999999999998E-3</v>
      </c>
      <c r="R1310">
        <v>5.4000000000000003E-3</v>
      </c>
      <c r="S1310">
        <v>5.5999999999999999E-3</v>
      </c>
      <c r="T1310">
        <v>5.7999999999999996E-3</v>
      </c>
      <c r="U1310">
        <v>6.0000000000000001E-3</v>
      </c>
      <c r="V1310">
        <v>6.1999999999999998E-3</v>
      </c>
      <c r="W1310">
        <v>6.4000000000000003E-3</v>
      </c>
      <c r="X1310">
        <v>6.6E-3</v>
      </c>
      <c r="Y1310">
        <v>6.7999999999999996E-3</v>
      </c>
    </row>
    <row r="1311" spans="1:25" hidden="1">
      <c r="A1311" t="s">
        <v>18807</v>
      </c>
      <c r="B1311" t="s">
        <v>1818</v>
      </c>
      <c r="C1311" t="s">
        <v>1614</v>
      </c>
      <c r="D1311" t="s">
        <v>648</v>
      </c>
      <c r="E1311" t="s">
        <v>973</v>
      </c>
      <c r="F1311" t="s">
        <v>598</v>
      </c>
      <c r="G1311" t="s">
        <v>599</v>
      </c>
      <c r="H1311" t="s">
        <v>600</v>
      </c>
      <c r="I1311" t="s">
        <v>601</v>
      </c>
      <c r="J1311">
        <v>5.9999999999999995E-4</v>
      </c>
      <c r="K1311">
        <v>5.9999999999999995E-4</v>
      </c>
      <c r="L1311">
        <v>6.9999999999999999E-4</v>
      </c>
      <c r="M1311">
        <v>6.9999999999999999E-4</v>
      </c>
      <c r="N1311">
        <v>6.9999999999999999E-4</v>
      </c>
      <c r="O1311">
        <v>6.9999999999999999E-4</v>
      </c>
      <c r="P1311">
        <v>6.9999999999999999E-4</v>
      </c>
      <c r="Q1311">
        <v>8.0000000000000004E-4</v>
      </c>
      <c r="R1311">
        <v>8.0000000000000004E-4</v>
      </c>
      <c r="S1311">
        <v>8.0000000000000004E-4</v>
      </c>
      <c r="T1311">
        <v>8.0000000000000004E-4</v>
      </c>
      <c r="U1311">
        <v>8.9999999999999998E-4</v>
      </c>
      <c r="V1311">
        <v>8.9999999999999998E-4</v>
      </c>
      <c r="W1311">
        <v>8.9999999999999998E-4</v>
      </c>
      <c r="X1311">
        <v>1E-3</v>
      </c>
      <c r="Y1311">
        <v>1E-3</v>
      </c>
    </row>
    <row r="1312" spans="1:25" hidden="1">
      <c r="A1312" t="s">
        <v>18807</v>
      </c>
      <c r="B1312" t="s">
        <v>1825</v>
      </c>
      <c r="C1312" t="s">
        <v>1614</v>
      </c>
      <c r="D1312" t="s">
        <v>648</v>
      </c>
      <c r="E1312" t="s">
        <v>954</v>
      </c>
      <c r="F1312" t="s">
        <v>598</v>
      </c>
      <c r="G1312" t="s">
        <v>599</v>
      </c>
      <c r="H1312" t="s">
        <v>600</v>
      </c>
      <c r="I1312" t="s">
        <v>601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hidden="1">
      <c r="A1313" t="s">
        <v>18807</v>
      </c>
      <c r="B1313" t="s">
        <v>1827</v>
      </c>
      <c r="C1313" t="s">
        <v>1614</v>
      </c>
      <c r="D1313" t="s">
        <v>648</v>
      </c>
      <c r="E1313" t="s">
        <v>1828</v>
      </c>
      <c r="F1313" t="s">
        <v>598</v>
      </c>
      <c r="G1313" t="s">
        <v>599</v>
      </c>
      <c r="H1313" t="s">
        <v>600</v>
      </c>
      <c r="I1313" t="s">
        <v>601</v>
      </c>
      <c r="J1313">
        <v>8.0000000000000004E-4</v>
      </c>
      <c r="K1313">
        <v>8.0000000000000004E-4</v>
      </c>
      <c r="L1313">
        <v>8.9999999999999998E-4</v>
      </c>
      <c r="M1313">
        <v>8.9999999999999998E-4</v>
      </c>
      <c r="N1313">
        <v>8.9999999999999998E-4</v>
      </c>
      <c r="O1313">
        <v>1E-3</v>
      </c>
      <c r="P1313">
        <v>1E-3</v>
      </c>
      <c r="Q1313">
        <v>1E-3</v>
      </c>
      <c r="R1313">
        <v>1.1000000000000001E-3</v>
      </c>
      <c r="S1313">
        <v>1.1000000000000001E-3</v>
      </c>
      <c r="T1313">
        <v>1.1000000000000001E-3</v>
      </c>
      <c r="U1313">
        <v>1.1999999999999999E-3</v>
      </c>
      <c r="V1313">
        <v>1.1999999999999999E-3</v>
      </c>
      <c r="W1313">
        <v>1.1999999999999999E-3</v>
      </c>
      <c r="X1313">
        <v>1.2999999999999999E-3</v>
      </c>
      <c r="Y1313">
        <v>1.2999999999999999E-3</v>
      </c>
    </row>
    <row r="1314" spans="1:25" hidden="1">
      <c r="A1314" t="s">
        <v>18807</v>
      </c>
      <c r="B1314" t="s">
        <v>1829</v>
      </c>
      <c r="C1314" t="s">
        <v>1614</v>
      </c>
      <c r="D1314" t="s">
        <v>648</v>
      </c>
      <c r="E1314" t="s">
        <v>1044</v>
      </c>
      <c r="F1314" t="s">
        <v>598</v>
      </c>
      <c r="G1314" t="s">
        <v>599</v>
      </c>
      <c r="H1314" t="s">
        <v>600</v>
      </c>
      <c r="I1314" t="s">
        <v>601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hidden="1">
      <c r="A1315" t="s">
        <v>18807</v>
      </c>
      <c r="B1315" t="s">
        <v>1832</v>
      </c>
      <c r="C1315" t="s">
        <v>1614</v>
      </c>
      <c r="D1315" t="s">
        <v>648</v>
      </c>
      <c r="E1315" t="s">
        <v>1393</v>
      </c>
      <c r="F1315" t="s">
        <v>598</v>
      </c>
      <c r="G1315" t="s">
        <v>599</v>
      </c>
      <c r="H1315" t="s">
        <v>600</v>
      </c>
      <c r="I1315" t="s">
        <v>601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hidden="1">
      <c r="A1316" t="s">
        <v>18807</v>
      </c>
      <c r="B1316" t="s">
        <v>1834</v>
      </c>
      <c r="C1316" t="s">
        <v>1614</v>
      </c>
      <c r="D1316" t="s">
        <v>648</v>
      </c>
      <c r="E1316" t="s">
        <v>1835</v>
      </c>
      <c r="F1316" t="s">
        <v>598</v>
      </c>
      <c r="G1316" t="s">
        <v>599</v>
      </c>
      <c r="H1316" t="s">
        <v>600</v>
      </c>
      <c r="I1316" t="s">
        <v>601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hidden="1">
      <c r="A1317" t="s">
        <v>18807</v>
      </c>
      <c r="B1317" t="s">
        <v>1837</v>
      </c>
      <c r="C1317" t="s">
        <v>1614</v>
      </c>
      <c r="D1317" t="s">
        <v>648</v>
      </c>
      <c r="E1317" t="s">
        <v>1759</v>
      </c>
      <c r="F1317" t="s">
        <v>598</v>
      </c>
      <c r="G1317" t="s">
        <v>599</v>
      </c>
      <c r="H1317" t="s">
        <v>600</v>
      </c>
      <c r="I1317" t="s">
        <v>601</v>
      </c>
      <c r="J1317">
        <v>6.4999999999999997E-3</v>
      </c>
      <c r="K1317">
        <v>6.7999999999999996E-3</v>
      </c>
      <c r="L1317">
        <v>7.0000000000000001E-3</v>
      </c>
      <c r="M1317">
        <v>7.3000000000000001E-3</v>
      </c>
      <c r="N1317">
        <v>7.4999999999999997E-3</v>
      </c>
      <c r="O1317">
        <v>7.7999999999999996E-3</v>
      </c>
      <c r="P1317">
        <v>8.0000000000000002E-3</v>
      </c>
      <c r="Q1317">
        <v>8.3000000000000001E-3</v>
      </c>
      <c r="R1317">
        <v>8.6E-3</v>
      </c>
      <c r="S1317">
        <v>8.8000000000000005E-3</v>
      </c>
      <c r="T1317">
        <v>9.1000000000000004E-3</v>
      </c>
      <c r="U1317">
        <v>9.4000000000000004E-3</v>
      </c>
      <c r="V1317">
        <v>9.7000000000000003E-3</v>
      </c>
      <c r="W1317">
        <v>0.01</v>
      </c>
      <c r="X1317">
        <v>1.03E-2</v>
      </c>
      <c r="Y1317">
        <v>1.06E-2</v>
      </c>
    </row>
    <row r="1318" spans="1:25" hidden="1">
      <c r="A1318" t="s">
        <v>18807</v>
      </c>
      <c r="B1318" t="s">
        <v>1839</v>
      </c>
      <c r="C1318" t="s">
        <v>1614</v>
      </c>
      <c r="D1318" t="s">
        <v>648</v>
      </c>
      <c r="E1318" t="s">
        <v>1765</v>
      </c>
      <c r="F1318" t="s">
        <v>598</v>
      </c>
      <c r="G1318" t="s">
        <v>599</v>
      </c>
      <c r="H1318" t="s">
        <v>600</v>
      </c>
      <c r="I1318" t="s">
        <v>601</v>
      </c>
      <c r="J1318">
        <v>1.2999999999999999E-3</v>
      </c>
      <c r="K1318">
        <v>1.2999999999999999E-3</v>
      </c>
      <c r="L1318">
        <v>1.4E-3</v>
      </c>
      <c r="M1318">
        <v>1.4E-3</v>
      </c>
      <c r="N1318">
        <v>1.5E-3</v>
      </c>
      <c r="O1318">
        <v>1.5E-3</v>
      </c>
      <c r="P1318">
        <v>1.6000000000000001E-3</v>
      </c>
      <c r="Q1318">
        <v>1.6000000000000001E-3</v>
      </c>
      <c r="R1318">
        <v>1.6999999999999999E-3</v>
      </c>
      <c r="S1318">
        <v>1.8E-3</v>
      </c>
      <c r="T1318">
        <v>1.8E-3</v>
      </c>
      <c r="U1318">
        <v>1.9E-3</v>
      </c>
      <c r="V1318">
        <v>1.9E-3</v>
      </c>
      <c r="W1318">
        <v>2E-3</v>
      </c>
      <c r="X1318">
        <v>2.0999999999999999E-3</v>
      </c>
      <c r="Y1318">
        <v>2.0999999999999999E-3</v>
      </c>
    </row>
    <row r="1319" spans="1:25" hidden="1">
      <c r="A1319" t="s">
        <v>18807</v>
      </c>
      <c r="B1319" t="s">
        <v>1842</v>
      </c>
      <c r="C1319" t="s">
        <v>1614</v>
      </c>
      <c r="D1319" t="s">
        <v>648</v>
      </c>
      <c r="E1319" t="s">
        <v>1239</v>
      </c>
      <c r="F1319" t="s">
        <v>598</v>
      </c>
      <c r="G1319" t="s">
        <v>599</v>
      </c>
      <c r="H1319" t="s">
        <v>600</v>
      </c>
      <c r="I1319" t="s">
        <v>601</v>
      </c>
      <c r="J1319">
        <v>1E-4</v>
      </c>
      <c r="K1319">
        <v>1E-4</v>
      </c>
      <c r="L1319">
        <v>1E-4</v>
      </c>
      <c r="M1319">
        <v>1E-4</v>
      </c>
      <c r="N1319">
        <v>1E-4</v>
      </c>
      <c r="O1319">
        <v>1E-4</v>
      </c>
      <c r="P1319">
        <v>1E-4</v>
      </c>
      <c r="Q1319">
        <v>2.0000000000000001E-4</v>
      </c>
      <c r="R1319">
        <v>2.0000000000000001E-4</v>
      </c>
      <c r="S1319">
        <v>2.0000000000000001E-4</v>
      </c>
      <c r="T1319">
        <v>2.0000000000000001E-4</v>
      </c>
      <c r="U1319">
        <v>2.0000000000000001E-4</v>
      </c>
      <c r="V1319">
        <v>2.0000000000000001E-4</v>
      </c>
      <c r="W1319">
        <v>2.0000000000000001E-4</v>
      </c>
      <c r="X1319">
        <v>2.0000000000000001E-4</v>
      </c>
      <c r="Y1319">
        <v>2.0000000000000001E-4</v>
      </c>
    </row>
    <row r="1320" spans="1:25" hidden="1">
      <c r="A1320" t="s">
        <v>18807</v>
      </c>
      <c r="B1320" t="s">
        <v>1856</v>
      </c>
      <c r="C1320" t="s">
        <v>1845</v>
      </c>
      <c r="D1320" t="s">
        <v>1435</v>
      </c>
      <c r="E1320" t="s">
        <v>973</v>
      </c>
      <c r="F1320" t="s">
        <v>598</v>
      </c>
      <c r="G1320" t="s">
        <v>599</v>
      </c>
      <c r="H1320" t="s">
        <v>600</v>
      </c>
      <c r="I1320" t="s">
        <v>601</v>
      </c>
      <c r="J1320">
        <v>4.7000000000000002E-3</v>
      </c>
      <c r="K1320">
        <v>4.7999999999999996E-3</v>
      </c>
      <c r="L1320">
        <v>4.8999999999999998E-3</v>
      </c>
      <c r="M1320">
        <v>5.1000000000000004E-3</v>
      </c>
      <c r="N1320">
        <v>5.1000000000000004E-3</v>
      </c>
      <c r="O1320">
        <v>5.1999999999999998E-3</v>
      </c>
      <c r="P1320">
        <v>5.3E-3</v>
      </c>
      <c r="Q1320">
        <v>5.4000000000000003E-3</v>
      </c>
      <c r="R1320">
        <v>5.4000000000000003E-3</v>
      </c>
      <c r="S1320">
        <v>5.4999999999999997E-3</v>
      </c>
      <c r="T1320">
        <v>5.5999999999999999E-3</v>
      </c>
      <c r="U1320">
        <v>5.7000000000000002E-3</v>
      </c>
      <c r="V1320">
        <v>5.7000000000000002E-3</v>
      </c>
      <c r="W1320">
        <v>5.8999999999999999E-3</v>
      </c>
      <c r="X1320">
        <v>5.8999999999999999E-3</v>
      </c>
      <c r="Y1320">
        <v>6.0000000000000001E-3</v>
      </c>
    </row>
    <row r="1321" spans="1:25" hidden="1">
      <c r="A1321" t="s">
        <v>18807</v>
      </c>
      <c r="B1321" t="s">
        <v>1858</v>
      </c>
      <c r="C1321" t="s">
        <v>1845</v>
      </c>
      <c r="D1321" t="s">
        <v>1859</v>
      </c>
      <c r="E1321" t="s">
        <v>1860</v>
      </c>
      <c r="F1321" t="s">
        <v>598</v>
      </c>
      <c r="G1321" t="s">
        <v>599</v>
      </c>
      <c r="H1321" t="s">
        <v>600</v>
      </c>
      <c r="I1321" t="s">
        <v>601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</row>
    <row r="1322" spans="1:25" hidden="1">
      <c r="A1322" t="s">
        <v>18807</v>
      </c>
      <c r="B1322" t="s">
        <v>1861</v>
      </c>
      <c r="C1322" t="s">
        <v>1845</v>
      </c>
      <c r="D1322" t="s">
        <v>1862</v>
      </c>
      <c r="E1322" t="s">
        <v>1860</v>
      </c>
      <c r="F1322" t="s">
        <v>598</v>
      </c>
      <c r="G1322" t="s">
        <v>599</v>
      </c>
      <c r="H1322" t="s">
        <v>600</v>
      </c>
      <c r="I1322" t="s">
        <v>601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hidden="1">
      <c r="A1323" t="s">
        <v>18807</v>
      </c>
      <c r="B1323" t="s">
        <v>1863</v>
      </c>
      <c r="C1323" t="s">
        <v>1845</v>
      </c>
      <c r="D1323" t="s">
        <v>1864</v>
      </c>
      <c r="E1323" t="s">
        <v>1865</v>
      </c>
      <c r="F1323" t="s">
        <v>598</v>
      </c>
      <c r="G1323" t="s">
        <v>599</v>
      </c>
      <c r="H1323" t="s">
        <v>600</v>
      </c>
      <c r="I1323" t="s">
        <v>601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5" hidden="1">
      <c r="A1324" t="s">
        <v>18807</v>
      </c>
      <c r="B1324" t="s">
        <v>1870</v>
      </c>
      <c r="C1324" t="s">
        <v>1845</v>
      </c>
      <c r="D1324" t="s">
        <v>1871</v>
      </c>
      <c r="E1324" t="s">
        <v>1872</v>
      </c>
      <c r="F1324" t="s">
        <v>598</v>
      </c>
      <c r="G1324" t="s">
        <v>599</v>
      </c>
      <c r="H1324" t="s">
        <v>600</v>
      </c>
      <c r="I1324" t="s">
        <v>601</v>
      </c>
      <c r="J1324">
        <v>9.4999999999999998E-3</v>
      </c>
      <c r="K1324">
        <v>9.7999999999999997E-3</v>
      </c>
      <c r="L1324">
        <v>1.01E-2</v>
      </c>
      <c r="M1324">
        <v>1.03E-2</v>
      </c>
      <c r="N1324">
        <v>1.0500000000000001E-2</v>
      </c>
      <c r="O1324">
        <v>1.06E-2</v>
      </c>
      <c r="P1324">
        <v>1.09E-2</v>
      </c>
      <c r="Q1324">
        <v>1.0999999999999999E-2</v>
      </c>
      <c r="R1324">
        <v>1.11E-2</v>
      </c>
      <c r="S1324">
        <v>1.1299999999999999E-2</v>
      </c>
      <c r="T1324">
        <v>1.14E-2</v>
      </c>
      <c r="U1324">
        <v>1.15E-2</v>
      </c>
      <c r="V1324">
        <v>1.17E-2</v>
      </c>
      <c r="W1324">
        <v>1.1900000000000001E-2</v>
      </c>
      <c r="X1324">
        <v>1.21E-2</v>
      </c>
      <c r="Y1324">
        <v>1.2200000000000001E-2</v>
      </c>
    </row>
    <row r="1325" spans="1:25" hidden="1">
      <c r="A1325" t="s">
        <v>18807</v>
      </c>
      <c r="B1325" t="s">
        <v>1877</v>
      </c>
      <c r="C1325" t="s">
        <v>1845</v>
      </c>
      <c r="D1325" t="s">
        <v>1878</v>
      </c>
      <c r="E1325" t="s">
        <v>1872</v>
      </c>
      <c r="F1325" t="s">
        <v>598</v>
      </c>
      <c r="G1325" t="s">
        <v>599</v>
      </c>
      <c r="H1325" t="s">
        <v>600</v>
      </c>
      <c r="I1325" t="s">
        <v>601</v>
      </c>
      <c r="J1325">
        <v>4.8500000000000001E-2</v>
      </c>
      <c r="K1325">
        <v>4.9500000000000002E-2</v>
      </c>
      <c r="L1325">
        <v>5.0599999999999999E-2</v>
      </c>
      <c r="M1325">
        <v>5.16E-2</v>
      </c>
      <c r="N1325">
        <v>5.2699999999999997E-2</v>
      </c>
      <c r="O1325">
        <v>5.3499999999999999E-2</v>
      </c>
      <c r="P1325">
        <v>5.4399999999999997E-2</v>
      </c>
      <c r="Q1325">
        <v>5.5100000000000003E-2</v>
      </c>
      <c r="R1325">
        <v>5.6099999999999997E-2</v>
      </c>
      <c r="S1325">
        <v>5.6800000000000003E-2</v>
      </c>
      <c r="T1325">
        <v>5.7599999999999998E-2</v>
      </c>
      <c r="U1325">
        <v>5.8400000000000001E-2</v>
      </c>
      <c r="V1325">
        <v>5.91E-2</v>
      </c>
      <c r="W1325">
        <v>0.06</v>
      </c>
      <c r="X1325">
        <v>6.0900000000000003E-2</v>
      </c>
      <c r="Y1325">
        <v>6.1800000000000001E-2</v>
      </c>
    </row>
    <row r="1326" spans="1:25" hidden="1">
      <c r="A1326" t="s">
        <v>18807</v>
      </c>
      <c r="B1326" t="s">
        <v>1879</v>
      </c>
      <c r="C1326" t="s">
        <v>1845</v>
      </c>
      <c r="D1326" t="s">
        <v>1878</v>
      </c>
      <c r="E1326" t="s">
        <v>1880</v>
      </c>
      <c r="F1326" t="s">
        <v>598</v>
      </c>
      <c r="G1326" t="s">
        <v>599</v>
      </c>
      <c r="H1326" t="s">
        <v>600</v>
      </c>
      <c r="I1326" t="s">
        <v>601</v>
      </c>
      <c r="J1326">
        <v>0.11269999999999999</v>
      </c>
      <c r="K1326">
        <v>0.115</v>
      </c>
      <c r="L1326">
        <v>0.11749999999999999</v>
      </c>
      <c r="M1326">
        <v>0.12</v>
      </c>
      <c r="N1326">
        <v>0.12230000000000001</v>
      </c>
      <c r="O1326">
        <v>0.1241</v>
      </c>
      <c r="P1326">
        <v>0.12620000000000001</v>
      </c>
      <c r="Q1326">
        <v>0.128</v>
      </c>
      <c r="R1326">
        <v>0.12970000000000001</v>
      </c>
      <c r="S1326">
        <v>0.13150000000000001</v>
      </c>
      <c r="T1326">
        <v>0.13339999999999999</v>
      </c>
      <c r="U1326">
        <v>0.13500000000000001</v>
      </c>
      <c r="V1326">
        <v>0.1368</v>
      </c>
      <c r="W1326">
        <v>0.13869999999999999</v>
      </c>
      <c r="X1326">
        <v>0.14069999999999999</v>
      </c>
      <c r="Y1326">
        <v>0.14299999999999999</v>
      </c>
    </row>
    <row r="1327" spans="1:25" hidden="1">
      <c r="A1327" t="s">
        <v>18807</v>
      </c>
      <c r="B1327" t="s">
        <v>1883</v>
      </c>
      <c r="C1327" t="s">
        <v>1845</v>
      </c>
      <c r="D1327" t="s">
        <v>1878</v>
      </c>
      <c r="E1327" t="s">
        <v>1884</v>
      </c>
      <c r="F1327" t="s">
        <v>598</v>
      </c>
      <c r="G1327" t="s">
        <v>599</v>
      </c>
      <c r="H1327" t="s">
        <v>600</v>
      </c>
      <c r="I1327" t="s">
        <v>601</v>
      </c>
      <c r="J1327">
        <v>6.1999999999999998E-3</v>
      </c>
      <c r="K1327">
        <v>6.4000000000000003E-3</v>
      </c>
      <c r="L1327">
        <v>6.4999999999999997E-3</v>
      </c>
      <c r="M1327">
        <v>6.6E-3</v>
      </c>
      <c r="N1327">
        <v>6.7000000000000002E-3</v>
      </c>
      <c r="O1327">
        <v>6.7999999999999996E-3</v>
      </c>
      <c r="P1327">
        <v>7.0000000000000001E-3</v>
      </c>
      <c r="Q1327">
        <v>7.1000000000000004E-3</v>
      </c>
      <c r="R1327">
        <v>7.1000000000000004E-3</v>
      </c>
      <c r="S1327">
        <v>7.3000000000000001E-3</v>
      </c>
      <c r="T1327">
        <v>7.4000000000000003E-3</v>
      </c>
      <c r="U1327">
        <v>7.4000000000000003E-3</v>
      </c>
      <c r="V1327">
        <v>7.6E-3</v>
      </c>
      <c r="W1327">
        <v>7.7000000000000002E-3</v>
      </c>
      <c r="X1327">
        <v>7.7000000000000002E-3</v>
      </c>
      <c r="Y1327">
        <v>7.9000000000000008E-3</v>
      </c>
    </row>
    <row r="1328" spans="1:25" hidden="1">
      <c r="A1328" t="s">
        <v>18807</v>
      </c>
      <c r="B1328" t="s">
        <v>1885</v>
      </c>
      <c r="C1328" t="s">
        <v>1845</v>
      </c>
      <c r="D1328" t="s">
        <v>1878</v>
      </c>
      <c r="E1328" t="s">
        <v>1886</v>
      </c>
      <c r="F1328" t="s">
        <v>598</v>
      </c>
      <c r="G1328" t="s">
        <v>599</v>
      </c>
      <c r="H1328" t="s">
        <v>600</v>
      </c>
      <c r="I1328" t="s">
        <v>601</v>
      </c>
      <c r="J1328">
        <v>2.5000000000000001E-3</v>
      </c>
      <c r="K1328">
        <v>2.5999999999999999E-3</v>
      </c>
      <c r="L1328">
        <v>2.5999999999999999E-3</v>
      </c>
      <c r="M1328">
        <v>2.7000000000000001E-3</v>
      </c>
      <c r="N1328">
        <v>2.7000000000000001E-3</v>
      </c>
      <c r="O1328">
        <v>2.8999999999999998E-3</v>
      </c>
      <c r="P1328">
        <v>2.8999999999999998E-3</v>
      </c>
      <c r="Q1328">
        <v>2.8999999999999998E-3</v>
      </c>
      <c r="R1328">
        <v>3.0000000000000001E-3</v>
      </c>
      <c r="S1328">
        <v>3.0000000000000001E-3</v>
      </c>
      <c r="T1328">
        <v>3.0999999999999999E-3</v>
      </c>
      <c r="U1328">
        <v>3.0999999999999999E-3</v>
      </c>
      <c r="V1328">
        <v>3.0999999999999999E-3</v>
      </c>
      <c r="W1328">
        <v>3.2000000000000002E-3</v>
      </c>
      <c r="X1328">
        <v>3.2000000000000002E-3</v>
      </c>
      <c r="Y1328">
        <v>3.3E-3</v>
      </c>
    </row>
    <row r="1329" spans="1:25" hidden="1">
      <c r="A1329" t="s">
        <v>18807</v>
      </c>
      <c r="B1329" t="s">
        <v>1895</v>
      </c>
      <c r="C1329" t="s">
        <v>1845</v>
      </c>
      <c r="D1329" t="s">
        <v>1878</v>
      </c>
      <c r="E1329" t="s">
        <v>1896</v>
      </c>
      <c r="F1329" t="s">
        <v>598</v>
      </c>
      <c r="G1329" t="s">
        <v>599</v>
      </c>
      <c r="H1329" t="s">
        <v>600</v>
      </c>
      <c r="I1329" t="s">
        <v>601</v>
      </c>
      <c r="J1329">
        <v>1E-4</v>
      </c>
      <c r="K1329">
        <v>1E-4</v>
      </c>
      <c r="L1329">
        <v>1E-4</v>
      </c>
      <c r="M1329">
        <v>1E-4</v>
      </c>
      <c r="N1329">
        <v>1E-4</v>
      </c>
      <c r="O1329">
        <v>1E-4</v>
      </c>
      <c r="P1329">
        <v>1E-4</v>
      </c>
      <c r="Q1329">
        <v>1E-4</v>
      </c>
      <c r="R1329">
        <v>1E-4</v>
      </c>
      <c r="S1329">
        <v>1E-4</v>
      </c>
      <c r="T1329">
        <v>1E-4</v>
      </c>
      <c r="U1329">
        <v>1E-4</v>
      </c>
      <c r="V1329">
        <v>1E-4</v>
      </c>
      <c r="W1329">
        <v>1E-4</v>
      </c>
      <c r="X1329">
        <v>1E-4</v>
      </c>
      <c r="Y1329">
        <v>1E-4</v>
      </c>
    </row>
    <row r="1330" spans="1:25" hidden="1">
      <c r="A1330" t="s">
        <v>18807</v>
      </c>
      <c r="B1330" t="s">
        <v>1899</v>
      </c>
      <c r="C1330" t="s">
        <v>1845</v>
      </c>
      <c r="D1330" t="s">
        <v>1878</v>
      </c>
      <c r="E1330" t="s">
        <v>1900</v>
      </c>
      <c r="F1330" t="s">
        <v>598</v>
      </c>
      <c r="G1330" t="s">
        <v>599</v>
      </c>
      <c r="H1330" t="s">
        <v>600</v>
      </c>
      <c r="I1330" t="s">
        <v>601</v>
      </c>
      <c r="J1330">
        <v>6.9999999999999999E-4</v>
      </c>
      <c r="K1330">
        <v>6.9999999999999999E-4</v>
      </c>
      <c r="L1330">
        <v>6.9999999999999999E-4</v>
      </c>
      <c r="M1330">
        <v>6.9999999999999999E-4</v>
      </c>
      <c r="N1330">
        <v>8.0000000000000004E-4</v>
      </c>
      <c r="O1330">
        <v>8.0000000000000004E-4</v>
      </c>
      <c r="P1330">
        <v>8.0000000000000004E-4</v>
      </c>
      <c r="Q1330">
        <v>8.0000000000000004E-4</v>
      </c>
      <c r="R1330">
        <v>8.0000000000000004E-4</v>
      </c>
      <c r="S1330">
        <v>8.0000000000000004E-4</v>
      </c>
      <c r="T1330">
        <v>8.0000000000000004E-4</v>
      </c>
      <c r="U1330">
        <v>8.0000000000000004E-4</v>
      </c>
      <c r="V1330">
        <v>8.0000000000000004E-4</v>
      </c>
      <c r="W1330">
        <v>8.9999999999999998E-4</v>
      </c>
      <c r="X1330">
        <v>8.9999999999999998E-4</v>
      </c>
      <c r="Y1330">
        <v>8.9999999999999998E-4</v>
      </c>
    </row>
    <row r="1331" spans="1:25" hidden="1">
      <c r="A1331" t="s">
        <v>18807</v>
      </c>
      <c r="B1331" t="s">
        <v>1905</v>
      </c>
      <c r="C1331" t="s">
        <v>1845</v>
      </c>
      <c r="D1331" t="s">
        <v>1878</v>
      </c>
      <c r="E1331" t="s">
        <v>1906</v>
      </c>
      <c r="F1331" t="s">
        <v>598</v>
      </c>
      <c r="G1331" t="s">
        <v>599</v>
      </c>
      <c r="H1331" t="s">
        <v>600</v>
      </c>
      <c r="I1331" t="s">
        <v>601</v>
      </c>
      <c r="J1331">
        <v>1E-4</v>
      </c>
      <c r="K1331">
        <v>1E-4</v>
      </c>
      <c r="L1331">
        <v>1E-4</v>
      </c>
      <c r="M1331">
        <v>1E-4</v>
      </c>
      <c r="N1331">
        <v>1E-4</v>
      </c>
      <c r="O1331">
        <v>1E-4</v>
      </c>
      <c r="P1331">
        <v>1E-4</v>
      </c>
      <c r="Q1331">
        <v>1E-4</v>
      </c>
      <c r="R1331">
        <v>1E-4</v>
      </c>
      <c r="S1331">
        <v>1E-4</v>
      </c>
      <c r="T1331">
        <v>1E-4</v>
      </c>
      <c r="U1331">
        <v>1E-4</v>
      </c>
      <c r="V1331">
        <v>1E-4</v>
      </c>
      <c r="W1331">
        <v>1E-4</v>
      </c>
      <c r="X1331">
        <v>1E-4</v>
      </c>
      <c r="Y1331">
        <v>1E-4</v>
      </c>
    </row>
    <row r="1332" spans="1:25" hidden="1">
      <c r="A1332" t="s">
        <v>18807</v>
      </c>
      <c r="B1332" t="s">
        <v>1915</v>
      </c>
      <c r="C1332" t="s">
        <v>1845</v>
      </c>
      <c r="D1332" t="s">
        <v>1878</v>
      </c>
      <c r="E1332" t="s">
        <v>1846</v>
      </c>
      <c r="F1332" t="s">
        <v>598</v>
      </c>
      <c r="G1332" t="s">
        <v>599</v>
      </c>
      <c r="H1332" t="s">
        <v>600</v>
      </c>
      <c r="I1332" t="s">
        <v>601</v>
      </c>
      <c r="J1332">
        <v>4.0000000000000002E-4</v>
      </c>
      <c r="K1332">
        <v>4.0000000000000002E-4</v>
      </c>
      <c r="L1332">
        <v>4.0000000000000002E-4</v>
      </c>
      <c r="M1332">
        <v>4.0000000000000002E-4</v>
      </c>
      <c r="N1332">
        <v>4.0000000000000002E-4</v>
      </c>
      <c r="O1332">
        <v>4.0000000000000002E-4</v>
      </c>
      <c r="P1332">
        <v>4.0000000000000002E-4</v>
      </c>
      <c r="Q1332">
        <v>5.0000000000000001E-4</v>
      </c>
      <c r="R1332">
        <v>5.0000000000000001E-4</v>
      </c>
      <c r="S1332">
        <v>5.0000000000000001E-4</v>
      </c>
      <c r="T1332">
        <v>5.0000000000000001E-4</v>
      </c>
      <c r="U1332">
        <v>5.0000000000000001E-4</v>
      </c>
      <c r="V1332">
        <v>5.0000000000000001E-4</v>
      </c>
      <c r="W1332">
        <v>5.0000000000000001E-4</v>
      </c>
      <c r="X1332">
        <v>5.0000000000000001E-4</v>
      </c>
      <c r="Y1332">
        <v>5.0000000000000001E-4</v>
      </c>
    </row>
    <row r="1333" spans="1:25" hidden="1">
      <c r="A1333" t="s">
        <v>18807</v>
      </c>
      <c r="B1333" t="s">
        <v>1917</v>
      </c>
      <c r="C1333" t="s">
        <v>1845</v>
      </c>
      <c r="D1333" t="s">
        <v>1918</v>
      </c>
      <c r="E1333" t="s">
        <v>1872</v>
      </c>
      <c r="F1333" t="s">
        <v>598</v>
      </c>
      <c r="G1333" t="s">
        <v>599</v>
      </c>
      <c r="H1333" t="s">
        <v>600</v>
      </c>
      <c r="I1333" t="s">
        <v>601</v>
      </c>
      <c r="J1333">
        <v>1.2456</v>
      </c>
      <c r="K1333">
        <v>1.2717000000000001</v>
      </c>
      <c r="L1333">
        <v>1.2975000000000001</v>
      </c>
      <c r="M1333">
        <v>1.3239000000000001</v>
      </c>
      <c r="N1333">
        <v>1.3512</v>
      </c>
      <c r="O1333">
        <v>1.373</v>
      </c>
      <c r="P1333">
        <v>1.3942000000000001</v>
      </c>
      <c r="Q1333">
        <v>1.4140999999999999</v>
      </c>
      <c r="R1333">
        <v>1.4339999999999999</v>
      </c>
      <c r="S1333">
        <v>1.4537</v>
      </c>
      <c r="T1333">
        <v>1.4732000000000001</v>
      </c>
      <c r="U1333">
        <v>1.4933000000000001</v>
      </c>
      <c r="V1333">
        <v>1.514</v>
      </c>
      <c r="W1333">
        <v>1.5351999999999999</v>
      </c>
      <c r="X1333">
        <v>1.5581</v>
      </c>
      <c r="Y1333">
        <v>1.5811999999999999</v>
      </c>
    </row>
    <row r="1334" spans="1:25" hidden="1">
      <c r="A1334" t="s">
        <v>18807</v>
      </c>
      <c r="B1334" t="s">
        <v>1919</v>
      </c>
      <c r="C1334" t="s">
        <v>1845</v>
      </c>
      <c r="D1334" t="s">
        <v>1918</v>
      </c>
      <c r="E1334" t="s">
        <v>1920</v>
      </c>
      <c r="F1334" t="s">
        <v>598</v>
      </c>
      <c r="G1334" t="s">
        <v>599</v>
      </c>
      <c r="H1334" t="s">
        <v>600</v>
      </c>
      <c r="I1334" t="s">
        <v>601</v>
      </c>
      <c r="J1334">
        <v>1E-4</v>
      </c>
      <c r="K1334">
        <v>1E-4</v>
      </c>
      <c r="L1334">
        <v>1E-4</v>
      </c>
      <c r="M1334">
        <v>1E-4</v>
      </c>
      <c r="N1334">
        <v>1E-4</v>
      </c>
      <c r="O1334">
        <v>1E-4</v>
      </c>
      <c r="P1334">
        <v>1E-4</v>
      </c>
      <c r="Q1334">
        <v>1E-4</v>
      </c>
      <c r="R1334">
        <v>1E-4</v>
      </c>
      <c r="S1334">
        <v>1E-4</v>
      </c>
      <c r="T1334">
        <v>1E-4</v>
      </c>
      <c r="U1334">
        <v>1E-4</v>
      </c>
      <c r="V1334">
        <v>1E-4</v>
      </c>
      <c r="W1334">
        <v>1E-4</v>
      </c>
      <c r="X1334">
        <v>1E-4</v>
      </c>
      <c r="Y1334">
        <v>1E-4</v>
      </c>
    </row>
    <row r="1335" spans="1:25" hidden="1">
      <c r="A1335" t="s">
        <v>18807</v>
      </c>
      <c r="B1335" t="s">
        <v>1927</v>
      </c>
      <c r="C1335" t="s">
        <v>1845</v>
      </c>
      <c r="D1335" t="s">
        <v>1918</v>
      </c>
      <c r="E1335" t="s">
        <v>1892</v>
      </c>
      <c r="F1335" t="s">
        <v>598</v>
      </c>
      <c r="G1335" t="s">
        <v>599</v>
      </c>
      <c r="H1335" t="s">
        <v>600</v>
      </c>
      <c r="I1335" t="s">
        <v>601</v>
      </c>
      <c r="J1335">
        <v>2.8E-3</v>
      </c>
      <c r="K1335">
        <v>2.8999999999999998E-3</v>
      </c>
      <c r="L1335">
        <v>2.8999999999999998E-3</v>
      </c>
      <c r="M1335">
        <v>3.0000000000000001E-3</v>
      </c>
      <c r="N1335">
        <v>3.0999999999999999E-3</v>
      </c>
      <c r="O1335">
        <v>3.0999999999999999E-3</v>
      </c>
      <c r="P1335">
        <v>3.2000000000000002E-3</v>
      </c>
      <c r="Q1335">
        <v>3.2000000000000002E-3</v>
      </c>
      <c r="R1335">
        <v>3.2000000000000002E-3</v>
      </c>
      <c r="S1335">
        <v>3.3E-3</v>
      </c>
      <c r="T1335">
        <v>3.3E-3</v>
      </c>
      <c r="U1335">
        <v>3.3999999999999998E-3</v>
      </c>
      <c r="V1335">
        <v>3.3999999999999998E-3</v>
      </c>
      <c r="W1335">
        <v>3.5000000000000001E-3</v>
      </c>
      <c r="X1335">
        <v>3.5000000000000001E-3</v>
      </c>
      <c r="Y1335">
        <v>3.5999999999999999E-3</v>
      </c>
    </row>
    <row r="1336" spans="1:25" hidden="1">
      <c r="A1336" t="s">
        <v>18807</v>
      </c>
      <c r="B1336" t="s">
        <v>1930</v>
      </c>
      <c r="C1336" t="s">
        <v>1845</v>
      </c>
      <c r="D1336" t="s">
        <v>1918</v>
      </c>
      <c r="E1336" t="s">
        <v>1894</v>
      </c>
      <c r="F1336" t="s">
        <v>598</v>
      </c>
      <c r="G1336" t="s">
        <v>599</v>
      </c>
      <c r="H1336" t="s">
        <v>600</v>
      </c>
      <c r="I1336" t="s">
        <v>601</v>
      </c>
      <c r="J1336">
        <v>3.1199999999999999E-2</v>
      </c>
      <c r="K1336">
        <v>3.1899999999999998E-2</v>
      </c>
      <c r="L1336">
        <v>3.2500000000000001E-2</v>
      </c>
      <c r="M1336">
        <v>3.3099999999999997E-2</v>
      </c>
      <c r="N1336">
        <v>3.3799999999999997E-2</v>
      </c>
      <c r="O1336">
        <v>3.4200000000000001E-2</v>
      </c>
      <c r="P1336">
        <v>3.4799999999999998E-2</v>
      </c>
      <c r="Q1336">
        <v>3.5400000000000001E-2</v>
      </c>
      <c r="R1336">
        <v>3.5799999999999998E-2</v>
      </c>
      <c r="S1336">
        <v>3.6200000000000003E-2</v>
      </c>
      <c r="T1336">
        <v>3.6900000000000002E-2</v>
      </c>
      <c r="U1336">
        <v>3.7400000000000003E-2</v>
      </c>
      <c r="V1336">
        <v>3.7900000000000003E-2</v>
      </c>
      <c r="W1336">
        <v>3.85E-2</v>
      </c>
      <c r="X1336">
        <v>3.9E-2</v>
      </c>
      <c r="Y1336">
        <v>3.95E-2</v>
      </c>
    </row>
    <row r="1337" spans="1:25" hidden="1">
      <c r="A1337" t="s">
        <v>18807</v>
      </c>
      <c r="B1337" t="s">
        <v>1931</v>
      </c>
      <c r="C1337" t="s">
        <v>1845</v>
      </c>
      <c r="D1337" t="s">
        <v>1918</v>
      </c>
      <c r="E1337" t="s">
        <v>1896</v>
      </c>
      <c r="F1337" t="s">
        <v>598</v>
      </c>
      <c r="G1337" t="s">
        <v>599</v>
      </c>
      <c r="H1337" t="s">
        <v>600</v>
      </c>
      <c r="I1337" t="s">
        <v>601</v>
      </c>
      <c r="J1337">
        <v>1.4E-3</v>
      </c>
      <c r="K1337">
        <v>1.4E-3</v>
      </c>
      <c r="L1337">
        <v>1.4E-3</v>
      </c>
      <c r="M1337">
        <v>1.4E-3</v>
      </c>
      <c r="N1337">
        <v>1.4E-3</v>
      </c>
      <c r="O1337">
        <v>1.4E-3</v>
      </c>
      <c r="P1337">
        <v>1.4E-3</v>
      </c>
      <c r="Q1337">
        <v>1.5E-3</v>
      </c>
      <c r="R1337">
        <v>1.5E-3</v>
      </c>
      <c r="S1337">
        <v>1.6000000000000001E-3</v>
      </c>
      <c r="T1337">
        <v>1.6000000000000001E-3</v>
      </c>
      <c r="U1337">
        <v>1.6000000000000001E-3</v>
      </c>
      <c r="V1337">
        <v>1.6999999999999999E-3</v>
      </c>
      <c r="W1337">
        <v>1.6999999999999999E-3</v>
      </c>
      <c r="X1337">
        <v>1.6999999999999999E-3</v>
      </c>
      <c r="Y1337">
        <v>1.6999999999999999E-3</v>
      </c>
    </row>
    <row r="1338" spans="1:25" hidden="1">
      <c r="A1338" t="s">
        <v>18807</v>
      </c>
      <c r="B1338" t="s">
        <v>1932</v>
      </c>
      <c r="C1338" t="s">
        <v>1845</v>
      </c>
      <c r="D1338" t="s">
        <v>1918</v>
      </c>
      <c r="E1338" t="s">
        <v>1933</v>
      </c>
      <c r="F1338" t="s">
        <v>598</v>
      </c>
      <c r="G1338" t="s">
        <v>599</v>
      </c>
      <c r="H1338" t="s">
        <v>600</v>
      </c>
      <c r="I1338" t="s">
        <v>601</v>
      </c>
      <c r="J1338">
        <v>1E-3</v>
      </c>
      <c r="K1338">
        <v>1E-3</v>
      </c>
      <c r="L1338">
        <v>1.1000000000000001E-3</v>
      </c>
      <c r="M1338">
        <v>1.1000000000000001E-3</v>
      </c>
      <c r="N1338">
        <v>1.1000000000000001E-3</v>
      </c>
      <c r="O1338">
        <v>1.1000000000000001E-3</v>
      </c>
      <c r="P1338">
        <v>1.1000000000000001E-3</v>
      </c>
      <c r="Q1338">
        <v>1.1999999999999999E-3</v>
      </c>
      <c r="R1338">
        <v>1.1999999999999999E-3</v>
      </c>
      <c r="S1338">
        <v>1.1999999999999999E-3</v>
      </c>
      <c r="T1338">
        <v>1.1999999999999999E-3</v>
      </c>
      <c r="U1338">
        <v>1.1999999999999999E-3</v>
      </c>
      <c r="V1338">
        <v>1.1999999999999999E-3</v>
      </c>
      <c r="W1338">
        <v>1.2999999999999999E-3</v>
      </c>
      <c r="X1338">
        <v>1.2999999999999999E-3</v>
      </c>
      <c r="Y1338">
        <v>1.2999999999999999E-3</v>
      </c>
    </row>
    <row r="1339" spans="1:25" hidden="1">
      <c r="A1339" t="s">
        <v>18807</v>
      </c>
      <c r="B1339" t="s">
        <v>1934</v>
      </c>
      <c r="C1339" t="s">
        <v>1845</v>
      </c>
      <c r="D1339" t="s">
        <v>1918</v>
      </c>
      <c r="E1339" t="s">
        <v>1900</v>
      </c>
      <c r="F1339" t="s">
        <v>598</v>
      </c>
      <c r="G1339" t="s">
        <v>599</v>
      </c>
      <c r="H1339" t="s">
        <v>600</v>
      </c>
      <c r="I1339" t="s">
        <v>601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hidden="1">
      <c r="A1340" t="s">
        <v>18807</v>
      </c>
      <c r="B1340" t="s">
        <v>1935</v>
      </c>
      <c r="C1340" t="s">
        <v>1845</v>
      </c>
      <c r="D1340" t="s">
        <v>1918</v>
      </c>
      <c r="E1340" t="s">
        <v>1936</v>
      </c>
      <c r="F1340" t="s">
        <v>598</v>
      </c>
      <c r="G1340" t="s">
        <v>599</v>
      </c>
      <c r="H1340" t="s">
        <v>600</v>
      </c>
      <c r="I1340" t="s">
        <v>601</v>
      </c>
      <c r="J1340">
        <v>0.39989999999999998</v>
      </c>
      <c r="K1340">
        <v>0.4083</v>
      </c>
      <c r="L1340">
        <v>0.41639999999999999</v>
      </c>
      <c r="M1340">
        <v>0.42499999999999999</v>
      </c>
      <c r="N1340">
        <v>0.43390000000000001</v>
      </c>
      <c r="O1340">
        <v>0.44080000000000003</v>
      </c>
      <c r="P1340">
        <v>0.44769999999999999</v>
      </c>
      <c r="Q1340">
        <v>0.4541</v>
      </c>
      <c r="R1340">
        <v>0.46060000000000001</v>
      </c>
      <c r="S1340">
        <v>0.4667</v>
      </c>
      <c r="T1340">
        <v>0.47289999999999999</v>
      </c>
      <c r="U1340">
        <v>0.47939999999999999</v>
      </c>
      <c r="V1340">
        <v>0.48599999999999999</v>
      </c>
      <c r="W1340">
        <v>0.49280000000000002</v>
      </c>
      <c r="X1340">
        <v>0.50049999999999994</v>
      </c>
      <c r="Y1340">
        <v>0.50739999999999996</v>
      </c>
    </row>
    <row r="1341" spans="1:25" hidden="1">
      <c r="A1341" t="s">
        <v>18807</v>
      </c>
      <c r="B1341" t="s">
        <v>1937</v>
      </c>
      <c r="C1341" t="s">
        <v>1845</v>
      </c>
      <c r="D1341" t="s">
        <v>1918</v>
      </c>
      <c r="E1341" t="s">
        <v>1904</v>
      </c>
      <c r="F1341" t="s">
        <v>598</v>
      </c>
      <c r="G1341" t="s">
        <v>599</v>
      </c>
      <c r="H1341" t="s">
        <v>600</v>
      </c>
      <c r="I1341" t="s">
        <v>601</v>
      </c>
      <c r="J1341">
        <v>1.1999999999999999E-3</v>
      </c>
      <c r="K1341">
        <v>1.2999999999999999E-3</v>
      </c>
      <c r="L1341">
        <v>1.2999999999999999E-3</v>
      </c>
      <c r="M1341">
        <v>1.2999999999999999E-3</v>
      </c>
      <c r="N1341">
        <v>1.4E-3</v>
      </c>
      <c r="O1341">
        <v>1.5E-3</v>
      </c>
      <c r="P1341">
        <v>1.5E-3</v>
      </c>
      <c r="Q1341">
        <v>1.5E-3</v>
      </c>
      <c r="R1341">
        <v>1.6000000000000001E-3</v>
      </c>
      <c r="S1341">
        <v>1.6000000000000001E-3</v>
      </c>
      <c r="T1341">
        <v>1.6000000000000001E-3</v>
      </c>
      <c r="U1341">
        <v>1.6000000000000001E-3</v>
      </c>
      <c r="V1341">
        <v>1.6000000000000001E-3</v>
      </c>
      <c r="W1341">
        <v>1.6000000000000001E-3</v>
      </c>
      <c r="X1341">
        <v>1.6000000000000001E-3</v>
      </c>
      <c r="Y1341">
        <v>1.6000000000000001E-3</v>
      </c>
    </row>
    <row r="1342" spans="1:25" hidden="1">
      <c r="A1342" t="s">
        <v>18807</v>
      </c>
      <c r="B1342" t="s">
        <v>1938</v>
      </c>
      <c r="C1342" t="s">
        <v>1845</v>
      </c>
      <c r="D1342" t="s">
        <v>1918</v>
      </c>
      <c r="E1342" t="s">
        <v>1939</v>
      </c>
      <c r="F1342" t="s">
        <v>598</v>
      </c>
      <c r="G1342" t="s">
        <v>599</v>
      </c>
      <c r="H1342" t="s">
        <v>600</v>
      </c>
      <c r="I1342" t="s">
        <v>601</v>
      </c>
      <c r="J1342">
        <v>1.1000000000000001E-3</v>
      </c>
      <c r="K1342">
        <v>1.1000000000000001E-3</v>
      </c>
      <c r="L1342">
        <v>1.1000000000000001E-3</v>
      </c>
      <c r="M1342">
        <v>1.1000000000000001E-3</v>
      </c>
      <c r="N1342">
        <v>1.1999999999999999E-3</v>
      </c>
      <c r="O1342">
        <v>1.1999999999999999E-3</v>
      </c>
      <c r="P1342">
        <v>1.1999999999999999E-3</v>
      </c>
      <c r="Q1342">
        <v>1.1999999999999999E-3</v>
      </c>
      <c r="R1342">
        <v>1.1999999999999999E-3</v>
      </c>
      <c r="S1342">
        <v>1.1999999999999999E-3</v>
      </c>
      <c r="T1342">
        <v>1.2999999999999999E-3</v>
      </c>
      <c r="U1342">
        <v>1.2999999999999999E-3</v>
      </c>
      <c r="V1342">
        <v>1.2999999999999999E-3</v>
      </c>
      <c r="W1342">
        <v>1.2999999999999999E-3</v>
      </c>
      <c r="X1342">
        <v>1.2999999999999999E-3</v>
      </c>
      <c r="Y1342">
        <v>1.2999999999999999E-3</v>
      </c>
    </row>
    <row r="1343" spans="1:25" hidden="1">
      <c r="A1343" t="s">
        <v>18807</v>
      </c>
      <c r="B1343" t="s">
        <v>1941</v>
      </c>
      <c r="C1343" t="s">
        <v>1845</v>
      </c>
      <c r="D1343" t="s">
        <v>1918</v>
      </c>
      <c r="E1343" t="s">
        <v>1912</v>
      </c>
      <c r="F1343" t="s">
        <v>598</v>
      </c>
      <c r="G1343" t="s">
        <v>599</v>
      </c>
      <c r="H1343" t="s">
        <v>600</v>
      </c>
      <c r="I1343" t="s">
        <v>601</v>
      </c>
      <c r="J1343">
        <v>5.0000000000000001E-4</v>
      </c>
      <c r="K1343">
        <v>5.0000000000000001E-4</v>
      </c>
      <c r="L1343">
        <v>5.0000000000000001E-4</v>
      </c>
      <c r="M1343">
        <v>5.0000000000000001E-4</v>
      </c>
      <c r="N1343">
        <v>5.0000000000000001E-4</v>
      </c>
      <c r="O1343">
        <v>5.0000000000000001E-4</v>
      </c>
      <c r="P1343">
        <v>5.0000000000000001E-4</v>
      </c>
      <c r="Q1343">
        <v>5.0000000000000001E-4</v>
      </c>
      <c r="R1343">
        <v>5.9999999999999995E-4</v>
      </c>
      <c r="S1343">
        <v>5.9999999999999995E-4</v>
      </c>
      <c r="T1343">
        <v>5.9999999999999995E-4</v>
      </c>
      <c r="U1343">
        <v>5.9999999999999995E-4</v>
      </c>
      <c r="V1343">
        <v>5.9999999999999995E-4</v>
      </c>
      <c r="W1343">
        <v>5.9999999999999995E-4</v>
      </c>
      <c r="X1343">
        <v>5.9999999999999995E-4</v>
      </c>
      <c r="Y1343">
        <v>5.9999999999999995E-4</v>
      </c>
    </row>
    <row r="1344" spans="1:25" hidden="1">
      <c r="A1344" t="s">
        <v>18807</v>
      </c>
      <c r="B1344" t="s">
        <v>1943</v>
      </c>
      <c r="C1344" t="s">
        <v>1845</v>
      </c>
      <c r="D1344" t="s">
        <v>1918</v>
      </c>
      <c r="E1344" t="s">
        <v>1846</v>
      </c>
      <c r="F1344" t="s">
        <v>598</v>
      </c>
      <c r="G1344" t="s">
        <v>599</v>
      </c>
      <c r="H1344" t="s">
        <v>600</v>
      </c>
      <c r="I1344" t="s">
        <v>601</v>
      </c>
      <c r="J1344">
        <v>4.5999999999999999E-3</v>
      </c>
      <c r="K1344">
        <v>4.7000000000000002E-3</v>
      </c>
      <c r="L1344">
        <v>4.8999999999999998E-3</v>
      </c>
      <c r="M1344">
        <v>5.0000000000000001E-3</v>
      </c>
      <c r="N1344">
        <v>5.1000000000000004E-3</v>
      </c>
      <c r="O1344">
        <v>5.1000000000000004E-3</v>
      </c>
      <c r="P1344">
        <v>5.1999999999999998E-3</v>
      </c>
      <c r="Q1344">
        <v>5.3E-3</v>
      </c>
      <c r="R1344">
        <v>5.4000000000000003E-3</v>
      </c>
      <c r="S1344">
        <v>5.4000000000000003E-3</v>
      </c>
      <c r="T1344">
        <v>5.4999999999999997E-3</v>
      </c>
      <c r="U1344">
        <v>5.5999999999999999E-3</v>
      </c>
      <c r="V1344">
        <v>5.5999999999999999E-3</v>
      </c>
      <c r="W1344">
        <v>5.7000000000000002E-3</v>
      </c>
      <c r="X1344">
        <v>5.7999999999999996E-3</v>
      </c>
      <c r="Y1344">
        <v>5.8999999999999999E-3</v>
      </c>
    </row>
    <row r="1345" spans="1:25" hidden="1">
      <c r="A1345" t="s">
        <v>18807</v>
      </c>
      <c r="B1345" t="s">
        <v>1949</v>
      </c>
      <c r="C1345" t="s">
        <v>1845</v>
      </c>
      <c r="D1345" t="s">
        <v>648</v>
      </c>
      <c r="E1345" t="s">
        <v>1872</v>
      </c>
      <c r="F1345" t="s">
        <v>598</v>
      </c>
      <c r="G1345" t="s">
        <v>599</v>
      </c>
      <c r="H1345" t="s">
        <v>600</v>
      </c>
      <c r="I1345" t="s">
        <v>601</v>
      </c>
      <c r="J1345">
        <v>1E-4</v>
      </c>
      <c r="K1345">
        <v>1E-4</v>
      </c>
      <c r="L1345">
        <v>1E-4</v>
      </c>
      <c r="M1345">
        <v>1E-4</v>
      </c>
      <c r="N1345">
        <v>1E-4</v>
      </c>
      <c r="O1345">
        <v>1E-4</v>
      </c>
      <c r="P1345">
        <v>1E-4</v>
      </c>
      <c r="Q1345">
        <v>1E-4</v>
      </c>
      <c r="R1345">
        <v>1E-4</v>
      </c>
      <c r="S1345">
        <v>1E-4</v>
      </c>
      <c r="T1345">
        <v>1E-4</v>
      </c>
      <c r="U1345">
        <v>1E-4</v>
      </c>
      <c r="V1345">
        <v>1E-4</v>
      </c>
      <c r="W1345">
        <v>1E-4</v>
      </c>
      <c r="X1345">
        <v>1E-4</v>
      </c>
      <c r="Y1345">
        <v>1E-4</v>
      </c>
    </row>
    <row r="1346" spans="1:25" hidden="1">
      <c r="A1346" t="s">
        <v>18807</v>
      </c>
      <c r="B1346" t="s">
        <v>1964</v>
      </c>
      <c r="C1346" t="s">
        <v>1959</v>
      </c>
      <c r="D1346" t="s">
        <v>1965</v>
      </c>
      <c r="E1346" t="s">
        <v>1966</v>
      </c>
      <c r="F1346" t="s">
        <v>598</v>
      </c>
      <c r="G1346" t="s">
        <v>599</v>
      </c>
      <c r="H1346" t="s">
        <v>600</v>
      </c>
      <c r="I1346" t="s">
        <v>601</v>
      </c>
      <c r="J1346">
        <v>0.20080000000000001</v>
      </c>
      <c r="K1346">
        <v>0.20830000000000001</v>
      </c>
      <c r="L1346">
        <v>0.21659999999999999</v>
      </c>
      <c r="M1346">
        <v>0.2248</v>
      </c>
      <c r="N1346">
        <v>0.22839999999999999</v>
      </c>
      <c r="O1346">
        <v>0.23230000000000001</v>
      </c>
      <c r="P1346">
        <v>0.23669999999999999</v>
      </c>
      <c r="Q1346">
        <v>0.24060000000000001</v>
      </c>
      <c r="R1346">
        <v>0.24529999999999999</v>
      </c>
      <c r="S1346">
        <v>0.24970000000000001</v>
      </c>
      <c r="T1346">
        <v>0.2545</v>
      </c>
      <c r="U1346">
        <v>0.25940000000000002</v>
      </c>
      <c r="V1346">
        <v>0.2651</v>
      </c>
      <c r="W1346">
        <v>0.27100000000000002</v>
      </c>
      <c r="X1346">
        <v>0.27600000000000002</v>
      </c>
      <c r="Y1346">
        <v>0.28110000000000002</v>
      </c>
    </row>
    <row r="1347" spans="1:25" hidden="1">
      <c r="A1347" t="s">
        <v>18807</v>
      </c>
      <c r="B1347" t="s">
        <v>1967</v>
      </c>
      <c r="C1347" t="s">
        <v>1959</v>
      </c>
      <c r="D1347" t="s">
        <v>1968</v>
      </c>
      <c r="E1347" t="s">
        <v>1962</v>
      </c>
      <c r="F1347" t="s">
        <v>598</v>
      </c>
      <c r="G1347" t="s">
        <v>599</v>
      </c>
      <c r="H1347" t="s">
        <v>600</v>
      </c>
      <c r="I1347" t="s">
        <v>601</v>
      </c>
      <c r="J1347">
        <v>0.38590000000000002</v>
      </c>
      <c r="K1347">
        <v>0.40010000000000001</v>
      </c>
      <c r="L1347">
        <v>0.41460000000000002</v>
      </c>
      <c r="M1347">
        <v>0.43030000000000002</v>
      </c>
      <c r="N1347">
        <v>0.43709999999999999</v>
      </c>
      <c r="O1347">
        <v>0.44419999999999998</v>
      </c>
      <c r="P1347">
        <v>0.45179999999999998</v>
      </c>
      <c r="Q1347">
        <v>0.45929999999999999</v>
      </c>
      <c r="R1347">
        <v>0.46800000000000003</v>
      </c>
      <c r="S1347">
        <v>0.4763</v>
      </c>
      <c r="T1347">
        <v>0.4854</v>
      </c>
      <c r="U1347">
        <v>0.49480000000000002</v>
      </c>
      <c r="V1347">
        <v>0.50570000000000004</v>
      </c>
      <c r="W1347">
        <v>0.51700000000000002</v>
      </c>
      <c r="X1347">
        <v>0.52610000000000001</v>
      </c>
      <c r="Y1347">
        <v>0.53639999999999999</v>
      </c>
    </row>
    <row r="1348" spans="1:25" hidden="1">
      <c r="A1348" t="s">
        <v>18807</v>
      </c>
      <c r="B1348" t="s">
        <v>1977</v>
      </c>
      <c r="C1348" t="s">
        <v>1959</v>
      </c>
      <c r="D1348" t="s">
        <v>1972</v>
      </c>
      <c r="E1348" t="s">
        <v>1966</v>
      </c>
      <c r="F1348" t="s">
        <v>598</v>
      </c>
      <c r="G1348" t="s">
        <v>599</v>
      </c>
      <c r="H1348" t="s">
        <v>600</v>
      </c>
      <c r="I1348" t="s">
        <v>601</v>
      </c>
      <c r="J1348">
        <v>7.4899999999999994E-2</v>
      </c>
      <c r="K1348">
        <v>7.7600000000000002E-2</v>
      </c>
      <c r="L1348">
        <v>8.0399999999999999E-2</v>
      </c>
      <c r="M1348">
        <v>8.3500000000000005E-2</v>
      </c>
      <c r="N1348">
        <v>8.48E-2</v>
      </c>
      <c r="O1348">
        <v>8.6099999999999996E-2</v>
      </c>
      <c r="P1348">
        <v>8.7599999999999997E-2</v>
      </c>
      <c r="Q1348">
        <v>8.9099999999999999E-2</v>
      </c>
      <c r="R1348">
        <v>9.0800000000000006E-2</v>
      </c>
      <c r="S1348">
        <v>9.2399999999999996E-2</v>
      </c>
      <c r="T1348">
        <v>9.4200000000000006E-2</v>
      </c>
      <c r="U1348">
        <v>9.6000000000000002E-2</v>
      </c>
      <c r="V1348">
        <v>9.8100000000000007E-2</v>
      </c>
      <c r="W1348">
        <v>0.10009999999999999</v>
      </c>
      <c r="X1348">
        <v>0.1021</v>
      </c>
      <c r="Y1348">
        <v>0.1041</v>
      </c>
    </row>
    <row r="1349" spans="1:25" hidden="1">
      <c r="A1349" t="s">
        <v>18807</v>
      </c>
      <c r="B1349" t="s">
        <v>1978</v>
      </c>
      <c r="C1349" t="s">
        <v>1959</v>
      </c>
      <c r="D1349" t="s">
        <v>1972</v>
      </c>
      <c r="E1349" t="s">
        <v>1979</v>
      </c>
      <c r="F1349" t="s">
        <v>598</v>
      </c>
      <c r="G1349" t="s">
        <v>599</v>
      </c>
      <c r="H1349" t="s">
        <v>600</v>
      </c>
      <c r="I1349" t="s">
        <v>601</v>
      </c>
      <c r="J1349">
        <v>9.2999999999999999E-2</v>
      </c>
      <c r="K1349">
        <v>9.6299999999999997E-2</v>
      </c>
      <c r="L1349">
        <v>9.9900000000000003E-2</v>
      </c>
      <c r="M1349">
        <v>0.1036</v>
      </c>
      <c r="N1349">
        <v>0.1052</v>
      </c>
      <c r="O1349">
        <v>0.107</v>
      </c>
      <c r="P1349">
        <v>0.10879999999999999</v>
      </c>
      <c r="Q1349">
        <v>0.1105</v>
      </c>
      <c r="R1349">
        <v>0.11269999999999999</v>
      </c>
      <c r="S1349">
        <v>0.1147</v>
      </c>
      <c r="T1349">
        <v>0.11700000000000001</v>
      </c>
      <c r="U1349">
        <v>0.1193</v>
      </c>
      <c r="V1349">
        <v>0.12189999999999999</v>
      </c>
      <c r="W1349">
        <v>0.1246</v>
      </c>
      <c r="X1349">
        <v>0.1268</v>
      </c>
      <c r="Y1349">
        <v>0.12920000000000001</v>
      </c>
    </row>
    <row r="1350" spans="1:25" hidden="1">
      <c r="A1350" t="s">
        <v>18807</v>
      </c>
      <c r="B1350" t="s">
        <v>1985</v>
      </c>
      <c r="C1350" t="s">
        <v>1959</v>
      </c>
      <c r="D1350" t="s">
        <v>1983</v>
      </c>
      <c r="E1350" t="s">
        <v>1378</v>
      </c>
      <c r="F1350" t="s">
        <v>598</v>
      </c>
      <c r="G1350" t="s">
        <v>599</v>
      </c>
      <c r="H1350" t="s">
        <v>600</v>
      </c>
      <c r="I1350" t="s">
        <v>601</v>
      </c>
      <c r="J1350">
        <v>1.55E-2</v>
      </c>
      <c r="K1350">
        <v>1.6199999999999999E-2</v>
      </c>
      <c r="L1350">
        <v>1.6799999999999999E-2</v>
      </c>
      <c r="M1350">
        <v>1.7500000000000002E-2</v>
      </c>
      <c r="N1350">
        <v>1.77E-2</v>
      </c>
      <c r="O1350">
        <v>1.7999999999999999E-2</v>
      </c>
      <c r="P1350">
        <v>1.83E-2</v>
      </c>
      <c r="Q1350">
        <v>1.8700000000000001E-2</v>
      </c>
      <c r="R1350">
        <v>1.9E-2</v>
      </c>
      <c r="S1350">
        <v>1.9300000000000001E-2</v>
      </c>
      <c r="T1350">
        <v>1.9699999999999999E-2</v>
      </c>
      <c r="U1350">
        <v>0.02</v>
      </c>
      <c r="V1350">
        <v>2.0400000000000001E-2</v>
      </c>
      <c r="W1350">
        <v>2.0899999999999998E-2</v>
      </c>
      <c r="X1350">
        <v>2.1299999999999999E-2</v>
      </c>
      <c r="Y1350">
        <v>2.1700000000000001E-2</v>
      </c>
    </row>
    <row r="1351" spans="1:25" hidden="1">
      <c r="A1351" t="s">
        <v>18807</v>
      </c>
      <c r="B1351" t="s">
        <v>1988</v>
      </c>
      <c r="C1351" t="s">
        <v>1959</v>
      </c>
      <c r="D1351" t="s">
        <v>1983</v>
      </c>
      <c r="E1351" t="s">
        <v>1966</v>
      </c>
      <c r="F1351" t="s">
        <v>598</v>
      </c>
      <c r="G1351" t="s">
        <v>599</v>
      </c>
      <c r="H1351" t="s">
        <v>600</v>
      </c>
      <c r="I1351" t="s">
        <v>601</v>
      </c>
      <c r="J1351">
        <v>2.06E-2</v>
      </c>
      <c r="K1351">
        <v>2.1399999999999999E-2</v>
      </c>
      <c r="L1351">
        <v>2.2100000000000002E-2</v>
      </c>
      <c r="M1351">
        <v>2.3E-2</v>
      </c>
      <c r="N1351">
        <v>2.3300000000000001E-2</v>
      </c>
      <c r="O1351">
        <v>2.3699999999999999E-2</v>
      </c>
      <c r="P1351">
        <v>2.41E-2</v>
      </c>
      <c r="Q1351">
        <v>2.4500000000000001E-2</v>
      </c>
      <c r="R1351">
        <v>2.5000000000000001E-2</v>
      </c>
      <c r="S1351">
        <v>2.53E-2</v>
      </c>
      <c r="T1351">
        <v>2.5899999999999999E-2</v>
      </c>
      <c r="U1351">
        <v>2.6499999999999999E-2</v>
      </c>
      <c r="V1351">
        <v>2.7E-2</v>
      </c>
      <c r="W1351">
        <v>2.76E-2</v>
      </c>
      <c r="X1351">
        <v>2.81E-2</v>
      </c>
      <c r="Y1351">
        <v>2.87E-2</v>
      </c>
    </row>
    <row r="1352" spans="1:25" hidden="1">
      <c r="A1352" t="s">
        <v>18807</v>
      </c>
      <c r="B1352" t="s">
        <v>1991</v>
      </c>
      <c r="C1352" t="s">
        <v>1959</v>
      </c>
      <c r="D1352" t="s">
        <v>1983</v>
      </c>
      <c r="E1352" t="s">
        <v>1992</v>
      </c>
      <c r="F1352" t="s">
        <v>598</v>
      </c>
      <c r="G1352" t="s">
        <v>599</v>
      </c>
      <c r="H1352" t="s">
        <v>600</v>
      </c>
      <c r="I1352" t="s">
        <v>601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 hidden="1">
      <c r="A1353" t="s">
        <v>18807</v>
      </c>
      <c r="B1353" t="s">
        <v>1993</v>
      </c>
      <c r="C1353" t="s">
        <v>1959</v>
      </c>
      <c r="D1353" t="s">
        <v>1983</v>
      </c>
      <c r="E1353" t="s">
        <v>1994</v>
      </c>
      <c r="F1353" t="s">
        <v>598</v>
      </c>
      <c r="G1353" t="s">
        <v>599</v>
      </c>
      <c r="H1353" t="s">
        <v>600</v>
      </c>
      <c r="I1353" t="s">
        <v>601</v>
      </c>
      <c r="J1353">
        <v>6.3E-3</v>
      </c>
      <c r="K1353">
        <v>6.4999999999999997E-3</v>
      </c>
      <c r="L1353">
        <v>6.7000000000000002E-3</v>
      </c>
      <c r="M1353">
        <v>7.0000000000000001E-3</v>
      </c>
      <c r="N1353">
        <v>7.1000000000000004E-3</v>
      </c>
      <c r="O1353">
        <v>7.1999999999999998E-3</v>
      </c>
      <c r="P1353">
        <v>7.3000000000000001E-3</v>
      </c>
      <c r="Q1353">
        <v>7.4000000000000003E-3</v>
      </c>
      <c r="R1353">
        <v>7.6E-3</v>
      </c>
      <c r="S1353">
        <v>7.7000000000000002E-3</v>
      </c>
      <c r="T1353">
        <v>7.9000000000000008E-3</v>
      </c>
      <c r="U1353">
        <v>8.0000000000000002E-3</v>
      </c>
      <c r="V1353">
        <v>8.2000000000000007E-3</v>
      </c>
      <c r="W1353">
        <v>8.3999999999999995E-3</v>
      </c>
      <c r="X1353">
        <v>8.5000000000000006E-3</v>
      </c>
      <c r="Y1353">
        <v>8.6999999999999994E-3</v>
      </c>
    </row>
    <row r="1354" spans="1:25" hidden="1">
      <c r="A1354" t="s">
        <v>18807</v>
      </c>
      <c r="B1354" t="s">
        <v>1997</v>
      </c>
      <c r="C1354" t="s">
        <v>1959</v>
      </c>
      <c r="D1354" t="s">
        <v>1996</v>
      </c>
      <c r="E1354" t="s">
        <v>1380</v>
      </c>
      <c r="F1354" t="s">
        <v>598</v>
      </c>
      <c r="G1354" t="s">
        <v>599</v>
      </c>
      <c r="H1354" t="s">
        <v>600</v>
      </c>
      <c r="I1354" t="s">
        <v>601</v>
      </c>
      <c r="J1354">
        <v>0.19639999999999999</v>
      </c>
      <c r="K1354">
        <v>0.20300000000000001</v>
      </c>
      <c r="L1354">
        <v>0.2094</v>
      </c>
      <c r="M1354">
        <v>0.216</v>
      </c>
      <c r="N1354">
        <v>0.21859999999999999</v>
      </c>
      <c r="O1354">
        <v>0.22109999999999999</v>
      </c>
      <c r="P1354">
        <v>0.22370000000000001</v>
      </c>
      <c r="Q1354">
        <v>0.22689999999999999</v>
      </c>
      <c r="R1354">
        <v>0.2298</v>
      </c>
      <c r="S1354">
        <v>0.2329</v>
      </c>
      <c r="T1354">
        <v>0.23630000000000001</v>
      </c>
      <c r="U1354">
        <v>0.2399</v>
      </c>
      <c r="V1354">
        <v>0.24399999999999999</v>
      </c>
      <c r="W1354">
        <v>0.248</v>
      </c>
      <c r="X1354">
        <v>0.25140000000000001</v>
      </c>
      <c r="Y1354">
        <v>0.2545</v>
      </c>
    </row>
    <row r="1355" spans="1:25" hidden="1">
      <c r="A1355" t="s">
        <v>18807</v>
      </c>
      <c r="B1355" t="s">
        <v>2002</v>
      </c>
      <c r="C1355" t="s">
        <v>1959</v>
      </c>
      <c r="D1355" t="s">
        <v>2001</v>
      </c>
      <c r="E1355" t="s">
        <v>2003</v>
      </c>
      <c r="F1355" t="s">
        <v>598</v>
      </c>
      <c r="G1355" t="s">
        <v>599</v>
      </c>
      <c r="H1355" t="s">
        <v>600</v>
      </c>
      <c r="I1355" t="s">
        <v>601</v>
      </c>
      <c r="J1355">
        <v>5.9999999999999995E-4</v>
      </c>
      <c r="K1355">
        <v>6.9999999999999999E-4</v>
      </c>
      <c r="L1355">
        <v>6.9999999999999999E-4</v>
      </c>
      <c r="M1355">
        <v>6.9999999999999999E-4</v>
      </c>
      <c r="N1355">
        <v>6.9999999999999999E-4</v>
      </c>
      <c r="O1355">
        <v>6.9999999999999999E-4</v>
      </c>
      <c r="P1355">
        <v>6.9999999999999999E-4</v>
      </c>
      <c r="Q1355">
        <v>8.0000000000000004E-4</v>
      </c>
      <c r="R1355">
        <v>8.0000000000000004E-4</v>
      </c>
      <c r="S1355">
        <v>8.0000000000000004E-4</v>
      </c>
      <c r="T1355">
        <v>8.0000000000000004E-4</v>
      </c>
      <c r="U1355">
        <v>8.0000000000000004E-4</v>
      </c>
      <c r="V1355">
        <v>8.0000000000000004E-4</v>
      </c>
      <c r="W1355">
        <v>8.9999999999999998E-4</v>
      </c>
      <c r="X1355">
        <v>8.9999999999999998E-4</v>
      </c>
      <c r="Y1355">
        <v>8.9999999999999998E-4</v>
      </c>
    </row>
    <row r="1356" spans="1:25" hidden="1">
      <c r="A1356" t="s">
        <v>18807</v>
      </c>
      <c r="B1356" t="s">
        <v>2005</v>
      </c>
      <c r="C1356" t="s">
        <v>1959</v>
      </c>
      <c r="D1356" t="s">
        <v>2001</v>
      </c>
      <c r="E1356" t="s">
        <v>1976</v>
      </c>
      <c r="F1356" t="s">
        <v>598</v>
      </c>
      <c r="G1356" t="s">
        <v>599</v>
      </c>
      <c r="H1356" t="s">
        <v>600</v>
      </c>
      <c r="I1356" t="s">
        <v>601</v>
      </c>
      <c r="J1356">
        <v>0.15759999999999999</v>
      </c>
      <c r="K1356">
        <v>0.16769999999999999</v>
      </c>
      <c r="L1356">
        <v>0.1792</v>
      </c>
      <c r="M1356">
        <v>0.19170000000000001</v>
      </c>
      <c r="N1356">
        <v>0.19719999999999999</v>
      </c>
      <c r="O1356">
        <v>0.20300000000000001</v>
      </c>
      <c r="P1356">
        <v>0.20799999999999999</v>
      </c>
      <c r="Q1356">
        <v>0.2137</v>
      </c>
      <c r="R1356">
        <v>0.21890000000000001</v>
      </c>
      <c r="S1356">
        <v>0.22489999999999999</v>
      </c>
      <c r="T1356">
        <v>0.23039999999999999</v>
      </c>
      <c r="U1356">
        <v>0.2369</v>
      </c>
      <c r="V1356">
        <v>0.2432</v>
      </c>
      <c r="W1356">
        <v>0.24979999999999999</v>
      </c>
      <c r="X1356">
        <v>0.25559999999999999</v>
      </c>
      <c r="Y1356">
        <v>0.26169999999999999</v>
      </c>
    </row>
    <row r="1357" spans="1:25" hidden="1">
      <c r="A1357" t="s">
        <v>18807</v>
      </c>
      <c r="B1357" t="s">
        <v>2007</v>
      </c>
      <c r="C1357" t="s">
        <v>1959</v>
      </c>
      <c r="D1357" t="s">
        <v>2001</v>
      </c>
      <c r="E1357" t="s">
        <v>1966</v>
      </c>
      <c r="F1357" t="s">
        <v>598</v>
      </c>
      <c r="G1357" t="s">
        <v>599</v>
      </c>
      <c r="H1357" t="s">
        <v>600</v>
      </c>
      <c r="I1357" t="s">
        <v>601</v>
      </c>
      <c r="J1357">
        <v>1E-4</v>
      </c>
      <c r="K1357">
        <v>1E-4</v>
      </c>
      <c r="L1357">
        <v>1E-4</v>
      </c>
      <c r="M1357">
        <v>1E-4</v>
      </c>
      <c r="N1357">
        <v>1E-4</v>
      </c>
      <c r="O1357">
        <v>1E-4</v>
      </c>
      <c r="P1357">
        <v>1E-4</v>
      </c>
      <c r="Q1357">
        <v>1E-4</v>
      </c>
      <c r="R1357">
        <v>1E-4</v>
      </c>
      <c r="S1357">
        <v>1E-4</v>
      </c>
      <c r="T1357">
        <v>1E-4</v>
      </c>
      <c r="U1357">
        <v>1E-4</v>
      </c>
      <c r="V1357">
        <v>1E-4</v>
      </c>
      <c r="W1357">
        <v>1E-4</v>
      </c>
      <c r="X1357">
        <v>1E-4</v>
      </c>
      <c r="Y1357">
        <v>1E-4</v>
      </c>
    </row>
    <row r="1358" spans="1:25" hidden="1">
      <c r="A1358" t="s">
        <v>18807</v>
      </c>
      <c r="B1358" t="s">
        <v>2011</v>
      </c>
      <c r="C1358" t="s">
        <v>1959</v>
      </c>
      <c r="D1358" t="s">
        <v>2012</v>
      </c>
      <c r="E1358" t="s">
        <v>2013</v>
      </c>
      <c r="F1358" t="s">
        <v>598</v>
      </c>
      <c r="G1358" t="s">
        <v>599</v>
      </c>
      <c r="H1358" t="s">
        <v>600</v>
      </c>
      <c r="I1358" t="s">
        <v>601</v>
      </c>
      <c r="J1358">
        <v>1.1000000000000001E-3</v>
      </c>
      <c r="K1358">
        <v>1.1000000000000001E-3</v>
      </c>
      <c r="L1358">
        <v>1.1000000000000001E-3</v>
      </c>
      <c r="M1358">
        <v>1.1999999999999999E-3</v>
      </c>
      <c r="N1358">
        <v>1.1999999999999999E-3</v>
      </c>
      <c r="O1358">
        <v>1.1999999999999999E-3</v>
      </c>
      <c r="P1358">
        <v>1.1999999999999999E-3</v>
      </c>
      <c r="Q1358">
        <v>1.2999999999999999E-3</v>
      </c>
      <c r="R1358">
        <v>1.2999999999999999E-3</v>
      </c>
      <c r="S1358">
        <v>1.2999999999999999E-3</v>
      </c>
      <c r="T1358">
        <v>1.2999999999999999E-3</v>
      </c>
      <c r="U1358">
        <v>1.4E-3</v>
      </c>
      <c r="V1358">
        <v>1.4E-3</v>
      </c>
      <c r="W1358">
        <v>1.4E-3</v>
      </c>
      <c r="X1358">
        <v>1.5E-3</v>
      </c>
      <c r="Y1358">
        <v>1.5E-3</v>
      </c>
    </row>
    <row r="1359" spans="1:25" hidden="1">
      <c r="A1359" t="s">
        <v>18807</v>
      </c>
      <c r="B1359" t="s">
        <v>2017</v>
      </c>
      <c r="C1359" t="s">
        <v>1959</v>
      </c>
      <c r="D1359" t="s">
        <v>1817</v>
      </c>
      <c r="E1359" t="s">
        <v>1962</v>
      </c>
      <c r="F1359" t="s">
        <v>598</v>
      </c>
      <c r="G1359" t="s">
        <v>599</v>
      </c>
      <c r="H1359" t="s">
        <v>600</v>
      </c>
      <c r="I1359" t="s">
        <v>601</v>
      </c>
      <c r="J1359">
        <v>2E-3</v>
      </c>
      <c r="K1359">
        <v>2E-3</v>
      </c>
      <c r="L1359">
        <v>2.0999999999999999E-3</v>
      </c>
      <c r="M1359">
        <v>2.2000000000000001E-3</v>
      </c>
      <c r="N1359">
        <v>2.2000000000000001E-3</v>
      </c>
      <c r="O1359">
        <v>2.3E-3</v>
      </c>
      <c r="P1359">
        <v>2.3E-3</v>
      </c>
      <c r="Q1359">
        <v>2.3E-3</v>
      </c>
      <c r="R1359">
        <v>2.3999999999999998E-3</v>
      </c>
      <c r="S1359">
        <v>2.3999999999999998E-3</v>
      </c>
      <c r="T1359">
        <v>2.5000000000000001E-3</v>
      </c>
      <c r="U1359">
        <v>2.5000000000000001E-3</v>
      </c>
      <c r="V1359">
        <v>2.5999999999999999E-3</v>
      </c>
      <c r="W1359">
        <v>2.5999999999999999E-3</v>
      </c>
      <c r="X1359">
        <v>2.7000000000000001E-3</v>
      </c>
      <c r="Y1359">
        <v>2.7000000000000001E-3</v>
      </c>
    </row>
    <row r="1360" spans="1:25" hidden="1">
      <c r="A1360" t="s">
        <v>18807</v>
      </c>
      <c r="B1360" t="s">
        <v>2028</v>
      </c>
      <c r="C1360" t="s">
        <v>1959</v>
      </c>
      <c r="D1360" t="s">
        <v>1817</v>
      </c>
      <c r="E1360" t="s">
        <v>1966</v>
      </c>
      <c r="F1360" t="s">
        <v>598</v>
      </c>
      <c r="G1360" t="s">
        <v>599</v>
      </c>
      <c r="H1360" t="s">
        <v>600</v>
      </c>
      <c r="I1360" t="s">
        <v>601</v>
      </c>
      <c r="J1360">
        <v>4.4000000000000003E-3</v>
      </c>
      <c r="K1360">
        <v>4.5999999999999999E-3</v>
      </c>
      <c r="L1360">
        <v>4.7000000000000002E-3</v>
      </c>
      <c r="M1360">
        <v>4.8999999999999998E-3</v>
      </c>
      <c r="N1360">
        <v>4.8999999999999998E-3</v>
      </c>
      <c r="O1360">
        <v>5.0000000000000001E-3</v>
      </c>
      <c r="P1360">
        <v>5.1999999999999998E-3</v>
      </c>
      <c r="Q1360">
        <v>5.3E-3</v>
      </c>
      <c r="R1360">
        <v>5.4000000000000003E-3</v>
      </c>
      <c r="S1360">
        <v>5.4999999999999997E-3</v>
      </c>
      <c r="T1360">
        <v>5.4999999999999997E-3</v>
      </c>
      <c r="U1360">
        <v>5.5999999999999999E-3</v>
      </c>
      <c r="V1360">
        <v>5.7999999999999996E-3</v>
      </c>
      <c r="W1360">
        <v>5.7999999999999996E-3</v>
      </c>
      <c r="X1360">
        <v>6.0000000000000001E-3</v>
      </c>
      <c r="Y1360">
        <v>6.1000000000000004E-3</v>
      </c>
    </row>
    <row r="1361" spans="1:25" hidden="1">
      <c r="A1361" t="s">
        <v>18807</v>
      </c>
      <c r="B1361" t="s">
        <v>2030</v>
      </c>
      <c r="C1361" t="s">
        <v>1959</v>
      </c>
      <c r="D1361" t="s">
        <v>2031</v>
      </c>
      <c r="E1361" t="s">
        <v>2032</v>
      </c>
      <c r="F1361" t="s">
        <v>598</v>
      </c>
      <c r="G1361" t="s">
        <v>599</v>
      </c>
      <c r="H1361" t="s">
        <v>600</v>
      </c>
      <c r="I1361" t="s">
        <v>601</v>
      </c>
      <c r="J1361">
        <v>6.8999999999999999E-3</v>
      </c>
      <c r="K1361">
        <v>7.1999999999999998E-3</v>
      </c>
      <c r="L1361">
        <v>7.4000000000000003E-3</v>
      </c>
      <c r="M1361">
        <v>7.7000000000000002E-3</v>
      </c>
      <c r="N1361">
        <v>7.7999999999999996E-3</v>
      </c>
      <c r="O1361">
        <v>8.0000000000000002E-3</v>
      </c>
      <c r="P1361">
        <v>8.0999999999999996E-3</v>
      </c>
      <c r="Q1361">
        <v>8.2000000000000007E-3</v>
      </c>
      <c r="R1361">
        <v>8.3999999999999995E-3</v>
      </c>
      <c r="S1361">
        <v>8.6E-3</v>
      </c>
      <c r="T1361">
        <v>8.6999999999999994E-3</v>
      </c>
      <c r="U1361">
        <v>8.8999999999999999E-3</v>
      </c>
      <c r="V1361">
        <v>9.1000000000000004E-3</v>
      </c>
      <c r="W1361">
        <v>9.2999999999999992E-3</v>
      </c>
      <c r="X1361">
        <v>9.4000000000000004E-3</v>
      </c>
      <c r="Y1361">
        <v>9.5999999999999992E-3</v>
      </c>
    </row>
    <row r="1362" spans="1:25" hidden="1">
      <c r="A1362" t="s">
        <v>18807</v>
      </c>
      <c r="B1362" t="s">
        <v>2039</v>
      </c>
      <c r="C1362" t="s">
        <v>1959</v>
      </c>
      <c r="D1362" t="s">
        <v>648</v>
      </c>
      <c r="E1362" t="s">
        <v>1378</v>
      </c>
      <c r="F1362" t="s">
        <v>598</v>
      </c>
      <c r="G1362" t="s">
        <v>599</v>
      </c>
      <c r="H1362" t="s">
        <v>600</v>
      </c>
      <c r="I1362" t="s">
        <v>601</v>
      </c>
      <c r="J1362">
        <v>0.18340000000000001</v>
      </c>
      <c r="K1362">
        <v>0.19009999999999999</v>
      </c>
      <c r="L1362">
        <v>0.1971</v>
      </c>
      <c r="M1362">
        <v>0.20430000000000001</v>
      </c>
      <c r="N1362">
        <v>0.2077</v>
      </c>
      <c r="O1362">
        <v>0.21110000000000001</v>
      </c>
      <c r="P1362">
        <v>0.21460000000000001</v>
      </c>
      <c r="Q1362">
        <v>0.21820000000000001</v>
      </c>
      <c r="R1362">
        <v>0.2223</v>
      </c>
      <c r="S1362">
        <v>0.22620000000000001</v>
      </c>
      <c r="T1362">
        <v>0.23069999999999999</v>
      </c>
      <c r="U1362">
        <v>0.23519999999999999</v>
      </c>
      <c r="V1362">
        <v>0.2402</v>
      </c>
      <c r="W1362">
        <v>0.24560000000000001</v>
      </c>
      <c r="X1362">
        <v>0.24990000000000001</v>
      </c>
      <c r="Y1362">
        <v>0.25490000000000002</v>
      </c>
    </row>
    <row r="1363" spans="1:25" hidden="1">
      <c r="A1363" t="s">
        <v>18807</v>
      </c>
      <c r="B1363" t="s">
        <v>2041</v>
      </c>
      <c r="C1363" t="s">
        <v>1959</v>
      </c>
      <c r="D1363" t="s">
        <v>648</v>
      </c>
      <c r="E1363" t="s">
        <v>2003</v>
      </c>
      <c r="F1363" t="s">
        <v>598</v>
      </c>
      <c r="G1363" t="s">
        <v>599</v>
      </c>
      <c r="H1363" t="s">
        <v>600</v>
      </c>
      <c r="I1363" t="s">
        <v>601</v>
      </c>
      <c r="J1363">
        <v>6.1000000000000004E-3</v>
      </c>
      <c r="K1363">
        <v>6.1999999999999998E-3</v>
      </c>
      <c r="L1363">
        <v>6.4000000000000003E-3</v>
      </c>
      <c r="M1363">
        <v>6.6E-3</v>
      </c>
      <c r="N1363">
        <v>6.7999999999999996E-3</v>
      </c>
      <c r="O1363">
        <v>6.7999999999999996E-3</v>
      </c>
      <c r="P1363">
        <v>6.8999999999999999E-3</v>
      </c>
      <c r="Q1363">
        <v>7.1000000000000004E-3</v>
      </c>
      <c r="R1363">
        <v>7.1999999999999998E-3</v>
      </c>
      <c r="S1363">
        <v>7.1999999999999998E-3</v>
      </c>
      <c r="T1363">
        <v>7.4999999999999997E-3</v>
      </c>
      <c r="U1363">
        <v>7.6E-3</v>
      </c>
      <c r="V1363">
        <v>7.7999999999999996E-3</v>
      </c>
      <c r="W1363">
        <v>7.9000000000000008E-3</v>
      </c>
      <c r="X1363">
        <v>8.0999999999999996E-3</v>
      </c>
      <c r="Y1363">
        <v>8.2000000000000007E-3</v>
      </c>
    </row>
    <row r="1364" spans="1:25" hidden="1">
      <c r="A1364" t="s">
        <v>18807</v>
      </c>
      <c r="B1364" t="s">
        <v>2042</v>
      </c>
      <c r="C1364" t="s">
        <v>1959</v>
      </c>
      <c r="D1364" t="s">
        <v>648</v>
      </c>
      <c r="E1364" t="s">
        <v>1380</v>
      </c>
      <c r="F1364" t="s">
        <v>598</v>
      </c>
      <c r="G1364" t="s">
        <v>599</v>
      </c>
      <c r="H1364" t="s">
        <v>600</v>
      </c>
      <c r="I1364" t="s">
        <v>601</v>
      </c>
      <c r="J1364">
        <v>6.4399999999999999E-2</v>
      </c>
      <c r="K1364">
        <v>6.6699999999999995E-2</v>
      </c>
      <c r="L1364">
        <v>6.9199999999999998E-2</v>
      </c>
      <c r="M1364">
        <v>7.1800000000000003E-2</v>
      </c>
      <c r="N1364">
        <v>7.2900000000000006E-2</v>
      </c>
      <c r="O1364">
        <v>7.4099999999999999E-2</v>
      </c>
      <c r="P1364">
        <v>7.5399999999999995E-2</v>
      </c>
      <c r="Q1364">
        <v>7.6600000000000001E-2</v>
      </c>
      <c r="R1364">
        <v>7.8E-2</v>
      </c>
      <c r="S1364">
        <v>7.9500000000000001E-2</v>
      </c>
      <c r="T1364">
        <v>8.1000000000000003E-2</v>
      </c>
      <c r="U1364">
        <v>8.2600000000000007E-2</v>
      </c>
      <c r="V1364">
        <v>8.4400000000000003E-2</v>
      </c>
      <c r="W1364">
        <v>8.6300000000000002E-2</v>
      </c>
      <c r="X1364">
        <v>8.7800000000000003E-2</v>
      </c>
      <c r="Y1364">
        <v>8.9499999999999996E-2</v>
      </c>
    </row>
    <row r="1365" spans="1:25" hidden="1">
      <c r="A1365" t="s">
        <v>18807</v>
      </c>
      <c r="B1365" t="s">
        <v>2043</v>
      </c>
      <c r="C1365" t="s">
        <v>1959</v>
      </c>
      <c r="D1365" t="s">
        <v>648</v>
      </c>
      <c r="E1365" t="s">
        <v>1976</v>
      </c>
      <c r="F1365" t="s">
        <v>598</v>
      </c>
      <c r="G1365" t="s">
        <v>599</v>
      </c>
      <c r="H1365" t="s">
        <v>600</v>
      </c>
      <c r="I1365" t="s">
        <v>601</v>
      </c>
      <c r="J1365">
        <v>1E-4</v>
      </c>
      <c r="K1365">
        <v>1E-4</v>
      </c>
      <c r="L1365">
        <v>1E-4</v>
      </c>
      <c r="M1365">
        <v>1E-4</v>
      </c>
      <c r="N1365">
        <v>1E-4</v>
      </c>
      <c r="O1365">
        <v>1E-4</v>
      </c>
      <c r="P1365">
        <v>1E-4</v>
      </c>
      <c r="Q1365">
        <v>1E-4</v>
      </c>
      <c r="R1365">
        <v>1E-4</v>
      </c>
      <c r="S1365">
        <v>1E-4</v>
      </c>
      <c r="T1365">
        <v>1E-4</v>
      </c>
      <c r="U1365">
        <v>1E-4</v>
      </c>
      <c r="V1365">
        <v>1E-4</v>
      </c>
      <c r="W1365">
        <v>1E-4</v>
      </c>
      <c r="X1365">
        <v>1E-4</v>
      </c>
      <c r="Y1365">
        <v>1E-4</v>
      </c>
    </row>
    <row r="1366" spans="1:25" hidden="1">
      <c r="A1366" t="s">
        <v>18807</v>
      </c>
      <c r="B1366" t="s">
        <v>2044</v>
      </c>
      <c r="C1366" t="s">
        <v>1959</v>
      </c>
      <c r="D1366" t="s">
        <v>648</v>
      </c>
      <c r="E1366" t="s">
        <v>2045</v>
      </c>
      <c r="F1366" t="s">
        <v>598</v>
      </c>
      <c r="G1366" t="s">
        <v>599</v>
      </c>
      <c r="H1366" t="s">
        <v>600</v>
      </c>
      <c r="I1366" t="s">
        <v>601</v>
      </c>
      <c r="J1366">
        <v>7.4999999999999997E-3</v>
      </c>
      <c r="K1366">
        <v>7.7999999999999996E-3</v>
      </c>
      <c r="L1366">
        <v>8.2000000000000007E-3</v>
      </c>
      <c r="M1366">
        <v>8.5000000000000006E-3</v>
      </c>
      <c r="N1366">
        <v>8.6E-3</v>
      </c>
      <c r="O1366">
        <v>8.8000000000000005E-3</v>
      </c>
      <c r="P1366">
        <v>8.9999999999999993E-3</v>
      </c>
      <c r="Q1366">
        <v>9.1000000000000004E-3</v>
      </c>
      <c r="R1366">
        <v>9.1999999999999998E-3</v>
      </c>
      <c r="S1366">
        <v>9.4999999999999998E-3</v>
      </c>
      <c r="T1366">
        <v>9.5999999999999992E-3</v>
      </c>
      <c r="U1366">
        <v>9.7000000000000003E-3</v>
      </c>
      <c r="V1366">
        <v>0.01</v>
      </c>
      <c r="W1366">
        <v>1.01E-2</v>
      </c>
      <c r="X1366">
        <v>1.04E-2</v>
      </c>
      <c r="Y1366">
        <v>1.0500000000000001E-2</v>
      </c>
    </row>
    <row r="1367" spans="1:25" hidden="1">
      <c r="A1367" t="s">
        <v>18807</v>
      </c>
      <c r="B1367" t="s">
        <v>2046</v>
      </c>
      <c r="C1367" t="s">
        <v>1959</v>
      </c>
      <c r="D1367" t="s">
        <v>648</v>
      </c>
      <c r="E1367" t="s">
        <v>2047</v>
      </c>
      <c r="F1367" t="s">
        <v>598</v>
      </c>
      <c r="G1367" t="s">
        <v>599</v>
      </c>
      <c r="H1367" t="s">
        <v>600</v>
      </c>
      <c r="I1367" t="s">
        <v>601</v>
      </c>
      <c r="J1367">
        <v>0.1172</v>
      </c>
      <c r="K1367">
        <v>0.12139999999999999</v>
      </c>
      <c r="L1367">
        <v>0.1258</v>
      </c>
      <c r="M1367">
        <v>0.13059999999999999</v>
      </c>
      <c r="N1367">
        <v>0.1326</v>
      </c>
      <c r="O1367">
        <v>0.1348</v>
      </c>
      <c r="P1367">
        <v>0.13700000000000001</v>
      </c>
      <c r="Q1367">
        <v>0.13930000000000001</v>
      </c>
      <c r="R1367">
        <v>0.14180000000000001</v>
      </c>
      <c r="S1367">
        <v>0.14460000000000001</v>
      </c>
      <c r="T1367">
        <v>0.14729999999999999</v>
      </c>
      <c r="U1367">
        <v>0.15029999999999999</v>
      </c>
      <c r="V1367">
        <v>0.15340000000000001</v>
      </c>
      <c r="W1367">
        <v>0.15690000000000001</v>
      </c>
      <c r="X1367">
        <v>0.1598</v>
      </c>
      <c r="Y1367">
        <v>0.1628</v>
      </c>
    </row>
    <row r="1368" spans="1:25" hidden="1">
      <c r="A1368" t="s">
        <v>18807</v>
      </c>
      <c r="B1368" t="s">
        <v>2048</v>
      </c>
      <c r="C1368" t="s">
        <v>1959</v>
      </c>
      <c r="D1368" t="s">
        <v>648</v>
      </c>
      <c r="E1368" t="s">
        <v>2049</v>
      </c>
      <c r="F1368" t="s">
        <v>598</v>
      </c>
      <c r="G1368" t="s">
        <v>599</v>
      </c>
      <c r="H1368" t="s">
        <v>600</v>
      </c>
      <c r="I1368" t="s">
        <v>601</v>
      </c>
      <c r="J1368">
        <v>4.1999999999999997E-3</v>
      </c>
      <c r="K1368">
        <v>4.4000000000000003E-3</v>
      </c>
      <c r="L1368">
        <v>4.4999999999999997E-3</v>
      </c>
      <c r="M1368">
        <v>4.7000000000000002E-3</v>
      </c>
      <c r="N1368">
        <v>4.7999999999999996E-3</v>
      </c>
      <c r="O1368">
        <v>4.8999999999999998E-3</v>
      </c>
      <c r="P1368">
        <v>4.8999999999999998E-3</v>
      </c>
      <c r="Q1368">
        <v>5.0000000000000001E-3</v>
      </c>
      <c r="R1368">
        <v>5.1000000000000004E-3</v>
      </c>
      <c r="S1368">
        <v>5.1999999999999998E-3</v>
      </c>
      <c r="T1368">
        <v>5.3E-3</v>
      </c>
      <c r="U1368">
        <v>5.4000000000000003E-3</v>
      </c>
      <c r="V1368">
        <v>5.4999999999999997E-3</v>
      </c>
      <c r="W1368">
        <v>5.7000000000000002E-3</v>
      </c>
      <c r="X1368">
        <v>5.7000000000000002E-3</v>
      </c>
      <c r="Y1368">
        <v>5.8999999999999999E-3</v>
      </c>
    </row>
    <row r="1369" spans="1:25" hidden="1">
      <c r="A1369" t="s">
        <v>18807</v>
      </c>
      <c r="B1369" t="s">
        <v>2052</v>
      </c>
      <c r="C1369" t="s">
        <v>1959</v>
      </c>
      <c r="D1369" t="s">
        <v>648</v>
      </c>
      <c r="E1369" t="s">
        <v>2010</v>
      </c>
      <c r="F1369" t="s">
        <v>598</v>
      </c>
      <c r="G1369" t="s">
        <v>599</v>
      </c>
      <c r="H1369" t="s">
        <v>600</v>
      </c>
      <c r="I1369" t="s">
        <v>601</v>
      </c>
      <c r="J1369">
        <v>1E-4</v>
      </c>
      <c r="K1369">
        <v>1E-4</v>
      </c>
      <c r="L1369">
        <v>1E-4</v>
      </c>
      <c r="M1369">
        <v>2.0000000000000001E-4</v>
      </c>
      <c r="N1369">
        <v>2.0000000000000001E-4</v>
      </c>
      <c r="O1369">
        <v>2.0000000000000001E-4</v>
      </c>
      <c r="P1369">
        <v>2.0000000000000001E-4</v>
      </c>
      <c r="Q1369">
        <v>2.0000000000000001E-4</v>
      </c>
      <c r="R1369">
        <v>2.0000000000000001E-4</v>
      </c>
      <c r="S1369">
        <v>2.0000000000000001E-4</v>
      </c>
      <c r="T1369">
        <v>2.0000000000000001E-4</v>
      </c>
      <c r="U1369">
        <v>2.0000000000000001E-4</v>
      </c>
      <c r="V1369">
        <v>2.0000000000000001E-4</v>
      </c>
      <c r="W1369">
        <v>2.0000000000000001E-4</v>
      </c>
      <c r="X1369">
        <v>2.0000000000000001E-4</v>
      </c>
      <c r="Y1369">
        <v>2.0000000000000001E-4</v>
      </c>
    </row>
    <row r="1370" spans="1:25" hidden="1">
      <c r="A1370" t="s">
        <v>18807</v>
      </c>
      <c r="B1370" t="s">
        <v>2054</v>
      </c>
      <c r="C1370" t="s">
        <v>1959</v>
      </c>
      <c r="D1370" t="s">
        <v>648</v>
      </c>
      <c r="E1370" t="s">
        <v>2013</v>
      </c>
      <c r="F1370" t="s">
        <v>598</v>
      </c>
      <c r="G1370" t="s">
        <v>599</v>
      </c>
      <c r="H1370" t="s">
        <v>600</v>
      </c>
      <c r="I1370" t="s">
        <v>601</v>
      </c>
      <c r="J1370">
        <v>1E-4</v>
      </c>
      <c r="K1370">
        <v>1E-4</v>
      </c>
      <c r="L1370">
        <v>2.0000000000000001E-4</v>
      </c>
      <c r="M1370">
        <v>2.0000000000000001E-4</v>
      </c>
      <c r="N1370">
        <v>2.0000000000000001E-4</v>
      </c>
      <c r="O1370">
        <v>2.0000000000000001E-4</v>
      </c>
      <c r="P1370">
        <v>2.0000000000000001E-4</v>
      </c>
      <c r="Q1370">
        <v>2.0000000000000001E-4</v>
      </c>
      <c r="R1370">
        <v>2.0000000000000001E-4</v>
      </c>
      <c r="S1370">
        <v>2.0000000000000001E-4</v>
      </c>
      <c r="T1370">
        <v>2.0000000000000001E-4</v>
      </c>
      <c r="U1370">
        <v>2.0000000000000001E-4</v>
      </c>
      <c r="V1370">
        <v>2.0000000000000001E-4</v>
      </c>
      <c r="W1370">
        <v>2.0000000000000001E-4</v>
      </c>
      <c r="X1370">
        <v>2.0000000000000001E-4</v>
      </c>
      <c r="Y1370">
        <v>2.0000000000000001E-4</v>
      </c>
    </row>
    <row r="1371" spans="1:25" hidden="1">
      <c r="A1371" t="s">
        <v>18807</v>
      </c>
      <c r="B1371" t="s">
        <v>2056</v>
      </c>
      <c r="C1371" t="s">
        <v>1959</v>
      </c>
      <c r="D1371" t="s">
        <v>648</v>
      </c>
      <c r="E1371" t="s">
        <v>2057</v>
      </c>
      <c r="F1371" t="s">
        <v>598</v>
      </c>
      <c r="G1371" t="s">
        <v>599</v>
      </c>
      <c r="H1371" t="s">
        <v>600</v>
      </c>
      <c r="I1371" t="s">
        <v>601</v>
      </c>
      <c r="J1371">
        <v>7.3300000000000004E-2</v>
      </c>
      <c r="K1371">
        <v>7.5999999999999998E-2</v>
      </c>
      <c r="L1371">
        <v>7.8700000000000006E-2</v>
      </c>
      <c r="M1371">
        <v>8.1799999999999998E-2</v>
      </c>
      <c r="N1371">
        <v>8.3199999999999996E-2</v>
      </c>
      <c r="O1371">
        <v>8.4400000000000003E-2</v>
      </c>
      <c r="P1371">
        <v>8.5699999999999998E-2</v>
      </c>
      <c r="Q1371">
        <v>8.7300000000000003E-2</v>
      </c>
      <c r="R1371">
        <v>8.8900000000000007E-2</v>
      </c>
      <c r="S1371">
        <v>9.0300000000000005E-2</v>
      </c>
      <c r="T1371">
        <v>9.2100000000000001E-2</v>
      </c>
      <c r="U1371">
        <v>9.4100000000000003E-2</v>
      </c>
      <c r="V1371">
        <v>9.6299999999999997E-2</v>
      </c>
      <c r="W1371">
        <v>9.8299999999999998E-2</v>
      </c>
      <c r="X1371">
        <v>0.1</v>
      </c>
      <c r="Y1371">
        <v>0.1017</v>
      </c>
    </row>
    <row r="1372" spans="1:25" hidden="1">
      <c r="A1372" t="s">
        <v>18807</v>
      </c>
      <c r="B1372" t="s">
        <v>2072</v>
      </c>
      <c r="C1372" t="s">
        <v>1959</v>
      </c>
      <c r="D1372" t="s">
        <v>648</v>
      </c>
      <c r="E1372" t="s">
        <v>1966</v>
      </c>
      <c r="F1372" t="s">
        <v>598</v>
      </c>
      <c r="G1372" t="s">
        <v>599</v>
      </c>
      <c r="H1372" t="s">
        <v>600</v>
      </c>
      <c r="I1372" t="s">
        <v>601</v>
      </c>
      <c r="J1372">
        <v>1.9E-3</v>
      </c>
      <c r="K1372">
        <v>1.9E-3</v>
      </c>
      <c r="L1372">
        <v>2E-3</v>
      </c>
      <c r="M1372">
        <v>2.0999999999999999E-3</v>
      </c>
      <c r="N1372">
        <v>2.0999999999999999E-3</v>
      </c>
      <c r="O1372">
        <v>2.0999999999999999E-3</v>
      </c>
      <c r="P1372">
        <v>2.2000000000000001E-3</v>
      </c>
      <c r="Q1372">
        <v>2.2000000000000001E-3</v>
      </c>
      <c r="R1372">
        <v>2.2000000000000001E-3</v>
      </c>
      <c r="S1372">
        <v>2.3E-3</v>
      </c>
      <c r="T1372">
        <v>2.3E-3</v>
      </c>
      <c r="U1372">
        <v>2.3999999999999998E-3</v>
      </c>
      <c r="V1372">
        <v>2.5000000000000001E-3</v>
      </c>
      <c r="W1372">
        <v>2.5000000000000001E-3</v>
      </c>
      <c r="X1372">
        <v>2.5999999999999999E-3</v>
      </c>
      <c r="Y1372">
        <v>2.5999999999999999E-3</v>
      </c>
    </row>
    <row r="1373" spans="1:25" hidden="1">
      <c r="A1373" t="s">
        <v>18807</v>
      </c>
      <c r="B1373" t="s">
        <v>2073</v>
      </c>
      <c r="C1373" t="s">
        <v>1959</v>
      </c>
      <c r="D1373" t="s">
        <v>648</v>
      </c>
      <c r="E1373" t="s">
        <v>1979</v>
      </c>
      <c r="F1373" t="s">
        <v>598</v>
      </c>
      <c r="G1373" t="s">
        <v>599</v>
      </c>
      <c r="H1373" t="s">
        <v>600</v>
      </c>
      <c r="I1373" t="s">
        <v>601</v>
      </c>
      <c r="J1373">
        <v>4.3E-3</v>
      </c>
      <c r="K1373">
        <v>4.4000000000000003E-3</v>
      </c>
      <c r="L1373">
        <v>4.4999999999999997E-3</v>
      </c>
      <c r="M1373">
        <v>4.7000000000000002E-3</v>
      </c>
      <c r="N1373">
        <v>4.7999999999999996E-3</v>
      </c>
      <c r="O1373">
        <v>4.7999999999999996E-3</v>
      </c>
      <c r="P1373">
        <v>4.8999999999999998E-3</v>
      </c>
      <c r="Q1373">
        <v>5.0000000000000001E-3</v>
      </c>
      <c r="R1373">
        <v>5.1999999999999998E-3</v>
      </c>
      <c r="S1373">
        <v>5.1999999999999998E-3</v>
      </c>
      <c r="T1373">
        <v>5.3E-3</v>
      </c>
      <c r="U1373">
        <v>5.4000000000000003E-3</v>
      </c>
      <c r="V1373">
        <v>5.4999999999999997E-3</v>
      </c>
      <c r="W1373">
        <v>5.5999999999999999E-3</v>
      </c>
      <c r="X1373">
        <v>5.7000000000000002E-3</v>
      </c>
      <c r="Y1373">
        <v>5.7999999999999996E-3</v>
      </c>
    </row>
    <row r="1374" spans="1:25" hidden="1">
      <c r="A1374" t="s">
        <v>18807</v>
      </c>
      <c r="B1374" t="s">
        <v>2078</v>
      </c>
      <c r="C1374" t="s">
        <v>2075</v>
      </c>
      <c r="D1374" t="s">
        <v>2079</v>
      </c>
      <c r="E1374" t="s">
        <v>1378</v>
      </c>
      <c r="F1374" t="s">
        <v>598</v>
      </c>
      <c r="G1374" t="s">
        <v>599</v>
      </c>
      <c r="H1374" t="s">
        <v>600</v>
      </c>
      <c r="I1374" t="s">
        <v>601</v>
      </c>
      <c r="J1374">
        <v>4.4999999999999997E-3</v>
      </c>
      <c r="K1374">
        <v>4.5999999999999999E-3</v>
      </c>
      <c r="L1374">
        <v>4.5999999999999999E-3</v>
      </c>
      <c r="M1374">
        <v>4.5999999999999999E-3</v>
      </c>
      <c r="N1374">
        <v>4.5999999999999999E-3</v>
      </c>
      <c r="O1374">
        <v>4.7000000000000002E-3</v>
      </c>
      <c r="P1374">
        <v>4.7000000000000002E-3</v>
      </c>
      <c r="Q1374">
        <v>4.7999999999999996E-3</v>
      </c>
      <c r="R1374">
        <v>4.8999999999999998E-3</v>
      </c>
      <c r="S1374">
        <v>5.0000000000000001E-3</v>
      </c>
      <c r="T1374">
        <v>5.1000000000000004E-3</v>
      </c>
      <c r="U1374">
        <v>5.1999999999999998E-3</v>
      </c>
      <c r="V1374">
        <v>5.3E-3</v>
      </c>
      <c r="W1374">
        <v>5.4000000000000003E-3</v>
      </c>
      <c r="X1374">
        <v>5.4999999999999997E-3</v>
      </c>
      <c r="Y1374">
        <v>5.5999999999999999E-3</v>
      </c>
    </row>
    <row r="1375" spans="1:25" hidden="1">
      <c r="A1375" t="s">
        <v>18807</v>
      </c>
      <c r="B1375" t="s">
        <v>2080</v>
      </c>
      <c r="C1375" t="s">
        <v>2075</v>
      </c>
      <c r="D1375" t="s">
        <v>2079</v>
      </c>
      <c r="E1375" t="s">
        <v>2081</v>
      </c>
      <c r="F1375" t="s">
        <v>598</v>
      </c>
      <c r="G1375" t="s">
        <v>599</v>
      </c>
      <c r="H1375" t="s">
        <v>600</v>
      </c>
      <c r="I1375" t="s">
        <v>601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</row>
    <row r="1376" spans="1:25" hidden="1">
      <c r="A1376" t="s">
        <v>18807</v>
      </c>
      <c r="B1376" t="s">
        <v>2082</v>
      </c>
      <c r="C1376" t="s">
        <v>2075</v>
      </c>
      <c r="D1376" t="s">
        <v>2079</v>
      </c>
      <c r="E1376" t="s">
        <v>2083</v>
      </c>
      <c r="F1376" t="s">
        <v>598</v>
      </c>
      <c r="G1376" t="s">
        <v>599</v>
      </c>
      <c r="H1376" t="s">
        <v>600</v>
      </c>
      <c r="I1376" t="s">
        <v>601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hidden="1">
      <c r="A1377" t="s">
        <v>18807</v>
      </c>
      <c r="B1377" t="s">
        <v>2087</v>
      </c>
      <c r="C1377" t="s">
        <v>2075</v>
      </c>
      <c r="D1377" t="s">
        <v>2079</v>
      </c>
      <c r="E1377" t="s">
        <v>2088</v>
      </c>
      <c r="F1377" t="s">
        <v>598</v>
      </c>
      <c r="G1377" t="s">
        <v>599</v>
      </c>
      <c r="H1377" t="s">
        <v>600</v>
      </c>
      <c r="I1377" t="s">
        <v>601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hidden="1">
      <c r="A1378" t="s">
        <v>18807</v>
      </c>
      <c r="B1378" t="s">
        <v>2092</v>
      </c>
      <c r="C1378" t="s">
        <v>2075</v>
      </c>
      <c r="D1378" t="s">
        <v>2090</v>
      </c>
      <c r="E1378" t="s">
        <v>1378</v>
      </c>
      <c r="F1378" t="s">
        <v>598</v>
      </c>
      <c r="G1378" t="s">
        <v>599</v>
      </c>
      <c r="H1378" t="s">
        <v>600</v>
      </c>
      <c r="I1378" t="s">
        <v>601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hidden="1">
      <c r="A1379" t="s">
        <v>18807</v>
      </c>
      <c r="B1379" t="s">
        <v>2093</v>
      </c>
      <c r="C1379" t="s">
        <v>2075</v>
      </c>
      <c r="D1379" t="s">
        <v>2090</v>
      </c>
      <c r="E1379" t="s">
        <v>2086</v>
      </c>
      <c r="F1379" t="s">
        <v>598</v>
      </c>
      <c r="G1379" t="s">
        <v>599</v>
      </c>
      <c r="H1379" t="s">
        <v>600</v>
      </c>
      <c r="I1379" t="s">
        <v>601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</row>
    <row r="1380" spans="1:25" hidden="1">
      <c r="A1380" t="s">
        <v>18807</v>
      </c>
      <c r="B1380" t="s">
        <v>2096</v>
      </c>
      <c r="C1380" t="s">
        <v>2075</v>
      </c>
      <c r="D1380" t="s">
        <v>2090</v>
      </c>
      <c r="E1380" t="s">
        <v>2097</v>
      </c>
      <c r="F1380" t="s">
        <v>598</v>
      </c>
      <c r="G1380" t="s">
        <v>599</v>
      </c>
      <c r="H1380" t="s">
        <v>600</v>
      </c>
      <c r="I1380" t="s">
        <v>601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hidden="1">
      <c r="A1381" t="s">
        <v>18807</v>
      </c>
      <c r="B1381" t="s">
        <v>2100</v>
      </c>
      <c r="C1381" t="s">
        <v>2075</v>
      </c>
      <c r="D1381" t="s">
        <v>2090</v>
      </c>
      <c r="E1381" t="s">
        <v>2088</v>
      </c>
      <c r="F1381" t="s">
        <v>598</v>
      </c>
      <c r="G1381" t="s">
        <v>599</v>
      </c>
      <c r="H1381" t="s">
        <v>600</v>
      </c>
      <c r="I1381" t="s">
        <v>601</v>
      </c>
      <c r="J1381">
        <v>2E-3</v>
      </c>
      <c r="K1381">
        <v>2.0999999999999999E-3</v>
      </c>
      <c r="L1381">
        <v>2.0999999999999999E-3</v>
      </c>
      <c r="M1381">
        <v>2.0999999999999999E-3</v>
      </c>
      <c r="N1381">
        <v>2.0999999999999999E-3</v>
      </c>
      <c r="O1381">
        <v>2.2000000000000001E-3</v>
      </c>
      <c r="P1381">
        <v>2.2000000000000001E-3</v>
      </c>
      <c r="Q1381">
        <v>2.3E-3</v>
      </c>
      <c r="R1381">
        <v>2.3E-3</v>
      </c>
      <c r="S1381">
        <v>2.3E-3</v>
      </c>
      <c r="T1381">
        <v>2.3999999999999998E-3</v>
      </c>
      <c r="U1381">
        <v>2.3999999999999998E-3</v>
      </c>
      <c r="V1381">
        <v>2.5000000000000001E-3</v>
      </c>
      <c r="W1381">
        <v>2.5000000000000001E-3</v>
      </c>
      <c r="X1381">
        <v>2.5999999999999999E-3</v>
      </c>
      <c r="Y1381">
        <v>2.7000000000000001E-3</v>
      </c>
    </row>
    <row r="1382" spans="1:25" hidden="1">
      <c r="A1382" t="s">
        <v>18807</v>
      </c>
      <c r="B1382" t="s">
        <v>2106</v>
      </c>
      <c r="C1382" t="s">
        <v>2075</v>
      </c>
      <c r="D1382" t="s">
        <v>648</v>
      </c>
      <c r="E1382" t="s">
        <v>1378</v>
      </c>
      <c r="F1382" t="s">
        <v>598</v>
      </c>
      <c r="G1382" t="s">
        <v>599</v>
      </c>
      <c r="H1382" t="s">
        <v>600</v>
      </c>
      <c r="I1382" t="s">
        <v>601</v>
      </c>
      <c r="J1382">
        <v>2.0000000000000001E-4</v>
      </c>
      <c r="K1382">
        <v>2.0000000000000001E-4</v>
      </c>
      <c r="L1382">
        <v>2.0000000000000001E-4</v>
      </c>
      <c r="M1382">
        <v>2.0000000000000001E-4</v>
      </c>
      <c r="N1382">
        <v>2.0000000000000001E-4</v>
      </c>
      <c r="O1382">
        <v>2.0000000000000001E-4</v>
      </c>
      <c r="P1382">
        <v>2.0000000000000001E-4</v>
      </c>
      <c r="Q1382">
        <v>2.0000000000000001E-4</v>
      </c>
      <c r="R1382">
        <v>2.0000000000000001E-4</v>
      </c>
      <c r="S1382">
        <v>2.0000000000000001E-4</v>
      </c>
      <c r="T1382">
        <v>2.0000000000000001E-4</v>
      </c>
      <c r="U1382">
        <v>2.0000000000000001E-4</v>
      </c>
      <c r="V1382">
        <v>2.0000000000000001E-4</v>
      </c>
      <c r="W1382">
        <v>2.0000000000000001E-4</v>
      </c>
      <c r="X1382">
        <v>2.0000000000000001E-4</v>
      </c>
      <c r="Y1382">
        <v>2.0000000000000001E-4</v>
      </c>
    </row>
    <row r="1383" spans="1:25" hidden="1">
      <c r="A1383" t="s">
        <v>18807</v>
      </c>
      <c r="B1383" t="s">
        <v>2114</v>
      </c>
      <c r="C1383" t="s">
        <v>2075</v>
      </c>
      <c r="D1383" t="s">
        <v>648</v>
      </c>
      <c r="E1383" t="s">
        <v>1004</v>
      </c>
      <c r="F1383" t="s">
        <v>598</v>
      </c>
      <c r="G1383" t="s">
        <v>599</v>
      </c>
      <c r="H1383" t="s">
        <v>600</v>
      </c>
      <c r="I1383" t="s">
        <v>601</v>
      </c>
      <c r="J1383">
        <v>4.0000000000000002E-4</v>
      </c>
      <c r="K1383">
        <v>4.0000000000000002E-4</v>
      </c>
      <c r="L1383">
        <v>4.0000000000000002E-4</v>
      </c>
      <c r="M1383">
        <v>4.0000000000000002E-4</v>
      </c>
      <c r="N1383">
        <v>4.0000000000000002E-4</v>
      </c>
      <c r="O1383">
        <v>4.0000000000000002E-4</v>
      </c>
      <c r="P1383">
        <v>4.0000000000000002E-4</v>
      </c>
      <c r="Q1383">
        <v>4.0000000000000002E-4</v>
      </c>
      <c r="R1383">
        <v>4.0000000000000002E-4</v>
      </c>
      <c r="S1383">
        <v>4.0000000000000002E-4</v>
      </c>
      <c r="T1383">
        <v>4.0000000000000002E-4</v>
      </c>
      <c r="U1383">
        <v>5.0000000000000001E-4</v>
      </c>
      <c r="V1383">
        <v>5.0000000000000001E-4</v>
      </c>
      <c r="W1383">
        <v>5.0000000000000001E-4</v>
      </c>
      <c r="X1383">
        <v>5.0000000000000001E-4</v>
      </c>
      <c r="Y1383">
        <v>5.0000000000000001E-4</v>
      </c>
    </row>
    <row r="1384" spans="1:25" hidden="1">
      <c r="A1384" t="s">
        <v>18807</v>
      </c>
      <c r="B1384" t="s">
        <v>2117</v>
      </c>
      <c r="C1384" t="s">
        <v>2116</v>
      </c>
      <c r="D1384" t="s">
        <v>2118</v>
      </c>
      <c r="E1384" t="s">
        <v>2119</v>
      </c>
      <c r="F1384" t="s">
        <v>598</v>
      </c>
      <c r="G1384" t="s">
        <v>599</v>
      </c>
      <c r="H1384" t="s">
        <v>600</v>
      </c>
      <c r="I1384" t="s">
        <v>601</v>
      </c>
      <c r="J1384">
        <v>8.7499999999999994E-2</v>
      </c>
      <c r="K1384">
        <v>9.1300000000000006E-2</v>
      </c>
      <c r="L1384">
        <v>9.4299999999999995E-2</v>
      </c>
      <c r="M1384">
        <v>9.7299999999999998E-2</v>
      </c>
      <c r="N1384">
        <v>0.10009999999999999</v>
      </c>
      <c r="O1384">
        <v>0.10290000000000001</v>
      </c>
      <c r="P1384">
        <v>0.1055</v>
      </c>
      <c r="Q1384">
        <v>0.1079</v>
      </c>
      <c r="R1384">
        <v>0.1103</v>
      </c>
      <c r="S1384">
        <v>0.113</v>
      </c>
      <c r="T1384">
        <v>0.1154</v>
      </c>
      <c r="U1384">
        <v>0.11799999999999999</v>
      </c>
      <c r="V1384">
        <v>0.1206</v>
      </c>
      <c r="W1384">
        <v>0.1236</v>
      </c>
      <c r="X1384">
        <v>0.1265</v>
      </c>
      <c r="Y1384">
        <v>0.1295</v>
      </c>
    </row>
    <row r="1385" spans="1:25" hidden="1">
      <c r="A1385" t="s">
        <v>18807</v>
      </c>
      <c r="B1385" t="s">
        <v>2120</v>
      </c>
      <c r="C1385" t="s">
        <v>2116</v>
      </c>
      <c r="D1385" t="s">
        <v>2121</v>
      </c>
      <c r="E1385" t="s">
        <v>2119</v>
      </c>
      <c r="F1385" t="s">
        <v>598</v>
      </c>
      <c r="G1385" t="s">
        <v>599</v>
      </c>
      <c r="H1385" t="s">
        <v>600</v>
      </c>
      <c r="I1385" t="s">
        <v>601</v>
      </c>
      <c r="J1385">
        <v>1E-3</v>
      </c>
      <c r="K1385">
        <v>1E-3</v>
      </c>
      <c r="L1385">
        <v>1E-3</v>
      </c>
      <c r="M1385">
        <v>1.1000000000000001E-3</v>
      </c>
      <c r="N1385">
        <v>1.1000000000000001E-3</v>
      </c>
      <c r="O1385">
        <v>1.1000000000000001E-3</v>
      </c>
      <c r="P1385">
        <v>1.1000000000000001E-3</v>
      </c>
      <c r="Q1385">
        <v>1.1000000000000001E-3</v>
      </c>
      <c r="R1385">
        <v>1.1000000000000001E-3</v>
      </c>
      <c r="S1385">
        <v>1.1000000000000001E-3</v>
      </c>
      <c r="T1385">
        <v>1.1000000000000001E-3</v>
      </c>
      <c r="U1385">
        <v>1.1000000000000001E-3</v>
      </c>
      <c r="V1385">
        <v>1.1000000000000001E-3</v>
      </c>
      <c r="W1385">
        <v>1.1000000000000001E-3</v>
      </c>
      <c r="X1385">
        <v>1.1000000000000001E-3</v>
      </c>
      <c r="Y1385">
        <v>1.1000000000000001E-3</v>
      </c>
    </row>
    <row r="1386" spans="1:25" hidden="1">
      <c r="A1386" t="s">
        <v>18807</v>
      </c>
      <c r="B1386" t="s">
        <v>2123</v>
      </c>
      <c r="C1386" t="s">
        <v>2116</v>
      </c>
      <c r="D1386" t="s">
        <v>2124</v>
      </c>
      <c r="E1386" t="s">
        <v>2125</v>
      </c>
      <c r="F1386" t="s">
        <v>598</v>
      </c>
      <c r="G1386" t="s">
        <v>599</v>
      </c>
      <c r="H1386" t="s">
        <v>600</v>
      </c>
      <c r="I1386" t="s">
        <v>601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1E-4</v>
      </c>
      <c r="W1386">
        <v>1E-4</v>
      </c>
      <c r="X1386">
        <v>1E-4</v>
      </c>
      <c r="Y1386">
        <v>1E-4</v>
      </c>
    </row>
    <row r="1387" spans="1:25" hidden="1">
      <c r="A1387" t="s">
        <v>18807</v>
      </c>
      <c r="B1387" t="s">
        <v>2126</v>
      </c>
      <c r="C1387" t="s">
        <v>2116</v>
      </c>
      <c r="D1387" t="s">
        <v>2127</v>
      </c>
      <c r="E1387" t="s">
        <v>656</v>
      </c>
      <c r="F1387" t="s">
        <v>598</v>
      </c>
      <c r="G1387" t="s">
        <v>599</v>
      </c>
      <c r="H1387" t="s">
        <v>600</v>
      </c>
      <c r="I1387" t="s">
        <v>601</v>
      </c>
      <c r="J1387">
        <v>0.27300000000000002</v>
      </c>
      <c r="K1387">
        <v>0.27910000000000001</v>
      </c>
      <c r="L1387">
        <v>0.28449999999999998</v>
      </c>
      <c r="M1387">
        <v>0.28999999999999998</v>
      </c>
      <c r="N1387">
        <v>0.29339999999999999</v>
      </c>
      <c r="O1387">
        <v>0.29620000000000002</v>
      </c>
      <c r="P1387">
        <v>0.29930000000000001</v>
      </c>
      <c r="Q1387">
        <v>0.30230000000000001</v>
      </c>
      <c r="R1387">
        <v>0.3054</v>
      </c>
      <c r="S1387">
        <v>0.30940000000000001</v>
      </c>
      <c r="T1387">
        <v>0.31319999999999998</v>
      </c>
      <c r="U1387">
        <v>0.3175</v>
      </c>
      <c r="V1387">
        <v>0.32240000000000002</v>
      </c>
      <c r="W1387">
        <v>0.32750000000000001</v>
      </c>
      <c r="X1387">
        <v>0.33179999999999998</v>
      </c>
      <c r="Y1387">
        <v>0.33800000000000002</v>
      </c>
    </row>
    <row r="1388" spans="1:25" hidden="1">
      <c r="A1388" t="s">
        <v>18807</v>
      </c>
      <c r="B1388" t="s">
        <v>2128</v>
      </c>
      <c r="C1388" t="s">
        <v>2116</v>
      </c>
      <c r="D1388" t="s">
        <v>648</v>
      </c>
      <c r="E1388" t="s">
        <v>656</v>
      </c>
      <c r="F1388" t="s">
        <v>598</v>
      </c>
      <c r="G1388" t="s">
        <v>599</v>
      </c>
      <c r="H1388" t="s">
        <v>600</v>
      </c>
      <c r="I1388" t="s">
        <v>601</v>
      </c>
      <c r="J1388">
        <v>0.93240000000000001</v>
      </c>
      <c r="K1388">
        <v>0.94589999999999996</v>
      </c>
      <c r="L1388">
        <v>0.95950000000000002</v>
      </c>
      <c r="M1388">
        <v>0.97450000000000003</v>
      </c>
      <c r="N1388">
        <v>0.97709999999999997</v>
      </c>
      <c r="O1388">
        <v>0.97540000000000004</v>
      </c>
      <c r="P1388">
        <v>0.97450000000000003</v>
      </c>
      <c r="Q1388">
        <v>0.97450000000000003</v>
      </c>
      <c r="R1388">
        <v>0.97599999999999998</v>
      </c>
      <c r="S1388">
        <v>0.97919999999999996</v>
      </c>
      <c r="T1388">
        <v>0.98429999999999995</v>
      </c>
      <c r="U1388">
        <v>0.99160000000000004</v>
      </c>
      <c r="V1388">
        <v>1.002</v>
      </c>
      <c r="W1388">
        <v>1.0128999999999999</v>
      </c>
      <c r="X1388">
        <v>1.0206999999999999</v>
      </c>
      <c r="Y1388">
        <v>1.0333000000000001</v>
      </c>
    </row>
    <row r="1389" spans="1:25" hidden="1">
      <c r="A1389" t="s">
        <v>18807</v>
      </c>
      <c r="B1389" t="s">
        <v>2129</v>
      </c>
      <c r="C1389" t="s">
        <v>2116</v>
      </c>
      <c r="D1389" t="s">
        <v>648</v>
      </c>
      <c r="E1389" t="s">
        <v>2119</v>
      </c>
      <c r="F1389" t="s">
        <v>598</v>
      </c>
      <c r="G1389" t="s">
        <v>599</v>
      </c>
      <c r="H1389" t="s">
        <v>600</v>
      </c>
      <c r="I1389" t="s">
        <v>601</v>
      </c>
      <c r="J1389">
        <v>3.7000000000000002E-3</v>
      </c>
      <c r="K1389">
        <v>3.8E-3</v>
      </c>
      <c r="L1389">
        <v>3.8E-3</v>
      </c>
      <c r="M1389">
        <v>3.8999999999999998E-3</v>
      </c>
      <c r="N1389">
        <v>3.8999999999999998E-3</v>
      </c>
      <c r="O1389">
        <v>3.8999999999999998E-3</v>
      </c>
      <c r="P1389">
        <v>3.8999999999999998E-3</v>
      </c>
      <c r="Q1389">
        <v>3.8999999999999998E-3</v>
      </c>
      <c r="R1389">
        <v>3.8999999999999998E-3</v>
      </c>
      <c r="S1389">
        <v>3.8999999999999998E-3</v>
      </c>
      <c r="T1389">
        <v>3.8999999999999998E-3</v>
      </c>
      <c r="U1389">
        <v>4.0000000000000001E-3</v>
      </c>
      <c r="V1389">
        <v>4.0000000000000001E-3</v>
      </c>
      <c r="W1389">
        <v>4.0000000000000001E-3</v>
      </c>
      <c r="X1389">
        <v>4.1000000000000003E-3</v>
      </c>
      <c r="Y1389">
        <v>4.1000000000000003E-3</v>
      </c>
    </row>
    <row r="1390" spans="1:25" hidden="1">
      <c r="A1390" t="s">
        <v>18807</v>
      </c>
      <c r="B1390" t="s">
        <v>2145</v>
      </c>
      <c r="C1390" t="s">
        <v>2144</v>
      </c>
      <c r="D1390" t="s">
        <v>1435</v>
      </c>
      <c r="E1390" t="s">
        <v>973</v>
      </c>
      <c r="F1390" t="s">
        <v>598</v>
      </c>
      <c r="G1390" t="s">
        <v>599</v>
      </c>
      <c r="H1390" t="s">
        <v>600</v>
      </c>
      <c r="I1390" t="s">
        <v>601</v>
      </c>
      <c r="J1390">
        <v>2.0999999999999999E-3</v>
      </c>
      <c r="K1390">
        <v>2E-3</v>
      </c>
      <c r="L1390">
        <v>2E-3</v>
      </c>
      <c r="M1390">
        <v>1.9E-3</v>
      </c>
      <c r="N1390">
        <v>1.9E-3</v>
      </c>
      <c r="O1390">
        <v>1.8E-3</v>
      </c>
      <c r="P1390">
        <v>1.8E-3</v>
      </c>
      <c r="Q1390">
        <v>1.8E-3</v>
      </c>
      <c r="R1390">
        <v>1.6999999999999999E-3</v>
      </c>
      <c r="S1390">
        <v>1.6999999999999999E-3</v>
      </c>
      <c r="T1390">
        <v>1.6999999999999999E-3</v>
      </c>
      <c r="U1390">
        <v>1.6000000000000001E-3</v>
      </c>
      <c r="V1390">
        <v>1.6000000000000001E-3</v>
      </c>
      <c r="W1390">
        <v>1.6000000000000001E-3</v>
      </c>
      <c r="X1390">
        <v>1.5E-3</v>
      </c>
      <c r="Y1390">
        <v>1.5E-3</v>
      </c>
    </row>
    <row r="1391" spans="1:25" hidden="1">
      <c r="A1391" t="s">
        <v>18807</v>
      </c>
      <c r="B1391" t="s">
        <v>2148</v>
      </c>
      <c r="C1391" t="s">
        <v>2144</v>
      </c>
      <c r="D1391" t="s">
        <v>2147</v>
      </c>
      <c r="E1391" t="s">
        <v>1393</v>
      </c>
      <c r="F1391" t="s">
        <v>598</v>
      </c>
      <c r="G1391" t="s">
        <v>599</v>
      </c>
      <c r="H1391" t="s">
        <v>600</v>
      </c>
      <c r="I1391" t="s">
        <v>601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hidden="1">
      <c r="A1392" t="s">
        <v>18807</v>
      </c>
      <c r="B1392" t="s">
        <v>2150</v>
      </c>
      <c r="C1392" t="s">
        <v>2144</v>
      </c>
      <c r="D1392" t="s">
        <v>648</v>
      </c>
      <c r="E1392" t="s">
        <v>1393</v>
      </c>
      <c r="F1392" t="s">
        <v>598</v>
      </c>
      <c r="G1392" t="s">
        <v>599</v>
      </c>
      <c r="H1392" t="s">
        <v>600</v>
      </c>
      <c r="I1392" t="s">
        <v>601</v>
      </c>
      <c r="J1392">
        <v>2.9999999999999997E-4</v>
      </c>
      <c r="K1392">
        <v>2.9999999999999997E-4</v>
      </c>
      <c r="L1392">
        <v>2.9999999999999997E-4</v>
      </c>
      <c r="M1392">
        <v>2.9999999999999997E-4</v>
      </c>
      <c r="N1392">
        <v>4.0000000000000002E-4</v>
      </c>
      <c r="O1392">
        <v>4.0000000000000002E-4</v>
      </c>
      <c r="P1392">
        <v>4.0000000000000002E-4</v>
      </c>
      <c r="Q1392">
        <v>4.0000000000000002E-4</v>
      </c>
      <c r="R1392">
        <v>4.0000000000000002E-4</v>
      </c>
      <c r="S1392">
        <v>4.0000000000000002E-4</v>
      </c>
      <c r="T1392">
        <v>4.0000000000000002E-4</v>
      </c>
      <c r="U1392">
        <v>4.0000000000000002E-4</v>
      </c>
      <c r="V1392">
        <v>4.0000000000000002E-4</v>
      </c>
      <c r="W1392">
        <v>4.0000000000000002E-4</v>
      </c>
      <c r="X1392">
        <v>4.0000000000000002E-4</v>
      </c>
      <c r="Y1392">
        <v>4.0000000000000002E-4</v>
      </c>
    </row>
    <row r="1393" spans="1:25" hidden="1">
      <c r="A1393" t="s">
        <v>18807</v>
      </c>
      <c r="B1393" t="s">
        <v>2161</v>
      </c>
      <c r="C1393" t="s">
        <v>2154</v>
      </c>
      <c r="D1393" t="s">
        <v>1324</v>
      </c>
      <c r="E1393" t="s">
        <v>1684</v>
      </c>
      <c r="F1393" t="s">
        <v>598</v>
      </c>
      <c r="G1393" t="s">
        <v>599</v>
      </c>
      <c r="H1393" t="s">
        <v>600</v>
      </c>
      <c r="I1393" t="s">
        <v>601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hidden="1">
      <c r="A1394" t="s">
        <v>18807</v>
      </c>
      <c r="B1394" t="s">
        <v>2172</v>
      </c>
      <c r="C1394" t="s">
        <v>2154</v>
      </c>
      <c r="D1394" t="s">
        <v>1435</v>
      </c>
      <c r="E1394" t="s">
        <v>973</v>
      </c>
      <c r="F1394" t="s">
        <v>598</v>
      </c>
      <c r="G1394" t="s">
        <v>599</v>
      </c>
      <c r="H1394" t="s">
        <v>600</v>
      </c>
      <c r="I1394" t="s">
        <v>601</v>
      </c>
      <c r="J1394">
        <v>9.2999999999999992E-3</v>
      </c>
      <c r="K1394">
        <v>1.03E-2</v>
      </c>
      <c r="L1394">
        <v>1.17E-2</v>
      </c>
      <c r="M1394">
        <v>1.34E-2</v>
      </c>
      <c r="N1394">
        <v>1.3899999999999999E-2</v>
      </c>
      <c r="O1394">
        <v>1.44E-2</v>
      </c>
      <c r="P1394">
        <v>1.4999999999999999E-2</v>
      </c>
      <c r="Q1394">
        <v>1.5299999999999999E-2</v>
      </c>
      <c r="R1394">
        <v>1.5900000000000001E-2</v>
      </c>
      <c r="S1394">
        <v>1.6400000000000001E-2</v>
      </c>
      <c r="T1394">
        <v>1.6799999999999999E-2</v>
      </c>
      <c r="U1394">
        <v>1.7399999999999999E-2</v>
      </c>
      <c r="V1394">
        <v>1.7899999999999999E-2</v>
      </c>
      <c r="W1394">
        <v>1.8499999999999999E-2</v>
      </c>
      <c r="X1394">
        <v>1.9E-2</v>
      </c>
      <c r="Y1394">
        <v>1.9599999999999999E-2</v>
      </c>
    </row>
    <row r="1395" spans="1:25" hidden="1">
      <c r="A1395" t="s">
        <v>18807</v>
      </c>
      <c r="B1395" t="s">
        <v>2173</v>
      </c>
      <c r="C1395" t="s">
        <v>2154</v>
      </c>
      <c r="D1395" t="s">
        <v>1354</v>
      </c>
      <c r="E1395" t="s">
        <v>973</v>
      </c>
      <c r="F1395" t="s">
        <v>598</v>
      </c>
      <c r="G1395" t="s">
        <v>599</v>
      </c>
      <c r="H1395" t="s">
        <v>600</v>
      </c>
      <c r="I1395" t="s">
        <v>601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</row>
    <row r="1396" spans="1:25" hidden="1">
      <c r="A1396" t="s">
        <v>18807</v>
      </c>
      <c r="B1396" t="s">
        <v>2182</v>
      </c>
      <c r="C1396" t="s">
        <v>2154</v>
      </c>
      <c r="D1396" t="s">
        <v>2183</v>
      </c>
      <c r="E1396" t="s">
        <v>649</v>
      </c>
      <c r="F1396" t="s">
        <v>598</v>
      </c>
      <c r="G1396" t="s">
        <v>599</v>
      </c>
      <c r="H1396" t="s">
        <v>600</v>
      </c>
      <c r="I1396" t="s">
        <v>601</v>
      </c>
      <c r="J1396">
        <v>5.7999999999999996E-3</v>
      </c>
      <c r="K1396">
        <v>6.4999999999999997E-3</v>
      </c>
      <c r="L1396">
        <v>7.4000000000000003E-3</v>
      </c>
      <c r="M1396">
        <v>8.3999999999999995E-3</v>
      </c>
      <c r="N1396">
        <v>8.8000000000000005E-3</v>
      </c>
      <c r="O1396">
        <v>9.1000000000000004E-3</v>
      </c>
      <c r="P1396">
        <v>9.4000000000000004E-3</v>
      </c>
      <c r="Q1396">
        <v>9.7000000000000003E-3</v>
      </c>
      <c r="R1396">
        <v>0.01</v>
      </c>
      <c r="S1396">
        <v>1.03E-2</v>
      </c>
      <c r="T1396">
        <v>1.06E-2</v>
      </c>
      <c r="U1396">
        <v>1.09E-2</v>
      </c>
      <c r="V1396">
        <v>1.1299999999999999E-2</v>
      </c>
      <c r="W1396">
        <v>1.1599999999999999E-2</v>
      </c>
      <c r="X1396">
        <v>1.2E-2</v>
      </c>
      <c r="Y1396">
        <v>1.23E-2</v>
      </c>
    </row>
    <row r="1397" spans="1:25" hidden="1">
      <c r="A1397" t="s">
        <v>18807</v>
      </c>
      <c r="B1397" t="s">
        <v>2184</v>
      </c>
      <c r="C1397" t="s">
        <v>2154</v>
      </c>
      <c r="D1397" t="s">
        <v>2185</v>
      </c>
      <c r="E1397" t="s">
        <v>2186</v>
      </c>
      <c r="F1397" t="s">
        <v>598</v>
      </c>
      <c r="G1397" t="s">
        <v>599</v>
      </c>
      <c r="H1397" t="s">
        <v>600</v>
      </c>
      <c r="I1397" t="s">
        <v>601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</row>
    <row r="1398" spans="1:25" hidden="1">
      <c r="A1398" t="s">
        <v>18807</v>
      </c>
      <c r="B1398" t="s">
        <v>2187</v>
      </c>
      <c r="C1398" t="s">
        <v>2154</v>
      </c>
      <c r="D1398" t="s">
        <v>648</v>
      </c>
      <c r="E1398" t="s">
        <v>920</v>
      </c>
      <c r="F1398" t="s">
        <v>598</v>
      </c>
      <c r="G1398" t="s">
        <v>599</v>
      </c>
      <c r="H1398" t="s">
        <v>600</v>
      </c>
      <c r="I1398" t="s">
        <v>601</v>
      </c>
      <c r="J1398">
        <v>4.6300000000000001E-2</v>
      </c>
      <c r="K1398">
        <v>5.2499999999999998E-2</v>
      </c>
      <c r="L1398">
        <v>5.9299999999999999E-2</v>
      </c>
      <c r="M1398">
        <v>6.7400000000000002E-2</v>
      </c>
      <c r="N1398">
        <v>7.0300000000000001E-2</v>
      </c>
      <c r="O1398">
        <v>7.2599999999999998E-2</v>
      </c>
      <c r="P1398">
        <v>7.4899999999999994E-2</v>
      </c>
      <c r="Q1398">
        <v>7.7299999999999994E-2</v>
      </c>
      <c r="R1398">
        <v>7.9899999999999999E-2</v>
      </c>
      <c r="S1398">
        <v>8.2400000000000001E-2</v>
      </c>
      <c r="T1398">
        <v>8.48E-2</v>
      </c>
      <c r="U1398">
        <v>8.77E-2</v>
      </c>
      <c r="V1398">
        <v>9.0499999999999997E-2</v>
      </c>
      <c r="W1398">
        <v>9.3399999999999997E-2</v>
      </c>
      <c r="X1398">
        <v>9.5899999999999999E-2</v>
      </c>
      <c r="Y1398">
        <v>9.8599999999999993E-2</v>
      </c>
    </row>
    <row r="1399" spans="1:25" hidden="1">
      <c r="A1399" t="s">
        <v>18807</v>
      </c>
      <c r="B1399" t="s">
        <v>2188</v>
      </c>
      <c r="C1399" t="s">
        <v>2154</v>
      </c>
      <c r="D1399" t="s">
        <v>648</v>
      </c>
      <c r="E1399" t="s">
        <v>973</v>
      </c>
      <c r="F1399" t="s">
        <v>598</v>
      </c>
      <c r="G1399" t="s">
        <v>599</v>
      </c>
      <c r="H1399" t="s">
        <v>600</v>
      </c>
      <c r="I1399" t="s">
        <v>601</v>
      </c>
      <c r="J1399">
        <v>6.9999999999999999E-4</v>
      </c>
      <c r="K1399">
        <v>6.9999999999999999E-4</v>
      </c>
      <c r="L1399">
        <v>8.0000000000000004E-4</v>
      </c>
      <c r="M1399">
        <v>8.9999999999999998E-4</v>
      </c>
      <c r="N1399">
        <v>1E-3</v>
      </c>
      <c r="O1399">
        <v>1E-3</v>
      </c>
      <c r="P1399">
        <v>1.1000000000000001E-3</v>
      </c>
      <c r="Q1399">
        <v>1.1000000000000001E-3</v>
      </c>
      <c r="R1399">
        <v>1.1000000000000001E-3</v>
      </c>
      <c r="S1399">
        <v>1.1999999999999999E-3</v>
      </c>
      <c r="T1399">
        <v>1.1999999999999999E-3</v>
      </c>
      <c r="U1399">
        <v>1.1999999999999999E-3</v>
      </c>
      <c r="V1399">
        <v>1.2999999999999999E-3</v>
      </c>
      <c r="W1399">
        <v>1.2999999999999999E-3</v>
      </c>
      <c r="X1399">
        <v>1.4E-3</v>
      </c>
      <c r="Y1399">
        <v>1.4E-3</v>
      </c>
    </row>
    <row r="1400" spans="1:25" hidden="1">
      <c r="A1400" t="s">
        <v>18807</v>
      </c>
      <c r="B1400" t="s">
        <v>2192</v>
      </c>
      <c r="C1400" t="s">
        <v>2154</v>
      </c>
      <c r="D1400" t="s">
        <v>648</v>
      </c>
      <c r="E1400" t="s">
        <v>2193</v>
      </c>
      <c r="F1400" t="s">
        <v>598</v>
      </c>
      <c r="G1400" t="s">
        <v>599</v>
      </c>
      <c r="H1400" t="s">
        <v>600</v>
      </c>
      <c r="I1400" t="s">
        <v>601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</row>
    <row r="1401" spans="1:25" hidden="1">
      <c r="A1401" t="s">
        <v>18807</v>
      </c>
      <c r="B1401" t="s">
        <v>2194</v>
      </c>
      <c r="C1401" t="s">
        <v>2154</v>
      </c>
      <c r="D1401" t="s">
        <v>648</v>
      </c>
      <c r="E1401" t="s">
        <v>2195</v>
      </c>
      <c r="F1401" t="s">
        <v>598</v>
      </c>
      <c r="G1401" t="s">
        <v>599</v>
      </c>
      <c r="H1401" t="s">
        <v>600</v>
      </c>
      <c r="I1401" t="s">
        <v>601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hidden="1">
      <c r="A1402" t="s">
        <v>18807</v>
      </c>
      <c r="B1402" t="s">
        <v>2197</v>
      </c>
      <c r="C1402" t="s">
        <v>2154</v>
      </c>
      <c r="D1402" t="s">
        <v>648</v>
      </c>
      <c r="E1402" t="s">
        <v>646</v>
      </c>
      <c r="F1402" t="s">
        <v>598</v>
      </c>
      <c r="G1402" t="s">
        <v>599</v>
      </c>
      <c r="H1402" t="s">
        <v>600</v>
      </c>
      <c r="I1402" t="s">
        <v>601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hidden="1">
      <c r="A1403" t="s">
        <v>18807</v>
      </c>
      <c r="B1403" t="s">
        <v>2205</v>
      </c>
      <c r="C1403" t="s">
        <v>2154</v>
      </c>
      <c r="D1403" t="s">
        <v>648</v>
      </c>
      <c r="E1403" t="s">
        <v>1936</v>
      </c>
      <c r="F1403" t="s">
        <v>598</v>
      </c>
      <c r="G1403" t="s">
        <v>599</v>
      </c>
      <c r="H1403" t="s">
        <v>600</v>
      </c>
      <c r="I1403" t="s">
        <v>601</v>
      </c>
      <c r="J1403">
        <v>2.9999999999999997E-4</v>
      </c>
      <c r="K1403">
        <v>2.9999999999999997E-4</v>
      </c>
      <c r="L1403">
        <v>2.9999999999999997E-4</v>
      </c>
      <c r="M1403">
        <v>4.0000000000000002E-4</v>
      </c>
      <c r="N1403">
        <v>4.0000000000000002E-4</v>
      </c>
      <c r="O1403">
        <v>4.0000000000000002E-4</v>
      </c>
      <c r="P1403">
        <v>4.0000000000000002E-4</v>
      </c>
      <c r="Q1403">
        <v>4.0000000000000002E-4</v>
      </c>
      <c r="R1403">
        <v>4.0000000000000002E-4</v>
      </c>
      <c r="S1403">
        <v>5.0000000000000001E-4</v>
      </c>
      <c r="T1403">
        <v>5.0000000000000001E-4</v>
      </c>
      <c r="U1403">
        <v>5.0000000000000001E-4</v>
      </c>
      <c r="V1403">
        <v>5.0000000000000001E-4</v>
      </c>
      <c r="W1403">
        <v>5.0000000000000001E-4</v>
      </c>
      <c r="X1403">
        <v>5.0000000000000001E-4</v>
      </c>
      <c r="Y1403">
        <v>5.9999999999999995E-4</v>
      </c>
    </row>
    <row r="1404" spans="1:25" hidden="1">
      <c r="A1404" t="s">
        <v>18807</v>
      </c>
      <c r="B1404" t="s">
        <v>2209</v>
      </c>
      <c r="C1404" t="s">
        <v>2154</v>
      </c>
      <c r="D1404" t="s">
        <v>648</v>
      </c>
      <c r="E1404" t="s">
        <v>1004</v>
      </c>
      <c r="F1404" t="s">
        <v>598</v>
      </c>
      <c r="G1404" t="s">
        <v>599</v>
      </c>
      <c r="H1404" t="s">
        <v>600</v>
      </c>
      <c r="I1404" t="s">
        <v>601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>
      <c r="J1405">
        <f>SUBTOTAL(109,Table112[2015])</f>
        <v>0.67049999999999998</v>
      </c>
      <c r="K1405">
        <f>SUBTOTAL(109,Table112[2016])</f>
        <v>0.69200000000000006</v>
      </c>
      <c r="L1405">
        <f>SUBTOTAL(109,Table112[2017])</f>
        <v>0.70130000000000003</v>
      </c>
      <c r="M1405">
        <f>SUBTOTAL(109,Table112[2018])</f>
        <v>0.71</v>
      </c>
      <c r="N1405">
        <f>SUBTOTAL(109,Table112[2019])</f>
        <v>0.71550000000000002</v>
      </c>
      <c r="O1405">
        <f>SUBTOTAL(109,Table112[2020])</f>
        <v>0.71860000000000002</v>
      </c>
      <c r="P1405">
        <f>SUBTOTAL(109,Table112[2021])</f>
        <v>0.72219999999999995</v>
      </c>
      <c r="Q1405">
        <f>SUBTOTAL(109,Table112[2022])</f>
        <v>0.73080000000000001</v>
      </c>
      <c r="R1405">
        <f>SUBTOTAL(109,Table112[2023])</f>
        <v>0.73670000000000002</v>
      </c>
      <c r="S1405">
        <f>SUBTOTAL(109,Table112[2024])</f>
        <v>0.75049999999999994</v>
      </c>
      <c r="T1405">
        <f>SUBTOTAL(109,Table112[2025])</f>
        <v>0.76630000000000009</v>
      </c>
      <c r="U1405">
        <f>SUBTOTAL(109,Table112[2026])</f>
        <v>0.77760000000000007</v>
      </c>
      <c r="V1405">
        <f>SUBTOTAL(109,Table112[2027])</f>
        <v>0.78310000000000013</v>
      </c>
      <c r="W1405">
        <f>SUBTOTAL(109,Table112[2028])</f>
        <v>0.79510000000000003</v>
      </c>
      <c r="X1405">
        <f>SUBTOTAL(109,Table112[2029])</f>
        <v>0.80770000000000008</v>
      </c>
      <c r="Y1405">
        <f>SUBTOTAL(109,Table112[2030])</f>
        <v>0.81599999999999995</v>
      </c>
    </row>
    <row r="1407" spans="1:25">
      <c r="A1407" t="s">
        <v>569</v>
      </c>
      <c r="B1407" t="s">
        <v>570</v>
      </c>
      <c r="C1407" t="s">
        <v>571</v>
      </c>
      <c r="D1407" t="s">
        <v>572</v>
      </c>
      <c r="E1407" t="s">
        <v>573</v>
      </c>
      <c r="F1407" t="s">
        <v>574</v>
      </c>
      <c r="G1407" t="s">
        <v>575</v>
      </c>
      <c r="H1407" t="s">
        <v>576</v>
      </c>
      <c r="I1407" t="s">
        <v>577</v>
      </c>
      <c r="J1407" t="s">
        <v>578</v>
      </c>
      <c r="K1407" t="s">
        <v>579</v>
      </c>
      <c r="L1407" t="s">
        <v>580</v>
      </c>
      <c r="M1407" t="s">
        <v>581</v>
      </c>
      <c r="N1407" t="s">
        <v>582</v>
      </c>
      <c r="O1407" t="s">
        <v>583</v>
      </c>
      <c r="P1407" t="s">
        <v>584</v>
      </c>
      <c r="Q1407" t="s">
        <v>585</v>
      </c>
      <c r="R1407" t="s">
        <v>586</v>
      </c>
      <c r="S1407" t="s">
        <v>587</v>
      </c>
      <c r="T1407" t="s">
        <v>588</v>
      </c>
      <c r="U1407" t="s">
        <v>589</v>
      </c>
      <c r="V1407" t="s">
        <v>590</v>
      </c>
      <c r="W1407" t="s">
        <v>591</v>
      </c>
      <c r="X1407" t="s">
        <v>592</v>
      </c>
      <c r="Y1407" t="s">
        <v>593</v>
      </c>
    </row>
    <row r="1408" spans="1:25">
      <c r="A1408" t="s">
        <v>18808</v>
      </c>
      <c r="B1408" t="s">
        <v>594</v>
      </c>
      <c r="C1408" t="s">
        <v>595</v>
      </c>
      <c r="D1408" t="s">
        <v>596</v>
      </c>
      <c r="E1408" t="s">
        <v>597</v>
      </c>
      <c r="F1408" t="s">
        <v>598</v>
      </c>
      <c r="G1408" t="s">
        <v>599</v>
      </c>
      <c r="H1408" t="s">
        <v>600</v>
      </c>
      <c r="I1408" t="s">
        <v>601</v>
      </c>
      <c r="J1408">
        <v>1.8499999999999999E-2</v>
      </c>
      <c r="K1408">
        <v>1.84E-2</v>
      </c>
      <c r="L1408">
        <v>1.7899999999999999E-2</v>
      </c>
      <c r="M1408">
        <v>1.8100000000000002E-2</v>
      </c>
      <c r="N1408">
        <v>1.7999999999999999E-2</v>
      </c>
      <c r="O1408">
        <v>1.7999999999999999E-2</v>
      </c>
      <c r="P1408">
        <v>1.8700000000000001E-2</v>
      </c>
      <c r="Q1408">
        <v>1.9199999999999998E-2</v>
      </c>
      <c r="R1408">
        <v>1.95E-2</v>
      </c>
      <c r="S1408">
        <v>1.9699999999999999E-2</v>
      </c>
      <c r="T1408">
        <v>1.9900000000000001E-2</v>
      </c>
      <c r="U1408">
        <v>1.9900000000000001E-2</v>
      </c>
      <c r="V1408">
        <v>1.9900000000000001E-2</v>
      </c>
      <c r="W1408">
        <v>1.9900000000000001E-2</v>
      </c>
      <c r="X1408">
        <v>1.9900000000000001E-2</v>
      </c>
      <c r="Y1408">
        <v>1.9900000000000001E-2</v>
      </c>
    </row>
    <row r="1409" spans="1:25">
      <c r="A1409" t="s">
        <v>18808</v>
      </c>
      <c r="B1409" t="s">
        <v>612</v>
      </c>
      <c r="C1409" t="s">
        <v>595</v>
      </c>
      <c r="D1409" t="s">
        <v>596</v>
      </c>
      <c r="E1409" t="s">
        <v>613</v>
      </c>
      <c r="F1409" t="s">
        <v>598</v>
      </c>
      <c r="G1409" t="s">
        <v>599</v>
      </c>
      <c r="H1409" t="s">
        <v>600</v>
      </c>
      <c r="I1409" t="s">
        <v>601</v>
      </c>
      <c r="J1409">
        <v>2.52E-2</v>
      </c>
      <c r="K1409">
        <v>2.5000000000000001E-2</v>
      </c>
      <c r="L1409">
        <v>2.4400000000000002E-2</v>
      </c>
      <c r="M1409">
        <v>2.4500000000000001E-2</v>
      </c>
      <c r="N1409">
        <v>2.4500000000000001E-2</v>
      </c>
      <c r="O1409">
        <v>2.4400000000000002E-2</v>
      </c>
      <c r="P1409">
        <v>2.5399999999999999E-2</v>
      </c>
      <c r="Q1409">
        <v>2.6100000000000002E-2</v>
      </c>
      <c r="R1409">
        <v>2.6499999999999999E-2</v>
      </c>
      <c r="S1409">
        <v>2.6800000000000001E-2</v>
      </c>
      <c r="T1409">
        <v>2.7E-2</v>
      </c>
      <c r="U1409">
        <v>2.7E-2</v>
      </c>
      <c r="V1409">
        <v>2.7E-2</v>
      </c>
      <c r="W1409">
        <v>2.7E-2</v>
      </c>
      <c r="X1409">
        <v>2.7E-2</v>
      </c>
      <c r="Y1409">
        <v>2.7E-2</v>
      </c>
    </row>
    <row r="1410" spans="1:25">
      <c r="A1410" t="s">
        <v>18808</v>
      </c>
      <c r="B1410" t="s">
        <v>631</v>
      </c>
      <c r="C1410" t="s">
        <v>595</v>
      </c>
      <c r="D1410" t="s">
        <v>632</v>
      </c>
      <c r="E1410" t="s">
        <v>597</v>
      </c>
      <c r="F1410" t="s">
        <v>598</v>
      </c>
      <c r="G1410" t="s">
        <v>599</v>
      </c>
      <c r="H1410" t="s">
        <v>600</v>
      </c>
      <c r="I1410" t="s">
        <v>601</v>
      </c>
      <c r="J1410">
        <v>3.7699999999999997E-2</v>
      </c>
      <c r="K1410">
        <v>3.7499999999999999E-2</v>
      </c>
      <c r="L1410">
        <v>3.6400000000000002E-2</v>
      </c>
      <c r="M1410">
        <v>3.6799999999999999E-2</v>
      </c>
      <c r="N1410">
        <v>3.6600000000000001E-2</v>
      </c>
      <c r="O1410">
        <v>3.6499999999999998E-2</v>
      </c>
      <c r="P1410">
        <v>3.7900000000000003E-2</v>
      </c>
      <c r="Q1410">
        <v>3.9E-2</v>
      </c>
      <c r="R1410">
        <v>3.9699999999999999E-2</v>
      </c>
      <c r="S1410">
        <v>4.0099999999999997E-2</v>
      </c>
      <c r="T1410">
        <v>4.0500000000000001E-2</v>
      </c>
      <c r="U1410">
        <v>4.0500000000000001E-2</v>
      </c>
      <c r="V1410">
        <v>4.0500000000000001E-2</v>
      </c>
      <c r="W1410">
        <v>4.0500000000000001E-2</v>
      </c>
      <c r="X1410">
        <v>4.0500000000000001E-2</v>
      </c>
      <c r="Y1410">
        <v>4.0500000000000001E-2</v>
      </c>
    </row>
    <row r="1411" spans="1:25">
      <c r="A1411" t="s">
        <v>18808</v>
      </c>
      <c r="B1411" t="s">
        <v>636</v>
      </c>
      <c r="C1411" t="s">
        <v>595</v>
      </c>
      <c r="D1411" t="s">
        <v>632</v>
      </c>
      <c r="E1411" t="s">
        <v>628</v>
      </c>
      <c r="F1411" t="s">
        <v>598</v>
      </c>
      <c r="G1411" t="s">
        <v>599</v>
      </c>
      <c r="H1411" t="s">
        <v>600</v>
      </c>
      <c r="I1411" t="s">
        <v>601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</row>
    <row r="1412" spans="1:25">
      <c r="A1412" t="s">
        <v>18808</v>
      </c>
      <c r="B1412" t="s">
        <v>647</v>
      </c>
      <c r="C1412" t="s">
        <v>595</v>
      </c>
      <c r="D1412" t="s">
        <v>648</v>
      </c>
      <c r="E1412" t="s">
        <v>649</v>
      </c>
      <c r="F1412" t="s">
        <v>598</v>
      </c>
      <c r="G1412" t="s">
        <v>599</v>
      </c>
      <c r="H1412" t="s">
        <v>600</v>
      </c>
      <c r="I1412" t="s">
        <v>601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25" hidden="1">
      <c r="A1413" t="s">
        <v>18808</v>
      </c>
      <c r="B1413" t="s">
        <v>650</v>
      </c>
      <c r="C1413" t="s">
        <v>651</v>
      </c>
      <c r="D1413" t="s">
        <v>596</v>
      </c>
      <c r="E1413" t="s">
        <v>597</v>
      </c>
      <c r="F1413" t="s">
        <v>598</v>
      </c>
      <c r="G1413" t="s">
        <v>599</v>
      </c>
      <c r="H1413" t="s">
        <v>600</v>
      </c>
      <c r="I1413" t="s">
        <v>601</v>
      </c>
      <c r="J1413">
        <v>1.6999999999999999E-3</v>
      </c>
      <c r="K1413">
        <v>1.8E-3</v>
      </c>
      <c r="L1413">
        <v>1.8E-3</v>
      </c>
      <c r="M1413">
        <v>1.8E-3</v>
      </c>
      <c r="N1413">
        <v>1.9E-3</v>
      </c>
      <c r="O1413">
        <v>1.9E-3</v>
      </c>
      <c r="P1413">
        <v>1.9E-3</v>
      </c>
      <c r="Q1413">
        <v>2E-3</v>
      </c>
      <c r="R1413">
        <v>2E-3</v>
      </c>
      <c r="S1413">
        <v>2E-3</v>
      </c>
      <c r="T1413">
        <v>2E-3</v>
      </c>
      <c r="U1413">
        <v>2.0999999999999999E-3</v>
      </c>
      <c r="V1413">
        <v>2.0999999999999999E-3</v>
      </c>
      <c r="W1413">
        <v>2.0999999999999999E-3</v>
      </c>
      <c r="X1413">
        <v>2.2000000000000001E-3</v>
      </c>
      <c r="Y1413">
        <v>2.2000000000000001E-3</v>
      </c>
    </row>
    <row r="1414" spans="1:25" hidden="1">
      <c r="A1414" t="s">
        <v>18808</v>
      </c>
      <c r="B1414" t="s">
        <v>745</v>
      </c>
      <c r="C1414" t="s">
        <v>729</v>
      </c>
      <c r="D1414" t="s">
        <v>671</v>
      </c>
      <c r="E1414" t="s">
        <v>597</v>
      </c>
      <c r="F1414" t="s">
        <v>598</v>
      </c>
      <c r="G1414" t="s">
        <v>599</v>
      </c>
      <c r="H1414" t="s">
        <v>600</v>
      </c>
      <c r="I1414" t="s">
        <v>601</v>
      </c>
      <c r="J1414">
        <v>6.9999999999999999E-4</v>
      </c>
      <c r="K1414">
        <v>6.9999999999999999E-4</v>
      </c>
      <c r="L1414">
        <v>8.0000000000000004E-4</v>
      </c>
      <c r="M1414">
        <v>8.0000000000000004E-4</v>
      </c>
      <c r="N1414">
        <v>8.9999999999999998E-4</v>
      </c>
      <c r="O1414">
        <v>8.9999999999999998E-4</v>
      </c>
      <c r="P1414">
        <v>8.9999999999999998E-4</v>
      </c>
      <c r="Q1414">
        <v>1E-3</v>
      </c>
      <c r="R1414">
        <v>1E-3</v>
      </c>
      <c r="S1414">
        <v>1E-3</v>
      </c>
      <c r="T1414">
        <v>1E-3</v>
      </c>
      <c r="U1414">
        <v>1E-3</v>
      </c>
      <c r="V1414">
        <v>1.1000000000000001E-3</v>
      </c>
      <c r="W1414">
        <v>1.1000000000000001E-3</v>
      </c>
      <c r="X1414">
        <v>1.1000000000000001E-3</v>
      </c>
      <c r="Y1414">
        <v>1.1000000000000001E-3</v>
      </c>
    </row>
    <row r="1415" spans="1:25" hidden="1">
      <c r="A1415" t="s">
        <v>18808</v>
      </c>
      <c r="B1415" t="s">
        <v>760</v>
      </c>
      <c r="C1415" t="s">
        <v>729</v>
      </c>
      <c r="D1415" t="s">
        <v>621</v>
      </c>
      <c r="E1415" t="s">
        <v>649</v>
      </c>
      <c r="F1415" t="s">
        <v>598</v>
      </c>
      <c r="G1415" t="s">
        <v>599</v>
      </c>
      <c r="H1415" t="s">
        <v>600</v>
      </c>
      <c r="I1415" t="s">
        <v>601</v>
      </c>
      <c r="J1415">
        <v>1E-4</v>
      </c>
      <c r="K1415">
        <v>2.0000000000000001E-4</v>
      </c>
      <c r="L1415">
        <v>2.0000000000000001E-4</v>
      </c>
      <c r="M1415">
        <v>2.0000000000000001E-4</v>
      </c>
      <c r="N1415">
        <v>2.0000000000000001E-4</v>
      </c>
      <c r="O1415">
        <v>2.0000000000000001E-4</v>
      </c>
      <c r="P1415">
        <v>2.0000000000000001E-4</v>
      </c>
      <c r="Q1415">
        <v>2.0000000000000001E-4</v>
      </c>
      <c r="R1415">
        <v>2.0000000000000001E-4</v>
      </c>
      <c r="S1415">
        <v>2.0000000000000001E-4</v>
      </c>
      <c r="T1415">
        <v>2.0000000000000001E-4</v>
      </c>
      <c r="U1415">
        <v>2.9999999999999997E-4</v>
      </c>
      <c r="V1415">
        <v>2.9999999999999997E-4</v>
      </c>
      <c r="W1415">
        <v>2.9999999999999997E-4</v>
      </c>
      <c r="X1415">
        <v>2.9999999999999997E-4</v>
      </c>
      <c r="Y1415">
        <v>2.9999999999999997E-4</v>
      </c>
    </row>
    <row r="1416" spans="1:25" hidden="1">
      <c r="A1416" t="s">
        <v>18808</v>
      </c>
      <c r="B1416" t="s">
        <v>761</v>
      </c>
      <c r="C1416" t="s">
        <v>729</v>
      </c>
      <c r="D1416" t="s">
        <v>621</v>
      </c>
      <c r="E1416" t="s">
        <v>597</v>
      </c>
      <c r="F1416" t="s">
        <v>598</v>
      </c>
      <c r="G1416" t="s">
        <v>599</v>
      </c>
      <c r="H1416" t="s">
        <v>600</v>
      </c>
      <c r="I1416" t="s">
        <v>601</v>
      </c>
      <c r="J1416">
        <v>2.9999999999999997E-4</v>
      </c>
      <c r="K1416">
        <v>2.9999999999999997E-4</v>
      </c>
      <c r="L1416">
        <v>2.9999999999999997E-4</v>
      </c>
      <c r="M1416">
        <v>2.9999999999999997E-4</v>
      </c>
      <c r="N1416">
        <v>2.9999999999999997E-4</v>
      </c>
      <c r="O1416">
        <v>2.9999999999999997E-4</v>
      </c>
      <c r="P1416">
        <v>2.9999999999999997E-4</v>
      </c>
      <c r="Q1416">
        <v>2.9999999999999997E-4</v>
      </c>
      <c r="R1416">
        <v>2.9999999999999997E-4</v>
      </c>
      <c r="S1416">
        <v>2.9999999999999997E-4</v>
      </c>
      <c r="T1416">
        <v>2.9999999999999997E-4</v>
      </c>
      <c r="U1416">
        <v>2.9999999999999997E-4</v>
      </c>
      <c r="V1416">
        <v>2.9999999999999997E-4</v>
      </c>
      <c r="W1416">
        <v>2.9999999999999997E-4</v>
      </c>
      <c r="X1416">
        <v>2.9999999999999997E-4</v>
      </c>
      <c r="Y1416">
        <v>2.9999999999999997E-4</v>
      </c>
    </row>
    <row r="1417" spans="1:25" hidden="1">
      <c r="A1417" t="s">
        <v>18808</v>
      </c>
      <c r="B1417" t="s">
        <v>770</v>
      </c>
      <c r="C1417" t="s">
        <v>729</v>
      </c>
      <c r="D1417" t="s">
        <v>621</v>
      </c>
      <c r="E1417" t="s">
        <v>628</v>
      </c>
      <c r="F1417" t="s">
        <v>598</v>
      </c>
      <c r="G1417" t="s">
        <v>599</v>
      </c>
      <c r="H1417" t="s">
        <v>600</v>
      </c>
      <c r="I1417" t="s">
        <v>601</v>
      </c>
      <c r="J1417">
        <v>8.5000000000000006E-3</v>
      </c>
      <c r="K1417">
        <v>8.6E-3</v>
      </c>
      <c r="L1417">
        <v>8.6999999999999994E-3</v>
      </c>
      <c r="M1417">
        <v>8.6999999999999994E-3</v>
      </c>
      <c r="N1417">
        <v>8.6999999999999994E-3</v>
      </c>
      <c r="O1417">
        <v>8.6999999999999994E-3</v>
      </c>
      <c r="P1417">
        <v>8.6999999999999994E-3</v>
      </c>
      <c r="Q1417">
        <v>8.6999999999999994E-3</v>
      </c>
      <c r="R1417">
        <v>8.8000000000000005E-3</v>
      </c>
      <c r="S1417">
        <v>8.9999999999999993E-3</v>
      </c>
      <c r="T1417">
        <v>9.1000000000000004E-3</v>
      </c>
      <c r="U1417">
        <v>9.1999999999999998E-3</v>
      </c>
      <c r="V1417">
        <v>9.4000000000000004E-3</v>
      </c>
      <c r="W1417">
        <v>9.4999999999999998E-3</v>
      </c>
      <c r="X1417">
        <v>9.5999999999999992E-3</v>
      </c>
      <c r="Y1417">
        <v>9.7999999999999997E-3</v>
      </c>
    </row>
    <row r="1418" spans="1:25" hidden="1">
      <c r="A1418" t="s">
        <v>18808</v>
      </c>
      <c r="B1418" t="s">
        <v>771</v>
      </c>
      <c r="C1418" t="s">
        <v>729</v>
      </c>
      <c r="D1418" s="70" t="s">
        <v>621</v>
      </c>
      <c r="E1418" t="s">
        <v>692</v>
      </c>
      <c r="F1418" t="s">
        <v>598</v>
      </c>
      <c r="G1418" t="s">
        <v>599</v>
      </c>
      <c r="H1418" t="s">
        <v>600</v>
      </c>
      <c r="I1418" t="s">
        <v>601</v>
      </c>
      <c r="J1418">
        <v>2.3E-3</v>
      </c>
      <c r="K1418">
        <v>2.3E-3</v>
      </c>
      <c r="L1418">
        <v>2.3E-3</v>
      </c>
      <c r="M1418">
        <v>2.3E-3</v>
      </c>
      <c r="N1418">
        <v>2.3E-3</v>
      </c>
      <c r="O1418">
        <v>2.3E-3</v>
      </c>
      <c r="P1418">
        <v>2.3E-3</v>
      </c>
      <c r="Q1418">
        <v>2.3E-3</v>
      </c>
      <c r="R1418">
        <v>2.3999999999999998E-3</v>
      </c>
      <c r="S1418">
        <v>2.3999999999999998E-3</v>
      </c>
      <c r="T1418">
        <v>2.3999999999999998E-3</v>
      </c>
      <c r="U1418">
        <v>2.5000000000000001E-3</v>
      </c>
      <c r="V1418">
        <v>2.5000000000000001E-3</v>
      </c>
      <c r="W1418">
        <v>2.5999999999999999E-3</v>
      </c>
      <c r="X1418">
        <v>2.5999999999999999E-3</v>
      </c>
      <c r="Y1418">
        <v>2.5999999999999999E-3</v>
      </c>
    </row>
    <row r="1419" spans="1:25" hidden="1">
      <c r="A1419" t="s">
        <v>18808</v>
      </c>
      <c r="B1419" t="s">
        <v>785</v>
      </c>
      <c r="C1419" t="s">
        <v>729</v>
      </c>
      <c r="D1419" t="s">
        <v>640</v>
      </c>
      <c r="E1419" t="s">
        <v>597</v>
      </c>
      <c r="F1419" t="s">
        <v>598</v>
      </c>
      <c r="G1419" t="s">
        <v>599</v>
      </c>
      <c r="H1419" t="s">
        <v>600</v>
      </c>
      <c r="I1419" t="s">
        <v>601</v>
      </c>
      <c r="J1419">
        <v>3.5000000000000001E-3</v>
      </c>
      <c r="K1419">
        <v>3.7000000000000002E-3</v>
      </c>
      <c r="L1419">
        <v>3.8E-3</v>
      </c>
      <c r="M1419">
        <v>3.8999999999999998E-3</v>
      </c>
      <c r="N1419">
        <v>4.1000000000000003E-3</v>
      </c>
      <c r="O1419">
        <v>4.1999999999999997E-3</v>
      </c>
      <c r="P1419">
        <v>4.4000000000000003E-3</v>
      </c>
      <c r="Q1419">
        <v>4.4999999999999997E-3</v>
      </c>
      <c r="R1419">
        <v>4.7000000000000002E-3</v>
      </c>
      <c r="S1419">
        <v>4.7999999999999996E-3</v>
      </c>
      <c r="T1419">
        <v>5.0000000000000001E-3</v>
      </c>
      <c r="U1419">
        <v>5.1000000000000004E-3</v>
      </c>
      <c r="V1419">
        <v>5.1999999999999998E-3</v>
      </c>
      <c r="W1419">
        <v>5.4000000000000003E-3</v>
      </c>
      <c r="X1419">
        <v>5.5999999999999999E-3</v>
      </c>
      <c r="Y1419">
        <v>5.7000000000000002E-3</v>
      </c>
    </row>
    <row r="1420" spans="1:25" hidden="1">
      <c r="A1420" t="s">
        <v>18808</v>
      </c>
      <c r="B1420" t="s">
        <v>788</v>
      </c>
      <c r="C1420" t="s">
        <v>729</v>
      </c>
      <c r="D1420" t="s">
        <v>640</v>
      </c>
      <c r="E1420" t="s">
        <v>611</v>
      </c>
      <c r="F1420" t="s">
        <v>598</v>
      </c>
      <c r="G1420" t="s">
        <v>599</v>
      </c>
      <c r="H1420" t="s">
        <v>600</v>
      </c>
      <c r="I1420" t="s">
        <v>601</v>
      </c>
      <c r="J1420">
        <v>8.0000000000000004E-4</v>
      </c>
      <c r="K1420">
        <v>8.9999999999999998E-4</v>
      </c>
      <c r="L1420">
        <v>8.9999999999999998E-4</v>
      </c>
      <c r="M1420">
        <v>8.9999999999999998E-4</v>
      </c>
      <c r="N1420">
        <v>8.9999999999999998E-4</v>
      </c>
      <c r="O1420">
        <v>8.9999999999999998E-4</v>
      </c>
      <c r="P1420">
        <v>8.9999999999999998E-4</v>
      </c>
      <c r="Q1420">
        <v>8.9999999999999998E-4</v>
      </c>
      <c r="R1420">
        <v>1E-3</v>
      </c>
      <c r="S1420">
        <v>1E-3</v>
      </c>
      <c r="T1420">
        <v>1E-3</v>
      </c>
      <c r="U1420">
        <v>1E-3</v>
      </c>
      <c r="V1420">
        <v>1E-3</v>
      </c>
      <c r="W1420">
        <v>1E-3</v>
      </c>
      <c r="X1420">
        <v>1E-3</v>
      </c>
      <c r="Y1420">
        <v>1.1000000000000001E-3</v>
      </c>
    </row>
    <row r="1421" spans="1:25" hidden="1">
      <c r="A1421" t="s">
        <v>18808</v>
      </c>
      <c r="B1421" t="s">
        <v>795</v>
      </c>
      <c r="C1421" t="s">
        <v>729</v>
      </c>
      <c r="D1421" t="s">
        <v>648</v>
      </c>
      <c r="E1421" t="s">
        <v>597</v>
      </c>
      <c r="F1421" t="s">
        <v>598</v>
      </c>
      <c r="G1421" t="s">
        <v>599</v>
      </c>
      <c r="H1421" t="s">
        <v>600</v>
      </c>
      <c r="I1421" t="s">
        <v>601</v>
      </c>
      <c r="J1421">
        <v>1.23E-2</v>
      </c>
      <c r="K1421">
        <v>1.23E-2</v>
      </c>
      <c r="L1421">
        <v>1.2200000000000001E-2</v>
      </c>
      <c r="M1421">
        <v>1.2200000000000001E-2</v>
      </c>
      <c r="N1421">
        <v>1.21E-2</v>
      </c>
      <c r="O1421">
        <v>1.3299999999999999E-2</v>
      </c>
      <c r="P1421">
        <v>1.3100000000000001E-2</v>
      </c>
      <c r="Q1421">
        <v>1.2999999999999999E-2</v>
      </c>
      <c r="R1421">
        <v>1.2699999999999999E-2</v>
      </c>
      <c r="S1421">
        <v>1.26E-2</v>
      </c>
      <c r="T1421">
        <v>1.2500000000000001E-2</v>
      </c>
      <c r="U1421">
        <v>1.24E-2</v>
      </c>
      <c r="V1421">
        <v>1.23E-2</v>
      </c>
      <c r="W1421">
        <v>1.2200000000000001E-2</v>
      </c>
      <c r="X1421">
        <v>1.21E-2</v>
      </c>
      <c r="Y1421">
        <v>1.21E-2</v>
      </c>
    </row>
    <row r="1422" spans="1:25" hidden="1">
      <c r="A1422" t="s">
        <v>18808</v>
      </c>
      <c r="B1422" t="s">
        <v>796</v>
      </c>
      <c r="C1422" t="s">
        <v>729</v>
      </c>
      <c r="D1422" t="s">
        <v>648</v>
      </c>
      <c r="E1422" t="s">
        <v>642</v>
      </c>
      <c r="F1422" t="s">
        <v>598</v>
      </c>
      <c r="G1422" t="s">
        <v>599</v>
      </c>
      <c r="H1422" t="s">
        <v>600</v>
      </c>
      <c r="I1422" t="s">
        <v>601</v>
      </c>
      <c r="J1422">
        <v>7.1999999999999998E-3</v>
      </c>
      <c r="K1422">
        <v>7.7000000000000002E-3</v>
      </c>
      <c r="L1422">
        <v>8.3000000000000001E-3</v>
      </c>
      <c r="M1422">
        <v>9.1000000000000004E-3</v>
      </c>
      <c r="N1422">
        <v>9.5999999999999992E-3</v>
      </c>
      <c r="O1422">
        <v>1.03E-2</v>
      </c>
      <c r="P1422">
        <v>1.0800000000000001E-2</v>
      </c>
      <c r="Q1422">
        <v>1.14E-2</v>
      </c>
      <c r="R1422">
        <v>1.1599999999999999E-2</v>
      </c>
      <c r="S1422">
        <v>1.2E-2</v>
      </c>
      <c r="T1422">
        <v>1.24E-2</v>
      </c>
      <c r="U1422">
        <v>1.2699999999999999E-2</v>
      </c>
      <c r="V1422">
        <v>1.3100000000000001E-2</v>
      </c>
      <c r="W1422">
        <v>1.35E-2</v>
      </c>
      <c r="X1422">
        <v>1.38E-2</v>
      </c>
      <c r="Y1422">
        <v>1.4200000000000001E-2</v>
      </c>
    </row>
    <row r="1423" spans="1:25" hidden="1">
      <c r="A1423" t="s">
        <v>18808</v>
      </c>
      <c r="B1423" t="s">
        <v>801</v>
      </c>
      <c r="C1423" t="s">
        <v>729</v>
      </c>
      <c r="D1423" t="s">
        <v>648</v>
      </c>
      <c r="E1423" t="s">
        <v>619</v>
      </c>
      <c r="F1423" t="s">
        <v>598</v>
      </c>
      <c r="G1423" t="s">
        <v>599</v>
      </c>
      <c r="H1423" t="s">
        <v>600</v>
      </c>
      <c r="I1423" t="s">
        <v>601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</row>
    <row r="1424" spans="1:25" hidden="1">
      <c r="A1424" t="s">
        <v>18808</v>
      </c>
      <c r="B1424" t="s">
        <v>803</v>
      </c>
      <c r="C1424" t="s">
        <v>804</v>
      </c>
      <c r="D1424" t="s">
        <v>596</v>
      </c>
      <c r="E1424" t="s">
        <v>597</v>
      </c>
      <c r="F1424" t="s">
        <v>598</v>
      </c>
      <c r="G1424" t="s">
        <v>599</v>
      </c>
      <c r="H1424" t="s">
        <v>600</v>
      </c>
      <c r="I1424" t="s">
        <v>601</v>
      </c>
      <c r="J1424">
        <v>1.5E-3</v>
      </c>
      <c r="K1424">
        <v>1.5E-3</v>
      </c>
      <c r="L1424">
        <v>1.6000000000000001E-3</v>
      </c>
      <c r="M1424">
        <v>1.6000000000000001E-3</v>
      </c>
      <c r="N1424">
        <v>1.6000000000000001E-3</v>
      </c>
      <c r="O1424">
        <v>1.6999999999999999E-3</v>
      </c>
      <c r="P1424">
        <v>1.6999999999999999E-3</v>
      </c>
      <c r="Q1424">
        <v>1.6999999999999999E-3</v>
      </c>
      <c r="R1424">
        <v>1.6999999999999999E-3</v>
      </c>
      <c r="S1424">
        <v>1.8E-3</v>
      </c>
      <c r="T1424">
        <v>1.8E-3</v>
      </c>
      <c r="U1424">
        <v>1.8E-3</v>
      </c>
      <c r="V1424">
        <v>1.8E-3</v>
      </c>
      <c r="W1424">
        <v>1.9E-3</v>
      </c>
      <c r="X1424">
        <v>1.9E-3</v>
      </c>
      <c r="Y1424">
        <v>1.9E-3</v>
      </c>
    </row>
    <row r="1425" spans="1:25" hidden="1">
      <c r="A1425" t="s">
        <v>18808</v>
      </c>
      <c r="B1425" t="s">
        <v>815</v>
      </c>
      <c r="C1425" t="s">
        <v>804</v>
      </c>
      <c r="D1425" t="s">
        <v>671</v>
      </c>
      <c r="E1425" t="s">
        <v>597</v>
      </c>
      <c r="F1425" t="s">
        <v>598</v>
      </c>
      <c r="G1425" t="s">
        <v>599</v>
      </c>
      <c r="H1425" t="s">
        <v>600</v>
      </c>
      <c r="I1425" t="s">
        <v>601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</row>
    <row r="1426" spans="1:25" hidden="1">
      <c r="A1426" t="s">
        <v>18808</v>
      </c>
      <c r="B1426" t="s">
        <v>830</v>
      </c>
      <c r="C1426" t="s">
        <v>804</v>
      </c>
      <c r="D1426" t="s">
        <v>828</v>
      </c>
      <c r="E1426" t="s">
        <v>628</v>
      </c>
      <c r="F1426" t="s">
        <v>831</v>
      </c>
      <c r="G1426" t="s">
        <v>599</v>
      </c>
      <c r="H1426" t="s">
        <v>600</v>
      </c>
      <c r="I1426" t="s">
        <v>601</v>
      </c>
      <c r="J1426">
        <v>2E-3</v>
      </c>
      <c r="K1426">
        <v>6.9999999999999999E-4</v>
      </c>
      <c r="L1426">
        <v>5.9999999999999995E-4</v>
      </c>
      <c r="M1426">
        <v>5.9999999999999995E-4</v>
      </c>
      <c r="N1426">
        <v>5.9999999999999995E-4</v>
      </c>
      <c r="O1426">
        <v>5.9999999999999995E-4</v>
      </c>
      <c r="P1426">
        <v>5.9999999999999995E-4</v>
      </c>
      <c r="Q1426">
        <v>5.9999999999999995E-4</v>
      </c>
      <c r="R1426">
        <v>5.9999999999999995E-4</v>
      </c>
      <c r="S1426">
        <v>5.9999999999999995E-4</v>
      </c>
      <c r="T1426">
        <v>5.9999999999999995E-4</v>
      </c>
      <c r="U1426">
        <v>5.9999999999999995E-4</v>
      </c>
      <c r="V1426">
        <v>5.0000000000000001E-4</v>
      </c>
      <c r="W1426">
        <v>5.0000000000000001E-4</v>
      </c>
      <c r="X1426">
        <v>5.0000000000000001E-4</v>
      </c>
      <c r="Y1426">
        <v>5.0000000000000001E-4</v>
      </c>
    </row>
    <row r="1427" spans="1:25" hidden="1">
      <c r="A1427" t="s">
        <v>18808</v>
      </c>
      <c r="B1427" t="s">
        <v>832</v>
      </c>
      <c r="C1427" t="s">
        <v>804</v>
      </c>
      <c r="D1427" t="s">
        <v>828</v>
      </c>
      <c r="E1427" t="s">
        <v>628</v>
      </c>
      <c r="F1427" t="s">
        <v>833</v>
      </c>
      <c r="G1427" t="s">
        <v>599</v>
      </c>
      <c r="H1427" t="s">
        <v>600</v>
      </c>
      <c r="I1427" t="s">
        <v>601</v>
      </c>
      <c r="J1427">
        <v>3.3E-3</v>
      </c>
      <c r="K1427">
        <v>3.0999999999999999E-3</v>
      </c>
      <c r="L1427">
        <v>2.8999999999999998E-3</v>
      </c>
      <c r="M1427">
        <v>2.8E-3</v>
      </c>
      <c r="N1427">
        <v>2.5999999999999999E-3</v>
      </c>
      <c r="O1427">
        <v>2.3999999999999998E-3</v>
      </c>
      <c r="P1427">
        <v>2.2000000000000001E-3</v>
      </c>
      <c r="Q1427">
        <v>2E-3</v>
      </c>
      <c r="R1427">
        <v>1.8E-3</v>
      </c>
      <c r="S1427">
        <v>1.6000000000000001E-3</v>
      </c>
      <c r="T1427">
        <v>1.5E-3</v>
      </c>
      <c r="U1427">
        <v>1.2999999999999999E-3</v>
      </c>
      <c r="V1427">
        <v>1.1999999999999999E-3</v>
      </c>
      <c r="W1427">
        <v>1.1000000000000001E-3</v>
      </c>
      <c r="X1427">
        <v>8.9999999999999998E-4</v>
      </c>
      <c r="Y1427">
        <v>8.0000000000000004E-4</v>
      </c>
    </row>
    <row r="1428" spans="1:25" hidden="1">
      <c r="A1428" t="s">
        <v>18808</v>
      </c>
      <c r="B1428" t="s">
        <v>842</v>
      </c>
      <c r="C1428" t="s">
        <v>841</v>
      </c>
      <c r="D1428" t="s">
        <v>596</v>
      </c>
      <c r="E1428" t="s">
        <v>597</v>
      </c>
      <c r="F1428" t="s">
        <v>598</v>
      </c>
      <c r="G1428" t="s">
        <v>599</v>
      </c>
      <c r="H1428" t="s">
        <v>600</v>
      </c>
      <c r="I1428" t="s">
        <v>601</v>
      </c>
      <c r="J1428">
        <v>2.5000000000000001E-3</v>
      </c>
      <c r="K1428">
        <v>2.3999999999999998E-3</v>
      </c>
      <c r="L1428">
        <v>2.5000000000000001E-3</v>
      </c>
      <c r="M1428">
        <v>2.5999999999999999E-3</v>
      </c>
      <c r="N1428">
        <v>2.7000000000000001E-3</v>
      </c>
      <c r="O1428">
        <v>2.8999999999999998E-3</v>
      </c>
      <c r="P1428">
        <v>2.8999999999999998E-3</v>
      </c>
      <c r="Q1428">
        <v>3.0000000000000001E-3</v>
      </c>
      <c r="R1428">
        <v>3.0000000000000001E-3</v>
      </c>
      <c r="S1428">
        <v>3.0999999999999999E-3</v>
      </c>
      <c r="T1428">
        <v>3.2000000000000002E-3</v>
      </c>
      <c r="U1428">
        <v>3.2000000000000002E-3</v>
      </c>
      <c r="V1428">
        <v>3.3E-3</v>
      </c>
      <c r="W1428">
        <v>3.3E-3</v>
      </c>
      <c r="X1428">
        <v>3.3999999999999998E-3</v>
      </c>
      <c r="Y1428">
        <v>3.5000000000000001E-3</v>
      </c>
    </row>
    <row r="1429" spans="1:25" hidden="1">
      <c r="A1429" t="s">
        <v>18808</v>
      </c>
      <c r="B1429" t="s">
        <v>843</v>
      </c>
      <c r="C1429" t="s">
        <v>841</v>
      </c>
      <c r="D1429" t="s">
        <v>596</v>
      </c>
      <c r="E1429" t="s">
        <v>634</v>
      </c>
      <c r="F1429" t="s">
        <v>598</v>
      </c>
      <c r="G1429" t="s">
        <v>599</v>
      </c>
      <c r="H1429" t="s">
        <v>600</v>
      </c>
      <c r="I1429" t="s">
        <v>601</v>
      </c>
      <c r="J1429">
        <v>2.3E-3</v>
      </c>
      <c r="K1429">
        <v>2.3E-3</v>
      </c>
      <c r="L1429">
        <v>2.3E-3</v>
      </c>
      <c r="M1429">
        <v>2.3E-3</v>
      </c>
      <c r="N1429">
        <v>2.3E-3</v>
      </c>
      <c r="O1429">
        <v>2.3E-3</v>
      </c>
      <c r="P1429">
        <v>2.3999999999999998E-3</v>
      </c>
      <c r="Q1429">
        <v>2.3999999999999998E-3</v>
      </c>
      <c r="R1429">
        <v>2.5000000000000001E-3</v>
      </c>
      <c r="S1429">
        <v>2.5000000000000001E-3</v>
      </c>
      <c r="T1429">
        <v>2.5000000000000001E-3</v>
      </c>
      <c r="U1429">
        <v>2.5000000000000001E-3</v>
      </c>
      <c r="V1429">
        <v>2.5000000000000001E-3</v>
      </c>
      <c r="W1429">
        <v>2.5000000000000001E-3</v>
      </c>
      <c r="X1429">
        <v>2.5000000000000001E-3</v>
      </c>
      <c r="Y1429">
        <v>2.5000000000000001E-3</v>
      </c>
    </row>
    <row r="1430" spans="1:25" hidden="1">
      <c r="A1430" t="s">
        <v>18808</v>
      </c>
      <c r="B1430" t="s">
        <v>860</v>
      </c>
      <c r="C1430" t="s">
        <v>841</v>
      </c>
      <c r="D1430" t="s">
        <v>753</v>
      </c>
      <c r="E1430" t="s">
        <v>597</v>
      </c>
      <c r="F1430" t="s">
        <v>598</v>
      </c>
      <c r="G1430" t="s">
        <v>599</v>
      </c>
      <c r="H1430" t="s">
        <v>600</v>
      </c>
      <c r="I1430" t="s">
        <v>601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</row>
    <row r="1431" spans="1:25" hidden="1">
      <c r="A1431" t="s">
        <v>18808</v>
      </c>
      <c r="B1431" t="s">
        <v>862</v>
      </c>
      <c r="C1431" t="s">
        <v>841</v>
      </c>
      <c r="D1431" t="s">
        <v>756</v>
      </c>
      <c r="E1431" t="s">
        <v>597</v>
      </c>
      <c r="F1431" t="s">
        <v>598</v>
      </c>
      <c r="G1431" t="s">
        <v>599</v>
      </c>
      <c r="H1431" t="s">
        <v>600</v>
      </c>
      <c r="I1431" t="s">
        <v>601</v>
      </c>
      <c r="J1431">
        <v>2.0999999999999999E-3</v>
      </c>
      <c r="K1431">
        <v>2.0999999999999999E-3</v>
      </c>
      <c r="L1431">
        <v>2.0999999999999999E-3</v>
      </c>
      <c r="M1431">
        <v>2.0999999999999999E-3</v>
      </c>
      <c r="N1431">
        <v>2E-3</v>
      </c>
      <c r="O1431">
        <v>2.3E-3</v>
      </c>
      <c r="P1431">
        <v>2.2000000000000001E-3</v>
      </c>
      <c r="Q1431">
        <v>2.2000000000000001E-3</v>
      </c>
      <c r="R1431">
        <v>2.2000000000000001E-3</v>
      </c>
      <c r="S1431">
        <v>2.2000000000000001E-3</v>
      </c>
      <c r="T1431">
        <v>2.2000000000000001E-3</v>
      </c>
      <c r="U1431">
        <v>2.2000000000000001E-3</v>
      </c>
      <c r="V1431">
        <v>2.2000000000000001E-3</v>
      </c>
      <c r="W1431">
        <v>2.2000000000000001E-3</v>
      </c>
      <c r="X1431">
        <v>2.2000000000000001E-3</v>
      </c>
      <c r="Y1431">
        <v>2.2000000000000001E-3</v>
      </c>
    </row>
    <row r="1432" spans="1:25" hidden="1">
      <c r="A1432" t="s">
        <v>18808</v>
      </c>
      <c r="B1432" t="s">
        <v>865</v>
      </c>
      <c r="C1432" t="s">
        <v>841</v>
      </c>
      <c r="D1432" t="s">
        <v>866</v>
      </c>
      <c r="E1432" t="s">
        <v>597</v>
      </c>
      <c r="F1432" t="s">
        <v>598</v>
      </c>
      <c r="G1432" t="s">
        <v>599</v>
      </c>
      <c r="H1432" t="s">
        <v>600</v>
      </c>
      <c r="I1432" t="s">
        <v>601</v>
      </c>
      <c r="J1432">
        <v>2E-3</v>
      </c>
      <c r="K1432">
        <v>2E-3</v>
      </c>
      <c r="L1432">
        <v>2E-3</v>
      </c>
      <c r="M1432">
        <v>2E-3</v>
      </c>
      <c r="N1432">
        <v>2E-3</v>
      </c>
      <c r="O1432">
        <v>2.2000000000000001E-3</v>
      </c>
      <c r="P1432">
        <v>2.2000000000000001E-3</v>
      </c>
      <c r="Q1432">
        <v>2.0999999999999999E-3</v>
      </c>
      <c r="R1432">
        <v>2.0999999999999999E-3</v>
      </c>
      <c r="S1432">
        <v>2.0999999999999999E-3</v>
      </c>
      <c r="T1432">
        <v>2.0999999999999999E-3</v>
      </c>
      <c r="U1432">
        <v>2.0999999999999999E-3</v>
      </c>
      <c r="V1432">
        <v>2.0999999999999999E-3</v>
      </c>
      <c r="W1432">
        <v>2.0999999999999999E-3</v>
      </c>
      <c r="X1432">
        <v>2.0999999999999999E-3</v>
      </c>
      <c r="Y1432">
        <v>2.0999999999999999E-3</v>
      </c>
    </row>
    <row r="1433" spans="1:25" hidden="1">
      <c r="A1433" t="s">
        <v>18808</v>
      </c>
      <c r="B1433" t="s">
        <v>868</v>
      </c>
      <c r="C1433" t="s">
        <v>841</v>
      </c>
      <c r="D1433" t="s">
        <v>621</v>
      </c>
      <c r="E1433" t="s">
        <v>597</v>
      </c>
      <c r="F1433" t="s">
        <v>598</v>
      </c>
      <c r="G1433" t="s">
        <v>599</v>
      </c>
      <c r="H1433" t="s">
        <v>600</v>
      </c>
      <c r="I1433" t="s">
        <v>601</v>
      </c>
      <c r="J1433">
        <v>2E-3</v>
      </c>
      <c r="K1433">
        <v>2E-3</v>
      </c>
      <c r="L1433">
        <v>2E-3</v>
      </c>
      <c r="M1433">
        <v>2.0999999999999999E-3</v>
      </c>
      <c r="N1433">
        <v>2.2000000000000001E-3</v>
      </c>
      <c r="O1433">
        <v>2.2000000000000001E-3</v>
      </c>
      <c r="P1433">
        <v>2.3E-3</v>
      </c>
      <c r="Q1433">
        <v>2.3999999999999998E-3</v>
      </c>
      <c r="R1433">
        <v>2.3999999999999998E-3</v>
      </c>
      <c r="S1433">
        <v>2.5000000000000001E-3</v>
      </c>
      <c r="T1433">
        <v>2.5999999999999999E-3</v>
      </c>
      <c r="U1433">
        <v>2.5999999999999999E-3</v>
      </c>
      <c r="V1433">
        <v>2.7000000000000001E-3</v>
      </c>
      <c r="W1433">
        <v>2.8E-3</v>
      </c>
      <c r="X1433">
        <v>2.8E-3</v>
      </c>
      <c r="Y1433">
        <v>2.8999999999999998E-3</v>
      </c>
    </row>
    <row r="1434" spans="1:25" hidden="1">
      <c r="A1434" t="s">
        <v>18808</v>
      </c>
      <c r="B1434" t="s">
        <v>870</v>
      </c>
      <c r="C1434" t="s">
        <v>841</v>
      </c>
      <c r="D1434" t="s">
        <v>621</v>
      </c>
      <c r="E1434" t="s">
        <v>603</v>
      </c>
      <c r="F1434" t="s">
        <v>598</v>
      </c>
      <c r="G1434" t="s">
        <v>599</v>
      </c>
      <c r="H1434" t="s">
        <v>600</v>
      </c>
      <c r="I1434" t="s">
        <v>601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</row>
    <row r="1435" spans="1:25" hidden="1">
      <c r="A1435" t="s">
        <v>18808</v>
      </c>
      <c r="B1435" t="s">
        <v>875</v>
      </c>
      <c r="C1435" t="s">
        <v>841</v>
      </c>
      <c r="D1435" t="s">
        <v>621</v>
      </c>
      <c r="E1435" t="s">
        <v>626</v>
      </c>
      <c r="F1435" t="s">
        <v>598</v>
      </c>
      <c r="G1435" t="s">
        <v>599</v>
      </c>
      <c r="H1435" t="s">
        <v>600</v>
      </c>
      <c r="I1435" t="s">
        <v>601</v>
      </c>
      <c r="J1435">
        <v>1E-4</v>
      </c>
      <c r="K1435">
        <v>1E-4</v>
      </c>
      <c r="L1435">
        <v>1E-4</v>
      </c>
      <c r="M1435">
        <v>1E-4</v>
      </c>
      <c r="N1435">
        <v>1E-4</v>
      </c>
      <c r="O1435">
        <v>1E-4</v>
      </c>
      <c r="P1435">
        <v>1E-4</v>
      </c>
      <c r="Q1435">
        <v>1E-4</v>
      </c>
      <c r="R1435">
        <v>1E-4</v>
      </c>
      <c r="S1435">
        <v>1E-4</v>
      </c>
      <c r="T1435">
        <v>1E-4</v>
      </c>
      <c r="U1435">
        <v>1E-4</v>
      </c>
      <c r="V1435">
        <v>1E-4</v>
      </c>
      <c r="W1435">
        <v>1E-4</v>
      </c>
      <c r="X1435">
        <v>1E-4</v>
      </c>
      <c r="Y1435">
        <v>1E-4</v>
      </c>
    </row>
    <row r="1436" spans="1:25" hidden="1">
      <c r="A1436" t="s">
        <v>18808</v>
      </c>
      <c r="B1436" t="s">
        <v>876</v>
      </c>
      <c r="C1436" t="s">
        <v>841</v>
      </c>
      <c r="D1436" t="s">
        <v>621</v>
      </c>
      <c r="E1436" t="s">
        <v>628</v>
      </c>
      <c r="F1436" t="s">
        <v>598</v>
      </c>
      <c r="G1436" t="s">
        <v>599</v>
      </c>
      <c r="H1436" t="s">
        <v>600</v>
      </c>
      <c r="I1436" t="s">
        <v>601</v>
      </c>
      <c r="J1436">
        <v>4.0000000000000002E-4</v>
      </c>
      <c r="K1436">
        <v>4.0000000000000002E-4</v>
      </c>
      <c r="L1436">
        <v>4.0000000000000002E-4</v>
      </c>
      <c r="M1436">
        <v>4.0000000000000002E-4</v>
      </c>
      <c r="N1436">
        <v>4.0000000000000002E-4</v>
      </c>
      <c r="O1436">
        <v>4.0000000000000002E-4</v>
      </c>
      <c r="P1436">
        <v>5.0000000000000001E-4</v>
      </c>
      <c r="Q1436">
        <v>5.0000000000000001E-4</v>
      </c>
      <c r="R1436">
        <v>5.0000000000000001E-4</v>
      </c>
      <c r="S1436">
        <v>5.0000000000000001E-4</v>
      </c>
      <c r="T1436">
        <v>5.0000000000000001E-4</v>
      </c>
      <c r="U1436">
        <v>5.0000000000000001E-4</v>
      </c>
      <c r="V1436">
        <v>5.0000000000000001E-4</v>
      </c>
      <c r="W1436">
        <v>5.9999999999999995E-4</v>
      </c>
      <c r="X1436">
        <v>5.9999999999999995E-4</v>
      </c>
      <c r="Y1436">
        <v>5.9999999999999995E-4</v>
      </c>
    </row>
    <row r="1437" spans="1:25" hidden="1">
      <c r="A1437" t="s">
        <v>18808</v>
      </c>
      <c r="B1437" t="s">
        <v>885</v>
      </c>
      <c r="C1437" t="s">
        <v>841</v>
      </c>
      <c r="D1437" t="s">
        <v>632</v>
      </c>
      <c r="E1437" t="s">
        <v>628</v>
      </c>
      <c r="F1437" t="s">
        <v>598</v>
      </c>
      <c r="G1437" t="s">
        <v>599</v>
      </c>
      <c r="H1437" t="s">
        <v>600</v>
      </c>
      <c r="I1437" t="s">
        <v>601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</row>
    <row r="1438" spans="1:25" hidden="1">
      <c r="A1438" t="s">
        <v>18808</v>
      </c>
      <c r="B1438" t="s">
        <v>902</v>
      </c>
      <c r="C1438" t="s">
        <v>841</v>
      </c>
      <c r="D1438" t="s">
        <v>648</v>
      </c>
      <c r="E1438" t="s">
        <v>597</v>
      </c>
      <c r="F1438" t="s">
        <v>598</v>
      </c>
      <c r="G1438" t="s">
        <v>599</v>
      </c>
      <c r="H1438" t="s">
        <v>600</v>
      </c>
      <c r="I1438" t="s">
        <v>601</v>
      </c>
      <c r="J1438">
        <v>6.7299999999999999E-2</v>
      </c>
      <c r="K1438">
        <v>6.7400000000000002E-2</v>
      </c>
      <c r="L1438">
        <v>6.7400000000000002E-2</v>
      </c>
      <c r="M1438">
        <v>6.7299999999999999E-2</v>
      </c>
      <c r="N1438">
        <v>6.6799999999999998E-2</v>
      </c>
      <c r="O1438">
        <v>7.4200000000000002E-2</v>
      </c>
      <c r="P1438">
        <v>7.3499999999999996E-2</v>
      </c>
      <c r="Q1438">
        <v>7.2900000000000006E-2</v>
      </c>
      <c r="R1438">
        <v>7.2300000000000003E-2</v>
      </c>
      <c r="S1438">
        <v>7.17E-2</v>
      </c>
      <c r="T1438">
        <v>7.1400000000000005E-2</v>
      </c>
      <c r="U1438">
        <v>7.1099999999999997E-2</v>
      </c>
      <c r="V1438">
        <v>7.0800000000000002E-2</v>
      </c>
      <c r="W1438">
        <v>7.0599999999999996E-2</v>
      </c>
      <c r="X1438">
        <v>7.0800000000000002E-2</v>
      </c>
      <c r="Y1438">
        <v>7.0999999999999994E-2</v>
      </c>
    </row>
    <row r="1439" spans="1:25" hidden="1">
      <c r="A1439" t="s">
        <v>18808</v>
      </c>
      <c r="B1439" t="s">
        <v>905</v>
      </c>
      <c r="C1439" t="s">
        <v>841</v>
      </c>
      <c r="D1439" t="s">
        <v>648</v>
      </c>
      <c r="E1439" t="s">
        <v>597</v>
      </c>
      <c r="F1439" t="s">
        <v>906</v>
      </c>
      <c r="G1439" t="s">
        <v>599</v>
      </c>
      <c r="H1439" t="s">
        <v>600</v>
      </c>
      <c r="I1439" t="s">
        <v>601</v>
      </c>
      <c r="J1439">
        <v>8.3999999999999995E-3</v>
      </c>
      <c r="K1439">
        <v>8.3999999999999995E-3</v>
      </c>
      <c r="L1439">
        <v>8.3999999999999995E-3</v>
      </c>
      <c r="M1439">
        <v>8.3999999999999995E-3</v>
      </c>
      <c r="N1439">
        <v>8.3000000000000001E-3</v>
      </c>
      <c r="O1439">
        <v>9.2999999999999992E-3</v>
      </c>
      <c r="P1439">
        <v>9.1999999999999998E-3</v>
      </c>
      <c r="Q1439">
        <v>9.1000000000000004E-3</v>
      </c>
      <c r="R1439">
        <v>8.9999999999999993E-3</v>
      </c>
      <c r="S1439">
        <v>8.9999999999999993E-3</v>
      </c>
      <c r="T1439">
        <v>8.8999999999999999E-3</v>
      </c>
      <c r="U1439">
        <v>8.8999999999999999E-3</v>
      </c>
      <c r="V1439">
        <v>8.8000000000000005E-3</v>
      </c>
      <c r="W1439">
        <v>8.8000000000000005E-3</v>
      </c>
      <c r="X1439">
        <v>8.8000000000000005E-3</v>
      </c>
      <c r="Y1439">
        <v>8.8999999999999999E-3</v>
      </c>
    </row>
    <row r="1440" spans="1:25" hidden="1">
      <c r="A1440" t="s">
        <v>18808</v>
      </c>
      <c r="B1440" t="s">
        <v>907</v>
      </c>
      <c r="C1440" t="s">
        <v>841</v>
      </c>
      <c r="D1440" t="s">
        <v>648</v>
      </c>
      <c r="E1440" t="s">
        <v>597</v>
      </c>
      <c r="F1440" t="s">
        <v>908</v>
      </c>
      <c r="G1440" t="s">
        <v>599</v>
      </c>
      <c r="H1440" t="s">
        <v>600</v>
      </c>
      <c r="I1440" t="s">
        <v>601</v>
      </c>
      <c r="J1440">
        <v>8.0000000000000002E-3</v>
      </c>
      <c r="K1440">
        <v>8.0000000000000002E-3</v>
      </c>
      <c r="L1440">
        <v>8.0000000000000002E-3</v>
      </c>
      <c r="M1440">
        <v>8.0000000000000002E-3</v>
      </c>
      <c r="N1440">
        <v>7.9000000000000008E-3</v>
      </c>
      <c r="O1440">
        <v>8.8000000000000005E-3</v>
      </c>
      <c r="P1440">
        <v>8.6999999999999994E-3</v>
      </c>
      <c r="Q1440">
        <v>8.6E-3</v>
      </c>
      <c r="R1440">
        <v>8.5000000000000006E-3</v>
      </c>
      <c r="S1440">
        <v>8.5000000000000006E-3</v>
      </c>
      <c r="T1440">
        <v>8.3999999999999995E-3</v>
      </c>
      <c r="U1440">
        <v>8.3999999999999995E-3</v>
      </c>
      <c r="V1440">
        <v>8.3999999999999995E-3</v>
      </c>
      <c r="W1440">
        <v>8.3000000000000001E-3</v>
      </c>
      <c r="X1440">
        <v>8.3999999999999995E-3</v>
      </c>
      <c r="Y1440">
        <v>8.3999999999999995E-3</v>
      </c>
    </row>
    <row r="1441" spans="1:25" hidden="1">
      <c r="A1441" t="s">
        <v>18808</v>
      </c>
      <c r="B1441" t="s">
        <v>909</v>
      </c>
      <c r="C1441" t="s">
        <v>841</v>
      </c>
      <c r="D1441" t="s">
        <v>648</v>
      </c>
      <c r="E1441" t="s">
        <v>642</v>
      </c>
      <c r="F1441" t="s">
        <v>598</v>
      </c>
      <c r="G1441" t="s">
        <v>599</v>
      </c>
      <c r="H1441" t="s">
        <v>600</v>
      </c>
      <c r="I1441" t="s">
        <v>601</v>
      </c>
      <c r="J1441">
        <v>8.9999999999999998E-4</v>
      </c>
      <c r="K1441">
        <v>8.9999999999999998E-4</v>
      </c>
      <c r="L1441">
        <v>1E-3</v>
      </c>
      <c r="M1441">
        <v>1E-3</v>
      </c>
      <c r="N1441">
        <v>1.1000000000000001E-3</v>
      </c>
      <c r="O1441">
        <v>1.1000000000000001E-3</v>
      </c>
      <c r="P1441">
        <v>1.1999999999999999E-3</v>
      </c>
      <c r="Q1441">
        <v>1.1999999999999999E-3</v>
      </c>
      <c r="R1441">
        <v>1.2999999999999999E-3</v>
      </c>
      <c r="S1441">
        <v>1.2999999999999999E-3</v>
      </c>
      <c r="T1441">
        <v>1.2999999999999999E-3</v>
      </c>
      <c r="U1441">
        <v>1.4E-3</v>
      </c>
      <c r="V1441">
        <v>1.4E-3</v>
      </c>
      <c r="W1441">
        <v>1.4E-3</v>
      </c>
      <c r="X1441">
        <v>1.5E-3</v>
      </c>
      <c r="Y1441">
        <v>1.5E-3</v>
      </c>
    </row>
    <row r="1442" spans="1:25" hidden="1">
      <c r="A1442" t="s">
        <v>18808</v>
      </c>
      <c r="B1442" t="s">
        <v>916</v>
      </c>
      <c r="C1442" t="s">
        <v>914</v>
      </c>
      <c r="D1442" t="s">
        <v>621</v>
      </c>
      <c r="E1442" t="s">
        <v>628</v>
      </c>
      <c r="F1442" t="s">
        <v>598</v>
      </c>
      <c r="G1442" t="s">
        <v>599</v>
      </c>
      <c r="H1442" t="s">
        <v>600</v>
      </c>
      <c r="I1442" t="s">
        <v>601</v>
      </c>
      <c r="J1442">
        <v>9.1845999999999996E-4</v>
      </c>
      <c r="K1442">
        <v>9.1845999999999996E-4</v>
      </c>
      <c r="L1442">
        <v>9.1845999999999996E-4</v>
      </c>
      <c r="M1442">
        <v>9.1845999999999996E-4</v>
      </c>
      <c r="N1442">
        <v>9.1845999999999996E-4</v>
      </c>
      <c r="O1442">
        <v>5.3173999999999995E-4</v>
      </c>
      <c r="P1442">
        <v>5.3173999999999995E-4</v>
      </c>
      <c r="Q1442">
        <v>5.3173999999999995E-4</v>
      </c>
      <c r="R1442">
        <v>5.3173999999999995E-4</v>
      </c>
      <c r="S1442">
        <v>5.3173999999999995E-4</v>
      </c>
      <c r="T1442">
        <v>5.3173999999999995E-4</v>
      </c>
      <c r="U1442">
        <v>5.3173999999999995E-4</v>
      </c>
      <c r="V1442">
        <v>5.3173999999999995E-4</v>
      </c>
      <c r="W1442">
        <v>5.3173999999999995E-4</v>
      </c>
      <c r="X1442">
        <v>5.3173999999999995E-4</v>
      </c>
      <c r="Y1442">
        <v>5.3173999999999995E-4</v>
      </c>
    </row>
    <row r="1443" spans="1:25" hidden="1">
      <c r="A1443" t="s">
        <v>18808</v>
      </c>
      <c r="B1443" t="s">
        <v>924</v>
      </c>
      <c r="C1443" t="s">
        <v>925</v>
      </c>
      <c r="D1443" t="s">
        <v>926</v>
      </c>
      <c r="E1443" t="s">
        <v>927</v>
      </c>
      <c r="F1443" t="s">
        <v>598</v>
      </c>
      <c r="G1443" t="s">
        <v>599</v>
      </c>
      <c r="H1443" t="s">
        <v>600</v>
      </c>
      <c r="I1443" t="s">
        <v>601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</row>
    <row r="1444" spans="1:25" hidden="1">
      <c r="A1444" t="s">
        <v>18808</v>
      </c>
      <c r="B1444" t="s">
        <v>947</v>
      </c>
      <c r="C1444" t="s">
        <v>943</v>
      </c>
      <c r="D1444" t="s">
        <v>946</v>
      </c>
      <c r="E1444" t="s">
        <v>948</v>
      </c>
      <c r="F1444" t="s">
        <v>598</v>
      </c>
      <c r="G1444" t="s">
        <v>599</v>
      </c>
      <c r="H1444" t="s">
        <v>600</v>
      </c>
      <c r="I1444" t="s">
        <v>601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hidden="1">
      <c r="A1445" t="s">
        <v>18808</v>
      </c>
      <c r="B1445" t="s">
        <v>955</v>
      </c>
      <c r="C1445" t="s">
        <v>956</v>
      </c>
      <c r="D1445" t="s">
        <v>931</v>
      </c>
      <c r="E1445" t="s">
        <v>597</v>
      </c>
      <c r="F1445" t="s">
        <v>598</v>
      </c>
      <c r="G1445" t="s">
        <v>599</v>
      </c>
      <c r="H1445" t="s">
        <v>600</v>
      </c>
      <c r="I1445" t="s">
        <v>601</v>
      </c>
      <c r="J1445">
        <v>1.1000000000000001E-3</v>
      </c>
      <c r="K1445">
        <v>1.1000000000000001E-3</v>
      </c>
      <c r="L1445">
        <v>1.1999999999999999E-3</v>
      </c>
      <c r="M1445">
        <v>1.2999999999999999E-3</v>
      </c>
      <c r="N1445">
        <v>1.2999999999999999E-3</v>
      </c>
      <c r="O1445">
        <v>1.2999999999999999E-3</v>
      </c>
      <c r="P1445">
        <v>1.4E-3</v>
      </c>
      <c r="Q1445">
        <v>1.4E-3</v>
      </c>
      <c r="R1445">
        <v>1.4E-3</v>
      </c>
      <c r="S1445">
        <v>1.5E-3</v>
      </c>
      <c r="T1445">
        <v>1.5E-3</v>
      </c>
      <c r="U1445">
        <v>1.5E-3</v>
      </c>
      <c r="V1445">
        <v>1.5E-3</v>
      </c>
      <c r="W1445">
        <v>1.6000000000000001E-3</v>
      </c>
      <c r="X1445">
        <v>1.6000000000000001E-3</v>
      </c>
      <c r="Y1445">
        <v>1.6000000000000001E-3</v>
      </c>
    </row>
    <row r="1446" spans="1:25" hidden="1">
      <c r="A1446" t="s">
        <v>18808</v>
      </c>
      <c r="B1446" t="s">
        <v>959</v>
      </c>
      <c r="C1446" t="s">
        <v>956</v>
      </c>
      <c r="D1446" t="s">
        <v>931</v>
      </c>
      <c r="E1446" t="s">
        <v>613</v>
      </c>
      <c r="F1446" t="s">
        <v>598</v>
      </c>
      <c r="G1446" t="s">
        <v>599</v>
      </c>
      <c r="H1446" t="s">
        <v>600</v>
      </c>
      <c r="I1446" t="s">
        <v>601</v>
      </c>
      <c r="J1446">
        <v>2.9999999999999997E-4</v>
      </c>
      <c r="K1446">
        <v>2.9999999999999997E-4</v>
      </c>
      <c r="L1446">
        <v>4.0000000000000002E-4</v>
      </c>
      <c r="M1446">
        <v>4.0000000000000002E-4</v>
      </c>
      <c r="N1446">
        <v>4.0000000000000002E-4</v>
      </c>
      <c r="O1446">
        <v>4.0000000000000002E-4</v>
      </c>
      <c r="P1446">
        <v>5.0000000000000001E-4</v>
      </c>
      <c r="Q1446">
        <v>5.0000000000000001E-4</v>
      </c>
      <c r="R1446">
        <v>5.0000000000000001E-4</v>
      </c>
      <c r="S1446">
        <v>5.0000000000000001E-4</v>
      </c>
      <c r="T1446">
        <v>5.0000000000000001E-4</v>
      </c>
      <c r="U1446">
        <v>5.0000000000000001E-4</v>
      </c>
      <c r="V1446">
        <v>5.0000000000000001E-4</v>
      </c>
      <c r="W1446">
        <v>5.0000000000000001E-4</v>
      </c>
      <c r="X1446">
        <v>5.0000000000000001E-4</v>
      </c>
      <c r="Y1446">
        <v>5.9999999999999995E-4</v>
      </c>
    </row>
    <row r="1447" spans="1:25" hidden="1">
      <c r="A1447" t="s">
        <v>18808</v>
      </c>
      <c r="B1447" t="s">
        <v>981</v>
      </c>
      <c r="C1447" t="s">
        <v>980</v>
      </c>
      <c r="D1447" t="s">
        <v>982</v>
      </c>
      <c r="E1447" t="s">
        <v>613</v>
      </c>
      <c r="F1447" t="s">
        <v>598</v>
      </c>
      <c r="G1447" t="s">
        <v>599</v>
      </c>
      <c r="H1447" t="s">
        <v>600</v>
      </c>
      <c r="I1447" t="s">
        <v>601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 hidden="1">
      <c r="A1448" t="s">
        <v>18808</v>
      </c>
      <c r="B1448" t="s">
        <v>983</v>
      </c>
      <c r="C1448" t="s">
        <v>980</v>
      </c>
      <c r="D1448" t="s">
        <v>982</v>
      </c>
      <c r="E1448" t="s">
        <v>984</v>
      </c>
      <c r="F1448" t="s">
        <v>598</v>
      </c>
      <c r="G1448" t="s">
        <v>599</v>
      </c>
      <c r="H1448" t="s">
        <v>600</v>
      </c>
      <c r="I1448" t="s">
        <v>601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hidden="1">
      <c r="A1449" t="s">
        <v>18808</v>
      </c>
      <c r="B1449" t="s">
        <v>997</v>
      </c>
      <c r="C1449" t="s">
        <v>998</v>
      </c>
      <c r="D1449" t="s">
        <v>999</v>
      </c>
      <c r="E1449" t="s">
        <v>1000</v>
      </c>
      <c r="F1449" t="s">
        <v>598</v>
      </c>
      <c r="G1449" t="s">
        <v>599</v>
      </c>
      <c r="H1449" t="s">
        <v>600</v>
      </c>
      <c r="I1449" t="s">
        <v>601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hidden="1">
      <c r="A1450" t="s">
        <v>18808</v>
      </c>
      <c r="B1450" t="s">
        <v>1009</v>
      </c>
      <c r="C1450" t="s">
        <v>998</v>
      </c>
      <c r="D1450" t="s">
        <v>999</v>
      </c>
      <c r="E1450" t="s">
        <v>1010</v>
      </c>
      <c r="F1450" t="s">
        <v>598</v>
      </c>
      <c r="G1450" t="s">
        <v>599</v>
      </c>
      <c r="H1450" t="s">
        <v>600</v>
      </c>
      <c r="I1450" t="s">
        <v>601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hidden="1">
      <c r="A1451" t="s">
        <v>18808</v>
      </c>
      <c r="B1451" t="s">
        <v>1015</v>
      </c>
      <c r="C1451" t="s">
        <v>1016</v>
      </c>
      <c r="D1451" t="s">
        <v>1017</v>
      </c>
      <c r="E1451" t="s">
        <v>1018</v>
      </c>
      <c r="F1451" t="s">
        <v>598</v>
      </c>
      <c r="G1451" t="s">
        <v>599</v>
      </c>
      <c r="H1451" t="s">
        <v>600</v>
      </c>
      <c r="I1451" t="s">
        <v>601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hidden="1">
      <c r="A1452" t="s">
        <v>18808</v>
      </c>
      <c r="B1452" t="s">
        <v>1021</v>
      </c>
      <c r="C1452" t="s">
        <v>1016</v>
      </c>
      <c r="D1452" t="s">
        <v>1017</v>
      </c>
      <c r="E1452" t="s">
        <v>1022</v>
      </c>
      <c r="F1452" t="s">
        <v>598</v>
      </c>
      <c r="G1452" t="s">
        <v>599</v>
      </c>
      <c r="H1452" t="s">
        <v>600</v>
      </c>
      <c r="I1452" t="s">
        <v>601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hidden="1">
      <c r="A1453" t="s">
        <v>18808</v>
      </c>
      <c r="B1453" t="s">
        <v>1023</v>
      </c>
      <c r="C1453" t="s">
        <v>1016</v>
      </c>
      <c r="D1453" t="s">
        <v>1017</v>
      </c>
      <c r="E1453" t="s">
        <v>1024</v>
      </c>
      <c r="F1453" t="s">
        <v>598</v>
      </c>
      <c r="G1453" t="s">
        <v>599</v>
      </c>
      <c r="H1453" t="s">
        <v>600</v>
      </c>
      <c r="I1453" t="s">
        <v>601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hidden="1">
      <c r="A1454" t="s">
        <v>18808</v>
      </c>
      <c r="B1454" t="s">
        <v>1025</v>
      </c>
      <c r="C1454" t="s">
        <v>1016</v>
      </c>
      <c r="D1454" t="s">
        <v>1017</v>
      </c>
      <c r="E1454" t="s">
        <v>1026</v>
      </c>
      <c r="F1454" t="s">
        <v>598</v>
      </c>
      <c r="G1454" t="s">
        <v>599</v>
      </c>
      <c r="H1454" t="s">
        <v>600</v>
      </c>
      <c r="I1454" t="s">
        <v>601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hidden="1">
      <c r="A1455" t="s">
        <v>18808</v>
      </c>
      <c r="B1455" t="s">
        <v>1029</v>
      </c>
      <c r="C1455" t="s">
        <v>1016</v>
      </c>
      <c r="D1455" t="s">
        <v>1017</v>
      </c>
      <c r="E1455" t="s">
        <v>1030</v>
      </c>
      <c r="F1455" t="s">
        <v>598</v>
      </c>
      <c r="G1455" t="s">
        <v>599</v>
      </c>
      <c r="H1455" t="s">
        <v>600</v>
      </c>
      <c r="I1455" t="s">
        <v>601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hidden="1">
      <c r="A1456" t="s">
        <v>18808</v>
      </c>
      <c r="B1456" t="s">
        <v>1037</v>
      </c>
      <c r="C1456" t="s">
        <v>1016</v>
      </c>
      <c r="D1456" t="s">
        <v>1017</v>
      </c>
      <c r="E1456" t="s">
        <v>1038</v>
      </c>
      <c r="F1456" t="s">
        <v>598</v>
      </c>
      <c r="G1456" t="s">
        <v>599</v>
      </c>
      <c r="H1456" t="s">
        <v>600</v>
      </c>
      <c r="I1456" t="s">
        <v>601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hidden="1">
      <c r="A1457" t="s">
        <v>18808</v>
      </c>
      <c r="B1457" t="s">
        <v>1039</v>
      </c>
      <c r="C1457" t="s">
        <v>1016</v>
      </c>
      <c r="D1457" t="s">
        <v>1017</v>
      </c>
      <c r="E1457" t="s">
        <v>1040</v>
      </c>
      <c r="F1457" t="s">
        <v>598</v>
      </c>
      <c r="G1457" t="s">
        <v>599</v>
      </c>
      <c r="H1457" t="s">
        <v>600</v>
      </c>
      <c r="I1457" t="s">
        <v>601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hidden="1">
      <c r="A1458" t="s">
        <v>18808</v>
      </c>
      <c r="B1458" t="s">
        <v>1041</v>
      </c>
      <c r="C1458" t="s">
        <v>1016</v>
      </c>
      <c r="D1458" t="s">
        <v>1017</v>
      </c>
      <c r="E1458" t="s">
        <v>1042</v>
      </c>
      <c r="F1458" t="s">
        <v>598</v>
      </c>
      <c r="G1458" t="s">
        <v>599</v>
      </c>
      <c r="H1458" t="s">
        <v>600</v>
      </c>
      <c r="I1458" t="s">
        <v>601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hidden="1">
      <c r="A1459" t="s">
        <v>18808</v>
      </c>
      <c r="B1459" t="s">
        <v>1047</v>
      </c>
      <c r="C1459" t="s">
        <v>1016</v>
      </c>
      <c r="D1459" t="s">
        <v>1017</v>
      </c>
      <c r="E1459" t="s">
        <v>1048</v>
      </c>
      <c r="F1459" t="s">
        <v>598</v>
      </c>
      <c r="G1459" t="s">
        <v>599</v>
      </c>
      <c r="H1459" t="s">
        <v>600</v>
      </c>
      <c r="I1459" t="s">
        <v>601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hidden="1">
      <c r="A1460" t="s">
        <v>18808</v>
      </c>
      <c r="B1460" t="s">
        <v>1049</v>
      </c>
      <c r="C1460" t="s">
        <v>1016</v>
      </c>
      <c r="D1460" t="s">
        <v>1050</v>
      </c>
      <c r="E1460" t="s">
        <v>1024</v>
      </c>
      <c r="F1460" t="s">
        <v>598</v>
      </c>
      <c r="G1460" t="s">
        <v>599</v>
      </c>
      <c r="H1460" t="s">
        <v>600</v>
      </c>
      <c r="I1460" t="s">
        <v>601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hidden="1">
      <c r="A1461" t="s">
        <v>18808</v>
      </c>
      <c r="B1461" t="s">
        <v>1051</v>
      </c>
      <c r="C1461" t="s">
        <v>1016</v>
      </c>
      <c r="D1461" t="s">
        <v>1050</v>
      </c>
      <c r="E1461" t="s">
        <v>1052</v>
      </c>
      <c r="F1461" t="s">
        <v>598</v>
      </c>
      <c r="G1461" t="s">
        <v>599</v>
      </c>
      <c r="H1461" t="s">
        <v>600</v>
      </c>
      <c r="I1461" t="s">
        <v>601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hidden="1">
      <c r="A1462" t="s">
        <v>18808</v>
      </c>
      <c r="B1462" t="s">
        <v>1053</v>
      </c>
      <c r="C1462" t="s">
        <v>1016</v>
      </c>
      <c r="D1462" t="s">
        <v>1050</v>
      </c>
      <c r="E1462" t="s">
        <v>1000</v>
      </c>
      <c r="F1462" t="s">
        <v>598</v>
      </c>
      <c r="G1462" t="s">
        <v>599</v>
      </c>
      <c r="H1462" t="s">
        <v>600</v>
      </c>
      <c r="I1462" t="s">
        <v>601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hidden="1">
      <c r="A1463" t="s">
        <v>18808</v>
      </c>
      <c r="B1463" t="s">
        <v>1059</v>
      </c>
      <c r="C1463" t="s">
        <v>1016</v>
      </c>
      <c r="D1463" t="s">
        <v>1050</v>
      </c>
      <c r="E1463" t="s">
        <v>1042</v>
      </c>
      <c r="F1463" t="s">
        <v>598</v>
      </c>
      <c r="G1463" t="s">
        <v>599</v>
      </c>
      <c r="H1463" t="s">
        <v>600</v>
      </c>
      <c r="I1463" t="s">
        <v>601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hidden="1">
      <c r="A1464" t="s">
        <v>18808</v>
      </c>
      <c r="B1464" t="s">
        <v>1060</v>
      </c>
      <c r="C1464" t="s">
        <v>1016</v>
      </c>
      <c r="D1464" t="s">
        <v>1050</v>
      </c>
      <c r="E1464" t="s">
        <v>1044</v>
      </c>
      <c r="F1464" t="s">
        <v>598</v>
      </c>
      <c r="G1464" t="s">
        <v>599</v>
      </c>
      <c r="H1464" t="s">
        <v>600</v>
      </c>
      <c r="I1464" t="s">
        <v>601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hidden="1">
      <c r="A1465" t="s">
        <v>18808</v>
      </c>
      <c r="B1465" t="s">
        <v>1061</v>
      </c>
      <c r="C1465" t="s">
        <v>1016</v>
      </c>
      <c r="D1465" t="s">
        <v>1050</v>
      </c>
      <c r="E1465" t="s">
        <v>1048</v>
      </c>
      <c r="F1465" t="s">
        <v>598</v>
      </c>
      <c r="G1465" t="s">
        <v>599</v>
      </c>
      <c r="H1465" t="s">
        <v>600</v>
      </c>
      <c r="I1465" t="s">
        <v>601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hidden="1">
      <c r="A1466" t="s">
        <v>18808</v>
      </c>
      <c r="B1466" t="s">
        <v>1062</v>
      </c>
      <c r="C1466" t="s">
        <v>1016</v>
      </c>
      <c r="D1466" t="s">
        <v>1063</v>
      </c>
      <c r="E1466" t="s">
        <v>1018</v>
      </c>
      <c r="F1466" t="s">
        <v>598</v>
      </c>
      <c r="G1466" t="s">
        <v>599</v>
      </c>
      <c r="H1466" t="s">
        <v>600</v>
      </c>
      <c r="I1466" t="s">
        <v>601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hidden="1">
      <c r="A1467" t="s">
        <v>18808</v>
      </c>
      <c r="B1467" t="s">
        <v>1064</v>
      </c>
      <c r="C1467" t="s">
        <v>1016</v>
      </c>
      <c r="D1467" t="s">
        <v>1063</v>
      </c>
      <c r="E1467" t="s">
        <v>1022</v>
      </c>
      <c r="F1467" t="s">
        <v>598</v>
      </c>
      <c r="G1467" t="s">
        <v>599</v>
      </c>
      <c r="H1467" t="s">
        <v>600</v>
      </c>
      <c r="I1467" t="s">
        <v>601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hidden="1">
      <c r="A1468" t="s">
        <v>18808</v>
      </c>
      <c r="B1468" t="s">
        <v>1065</v>
      </c>
      <c r="C1468" t="s">
        <v>1016</v>
      </c>
      <c r="D1468" t="s">
        <v>1063</v>
      </c>
      <c r="E1468" t="s">
        <v>1024</v>
      </c>
      <c r="F1468" t="s">
        <v>598</v>
      </c>
      <c r="G1468" t="s">
        <v>599</v>
      </c>
      <c r="H1468" t="s">
        <v>600</v>
      </c>
      <c r="I1468" t="s">
        <v>601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 hidden="1">
      <c r="A1469" t="s">
        <v>18808</v>
      </c>
      <c r="B1469" t="s">
        <v>1067</v>
      </c>
      <c r="C1469" t="s">
        <v>1016</v>
      </c>
      <c r="D1469" t="s">
        <v>1063</v>
      </c>
      <c r="E1469" t="s">
        <v>1026</v>
      </c>
      <c r="F1469" t="s">
        <v>598</v>
      </c>
      <c r="G1469" t="s">
        <v>599</v>
      </c>
      <c r="H1469" t="s">
        <v>600</v>
      </c>
      <c r="I1469" t="s">
        <v>601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hidden="1">
      <c r="A1470" t="s">
        <v>18808</v>
      </c>
      <c r="B1470" t="s">
        <v>1068</v>
      </c>
      <c r="C1470" t="s">
        <v>1016</v>
      </c>
      <c r="D1470" t="s">
        <v>1063</v>
      </c>
      <c r="E1470" t="s">
        <v>1030</v>
      </c>
      <c r="F1470" t="s">
        <v>598</v>
      </c>
      <c r="G1470" t="s">
        <v>599</v>
      </c>
      <c r="H1470" t="s">
        <v>600</v>
      </c>
      <c r="I1470" t="s">
        <v>601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hidden="1">
      <c r="A1471" t="s">
        <v>18808</v>
      </c>
      <c r="B1471" t="s">
        <v>1069</v>
      </c>
      <c r="C1471" t="s">
        <v>1016</v>
      </c>
      <c r="D1471" t="s">
        <v>1063</v>
      </c>
      <c r="E1471" t="s">
        <v>1035</v>
      </c>
      <c r="F1471" t="s">
        <v>598</v>
      </c>
      <c r="G1471" t="s">
        <v>599</v>
      </c>
      <c r="H1471" t="s">
        <v>600</v>
      </c>
      <c r="I1471" t="s">
        <v>601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hidden="1">
      <c r="A1472" t="s">
        <v>18808</v>
      </c>
      <c r="B1472" t="s">
        <v>1071</v>
      </c>
      <c r="C1472" t="s">
        <v>1016</v>
      </c>
      <c r="D1472" t="s">
        <v>1063</v>
      </c>
      <c r="E1472" t="s">
        <v>1038</v>
      </c>
      <c r="F1472" t="s">
        <v>598</v>
      </c>
      <c r="G1472" t="s">
        <v>599</v>
      </c>
      <c r="H1472" t="s">
        <v>600</v>
      </c>
      <c r="I1472" t="s">
        <v>601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hidden="1">
      <c r="A1473" t="s">
        <v>18808</v>
      </c>
      <c r="B1473" t="s">
        <v>1072</v>
      </c>
      <c r="C1473" t="s">
        <v>1016</v>
      </c>
      <c r="D1473" t="s">
        <v>1063</v>
      </c>
      <c r="E1473" t="s">
        <v>1040</v>
      </c>
      <c r="F1473" t="s">
        <v>598</v>
      </c>
      <c r="G1473" t="s">
        <v>599</v>
      </c>
      <c r="H1473" t="s">
        <v>600</v>
      </c>
      <c r="I1473" t="s">
        <v>601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hidden="1">
      <c r="A1474" t="s">
        <v>18808</v>
      </c>
      <c r="B1474" t="s">
        <v>1073</v>
      </c>
      <c r="C1474" t="s">
        <v>1016</v>
      </c>
      <c r="D1474" t="s">
        <v>1063</v>
      </c>
      <c r="E1474" t="s">
        <v>1042</v>
      </c>
      <c r="F1474" t="s">
        <v>598</v>
      </c>
      <c r="G1474" t="s">
        <v>599</v>
      </c>
      <c r="H1474" t="s">
        <v>600</v>
      </c>
      <c r="I1474" t="s">
        <v>601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hidden="1">
      <c r="A1475" t="s">
        <v>18808</v>
      </c>
      <c r="B1475" t="s">
        <v>1074</v>
      </c>
      <c r="C1475" t="s">
        <v>1016</v>
      </c>
      <c r="D1475" t="s">
        <v>1063</v>
      </c>
      <c r="E1475" t="s">
        <v>1044</v>
      </c>
      <c r="F1475" t="s">
        <v>598</v>
      </c>
      <c r="G1475" t="s">
        <v>599</v>
      </c>
      <c r="H1475" t="s">
        <v>600</v>
      </c>
      <c r="I1475" t="s">
        <v>601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hidden="1">
      <c r="A1476" t="s">
        <v>18808</v>
      </c>
      <c r="B1476" t="s">
        <v>1075</v>
      </c>
      <c r="C1476" t="s">
        <v>1016</v>
      </c>
      <c r="D1476" t="s">
        <v>1063</v>
      </c>
      <c r="E1476" t="s">
        <v>1046</v>
      </c>
      <c r="F1476" t="s">
        <v>598</v>
      </c>
      <c r="G1476" t="s">
        <v>599</v>
      </c>
      <c r="H1476" t="s">
        <v>600</v>
      </c>
      <c r="I1476" t="s">
        <v>601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hidden="1">
      <c r="A1477" t="s">
        <v>18808</v>
      </c>
      <c r="B1477" t="s">
        <v>1076</v>
      </c>
      <c r="C1477" t="s">
        <v>1016</v>
      </c>
      <c r="D1477" t="s">
        <v>1063</v>
      </c>
      <c r="E1477" t="s">
        <v>1048</v>
      </c>
      <c r="F1477" t="s">
        <v>598</v>
      </c>
      <c r="G1477" t="s">
        <v>599</v>
      </c>
      <c r="H1477" t="s">
        <v>600</v>
      </c>
      <c r="I1477" t="s">
        <v>601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hidden="1">
      <c r="A1478" t="s">
        <v>18808</v>
      </c>
      <c r="B1478" t="s">
        <v>1087</v>
      </c>
      <c r="C1478" t="s">
        <v>1079</v>
      </c>
      <c r="D1478" t="s">
        <v>1086</v>
      </c>
      <c r="E1478" t="s">
        <v>1081</v>
      </c>
      <c r="F1478" t="s">
        <v>598</v>
      </c>
      <c r="G1478" t="s">
        <v>599</v>
      </c>
      <c r="H1478" t="s">
        <v>600</v>
      </c>
      <c r="I1478" t="s">
        <v>601</v>
      </c>
      <c r="J1478">
        <v>2.1000000000000001E-2</v>
      </c>
      <c r="K1478">
        <v>2.23E-2</v>
      </c>
      <c r="L1478">
        <v>2.3599999999999999E-2</v>
      </c>
      <c r="M1478">
        <v>2.5000000000000001E-2</v>
      </c>
      <c r="N1478">
        <v>2.6200000000000001E-2</v>
      </c>
      <c r="O1478">
        <v>2.75E-2</v>
      </c>
      <c r="P1478">
        <v>2.8199999999999999E-2</v>
      </c>
      <c r="Q1478">
        <v>2.9000000000000001E-2</v>
      </c>
      <c r="R1478">
        <v>2.9600000000000001E-2</v>
      </c>
      <c r="S1478">
        <v>3.0300000000000001E-2</v>
      </c>
      <c r="T1478">
        <v>3.1E-2</v>
      </c>
      <c r="U1478">
        <v>3.1699999999999999E-2</v>
      </c>
      <c r="V1478">
        <v>3.2399999999999998E-2</v>
      </c>
      <c r="W1478">
        <v>3.3000000000000002E-2</v>
      </c>
      <c r="X1478">
        <v>3.3700000000000001E-2</v>
      </c>
      <c r="Y1478">
        <v>3.44E-2</v>
      </c>
    </row>
    <row r="1479" spans="1:25" hidden="1">
      <c r="A1479" t="s">
        <v>18808</v>
      </c>
      <c r="B1479" t="s">
        <v>1090</v>
      </c>
      <c r="C1479" t="s">
        <v>1079</v>
      </c>
      <c r="D1479" t="s">
        <v>1086</v>
      </c>
      <c r="E1479" t="s">
        <v>1091</v>
      </c>
      <c r="F1479" t="s">
        <v>598</v>
      </c>
      <c r="G1479" t="s">
        <v>599</v>
      </c>
      <c r="H1479" t="s">
        <v>600</v>
      </c>
      <c r="I1479" t="s">
        <v>601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hidden="1">
      <c r="A1480" t="s">
        <v>18808</v>
      </c>
      <c r="B1480" t="s">
        <v>1094</v>
      </c>
      <c r="C1480" t="s">
        <v>1079</v>
      </c>
      <c r="D1480" t="s">
        <v>1086</v>
      </c>
      <c r="E1480" t="s">
        <v>1095</v>
      </c>
      <c r="F1480" t="s">
        <v>598</v>
      </c>
      <c r="G1480" t="s">
        <v>599</v>
      </c>
      <c r="H1480" t="s">
        <v>600</v>
      </c>
      <c r="I1480" t="s">
        <v>601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hidden="1">
      <c r="A1481" t="s">
        <v>18808</v>
      </c>
      <c r="B1481" t="s">
        <v>1107</v>
      </c>
      <c r="C1481" t="s">
        <v>1079</v>
      </c>
      <c r="D1481" t="s">
        <v>1108</v>
      </c>
      <c r="E1481" t="s">
        <v>1081</v>
      </c>
      <c r="F1481" t="s">
        <v>598</v>
      </c>
      <c r="G1481" t="s">
        <v>599</v>
      </c>
      <c r="H1481" t="s">
        <v>600</v>
      </c>
      <c r="I1481" t="s">
        <v>601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hidden="1">
      <c r="A1482" t="s">
        <v>18808</v>
      </c>
      <c r="B1482" t="s">
        <v>1114</v>
      </c>
      <c r="C1482" t="s">
        <v>1079</v>
      </c>
      <c r="D1482" t="s">
        <v>1115</v>
      </c>
      <c r="E1482" t="s">
        <v>1081</v>
      </c>
      <c r="F1482" t="s">
        <v>598</v>
      </c>
      <c r="G1482" t="s">
        <v>599</v>
      </c>
      <c r="H1482" t="s">
        <v>600</v>
      </c>
      <c r="I1482" t="s">
        <v>601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hidden="1">
      <c r="A1483" t="s">
        <v>18808</v>
      </c>
      <c r="B1483" t="s">
        <v>1144</v>
      </c>
      <c r="C1483" t="s">
        <v>1079</v>
      </c>
      <c r="D1483" t="s">
        <v>1145</v>
      </c>
      <c r="E1483" t="s">
        <v>1081</v>
      </c>
      <c r="F1483" t="s">
        <v>598</v>
      </c>
      <c r="G1483" t="s">
        <v>599</v>
      </c>
      <c r="H1483" t="s">
        <v>600</v>
      </c>
      <c r="I1483" t="s">
        <v>601</v>
      </c>
      <c r="J1483">
        <v>3.2199999999999999E-2</v>
      </c>
      <c r="K1483">
        <v>3.44E-2</v>
      </c>
      <c r="L1483">
        <v>3.6799999999999999E-2</v>
      </c>
      <c r="M1483">
        <v>3.9699999999999999E-2</v>
      </c>
      <c r="N1483">
        <v>4.1799999999999997E-2</v>
      </c>
      <c r="O1483">
        <v>4.4299999999999999E-2</v>
      </c>
      <c r="P1483">
        <v>4.5900000000000003E-2</v>
      </c>
      <c r="Q1483">
        <v>4.8000000000000001E-2</v>
      </c>
      <c r="R1483">
        <v>4.8599999999999997E-2</v>
      </c>
      <c r="S1483">
        <v>0.05</v>
      </c>
      <c r="T1483">
        <v>5.1299999999999998E-2</v>
      </c>
      <c r="U1483">
        <v>5.2299999999999999E-2</v>
      </c>
      <c r="V1483">
        <v>5.3400000000000003E-2</v>
      </c>
      <c r="W1483">
        <v>5.45E-2</v>
      </c>
      <c r="X1483">
        <v>5.5599999999999997E-2</v>
      </c>
      <c r="Y1483">
        <v>5.6800000000000003E-2</v>
      </c>
    </row>
    <row r="1484" spans="1:25" hidden="1">
      <c r="A1484" t="s">
        <v>18808</v>
      </c>
      <c r="B1484" t="s">
        <v>1155</v>
      </c>
      <c r="C1484" t="s">
        <v>1079</v>
      </c>
      <c r="D1484" t="s">
        <v>1156</v>
      </c>
      <c r="E1484" t="s">
        <v>1081</v>
      </c>
      <c r="F1484" t="s">
        <v>598</v>
      </c>
      <c r="G1484" t="s">
        <v>599</v>
      </c>
      <c r="H1484" t="s">
        <v>600</v>
      </c>
      <c r="I1484" t="s">
        <v>601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hidden="1">
      <c r="A1485" t="s">
        <v>18808</v>
      </c>
      <c r="B1485" t="s">
        <v>1171</v>
      </c>
      <c r="C1485" t="s">
        <v>1079</v>
      </c>
      <c r="D1485" t="s">
        <v>1172</v>
      </c>
      <c r="E1485" t="s">
        <v>1081</v>
      </c>
      <c r="F1485" t="s">
        <v>598</v>
      </c>
      <c r="G1485" t="s">
        <v>599</v>
      </c>
      <c r="H1485" t="s">
        <v>600</v>
      </c>
      <c r="I1485" t="s">
        <v>601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hidden="1">
      <c r="A1486" t="s">
        <v>18808</v>
      </c>
      <c r="B1486" t="s">
        <v>1177</v>
      </c>
      <c r="C1486" t="s">
        <v>1079</v>
      </c>
      <c r="D1486" t="s">
        <v>1178</v>
      </c>
      <c r="E1486" t="s">
        <v>1081</v>
      </c>
      <c r="F1486" t="s">
        <v>598</v>
      </c>
      <c r="G1486" t="s">
        <v>599</v>
      </c>
      <c r="H1486" t="s">
        <v>600</v>
      </c>
      <c r="I1486" t="s">
        <v>601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hidden="1">
      <c r="A1487" t="s">
        <v>18808</v>
      </c>
      <c r="B1487" t="s">
        <v>1179</v>
      </c>
      <c r="C1487" t="s">
        <v>1079</v>
      </c>
      <c r="D1487" t="s">
        <v>1180</v>
      </c>
      <c r="E1487" t="s">
        <v>1081</v>
      </c>
      <c r="F1487" t="s">
        <v>598</v>
      </c>
      <c r="G1487" t="s">
        <v>599</v>
      </c>
      <c r="H1487" t="s">
        <v>600</v>
      </c>
      <c r="I1487" t="s">
        <v>601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hidden="1">
      <c r="A1488" t="s">
        <v>18808</v>
      </c>
      <c r="B1488" t="s">
        <v>1217</v>
      </c>
      <c r="C1488" t="s">
        <v>1079</v>
      </c>
      <c r="D1488" t="s">
        <v>1188</v>
      </c>
      <c r="E1488" t="s">
        <v>1106</v>
      </c>
      <c r="F1488" t="s">
        <v>598</v>
      </c>
      <c r="G1488" t="s">
        <v>599</v>
      </c>
      <c r="H1488" t="s">
        <v>600</v>
      </c>
      <c r="I1488" t="s">
        <v>601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hidden="1">
      <c r="A1489" t="s">
        <v>18808</v>
      </c>
      <c r="B1489" t="s">
        <v>1218</v>
      </c>
      <c r="C1489" t="s">
        <v>1079</v>
      </c>
      <c r="D1489" t="s">
        <v>1188</v>
      </c>
      <c r="E1489" t="s">
        <v>1219</v>
      </c>
      <c r="F1489" t="s">
        <v>598</v>
      </c>
      <c r="G1489" t="s">
        <v>599</v>
      </c>
      <c r="H1489" t="s">
        <v>600</v>
      </c>
      <c r="I1489" t="s">
        <v>601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hidden="1">
      <c r="A1490" t="s">
        <v>18808</v>
      </c>
      <c r="B1490" t="s">
        <v>1221</v>
      </c>
      <c r="C1490" t="s">
        <v>1079</v>
      </c>
      <c r="D1490" t="s">
        <v>648</v>
      </c>
      <c r="E1490" t="s">
        <v>1081</v>
      </c>
      <c r="F1490" t="s">
        <v>598</v>
      </c>
      <c r="G1490" t="s">
        <v>599</v>
      </c>
      <c r="H1490" t="s">
        <v>600</v>
      </c>
      <c r="I1490" t="s">
        <v>601</v>
      </c>
      <c r="J1490">
        <v>0</v>
      </c>
      <c r="K1490">
        <v>1E-4</v>
      </c>
      <c r="L1490">
        <v>1E-4</v>
      </c>
      <c r="M1490">
        <v>1E-4</v>
      </c>
      <c r="N1490">
        <v>1E-4</v>
      </c>
      <c r="O1490">
        <v>1E-4</v>
      </c>
      <c r="P1490">
        <v>1E-4</v>
      </c>
      <c r="Q1490">
        <v>1E-4</v>
      </c>
      <c r="R1490">
        <v>1E-4</v>
      </c>
      <c r="S1490">
        <v>1E-4</v>
      </c>
      <c r="T1490">
        <v>1E-4</v>
      </c>
      <c r="U1490">
        <v>1E-4</v>
      </c>
      <c r="V1490">
        <v>1E-4</v>
      </c>
      <c r="W1490">
        <v>1E-4</v>
      </c>
      <c r="X1490">
        <v>1E-4</v>
      </c>
      <c r="Y1490">
        <v>1E-4</v>
      </c>
    </row>
    <row r="1491" spans="1:25" hidden="1">
      <c r="A1491" t="s">
        <v>18808</v>
      </c>
      <c r="B1491" t="s">
        <v>1228</v>
      </c>
      <c r="C1491" t="s">
        <v>1079</v>
      </c>
      <c r="D1491" t="s">
        <v>648</v>
      </c>
      <c r="E1491" t="s">
        <v>1103</v>
      </c>
      <c r="F1491" t="s">
        <v>598</v>
      </c>
      <c r="G1491" t="s">
        <v>599</v>
      </c>
      <c r="H1491" t="s">
        <v>600</v>
      </c>
      <c r="I1491" t="s">
        <v>601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hidden="1">
      <c r="A1492" t="s">
        <v>18808</v>
      </c>
      <c r="B1492" t="s">
        <v>1250</v>
      </c>
      <c r="C1492" t="s">
        <v>1230</v>
      </c>
      <c r="D1492" t="s">
        <v>648</v>
      </c>
      <c r="E1492" t="s">
        <v>1004</v>
      </c>
      <c r="F1492" t="s">
        <v>598</v>
      </c>
      <c r="G1492" t="s">
        <v>599</v>
      </c>
      <c r="H1492" t="s">
        <v>600</v>
      </c>
      <c r="I1492" t="s">
        <v>601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hidden="1">
      <c r="A1493" t="s">
        <v>18808</v>
      </c>
      <c r="B1493" t="s">
        <v>1251</v>
      </c>
      <c r="C1493" t="s">
        <v>1230</v>
      </c>
      <c r="D1493" t="s">
        <v>648</v>
      </c>
      <c r="E1493" t="s">
        <v>1239</v>
      </c>
      <c r="F1493" t="s">
        <v>598</v>
      </c>
      <c r="G1493" t="s">
        <v>599</v>
      </c>
      <c r="H1493" t="s">
        <v>600</v>
      </c>
      <c r="I1493" t="s">
        <v>601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hidden="1">
      <c r="A1494" t="s">
        <v>18808</v>
      </c>
      <c r="B1494" t="s">
        <v>1252</v>
      </c>
      <c r="C1494" t="s">
        <v>1253</v>
      </c>
      <c r="D1494" t="s">
        <v>1254</v>
      </c>
      <c r="E1494" t="s">
        <v>1255</v>
      </c>
      <c r="F1494" t="s">
        <v>598</v>
      </c>
      <c r="G1494" t="s">
        <v>599</v>
      </c>
      <c r="H1494" t="s">
        <v>600</v>
      </c>
      <c r="I1494" t="s">
        <v>601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hidden="1">
      <c r="A1495" t="s">
        <v>18808</v>
      </c>
      <c r="B1495" t="s">
        <v>1256</v>
      </c>
      <c r="C1495" t="s">
        <v>1253</v>
      </c>
      <c r="D1495" t="s">
        <v>1254</v>
      </c>
      <c r="E1495" t="s">
        <v>1257</v>
      </c>
      <c r="F1495" t="s">
        <v>598</v>
      </c>
      <c r="G1495" t="s">
        <v>599</v>
      </c>
      <c r="H1495" t="s">
        <v>600</v>
      </c>
      <c r="I1495" t="s">
        <v>601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hidden="1">
      <c r="A1496" t="s">
        <v>18808</v>
      </c>
      <c r="B1496" t="s">
        <v>1258</v>
      </c>
      <c r="C1496" t="s">
        <v>1253</v>
      </c>
      <c r="D1496" t="s">
        <v>1254</v>
      </c>
      <c r="E1496" t="s">
        <v>1259</v>
      </c>
      <c r="F1496" t="s">
        <v>598</v>
      </c>
      <c r="G1496" t="s">
        <v>599</v>
      </c>
      <c r="H1496" t="s">
        <v>600</v>
      </c>
      <c r="I1496" t="s">
        <v>601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hidden="1">
      <c r="A1497" t="s">
        <v>18808</v>
      </c>
      <c r="B1497" t="s">
        <v>1265</v>
      </c>
      <c r="C1497" t="s">
        <v>1261</v>
      </c>
      <c r="D1497" t="s">
        <v>648</v>
      </c>
      <c r="E1497" t="s">
        <v>1004</v>
      </c>
      <c r="F1497" t="s">
        <v>598</v>
      </c>
      <c r="G1497" t="s">
        <v>599</v>
      </c>
      <c r="H1497" t="s">
        <v>600</v>
      </c>
      <c r="I1497" t="s">
        <v>601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hidden="1">
      <c r="A1498" t="s">
        <v>18808</v>
      </c>
      <c r="B1498" t="s">
        <v>1436</v>
      </c>
      <c r="C1498" t="s">
        <v>1382</v>
      </c>
      <c r="D1498" t="s">
        <v>1354</v>
      </c>
      <c r="E1498" t="s">
        <v>973</v>
      </c>
      <c r="F1498" t="s">
        <v>598</v>
      </c>
      <c r="G1498" t="s">
        <v>599</v>
      </c>
      <c r="H1498" t="s">
        <v>600</v>
      </c>
      <c r="I1498" t="s">
        <v>601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hidden="1">
      <c r="A1499" t="s">
        <v>18808</v>
      </c>
      <c r="B1499" t="s">
        <v>1459</v>
      </c>
      <c r="C1499" t="s">
        <v>1382</v>
      </c>
      <c r="D1499" t="s">
        <v>648</v>
      </c>
      <c r="E1499" t="s">
        <v>920</v>
      </c>
      <c r="F1499" t="s">
        <v>598</v>
      </c>
      <c r="G1499" t="s">
        <v>599</v>
      </c>
      <c r="H1499" t="s">
        <v>600</v>
      </c>
      <c r="I1499" t="s">
        <v>601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hidden="1">
      <c r="A1500" t="s">
        <v>18808</v>
      </c>
      <c r="B1500" t="s">
        <v>1482</v>
      </c>
      <c r="C1500" t="s">
        <v>1472</v>
      </c>
      <c r="D1500" t="s">
        <v>1483</v>
      </c>
      <c r="E1500" t="s">
        <v>597</v>
      </c>
      <c r="F1500" t="s">
        <v>598</v>
      </c>
      <c r="G1500" t="s">
        <v>599</v>
      </c>
      <c r="H1500" t="s">
        <v>600</v>
      </c>
      <c r="I1500" t="s">
        <v>601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hidden="1">
      <c r="A1501" t="s">
        <v>18808</v>
      </c>
      <c r="B1501" t="s">
        <v>1484</v>
      </c>
      <c r="C1501" t="s">
        <v>1472</v>
      </c>
      <c r="D1501" t="s">
        <v>1485</v>
      </c>
      <c r="E1501" t="s">
        <v>642</v>
      </c>
      <c r="F1501" t="s">
        <v>598</v>
      </c>
      <c r="G1501" t="s">
        <v>599</v>
      </c>
      <c r="H1501" t="s">
        <v>600</v>
      </c>
      <c r="I1501" t="s">
        <v>601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hidden="1">
      <c r="A1502" t="s">
        <v>18808</v>
      </c>
      <c r="B1502" t="s">
        <v>1492</v>
      </c>
      <c r="C1502" t="s">
        <v>1472</v>
      </c>
      <c r="D1502" t="s">
        <v>1316</v>
      </c>
      <c r="E1502" t="s">
        <v>688</v>
      </c>
      <c r="F1502" t="s">
        <v>598</v>
      </c>
      <c r="G1502" t="s">
        <v>599</v>
      </c>
      <c r="H1502" t="s">
        <v>600</v>
      </c>
      <c r="I1502" t="s">
        <v>601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</row>
    <row r="1503" spans="1:25" hidden="1">
      <c r="A1503" t="s">
        <v>18808</v>
      </c>
      <c r="B1503" t="s">
        <v>1495</v>
      </c>
      <c r="C1503" t="s">
        <v>1472</v>
      </c>
      <c r="D1503" t="s">
        <v>1316</v>
      </c>
      <c r="E1503" t="s">
        <v>1399</v>
      </c>
      <c r="F1503" t="s">
        <v>598</v>
      </c>
      <c r="G1503" t="s">
        <v>599</v>
      </c>
      <c r="H1503" t="s">
        <v>600</v>
      </c>
      <c r="I1503" t="s">
        <v>601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hidden="1">
      <c r="A1504" t="s">
        <v>18808</v>
      </c>
      <c r="B1504" t="s">
        <v>1503</v>
      </c>
      <c r="C1504" t="s">
        <v>1472</v>
      </c>
      <c r="D1504" t="s">
        <v>1320</v>
      </c>
      <c r="E1504" t="s">
        <v>688</v>
      </c>
      <c r="F1504" t="s">
        <v>598</v>
      </c>
      <c r="G1504" t="s">
        <v>599</v>
      </c>
      <c r="H1504" t="s">
        <v>600</v>
      </c>
      <c r="I1504" t="s">
        <v>601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hidden="1">
      <c r="A1505" t="s">
        <v>18808</v>
      </c>
      <c r="B1505" t="s">
        <v>1513</v>
      </c>
      <c r="C1505" t="s">
        <v>1472</v>
      </c>
      <c r="D1505" t="s">
        <v>1324</v>
      </c>
      <c r="E1505" t="s">
        <v>688</v>
      </c>
      <c r="F1505" t="s">
        <v>598</v>
      </c>
      <c r="G1505" t="s">
        <v>599</v>
      </c>
      <c r="H1505" t="s">
        <v>600</v>
      </c>
      <c r="I1505" t="s">
        <v>601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hidden="1">
      <c r="A1506" t="s">
        <v>18808</v>
      </c>
      <c r="B1506" t="s">
        <v>1518</v>
      </c>
      <c r="C1506" t="s">
        <v>1472</v>
      </c>
      <c r="D1506" t="s">
        <v>1324</v>
      </c>
      <c r="E1506" t="s">
        <v>1326</v>
      </c>
      <c r="F1506" t="s">
        <v>598</v>
      </c>
      <c r="G1506" t="s">
        <v>599</v>
      </c>
      <c r="H1506" t="s">
        <v>600</v>
      </c>
      <c r="I1506" t="s">
        <v>601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hidden="1">
      <c r="A1507" t="s">
        <v>18808</v>
      </c>
      <c r="B1507" t="s">
        <v>1526</v>
      </c>
      <c r="C1507" t="s">
        <v>1472</v>
      </c>
      <c r="D1507" t="s">
        <v>1332</v>
      </c>
      <c r="E1507" t="s">
        <v>688</v>
      </c>
      <c r="F1507" t="s">
        <v>598</v>
      </c>
      <c r="G1507" t="s">
        <v>599</v>
      </c>
      <c r="H1507" t="s">
        <v>600</v>
      </c>
      <c r="I1507" t="s">
        <v>601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hidden="1">
      <c r="A1508" t="s">
        <v>18808</v>
      </c>
      <c r="B1508" t="s">
        <v>1529</v>
      </c>
      <c r="C1508" t="s">
        <v>1472</v>
      </c>
      <c r="D1508" t="s">
        <v>1332</v>
      </c>
      <c r="E1508" t="s">
        <v>1417</v>
      </c>
      <c r="F1508" t="s">
        <v>598</v>
      </c>
      <c r="G1508" t="s">
        <v>599</v>
      </c>
      <c r="H1508" t="s">
        <v>600</v>
      </c>
      <c r="I1508" t="s">
        <v>601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hidden="1">
      <c r="A1509" t="s">
        <v>18808</v>
      </c>
      <c r="B1509" t="s">
        <v>1531</v>
      </c>
      <c r="C1509" t="s">
        <v>1472</v>
      </c>
      <c r="D1509" t="s">
        <v>1332</v>
      </c>
      <c r="E1509" t="s">
        <v>1326</v>
      </c>
      <c r="F1509" t="s">
        <v>598</v>
      </c>
      <c r="G1509" t="s">
        <v>599</v>
      </c>
      <c r="H1509" t="s">
        <v>600</v>
      </c>
      <c r="I1509" t="s">
        <v>601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hidden="1">
      <c r="A1510" t="s">
        <v>18808</v>
      </c>
      <c r="B1510" t="s">
        <v>1566</v>
      </c>
      <c r="C1510" t="s">
        <v>1472</v>
      </c>
      <c r="D1510" t="s">
        <v>1567</v>
      </c>
      <c r="E1510" t="s">
        <v>626</v>
      </c>
      <c r="F1510" t="s">
        <v>598</v>
      </c>
      <c r="G1510" t="s">
        <v>599</v>
      </c>
      <c r="H1510" t="s">
        <v>600</v>
      </c>
      <c r="I1510" t="s">
        <v>601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hidden="1">
      <c r="A1511" t="s">
        <v>18808</v>
      </c>
      <c r="B1511" t="s">
        <v>1568</v>
      </c>
      <c r="C1511" t="s">
        <v>1472</v>
      </c>
      <c r="D1511" t="s">
        <v>1569</v>
      </c>
      <c r="E1511" t="s">
        <v>626</v>
      </c>
      <c r="F1511" t="s">
        <v>598</v>
      </c>
      <c r="G1511" t="s">
        <v>599</v>
      </c>
      <c r="H1511" t="s">
        <v>600</v>
      </c>
      <c r="I1511" t="s">
        <v>601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hidden="1">
      <c r="A1512" t="s">
        <v>18808</v>
      </c>
      <c r="B1512" t="s">
        <v>1570</v>
      </c>
      <c r="C1512" t="s">
        <v>1472</v>
      </c>
      <c r="D1512" t="s">
        <v>1571</v>
      </c>
      <c r="E1512" t="s">
        <v>626</v>
      </c>
      <c r="F1512" t="s">
        <v>598</v>
      </c>
      <c r="G1512" t="s">
        <v>599</v>
      </c>
      <c r="H1512" t="s">
        <v>600</v>
      </c>
      <c r="I1512" t="s">
        <v>601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hidden="1">
      <c r="A1513" t="s">
        <v>18808</v>
      </c>
      <c r="B1513" t="s">
        <v>1573</v>
      </c>
      <c r="C1513" t="s">
        <v>1472</v>
      </c>
      <c r="D1513" t="s">
        <v>1574</v>
      </c>
      <c r="E1513" t="s">
        <v>626</v>
      </c>
      <c r="F1513" t="s">
        <v>598</v>
      </c>
      <c r="G1513" t="s">
        <v>599</v>
      </c>
      <c r="H1513" t="s">
        <v>600</v>
      </c>
      <c r="I1513" t="s">
        <v>601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hidden="1">
      <c r="A1514" t="s">
        <v>18808</v>
      </c>
      <c r="B1514" t="s">
        <v>1575</v>
      </c>
      <c r="C1514" t="s">
        <v>1472</v>
      </c>
      <c r="D1514" t="s">
        <v>1576</v>
      </c>
      <c r="E1514" t="s">
        <v>626</v>
      </c>
      <c r="F1514" t="s">
        <v>598</v>
      </c>
      <c r="G1514" t="s">
        <v>599</v>
      </c>
      <c r="H1514" t="s">
        <v>600</v>
      </c>
      <c r="I1514" t="s">
        <v>601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hidden="1">
      <c r="A1515" t="s">
        <v>18808</v>
      </c>
      <c r="B1515" t="s">
        <v>1577</v>
      </c>
      <c r="C1515" t="s">
        <v>1472</v>
      </c>
      <c r="D1515" t="s">
        <v>1578</v>
      </c>
      <c r="E1515" t="s">
        <v>626</v>
      </c>
      <c r="F1515" t="s">
        <v>598</v>
      </c>
      <c r="G1515" t="s">
        <v>599</v>
      </c>
      <c r="H1515" t="s">
        <v>600</v>
      </c>
      <c r="I1515" t="s">
        <v>601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hidden="1">
      <c r="A1516" t="s">
        <v>18808</v>
      </c>
      <c r="B1516" t="s">
        <v>1582</v>
      </c>
      <c r="C1516" t="s">
        <v>1472</v>
      </c>
      <c r="D1516" t="s">
        <v>1583</v>
      </c>
      <c r="E1516" t="s">
        <v>626</v>
      </c>
      <c r="F1516" t="s">
        <v>598</v>
      </c>
      <c r="G1516" t="s">
        <v>599</v>
      </c>
      <c r="H1516" t="s">
        <v>600</v>
      </c>
      <c r="I1516" t="s">
        <v>601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hidden="1">
      <c r="A1517" t="s">
        <v>18808</v>
      </c>
      <c r="B1517" t="s">
        <v>1587</v>
      </c>
      <c r="C1517" t="s">
        <v>1472</v>
      </c>
      <c r="D1517" t="s">
        <v>1588</v>
      </c>
      <c r="E1517" t="s">
        <v>626</v>
      </c>
      <c r="F1517" t="s">
        <v>598</v>
      </c>
      <c r="G1517" t="s">
        <v>599</v>
      </c>
      <c r="H1517" t="s">
        <v>600</v>
      </c>
      <c r="I1517" t="s">
        <v>601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hidden="1">
      <c r="A1518" t="s">
        <v>18808</v>
      </c>
      <c r="B1518" t="s">
        <v>1589</v>
      </c>
      <c r="C1518" t="s">
        <v>1472</v>
      </c>
      <c r="D1518" t="s">
        <v>1365</v>
      </c>
      <c r="E1518" t="s">
        <v>973</v>
      </c>
      <c r="F1518" t="s">
        <v>598</v>
      </c>
      <c r="G1518" t="s">
        <v>599</v>
      </c>
      <c r="H1518" t="s">
        <v>600</v>
      </c>
      <c r="I1518" t="s">
        <v>601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hidden="1">
      <c r="A1519" t="s">
        <v>18808</v>
      </c>
      <c r="B1519" t="s">
        <v>1590</v>
      </c>
      <c r="C1519" t="s">
        <v>1472</v>
      </c>
      <c r="D1519" t="s">
        <v>1365</v>
      </c>
      <c r="E1519" t="s">
        <v>626</v>
      </c>
      <c r="F1519" t="s">
        <v>598</v>
      </c>
      <c r="G1519" t="s">
        <v>599</v>
      </c>
      <c r="H1519" t="s">
        <v>600</v>
      </c>
      <c r="I1519" t="s">
        <v>601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hidden="1">
      <c r="A1520" t="s">
        <v>18808</v>
      </c>
      <c r="B1520" t="s">
        <v>1591</v>
      </c>
      <c r="C1520" t="s">
        <v>1472</v>
      </c>
      <c r="D1520" t="s">
        <v>1365</v>
      </c>
      <c r="E1520" t="s">
        <v>628</v>
      </c>
      <c r="F1520" t="s">
        <v>598</v>
      </c>
      <c r="G1520" t="s">
        <v>599</v>
      </c>
      <c r="H1520" t="s">
        <v>600</v>
      </c>
      <c r="I1520" t="s">
        <v>601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hidden="1">
      <c r="A1521" t="s">
        <v>18808</v>
      </c>
      <c r="B1521" t="s">
        <v>1595</v>
      </c>
      <c r="C1521" t="s">
        <v>1472</v>
      </c>
      <c r="D1521" t="s">
        <v>1458</v>
      </c>
      <c r="E1521" t="s">
        <v>626</v>
      </c>
      <c r="F1521" t="s">
        <v>598</v>
      </c>
      <c r="G1521" t="s">
        <v>599</v>
      </c>
      <c r="H1521" t="s">
        <v>600</v>
      </c>
      <c r="I1521" t="s">
        <v>601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hidden="1">
      <c r="A1522" t="s">
        <v>18808</v>
      </c>
      <c r="B1522" t="s">
        <v>1600</v>
      </c>
      <c r="C1522" t="s">
        <v>1472</v>
      </c>
      <c r="D1522" t="s">
        <v>1601</v>
      </c>
      <c r="E1522" t="s">
        <v>626</v>
      </c>
      <c r="F1522" t="s">
        <v>598</v>
      </c>
      <c r="G1522" t="s">
        <v>599</v>
      </c>
      <c r="H1522" t="s">
        <v>600</v>
      </c>
      <c r="I1522" t="s">
        <v>601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hidden="1">
      <c r="A1523" t="s">
        <v>18808</v>
      </c>
      <c r="B1523" t="s">
        <v>1602</v>
      </c>
      <c r="C1523" t="s">
        <v>1472</v>
      </c>
      <c r="D1523" t="s">
        <v>1603</v>
      </c>
      <c r="E1523" t="s">
        <v>626</v>
      </c>
      <c r="F1523" t="s">
        <v>598</v>
      </c>
      <c r="G1523" t="s">
        <v>599</v>
      </c>
      <c r="H1523" t="s">
        <v>600</v>
      </c>
      <c r="I1523" t="s">
        <v>601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hidden="1">
      <c r="A1524" t="s">
        <v>18808</v>
      </c>
      <c r="B1524" t="s">
        <v>1604</v>
      </c>
      <c r="C1524" t="s">
        <v>1472</v>
      </c>
      <c r="D1524" t="s">
        <v>1605</v>
      </c>
      <c r="E1524" t="s">
        <v>626</v>
      </c>
      <c r="F1524" t="s">
        <v>598</v>
      </c>
      <c r="G1524" t="s">
        <v>599</v>
      </c>
      <c r="H1524" t="s">
        <v>600</v>
      </c>
      <c r="I1524" t="s">
        <v>601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hidden="1">
      <c r="A1525" t="s">
        <v>18808</v>
      </c>
      <c r="B1525" t="s">
        <v>1610</v>
      </c>
      <c r="C1525" t="s">
        <v>1611</v>
      </c>
      <c r="D1525" t="s">
        <v>648</v>
      </c>
      <c r="E1525" t="s">
        <v>920</v>
      </c>
      <c r="F1525" t="s">
        <v>598</v>
      </c>
      <c r="G1525" t="s">
        <v>599</v>
      </c>
      <c r="H1525" t="s">
        <v>600</v>
      </c>
      <c r="I1525" t="s">
        <v>601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hidden="1">
      <c r="A1526" t="s">
        <v>18808</v>
      </c>
      <c r="B1526" t="s">
        <v>1746</v>
      </c>
      <c r="C1526" t="s">
        <v>1614</v>
      </c>
      <c r="D1526" t="s">
        <v>1722</v>
      </c>
      <c r="E1526" t="s">
        <v>954</v>
      </c>
      <c r="F1526" t="s">
        <v>598</v>
      </c>
      <c r="G1526" t="s">
        <v>599</v>
      </c>
      <c r="H1526" t="s">
        <v>600</v>
      </c>
      <c r="I1526" t="s">
        <v>601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hidden="1">
      <c r="A1527" t="s">
        <v>18808</v>
      </c>
      <c r="B1527" t="s">
        <v>1771</v>
      </c>
      <c r="C1527" t="s">
        <v>1614</v>
      </c>
      <c r="D1527" t="s">
        <v>1768</v>
      </c>
      <c r="E1527" t="s">
        <v>1772</v>
      </c>
      <c r="F1527" t="s">
        <v>598</v>
      </c>
      <c r="G1527" t="s">
        <v>599</v>
      </c>
      <c r="H1527" t="s">
        <v>600</v>
      </c>
      <c r="I1527" t="s">
        <v>601</v>
      </c>
      <c r="J1527">
        <v>1.4E-3</v>
      </c>
      <c r="K1527">
        <v>1.5E-3</v>
      </c>
      <c r="L1527">
        <v>1.6999999999999999E-3</v>
      </c>
      <c r="M1527">
        <v>1.8E-3</v>
      </c>
      <c r="N1527">
        <v>1.9E-3</v>
      </c>
      <c r="O1527">
        <v>2E-3</v>
      </c>
      <c r="P1527">
        <v>2.0999999999999999E-3</v>
      </c>
      <c r="Q1527">
        <v>2.3E-3</v>
      </c>
      <c r="R1527">
        <v>2.3E-3</v>
      </c>
      <c r="S1527">
        <v>2.3999999999999998E-3</v>
      </c>
      <c r="T1527">
        <v>2.3999999999999998E-3</v>
      </c>
      <c r="U1527">
        <v>2.5000000000000001E-3</v>
      </c>
      <c r="V1527">
        <v>2.5999999999999999E-3</v>
      </c>
      <c r="W1527">
        <v>2.5999999999999999E-3</v>
      </c>
      <c r="X1527">
        <v>2.7000000000000001E-3</v>
      </c>
      <c r="Y1527">
        <v>2.7000000000000001E-3</v>
      </c>
    </row>
    <row r="1528" spans="1:25" hidden="1">
      <c r="A1528" t="s">
        <v>18808</v>
      </c>
      <c r="B1528" t="s">
        <v>1775</v>
      </c>
      <c r="C1528" t="s">
        <v>1614</v>
      </c>
      <c r="D1528" t="s">
        <v>1776</v>
      </c>
      <c r="E1528" t="s">
        <v>1777</v>
      </c>
      <c r="F1528" t="s">
        <v>598</v>
      </c>
      <c r="G1528" t="s">
        <v>599</v>
      </c>
      <c r="H1528" t="s">
        <v>600</v>
      </c>
      <c r="I1528" t="s">
        <v>601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hidden="1">
      <c r="A1529" t="s">
        <v>18808</v>
      </c>
      <c r="B1529" t="s">
        <v>1780</v>
      </c>
      <c r="C1529" t="s">
        <v>1614</v>
      </c>
      <c r="D1529" t="s">
        <v>1781</v>
      </c>
      <c r="E1529" t="s">
        <v>1716</v>
      </c>
      <c r="F1529" t="s">
        <v>598</v>
      </c>
      <c r="G1529" t="s">
        <v>599</v>
      </c>
      <c r="H1529" t="s">
        <v>600</v>
      </c>
      <c r="I1529" t="s">
        <v>601</v>
      </c>
      <c r="J1529">
        <v>4.7999999999999996E-3</v>
      </c>
      <c r="K1529">
        <v>5.1999999999999998E-3</v>
      </c>
      <c r="L1529">
        <v>5.5999999999999999E-3</v>
      </c>
      <c r="M1529">
        <v>6.1000000000000004E-3</v>
      </c>
      <c r="N1529">
        <v>6.4000000000000003E-3</v>
      </c>
      <c r="O1529">
        <v>6.8999999999999999E-3</v>
      </c>
      <c r="P1529">
        <v>7.1999999999999998E-3</v>
      </c>
      <c r="Q1529">
        <v>7.6E-3</v>
      </c>
      <c r="R1529">
        <v>7.7000000000000002E-3</v>
      </c>
      <c r="S1529">
        <v>8.0000000000000002E-3</v>
      </c>
      <c r="T1529">
        <v>8.2000000000000007E-3</v>
      </c>
      <c r="U1529">
        <v>8.3999999999999995E-3</v>
      </c>
      <c r="V1529">
        <v>8.6E-3</v>
      </c>
      <c r="W1529">
        <v>8.8000000000000005E-3</v>
      </c>
      <c r="X1529">
        <v>8.9999999999999993E-3</v>
      </c>
      <c r="Y1529">
        <v>9.1999999999999998E-3</v>
      </c>
    </row>
    <row r="1530" spans="1:25" hidden="1">
      <c r="A1530" t="s">
        <v>18808</v>
      </c>
      <c r="B1530" t="s">
        <v>1825</v>
      </c>
      <c r="C1530" t="s">
        <v>1614</v>
      </c>
      <c r="D1530" t="s">
        <v>648</v>
      </c>
      <c r="E1530" t="s">
        <v>954</v>
      </c>
      <c r="F1530" t="s">
        <v>598</v>
      </c>
      <c r="G1530" t="s">
        <v>599</v>
      </c>
      <c r="H1530" t="s">
        <v>600</v>
      </c>
      <c r="I1530" t="s">
        <v>601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hidden="1">
      <c r="A1531" t="s">
        <v>18808</v>
      </c>
      <c r="B1531" t="s">
        <v>1858</v>
      </c>
      <c r="C1531" t="s">
        <v>1845</v>
      </c>
      <c r="D1531" t="s">
        <v>1859</v>
      </c>
      <c r="E1531" t="s">
        <v>1860</v>
      </c>
      <c r="F1531" t="s">
        <v>598</v>
      </c>
      <c r="G1531" t="s">
        <v>599</v>
      </c>
      <c r="H1531" t="s">
        <v>600</v>
      </c>
      <c r="I1531" t="s">
        <v>601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hidden="1">
      <c r="A1532" t="s">
        <v>18808</v>
      </c>
      <c r="B1532" t="s">
        <v>1861</v>
      </c>
      <c r="C1532" t="s">
        <v>1845</v>
      </c>
      <c r="D1532" t="s">
        <v>1862</v>
      </c>
      <c r="E1532" t="s">
        <v>1860</v>
      </c>
      <c r="F1532" t="s">
        <v>598</v>
      </c>
      <c r="G1532" t="s">
        <v>599</v>
      </c>
      <c r="H1532" t="s">
        <v>600</v>
      </c>
      <c r="I1532" t="s">
        <v>601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hidden="1">
      <c r="A1533" t="s">
        <v>18808</v>
      </c>
      <c r="B1533" t="s">
        <v>1863</v>
      </c>
      <c r="C1533" t="s">
        <v>1845</v>
      </c>
      <c r="D1533" t="s">
        <v>1864</v>
      </c>
      <c r="E1533" t="s">
        <v>1865</v>
      </c>
      <c r="F1533" t="s">
        <v>598</v>
      </c>
      <c r="G1533" t="s">
        <v>599</v>
      </c>
      <c r="H1533" t="s">
        <v>600</v>
      </c>
      <c r="I1533" t="s">
        <v>601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hidden="1">
      <c r="A1534" t="s">
        <v>18808</v>
      </c>
      <c r="B1534" t="s">
        <v>1917</v>
      </c>
      <c r="C1534" t="s">
        <v>1845</v>
      </c>
      <c r="D1534" t="s">
        <v>1918</v>
      </c>
      <c r="E1534" t="s">
        <v>1872</v>
      </c>
      <c r="F1534" t="s">
        <v>598</v>
      </c>
      <c r="G1534" t="s">
        <v>599</v>
      </c>
      <c r="H1534" t="s">
        <v>600</v>
      </c>
      <c r="I1534" t="s">
        <v>601</v>
      </c>
      <c r="J1534">
        <v>5.1499999999999997E-2</v>
      </c>
      <c r="K1534">
        <v>5.2299999999999999E-2</v>
      </c>
      <c r="L1534">
        <v>5.3199999999999997E-2</v>
      </c>
      <c r="M1534">
        <v>5.3900000000000003E-2</v>
      </c>
      <c r="N1534">
        <v>5.4600000000000003E-2</v>
      </c>
      <c r="O1534">
        <v>5.5300000000000002E-2</v>
      </c>
      <c r="P1534">
        <v>5.6000000000000001E-2</v>
      </c>
      <c r="Q1534">
        <v>5.67E-2</v>
      </c>
      <c r="R1534">
        <v>5.7599999999999998E-2</v>
      </c>
      <c r="S1534">
        <v>5.8599999999999999E-2</v>
      </c>
      <c r="T1534">
        <v>5.9499999999999997E-2</v>
      </c>
      <c r="U1534">
        <v>6.0400000000000002E-2</v>
      </c>
      <c r="V1534">
        <v>6.13E-2</v>
      </c>
      <c r="W1534">
        <v>6.2100000000000002E-2</v>
      </c>
      <c r="X1534">
        <v>6.2899999999999998E-2</v>
      </c>
      <c r="Y1534">
        <v>6.3700000000000007E-2</v>
      </c>
    </row>
    <row r="1535" spans="1:25" hidden="1">
      <c r="A1535" t="s">
        <v>18808</v>
      </c>
      <c r="B1535" t="s">
        <v>1919</v>
      </c>
      <c r="C1535" t="s">
        <v>1845</v>
      </c>
      <c r="D1535" t="s">
        <v>1918</v>
      </c>
      <c r="E1535" t="s">
        <v>1920</v>
      </c>
      <c r="F1535" t="s">
        <v>598</v>
      </c>
      <c r="G1535" t="s">
        <v>599</v>
      </c>
      <c r="H1535" t="s">
        <v>600</v>
      </c>
      <c r="I1535" t="s">
        <v>601</v>
      </c>
      <c r="J1535">
        <v>5.0000000000000001E-4</v>
      </c>
      <c r="K1535">
        <v>5.0000000000000001E-4</v>
      </c>
      <c r="L1535">
        <v>5.0000000000000001E-4</v>
      </c>
      <c r="M1535">
        <v>5.0000000000000001E-4</v>
      </c>
      <c r="N1535">
        <v>5.0000000000000001E-4</v>
      </c>
      <c r="O1535">
        <v>5.0000000000000001E-4</v>
      </c>
      <c r="P1535">
        <v>5.0000000000000001E-4</v>
      </c>
      <c r="Q1535">
        <v>5.0000000000000001E-4</v>
      </c>
      <c r="R1535">
        <v>5.0000000000000001E-4</v>
      </c>
      <c r="S1535">
        <v>5.0000000000000001E-4</v>
      </c>
      <c r="T1535">
        <v>5.0000000000000001E-4</v>
      </c>
      <c r="U1535">
        <v>5.0000000000000001E-4</v>
      </c>
      <c r="V1535">
        <v>5.0000000000000001E-4</v>
      </c>
      <c r="W1535">
        <v>5.0000000000000001E-4</v>
      </c>
      <c r="X1535">
        <v>5.9999999999999995E-4</v>
      </c>
      <c r="Y1535">
        <v>5.9999999999999995E-4</v>
      </c>
    </row>
    <row r="1536" spans="1:25" hidden="1">
      <c r="A1536" t="s">
        <v>18808</v>
      </c>
      <c r="B1536" t="s">
        <v>1931</v>
      </c>
      <c r="C1536" t="s">
        <v>1845</v>
      </c>
      <c r="D1536" t="s">
        <v>1918</v>
      </c>
      <c r="E1536" t="s">
        <v>1896</v>
      </c>
      <c r="F1536" t="s">
        <v>598</v>
      </c>
      <c r="G1536" t="s">
        <v>599</v>
      </c>
      <c r="H1536" t="s">
        <v>600</v>
      </c>
      <c r="I1536" t="s">
        <v>601</v>
      </c>
      <c r="J1536">
        <v>2.7000000000000001E-3</v>
      </c>
      <c r="K1536">
        <v>2.7000000000000001E-3</v>
      </c>
      <c r="L1536">
        <v>2.8E-3</v>
      </c>
      <c r="M1536">
        <v>2.8E-3</v>
      </c>
      <c r="N1536">
        <v>2.8E-3</v>
      </c>
      <c r="O1536">
        <v>2.8999999999999998E-3</v>
      </c>
      <c r="P1536">
        <v>2.8999999999999998E-3</v>
      </c>
      <c r="Q1536">
        <v>2.8999999999999998E-3</v>
      </c>
      <c r="R1536">
        <v>3.0000000000000001E-3</v>
      </c>
      <c r="S1536">
        <v>3.0000000000000001E-3</v>
      </c>
      <c r="T1536">
        <v>3.0999999999999999E-3</v>
      </c>
      <c r="U1536">
        <v>3.0999999999999999E-3</v>
      </c>
      <c r="V1536">
        <v>3.2000000000000002E-3</v>
      </c>
      <c r="W1536">
        <v>3.2000000000000002E-3</v>
      </c>
      <c r="X1536">
        <v>3.3E-3</v>
      </c>
      <c r="Y1536">
        <v>3.3E-3</v>
      </c>
    </row>
    <row r="1537" spans="1:25" hidden="1">
      <c r="A1537" t="s">
        <v>18808</v>
      </c>
      <c r="B1537" t="s">
        <v>1940</v>
      </c>
      <c r="C1537" t="s">
        <v>1845</v>
      </c>
      <c r="D1537" t="s">
        <v>1918</v>
      </c>
      <c r="E1537" t="s">
        <v>1910</v>
      </c>
      <c r="F1537" t="s">
        <v>598</v>
      </c>
      <c r="G1537" t="s">
        <v>599</v>
      </c>
      <c r="H1537" t="s">
        <v>600</v>
      </c>
      <c r="I1537" t="s">
        <v>601</v>
      </c>
      <c r="J1537">
        <v>8.5000000000000006E-3</v>
      </c>
      <c r="K1537">
        <v>8.6999999999999994E-3</v>
      </c>
      <c r="L1537">
        <v>8.8999999999999999E-3</v>
      </c>
      <c r="M1537">
        <v>8.9999999999999993E-3</v>
      </c>
      <c r="N1537">
        <v>9.1999999999999998E-3</v>
      </c>
      <c r="O1537">
        <v>9.2999999999999992E-3</v>
      </c>
      <c r="P1537">
        <v>9.4000000000000004E-3</v>
      </c>
      <c r="Q1537">
        <v>9.4999999999999998E-3</v>
      </c>
      <c r="R1537">
        <v>9.7000000000000003E-3</v>
      </c>
      <c r="S1537">
        <v>9.9000000000000008E-3</v>
      </c>
      <c r="T1537">
        <v>0.01</v>
      </c>
      <c r="U1537">
        <v>1.01E-2</v>
      </c>
      <c r="V1537">
        <v>1.03E-2</v>
      </c>
      <c r="W1537">
        <v>1.04E-2</v>
      </c>
      <c r="X1537">
        <v>1.0500000000000001E-2</v>
      </c>
      <c r="Y1537">
        <v>1.06E-2</v>
      </c>
    </row>
    <row r="1538" spans="1:25" hidden="1">
      <c r="A1538" t="s">
        <v>18808</v>
      </c>
      <c r="B1538" t="s">
        <v>1950</v>
      </c>
      <c r="C1538" t="s">
        <v>1845</v>
      </c>
      <c r="D1538" t="s">
        <v>648</v>
      </c>
      <c r="E1538" t="s">
        <v>1951</v>
      </c>
      <c r="F1538" t="s">
        <v>598</v>
      </c>
      <c r="G1538" t="s">
        <v>599</v>
      </c>
      <c r="H1538" t="s">
        <v>600</v>
      </c>
      <c r="I1538" t="s">
        <v>601</v>
      </c>
      <c r="J1538">
        <v>5.0000000000000001E-4</v>
      </c>
      <c r="K1538">
        <v>5.9999999999999995E-4</v>
      </c>
      <c r="L1538">
        <v>5.9999999999999995E-4</v>
      </c>
      <c r="M1538">
        <v>5.9999999999999995E-4</v>
      </c>
      <c r="N1538">
        <v>5.9999999999999995E-4</v>
      </c>
      <c r="O1538">
        <v>5.9999999999999995E-4</v>
      </c>
      <c r="P1538">
        <v>5.9999999999999995E-4</v>
      </c>
      <c r="Q1538">
        <v>5.9999999999999995E-4</v>
      </c>
      <c r="R1538">
        <v>5.9999999999999995E-4</v>
      </c>
      <c r="S1538">
        <v>5.9999999999999995E-4</v>
      </c>
      <c r="T1538">
        <v>5.9999999999999995E-4</v>
      </c>
      <c r="U1538">
        <v>6.9999999999999999E-4</v>
      </c>
      <c r="V1538">
        <v>6.9999999999999999E-4</v>
      </c>
      <c r="W1538">
        <v>6.9999999999999999E-4</v>
      </c>
      <c r="X1538">
        <v>6.9999999999999999E-4</v>
      </c>
      <c r="Y1538">
        <v>6.9999999999999999E-4</v>
      </c>
    </row>
    <row r="1539" spans="1:25" hidden="1">
      <c r="A1539" t="s">
        <v>18808</v>
      </c>
      <c r="B1539" t="s">
        <v>1964</v>
      </c>
      <c r="C1539" t="s">
        <v>1959</v>
      </c>
      <c r="D1539" t="s">
        <v>1965</v>
      </c>
      <c r="E1539" t="s">
        <v>1966</v>
      </c>
      <c r="F1539" t="s">
        <v>598</v>
      </c>
      <c r="G1539" t="s">
        <v>599</v>
      </c>
      <c r="H1539" t="s">
        <v>600</v>
      </c>
      <c r="I1539" t="s">
        <v>601</v>
      </c>
      <c r="J1539">
        <v>6.2899999999999998E-2</v>
      </c>
      <c r="K1539">
        <v>6.6100000000000006E-2</v>
      </c>
      <c r="L1539">
        <v>6.88E-2</v>
      </c>
      <c r="M1539">
        <v>7.1300000000000002E-2</v>
      </c>
      <c r="N1539">
        <v>7.3899999999999993E-2</v>
      </c>
      <c r="O1539">
        <v>7.6499999999999999E-2</v>
      </c>
      <c r="P1539">
        <v>7.9100000000000004E-2</v>
      </c>
      <c r="Q1539">
        <v>8.1500000000000003E-2</v>
      </c>
      <c r="R1539">
        <v>8.3900000000000002E-2</v>
      </c>
      <c r="S1539">
        <v>8.6400000000000005E-2</v>
      </c>
      <c r="T1539">
        <v>8.8999999999999996E-2</v>
      </c>
      <c r="U1539">
        <v>9.1499999999999998E-2</v>
      </c>
      <c r="V1539">
        <v>9.4200000000000006E-2</v>
      </c>
      <c r="W1539">
        <v>9.69E-2</v>
      </c>
      <c r="X1539">
        <v>9.98E-2</v>
      </c>
      <c r="Y1539">
        <v>0.1026</v>
      </c>
    </row>
    <row r="1540" spans="1:25" hidden="1">
      <c r="A1540" t="s">
        <v>18808</v>
      </c>
      <c r="B1540" t="s">
        <v>1967</v>
      </c>
      <c r="C1540" t="s">
        <v>1959</v>
      </c>
      <c r="D1540" t="s">
        <v>1968</v>
      </c>
      <c r="E1540" t="s">
        <v>1962</v>
      </c>
      <c r="F1540" t="s">
        <v>598</v>
      </c>
      <c r="G1540" t="s">
        <v>599</v>
      </c>
      <c r="H1540" t="s">
        <v>600</v>
      </c>
      <c r="I1540" t="s">
        <v>601</v>
      </c>
      <c r="J1540">
        <v>2.0500000000000001E-2</v>
      </c>
      <c r="K1540">
        <v>2.1999999999999999E-2</v>
      </c>
      <c r="L1540">
        <v>2.3300000000000001E-2</v>
      </c>
      <c r="M1540">
        <v>2.4400000000000002E-2</v>
      </c>
      <c r="N1540">
        <v>2.5399999999999999E-2</v>
      </c>
      <c r="O1540">
        <v>2.63E-2</v>
      </c>
      <c r="P1540">
        <v>2.7E-2</v>
      </c>
      <c r="Q1540">
        <v>2.7799999999999998E-2</v>
      </c>
      <c r="R1540">
        <v>2.8199999999999999E-2</v>
      </c>
      <c r="S1540">
        <v>2.87E-2</v>
      </c>
      <c r="T1540">
        <v>2.92E-2</v>
      </c>
      <c r="U1540">
        <v>0.03</v>
      </c>
      <c r="V1540">
        <v>3.0599999999999999E-2</v>
      </c>
      <c r="W1540">
        <v>3.1399999999999997E-2</v>
      </c>
      <c r="X1540">
        <v>3.2000000000000001E-2</v>
      </c>
      <c r="Y1540">
        <v>3.2599999999999997E-2</v>
      </c>
    </row>
    <row r="1541" spans="1:25" hidden="1">
      <c r="A1541" t="s">
        <v>18808</v>
      </c>
      <c r="B1541" t="s">
        <v>1975</v>
      </c>
      <c r="C1541" t="s">
        <v>1959</v>
      </c>
      <c r="D1541" t="s">
        <v>1972</v>
      </c>
      <c r="E1541" t="s">
        <v>1976</v>
      </c>
      <c r="F1541" t="s">
        <v>598</v>
      </c>
      <c r="G1541" t="s">
        <v>599</v>
      </c>
      <c r="H1541" t="s">
        <v>600</v>
      </c>
      <c r="I1541" t="s">
        <v>601</v>
      </c>
      <c r="J1541">
        <v>1.8E-3</v>
      </c>
      <c r="K1541">
        <v>1.8E-3</v>
      </c>
      <c r="L1541">
        <v>1.8E-3</v>
      </c>
      <c r="M1541">
        <v>1.8E-3</v>
      </c>
      <c r="N1541">
        <v>1.8E-3</v>
      </c>
      <c r="O1541">
        <v>1.8E-3</v>
      </c>
      <c r="P1541">
        <v>1.8E-3</v>
      </c>
      <c r="Q1541">
        <v>1.8E-3</v>
      </c>
      <c r="R1541">
        <v>1.8E-3</v>
      </c>
      <c r="S1541">
        <v>1.8E-3</v>
      </c>
      <c r="T1541">
        <v>1.8E-3</v>
      </c>
      <c r="U1541">
        <v>1.8E-3</v>
      </c>
      <c r="V1541">
        <v>1.8E-3</v>
      </c>
      <c r="W1541">
        <v>1.8E-3</v>
      </c>
      <c r="X1541">
        <v>1.8E-3</v>
      </c>
      <c r="Y1541">
        <v>1.8E-3</v>
      </c>
    </row>
    <row r="1542" spans="1:25" hidden="1">
      <c r="A1542" t="s">
        <v>18808</v>
      </c>
      <c r="B1542" t="s">
        <v>1977</v>
      </c>
      <c r="C1542" t="s">
        <v>1959</v>
      </c>
      <c r="D1542" t="s">
        <v>1972</v>
      </c>
      <c r="E1542" t="s">
        <v>1966</v>
      </c>
      <c r="F1542" t="s">
        <v>598</v>
      </c>
      <c r="G1542" t="s">
        <v>599</v>
      </c>
      <c r="H1542" t="s">
        <v>600</v>
      </c>
      <c r="I1542" t="s">
        <v>601</v>
      </c>
      <c r="J1542">
        <v>9.1000000000000004E-3</v>
      </c>
      <c r="K1542">
        <v>9.4000000000000004E-3</v>
      </c>
      <c r="L1542">
        <v>9.7999999999999997E-3</v>
      </c>
      <c r="M1542">
        <v>1.04E-2</v>
      </c>
      <c r="N1542">
        <v>1.06E-2</v>
      </c>
      <c r="O1542">
        <v>1.09E-2</v>
      </c>
      <c r="P1542">
        <v>1.11E-2</v>
      </c>
      <c r="Q1542">
        <v>1.15E-2</v>
      </c>
      <c r="R1542">
        <v>1.1599999999999999E-2</v>
      </c>
      <c r="S1542">
        <v>1.2E-2</v>
      </c>
      <c r="T1542">
        <v>1.24E-2</v>
      </c>
      <c r="U1542">
        <v>1.26E-2</v>
      </c>
      <c r="V1542">
        <v>1.29E-2</v>
      </c>
      <c r="W1542">
        <v>1.3100000000000001E-2</v>
      </c>
      <c r="X1542">
        <v>1.3299999999999999E-2</v>
      </c>
      <c r="Y1542">
        <v>1.3599999999999999E-2</v>
      </c>
    </row>
    <row r="1543" spans="1:25" hidden="1">
      <c r="A1543" t="s">
        <v>18808</v>
      </c>
      <c r="B1543" t="s">
        <v>1985</v>
      </c>
      <c r="C1543" t="s">
        <v>1959</v>
      </c>
      <c r="D1543" t="s">
        <v>1983</v>
      </c>
      <c r="E1543" t="s">
        <v>1378</v>
      </c>
      <c r="F1543" t="s">
        <v>598</v>
      </c>
      <c r="G1543" t="s">
        <v>599</v>
      </c>
      <c r="H1543" t="s">
        <v>600</v>
      </c>
      <c r="I1543" t="s">
        <v>601</v>
      </c>
      <c r="J1543">
        <v>1E-4</v>
      </c>
      <c r="K1543">
        <v>1E-4</v>
      </c>
      <c r="L1543">
        <v>1E-4</v>
      </c>
      <c r="M1543">
        <v>1E-4</v>
      </c>
      <c r="N1543">
        <v>1E-4</v>
      </c>
      <c r="O1543">
        <v>1E-4</v>
      </c>
      <c r="P1543">
        <v>1E-4</v>
      </c>
      <c r="Q1543">
        <v>1E-4</v>
      </c>
      <c r="R1543">
        <v>1E-4</v>
      </c>
      <c r="S1543">
        <v>1E-4</v>
      </c>
      <c r="T1543">
        <v>1E-4</v>
      </c>
      <c r="U1543">
        <v>1E-4</v>
      </c>
      <c r="V1543">
        <v>1E-4</v>
      </c>
      <c r="W1543">
        <v>1E-4</v>
      </c>
      <c r="X1543">
        <v>1E-4</v>
      </c>
      <c r="Y1543">
        <v>1E-4</v>
      </c>
    </row>
    <row r="1544" spans="1:25" hidden="1">
      <c r="A1544" t="s">
        <v>18808</v>
      </c>
      <c r="B1544" t="s">
        <v>2004</v>
      </c>
      <c r="C1544" t="s">
        <v>1959</v>
      </c>
      <c r="D1544" t="s">
        <v>2001</v>
      </c>
      <c r="E1544" t="s">
        <v>1380</v>
      </c>
      <c r="F1544" t="s">
        <v>598</v>
      </c>
      <c r="G1544" t="s">
        <v>599</v>
      </c>
      <c r="H1544" t="s">
        <v>600</v>
      </c>
      <c r="I1544" t="s">
        <v>601</v>
      </c>
      <c r="J1544">
        <v>8.0000000000000004E-4</v>
      </c>
      <c r="K1544">
        <v>8.9999999999999998E-4</v>
      </c>
      <c r="L1544">
        <v>8.9999999999999998E-4</v>
      </c>
      <c r="M1544">
        <v>1E-3</v>
      </c>
      <c r="N1544">
        <v>1.1000000000000001E-3</v>
      </c>
      <c r="O1544">
        <v>1.1000000000000001E-3</v>
      </c>
      <c r="P1544">
        <v>1.1999999999999999E-3</v>
      </c>
      <c r="Q1544">
        <v>1.1999999999999999E-3</v>
      </c>
      <c r="R1544">
        <v>1.1999999999999999E-3</v>
      </c>
      <c r="S1544">
        <v>1.2999999999999999E-3</v>
      </c>
      <c r="T1544">
        <v>1.2999999999999999E-3</v>
      </c>
      <c r="U1544">
        <v>1.2999999999999999E-3</v>
      </c>
      <c r="V1544">
        <v>1.4E-3</v>
      </c>
      <c r="W1544">
        <v>1.4E-3</v>
      </c>
      <c r="X1544">
        <v>1.4E-3</v>
      </c>
      <c r="Y1544">
        <v>1.5E-3</v>
      </c>
    </row>
    <row r="1545" spans="1:25" hidden="1">
      <c r="A1545" t="s">
        <v>18808</v>
      </c>
      <c r="B1545" t="s">
        <v>2005</v>
      </c>
      <c r="C1545" t="s">
        <v>1959</v>
      </c>
      <c r="D1545" t="s">
        <v>2001</v>
      </c>
      <c r="E1545" t="s">
        <v>1976</v>
      </c>
      <c r="F1545" t="s">
        <v>598</v>
      </c>
      <c r="G1545" t="s">
        <v>599</v>
      </c>
      <c r="H1545" t="s">
        <v>600</v>
      </c>
      <c r="I1545" t="s">
        <v>601</v>
      </c>
      <c r="J1545">
        <v>0.03</v>
      </c>
      <c r="K1545">
        <v>3.1899999999999998E-2</v>
      </c>
      <c r="L1545">
        <v>3.3700000000000001E-2</v>
      </c>
      <c r="M1545">
        <v>3.5400000000000001E-2</v>
      </c>
      <c r="N1545">
        <v>3.6999999999999998E-2</v>
      </c>
      <c r="O1545">
        <v>3.8699999999999998E-2</v>
      </c>
      <c r="P1545">
        <v>4.0099999999999997E-2</v>
      </c>
      <c r="Q1545">
        <v>4.1799999999999997E-2</v>
      </c>
      <c r="R1545">
        <v>4.2599999999999999E-2</v>
      </c>
      <c r="S1545">
        <v>4.3999999999999997E-2</v>
      </c>
      <c r="T1545">
        <v>4.5199999999999997E-2</v>
      </c>
      <c r="U1545">
        <v>4.6300000000000001E-2</v>
      </c>
      <c r="V1545">
        <v>4.7699999999999999E-2</v>
      </c>
      <c r="W1545">
        <v>4.8899999999999999E-2</v>
      </c>
      <c r="X1545">
        <v>5.0299999999999997E-2</v>
      </c>
      <c r="Y1545">
        <v>5.16E-2</v>
      </c>
    </row>
    <row r="1546" spans="1:25" hidden="1">
      <c r="A1546" t="s">
        <v>18808</v>
      </c>
      <c r="B1546" t="s">
        <v>2008</v>
      </c>
      <c r="C1546" t="s">
        <v>1959</v>
      </c>
      <c r="D1546" t="s">
        <v>2009</v>
      </c>
      <c r="E1546" t="s">
        <v>2010</v>
      </c>
      <c r="F1546" t="s">
        <v>598</v>
      </c>
      <c r="G1546" t="s">
        <v>599</v>
      </c>
      <c r="H1546" t="s">
        <v>600</v>
      </c>
      <c r="I1546" t="s">
        <v>601</v>
      </c>
      <c r="J1546">
        <v>2.64E-2</v>
      </c>
      <c r="K1546">
        <v>2.7900000000000001E-2</v>
      </c>
      <c r="L1546">
        <v>2.9100000000000001E-2</v>
      </c>
      <c r="M1546">
        <v>3.0099999999999998E-2</v>
      </c>
      <c r="N1546">
        <v>3.1199999999999999E-2</v>
      </c>
      <c r="O1546">
        <v>3.2399999999999998E-2</v>
      </c>
      <c r="P1546">
        <v>3.3399999999999999E-2</v>
      </c>
      <c r="Q1546">
        <v>3.4500000000000003E-2</v>
      </c>
      <c r="R1546">
        <v>3.5499999999999997E-2</v>
      </c>
      <c r="S1546">
        <v>3.6700000000000003E-2</v>
      </c>
      <c r="T1546">
        <v>3.7600000000000001E-2</v>
      </c>
      <c r="U1546">
        <v>3.8800000000000001E-2</v>
      </c>
      <c r="V1546">
        <v>0.04</v>
      </c>
      <c r="W1546">
        <v>4.1200000000000001E-2</v>
      </c>
      <c r="X1546">
        <v>4.24E-2</v>
      </c>
      <c r="Y1546">
        <v>4.36E-2</v>
      </c>
    </row>
    <row r="1547" spans="1:25" hidden="1">
      <c r="A1547" t="s">
        <v>18808</v>
      </c>
      <c r="B1547" t="s">
        <v>2017</v>
      </c>
      <c r="C1547" t="s">
        <v>1959</v>
      </c>
      <c r="D1547" t="s">
        <v>1817</v>
      </c>
      <c r="E1547" t="s">
        <v>1962</v>
      </c>
      <c r="F1547" t="s">
        <v>598</v>
      </c>
      <c r="G1547" t="s">
        <v>599</v>
      </c>
      <c r="H1547" t="s">
        <v>600</v>
      </c>
      <c r="I1547" t="s">
        <v>601</v>
      </c>
      <c r="J1547">
        <v>1.1999999999999999E-3</v>
      </c>
      <c r="K1547">
        <v>1.1999999999999999E-3</v>
      </c>
      <c r="L1547">
        <v>1.1999999999999999E-3</v>
      </c>
      <c r="M1547">
        <v>1.1999999999999999E-3</v>
      </c>
      <c r="N1547">
        <v>1.1999999999999999E-3</v>
      </c>
      <c r="O1547">
        <v>1.1999999999999999E-3</v>
      </c>
      <c r="P1547">
        <v>1.1999999999999999E-3</v>
      </c>
      <c r="Q1547">
        <v>1.1999999999999999E-3</v>
      </c>
      <c r="R1547">
        <v>1.1999999999999999E-3</v>
      </c>
      <c r="S1547">
        <v>1.1999999999999999E-3</v>
      </c>
      <c r="T1547">
        <v>1.1999999999999999E-3</v>
      </c>
      <c r="U1547">
        <v>1.1999999999999999E-3</v>
      </c>
      <c r="V1547">
        <v>1.1999999999999999E-3</v>
      </c>
      <c r="W1547">
        <v>1.1999999999999999E-3</v>
      </c>
      <c r="X1547">
        <v>1.2999999999999999E-3</v>
      </c>
      <c r="Y1547">
        <v>1.2999999999999999E-3</v>
      </c>
    </row>
    <row r="1548" spans="1:25" hidden="1">
      <c r="A1548" t="s">
        <v>18808</v>
      </c>
      <c r="B1548" t="s">
        <v>2019</v>
      </c>
      <c r="C1548" t="s">
        <v>1959</v>
      </c>
      <c r="D1548" t="s">
        <v>1817</v>
      </c>
      <c r="E1548" t="s">
        <v>1976</v>
      </c>
      <c r="F1548" t="s">
        <v>598</v>
      </c>
      <c r="G1548" t="s">
        <v>599</v>
      </c>
      <c r="H1548" t="s">
        <v>600</v>
      </c>
      <c r="I1548" t="s">
        <v>601</v>
      </c>
      <c r="J1548">
        <v>2.9999999999999997E-4</v>
      </c>
      <c r="K1548">
        <v>2.9999999999999997E-4</v>
      </c>
      <c r="L1548">
        <v>4.0000000000000002E-4</v>
      </c>
      <c r="M1548">
        <v>4.0000000000000002E-4</v>
      </c>
      <c r="N1548">
        <v>4.0000000000000002E-4</v>
      </c>
      <c r="O1548">
        <v>4.0000000000000002E-4</v>
      </c>
      <c r="P1548">
        <v>4.0000000000000002E-4</v>
      </c>
      <c r="Q1548">
        <v>5.0000000000000001E-4</v>
      </c>
      <c r="R1548">
        <v>5.0000000000000001E-4</v>
      </c>
      <c r="S1548">
        <v>5.0000000000000001E-4</v>
      </c>
      <c r="T1548">
        <v>5.0000000000000001E-4</v>
      </c>
      <c r="U1548">
        <v>5.0000000000000001E-4</v>
      </c>
      <c r="V1548">
        <v>5.0000000000000001E-4</v>
      </c>
      <c r="W1548">
        <v>5.0000000000000001E-4</v>
      </c>
      <c r="X1548">
        <v>5.0000000000000001E-4</v>
      </c>
      <c r="Y1548">
        <v>5.9999999999999995E-4</v>
      </c>
    </row>
    <row r="1549" spans="1:25" hidden="1">
      <c r="A1549" t="s">
        <v>18808</v>
      </c>
      <c r="B1549" t="s">
        <v>2028</v>
      </c>
      <c r="C1549" t="s">
        <v>1959</v>
      </c>
      <c r="D1549" t="s">
        <v>1817</v>
      </c>
      <c r="E1549" t="s">
        <v>1966</v>
      </c>
      <c r="F1549" t="s">
        <v>598</v>
      </c>
      <c r="G1549" t="s">
        <v>599</v>
      </c>
      <c r="H1549" t="s">
        <v>600</v>
      </c>
      <c r="I1549" t="s">
        <v>601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hidden="1">
      <c r="A1550" t="s">
        <v>18808</v>
      </c>
      <c r="B1550" t="s">
        <v>2039</v>
      </c>
      <c r="C1550" t="s">
        <v>1959</v>
      </c>
      <c r="D1550" t="s">
        <v>648</v>
      </c>
      <c r="E1550" t="s">
        <v>1378</v>
      </c>
      <c r="F1550" t="s">
        <v>598</v>
      </c>
      <c r="G1550" t="s">
        <v>599</v>
      </c>
      <c r="H1550" t="s">
        <v>600</v>
      </c>
      <c r="I1550" t="s">
        <v>601</v>
      </c>
      <c r="J1550">
        <v>0.40029999999999999</v>
      </c>
      <c r="K1550">
        <v>0.42170000000000002</v>
      </c>
      <c r="L1550">
        <v>0.43909999999999999</v>
      </c>
      <c r="M1550">
        <v>0.45550000000000002</v>
      </c>
      <c r="N1550">
        <v>0.47249999999999998</v>
      </c>
      <c r="O1550">
        <v>0.48970000000000002</v>
      </c>
      <c r="P1550">
        <v>0.50629999999999997</v>
      </c>
      <c r="Q1550">
        <v>0.52229999999999999</v>
      </c>
      <c r="R1550">
        <v>0.53790000000000004</v>
      </c>
      <c r="S1550">
        <v>0.55449999999999999</v>
      </c>
      <c r="T1550">
        <v>0.57130000000000003</v>
      </c>
      <c r="U1550">
        <v>0.58819999999999995</v>
      </c>
      <c r="V1550">
        <v>0.60529999999999995</v>
      </c>
      <c r="W1550">
        <v>0.62370000000000003</v>
      </c>
      <c r="X1550">
        <v>0.64219999999999999</v>
      </c>
      <c r="Y1550">
        <v>0.66100000000000003</v>
      </c>
    </row>
    <row r="1551" spans="1:25" hidden="1">
      <c r="A1551" t="s">
        <v>18808</v>
      </c>
      <c r="B1551" t="s">
        <v>2050</v>
      </c>
      <c r="C1551" t="s">
        <v>1959</v>
      </c>
      <c r="D1551" t="s">
        <v>648</v>
      </c>
      <c r="E1551" t="s">
        <v>2051</v>
      </c>
      <c r="F1551" t="s">
        <v>598</v>
      </c>
      <c r="G1551" t="s">
        <v>599</v>
      </c>
      <c r="H1551" t="s">
        <v>600</v>
      </c>
      <c r="I1551" t="s">
        <v>601</v>
      </c>
      <c r="J1551">
        <v>9.3600000000000003E-2</v>
      </c>
      <c r="K1551">
        <v>9.4299999999999995E-2</v>
      </c>
      <c r="L1551">
        <v>9.4600000000000004E-2</v>
      </c>
      <c r="M1551">
        <v>9.4500000000000001E-2</v>
      </c>
      <c r="N1551">
        <v>9.4600000000000004E-2</v>
      </c>
      <c r="O1551">
        <v>9.4799999999999995E-2</v>
      </c>
      <c r="P1551">
        <v>9.5000000000000001E-2</v>
      </c>
      <c r="Q1551">
        <v>9.5299999999999996E-2</v>
      </c>
      <c r="R1551">
        <v>9.69E-2</v>
      </c>
      <c r="S1551">
        <v>9.8400000000000001E-2</v>
      </c>
      <c r="T1551">
        <v>9.9900000000000003E-2</v>
      </c>
      <c r="U1551">
        <v>0.10150000000000001</v>
      </c>
      <c r="V1551">
        <v>0.10299999999999999</v>
      </c>
      <c r="W1551">
        <v>0.1045</v>
      </c>
      <c r="X1551">
        <v>0.106</v>
      </c>
      <c r="Y1551">
        <v>0.1075</v>
      </c>
    </row>
    <row r="1552" spans="1:25" hidden="1">
      <c r="A1552" t="s">
        <v>18808</v>
      </c>
      <c r="B1552" t="s">
        <v>2054</v>
      </c>
      <c r="C1552" t="s">
        <v>1959</v>
      </c>
      <c r="D1552" t="s">
        <v>648</v>
      </c>
      <c r="E1552" t="s">
        <v>2013</v>
      </c>
      <c r="F1552" t="s">
        <v>598</v>
      </c>
      <c r="G1552" t="s">
        <v>599</v>
      </c>
      <c r="H1552" t="s">
        <v>600</v>
      </c>
      <c r="I1552" t="s">
        <v>601</v>
      </c>
      <c r="J1552">
        <v>1.6E-2</v>
      </c>
      <c r="K1552">
        <v>1.6299999999999999E-2</v>
      </c>
      <c r="L1552">
        <v>1.67E-2</v>
      </c>
      <c r="M1552">
        <v>1.7000000000000001E-2</v>
      </c>
      <c r="N1552">
        <v>1.7299999999999999E-2</v>
      </c>
      <c r="O1552">
        <v>1.7600000000000001E-2</v>
      </c>
      <c r="P1552">
        <v>1.78E-2</v>
      </c>
      <c r="Q1552">
        <v>1.7999999999999999E-2</v>
      </c>
      <c r="R1552">
        <v>1.83E-2</v>
      </c>
      <c r="S1552">
        <v>1.8599999999999998E-2</v>
      </c>
      <c r="T1552">
        <v>1.89E-2</v>
      </c>
      <c r="U1552">
        <v>1.9099999999999999E-2</v>
      </c>
      <c r="V1552">
        <v>1.9400000000000001E-2</v>
      </c>
      <c r="W1552">
        <v>1.9599999999999999E-2</v>
      </c>
      <c r="X1552">
        <v>1.9800000000000002E-2</v>
      </c>
      <c r="Y1552">
        <v>0.02</v>
      </c>
    </row>
    <row r="1553" spans="1:25" hidden="1">
      <c r="A1553" t="s">
        <v>18808</v>
      </c>
      <c r="B1553" t="s">
        <v>2058</v>
      </c>
      <c r="C1553" t="s">
        <v>1959</v>
      </c>
      <c r="D1553" t="s">
        <v>648</v>
      </c>
      <c r="E1553" t="s">
        <v>2025</v>
      </c>
      <c r="F1553" t="s">
        <v>598</v>
      </c>
      <c r="G1553" t="s">
        <v>599</v>
      </c>
      <c r="H1553" t="s">
        <v>600</v>
      </c>
      <c r="I1553" t="s">
        <v>601</v>
      </c>
      <c r="J1553">
        <v>9.4000000000000004E-3</v>
      </c>
      <c r="K1553">
        <v>9.4999999999999998E-3</v>
      </c>
      <c r="L1553">
        <v>9.4999999999999998E-3</v>
      </c>
      <c r="M1553">
        <v>9.4999999999999998E-3</v>
      </c>
      <c r="N1553">
        <v>9.4999999999999998E-3</v>
      </c>
      <c r="O1553">
        <v>9.5999999999999992E-3</v>
      </c>
      <c r="P1553">
        <v>9.5999999999999992E-3</v>
      </c>
      <c r="Q1553">
        <v>9.5999999999999992E-3</v>
      </c>
      <c r="R1553">
        <v>9.7999999999999997E-3</v>
      </c>
      <c r="S1553">
        <v>9.9000000000000008E-3</v>
      </c>
      <c r="T1553">
        <v>0.01</v>
      </c>
      <c r="U1553">
        <v>1.03E-2</v>
      </c>
      <c r="V1553">
        <v>1.03E-2</v>
      </c>
      <c r="W1553">
        <v>1.0500000000000001E-2</v>
      </c>
      <c r="X1553">
        <v>1.0699999999999999E-2</v>
      </c>
      <c r="Y1553">
        <v>1.09E-2</v>
      </c>
    </row>
    <row r="1554" spans="1:25" hidden="1">
      <c r="A1554" t="s">
        <v>18808</v>
      </c>
      <c r="B1554" t="s">
        <v>2072</v>
      </c>
      <c r="C1554" t="s">
        <v>1959</v>
      </c>
      <c r="D1554" t="s">
        <v>648</v>
      </c>
      <c r="E1554" t="s">
        <v>1966</v>
      </c>
      <c r="F1554" t="s">
        <v>598</v>
      </c>
      <c r="G1554" t="s">
        <v>599</v>
      </c>
      <c r="H1554" t="s">
        <v>600</v>
      </c>
      <c r="I1554" t="s">
        <v>601</v>
      </c>
      <c r="J1554">
        <v>1.1999999999999999E-3</v>
      </c>
      <c r="K1554">
        <v>1.1999999999999999E-3</v>
      </c>
      <c r="L1554">
        <v>1.1999999999999999E-3</v>
      </c>
      <c r="M1554">
        <v>1.1999999999999999E-3</v>
      </c>
      <c r="N1554">
        <v>1.1999999999999999E-3</v>
      </c>
      <c r="O1554">
        <v>1.1999999999999999E-3</v>
      </c>
      <c r="P1554">
        <v>1.1999999999999999E-3</v>
      </c>
      <c r="Q1554">
        <v>1.1999999999999999E-3</v>
      </c>
      <c r="R1554">
        <v>1.1999999999999999E-3</v>
      </c>
      <c r="S1554">
        <v>1.1999999999999999E-3</v>
      </c>
      <c r="T1554">
        <v>1.1999999999999999E-3</v>
      </c>
      <c r="U1554">
        <v>1.1999999999999999E-3</v>
      </c>
      <c r="V1554">
        <v>1.1999999999999999E-3</v>
      </c>
      <c r="W1554">
        <v>1.1999999999999999E-3</v>
      </c>
      <c r="X1554">
        <v>1.1999999999999999E-3</v>
      </c>
      <c r="Y1554">
        <v>1.1999999999999999E-3</v>
      </c>
    </row>
    <row r="1555" spans="1:25" hidden="1">
      <c r="A1555" t="s">
        <v>18808</v>
      </c>
      <c r="B1555" t="s">
        <v>2106</v>
      </c>
      <c r="C1555" t="s">
        <v>2075</v>
      </c>
      <c r="D1555" t="s">
        <v>648</v>
      </c>
      <c r="E1555" t="s">
        <v>1378</v>
      </c>
      <c r="F1555" t="s">
        <v>598</v>
      </c>
      <c r="G1555" t="s">
        <v>599</v>
      </c>
      <c r="H1555" t="s">
        <v>600</v>
      </c>
      <c r="I1555" t="s">
        <v>601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hidden="1">
      <c r="A1556" t="s">
        <v>18808</v>
      </c>
      <c r="B1556" t="s">
        <v>2128</v>
      </c>
      <c r="C1556" t="s">
        <v>2116</v>
      </c>
      <c r="D1556" t="s">
        <v>648</v>
      </c>
      <c r="E1556" t="s">
        <v>656</v>
      </c>
      <c r="F1556" t="s">
        <v>598</v>
      </c>
      <c r="G1556" t="s">
        <v>599</v>
      </c>
      <c r="H1556" t="s">
        <v>600</v>
      </c>
      <c r="I1556" t="s">
        <v>601</v>
      </c>
      <c r="J1556">
        <v>7.5200000000000003E-2</v>
      </c>
      <c r="K1556">
        <v>8.0799999999999997E-2</v>
      </c>
      <c r="L1556">
        <v>8.7099999999999997E-2</v>
      </c>
      <c r="M1556">
        <v>9.4700000000000006E-2</v>
      </c>
      <c r="N1556">
        <v>0.10050000000000001</v>
      </c>
      <c r="O1556">
        <v>0.10730000000000001</v>
      </c>
      <c r="P1556">
        <v>0.112</v>
      </c>
      <c r="Q1556">
        <v>0.1179</v>
      </c>
      <c r="R1556">
        <v>0.12</v>
      </c>
      <c r="S1556">
        <v>0.1237</v>
      </c>
      <c r="T1556">
        <v>0.12740000000000001</v>
      </c>
      <c r="U1556">
        <v>0.13020000000000001</v>
      </c>
      <c r="V1556">
        <v>0.13350000000000001</v>
      </c>
      <c r="W1556">
        <v>0.1368</v>
      </c>
      <c r="X1556">
        <v>0.1401</v>
      </c>
      <c r="Y1556">
        <v>0.14330000000000001</v>
      </c>
    </row>
    <row r="1557" spans="1:25" hidden="1">
      <c r="A1557" t="s">
        <v>18808</v>
      </c>
      <c r="B1557" t="s">
        <v>2165</v>
      </c>
      <c r="C1557" t="s">
        <v>2154</v>
      </c>
      <c r="D1557" t="s">
        <v>1324</v>
      </c>
      <c r="E1557" t="s">
        <v>630</v>
      </c>
      <c r="F1557" t="s">
        <v>598</v>
      </c>
      <c r="G1557" t="s">
        <v>599</v>
      </c>
      <c r="H1557" t="s">
        <v>600</v>
      </c>
      <c r="I1557" t="s">
        <v>601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hidden="1">
      <c r="A1558" t="s">
        <v>18808</v>
      </c>
      <c r="B1558" t="s">
        <v>2169</v>
      </c>
      <c r="C1558" t="s">
        <v>2154</v>
      </c>
      <c r="D1558" t="s">
        <v>1332</v>
      </c>
      <c r="E1558" t="s">
        <v>630</v>
      </c>
      <c r="F1558" t="s">
        <v>598</v>
      </c>
      <c r="G1558" t="s">
        <v>599</v>
      </c>
      <c r="H1558" t="s">
        <v>600</v>
      </c>
      <c r="I1558" t="s">
        <v>601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hidden="1">
      <c r="A1559" t="s">
        <v>18808</v>
      </c>
      <c r="B1559" t="s">
        <v>2172</v>
      </c>
      <c r="C1559" t="s">
        <v>2154</v>
      </c>
      <c r="D1559" t="s">
        <v>1435</v>
      </c>
      <c r="E1559" t="s">
        <v>973</v>
      </c>
      <c r="F1559" t="s">
        <v>598</v>
      </c>
      <c r="G1559" t="s">
        <v>599</v>
      </c>
      <c r="H1559" t="s">
        <v>600</v>
      </c>
      <c r="I1559" t="s">
        <v>601</v>
      </c>
      <c r="J1559">
        <v>1.5E-3</v>
      </c>
      <c r="K1559">
        <v>1.5E-3</v>
      </c>
      <c r="L1559">
        <v>1.4E-3</v>
      </c>
      <c r="M1559">
        <v>1.4E-3</v>
      </c>
      <c r="N1559">
        <v>1.4E-3</v>
      </c>
      <c r="O1559">
        <v>1.4E-3</v>
      </c>
      <c r="P1559">
        <v>1.5E-3</v>
      </c>
      <c r="Q1559">
        <v>1.5E-3</v>
      </c>
      <c r="R1559">
        <v>1.6000000000000001E-3</v>
      </c>
      <c r="S1559">
        <v>1.6000000000000001E-3</v>
      </c>
      <c r="T1559">
        <v>1.6000000000000001E-3</v>
      </c>
      <c r="U1559">
        <v>1.6000000000000001E-3</v>
      </c>
      <c r="V1559">
        <v>1.6000000000000001E-3</v>
      </c>
      <c r="W1559">
        <v>1.6000000000000001E-3</v>
      </c>
      <c r="X1559">
        <v>1.6000000000000001E-3</v>
      </c>
      <c r="Y1559">
        <v>1.6000000000000001E-3</v>
      </c>
    </row>
    <row r="1560" spans="1:25" hidden="1">
      <c r="A1560" t="s">
        <v>18808</v>
      </c>
      <c r="B1560" t="s">
        <v>2184</v>
      </c>
      <c r="C1560" t="s">
        <v>2154</v>
      </c>
      <c r="D1560" t="s">
        <v>2185</v>
      </c>
      <c r="E1560" t="s">
        <v>2186</v>
      </c>
      <c r="F1560" t="s">
        <v>598</v>
      </c>
      <c r="G1560" t="s">
        <v>599</v>
      </c>
      <c r="H1560" t="s">
        <v>600</v>
      </c>
      <c r="I1560" t="s">
        <v>601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hidden="1">
      <c r="A1561" t="s">
        <v>18808</v>
      </c>
      <c r="B1561" t="s">
        <v>2187</v>
      </c>
      <c r="C1561" t="s">
        <v>2154</v>
      </c>
      <c r="D1561" t="s">
        <v>648</v>
      </c>
      <c r="E1561" t="s">
        <v>920</v>
      </c>
      <c r="F1561" t="s">
        <v>598</v>
      </c>
      <c r="G1561" t="s">
        <v>599</v>
      </c>
      <c r="H1561" t="s">
        <v>600</v>
      </c>
      <c r="I1561" t="s">
        <v>601</v>
      </c>
      <c r="J1561">
        <v>5.0000000000000001E-4</v>
      </c>
      <c r="K1561">
        <v>5.9999999999999995E-4</v>
      </c>
      <c r="L1561">
        <v>5.9999999999999995E-4</v>
      </c>
      <c r="M1561">
        <v>5.9999999999999995E-4</v>
      </c>
      <c r="N1561">
        <v>5.9999999999999995E-4</v>
      </c>
      <c r="O1561">
        <v>6.9999999999999999E-4</v>
      </c>
      <c r="P1561">
        <v>6.9999999999999999E-4</v>
      </c>
      <c r="Q1561">
        <v>6.9999999999999999E-4</v>
      </c>
      <c r="R1561">
        <v>6.9999999999999999E-4</v>
      </c>
      <c r="S1561">
        <v>8.0000000000000004E-4</v>
      </c>
      <c r="T1561">
        <v>8.0000000000000004E-4</v>
      </c>
      <c r="U1561">
        <v>8.0000000000000004E-4</v>
      </c>
      <c r="V1561">
        <v>8.0000000000000004E-4</v>
      </c>
      <c r="W1561">
        <v>8.9999999999999998E-4</v>
      </c>
      <c r="X1561">
        <v>8.9999999999999998E-4</v>
      </c>
      <c r="Y1561">
        <v>8.9999999999999998E-4</v>
      </c>
    </row>
    <row r="1562" spans="1:25" hidden="1">
      <c r="A1562" t="s">
        <v>18808</v>
      </c>
      <c r="B1562" t="s">
        <v>2188</v>
      </c>
      <c r="C1562" t="s">
        <v>2154</v>
      </c>
      <c r="D1562" t="s">
        <v>648</v>
      </c>
      <c r="E1562" t="s">
        <v>973</v>
      </c>
      <c r="F1562" t="s">
        <v>598</v>
      </c>
      <c r="G1562" t="s">
        <v>599</v>
      </c>
      <c r="H1562" t="s">
        <v>600</v>
      </c>
      <c r="I1562" t="s">
        <v>601</v>
      </c>
      <c r="J1562">
        <v>9.4000000000000004E-3</v>
      </c>
      <c r="K1562">
        <v>9.4000000000000004E-3</v>
      </c>
      <c r="L1562">
        <v>9.1000000000000004E-3</v>
      </c>
      <c r="M1562">
        <v>9.1999999999999998E-3</v>
      </c>
      <c r="N1562">
        <v>9.1999999999999998E-3</v>
      </c>
      <c r="O1562">
        <v>9.1999999999999998E-3</v>
      </c>
      <c r="P1562">
        <v>9.4999999999999998E-3</v>
      </c>
      <c r="Q1562">
        <v>9.7999999999999997E-3</v>
      </c>
      <c r="R1562">
        <v>9.9000000000000008E-3</v>
      </c>
      <c r="S1562">
        <v>0.01</v>
      </c>
      <c r="T1562">
        <v>1.01E-2</v>
      </c>
      <c r="U1562">
        <v>1.01E-2</v>
      </c>
      <c r="V1562">
        <v>1.01E-2</v>
      </c>
      <c r="W1562">
        <v>1.01E-2</v>
      </c>
      <c r="X1562">
        <v>1.01E-2</v>
      </c>
      <c r="Y1562">
        <v>1.01E-2</v>
      </c>
    </row>
    <row r="1563" spans="1:25" hidden="1">
      <c r="A1563" t="s">
        <v>18808</v>
      </c>
      <c r="B1563" t="s">
        <v>2208</v>
      </c>
      <c r="C1563" t="s">
        <v>2154</v>
      </c>
      <c r="D1563" t="s">
        <v>648</v>
      </c>
      <c r="E1563" t="s">
        <v>2060</v>
      </c>
      <c r="F1563" t="s">
        <v>598</v>
      </c>
      <c r="G1563" t="s">
        <v>599</v>
      </c>
      <c r="H1563" t="s">
        <v>600</v>
      </c>
      <c r="I1563" t="s">
        <v>601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 hidden="1">
      <c r="A1564" t="s">
        <v>18808</v>
      </c>
      <c r="B1564" t="s">
        <v>2209</v>
      </c>
      <c r="C1564" t="s">
        <v>2154</v>
      </c>
      <c r="D1564" t="s">
        <v>648</v>
      </c>
      <c r="E1564" t="s">
        <v>1004</v>
      </c>
      <c r="F1564" t="s">
        <v>598</v>
      </c>
      <c r="G1564" t="s">
        <v>599</v>
      </c>
      <c r="H1564" t="s">
        <v>600</v>
      </c>
      <c r="I1564" t="s">
        <v>601</v>
      </c>
      <c r="J1564">
        <v>1E-4</v>
      </c>
      <c r="K1564">
        <v>1E-4</v>
      </c>
      <c r="L1564">
        <v>1E-4</v>
      </c>
      <c r="M1564">
        <v>1E-4</v>
      </c>
      <c r="N1564">
        <v>1E-4</v>
      </c>
      <c r="O1564">
        <v>1E-4</v>
      </c>
      <c r="P1564">
        <v>1E-4</v>
      </c>
      <c r="Q1564">
        <v>1E-4</v>
      </c>
      <c r="R1564">
        <v>1E-4</v>
      </c>
      <c r="S1564">
        <v>1E-4</v>
      </c>
      <c r="T1564">
        <v>1E-4</v>
      </c>
      <c r="U1564">
        <v>2.0000000000000001E-4</v>
      </c>
      <c r="V1564">
        <v>2.0000000000000001E-4</v>
      </c>
      <c r="W1564">
        <v>2.0000000000000001E-4</v>
      </c>
      <c r="X1564">
        <v>2.0000000000000001E-4</v>
      </c>
      <c r="Y1564">
        <v>2.0000000000000001E-4</v>
      </c>
    </row>
    <row r="1565" spans="1:25">
      <c r="J1565">
        <f>SUBTOTAL(109,Table113[2015])</f>
        <v>8.14E-2</v>
      </c>
      <c r="K1565">
        <f>SUBTOTAL(109,Table113[2016])</f>
        <v>8.09E-2</v>
      </c>
      <c r="L1565">
        <f>SUBTOTAL(109,Table113[2017])</f>
        <v>7.8700000000000006E-2</v>
      </c>
      <c r="M1565">
        <f>SUBTOTAL(109,Table113[2018])</f>
        <v>7.9399999999999998E-2</v>
      </c>
      <c r="N1565">
        <f>SUBTOTAL(109,Table113[2019])</f>
        <v>7.9100000000000004E-2</v>
      </c>
      <c r="O1565">
        <f>SUBTOTAL(109,Table113[2020])</f>
        <v>7.8899999999999998E-2</v>
      </c>
      <c r="P1565">
        <f>SUBTOTAL(109,Table113[2021])</f>
        <v>8.2000000000000003E-2</v>
      </c>
      <c r="Q1565">
        <f>SUBTOTAL(109,Table113[2022])</f>
        <v>8.43E-2</v>
      </c>
      <c r="R1565">
        <f>SUBTOTAL(109,Table113[2023])</f>
        <v>8.5699999999999998E-2</v>
      </c>
      <c r="S1565">
        <f>SUBTOTAL(109,Table113[2024])</f>
        <v>8.6599999999999996E-2</v>
      </c>
      <c r="T1565">
        <f>SUBTOTAL(109,Table113[2025])</f>
        <v>8.7400000000000005E-2</v>
      </c>
      <c r="U1565">
        <f>SUBTOTAL(109,Table113[2026])</f>
        <v>8.7400000000000005E-2</v>
      </c>
      <c r="V1565">
        <f>SUBTOTAL(109,Table113[2027])</f>
        <v>8.7400000000000005E-2</v>
      </c>
      <c r="W1565">
        <f>SUBTOTAL(109,Table113[2028])</f>
        <v>8.7400000000000005E-2</v>
      </c>
      <c r="X1565">
        <f>SUBTOTAL(109,Table113[2029])</f>
        <v>8.7400000000000005E-2</v>
      </c>
      <c r="Y1565">
        <f>SUBTOTAL(109,Table113[2030])</f>
        <v>8.7400000000000005E-2</v>
      </c>
    </row>
    <row r="1567" spans="1:25">
      <c r="A1567" t="s">
        <v>569</v>
      </c>
      <c r="B1567" t="s">
        <v>570</v>
      </c>
      <c r="C1567" t="s">
        <v>571</v>
      </c>
      <c r="D1567" t="s">
        <v>572</v>
      </c>
      <c r="E1567" t="s">
        <v>573</v>
      </c>
      <c r="F1567" t="s">
        <v>574</v>
      </c>
      <c r="G1567" t="s">
        <v>575</v>
      </c>
      <c r="H1567" t="s">
        <v>576</v>
      </c>
      <c r="I1567" t="s">
        <v>577</v>
      </c>
      <c r="J1567" t="s">
        <v>578</v>
      </c>
      <c r="K1567" t="s">
        <v>579</v>
      </c>
      <c r="L1567" t="s">
        <v>580</v>
      </c>
      <c r="M1567" t="s">
        <v>581</v>
      </c>
      <c r="N1567" t="s">
        <v>582</v>
      </c>
      <c r="O1567" t="s">
        <v>583</v>
      </c>
      <c r="P1567" t="s">
        <v>584</v>
      </c>
      <c r="Q1567" t="s">
        <v>585</v>
      </c>
      <c r="R1567" t="s">
        <v>586</v>
      </c>
      <c r="S1567" t="s">
        <v>587</v>
      </c>
      <c r="T1567" t="s">
        <v>588</v>
      </c>
      <c r="U1567" t="s">
        <v>589</v>
      </c>
      <c r="V1567" t="s">
        <v>590</v>
      </c>
      <c r="W1567" t="s">
        <v>591</v>
      </c>
      <c r="X1567" t="s">
        <v>592</v>
      </c>
      <c r="Y1567" t="s">
        <v>593</v>
      </c>
    </row>
    <row r="1568" spans="1:25">
      <c r="A1568" t="s">
        <v>18809</v>
      </c>
      <c r="B1568" t="s">
        <v>594</v>
      </c>
      <c r="C1568" t="s">
        <v>595</v>
      </c>
      <c r="D1568" t="s">
        <v>596</v>
      </c>
      <c r="E1568" t="s">
        <v>597</v>
      </c>
      <c r="F1568" t="s">
        <v>598</v>
      </c>
      <c r="G1568" t="s">
        <v>599</v>
      </c>
      <c r="H1568" t="s">
        <v>600</v>
      </c>
      <c r="I1568" t="s">
        <v>601</v>
      </c>
      <c r="J1568">
        <v>4.8800000000000003E-2</v>
      </c>
      <c r="K1568">
        <v>5.0799999999999998E-2</v>
      </c>
      <c r="L1568">
        <v>5.1799999999999999E-2</v>
      </c>
      <c r="M1568">
        <v>5.0999999999999997E-2</v>
      </c>
      <c r="N1568">
        <v>5.1999999999999998E-2</v>
      </c>
      <c r="O1568">
        <v>4.9799999999999997E-2</v>
      </c>
      <c r="P1568">
        <v>4.99E-2</v>
      </c>
      <c r="Q1568">
        <v>0.05</v>
      </c>
      <c r="R1568">
        <v>0.05</v>
      </c>
      <c r="S1568">
        <v>5.0099999999999999E-2</v>
      </c>
      <c r="T1568">
        <v>5.0200000000000002E-2</v>
      </c>
      <c r="U1568">
        <v>5.0299999999999997E-2</v>
      </c>
      <c r="V1568">
        <v>5.04E-2</v>
      </c>
      <c r="W1568">
        <v>5.0500000000000003E-2</v>
      </c>
      <c r="X1568">
        <v>5.0599999999999999E-2</v>
      </c>
      <c r="Y1568">
        <v>5.0700000000000002E-2</v>
      </c>
    </row>
    <row r="1569" spans="1:25">
      <c r="A1569" t="s">
        <v>18809</v>
      </c>
      <c r="B1569" t="s">
        <v>625</v>
      </c>
      <c r="C1569" t="s">
        <v>595</v>
      </c>
      <c r="D1569" t="s">
        <v>621</v>
      </c>
      <c r="E1569" t="s">
        <v>626</v>
      </c>
      <c r="F1569" t="s">
        <v>598</v>
      </c>
      <c r="G1569" t="s">
        <v>599</v>
      </c>
      <c r="H1569" t="s">
        <v>600</v>
      </c>
      <c r="I1569" t="s">
        <v>601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</row>
    <row r="1570" spans="1:25">
      <c r="A1570" t="s">
        <v>18809</v>
      </c>
      <c r="B1570" t="s">
        <v>631</v>
      </c>
      <c r="C1570" t="s">
        <v>595</v>
      </c>
      <c r="D1570" t="s">
        <v>632</v>
      </c>
      <c r="E1570" t="s">
        <v>597</v>
      </c>
      <c r="F1570" t="s">
        <v>598</v>
      </c>
      <c r="G1570" t="s">
        <v>599</v>
      </c>
      <c r="H1570" t="s">
        <v>600</v>
      </c>
      <c r="I1570" t="s">
        <v>601</v>
      </c>
      <c r="J1570">
        <v>0.247</v>
      </c>
      <c r="K1570">
        <v>0.25700000000000001</v>
      </c>
      <c r="L1570">
        <v>0.2621</v>
      </c>
      <c r="M1570">
        <v>0.25850000000000001</v>
      </c>
      <c r="N1570">
        <v>0.26329999999999998</v>
      </c>
      <c r="O1570">
        <v>0.252</v>
      </c>
      <c r="P1570">
        <v>0.2525</v>
      </c>
      <c r="Q1570">
        <v>0.253</v>
      </c>
      <c r="R1570">
        <v>0.25330000000000003</v>
      </c>
      <c r="S1570">
        <v>0.25380000000000003</v>
      </c>
      <c r="T1570">
        <v>0.25430000000000003</v>
      </c>
      <c r="U1570">
        <v>0.25480000000000003</v>
      </c>
      <c r="V1570">
        <v>0.25530000000000003</v>
      </c>
      <c r="W1570">
        <v>0.2555</v>
      </c>
      <c r="X1570">
        <v>0.25609999999999999</v>
      </c>
      <c r="Y1570">
        <v>0.25659999999999999</v>
      </c>
    </row>
    <row r="1571" spans="1:25">
      <c r="A1571" t="s">
        <v>18809</v>
      </c>
      <c r="B1571" t="s">
        <v>635</v>
      </c>
      <c r="C1571" t="s">
        <v>595</v>
      </c>
      <c r="D1571" t="s">
        <v>632</v>
      </c>
      <c r="E1571" t="s">
        <v>624</v>
      </c>
      <c r="F1571" t="s">
        <v>598</v>
      </c>
      <c r="G1571" t="s">
        <v>599</v>
      </c>
      <c r="H1571" t="s">
        <v>600</v>
      </c>
      <c r="I1571" t="s">
        <v>601</v>
      </c>
      <c r="J1571">
        <v>1.1000000000000001E-3</v>
      </c>
      <c r="K1571">
        <v>1.1000000000000001E-3</v>
      </c>
      <c r="L1571">
        <v>1.1000000000000001E-3</v>
      </c>
      <c r="M1571">
        <v>1.1000000000000001E-3</v>
      </c>
      <c r="N1571">
        <v>1.1000000000000001E-3</v>
      </c>
      <c r="O1571">
        <v>1.1000000000000001E-3</v>
      </c>
      <c r="P1571">
        <v>1.1000000000000001E-3</v>
      </c>
      <c r="Q1571">
        <v>1.1000000000000001E-3</v>
      </c>
      <c r="R1571">
        <v>1.1000000000000001E-3</v>
      </c>
      <c r="S1571">
        <v>1.1000000000000001E-3</v>
      </c>
      <c r="T1571">
        <v>1.1000000000000001E-3</v>
      </c>
      <c r="U1571">
        <v>1.1000000000000001E-3</v>
      </c>
      <c r="V1571">
        <v>1.1000000000000001E-3</v>
      </c>
      <c r="W1571">
        <v>1.1000000000000001E-3</v>
      </c>
      <c r="X1571">
        <v>1.1000000000000001E-3</v>
      </c>
      <c r="Y1571">
        <v>1.1000000000000001E-3</v>
      </c>
    </row>
    <row r="1572" spans="1:25" hidden="1">
      <c r="A1572" t="s">
        <v>18809</v>
      </c>
      <c r="B1572" t="s">
        <v>658</v>
      </c>
      <c r="C1572" t="s">
        <v>651</v>
      </c>
      <c r="D1572" t="s">
        <v>621</v>
      </c>
      <c r="E1572" t="s">
        <v>624</v>
      </c>
      <c r="F1572" t="s">
        <v>598</v>
      </c>
      <c r="G1572" t="s">
        <v>599</v>
      </c>
      <c r="H1572" t="s">
        <v>600</v>
      </c>
      <c r="I1572" t="s">
        <v>601</v>
      </c>
      <c r="J1572">
        <v>6.4399999999999999E-2</v>
      </c>
      <c r="K1572">
        <v>6.4399999999999999E-2</v>
      </c>
      <c r="L1572">
        <v>6.4399999999999999E-2</v>
      </c>
      <c r="M1572">
        <v>6.4399999999999999E-2</v>
      </c>
      <c r="N1572">
        <v>6.4399999999999999E-2</v>
      </c>
      <c r="O1572">
        <v>6.4399999999999999E-2</v>
      </c>
      <c r="P1572">
        <v>6.4399999999999999E-2</v>
      </c>
      <c r="Q1572">
        <v>6.4399999999999999E-2</v>
      </c>
      <c r="R1572">
        <v>6.4399999999999999E-2</v>
      </c>
      <c r="S1572">
        <v>6.4399999999999999E-2</v>
      </c>
      <c r="T1572">
        <v>6.4399999999999999E-2</v>
      </c>
      <c r="U1572">
        <v>6.4399999999999999E-2</v>
      </c>
      <c r="V1572">
        <v>6.4399999999999999E-2</v>
      </c>
      <c r="W1572">
        <v>6.4399999999999999E-2</v>
      </c>
      <c r="X1572">
        <v>6.4399999999999999E-2</v>
      </c>
      <c r="Y1572">
        <v>6.4399999999999999E-2</v>
      </c>
    </row>
    <row r="1573" spans="1:25" hidden="1">
      <c r="A1573" t="s">
        <v>18809</v>
      </c>
      <c r="B1573" t="s">
        <v>728</v>
      </c>
      <c r="C1573" t="s">
        <v>729</v>
      </c>
      <c r="D1573" t="s">
        <v>596</v>
      </c>
      <c r="E1573" t="s">
        <v>597</v>
      </c>
      <c r="F1573" t="s">
        <v>598</v>
      </c>
      <c r="G1573" t="s">
        <v>599</v>
      </c>
      <c r="H1573" t="s">
        <v>600</v>
      </c>
      <c r="I1573" t="s">
        <v>601</v>
      </c>
      <c r="J1573">
        <v>3.8E-3</v>
      </c>
      <c r="K1573">
        <v>3.8E-3</v>
      </c>
      <c r="L1573">
        <v>3.8E-3</v>
      </c>
      <c r="M1573">
        <v>3.8E-3</v>
      </c>
      <c r="N1573">
        <v>3.8E-3</v>
      </c>
      <c r="O1573">
        <v>3.8E-3</v>
      </c>
      <c r="P1573">
        <v>3.8E-3</v>
      </c>
      <c r="Q1573">
        <v>3.8E-3</v>
      </c>
      <c r="R1573">
        <v>3.8E-3</v>
      </c>
      <c r="S1573">
        <v>3.8E-3</v>
      </c>
      <c r="T1573">
        <v>3.8E-3</v>
      </c>
      <c r="U1573">
        <v>3.8E-3</v>
      </c>
      <c r="V1573">
        <v>3.8999999999999998E-3</v>
      </c>
      <c r="W1573">
        <v>3.8999999999999998E-3</v>
      </c>
      <c r="X1573">
        <v>3.8999999999999998E-3</v>
      </c>
      <c r="Y1573">
        <v>3.8999999999999998E-3</v>
      </c>
    </row>
    <row r="1574" spans="1:25" hidden="1">
      <c r="A1574" t="s">
        <v>18809</v>
      </c>
      <c r="B1574" t="s">
        <v>760</v>
      </c>
      <c r="C1574" t="s">
        <v>729</v>
      </c>
      <c r="D1574" t="s">
        <v>621</v>
      </c>
      <c r="E1574" t="s">
        <v>649</v>
      </c>
      <c r="F1574" t="s">
        <v>598</v>
      </c>
      <c r="G1574" t="s">
        <v>599</v>
      </c>
      <c r="H1574" t="s">
        <v>600</v>
      </c>
      <c r="I1574" t="s">
        <v>601</v>
      </c>
      <c r="J1574">
        <v>7.7999999999999996E-3</v>
      </c>
      <c r="K1574">
        <v>7.7999999999999996E-3</v>
      </c>
      <c r="L1574">
        <v>7.7999999999999996E-3</v>
      </c>
      <c r="M1574">
        <v>7.7999999999999996E-3</v>
      </c>
      <c r="N1574">
        <v>7.7999999999999996E-3</v>
      </c>
      <c r="O1574">
        <v>7.7999999999999996E-3</v>
      </c>
      <c r="P1574">
        <v>7.7999999999999996E-3</v>
      </c>
      <c r="Q1574">
        <v>7.7999999999999996E-3</v>
      </c>
      <c r="R1574">
        <v>7.7999999999999996E-3</v>
      </c>
      <c r="S1574">
        <v>7.7999999999999996E-3</v>
      </c>
      <c r="T1574">
        <v>7.7999999999999996E-3</v>
      </c>
      <c r="U1574">
        <v>7.7999999999999996E-3</v>
      </c>
      <c r="V1574">
        <v>7.7999999999999996E-3</v>
      </c>
      <c r="W1574">
        <v>7.7999999999999996E-3</v>
      </c>
      <c r="X1574">
        <v>7.7999999999999996E-3</v>
      </c>
      <c r="Y1574">
        <v>7.7999999999999996E-3</v>
      </c>
    </row>
    <row r="1575" spans="1:25" hidden="1">
      <c r="A1575" t="s">
        <v>18809</v>
      </c>
      <c r="B1575" t="s">
        <v>761</v>
      </c>
      <c r="C1575" t="s">
        <v>729</v>
      </c>
      <c r="D1575" t="s">
        <v>621</v>
      </c>
      <c r="E1575" t="s">
        <v>597</v>
      </c>
      <c r="F1575" t="s">
        <v>598</v>
      </c>
      <c r="G1575" t="s">
        <v>599</v>
      </c>
      <c r="H1575" t="s">
        <v>600</v>
      </c>
      <c r="I1575" t="s">
        <v>601</v>
      </c>
      <c r="J1575">
        <v>9.1000000000000004E-3</v>
      </c>
      <c r="K1575">
        <v>9.1000000000000004E-3</v>
      </c>
      <c r="L1575">
        <v>9.1000000000000004E-3</v>
      </c>
      <c r="M1575">
        <v>8.9999999999999993E-3</v>
      </c>
      <c r="N1575">
        <v>8.9999999999999993E-3</v>
      </c>
      <c r="O1575">
        <v>8.9999999999999993E-3</v>
      </c>
      <c r="P1575">
        <v>8.9999999999999993E-3</v>
      </c>
      <c r="Q1575">
        <v>8.9999999999999993E-3</v>
      </c>
      <c r="R1575">
        <v>9.1000000000000004E-3</v>
      </c>
      <c r="S1575">
        <v>9.1000000000000004E-3</v>
      </c>
      <c r="T1575">
        <v>9.1000000000000004E-3</v>
      </c>
      <c r="U1575">
        <v>9.1000000000000004E-3</v>
      </c>
      <c r="V1575">
        <v>9.1000000000000004E-3</v>
      </c>
      <c r="W1575">
        <v>9.4000000000000004E-3</v>
      </c>
      <c r="X1575">
        <v>9.4000000000000004E-3</v>
      </c>
      <c r="Y1575">
        <v>9.4000000000000004E-3</v>
      </c>
    </row>
    <row r="1576" spans="1:25" hidden="1">
      <c r="A1576" t="s">
        <v>18809</v>
      </c>
      <c r="B1576" t="s">
        <v>770</v>
      </c>
      <c r="C1576" t="s">
        <v>729</v>
      </c>
      <c r="D1576" t="s">
        <v>621</v>
      </c>
      <c r="E1576" t="s">
        <v>628</v>
      </c>
      <c r="F1576" t="s">
        <v>598</v>
      </c>
      <c r="G1576" t="s">
        <v>599</v>
      </c>
      <c r="H1576" t="s">
        <v>600</v>
      </c>
      <c r="I1576" t="s">
        <v>601</v>
      </c>
      <c r="J1576">
        <v>1.6000000000000001E-3</v>
      </c>
      <c r="K1576">
        <v>1.6000000000000001E-3</v>
      </c>
      <c r="L1576">
        <v>1.6000000000000001E-3</v>
      </c>
      <c r="M1576">
        <v>1.6000000000000001E-3</v>
      </c>
      <c r="N1576">
        <v>1.6000000000000001E-3</v>
      </c>
      <c r="O1576">
        <v>1.6000000000000001E-3</v>
      </c>
      <c r="P1576">
        <v>1.6000000000000001E-3</v>
      </c>
      <c r="Q1576">
        <v>1.6000000000000001E-3</v>
      </c>
      <c r="R1576">
        <v>1.6000000000000001E-3</v>
      </c>
      <c r="S1576">
        <v>1.6000000000000001E-3</v>
      </c>
      <c r="T1576">
        <v>1.6000000000000001E-3</v>
      </c>
      <c r="U1576">
        <v>1.6000000000000001E-3</v>
      </c>
      <c r="V1576">
        <v>1.6000000000000001E-3</v>
      </c>
      <c r="W1576">
        <v>1.6000000000000001E-3</v>
      </c>
      <c r="X1576">
        <v>1.6000000000000001E-3</v>
      </c>
      <c r="Y1576">
        <v>1.6000000000000001E-3</v>
      </c>
    </row>
    <row r="1577" spans="1:25" hidden="1">
      <c r="A1577" t="s">
        <v>18809</v>
      </c>
      <c r="B1577" t="s">
        <v>771</v>
      </c>
      <c r="C1577" t="s">
        <v>729</v>
      </c>
      <c r="D1577" t="s">
        <v>621</v>
      </c>
      <c r="E1577" t="s">
        <v>692</v>
      </c>
      <c r="F1577" t="s">
        <v>598</v>
      </c>
      <c r="G1577" t="s">
        <v>599</v>
      </c>
      <c r="H1577" t="s">
        <v>600</v>
      </c>
      <c r="I1577" t="s">
        <v>601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</row>
    <row r="1578" spans="1:25" hidden="1">
      <c r="A1578" t="s">
        <v>18809</v>
      </c>
      <c r="B1578" t="s">
        <v>776</v>
      </c>
      <c r="C1578" t="s">
        <v>729</v>
      </c>
      <c r="D1578" t="s">
        <v>632</v>
      </c>
      <c r="E1578" t="s">
        <v>597</v>
      </c>
      <c r="F1578" t="s">
        <v>598</v>
      </c>
      <c r="G1578" t="s">
        <v>599</v>
      </c>
      <c r="H1578" t="s">
        <v>600</v>
      </c>
      <c r="I1578" t="s">
        <v>601</v>
      </c>
      <c r="J1578">
        <v>3.8699999999999998E-2</v>
      </c>
      <c r="K1578">
        <v>3.8699999999999998E-2</v>
      </c>
      <c r="L1578">
        <v>3.8699999999999998E-2</v>
      </c>
      <c r="M1578">
        <v>3.8699999999999998E-2</v>
      </c>
      <c r="N1578">
        <v>3.8699999999999998E-2</v>
      </c>
      <c r="O1578">
        <v>3.8699999999999998E-2</v>
      </c>
      <c r="P1578">
        <v>3.8699999999999998E-2</v>
      </c>
      <c r="Q1578">
        <v>3.8699999999999998E-2</v>
      </c>
      <c r="R1578">
        <v>3.8699999999999998E-2</v>
      </c>
      <c r="S1578">
        <v>3.8699999999999998E-2</v>
      </c>
      <c r="T1578">
        <v>3.8699999999999998E-2</v>
      </c>
      <c r="U1578">
        <v>3.8699999999999998E-2</v>
      </c>
      <c r="V1578">
        <v>3.8699999999999998E-2</v>
      </c>
      <c r="W1578">
        <v>3.8699999999999998E-2</v>
      </c>
      <c r="X1578">
        <v>3.8699999999999998E-2</v>
      </c>
      <c r="Y1578">
        <v>3.8699999999999998E-2</v>
      </c>
    </row>
    <row r="1579" spans="1:25" hidden="1">
      <c r="A1579" t="s">
        <v>18809</v>
      </c>
      <c r="B1579" t="s">
        <v>778</v>
      </c>
      <c r="C1579" t="s">
        <v>729</v>
      </c>
      <c r="D1579" t="s">
        <v>632</v>
      </c>
      <c r="E1579" t="s">
        <v>628</v>
      </c>
      <c r="F1579" t="s">
        <v>598</v>
      </c>
      <c r="G1579" t="s">
        <v>599</v>
      </c>
      <c r="H1579" t="s">
        <v>600</v>
      </c>
      <c r="I1579" t="s">
        <v>601</v>
      </c>
      <c r="J1579">
        <v>4.4000000000000003E-3</v>
      </c>
      <c r="K1579">
        <v>4.4000000000000003E-3</v>
      </c>
      <c r="L1579">
        <v>4.4000000000000003E-3</v>
      </c>
      <c r="M1579">
        <v>4.4000000000000003E-3</v>
      </c>
      <c r="N1579">
        <v>4.4000000000000003E-3</v>
      </c>
      <c r="O1579">
        <v>4.4000000000000003E-3</v>
      </c>
      <c r="P1579">
        <v>4.4000000000000003E-3</v>
      </c>
      <c r="Q1579">
        <v>4.4000000000000003E-3</v>
      </c>
      <c r="R1579">
        <v>4.4000000000000003E-3</v>
      </c>
      <c r="S1579">
        <v>4.4000000000000003E-3</v>
      </c>
      <c r="T1579">
        <v>4.4000000000000003E-3</v>
      </c>
      <c r="U1579">
        <v>4.4000000000000003E-3</v>
      </c>
      <c r="V1579">
        <v>4.4000000000000003E-3</v>
      </c>
      <c r="W1579">
        <v>4.4000000000000003E-3</v>
      </c>
      <c r="X1579">
        <v>4.4000000000000003E-3</v>
      </c>
      <c r="Y1579">
        <v>4.4000000000000003E-3</v>
      </c>
    </row>
    <row r="1580" spans="1:25" hidden="1">
      <c r="A1580" t="s">
        <v>18809</v>
      </c>
      <c r="B1580" t="s">
        <v>795</v>
      </c>
      <c r="C1580" t="s">
        <v>729</v>
      </c>
      <c r="D1580" t="s">
        <v>648</v>
      </c>
      <c r="E1580" t="s">
        <v>597</v>
      </c>
      <c r="F1580" t="s">
        <v>598</v>
      </c>
      <c r="G1580" t="s">
        <v>599</v>
      </c>
      <c r="H1580" t="s">
        <v>600</v>
      </c>
      <c r="I1580" t="s">
        <v>601</v>
      </c>
      <c r="J1580">
        <v>8.6E-3</v>
      </c>
      <c r="K1580">
        <v>8.6E-3</v>
      </c>
      <c r="L1580">
        <v>8.6E-3</v>
      </c>
      <c r="M1580">
        <v>8.5000000000000006E-3</v>
      </c>
      <c r="N1580">
        <v>8.5000000000000006E-3</v>
      </c>
      <c r="O1580">
        <v>8.5000000000000006E-3</v>
      </c>
      <c r="P1580">
        <v>8.5000000000000006E-3</v>
      </c>
      <c r="Q1580">
        <v>8.5000000000000006E-3</v>
      </c>
      <c r="R1580">
        <v>8.6E-3</v>
      </c>
      <c r="S1580">
        <v>8.6E-3</v>
      </c>
      <c r="T1580">
        <v>8.6E-3</v>
      </c>
      <c r="U1580">
        <v>8.6E-3</v>
      </c>
      <c r="V1580">
        <v>8.6999999999999994E-3</v>
      </c>
      <c r="W1580">
        <v>8.8000000000000005E-3</v>
      </c>
      <c r="X1580">
        <v>8.8000000000000005E-3</v>
      </c>
      <c r="Y1580">
        <v>8.8999999999999999E-3</v>
      </c>
    </row>
    <row r="1581" spans="1:25" hidden="1">
      <c r="A1581" t="s">
        <v>18809</v>
      </c>
      <c r="B1581" t="s">
        <v>796</v>
      </c>
      <c r="C1581" t="s">
        <v>729</v>
      </c>
      <c r="D1581" t="s">
        <v>648</v>
      </c>
      <c r="E1581" t="s">
        <v>642</v>
      </c>
      <c r="F1581" t="s">
        <v>598</v>
      </c>
      <c r="G1581" t="s">
        <v>599</v>
      </c>
      <c r="H1581" t="s">
        <v>600</v>
      </c>
      <c r="I1581" t="s">
        <v>601</v>
      </c>
      <c r="J1581">
        <v>1E-3</v>
      </c>
      <c r="K1581">
        <v>1E-3</v>
      </c>
      <c r="L1581">
        <v>1E-3</v>
      </c>
      <c r="M1581">
        <v>1E-3</v>
      </c>
      <c r="N1581">
        <v>1E-3</v>
      </c>
      <c r="O1581">
        <v>1E-3</v>
      </c>
      <c r="P1581">
        <v>1E-3</v>
      </c>
      <c r="Q1581">
        <v>1E-3</v>
      </c>
      <c r="R1581">
        <v>1E-3</v>
      </c>
      <c r="S1581">
        <v>1E-3</v>
      </c>
      <c r="T1581">
        <v>1E-3</v>
      </c>
      <c r="U1581">
        <v>1E-3</v>
      </c>
      <c r="V1581">
        <v>1E-3</v>
      </c>
      <c r="W1581">
        <v>1E-3</v>
      </c>
      <c r="X1581">
        <v>1E-3</v>
      </c>
      <c r="Y1581">
        <v>1E-3</v>
      </c>
    </row>
    <row r="1582" spans="1:25" hidden="1">
      <c r="A1582" t="s">
        <v>18809</v>
      </c>
      <c r="B1582" t="s">
        <v>801</v>
      </c>
      <c r="C1582" t="s">
        <v>729</v>
      </c>
      <c r="D1582" t="s">
        <v>648</v>
      </c>
      <c r="E1582" t="s">
        <v>619</v>
      </c>
      <c r="F1582" t="s">
        <v>598</v>
      </c>
      <c r="G1582" t="s">
        <v>599</v>
      </c>
      <c r="H1582" t="s">
        <v>600</v>
      </c>
      <c r="I1582" t="s">
        <v>601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</row>
    <row r="1583" spans="1:25" hidden="1">
      <c r="A1583" t="s">
        <v>18809</v>
      </c>
      <c r="B1583" t="s">
        <v>830</v>
      </c>
      <c r="C1583" t="s">
        <v>804</v>
      </c>
      <c r="D1583" t="s">
        <v>828</v>
      </c>
      <c r="E1583" t="s">
        <v>628</v>
      </c>
      <c r="F1583" t="s">
        <v>831</v>
      </c>
      <c r="G1583" t="s">
        <v>599</v>
      </c>
      <c r="H1583" t="s">
        <v>600</v>
      </c>
      <c r="I1583" t="s">
        <v>601</v>
      </c>
      <c r="J1583">
        <v>2.8999999999999998E-3</v>
      </c>
      <c r="K1583">
        <v>1.1999999999999999E-3</v>
      </c>
      <c r="L1583">
        <v>1.1000000000000001E-3</v>
      </c>
      <c r="M1583">
        <v>1E-3</v>
      </c>
      <c r="N1583">
        <v>1E-3</v>
      </c>
      <c r="O1583">
        <v>1E-3</v>
      </c>
      <c r="P1583">
        <v>1E-3</v>
      </c>
      <c r="Q1583">
        <v>1E-3</v>
      </c>
      <c r="R1583">
        <v>1E-3</v>
      </c>
      <c r="S1583">
        <v>1E-3</v>
      </c>
      <c r="T1583">
        <v>1E-3</v>
      </c>
      <c r="U1583">
        <v>1E-3</v>
      </c>
      <c r="V1583">
        <v>8.9999999999999998E-4</v>
      </c>
      <c r="W1583">
        <v>8.9999999999999998E-4</v>
      </c>
      <c r="X1583">
        <v>8.0000000000000004E-4</v>
      </c>
      <c r="Y1583">
        <v>8.0000000000000004E-4</v>
      </c>
    </row>
    <row r="1584" spans="1:25" hidden="1">
      <c r="A1584" t="s">
        <v>18809</v>
      </c>
      <c r="B1584" t="s">
        <v>832</v>
      </c>
      <c r="C1584" t="s">
        <v>804</v>
      </c>
      <c r="D1584" t="s">
        <v>828</v>
      </c>
      <c r="E1584" t="s">
        <v>628</v>
      </c>
      <c r="F1584" t="s">
        <v>833</v>
      </c>
      <c r="G1584" t="s">
        <v>599</v>
      </c>
      <c r="H1584" t="s">
        <v>600</v>
      </c>
      <c r="I1584" t="s">
        <v>601</v>
      </c>
      <c r="J1584">
        <v>4.5999999999999999E-3</v>
      </c>
      <c r="K1584">
        <v>4.3E-3</v>
      </c>
      <c r="L1584">
        <v>4.1000000000000003E-3</v>
      </c>
      <c r="M1584">
        <v>3.8E-3</v>
      </c>
      <c r="N1584">
        <v>3.5999999999999999E-3</v>
      </c>
      <c r="O1584">
        <v>3.3E-3</v>
      </c>
      <c r="P1584">
        <v>3.0999999999999999E-3</v>
      </c>
      <c r="Q1584">
        <v>2.7000000000000001E-3</v>
      </c>
      <c r="R1584">
        <v>2.5000000000000001E-3</v>
      </c>
      <c r="S1584">
        <v>2.2000000000000001E-3</v>
      </c>
      <c r="T1584">
        <v>2E-3</v>
      </c>
      <c r="U1584">
        <v>1.9E-3</v>
      </c>
      <c r="V1584">
        <v>1.6000000000000001E-3</v>
      </c>
      <c r="W1584">
        <v>1.4E-3</v>
      </c>
      <c r="X1584">
        <v>1.2999999999999999E-3</v>
      </c>
      <c r="Y1584">
        <v>1.1000000000000001E-3</v>
      </c>
    </row>
    <row r="1585" spans="1:25" hidden="1">
      <c r="A1585" t="s">
        <v>18809</v>
      </c>
      <c r="B1585" t="s">
        <v>839</v>
      </c>
      <c r="C1585" t="s">
        <v>804</v>
      </c>
      <c r="D1585" t="s">
        <v>648</v>
      </c>
      <c r="E1585" t="s">
        <v>688</v>
      </c>
      <c r="F1585" t="s">
        <v>598</v>
      </c>
      <c r="G1585" t="s">
        <v>599</v>
      </c>
      <c r="H1585" t="s">
        <v>600</v>
      </c>
      <c r="I1585" t="s">
        <v>601</v>
      </c>
      <c r="J1585">
        <v>0.19009999999999999</v>
      </c>
      <c r="K1585">
        <v>0.191</v>
      </c>
      <c r="L1585">
        <v>0.19259999999999999</v>
      </c>
      <c r="M1585">
        <v>0.19320000000000001</v>
      </c>
      <c r="N1585">
        <v>0.19409999999999999</v>
      </c>
      <c r="O1585">
        <v>0.19719999999999999</v>
      </c>
      <c r="P1585">
        <v>0.1991</v>
      </c>
      <c r="Q1585">
        <v>0.19939999999999999</v>
      </c>
      <c r="R1585">
        <v>0.20100000000000001</v>
      </c>
      <c r="S1585">
        <v>0.20380000000000001</v>
      </c>
      <c r="T1585">
        <v>0.2059</v>
      </c>
      <c r="U1585">
        <v>0.20660000000000001</v>
      </c>
      <c r="V1585">
        <v>0.2094</v>
      </c>
      <c r="W1585">
        <v>0.21029999999999999</v>
      </c>
      <c r="X1585">
        <v>0.2122</v>
      </c>
      <c r="Y1585">
        <v>0.214</v>
      </c>
    </row>
    <row r="1586" spans="1:25" hidden="1">
      <c r="A1586" t="s">
        <v>18809</v>
      </c>
      <c r="B1586" t="s">
        <v>847</v>
      </c>
      <c r="C1586" t="s">
        <v>841</v>
      </c>
      <c r="D1586" t="s">
        <v>596</v>
      </c>
      <c r="E1586" t="s">
        <v>808</v>
      </c>
      <c r="F1586" t="s">
        <v>598</v>
      </c>
      <c r="G1586" t="s">
        <v>599</v>
      </c>
      <c r="H1586" t="s">
        <v>600</v>
      </c>
      <c r="I1586" t="s">
        <v>601</v>
      </c>
      <c r="J1586">
        <v>2.0000000000000001E-4</v>
      </c>
      <c r="K1586">
        <v>2.0000000000000001E-4</v>
      </c>
      <c r="L1586">
        <v>2.0000000000000001E-4</v>
      </c>
      <c r="M1586">
        <v>2.0000000000000001E-4</v>
      </c>
      <c r="N1586">
        <v>2.0000000000000001E-4</v>
      </c>
      <c r="O1586">
        <v>2.0000000000000001E-4</v>
      </c>
      <c r="P1586">
        <v>2.0000000000000001E-4</v>
      </c>
      <c r="Q1586">
        <v>2.0000000000000001E-4</v>
      </c>
      <c r="R1586">
        <v>2.0000000000000001E-4</v>
      </c>
      <c r="S1586">
        <v>2.0000000000000001E-4</v>
      </c>
      <c r="T1586">
        <v>2.0000000000000001E-4</v>
      </c>
      <c r="U1586">
        <v>2.0000000000000001E-4</v>
      </c>
      <c r="V1586">
        <v>2.0000000000000001E-4</v>
      </c>
      <c r="W1586">
        <v>2.0000000000000001E-4</v>
      </c>
      <c r="X1586">
        <v>2.0000000000000001E-4</v>
      </c>
      <c r="Y1586">
        <v>2.0000000000000001E-4</v>
      </c>
    </row>
    <row r="1587" spans="1:25" hidden="1">
      <c r="A1587" t="s">
        <v>18809</v>
      </c>
      <c r="B1587" t="s">
        <v>872</v>
      </c>
      <c r="C1587" t="s">
        <v>841</v>
      </c>
      <c r="D1587" t="s">
        <v>621</v>
      </c>
      <c r="E1587" t="s">
        <v>624</v>
      </c>
      <c r="F1587" t="s">
        <v>598</v>
      </c>
      <c r="G1587" t="s">
        <v>599</v>
      </c>
      <c r="H1587" t="s">
        <v>600</v>
      </c>
      <c r="I1587" t="s">
        <v>601</v>
      </c>
      <c r="J1587">
        <v>4.1000000000000002E-2</v>
      </c>
      <c r="K1587">
        <v>4.1000000000000002E-2</v>
      </c>
      <c r="L1587">
        <v>4.1000000000000002E-2</v>
      </c>
      <c r="M1587">
        <v>4.1000000000000002E-2</v>
      </c>
      <c r="N1587">
        <v>4.1000000000000002E-2</v>
      </c>
      <c r="O1587">
        <v>4.1000000000000002E-2</v>
      </c>
      <c r="P1587">
        <v>4.1000000000000002E-2</v>
      </c>
      <c r="Q1587">
        <v>4.1000000000000002E-2</v>
      </c>
      <c r="R1587">
        <v>4.1000000000000002E-2</v>
      </c>
      <c r="S1587">
        <v>4.1000000000000002E-2</v>
      </c>
      <c r="T1587">
        <v>4.1000000000000002E-2</v>
      </c>
      <c r="U1587">
        <v>4.1000000000000002E-2</v>
      </c>
      <c r="V1587">
        <v>4.1000000000000002E-2</v>
      </c>
      <c r="W1587">
        <v>4.1000000000000002E-2</v>
      </c>
      <c r="X1587">
        <v>4.1000000000000002E-2</v>
      </c>
      <c r="Y1587">
        <v>4.1000000000000002E-2</v>
      </c>
    </row>
    <row r="1588" spans="1:25" hidden="1">
      <c r="A1588" t="s">
        <v>18809</v>
      </c>
      <c r="B1588" t="s">
        <v>873</v>
      </c>
      <c r="C1588" t="s">
        <v>841</v>
      </c>
      <c r="D1588" t="s">
        <v>621</v>
      </c>
      <c r="E1588" t="s">
        <v>768</v>
      </c>
      <c r="F1588" t="s">
        <v>598</v>
      </c>
      <c r="G1588" t="s">
        <v>599</v>
      </c>
      <c r="H1588" t="s">
        <v>600</v>
      </c>
      <c r="I1588" t="s">
        <v>601</v>
      </c>
      <c r="J1588">
        <v>3.0200000000000001E-2</v>
      </c>
      <c r="K1588">
        <v>3.0200000000000001E-2</v>
      </c>
      <c r="L1588">
        <v>3.0200000000000001E-2</v>
      </c>
      <c r="M1588">
        <v>3.0200000000000001E-2</v>
      </c>
      <c r="N1588">
        <v>3.0200000000000001E-2</v>
      </c>
      <c r="O1588">
        <v>3.0200000000000001E-2</v>
      </c>
      <c r="P1588">
        <v>3.0200000000000001E-2</v>
      </c>
      <c r="Q1588">
        <v>3.0200000000000001E-2</v>
      </c>
      <c r="R1588">
        <v>3.0200000000000001E-2</v>
      </c>
      <c r="S1588">
        <v>3.0200000000000001E-2</v>
      </c>
      <c r="T1588">
        <v>3.0200000000000001E-2</v>
      </c>
      <c r="U1588">
        <v>3.0200000000000001E-2</v>
      </c>
      <c r="V1588">
        <v>3.0200000000000001E-2</v>
      </c>
      <c r="W1588">
        <v>3.0200000000000001E-2</v>
      </c>
      <c r="X1588">
        <v>3.0200000000000001E-2</v>
      </c>
      <c r="Y1588">
        <v>3.0200000000000001E-2</v>
      </c>
    </row>
    <row r="1589" spans="1:25" hidden="1">
      <c r="A1589" t="s">
        <v>18809</v>
      </c>
      <c r="B1589" t="s">
        <v>877</v>
      </c>
      <c r="C1589" t="s">
        <v>841</v>
      </c>
      <c r="D1589" t="s">
        <v>621</v>
      </c>
      <c r="E1589" t="s">
        <v>692</v>
      </c>
      <c r="F1589" t="s">
        <v>598</v>
      </c>
      <c r="G1589" t="s">
        <v>599</v>
      </c>
      <c r="H1589" t="s">
        <v>600</v>
      </c>
      <c r="I1589" t="s">
        <v>601</v>
      </c>
      <c r="J1589">
        <v>5.9999999999999995E-4</v>
      </c>
      <c r="K1589">
        <v>5.9999999999999995E-4</v>
      </c>
      <c r="L1589">
        <v>5.9999999999999995E-4</v>
      </c>
      <c r="M1589">
        <v>5.9999999999999995E-4</v>
      </c>
      <c r="N1589">
        <v>5.9999999999999995E-4</v>
      </c>
      <c r="O1589">
        <v>5.9999999999999995E-4</v>
      </c>
      <c r="P1589">
        <v>5.9999999999999995E-4</v>
      </c>
      <c r="Q1589">
        <v>5.9999999999999995E-4</v>
      </c>
      <c r="R1589">
        <v>5.9999999999999995E-4</v>
      </c>
      <c r="S1589">
        <v>5.9999999999999995E-4</v>
      </c>
      <c r="T1589">
        <v>5.9999999999999995E-4</v>
      </c>
      <c r="U1589">
        <v>5.9999999999999995E-4</v>
      </c>
      <c r="V1589">
        <v>5.9999999999999995E-4</v>
      </c>
      <c r="W1589">
        <v>5.9999999999999995E-4</v>
      </c>
      <c r="X1589">
        <v>5.9999999999999995E-4</v>
      </c>
      <c r="Y1589">
        <v>5.9999999999999995E-4</v>
      </c>
    </row>
    <row r="1590" spans="1:25" hidden="1">
      <c r="A1590" t="s">
        <v>18809</v>
      </c>
      <c r="B1590" t="s">
        <v>882</v>
      </c>
      <c r="C1590" t="s">
        <v>841</v>
      </c>
      <c r="D1590" t="s">
        <v>632</v>
      </c>
      <c r="E1590" t="s">
        <v>597</v>
      </c>
      <c r="F1590" t="s">
        <v>598</v>
      </c>
      <c r="G1590" t="s">
        <v>599</v>
      </c>
      <c r="H1590" t="s">
        <v>600</v>
      </c>
      <c r="I1590" t="s">
        <v>601</v>
      </c>
      <c r="J1590">
        <v>1.8E-3</v>
      </c>
      <c r="K1590">
        <v>1.8E-3</v>
      </c>
      <c r="L1590">
        <v>1.8E-3</v>
      </c>
      <c r="M1590">
        <v>1.9E-3</v>
      </c>
      <c r="N1590">
        <v>1.9E-3</v>
      </c>
      <c r="O1590">
        <v>1.9E-3</v>
      </c>
      <c r="P1590">
        <v>1.9E-3</v>
      </c>
      <c r="Q1590">
        <v>2E-3</v>
      </c>
      <c r="R1590">
        <v>2E-3</v>
      </c>
      <c r="S1590">
        <v>2E-3</v>
      </c>
      <c r="T1590">
        <v>2E-3</v>
      </c>
      <c r="U1590">
        <v>2E-3</v>
      </c>
      <c r="V1590">
        <v>2E-3</v>
      </c>
      <c r="W1590">
        <v>2E-3</v>
      </c>
      <c r="X1590">
        <v>2E-3</v>
      </c>
      <c r="Y1590">
        <v>2E-3</v>
      </c>
    </row>
    <row r="1591" spans="1:25" hidden="1">
      <c r="A1591" t="s">
        <v>18809</v>
      </c>
      <c r="B1591" t="s">
        <v>883</v>
      </c>
      <c r="C1591" t="s">
        <v>841</v>
      </c>
      <c r="D1591" t="s">
        <v>632</v>
      </c>
      <c r="E1591" t="s">
        <v>624</v>
      </c>
      <c r="F1591" t="s">
        <v>598</v>
      </c>
      <c r="G1591" t="s">
        <v>599</v>
      </c>
      <c r="H1591" t="s">
        <v>600</v>
      </c>
      <c r="I1591" t="s">
        <v>601</v>
      </c>
      <c r="J1591">
        <v>2.3999999999999998E-3</v>
      </c>
      <c r="K1591">
        <v>2.3999999999999998E-3</v>
      </c>
      <c r="L1591">
        <v>2.3999999999999998E-3</v>
      </c>
      <c r="M1591">
        <v>2.3999999999999998E-3</v>
      </c>
      <c r="N1591">
        <v>2.3999999999999998E-3</v>
      </c>
      <c r="O1591">
        <v>2.3999999999999998E-3</v>
      </c>
      <c r="P1591">
        <v>2.3999999999999998E-3</v>
      </c>
      <c r="Q1591">
        <v>2.3999999999999998E-3</v>
      </c>
      <c r="R1591">
        <v>2.3999999999999998E-3</v>
      </c>
      <c r="S1591">
        <v>2.3999999999999998E-3</v>
      </c>
      <c r="T1591">
        <v>2.3999999999999998E-3</v>
      </c>
      <c r="U1591">
        <v>2.3999999999999998E-3</v>
      </c>
      <c r="V1591">
        <v>2.3999999999999998E-3</v>
      </c>
      <c r="W1591">
        <v>2.3999999999999998E-3</v>
      </c>
      <c r="X1591">
        <v>2.3999999999999998E-3</v>
      </c>
      <c r="Y1591">
        <v>2.3999999999999998E-3</v>
      </c>
    </row>
    <row r="1592" spans="1:25" hidden="1">
      <c r="A1592" t="s">
        <v>18809</v>
      </c>
      <c r="B1592" t="s">
        <v>886</v>
      </c>
      <c r="C1592" t="s">
        <v>841</v>
      </c>
      <c r="D1592" t="s">
        <v>632</v>
      </c>
      <c r="E1592" t="s">
        <v>773</v>
      </c>
      <c r="F1592" t="s">
        <v>598</v>
      </c>
      <c r="G1592" t="s">
        <v>599</v>
      </c>
      <c r="H1592" t="s">
        <v>600</v>
      </c>
      <c r="I1592" t="s">
        <v>601</v>
      </c>
      <c r="J1592">
        <v>2.9999999999999997E-4</v>
      </c>
      <c r="K1592">
        <v>2.9999999999999997E-4</v>
      </c>
      <c r="L1592">
        <v>2.9999999999999997E-4</v>
      </c>
      <c r="M1592">
        <v>2.9999999999999997E-4</v>
      </c>
      <c r="N1592">
        <v>2.9999999999999997E-4</v>
      </c>
      <c r="O1592">
        <v>2.9999999999999997E-4</v>
      </c>
      <c r="P1592">
        <v>2.9999999999999997E-4</v>
      </c>
      <c r="Q1592">
        <v>2.9999999999999997E-4</v>
      </c>
      <c r="R1592">
        <v>2.9999999999999997E-4</v>
      </c>
      <c r="S1592">
        <v>2.9999999999999997E-4</v>
      </c>
      <c r="T1592">
        <v>2.9999999999999997E-4</v>
      </c>
      <c r="U1592">
        <v>2.9999999999999997E-4</v>
      </c>
      <c r="V1592">
        <v>2.9999999999999997E-4</v>
      </c>
      <c r="W1592">
        <v>2.9999999999999997E-4</v>
      </c>
      <c r="X1592">
        <v>2.9999999999999997E-4</v>
      </c>
      <c r="Y1592">
        <v>2.9999999999999997E-4</v>
      </c>
    </row>
    <row r="1593" spans="1:25" hidden="1">
      <c r="A1593" t="s">
        <v>18809</v>
      </c>
      <c r="B1593" t="s">
        <v>890</v>
      </c>
      <c r="C1593" t="s">
        <v>841</v>
      </c>
      <c r="D1593" t="s">
        <v>632</v>
      </c>
      <c r="E1593" t="s">
        <v>638</v>
      </c>
      <c r="F1593" t="s">
        <v>598</v>
      </c>
      <c r="G1593" t="s">
        <v>599</v>
      </c>
      <c r="H1593" t="s">
        <v>600</v>
      </c>
      <c r="I1593" t="s">
        <v>601</v>
      </c>
      <c r="J1593">
        <v>3.5000000000000001E-3</v>
      </c>
      <c r="K1593">
        <v>3.5000000000000001E-3</v>
      </c>
      <c r="L1593">
        <v>3.5000000000000001E-3</v>
      </c>
      <c r="M1593">
        <v>3.5000000000000001E-3</v>
      </c>
      <c r="N1593">
        <v>3.5000000000000001E-3</v>
      </c>
      <c r="O1593">
        <v>3.5000000000000001E-3</v>
      </c>
      <c r="P1593">
        <v>3.5000000000000001E-3</v>
      </c>
      <c r="Q1593">
        <v>3.5000000000000001E-3</v>
      </c>
      <c r="R1593">
        <v>3.5000000000000001E-3</v>
      </c>
      <c r="S1593">
        <v>3.5000000000000001E-3</v>
      </c>
      <c r="T1593">
        <v>3.5000000000000001E-3</v>
      </c>
      <c r="U1593">
        <v>3.5000000000000001E-3</v>
      </c>
      <c r="V1593">
        <v>3.5000000000000001E-3</v>
      </c>
      <c r="W1593">
        <v>3.5000000000000001E-3</v>
      </c>
      <c r="X1593">
        <v>3.5000000000000001E-3</v>
      </c>
      <c r="Y1593">
        <v>3.5000000000000001E-3</v>
      </c>
    </row>
    <row r="1594" spans="1:25" hidden="1">
      <c r="A1594" t="s">
        <v>18809</v>
      </c>
      <c r="B1594" t="s">
        <v>902</v>
      </c>
      <c r="C1594" t="s">
        <v>841</v>
      </c>
      <c r="D1594" t="s">
        <v>648</v>
      </c>
      <c r="E1594" t="s">
        <v>597</v>
      </c>
      <c r="F1594" t="s">
        <v>598</v>
      </c>
      <c r="G1594" t="s">
        <v>599</v>
      </c>
      <c r="H1594" t="s">
        <v>600</v>
      </c>
      <c r="I1594" t="s">
        <v>601</v>
      </c>
      <c r="J1594">
        <v>0.32700000000000001</v>
      </c>
      <c r="K1594">
        <v>0.32990000000000003</v>
      </c>
      <c r="L1594">
        <v>0.33279999999999998</v>
      </c>
      <c r="M1594">
        <v>0.33550000000000002</v>
      </c>
      <c r="N1594">
        <v>0.33760000000000001</v>
      </c>
      <c r="O1594">
        <v>0.34029999999999999</v>
      </c>
      <c r="P1594">
        <v>0.34300000000000003</v>
      </c>
      <c r="Q1594">
        <v>0.3448</v>
      </c>
      <c r="R1594">
        <v>0.34660000000000002</v>
      </c>
      <c r="S1594">
        <v>0.34849999999999998</v>
      </c>
      <c r="T1594">
        <v>0.34939999999999999</v>
      </c>
      <c r="U1594">
        <v>0.35060000000000002</v>
      </c>
      <c r="V1594">
        <v>0.35189999999999999</v>
      </c>
      <c r="W1594">
        <v>0.3538</v>
      </c>
      <c r="X1594">
        <v>0.35570000000000002</v>
      </c>
      <c r="Y1594">
        <v>0.35780000000000001</v>
      </c>
    </row>
    <row r="1595" spans="1:25" hidden="1">
      <c r="A1595" t="s">
        <v>18809</v>
      </c>
      <c r="B1595" t="s">
        <v>909</v>
      </c>
      <c r="C1595" t="s">
        <v>841</v>
      </c>
      <c r="D1595" t="s">
        <v>648</v>
      </c>
      <c r="E1595" t="s">
        <v>642</v>
      </c>
      <c r="F1595" t="s">
        <v>598</v>
      </c>
      <c r="G1595" t="s">
        <v>599</v>
      </c>
      <c r="H1595" t="s">
        <v>600</v>
      </c>
      <c r="I1595" t="s">
        <v>601</v>
      </c>
      <c r="J1595">
        <v>1.2999999999999999E-3</v>
      </c>
      <c r="K1595">
        <v>1.2999999999999999E-3</v>
      </c>
      <c r="L1595">
        <v>1.2999999999999999E-3</v>
      </c>
      <c r="M1595">
        <v>1.2999999999999999E-3</v>
      </c>
      <c r="N1595">
        <v>1.2999999999999999E-3</v>
      </c>
      <c r="O1595">
        <v>1.2999999999999999E-3</v>
      </c>
      <c r="P1595">
        <v>1.2999999999999999E-3</v>
      </c>
      <c r="Q1595">
        <v>1.2999999999999999E-3</v>
      </c>
      <c r="R1595">
        <v>1.2999999999999999E-3</v>
      </c>
      <c r="S1595">
        <v>1.2999999999999999E-3</v>
      </c>
      <c r="T1595">
        <v>1.2999999999999999E-3</v>
      </c>
      <c r="U1595">
        <v>1.2999999999999999E-3</v>
      </c>
      <c r="V1595">
        <v>1.2999999999999999E-3</v>
      </c>
      <c r="W1595">
        <v>2E-3</v>
      </c>
      <c r="X1595">
        <v>2E-3</v>
      </c>
      <c r="Y1595">
        <v>2E-3</v>
      </c>
    </row>
    <row r="1596" spans="1:25" hidden="1">
      <c r="A1596" t="s">
        <v>18809</v>
      </c>
      <c r="B1596" t="s">
        <v>911</v>
      </c>
      <c r="C1596" t="s">
        <v>841</v>
      </c>
      <c r="D1596" t="s">
        <v>648</v>
      </c>
      <c r="E1596" t="s">
        <v>619</v>
      </c>
      <c r="F1596" t="s">
        <v>598</v>
      </c>
      <c r="G1596" t="s">
        <v>599</v>
      </c>
      <c r="H1596" t="s">
        <v>600</v>
      </c>
      <c r="I1596" t="s">
        <v>601</v>
      </c>
      <c r="J1596">
        <v>6.9999999999999999E-4</v>
      </c>
      <c r="K1596">
        <v>6.9999999999999999E-4</v>
      </c>
      <c r="L1596">
        <v>6.9999999999999999E-4</v>
      </c>
      <c r="M1596">
        <v>6.9999999999999999E-4</v>
      </c>
      <c r="N1596">
        <v>6.9999999999999999E-4</v>
      </c>
      <c r="O1596">
        <v>6.9999999999999999E-4</v>
      </c>
      <c r="P1596">
        <v>6.9999999999999999E-4</v>
      </c>
      <c r="Q1596">
        <v>6.9999999999999999E-4</v>
      </c>
      <c r="R1596">
        <v>6.9999999999999999E-4</v>
      </c>
      <c r="S1596">
        <v>6.9999999999999999E-4</v>
      </c>
      <c r="T1596">
        <v>6.9999999999999999E-4</v>
      </c>
      <c r="U1596">
        <v>6.9999999999999999E-4</v>
      </c>
      <c r="V1596">
        <v>6.9999999999999999E-4</v>
      </c>
      <c r="W1596">
        <v>6.9999999999999999E-4</v>
      </c>
      <c r="X1596">
        <v>6.9999999999999999E-4</v>
      </c>
      <c r="Y1596">
        <v>8.0000000000000004E-4</v>
      </c>
    </row>
    <row r="1597" spans="1:25" hidden="1">
      <c r="A1597" t="s">
        <v>18809</v>
      </c>
      <c r="B1597" t="s">
        <v>916</v>
      </c>
      <c r="C1597" t="s">
        <v>914</v>
      </c>
      <c r="D1597" t="s">
        <v>621</v>
      </c>
      <c r="E1597" t="s">
        <v>628</v>
      </c>
      <c r="F1597" t="s">
        <v>598</v>
      </c>
      <c r="G1597" t="s">
        <v>599</v>
      </c>
      <c r="H1597" t="s">
        <v>600</v>
      </c>
      <c r="I1597" t="s">
        <v>601</v>
      </c>
      <c r="J1597">
        <v>4.3989399999999996E-3</v>
      </c>
      <c r="K1597">
        <v>4.3989399999999996E-3</v>
      </c>
      <c r="L1597">
        <v>4.3989399999999996E-3</v>
      </c>
      <c r="M1597">
        <v>4.4472799999999996E-3</v>
      </c>
      <c r="N1597">
        <v>4.4472799999999996E-3</v>
      </c>
      <c r="O1597">
        <v>3.4804800000000002E-3</v>
      </c>
      <c r="P1597">
        <v>3.4804800000000002E-3</v>
      </c>
      <c r="Q1597">
        <v>3.4804800000000002E-3</v>
      </c>
      <c r="R1597">
        <v>3.4804800000000002E-3</v>
      </c>
      <c r="S1597">
        <v>3.4804800000000002E-3</v>
      </c>
      <c r="T1597">
        <v>3.4804800000000002E-3</v>
      </c>
      <c r="U1597">
        <v>3.4804800000000002E-3</v>
      </c>
      <c r="V1597">
        <v>3.5288199999999998E-3</v>
      </c>
      <c r="W1597">
        <v>3.5288199999999998E-3</v>
      </c>
      <c r="X1597">
        <v>3.6254999999999998E-3</v>
      </c>
      <c r="Y1597">
        <v>3.6254999999999998E-3</v>
      </c>
    </row>
    <row r="1598" spans="1:25" hidden="1">
      <c r="A1598" t="s">
        <v>18809</v>
      </c>
      <c r="B1598" t="s">
        <v>919</v>
      </c>
      <c r="C1598" t="s">
        <v>914</v>
      </c>
      <c r="D1598" t="s">
        <v>648</v>
      </c>
      <c r="E1598" t="s">
        <v>920</v>
      </c>
      <c r="F1598" t="s">
        <v>598</v>
      </c>
      <c r="G1598" t="s">
        <v>599</v>
      </c>
      <c r="H1598" t="s">
        <v>600</v>
      </c>
      <c r="I1598" t="s">
        <v>601</v>
      </c>
      <c r="J1598">
        <v>3.0000000000000001E-3</v>
      </c>
      <c r="K1598">
        <v>3.0000000000000001E-3</v>
      </c>
      <c r="L1598">
        <v>3.0000000000000001E-3</v>
      </c>
      <c r="M1598">
        <v>3.0000000000000001E-3</v>
      </c>
      <c r="N1598">
        <v>3.0000000000000001E-3</v>
      </c>
      <c r="O1598">
        <v>3.0000000000000001E-3</v>
      </c>
      <c r="P1598">
        <v>3.0000000000000001E-3</v>
      </c>
      <c r="Q1598">
        <v>3.0999999999999999E-3</v>
      </c>
      <c r="R1598">
        <v>3.0999999999999999E-3</v>
      </c>
      <c r="S1598">
        <v>3.0999999999999999E-3</v>
      </c>
      <c r="T1598">
        <v>3.0999999999999999E-3</v>
      </c>
      <c r="U1598">
        <v>3.0999999999999999E-3</v>
      </c>
      <c r="V1598">
        <v>3.0999999999999999E-3</v>
      </c>
      <c r="W1598">
        <v>3.0999999999999999E-3</v>
      </c>
      <c r="X1598">
        <v>3.2000000000000002E-3</v>
      </c>
      <c r="Y1598">
        <v>3.2000000000000002E-3</v>
      </c>
    </row>
    <row r="1599" spans="1:25" hidden="1">
      <c r="A1599" t="s">
        <v>18809</v>
      </c>
      <c r="B1599" t="s">
        <v>921</v>
      </c>
      <c r="C1599" t="s">
        <v>914</v>
      </c>
      <c r="D1599" t="s">
        <v>648</v>
      </c>
      <c r="E1599" t="s">
        <v>649</v>
      </c>
      <c r="F1599" t="s">
        <v>598</v>
      </c>
      <c r="G1599" t="s">
        <v>599</v>
      </c>
      <c r="H1599" t="s">
        <v>600</v>
      </c>
      <c r="I1599" t="s">
        <v>601</v>
      </c>
      <c r="J1599">
        <v>4.0000000000000002E-4</v>
      </c>
      <c r="K1599">
        <v>4.0000000000000002E-4</v>
      </c>
      <c r="L1599">
        <v>4.0000000000000002E-4</v>
      </c>
      <c r="M1599">
        <v>4.0000000000000002E-4</v>
      </c>
      <c r="N1599">
        <v>4.0000000000000002E-4</v>
      </c>
      <c r="O1599">
        <v>4.0000000000000002E-4</v>
      </c>
      <c r="P1599">
        <v>4.0000000000000002E-4</v>
      </c>
      <c r="Q1599">
        <v>4.0000000000000002E-4</v>
      </c>
      <c r="R1599">
        <v>4.0000000000000002E-4</v>
      </c>
      <c r="S1599">
        <v>4.0000000000000002E-4</v>
      </c>
      <c r="T1599">
        <v>4.0000000000000002E-4</v>
      </c>
      <c r="U1599">
        <v>4.0000000000000002E-4</v>
      </c>
      <c r="V1599">
        <v>4.0000000000000002E-4</v>
      </c>
      <c r="W1599">
        <v>4.0000000000000002E-4</v>
      </c>
      <c r="X1599">
        <v>4.0000000000000002E-4</v>
      </c>
      <c r="Y1599">
        <v>4.0000000000000002E-4</v>
      </c>
    </row>
    <row r="1600" spans="1:25" hidden="1">
      <c r="A1600" t="s">
        <v>18809</v>
      </c>
      <c r="B1600" t="s">
        <v>923</v>
      </c>
      <c r="C1600" t="s">
        <v>914</v>
      </c>
      <c r="D1600" t="s">
        <v>648</v>
      </c>
      <c r="E1600" t="s">
        <v>781</v>
      </c>
      <c r="F1600" t="s">
        <v>598</v>
      </c>
      <c r="G1600" t="s">
        <v>599</v>
      </c>
      <c r="H1600" t="s">
        <v>600</v>
      </c>
      <c r="I1600" t="s">
        <v>601</v>
      </c>
      <c r="J1600">
        <v>2.2000000000000001E-3</v>
      </c>
      <c r="K1600">
        <v>2.2000000000000001E-3</v>
      </c>
      <c r="L1600">
        <v>2.2000000000000001E-3</v>
      </c>
      <c r="M1600">
        <v>2.2000000000000001E-3</v>
      </c>
      <c r="N1600">
        <v>2.2000000000000001E-3</v>
      </c>
      <c r="O1600">
        <v>2.2000000000000001E-3</v>
      </c>
      <c r="P1600">
        <v>2.2000000000000001E-3</v>
      </c>
      <c r="Q1600">
        <v>2.2000000000000001E-3</v>
      </c>
      <c r="R1600">
        <v>2.2000000000000001E-3</v>
      </c>
      <c r="S1600">
        <v>2.2000000000000001E-3</v>
      </c>
      <c r="T1600">
        <v>2.2000000000000001E-3</v>
      </c>
      <c r="U1600">
        <v>2.2000000000000001E-3</v>
      </c>
      <c r="V1600">
        <v>2.2000000000000001E-3</v>
      </c>
      <c r="W1600">
        <v>2.2000000000000001E-3</v>
      </c>
      <c r="X1600">
        <v>2.2000000000000001E-3</v>
      </c>
      <c r="Y1600">
        <v>2.2000000000000001E-3</v>
      </c>
    </row>
    <row r="1601" spans="1:25" hidden="1">
      <c r="A1601" t="s">
        <v>18809</v>
      </c>
      <c r="B1601" t="s">
        <v>924</v>
      </c>
      <c r="C1601" t="s">
        <v>925</v>
      </c>
      <c r="D1601" t="s">
        <v>926</v>
      </c>
      <c r="E1601" t="s">
        <v>927</v>
      </c>
      <c r="F1601" t="s">
        <v>598</v>
      </c>
      <c r="G1601" t="s">
        <v>599</v>
      </c>
      <c r="H1601" t="s">
        <v>600</v>
      </c>
      <c r="I1601" t="s">
        <v>601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</row>
    <row r="1602" spans="1:25" hidden="1">
      <c r="A1602" t="s">
        <v>18809</v>
      </c>
      <c r="B1602" t="s">
        <v>936</v>
      </c>
      <c r="C1602" t="s">
        <v>925</v>
      </c>
      <c r="D1602" t="s">
        <v>934</v>
      </c>
      <c r="E1602" t="s">
        <v>937</v>
      </c>
      <c r="F1602" t="s">
        <v>598</v>
      </c>
      <c r="G1602" t="s">
        <v>599</v>
      </c>
      <c r="H1602" t="s">
        <v>600</v>
      </c>
      <c r="I1602" t="s">
        <v>601</v>
      </c>
      <c r="J1602">
        <v>3.8999999999999998E-3</v>
      </c>
      <c r="K1602">
        <v>3.8E-3</v>
      </c>
      <c r="L1602">
        <v>3.7000000000000002E-3</v>
      </c>
      <c r="M1602">
        <v>3.5999999999999999E-3</v>
      </c>
      <c r="N1602">
        <v>3.5000000000000001E-3</v>
      </c>
      <c r="O1602">
        <v>3.3999999999999998E-3</v>
      </c>
      <c r="P1602">
        <v>3.3E-3</v>
      </c>
      <c r="Q1602">
        <v>3.2000000000000002E-3</v>
      </c>
      <c r="R1602">
        <v>3.2000000000000002E-3</v>
      </c>
      <c r="S1602">
        <v>3.0999999999999999E-3</v>
      </c>
      <c r="T1602">
        <v>3.0000000000000001E-3</v>
      </c>
      <c r="U1602">
        <v>3.0000000000000001E-3</v>
      </c>
      <c r="V1602">
        <v>2.8999999999999998E-3</v>
      </c>
      <c r="W1602">
        <v>2.8E-3</v>
      </c>
      <c r="X1602">
        <v>2.8E-3</v>
      </c>
      <c r="Y1602">
        <v>2.7000000000000001E-3</v>
      </c>
    </row>
    <row r="1603" spans="1:25" hidden="1">
      <c r="A1603" t="s">
        <v>18809</v>
      </c>
      <c r="B1603" t="s">
        <v>938</v>
      </c>
      <c r="C1603" t="s">
        <v>925</v>
      </c>
      <c r="D1603" t="s">
        <v>934</v>
      </c>
      <c r="E1603" t="s">
        <v>768</v>
      </c>
      <c r="F1603" t="s">
        <v>598</v>
      </c>
      <c r="G1603" t="s">
        <v>599</v>
      </c>
      <c r="H1603" t="s">
        <v>600</v>
      </c>
      <c r="I1603" t="s">
        <v>601</v>
      </c>
      <c r="J1603">
        <v>1.2200000000000001E-2</v>
      </c>
      <c r="K1603">
        <v>1.23E-2</v>
      </c>
      <c r="L1603">
        <v>1.2500000000000001E-2</v>
      </c>
      <c r="M1603">
        <v>1.2500000000000001E-2</v>
      </c>
      <c r="N1603">
        <v>1.26E-2</v>
      </c>
      <c r="O1603">
        <v>1.2699999999999999E-2</v>
      </c>
      <c r="P1603">
        <v>1.2800000000000001E-2</v>
      </c>
      <c r="Q1603">
        <v>1.2800000000000001E-2</v>
      </c>
      <c r="R1603">
        <v>1.29E-2</v>
      </c>
      <c r="S1603">
        <v>1.2999999999999999E-2</v>
      </c>
      <c r="T1603">
        <v>1.3100000000000001E-2</v>
      </c>
      <c r="U1603">
        <v>1.2999999999999999E-2</v>
      </c>
      <c r="V1603">
        <v>1.32E-2</v>
      </c>
      <c r="W1603">
        <v>1.3299999999999999E-2</v>
      </c>
      <c r="X1603">
        <v>1.34E-2</v>
      </c>
      <c r="Y1603">
        <v>1.34E-2</v>
      </c>
    </row>
    <row r="1604" spans="1:25" hidden="1">
      <c r="A1604" t="s">
        <v>18809</v>
      </c>
      <c r="B1604" t="s">
        <v>947</v>
      </c>
      <c r="C1604" t="s">
        <v>943</v>
      </c>
      <c r="D1604" t="s">
        <v>946</v>
      </c>
      <c r="E1604" t="s">
        <v>948</v>
      </c>
      <c r="F1604" t="s">
        <v>598</v>
      </c>
      <c r="G1604" t="s">
        <v>599</v>
      </c>
      <c r="H1604" t="s">
        <v>600</v>
      </c>
      <c r="I1604" t="s">
        <v>601</v>
      </c>
      <c r="J1604">
        <v>7.4999999999999997E-3</v>
      </c>
      <c r="K1604">
        <v>7.6E-3</v>
      </c>
      <c r="L1604">
        <v>7.7000000000000002E-3</v>
      </c>
      <c r="M1604">
        <v>7.7000000000000002E-3</v>
      </c>
      <c r="N1604">
        <v>7.7999999999999996E-3</v>
      </c>
      <c r="O1604">
        <v>7.7999999999999996E-3</v>
      </c>
      <c r="P1604">
        <v>7.9000000000000008E-3</v>
      </c>
      <c r="Q1604">
        <v>7.9000000000000008E-3</v>
      </c>
      <c r="R1604">
        <v>8.0000000000000002E-3</v>
      </c>
      <c r="S1604">
        <v>8.0000000000000002E-3</v>
      </c>
      <c r="T1604">
        <v>8.0999999999999996E-3</v>
      </c>
      <c r="U1604">
        <v>8.0999999999999996E-3</v>
      </c>
      <c r="V1604">
        <v>8.2000000000000007E-3</v>
      </c>
      <c r="W1604">
        <v>8.2000000000000007E-3</v>
      </c>
      <c r="X1604">
        <v>8.3000000000000001E-3</v>
      </c>
      <c r="Y1604">
        <v>8.3000000000000001E-3</v>
      </c>
    </row>
    <row r="1605" spans="1:25" hidden="1">
      <c r="A1605" t="s">
        <v>18809</v>
      </c>
      <c r="B1605" t="s">
        <v>949</v>
      </c>
      <c r="C1605" t="s">
        <v>943</v>
      </c>
      <c r="D1605" t="s">
        <v>950</v>
      </c>
      <c r="E1605" t="s">
        <v>646</v>
      </c>
      <c r="F1605" t="s">
        <v>598</v>
      </c>
      <c r="G1605" t="s">
        <v>599</v>
      </c>
      <c r="H1605" t="s">
        <v>600</v>
      </c>
      <c r="I1605" t="s">
        <v>601</v>
      </c>
      <c r="J1605">
        <v>0.3296</v>
      </c>
      <c r="K1605">
        <v>0.33360000000000001</v>
      </c>
      <c r="L1605">
        <v>0.33700000000000002</v>
      </c>
      <c r="M1605">
        <v>0.34</v>
      </c>
      <c r="N1605">
        <v>0.34320000000000001</v>
      </c>
      <c r="O1605">
        <v>0.34599999999999997</v>
      </c>
      <c r="P1605">
        <v>0.34889999999999999</v>
      </c>
      <c r="Q1605">
        <v>0.35170000000000001</v>
      </c>
      <c r="R1605">
        <v>0.35439999999999999</v>
      </c>
      <c r="S1605">
        <v>0.35720000000000002</v>
      </c>
      <c r="T1605">
        <v>0.36009999999999998</v>
      </c>
      <c r="U1605">
        <v>0.36299999999999999</v>
      </c>
      <c r="V1605">
        <v>0.36599999999999999</v>
      </c>
      <c r="W1605">
        <v>0.36919999999999997</v>
      </c>
      <c r="X1605">
        <v>0.37209999999999999</v>
      </c>
      <c r="Y1605">
        <v>0.37490000000000001</v>
      </c>
    </row>
    <row r="1606" spans="1:25" hidden="1">
      <c r="A1606" t="s">
        <v>18809</v>
      </c>
      <c r="B1606" t="s">
        <v>951</v>
      </c>
      <c r="C1606" t="s">
        <v>943</v>
      </c>
      <c r="D1606" t="s">
        <v>934</v>
      </c>
      <c r="E1606" t="s">
        <v>937</v>
      </c>
      <c r="F1606" t="s">
        <v>598</v>
      </c>
      <c r="G1606" t="s">
        <v>599</v>
      </c>
      <c r="H1606" t="s">
        <v>600</v>
      </c>
      <c r="I1606" t="s">
        <v>601</v>
      </c>
      <c r="J1606">
        <v>5.7200000000000001E-2</v>
      </c>
      <c r="K1606">
        <v>5.7700000000000001E-2</v>
      </c>
      <c r="L1606">
        <v>5.8200000000000002E-2</v>
      </c>
      <c r="M1606">
        <v>5.8700000000000002E-2</v>
      </c>
      <c r="N1606">
        <v>5.91E-2</v>
      </c>
      <c r="O1606">
        <v>5.9499999999999997E-2</v>
      </c>
      <c r="P1606">
        <v>5.9900000000000002E-2</v>
      </c>
      <c r="Q1606">
        <v>6.0299999999999999E-2</v>
      </c>
      <c r="R1606">
        <v>6.0600000000000001E-2</v>
      </c>
      <c r="S1606">
        <v>6.0999999999999999E-2</v>
      </c>
      <c r="T1606">
        <v>6.1400000000000003E-2</v>
      </c>
      <c r="U1606">
        <v>6.1800000000000001E-2</v>
      </c>
      <c r="V1606">
        <v>6.2100000000000002E-2</v>
      </c>
      <c r="W1606">
        <v>6.2600000000000003E-2</v>
      </c>
      <c r="X1606">
        <v>6.2899999999999998E-2</v>
      </c>
      <c r="Y1606">
        <v>6.3299999999999995E-2</v>
      </c>
    </row>
    <row r="1607" spans="1:25" hidden="1">
      <c r="A1607" t="s">
        <v>18809</v>
      </c>
      <c r="B1607" t="s">
        <v>968</v>
      </c>
      <c r="C1607" t="s">
        <v>956</v>
      </c>
      <c r="D1607" t="s">
        <v>648</v>
      </c>
      <c r="E1607" t="s">
        <v>961</v>
      </c>
      <c r="F1607" t="s">
        <v>598</v>
      </c>
      <c r="G1607" t="s">
        <v>599</v>
      </c>
      <c r="H1607" t="s">
        <v>600</v>
      </c>
      <c r="I1607" t="s">
        <v>601</v>
      </c>
      <c r="J1607">
        <v>1.8E-3</v>
      </c>
      <c r="K1607">
        <v>1.9E-3</v>
      </c>
      <c r="L1607">
        <v>1.9E-3</v>
      </c>
      <c r="M1607">
        <v>1.9E-3</v>
      </c>
      <c r="N1607">
        <v>1.9E-3</v>
      </c>
      <c r="O1607">
        <v>1.9E-3</v>
      </c>
      <c r="P1607">
        <v>2E-3</v>
      </c>
      <c r="Q1607">
        <v>2E-3</v>
      </c>
      <c r="R1607">
        <v>2E-3</v>
      </c>
      <c r="S1607">
        <v>2E-3</v>
      </c>
      <c r="T1607">
        <v>2E-3</v>
      </c>
      <c r="U1607">
        <v>2E-3</v>
      </c>
      <c r="V1607">
        <v>2.0999999999999999E-3</v>
      </c>
      <c r="W1607">
        <v>2.0999999999999999E-3</v>
      </c>
      <c r="X1607">
        <v>2.0999999999999999E-3</v>
      </c>
      <c r="Y1607">
        <v>2.0999999999999999E-3</v>
      </c>
    </row>
    <row r="1608" spans="1:25" hidden="1">
      <c r="A1608" t="s">
        <v>18809</v>
      </c>
      <c r="B1608" t="s">
        <v>981</v>
      </c>
      <c r="C1608" t="s">
        <v>980</v>
      </c>
      <c r="D1608" t="s">
        <v>982</v>
      </c>
      <c r="E1608" t="s">
        <v>613</v>
      </c>
      <c r="F1608" t="s">
        <v>598</v>
      </c>
      <c r="G1608" t="s">
        <v>599</v>
      </c>
      <c r="H1608" t="s">
        <v>600</v>
      </c>
      <c r="I1608" t="s">
        <v>601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</row>
    <row r="1609" spans="1:25" hidden="1">
      <c r="A1609" t="s">
        <v>18809</v>
      </c>
      <c r="B1609" t="s">
        <v>987</v>
      </c>
      <c r="C1609" t="s">
        <v>980</v>
      </c>
      <c r="D1609" t="s">
        <v>986</v>
      </c>
      <c r="E1609" t="s">
        <v>927</v>
      </c>
      <c r="F1609" t="s">
        <v>598</v>
      </c>
      <c r="G1609" t="s">
        <v>599</v>
      </c>
      <c r="H1609" t="s">
        <v>600</v>
      </c>
      <c r="I1609" t="s">
        <v>601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hidden="1">
      <c r="A1610" t="s">
        <v>18809</v>
      </c>
      <c r="B1610" t="s">
        <v>988</v>
      </c>
      <c r="C1610" t="s">
        <v>980</v>
      </c>
      <c r="D1610" t="s">
        <v>648</v>
      </c>
      <c r="E1610" t="s">
        <v>920</v>
      </c>
      <c r="F1610" t="s">
        <v>598</v>
      </c>
      <c r="G1610" t="s">
        <v>599</v>
      </c>
      <c r="H1610" t="s">
        <v>600</v>
      </c>
      <c r="I1610" t="s">
        <v>601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hidden="1">
      <c r="A1611" t="s">
        <v>18809</v>
      </c>
      <c r="B1611" t="s">
        <v>997</v>
      </c>
      <c r="C1611" t="s">
        <v>998</v>
      </c>
      <c r="D1611" t="s">
        <v>999</v>
      </c>
      <c r="E1611" t="s">
        <v>1000</v>
      </c>
      <c r="F1611" t="s">
        <v>598</v>
      </c>
      <c r="G1611" t="s">
        <v>599</v>
      </c>
      <c r="H1611" t="s">
        <v>600</v>
      </c>
      <c r="I1611" t="s">
        <v>601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hidden="1">
      <c r="A1612" t="s">
        <v>18809</v>
      </c>
      <c r="B1612" t="s">
        <v>1007</v>
      </c>
      <c r="C1612" t="s">
        <v>998</v>
      </c>
      <c r="D1612" t="s">
        <v>999</v>
      </c>
      <c r="E1612" t="s">
        <v>1008</v>
      </c>
      <c r="F1612" t="s">
        <v>598</v>
      </c>
      <c r="G1612" t="s">
        <v>599</v>
      </c>
      <c r="H1612" t="s">
        <v>600</v>
      </c>
      <c r="I1612" t="s">
        <v>601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hidden="1">
      <c r="A1613" t="s">
        <v>18809</v>
      </c>
      <c r="B1613" t="s">
        <v>1009</v>
      </c>
      <c r="C1613" t="s">
        <v>998</v>
      </c>
      <c r="D1613" t="s">
        <v>999</v>
      </c>
      <c r="E1613" t="s">
        <v>1010</v>
      </c>
      <c r="F1613" t="s">
        <v>598</v>
      </c>
      <c r="G1613" t="s">
        <v>599</v>
      </c>
      <c r="H1613" t="s">
        <v>600</v>
      </c>
      <c r="I1613" t="s">
        <v>601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hidden="1">
      <c r="A1614" t="s">
        <v>18809</v>
      </c>
      <c r="B1614" t="s">
        <v>1015</v>
      </c>
      <c r="C1614" t="s">
        <v>1016</v>
      </c>
      <c r="D1614" t="s">
        <v>1017</v>
      </c>
      <c r="E1614" t="s">
        <v>1018</v>
      </c>
      <c r="F1614" t="s">
        <v>598</v>
      </c>
      <c r="G1614" t="s">
        <v>599</v>
      </c>
      <c r="H1614" t="s">
        <v>600</v>
      </c>
      <c r="I1614" t="s">
        <v>601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hidden="1">
      <c r="A1615" t="s">
        <v>18809</v>
      </c>
      <c r="B1615" t="s">
        <v>1021</v>
      </c>
      <c r="C1615" t="s">
        <v>1016</v>
      </c>
      <c r="D1615" t="s">
        <v>1017</v>
      </c>
      <c r="E1615" t="s">
        <v>1022</v>
      </c>
      <c r="F1615" t="s">
        <v>598</v>
      </c>
      <c r="G1615" t="s">
        <v>599</v>
      </c>
      <c r="H1615" t="s">
        <v>600</v>
      </c>
      <c r="I1615" t="s">
        <v>601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hidden="1">
      <c r="A1616" t="s">
        <v>18809</v>
      </c>
      <c r="B1616" t="s">
        <v>1025</v>
      </c>
      <c r="C1616" t="s">
        <v>1016</v>
      </c>
      <c r="D1616" t="s">
        <v>1017</v>
      </c>
      <c r="E1616" t="s">
        <v>1026</v>
      </c>
      <c r="F1616" t="s">
        <v>598</v>
      </c>
      <c r="G1616" t="s">
        <v>599</v>
      </c>
      <c r="H1616" t="s">
        <v>600</v>
      </c>
      <c r="I1616" t="s">
        <v>601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hidden="1">
      <c r="A1617" t="s">
        <v>18809</v>
      </c>
      <c r="B1617" t="s">
        <v>1029</v>
      </c>
      <c r="C1617" t="s">
        <v>1016</v>
      </c>
      <c r="D1617" t="s">
        <v>1017</v>
      </c>
      <c r="E1617" t="s">
        <v>1030</v>
      </c>
      <c r="F1617" t="s">
        <v>598</v>
      </c>
      <c r="G1617" t="s">
        <v>599</v>
      </c>
      <c r="H1617" t="s">
        <v>600</v>
      </c>
      <c r="I1617" t="s">
        <v>601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hidden="1">
      <c r="A1618" t="s">
        <v>18809</v>
      </c>
      <c r="B1618" t="s">
        <v>1034</v>
      </c>
      <c r="C1618" t="s">
        <v>1016</v>
      </c>
      <c r="D1618" t="s">
        <v>1017</v>
      </c>
      <c r="E1618" t="s">
        <v>1035</v>
      </c>
      <c r="F1618" t="s">
        <v>598</v>
      </c>
      <c r="G1618" t="s">
        <v>599</v>
      </c>
      <c r="H1618" t="s">
        <v>600</v>
      </c>
      <c r="I1618" t="s">
        <v>601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hidden="1">
      <c r="A1619" t="s">
        <v>18809</v>
      </c>
      <c r="B1619" t="s">
        <v>1037</v>
      </c>
      <c r="C1619" t="s">
        <v>1016</v>
      </c>
      <c r="D1619" t="s">
        <v>1017</v>
      </c>
      <c r="E1619" t="s">
        <v>1038</v>
      </c>
      <c r="F1619" t="s">
        <v>598</v>
      </c>
      <c r="G1619" t="s">
        <v>599</v>
      </c>
      <c r="H1619" t="s">
        <v>600</v>
      </c>
      <c r="I1619" t="s">
        <v>601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hidden="1">
      <c r="A1620" t="s">
        <v>18809</v>
      </c>
      <c r="B1620" t="s">
        <v>1039</v>
      </c>
      <c r="C1620" t="s">
        <v>1016</v>
      </c>
      <c r="D1620" t="s">
        <v>1017</v>
      </c>
      <c r="E1620" t="s">
        <v>1040</v>
      </c>
      <c r="F1620" t="s">
        <v>598</v>
      </c>
      <c r="G1620" t="s">
        <v>599</v>
      </c>
      <c r="H1620" t="s">
        <v>600</v>
      </c>
      <c r="I1620" t="s">
        <v>601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hidden="1">
      <c r="A1621" t="s">
        <v>18809</v>
      </c>
      <c r="B1621" t="s">
        <v>1041</v>
      </c>
      <c r="C1621" t="s">
        <v>1016</v>
      </c>
      <c r="D1621" t="s">
        <v>1017</v>
      </c>
      <c r="E1621" t="s">
        <v>1042</v>
      </c>
      <c r="F1621" t="s">
        <v>598</v>
      </c>
      <c r="G1621" t="s">
        <v>599</v>
      </c>
      <c r="H1621" t="s">
        <v>600</v>
      </c>
      <c r="I1621" t="s">
        <v>601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</row>
    <row r="1622" spans="1:25" hidden="1">
      <c r="A1622" t="s">
        <v>18809</v>
      </c>
      <c r="B1622" t="s">
        <v>1045</v>
      </c>
      <c r="C1622" t="s">
        <v>1016</v>
      </c>
      <c r="D1622" t="s">
        <v>1017</v>
      </c>
      <c r="E1622" t="s">
        <v>1046</v>
      </c>
      <c r="F1622" t="s">
        <v>598</v>
      </c>
      <c r="G1622" t="s">
        <v>599</v>
      </c>
      <c r="H1622" t="s">
        <v>600</v>
      </c>
      <c r="I1622" t="s">
        <v>601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hidden="1">
      <c r="A1623" t="s">
        <v>18809</v>
      </c>
      <c r="B1623" t="s">
        <v>1047</v>
      </c>
      <c r="C1623" t="s">
        <v>1016</v>
      </c>
      <c r="D1623" t="s">
        <v>1017</v>
      </c>
      <c r="E1623" t="s">
        <v>1048</v>
      </c>
      <c r="F1623" t="s">
        <v>598</v>
      </c>
      <c r="G1623" t="s">
        <v>599</v>
      </c>
      <c r="H1623" t="s">
        <v>600</v>
      </c>
      <c r="I1623" t="s">
        <v>601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hidden="1">
      <c r="A1624" t="s">
        <v>18809</v>
      </c>
      <c r="B1624" t="s">
        <v>1049</v>
      </c>
      <c r="C1624" t="s">
        <v>1016</v>
      </c>
      <c r="D1624" t="s">
        <v>1050</v>
      </c>
      <c r="E1624" t="s">
        <v>1024</v>
      </c>
      <c r="F1624" t="s">
        <v>598</v>
      </c>
      <c r="G1624" t="s">
        <v>599</v>
      </c>
      <c r="H1624" t="s">
        <v>600</v>
      </c>
      <c r="I1624" t="s">
        <v>601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hidden="1">
      <c r="A1625" t="s">
        <v>18809</v>
      </c>
      <c r="B1625" t="s">
        <v>1051</v>
      </c>
      <c r="C1625" t="s">
        <v>1016</v>
      </c>
      <c r="D1625" t="s">
        <v>1050</v>
      </c>
      <c r="E1625" t="s">
        <v>1052</v>
      </c>
      <c r="F1625" t="s">
        <v>598</v>
      </c>
      <c r="G1625" t="s">
        <v>599</v>
      </c>
      <c r="H1625" t="s">
        <v>600</v>
      </c>
      <c r="I1625" t="s">
        <v>601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hidden="1">
      <c r="A1626" t="s">
        <v>18809</v>
      </c>
      <c r="B1626" t="s">
        <v>1053</v>
      </c>
      <c r="C1626" t="s">
        <v>1016</v>
      </c>
      <c r="D1626" t="s">
        <v>1050</v>
      </c>
      <c r="E1626" t="s">
        <v>1000</v>
      </c>
      <c r="F1626" t="s">
        <v>598</v>
      </c>
      <c r="G1626" t="s">
        <v>599</v>
      </c>
      <c r="H1626" t="s">
        <v>600</v>
      </c>
      <c r="I1626" t="s">
        <v>601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hidden="1">
      <c r="A1627" t="s">
        <v>18809</v>
      </c>
      <c r="B1627" t="s">
        <v>1054</v>
      </c>
      <c r="C1627" t="s">
        <v>1016</v>
      </c>
      <c r="D1627" t="s">
        <v>1050</v>
      </c>
      <c r="E1627" t="s">
        <v>1055</v>
      </c>
      <c r="F1627" t="s">
        <v>598</v>
      </c>
      <c r="G1627" t="s">
        <v>599</v>
      </c>
      <c r="H1627" t="s">
        <v>600</v>
      </c>
      <c r="I1627" t="s">
        <v>601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hidden="1">
      <c r="A1628" t="s">
        <v>18809</v>
      </c>
      <c r="B1628" t="s">
        <v>1059</v>
      </c>
      <c r="C1628" t="s">
        <v>1016</v>
      </c>
      <c r="D1628" t="s">
        <v>1050</v>
      </c>
      <c r="E1628" t="s">
        <v>1042</v>
      </c>
      <c r="F1628" t="s">
        <v>598</v>
      </c>
      <c r="G1628" t="s">
        <v>599</v>
      </c>
      <c r="H1628" t="s">
        <v>600</v>
      </c>
      <c r="I1628" t="s">
        <v>601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hidden="1">
      <c r="A1629" t="s">
        <v>18809</v>
      </c>
      <c r="B1629" t="s">
        <v>1061</v>
      </c>
      <c r="C1629" t="s">
        <v>1016</v>
      </c>
      <c r="D1629" t="s">
        <v>1050</v>
      </c>
      <c r="E1629" t="s">
        <v>1048</v>
      </c>
      <c r="F1629" t="s">
        <v>598</v>
      </c>
      <c r="G1629" t="s">
        <v>599</v>
      </c>
      <c r="H1629" t="s">
        <v>600</v>
      </c>
      <c r="I1629" t="s">
        <v>601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</row>
    <row r="1630" spans="1:25" hidden="1">
      <c r="A1630" t="s">
        <v>18809</v>
      </c>
      <c r="B1630" t="s">
        <v>1062</v>
      </c>
      <c r="C1630" t="s">
        <v>1016</v>
      </c>
      <c r="D1630" t="s">
        <v>1063</v>
      </c>
      <c r="E1630" t="s">
        <v>1018</v>
      </c>
      <c r="F1630" t="s">
        <v>598</v>
      </c>
      <c r="G1630" t="s">
        <v>599</v>
      </c>
      <c r="H1630" t="s">
        <v>600</v>
      </c>
      <c r="I1630" t="s">
        <v>601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hidden="1">
      <c r="A1631" t="s">
        <v>18809</v>
      </c>
      <c r="B1631" t="s">
        <v>1064</v>
      </c>
      <c r="C1631" t="s">
        <v>1016</v>
      </c>
      <c r="D1631" t="s">
        <v>1063</v>
      </c>
      <c r="E1631" t="s">
        <v>1022</v>
      </c>
      <c r="F1631" t="s">
        <v>598</v>
      </c>
      <c r="G1631" t="s">
        <v>599</v>
      </c>
      <c r="H1631" t="s">
        <v>600</v>
      </c>
      <c r="I1631" t="s">
        <v>601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hidden="1">
      <c r="A1632" t="s">
        <v>18809</v>
      </c>
      <c r="B1632" t="s">
        <v>1068</v>
      </c>
      <c r="C1632" t="s">
        <v>1016</v>
      </c>
      <c r="D1632" t="s">
        <v>1063</v>
      </c>
      <c r="E1632" t="s">
        <v>1030</v>
      </c>
      <c r="F1632" t="s">
        <v>598</v>
      </c>
      <c r="G1632" t="s">
        <v>599</v>
      </c>
      <c r="H1632" t="s">
        <v>600</v>
      </c>
      <c r="I1632" t="s">
        <v>601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</row>
    <row r="1633" spans="1:25" hidden="1">
      <c r="A1633" t="s">
        <v>18809</v>
      </c>
      <c r="B1633" t="s">
        <v>1070</v>
      </c>
      <c r="C1633" t="s">
        <v>1016</v>
      </c>
      <c r="D1633" t="s">
        <v>1063</v>
      </c>
      <c r="E1633" t="s">
        <v>1000</v>
      </c>
      <c r="F1633" t="s">
        <v>598</v>
      </c>
      <c r="G1633" t="s">
        <v>599</v>
      </c>
      <c r="H1633" t="s">
        <v>600</v>
      </c>
      <c r="I1633" t="s">
        <v>601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hidden="1">
      <c r="A1634" t="s">
        <v>18809</v>
      </c>
      <c r="B1634" t="s">
        <v>1071</v>
      </c>
      <c r="C1634" t="s">
        <v>1016</v>
      </c>
      <c r="D1634" t="s">
        <v>1063</v>
      </c>
      <c r="E1634" t="s">
        <v>1038</v>
      </c>
      <c r="F1634" t="s">
        <v>598</v>
      </c>
      <c r="G1634" t="s">
        <v>599</v>
      </c>
      <c r="H1634" t="s">
        <v>600</v>
      </c>
      <c r="I1634" t="s">
        <v>601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hidden="1">
      <c r="A1635" t="s">
        <v>18809</v>
      </c>
      <c r="B1635" t="s">
        <v>1072</v>
      </c>
      <c r="C1635" t="s">
        <v>1016</v>
      </c>
      <c r="D1635" t="s">
        <v>1063</v>
      </c>
      <c r="E1635" t="s">
        <v>1040</v>
      </c>
      <c r="F1635" t="s">
        <v>598</v>
      </c>
      <c r="G1635" t="s">
        <v>599</v>
      </c>
      <c r="H1635" t="s">
        <v>600</v>
      </c>
      <c r="I1635" t="s">
        <v>601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hidden="1">
      <c r="A1636" t="s">
        <v>18809</v>
      </c>
      <c r="B1636" t="s">
        <v>1087</v>
      </c>
      <c r="C1636" t="s">
        <v>1079</v>
      </c>
      <c r="D1636" t="s">
        <v>1086</v>
      </c>
      <c r="E1636" t="s">
        <v>1081</v>
      </c>
      <c r="F1636" t="s">
        <v>598</v>
      </c>
      <c r="G1636" t="s">
        <v>599</v>
      </c>
      <c r="H1636" t="s">
        <v>600</v>
      </c>
      <c r="I1636" t="s">
        <v>601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hidden="1">
      <c r="A1637" t="s">
        <v>18809</v>
      </c>
      <c r="B1637" t="s">
        <v>1107</v>
      </c>
      <c r="C1637" t="s">
        <v>1079</v>
      </c>
      <c r="D1637" t="s">
        <v>1108</v>
      </c>
      <c r="E1637" t="s">
        <v>1081</v>
      </c>
      <c r="F1637" t="s">
        <v>598</v>
      </c>
      <c r="G1637" t="s">
        <v>599</v>
      </c>
      <c r="H1637" t="s">
        <v>600</v>
      </c>
      <c r="I1637" t="s">
        <v>601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hidden="1">
      <c r="A1638" t="s">
        <v>18809</v>
      </c>
      <c r="B1638" t="s">
        <v>1114</v>
      </c>
      <c r="C1638" t="s">
        <v>1079</v>
      </c>
      <c r="D1638" t="s">
        <v>1115</v>
      </c>
      <c r="E1638" t="s">
        <v>1081</v>
      </c>
      <c r="F1638" t="s">
        <v>598</v>
      </c>
      <c r="G1638" t="s">
        <v>599</v>
      </c>
      <c r="H1638" t="s">
        <v>600</v>
      </c>
      <c r="I1638" t="s">
        <v>601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hidden="1">
      <c r="A1639" t="s">
        <v>18809</v>
      </c>
      <c r="B1639" t="s">
        <v>1125</v>
      </c>
      <c r="C1639" t="s">
        <v>1079</v>
      </c>
      <c r="D1639" t="s">
        <v>1126</v>
      </c>
      <c r="E1639" t="s">
        <v>1081</v>
      </c>
      <c r="F1639" t="s">
        <v>598</v>
      </c>
      <c r="G1639" t="s">
        <v>599</v>
      </c>
      <c r="H1639" t="s">
        <v>600</v>
      </c>
      <c r="I1639" t="s">
        <v>601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hidden="1">
      <c r="A1640" t="s">
        <v>18809</v>
      </c>
      <c r="B1640" t="s">
        <v>1133</v>
      </c>
      <c r="C1640" t="s">
        <v>1079</v>
      </c>
      <c r="D1640" t="s">
        <v>1134</v>
      </c>
      <c r="E1640" t="s">
        <v>1081</v>
      </c>
      <c r="F1640" t="s">
        <v>598</v>
      </c>
      <c r="G1640" t="s">
        <v>599</v>
      </c>
      <c r="H1640" t="s">
        <v>600</v>
      </c>
      <c r="I1640" t="s">
        <v>601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hidden="1">
      <c r="A1641" t="s">
        <v>18809</v>
      </c>
      <c r="B1641" t="s">
        <v>1144</v>
      </c>
      <c r="C1641" t="s">
        <v>1079</v>
      </c>
      <c r="D1641" t="s">
        <v>1145</v>
      </c>
      <c r="E1641" t="s">
        <v>1081</v>
      </c>
      <c r="F1641" t="s">
        <v>598</v>
      </c>
      <c r="G1641" t="s">
        <v>599</v>
      </c>
      <c r="H1641" t="s">
        <v>600</v>
      </c>
      <c r="I1641" t="s">
        <v>601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hidden="1">
      <c r="A1642" t="s">
        <v>18809</v>
      </c>
      <c r="B1642" t="s">
        <v>1155</v>
      </c>
      <c r="C1642" t="s">
        <v>1079</v>
      </c>
      <c r="D1642" t="s">
        <v>1156</v>
      </c>
      <c r="E1642" t="s">
        <v>1081</v>
      </c>
      <c r="F1642" t="s">
        <v>598</v>
      </c>
      <c r="G1642" t="s">
        <v>599</v>
      </c>
      <c r="H1642" t="s">
        <v>600</v>
      </c>
      <c r="I1642" t="s">
        <v>601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</row>
    <row r="1643" spans="1:25" hidden="1">
      <c r="A1643" t="s">
        <v>18809</v>
      </c>
      <c r="B1643" t="s">
        <v>1171</v>
      </c>
      <c r="C1643" t="s">
        <v>1079</v>
      </c>
      <c r="D1643" t="s">
        <v>1172</v>
      </c>
      <c r="E1643" t="s">
        <v>1081</v>
      </c>
      <c r="F1643" t="s">
        <v>598</v>
      </c>
      <c r="G1643" t="s">
        <v>599</v>
      </c>
      <c r="H1643" t="s">
        <v>600</v>
      </c>
      <c r="I1643" t="s">
        <v>601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hidden="1">
      <c r="A1644" t="s">
        <v>18809</v>
      </c>
      <c r="B1644" t="s">
        <v>1179</v>
      </c>
      <c r="C1644" t="s">
        <v>1079</v>
      </c>
      <c r="D1644" t="s">
        <v>1180</v>
      </c>
      <c r="E1644" t="s">
        <v>1081</v>
      </c>
      <c r="F1644" t="s">
        <v>598</v>
      </c>
      <c r="G1644" t="s">
        <v>599</v>
      </c>
      <c r="H1644" t="s">
        <v>600</v>
      </c>
      <c r="I1644" t="s">
        <v>601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hidden="1">
      <c r="A1645" t="s">
        <v>18809</v>
      </c>
      <c r="B1645" t="s">
        <v>1217</v>
      </c>
      <c r="C1645" t="s">
        <v>1079</v>
      </c>
      <c r="D1645" t="s">
        <v>1188</v>
      </c>
      <c r="E1645" t="s">
        <v>1106</v>
      </c>
      <c r="F1645" t="s">
        <v>598</v>
      </c>
      <c r="G1645" t="s">
        <v>599</v>
      </c>
      <c r="H1645" t="s">
        <v>600</v>
      </c>
      <c r="I1645" t="s">
        <v>601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</row>
    <row r="1646" spans="1:25" hidden="1">
      <c r="A1646" t="s">
        <v>18809</v>
      </c>
      <c r="B1646" t="s">
        <v>1221</v>
      </c>
      <c r="C1646" t="s">
        <v>1079</v>
      </c>
      <c r="D1646" t="s">
        <v>648</v>
      </c>
      <c r="E1646" t="s">
        <v>1081</v>
      </c>
      <c r="F1646" t="s">
        <v>598</v>
      </c>
      <c r="G1646" t="s">
        <v>599</v>
      </c>
      <c r="H1646" t="s">
        <v>600</v>
      </c>
      <c r="I1646" t="s">
        <v>601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hidden="1">
      <c r="A1647" t="s">
        <v>18809</v>
      </c>
      <c r="B1647" t="s">
        <v>1234</v>
      </c>
      <c r="C1647" t="s">
        <v>1230</v>
      </c>
      <c r="D1647" t="s">
        <v>1188</v>
      </c>
      <c r="E1647" t="s">
        <v>1004</v>
      </c>
      <c r="F1647" t="s">
        <v>598</v>
      </c>
      <c r="G1647" t="s">
        <v>599</v>
      </c>
      <c r="H1647" t="s">
        <v>600</v>
      </c>
      <c r="I1647" t="s">
        <v>601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hidden="1">
      <c r="A1648" t="s">
        <v>18809</v>
      </c>
      <c r="B1648" t="s">
        <v>1244</v>
      </c>
      <c r="C1648" t="s">
        <v>1230</v>
      </c>
      <c r="D1648" t="s">
        <v>1243</v>
      </c>
      <c r="E1648" t="s">
        <v>1239</v>
      </c>
      <c r="F1648" t="s">
        <v>598</v>
      </c>
      <c r="G1648" t="s">
        <v>599</v>
      </c>
      <c r="H1648" t="s">
        <v>600</v>
      </c>
      <c r="I1648" t="s">
        <v>601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hidden="1">
      <c r="A1649" t="s">
        <v>18809</v>
      </c>
      <c r="B1649" t="s">
        <v>1247</v>
      </c>
      <c r="C1649" t="s">
        <v>1230</v>
      </c>
      <c r="D1649" t="s">
        <v>1246</v>
      </c>
      <c r="E1649" t="s">
        <v>1239</v>
      </c>
      <c r="F1649" t="s">
        <v>598</v>
      </c>
      <c r="G1649" t="s">
        <v>599</v>
      </c>
      <c r="H1649" t="s">
        <v>600</v>
      </c>
      <c r="I1649" t="s">
        <v>601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hidden="1">
      <c r="A1650" t="s">
        <v>18809</v>
      </c>
      <c r="B1650" t="s">
        <v>1250</v>
      </c>
      <c r="C1650" t="s">
        <v>1230</v>
      </c>
      <c r="D1650" t="s">
        <v>648</v>
      </c>
      <c r="E1650" t="s">
        <v>1004</v>
      </c>
      <c r="F1650" t="s">
        <v>598</v>
      </c>
      <c r="G1650" t="s">
        <v>599</v>
      </c>
      <c r="H1650" t="s">
        <v>600</v>
      </c>
      <c r="I1650" t="s">
        <v>601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 hidden="1">
      <c r="A1651" t="s">
        <v>18809</v>
      </c>
      <c r="B1651" t="s">
        <v>1256</v>
      </c>
      <c r="C1651" t="s">
        <v>1253</v>
      </c>
      <c r="D1651" t="s">
        <v>1254</v>
      </c>
      <c r="E1651" t="s">
        <v>1257</v>
      </c>
      <c r="F1651" t="s">
        <v>598</v>
      </c>
      <c r="G1651" t="s">
        <v>599</v>
      </c>
      <c r="H1651" t="s">
        <v>600</v>
      </c>
      <c r="I1651" t="s">
        <v>601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hidden="1">
      <c r="A1652" t="s">
        <v>18809</v>
      </c>
      <c r="B1652" t="s">
        <v>1258</v>
      </c>
      <c r="C1652" t="s">
        <v>1253</v>
      </c>
      <c r="D1652" t="s">
        <v>1254</v>
      </c>
      <c r="E1652" t="s">
        <v>1259</v>
      </c>
      <c r="F1652" t="s">
        <v>598</v>
      </c>
      <c r="G1652" t="s">
        <v>599</v>
      </c>
      <c r="H1652" t="s">
        <v>600</v>
      </c>
      <c r="I1652" t="s">
        <v>601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hidden="1">
      <c r="A1653" t="s">
        <v>18809</v>
      </c>
      <c r="B1653" t="s">
        <v>1260</v>
      </c>
      <c r="C1653" t="s">
        <v>1261</v>
      </c>
      <c r="D1653" t="s">
        <v>648</v>
      </c>
      <c r="E1653" t="s">
        <v>920</v>
      </c>
      <c r="F1653" t="s">
        <v>598</v>
      </c>
      <c r="G1653" t="s">
        <v>599</v>
      </c>
      <c r="H1653" t="s">
        <v>600</v>
      </c>
      <c r="I1653" t="s">
        <v>601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hidden="1">
      <c r="A1654" t="s">
        <v>18809</v>
      </c>
      <c r="B1654" t="s">
        <v>1265</v>
      </c>
      <c r="C1654" t="s">
        <v>1261</v>
      </c>
      <c r="D1654" t="s">
        <v>648</v>
      </c>
      <c r="E1654" t="s">
        <v>1004</v>
      </c>
      <c r="F1654" t="s">
        <v>598</v>
      </c>
      <c r="G1654" t="s">
        <v>599</v>
      </c>
      <c r="H1654" t="s">
        <v>600</v>
      </c>
      <c r="I1654" t="s">
        <v>601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hidden="1">
      <c r="A1655" t="s">
        <v>18809</v>
      </c>
      <c r="B1655" t="s">
        <v>1478</v>
      </c>
      <c r="C1655" t="s">
        <v>1472</v>
      </c>
      <c r="D1655" t="s">
        <v>1305</v>
      </c>
      <c r="E1655" t="s">
        <v>973</v>
      </c>
      <c r="F1655" t="s">
        <v>598</v>
      </c>
      <c r="G1655" t="s">
        <v>599</v>
      </c>
      <c r="H1655" t="s">
        <v>600</v>
      </c>
      <c r="I1655" t="s">
        <v>601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hidden="1">
      <c r="A1656" t="s">
        <v>18809</v>
      </c>
      <c r="B1656" t="s">
        <v>1482</v>
      </c>
      <c r="C1656" t="s">
        <v>1472</v>
      </c>
      <c r="D1656" t="s">
        <v>1483</v>
      </c>
      <c r="E1656" t="s">
        <v>597</v>
      </c>
      <c r="F1656" t="s">
        <v>598</v>
      </c>
      <c r="G1656" t="s">
        <v>599</v>
      </c>
      <c r="H1656" t="s">
        <v>600</v>
      </c>
      <c r="I1656" t="s">
        <v>601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 hidden="1">
      <c r="A1657" t="s">
        <v>18809</v>
      </c>
      <c r="B1657" t="s">
        <v>1493</v>
      </c>
      <c r="C1657" t="s">
        <v>1472</v>
      </c>
      <c r="D1657" t="s">
        <v>1316</v>
      </c>
      <c r="E1657" t="s">
        <v>626</v>
      </c>
      <c r="F1657" t="s">
        <v>598</v>
      </c>
      <c r="G1657" t="s">
        <v>599</v>
      </c>
      <c r="H1657" t="s">
        <v>600</v>
      </c>
      <c r="I1657" t="s">
        <v>601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hidden="1">
      <c r="A1658" t="s">
        <v>18809</v>
      </c>
      <c r="B1658" t="s">
        <v>1556</v>
      </c>
      <c r="C1658" t="s">
        <v>1472</v>
      </c>
      <c r="D1658" t="s">
        <v>1552</v>
      </c>
      <c r="E1658" t="s">
        <v>676</v>
      </c>
      <c r="F1658" t="s">
        <v>598</v>
      </c>
      <c r="G1658" t="s">
        <v>599</v>
      </c>
      <c r="H1658" t="s">
        <v>600</v>
      </c>
      <c r="I1658" t="s">
        <v>601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hidden="1">
      <c r="A1659" t="s">
        <v>18809</v>
      </c>
      <c r="B1659" t="s">
        <v>1563</v>
      </c>
      <c r="C1659" t="s">
        <v>1472</v>
      </c>
      <c r="D1659" t="s">
        <v>1564</v>
      </c>
      <c r="E1659" t="s">
        <v>626</v>
      </c>
      <c r="F1659" t="s">
        <v>598</v>
      </c>
      <c r="G1659" t="s">
        <v>599</v>
      </c>
      <c r="H1659" t="s">
        <v>600</v>
      </c>
      <c r="I1659" t="s">
        <v>601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hidden="1">
      <c r="A1660" t="s">
        <v>18809</v>
      </c>
      <c r="B1660" t="s">
        <v>1565</v>
      </c>
      <c r="C1660" t="s">
        <v>1472</v>
      </c>
      <c r="D1660" t="s">
        <v>1564</v>
      </c>
      <c r="E1660" t="s">
        <v>678</v>
      </c>
      <c r="F1660" t="s">
        <v>598</v>
      </c>
      <c r="G1660" t="s">
        <v>599</v>
      </c>
      <c r="H1660" t="s">
        <v>600</v>
      </c>
      <c r="I1660" t="s">
        <v>601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hidden="1">
      <c r="A1661" t="s">
        <v>18809</v>
      </c>
      <c r="B1661" t="s">
        <v>1566</v>
      </c>
      <c r="C1661" t="s">
        <v>1472</v>
      </c>
      <c r="D1661" t="s">
        <v>1567</v>
      </c>
      <c r="E1661" t="s">
        <v>626</v>
      </c>
      <c r="F1661" t="s">
        <v>598</v>
      </c>
      <c r="G1661" t="s">
        <v>599</v>
      </c>
      <c r="H1661" t="s">
        <v>600</v>
      </c>
      <c r="I1661" t="s">
        <v>601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hidden="1">
      <c r="A1662" t="s">
        <v>18809</v>
      </c>
      <c r="B1662" t="s">
        <v>1568</v>
      </c>
      <c r="C1662" t="s">
        <v>1472</v>
      </c>
      <c r="D1662" t="s">
        <v>1569</v>
      </c>
      <c r="E1662" t="s">
        <v>626</v>
      </c>
      <c r="F1662" t="s">
        <v>598</v>
      </c>
      <c r="G1662" t="s">
        <v>599</v>
      </c>
      <c r="H1662" t="s">
        <v>600</v>
      </c>
      <c r="I1662" t="s">
        <v>601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hidden="1">
      <c r="A1663" t="s">
        <v>18809</v>
      </c>
      <c r="B1663" t="s">
        <v>1570</v>
      </c>
      <c r="C1663" t="s">
        <v>1472</v>
      </c>
      <c r="D1663" t="s">
        <v>1571</v>
      </c>
      <c r="E1663" t="s">
        <v>626</v>
      </c>
      <c r="F1663" t="s">
        <v>598</v>
      </c>
      <c r="G1663" t="s">
        <v>599</v>
      </c>
      <c r="H1663" t="s">
        <v>600</v>
      </c>
      <c r="I1663" t="s">
        <v>601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hidden="1">
      <c r="A1664" t="s">
        <v>18809</v>
      </c>
      <c r="B1664" t="s">
        <v>1573</v>
      </c>
      <c r="C1664" t="s">
        <v>1472</v>
      </c>
      <c r="D1664" t="s">
        <v>1574</v>
      </c>
      <c r="E1664" t="s">
        <v>626</v>
      </c>
      <c r="F1664" t="s">
        <v>598</v>
      </c>
      <c r="G1664" t="s">
        <v>599</v>
      </c>
      <c r="H1664" t="s">
        <v>600</v>
      </c>
      <c r="I1664" t="s">
        <v>601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hidden="1">
      <c r="A1665" t="s">
        <v>18809</v>
      </c>
      <c r="B1665" t="s">
        <v>1575</v>
      </c>
      <c r="C1665" t="s">
        <v>1472</v>
      </c>
      <c r="D1665" t="s">
        <v>1576</v>
      </c>
      <c r="E1665" t="s">
        <v>626</v>
      </c>
      <c r="F1665" t="s">
        <v>598</v>
      </c>
      <c r="G1665" t="s">
        <v>599</v>
      </c>
      <c r="H1665" t="s">
        <v>600</v>
      </c>
      <c r="I1665" t="s">
        <v>601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hidden="1">
      <c r="A1666" t="s">
        <v>18809</v>
      </c>
      <c r="B1666" t="s">
        <v>1577</v>
      </c>
      <c r="C1666" t="s">
        <v>1472</v>
      </c>
      <c r="D1666" t="s">
        <v>1578</v>
      </c>
      <c r="E1666" t="s">
        <v>626</v>
      </c>
      <c r="F1666" t="s">
        <v>598</v>
      </c>
      <c r="G1666" t="s">
        <v>599</v>
      </c>
      <c r="H1666" t="s">
        <v>600</v>
      </c>
      <c r="I1666" t="s">
        <v>601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hidden="1">
      <c r="A1667" t="s">
        <v>18809</v>
      </c>
      <c r="B1667" t="s">
        <v>1582</v>
      </c>
      <c r="C1667" t="s">
        <v>1472</v>
      </c>
      <c r="D1667" t="s">
        <v>1583</v>
      </c>
      <c r="E1667" t="s">
        <v>626</v>
      </c>
      <c r="F1667" t="s">
        <v>598</v>
      </c>
      <c r="G1667" t="s">
        <v>599</v>
      </c>
      <c r="H1667" t="s">
        <v>600</v>
      </c>
      <c r="I1667" t="s">
        <v>601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hidden="1">
      <c r="A1668" t="s">
        <v>18809</v>
      </c>
      <c r="B1668" t="s">
        <v>1589</v>
      </c>
      <c r="C1668" t="s">
        <v>1472</v>
      </c>
      <c r="D1668" t="s">
        <v>1365</v>
      </c>
      <c r="E1668" t="s">
        <v>973</v>
      </c>
      <c r="F1668" t="s">
        <v>598</v>
      </c>
      <c r="G1668" t="s">
        <v>599</v>
      </c>
      <c r="H1668" t="s">
        <v>600</v>
      </c>
      <c r="I1668" t="s">
        <v>601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hidden="1">
      <c r="A1669" t="s">
        <v>18809</v>
      </c>
      <c r="B1669" t="s">
        <v>1590</v>
      </c>
      <c r="C1669" t="s">
        <v>1472</v>
      </c>
      <c r="D1669" t="s">
        <v>1365</v>
      </c>
      <c r="E1669" t="s">
        <v>626</v>
      </c>
      <c r="F1669" t="s">
        <v>598</v>
      </c>
      <c r="G1669" t="s">
        <v>599</v>
      </c>
      <c r="H1669" t="s">
        <v>600</v>
      </c>
      <c r="I1669" t="s">
        <v>601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hidden="1">
      <c r="A1670" t="s">
        <v>18809</v>
      </c>
      <c r="B1670" t="s">
        <v>1600</v>
      </c>
      <c r="C1670" t="s">
        <v>1472</v>
      </c>
      <c r="D1670" t="s">
        <v>1601</v>
      </c>
      <c r="E1670" t="s">
        <v>626</v>
      </c>
      <c r="F1670" t="s">
        <v>598</v>
      </c>
      <c r="G1670" t="s">
        <v>599</v>
      </c>
      <c r="H1670" t="s">
        <v>600</v>
      </c>
      <c r="I1670" t="s">
        <v>601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hidden="1">
      <c r="A1671" t="s">
        <v>18809</v>
      </c>
      <c r="B1671" t="s">
        <v>1602</v>
      </c>
      <c r="C1671" t="s">
        <v>1472</v>
      </c>
      <c r="D1671" t="s">
        <v>1603</v>
      </c>
      <c r="E1671" t="s">
        <v>626</v>
      </c>
      <c r="F1671" t="s">
        <v>598</v>
      </c>
      <c r="G1671" t="s">
        <v>599</v>
      </c>
      <c r="H1671" t="s">
        <v>600</v>
      </c>
      <c r="I1671" t="s">
        <v>601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hidden="1">
      <c r="A1672" t="s">
        <v>18809</v>
      </c>
      <c r="B1672" t="s">
        <v>1604</v>
      </c>
      <c r="C1672" t="s">
        <v>1472</v>
      </c>
      <c r="D1672" t="s">
        <v>1605</v>
      </c>
      <c r="E1672" t="s">
        <v>626</v>
      </c>
      <c r="F1672" t="s">
        <v>598</v>
      </c>
      <c r="G1672" t="s">
        <v>599</v>
      </c>
      <c r="H1672" t="s">
        <v>600</v>
      </c>
      <c r="I1672" t="s">
        <v>601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hidden="1">
      <c r="A1673" t="s">
        <v>18809</v>
      </c>
      <c r="B1673" t="s">
        <v>1610</v>
      </c>
      <c r="C1673" t="s">
        <v>1611</v>
      </c>
      <c r="D1673" t="s">
        <v>648</v>
      </c>
      <c r="E1673" t="s">
        <v>920</v>
      </c>
      <c r="F1673" t="s">
        <v>598</v>
      </c>
      <c r="G1673" t="s">
        <v>599</v>
      </c>
      <c r="H1673" t="s">
        <v>600</v>
      </c>
      <c r="I1673" t="s">
        <v>601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hidden="1">
      <c r="A1674" t="s">
        <v>18809</v>
      </c>
      <c r="B1674" t="s">
        <v>1771</v>
      </c>
      <c r="C1674" t="s">
        <v>1614</v>
      </c>
      <c r="D1674" t="s">
        <v>1768</v>
      </c>
      <c r="E1674" t="s">
        <v>1772</v>
      </c>
      <c r="F1674" t="s">
        <v>598</v>
      </c>
      <c r="G1674" t="s">
        <v>599</v>
      </c>
      <c r="H1674" t="s">
        <v>600</v>
      </c>
      <c r="I1674" t="s">
        <v>601</v>
      </c>
      <c r="J1674">
        <v>5.9999999999999995E-4</v>
      </c>
      <c r="K1674">
        <v>6.9999999999999999E-4</v>
      </c>
      <c r="L1674">
        <v>6.9999999999999999E-4</v>
      </c>
      <c r="M1674">
        <v>6.9999999999999999E-4</v>
      </c>
      <c r="N1674">
        <v>6.9999999999999999E-4</v>
      </c>
      <c r="O1674">
        <v>8.0000000000000004E-4</v>
      </c>
      <c r="P1674">
        <v>8.0000000000000004E-4</v>
      </c>
      <c r="Q1674">
        <v>8.0000000000000004E-4</v>
      </c>
      <c r="R1674">
        <v>8.9999999999999998E-4</v>
      </c>
      <c r="S1674">
        <v>8.9999999999999998E-4</v>
      </c>
      <c r="T1674">
        <v>8.9999999999999998E-4</v>
      </c>
      <c r="U1674">
        <v>8.9999999999999998E-4</v>
      </c>
      <c r="V1674">
        <v>1E-3</v>
      </c>
      <c r="W1674">
        <v>1E-3</v>
      </c>
      <c r="X1674">
        <v>1E-3</v>
      </c>
      <c r="Y1674">
        <v>1.1000000000000001E-3</v>
      </c>
    </row>
    <row r="1675" spans="1:25" hidden="1">
      <c r="A1675" t="s">
        <v>18809</v>
      </c>
      <c r="B1675" t="s">
        <v>1775</v>
      </c>
      <c r="C1675" t="s">
        <v>1614</v>
      </c>
      <c r="D1675" t="s">
        <v>1776</v>
      </c>
      <c r="E1675" t="s">
        <v>1777</v>
      </c>
      <c r="F1675" t="s">
        <v>598</v>
      </c>
      <c r="G1675" t="s">
        <v>599</v>
      </c>
      <c r="H1675" t="s">
        <v>600</v>
      </c>
      <c r="I1675" t="s">
        <v>601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hidden="1">
      <c r="A1676" t="s">
        <v>18809</v>
      </c>
      <c r="B1676" t="s">
        <v>1780</v>
      </c>
      <c r="C1676" t="s">
        <v>1614</v>
      </c>
      <c r="D1676" t="s">
        <v>1781</v>
      </c>
      <c r="E1676" t="s">
        <v>1716</v>
      </c>
      <c r="F1676" t="s">
        <v>598</v>
      </c>
      <c r="G1676" t="s">
        <v>599</v>
      </c>
      <c r="H1676" t="s">
        <v>600</v>
      </c>
      <c r="I1676" t="s">
        <v>601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hidden="1">
      <c r="A1677" t="s">
        <v>18809</v>
      </c>
      <c r="B1677" t="s">
        <v>1813</v>
      </c>
      <c r="C1677" t="s">
        <v>1614</v>
      </c>
      <c r="D1677" t="s">
        <v>1812</v>
      </c>
      <c r="E1677" t="s">
        <v>1393</v>
      </c>
      <c r="F1677" t="s">
        <v>598</v>
      </c>
      <c r="G1677" t="s">
        <v>599</v>
      </c>
      <c r="H1677" t="s">
        <v>600</v>
      </c>
      <c r="I1677" t="s">
        <v>601</v>
      </c>
      <c r="J1677">
        <v>2.8E-3</v>
      </c>
      <c r="K1677">
        <v>2.8999999999999998E-3</v>
      </c>
      <c r="L1677">
        <v>3.0999999999999999E-3</v>
      </c>
      <c r="M1677">
        <v>3.2000000000000002E-3</v>
      </c>
      <c r="N1677">
        <v>3.3E-3</v>
      </c>
      <c r="O1677">
        <v>3.3999999999999998E-3</v>
      </c>
      <c r="P1677">
        <v>3.5000000000000001E-3</v>
      </c>
      <c r="Q1677">
        <v>3.7000000000000002E-3</v>
      </c>
      <c r="R1677">
        <v>3.8E-3</v>
      </c>
      <c r="S1677">
        <v>3.8999999999999998E-3</v>
      </c>
      <c r="T1677">
        <v>4.0000000000000001E-3</v>
      </c>
      <c r="U1677">
        <v>4.1999999999999997E-3</v>
      </c>
      <c r="V1677">
        <v>4.3E-3</v>
      </c>
      <c r="W1677">
        <v>4.4999999999999997E-3</v>
      </c>
      <c r="X1677">
        <v>4.5999999999999999E-3</v>
      </c>
      <c r="Y1677">
        <v>4.7999999999999996E-3</v>
      </c>
    </row>
    <row r="1678" spans="1:25" hidden="1">
      <c r="A1678" t="s">
        <v>18809</v>
      </c>
      <c r="B1678" t="s">
        <v>1832</v>
      </c>
      <c r="C1678" t="s">
        <v>1614</v>
      </c>
      <c r="D1678" t="s">
        <v>648</v>
      </c>
      <c r="E1678" t="s">
        <v>1393</v>
      </c>
      <c r="F1678" t="s">
        <v>598</v>
      </c>
      <c r="G1678" t="s">
        <v>599</v>
      </c>
      <c r="H1678" t="s">
        <v>600</v>
      </c>
      <c r="I1678" t="s">
        <v>601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hidden="1">
      <c r="A1679" t="s">
        <v>18809</v>
      </c>
      <c r="B1679" t="s">
        <v>1858</v>
      </c>
      <c r="C1679" t="s">
        <v>1845</v>
      </c>
      <c r="D1679" t="s">
        <v>1859</v>
      </c>
      <c r="E1679" t="s">
        <v>1860</v>
      </c>
      <c r="F1679" t="s">
        <v>598</v>
      </c>
      <c r="G1679" t="s">
        <v>599</v>
      </c>
      <c r="H1679" t="s">
        <v>600</v>
      </c>
      <c r="I1679" t="s">
        <v>601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hidden="1">
      <c r="A1680" t="s">
        <v>18809</v>
      </c>
      <c r="B1680" t="s">
        <v>1863</v>
      </c>
      <c r="C1680" t="s">
        <v>1845</v>
      </c>
      <c r="D1680" t="s">
        <v>1864</v>
      </c>
      <c r="E1680" t="s">
        <v>1865</v>
      </c>
      <c r="F1680" t="s">
        <v>598</v>
      </c>
      <c r="G1680" t="s">
        <v>599</v>
      </c>
      <c r="H1680" t="s">
        <v>600</v>
      </c>
      <c r="I1680" t="s">
        <v>601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hidden="1">
      <c r="A1681" t="s">
        <v>18809</v>
      </c>
      <c r="B1681" t="s">
        <v>1870</v>
      </c>
      <c r="C1681" t="s">
        <v>1845</v>
      </c>
      <c r="D1681" t="s">
        <v>1871</v>
      </c>
      <c r="E1681" t="s">
        <v>1872</v>
      </c>
      <c r="F1681" t="s">
        <v>598</v>
      </c>
      <c r="G1681" t="s">
        <v>599</v>
      </c>
      <c r="H1681" t="s">
        <v>600</v>
      </c>
      <c r="I1681" t="s">
        <v>601</v>
      </c>
      <c r="J1681">
        <v>1.1999999999999999E-3</v>
      </c>
      <c r="K1681">
        <v>1.2999999999999999E-3</v>
      </c>
      <c r="L1681">
        <v>1.2999999999999999E-3</v>
      </c>
      <c r="M1681">
        <v>1.2999999999999999E-3</v>
      </c>
      <c r="N1681">
        <v>1.4E-3</v>
      </c>
      <c r="O1681">
        <v>1.4E-3</v>
      </c>
      <c r="P1681">
        <v>1.4E-3</v>
      </c>
      <c r="Q1681">
        <v>1.4E-3</v>
      </c>
      <c r="R1681">
        <v>1.5E-3</v>
      </c>
      <c r="S1681">
        <v>1.5E-3</v>
      </c>
      <c r="T1681">
        <v>1.5E-3</v>
      </c>
      <c r="U1681">
        <v>1.5E-3</v>
      </c>
      <c r="V1681">
        <v>1.5E-3</v>
      </c>
      <c r="W1681">
        <v>1.5E-3</v>
      </c>
      <c r="X1681">
        <v>1.6000000000000001E-3</v>
      </c>
      <c r="Y1681">
        <v>1.6000000000000001E-3</v>
      </c>
    </row>
    <row r="1682" spans="1:25" hidden="1">
      <c r="A1682" t="s">
        <v>18809</v>
      </c>
      <c r="B1682" t="s">
        <v>1877</v>
      </c>
      <c r="C1682" t="s">
        <v>1845</v>
      </c>
      <c r="D1682" t="s">
        <v>1878</v>
      </c>
      <c r="E1682" t="s">
        <v>1872</v>
      </c>
      <c r="F1682" t="s">
        <v>598</v>
      </c>
      <c r="G1682" t="s">
        <v>599</v>
      </c>
      <c r="H1682" t="s">
        <v>600</v>
      </c>
      <c r="I1682" t="s">
        <v>601</v>
      </c>
      <c r="J1682">
        <v>3.3E-3</v>
      </c>
      <c r="K1682">
        <v>3.3999999999999998E-3</v>
      </c>
      <c r="L1682">
        <v>3.5000000000000001E-3</v>
      </c>
      <c r="M1682">
        <v>3.5999999999999999E-3</v>
      </c>
      <c r="N1682">
        <v>3.7000000000000002E-3</v>
      </c>
      <c r="O1682">
        <v>3.7000000000000002E-3</v>
      </c>
      <c r="P1682">
        <v>3.8E-3</v>
      </c>
      <c r="Q1682">
        <v>3.8E-3</v>
      </c>
      <c r="R1682">
        <v>3.8999999999999998E-3</v>
      </c>
      <c r="S1682">
        <v>3.8999999999999998E-3</v>
      </c>
      <c r="T1682">
        <v>4.0000000000000001E-3</v>
      </c>
      <c r="U1682">
        <v>4.0000000000000001E-3</v>
      </c>
      <c r="V1682">
        <v>4.1000000000000003E-3</v>
      </c>
      <c r="W1682">
        <v>4.1000000000000003E-3</v>
      </c>
      <c r="X1682">
        <v>4.1999999999999997E-3</v>
      </c>
      <c r="Y1682">
        <v>4.3E-3</v>
      </c>
    </row>
    <row r="1683" spans="1:25" hidden="1">
      <c r="A1683" t="s">
        <v>18809</v>
      </c>
      <c r="B1683" t="s">
        <v>1917</v>
      </c>
      <c r="C1683" t="s">
        <v>1845</v>
      </c>
      <c r="D1683" t="s">
        <v>1918</v>
      </c>
      <c r="E1683" t="s">
        <v>1872</v>
      </c>
      <c r="F1683" t="s">
        <v>598</v>
      </c>
      <c r="G1683" t="s">
        <v>599</v>
      </c>
      <c r="H1683" t="s">
        <v>600</v>
      </c>
      <c r="I1683" t="s">
        <v>601</v>
      </c>
      <c r="J1683">
        <v>3.0000000000000001E-3</v>
      </c>
      <c r="K1683">
        <v>3.0000000000000001E-3</v>
      </c>
      <c r="L1683">
        <v>3.0999999999999999E-3</v>
      </c>
      <c r="M1683">
        <v>3.2000000000000002E-3</v>
      </c>
      <c r="N1683">
        <v>3.3E-3</v>
      </c>
      <c r="O1683">
        <v>3.3E-3</v>
      </c>
      <c r="P1683">
        <v>3.3999999999999998E-3</v>
      </c>
      <c r="Q1683">
        <v>3.3999999999999998E-3</v>
      </c>
      <c r="R1683">
        <v>3.3999999999999998E-3</v>
      </c>
      <c r="S1683">
        <v>3.5000000000000001E-3</v>
      </c>
      <c r="T1683">
        <v>3.5000000000000001E-3</v>
      </c>
      <c r="U1683">
        <v>3.5999999999999999E-3</v>
      </c>
      <c r="V1683">
        <v>3.5999999999999999E-3</v>
      </c>
      <c r="W1683">
        <v>3.7000000000000002E-3</v>
      </c>
      <c r="X1683">
        <v>3.7000000000000002E-3</v>
      </c>
      <c r="Y1683">
        <v>3.8E-3</v>
      </c>
    </row>
    <row r="1684" spans="1:25" hidden="1">
      <c r="A1684" t="s">
        <v>18809</v>
      </c>
      <c r="B1684" t="s">
        <v>1964</v>
      </c>
      <c r="C1684" t="s">
        <v>1959</v>
      </c>
      <c r="D1684" t="s">
        <v>1965</v>
      </c>
      <c r="E1684" t="s">
        <v>1966</v>
      </c>
      <c r="F1684" t="s">
        <v>598</v>
      </c>
      <c r="G1684" t="s">
        <v>599</v>
      </c>
      <c r="H1684" t="s">
        <v>600</v>
      </c>
      <c r="I1684" t="s">
        <v>601</v>
      </c>
      <c r="J1684">
        <v>0.15659999999999999</v>
      </c>
      <c r="K1684">
        <v>0.16209999999999999</v>
      </c>
      <c r="L1684">
        <v>0.1678</v>
      </c>
      <c r="M1684">
        <v>0.17380000000000001</v>
      </c>
      <c r="N1684">
        <v>0.17649999999999999</v>
      </c>
      <c r="O1684">
        <v>0.17899999999999999</v>
      </c>
      <c r="P1684">
        <v>0.18140000000000001</v>
      </c>
      <c r="Q1684">
        <v>0.18390000000000001</v>
      </c>
      <c r="R1684">
        <v>0.18659999999999999</v>
      </c>
      <c r="S1684">
        <v>0.18959999999999999</v>
      </c>
      <c r="T1684">
        <v>0.19259999999999999</v>
      </c>
      <c r="U1684">
        <v>0.1961</v>
      </c>
      <c r="V1684">
        <v>0.19989999999999999</v>
      </c>
      <c r="W1684">
        <v>0.20369999999999999</v>
      </c>
      <c r="X1684">
        <v>0.20699999999999999</v>
      </c>
      <c r="Y1684">
        <v>0.21029999999999999</v>
      </c>
    </row>
    <row r="1685" spans="1:25" hidden="1">
      <c r="A1685" t="s">
        <v>18809</v>
      </c>
      <c r="B1685" t="s">
        <v>1967</v>
      </c>
      <c r="C1685" t="s">
        <v>1959</v>
      </c>
      <c r="D1685" t="s">
        <v>1968</v>
      </c>
      <c r="E1685" t="s">
        <v>1962</v>
      </c>
      <c r="F1685" t="s">
        <v>598</v>
      </c>
      <c r="G1685" t="s">
        <v>599</v>
      </c>
      <c r="H1685" t="s">
        <v>600</v>
      </c>
      <c r="I1685" t="s">
        <v>601</v>
      </c>
      <c r="J1685">
        <v>0.19020000000000001</v>
      </c>
      <c r="K1685">
        <v>0.19670000000000001</v>
      </c>
      <c r="L1685">
        <v>0.2036</v>
      </c>
      <c r="M1685">
        <v>0.2109</v>
      </c>
      <c r="N1685">
        <v>0.2142</v>
      </c>
      <c r="O1685">
        <v>0.2172</v>
      </c>
      <c r="P1685">
        <v>0.22009999999999999</v>
      </c>
      <c r="Q1685">
        <v>0.2233</v>
      </c>
      <c r="R1685">
        <v>0.22639999999999999</v>
      </c>
      <c r="S1685">
        <v>0.2301</v>
      </c>
      <c r="T1685">
        <v>0.23369999999999999</v>
      </c>
      <c r="U1685">
        <v>0.23799999999999999</v>
      </c>
      <c r="V1685">
        <v>0.2427</v>
      </c>
      <c r="W1685">
        <v>0.24729999999999999</v>
      </c>
      <c r="X1685">
        <v>0.25119999999999998</v>
      </c>
      <c r="Y1685">
        <v>0.25509999999999999</v>
      </c>
    </row>
    <row r="1686" spans="1:25" hidden="1">
      <c r="A1686" t="s">
        <v>18809</v>
      </c>
      <c r="B1686" t="s">
        <v>1977</v>
      </c>
      <c r="C1686" t="s">
        <v>1959</v>
      </c>
      <c r="D1686" t="s">
        <v>1972</v>
      </c>
      <c r="E1686" t="s">
        <v>1966</v>
      </c>
      <c r="F1686" t="s">
        <v>598</v>
      </c>
      <c r="G1686" t="s">
        <v>599</v>
      </c>
      <c r="H1686" t="s">
        <v>600</v>
      </c>
      <c r="I1686" t="s">
        <v>601</v>
      </c>
      <c r="J1686">
        <v>0.3357</v>
      </c>
      <c r="K1686">
        <v>0.3473</v>
      </c>
      <c r="L1686">
        <v>0.3594</v>
      </c>
      <c r="M1686">
        <v>0.37219999999999998</v>
      </c>
      <c r="N1686">
        <v>0.37809999999999999</v>
      </c>
      <c r="O1686">
        <v>0.38329999999999997</v>
      </c>
      <c r="P1686">
        <v>0.38850000000000001</v>
      </c>
      <c r="Q1686">
        <v>0.39389999999999997</v>
      </c>
      <c r="R1686">
        <v>0.3997</v>
      </c>
      <c r="S1686">
        <v>0.40610000000000002</v>
      </c>
      <c r="T1686">
        <v>0.41249999999999998</v>
      </c>
      <c r="U1686">
        <v>0.42020000000000002</v>
      </c>
      <c r="V1686">
        <v>0.4284</v>
      </c>
      <c r="W1686">
        <v>0.43640000000000001</v>
      </c>
      <c r="X1686">
        <v>0.44340000000000002</v>
      </c>
      <c r="Y1686">
        <v>0.45050000000000001</v>
      </c>
    </row>
    <row r="1687" spans="1:25" hidden="1">
      <c r="A1687" t="s">
        <v>18809</v>
      </c>
      <c r="B1687" t="s">
        <v>1978</v>
      </c>
      <c r="C1687" t="s">
        <v>1959</v>
      </c>
      <c r="D1687" t="s">
        <v>1972</v>
      </c>
      <c r="E1687" t="s">
        <v>1979</v>
      </c>
      <c r="F1687" t="s">
        <v>598</v>
      </c>
      <c r="G1687" t="s">
        <v>599</v>
      </c>
      <c r="H1687" t="s">
        <v>600</v>
      </c>
      <c r="I1687" t="s">
        <v>601</v>
      </c>
      <c r="J1687">
        <v>1.6000000000000001E-3</v>
      </c>
      <c r="K1687">
        <v>1.6000000000000001E-3</v>
      </c>
      <c r="L1687">
        <v>1.6999999999999999E-3</v>
      </c>
      <c r="M1687">
        <v>1.8E-3</v>
      </c>
      <c r="N1687">
        <v>1.8E-3</v>
      </c>
      <c r="O1687">
        <v>1.9E-3</v>
      </c>
      <c r="P1687">
        <v>1.9E-3</v>
      </c>
      <c r="Q1687">
        <v>1.9E-3</v>
      </c>
      <c r="R1687">
        <v>1.9E-3</v>
      </c>
      <c r="S1687">
        <v>1.9E-3</v>
      </c>
      <c r="T1687">
        <v>2E-3</v>
      </c>
      <c r="U1687">
        <v>2E-3</v>
      </c>
      <c r="V1687">
        <v>2E-3</v>
      </c>
      <c r="W1687">
        <v>2E-3</v>
      </c>
      <c r="X1687">
        <v>2.0999999999999999E-3</v>
      </c>
      <c r="Y1687">
        <v>2.0999999999999999E-3</v>
      </c>
    </row>
    <row r="1688" spans="1:25" hidden="1">
      <c r="A1688" t="s">
        <v>18809</v>
      </c>
      <c r="B1688" t="s">
        <v>1985</v>
      </c>
      <c r="C1688" t="s">
        <v>1959</v>
      </c>
      <c r="D1688" t="s">
        <v>1983</v>
      </c>
      <c r="E1688" t="s">
        <v>1378</v>
      </c>
      <c r="F1688" t="s">
        <v>598</v>
      </c>
      <c r="G1688" t="s">
        <v>599</v>
      </c>
      <c r="H1688" t="s">
        <v>600</v>
      </c>
      <c r="I1688" t="s">
        <v>601</v>
      </c>
      <c r="J1688">
        <v>1.84E-2</v>
      </c>
      <c r="K1688">
        <v>1.9E-2</v>
      </c>
      <c r="L1688">
        <v>1.9699999999999999E-2</v>
      </c>
      <c r="M1688">
        <v>2.0299999999999999E-2</v>
      </c>
      <c r="N1688">
        <v>2.06E-2</v>
      </c>
      <c r="O1688">
        <v>2.0799999999999999E-2</v>
      </c>
      <c r="P1688">
        <v>2.1299999999999999E-2</v>
      </c>
      <c r="Q1688">
        <v>2.1499999999999998E-2</v>
      </c>
      <c r="R1688">
        <v>2.1899999999999999E-2</v>
      </c>
      <c r="S1688">
        <v>2.23E-2</v>
      </c>
      <c r="T1688">
        <v>2.2599999999999999E-2</v>
      </c>
      <c r="U1688">
        <v>2.29E-2</v>
      </c>
      <c r="V1688">
        <v>2.3400000000000001E-2</v>
      </c>
      <c r="W1688">
        <v>2.3800000000000002E-2</v>
      </c>
      <c r="X1688">
        <v>2.4299999999999999E-2</v>
      </c>
      <c r="Y1688">
        <v>2.46E-2</v>
      </c>
    </row>
    <row r="1689" spans="1:25" hidden="1">
      <c r="A1689" t="s">
        <v>18809</v>
      </c>
      <c r="B1689" t="s">
        <v>1986</v>
      </c>
      <c r="C1689" t="s">
        <v>1959</v>
      </c>
      <c r="D1689" t="s">
        <v>1983</v>
      </c>
      <c r="E1689" t="s">
        <v>1987</v>
      </c>
      <c r="F1689" t="s">
        <v>598</v>
      </c>
      <c r="G1689" t="s">
        <v>599</v>
      </c>
      <c r="H1689" t="s">
        <v>600</v>
      </c>
      <c r="I1689" t="s">
        <v>601</v>
      </c>
      <c r="J1689">
        <v>1E-3</v>
      </c>
      <c r="K1689">
        <v>1E-3</v>
      </c>
      <c r="L1689">
        <v>1.1000000000000001E-3</v>
      </c>
      <c r="M1689">
        <v>1.1000000000000001E-3</v>
      </c>
      <c r="N1689">
        <v>1.1999999999999999E-3</v>
      </c>
      <c r="O1689">
        <v>1.1999999999999999E-3</v>
      </c>
      <c r="P1689">
        <v>1.1999999999999999E-3</v>
      </c>
      <c r="Q1689">
        <v>1.1999999999999999E-3</v>
      </c>
      <c r="R1689">
        <v>1.1999999999999999E-3</v>
      </c>
      <c r="S1689">
        <v>1.1999999999999999E-3</v>
      </c>
      <c r="T1689">
        <v>1.1999999999999999E-3</v>
      </c>
      <c r="U1689">
        <v>1.1999999999999999E-3</v>
      </c>
      <c r="V1689">
        <v>1.4E-3</v>
      </c>
      <c r="W1689">
        <v>1.4E-3</v>
      </c>
      <c r="X1689">
        <v>1.4E-3</v>
      </c>
      <c r="Y1689">
        <v>1.4E-3</v>
      </c>
    </row>
    <row r="1690" spans="1:25" hidden="1">
      <c r="A1690" t="s">
        <v>18809</v>
      </c>
      <c r="B1690" t="s">
        <v>1988</v>
      </c>
      <c r="C1690" t="s">
        <v>1959</v>
      </c>
      <c r="D1690" t="s">
        <v>1983</v>
      </c>
      <c r="E1690" t="s">
        <v>1966</v>
      </c>
      <c r="F1690" t="s">
        <v>598</v>
      </c>
      <c r="G1690" t="s">
        <v>599</v>
      </c>
      <c r="H1690" t="s">
        <v>600</v>
      </c>
      <c r="I1690" t="s">
        <v>601</v>
      </c>
      <c r="J1690">
        <v>2.9999999999999997E-4</v>
      </c>
      <c r="K1690">
        <v>2.9999999999999997E-4</v>
      </c>
      <c r="L1690">
        <v>2.9999999999999997E-4</v>
      </c>
      <c r="M1690">
        <v>2.9999999999999997E-4</v>
      </c>
      <c r="N1690">
        <v>2.9999999999999997E-4</v>
      </c>
      <c r="O1690">
        <v>4.0000000000000002E-4</v>
      </c>
      <c r="P1690">
        <v>4.0000000000000002E-4</v>
      </c>
      <c r="Q1690">
        <v>4.0000000000000002E-4</v>
      </c>
      <c r="R1690">
        <v>4.0000000000000002E-4</v>
      </c>
      <c r="S1690">
        <v>4.0000000000000002E-4</v>
      </c>
      <c r="T1690">
        <v>4.0000000000000002E-4</v>
      </c>
      <c r="U1690">
        <v>4.0000000000000002E-4</v>
      </c>
      <c r="V1690">
        <v>4.0000000000000002E-4</v>
      </c>
      <c r="W1690">
        <v>4.0000000000000002E-4</v>
      </c>
      <c r="X1690">
        <v>4.0000000000000002E-4</v>
      </c>
      <c r="Y1690">
        <v>4.0000000000000002E-4</v>
      </c>
    </row>
    <row r="1691" spans="1:25" hidden="1">
      <c r="A1691" t="s">
        <v>18809</v>
      </c>
      <c r="B1691" t="s">
        <v>1989</v>
      </c>
      <c r="C1691" t="s">
        <v>1959</v>
      </c>
      <c r="D1691" t="s">
        <v>1983</v>
      </c>
      <c r="E1691" t="s">
        <v>1990</v>
      </c>
      <c r="F1691" t="s">
        <v>598</v>
      </c>
      <c r="G1691" t="s">
        <v>599</v>
      </c>
      <c r="H1691" t="s">
        <v>600</v>
      </c>
      <c r="I1691" t="s">
        <v>601</v>
      </c>
      <c r="J1691">
        <v>1.4E-3</v>
      </c>
      <c r="K1691">
        <v>1.5E-3</v>
      </c>
      <c r="L1691">
        <v>1.6000000000000001E-3</v>
      </c>
      <c r="M1691">
        <v>1.6999999999999999E-3</v>
      </c>
      <c r="N1691">
        <v>1.6999999999999999E-3</v>
      </c>
      <c r="O1691">
        <v>1.6999999999999999E-3</v>
      </c>
      <c r="P1691">
        <v>1.8E-3</v>
      </c>
      <c r="Q1691">
        <v>1.8E-3</v>
      </c>
      <c r="R1691">
        <v>1.8E-3</v>
      </c>
      <c r="S1691">
        <v>1.8E-3</v>
      </c>
      <c r="T1691">
        <v>1.9E-3</v>
      </c>
      <c r="U1691">
        <v>1.9E-3</v>
      </c>
      <c r="V1691">
        <v>1.9E-3</v>
      </c>
      <c r="W1691">
        <v>2E-3</v>
      </c>
      <c r="X1691">
        <v>2E-3</v>
      </c>
      <c r="Y1691">
        <v>2E-3</v>
      </c>
    </row>
    <row r="1692" spans="1:25" hidden="1">
      <c r="A1692" t="s">
        <v>18809</v>
      </c>
      <c r="B1692" t="s">
        <v>1991</v>
      </c>
      <c r="C1692" t="s">
        <v>1959</v>
      </c>
      <c r="D1692" t="s">
        <v>1983</v>
      </c>
      <c r="E1692" t="s">
        <v>1992</v>
      </c>
      <c r="F1692" t="s">
        <v>598</v>
      </c>
      <c r="G1692" t="s">
        <v>599</v>
      </c>
      <c r="H1692" t="s">
        <v>600</v>
      </c>
      <c r="I1692" t="s">
        <v>601</v>
      </c>
      <c r="J1692">
        <v>1.5E-3</v>
      </c>
      <c r="K1692">
        <v>1.5E-3</v>
      </c>
      <c r="L1692">
        <v>1.6999999999999999E-3</v>
      </c>
      <c r="M1692">
        <v>1.6999999999999999E-3</v>
      </c>
      <c r="N1692">
        <v>1.6999999999999999E-3</v>
      </c>
      <c r="O1692">
        <v>1.8E-3</v>
      </c>
      <c r="P1692">
        <v>1.8E-3</v>
      </c>
      <c r="Q1692">
        <v>1.8E-3</v>
      </c>
      <c r="R1692">
        <v>1.8E-3</v>
      </c>
      <c r="S1692">
        <v>1.9E-3</v>
      </c>
      <c r="T1692">
        <v>1.9E-3</v>
      </c>
      <c r="U1692">
        <v>1.9E-3</v>
      </c>
      <c r="V1692">
        <v>2E-3</v>
      </c>
      <c r="W1692">
        <v>2E-3</v>
      </c>
      <c r="X1692">
        <v>2E-3</v>
      </c>
      <c r="Y1692">
        <v>2E-3</v>
      </c>
    </row>
    <row r="1693" spans="1:25" hidden="1">
      <c r="A1693" t="s">
        <v>18809</v>
      </c>
      <c r="B1693" t="s">
        <v>1993</v>
      </c>
      <c r="C1693" t="s">
        <v>1959</v>
      </c>
      <c r="D1693" t="s">
        <v>1983</v>
      </c>
      <c r="E1693" t="s">
        <v>1994</v>
      </c>
      <c r="F1693" t="s">
        <v>598</v>
      </c>
      <c r="G1693" t="s">
        <v>599</v>
      </c>
      <c r="H1693" t="s">
        <v>600</v>
      </c>
      <c r="I1693" t="s">
        <v>601</v>
      </c>
      <c r="J1693">
        <v>1.89E-2</v>
      </c>
      <c r="K1693">
        <v>1.95E-2</v>
      </c>
      <c r="L1693">
        <v>2.0199999999999999E-2</v>
      </c>
      <c r="M1693">
        <v>2.0899999999999998E-2</v>
      </c>
      <c r="N1693">
        <v>2.12E-2</v>
      </c>
      <c r="O1693">
        <v>2.1600000000000001E-2</v>
      </c>
      <c r="P1693">
        <v>2.1899999999999999E-2</v>
      </c>
      <c r="Q1693">
        <v>2.2200000000000001E-2</v>
      </c>
      <c r="R1693">
        <v>2.2499999999999999E-2</v>
      </c>
      <c r="S1693">
        <v>2.29E-2</v>
      </c>
      <c r="T1693">
        <v>2.3199999999999998E-2</v>
      </c>
      <c r="U1693">
        <v>2.3599999999999999E-2</v>
      </c>
      <c r="V1693">
        <v>2.41E-2</v>
      </c>
      <c r="W1693">
        <v>2.4500000000000001E-2</v>
      </c>
      <c r="X1693">
        <v>2.4899999999999999E-2</v>
      </c>
      <c r="Y1693">
        <v>2.53E-2</v>
      </c>
    </row>
    <row r="1694" spans="1:25" hidden="1">
      <c r="A1694" t="s">
        <v>18809</v>
      </c>
      <c r="B1694" t="s">
        <v>2004</v>
      </c>
      <c r="C1694" t="s">
        <v>1959</v>
      </c>
      <c r="D1694" t="s">
        <v>2001</v>
      </c>
      <c r="E1694" t="s">
        <v>1380</v>
      </c>
      <c r="F1694" t="s">
        <v>598</v>
      </c>
      <c r="G1694" t="s">
        <v>599</v>
      </c>
      <c r="H1694" t="s">
        <v>600</v>
      </c>
      <c r="I1694" t="s">
        <v>601</v>
      </c>
      <c r="J1694">
        <v>9.5999999999999992E-3</v>
      </c>
      <c r="K1694">
        <v>9.9000000000000008E-3</v>
      </c>
      <c r="L1694">
        <v>1.03E-2</v>
      </c>
      <c r="M1694">
        <v>1.0699999999999999E-2</v>
      </c>
      <c r="N1694">
        <v>1.0800000000000001E-2</v>
      </c>
      <c r="O1694">
        <v>1.0999999999999999E-2</v>
      </c>
      <c r="P1694">
        <v>1.11E-2</v>
      </c>
      <c r="Q1694">
        <v>1.1299999999999999E-2</v>
      </c>
      <c r="R1694">
        <v>1.14E-2</v>
      </c>
      <c r="S1694">
        <v>1.1599999999999999E-2</v>
      </c>
      <c r="T1694">
        <v>1.18E-2</v>
      </c>
      <c r="U1694">
        <v>1.2E-2</v>
      </c>
      <c r="V1694">
        <v>1.23E-2</v>
      </c>
      <c r="W1694">
        <v>1.2500000000000001E-2</v>
      </c>
      <c r="X1694">
        <v>1.2699999999999999E-2</v>
      </c>
      <c r="Y1694">
        <v>1.29E-2</v>
      </c>
    </row>
    <row r="1695" spans="1:25" hidden="1">
      <c r="A1695" t="s">
        <v>18809</v>
      </c>
      <c r="B1695" t="s">
        <v>2005</v>
      </c>
      <c r="C1695" t="s">
        <v>1959</v>
      </c>
      <c r="D1695" t="s">
        <v>2001</v>
      </c>
      <c r="E1695" t="s">
        <v>1976</v>
      </c>
      <c r="F1695" t="s">
        <v>598</v>
      </c>
      <c r="G1695" t="s">
        <v>599</v>
      </c>
      <c r="H1695" t="s">
        <v>600</v>
      </c>
      <c r="I1695" t="s">
        <v>601</v>
      </c>
      <c r="J1695">
        <v>7.2099999999999997E-2</v>
      </c>
      <c r="K1695">
        <v>7.5300000000000006E-2</v>
      </c>
      <c r="L1695">
        <v>7.8799999999999995E-2</v>
      </c>
      <c r="M1695">
        <v>8.2799999999999999E-2</v>
      </c>
      <c r="N1695">
        <v>8.4699999999999998E-2</v>
      </c>
      <c r="O1695">
        <v>8.6499999999999994E-2</v>
      </c>
      <c r="P1695">
        <v>8.8400000000000006E-2</v>
      </c>
      <c r="Q1695">
        <v>9.0399999999999994E-2</v>
      </c>
      <c r="R1695">
        <v>9.2499999999999999E-2</v>
      </c>
      <c r="S1695">
        <v>9.4500000000000001E-2</v>
      </c>
      <c r="T1695">
        <v>9.6500000000000002E-2</v>
      </c>
      <c r="U1695">
        <v>9.8900000000000002E-2</v>
      </c>
      <c r="V1695">
        <v>0.1013</v>
      </c>
      <c r="W1695">
        <v>0.1036</v>
      </c>
      <c r="X1695">
        <v>0.10580000000000001</v>
      </c>
      <c r="Y1695">
        <v>0.1077</v>
      </c>
    </row>
    <row r="1696" spans="1:25" hidden="1">
      <c r="A1696" t="s">
        <v>18809</v>
      </c>
      <c r="B1696" t="s">
        <v>2039</v>
      </c>
      <c r="C1696" t="s">
        <v>1959</v>
      </c>
      <c r="D1696" t="s">
        <v>648</v>
      </c>
      <c r="E1696" t="s">
        <v>1378</v>
      </c>
      <c r="F1696" t="s">
        <v>598</v>
      </c>
      <c r="G1696" t="s">
        <v>599</v>
      </c>
      <c r="H1696" t="s">
        <v>600</v>
      </c>
      <c r="I1696" t="s">
        <v>601</v>
      </c>
      <c r="J1696">
        <v>7.2900000000000006E-2</v>
      </c>
      <c r="K1696">
        <v>7.7499999999999999E-2</v>
      </c>
      <c r="L1696">
        <v>8.2699999999999996E-2</v>
      </c>
      <c r="M1696">
        <v>8.8700000000000001E-2</v>
      </c>
      <c r="N1696">
        <v>9.0999999999999998E-2</v>
      </c>
      <c r="O1696">
        <v>9.3200000000000005E-2</v>
      </c>
      <c r="P1696">
        <v>9.5200000000000007E-2</v>
      </c>
      <c r="Q1696">
        <v>9.7299999999999998E-2</v>
      </c>
      <c r="R1696">
        <v>9.9599999999999994E-2</v>
      </c>
      <c r="S1696">
        <v>0.10199999999999999</v>
      </c>
      <c r="T1696">
        <v>0.10440000000000001</v>
      </c>
      <c r="U1696">
        <v>0.10680000000000001</v>
      </c>
      <c r="V1696">
        <v>0.1096</v>
      </c>
      <c r="W1696">
        <v>0.1124</v>
      </c>
      <c r="X1696">
        <v>0.1149</v>
      </c>
      <c r="Y1696">
        <v>0.11749999999999999</v>
      </c>
    </row>
    <row r="1697" spans="1:25" hidden="1">
      <c r="A1697" t="s">
        <v>18809</v>
      </c>
      <c r="B1697" t="s">
        <v>2042</v>
      </c>
      <c r="C1697" t="s">
        <v>1959</v>
      </c>
      <c r="D1697" t="s">
        <v>648</v>
      </c>
      <c r="E1697" t="s">
        <v>1380</v>
      </c>
      <c r="F1697" t="s">
        <v>598</v>
      </c>
      <c r="G1697" t="s">
        <v>599</v>
      </c>
      <c r="H1697" t="s">
        <v>600</v>
      </c>
      <c r="I1697" t="s">
        <v>601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1E-4</v>
      </c>
    </row>
    <row r="1698" spans="1:25" hidden="1">
      <c r="A1698" t="s">
        <v>18809</v>
      </c>
      <c r="B1698" t="s">
        <v>2046</v>
      </c>
      <c r="C1698" t="s">
        <v>1959</v>
      </c>
      <c r="D1698" t="s">
        <v>648</v>
      </c>
      <c r="E1698" t="s">
        <v>2047</v>
      </c>
      <c r="F1698" t="s">
        <v>598</v>
      </c>
      <c r="G1698" t="s">
        <v>599</v>
      </c>
      <c r="H1698" t="s">
        <v>600</v>
      </c>
      <c r="I1698" t="s">
        <v>601</v>
      </c>
      <c r="J1698">
        <v>2.9999999999999997E-4</v>
      </c>
      <c r="K1698">
        <v>2.9999999999999997E-4</v>
      </c>
      <c r="L1698">
        <v>2.9999999999999997E-4</v>
      </c>
      <c r="M1698">
        <v>4.0000000000000002E-4</v>
      </c>
      <c r="N1698">
        <v>4.0000000000000002E-4</v>
      </c>
      <c r="O1698">
        <v>4.0000000000000002E-4</v>
      </c>
      <c r="P1698">
        <v>4.0000000000000002E-4</v>
      </c>
      <c r="Q1698">
        <v>4.0000000000000002E-4</v>
      </c>
      <c r="R1698">
        <v>4.0000000000000002E-4</v>
      </c>
      <c r="S1698">
        <v>4.0000000000000002E-4</v>
      </c>
      <c r="T1698">
        <v>4.0000000000000002E-4</v>
      </c>
      <c r="U1698">
        <v>4.0000000000000002E-4</v>
      </c>
      <c r="V1698">
        <v>4.0000000000000002E-4</v>
      </c>
      <c r="W1698">
        <v>4.0000000000000002E-4</v>
      </c>
      <c r="X1698">
        <v>4.0000000000000002E-4</v>
      </c>
      <c r="Y1698">
        <v>4.0000000000000002E-4</v>
      </c>
    </row>
    <row r="1699" spans="1:25" hidden="1">
      <c r="A1699" t="s">
        <v>18809</v>
      </c>
      <c r="B1699" t="s">
        <v>2058</v>
      </c>
      <c r="C1699" t="s">
        <v>1959</v>
      </c>
      <c r="D1699" t="s">
        <v>648</v>
      </c>
      <c r="E1699" t="s">
        <v>2025</v>
      </c>
      <c r="F1699" t="s">
        <v>598</v>
      </c>
      <c r="G1699" t="s">
        <v>599</v>
      </c>
      <c r="H1699" t="s">
        <v>600</v>
      </c>
      <c r="I1699" t="s">
        <v>601</v>
      </c>
      <c r="J1699">
        <v>5.0000000000000001E-4</v>
      </c>
      <c r="K1699">
        <v>5.0000000000000001E-4</v>
      </c>
      <c r="L1699">
        <v>5.0000000000000001E-4</v>
      </c>
      <c r="M1699">
        <v>5.0000000000000001E-4</v>
      </c>
      <c r="N1699">
        <v>5.0000000000000001E-4</v>
      </c>
      <c r="O1699">
        <v>5.0000000000000001E-4</v>
      </c>
      <c r="P1699">
        <v>5.0000000000000001E-4</v>
      </c>
      <c r="Q1699">
        <v>5.0000000000000001E-4</v>
      </c>
      <c r="R1699">
        <v>5.0000000000000001E-4</v>
      </c>
      <c r="S1699">
        <v>5.0000000000000001E-4</v>
      </c>
      <c r="T1699">
        <v>5.0000000000000001E-4</v>
      </c>
      <c r="U1699">
        <v>5.0000000000000001E-4</v>
      </c>
      <c r="V1699">
        <v>5.0000000000000001E-4</v>
      </c>
      <c r="W1699">
        <v>5.0000000000000001E-4</v>
      </c>
      <c r="X1699">
        <v>5.9999999999999995E-4</v>
      </c>
      <c r="Y1699">
        <v>5.9999999999999995E-4</v>
      </c>
    </row>
    <row r="1700" spans="1:25" hidden="1">
      <c r="A1700" t="s">
        <v>18809</v>
      </c>
      <c r="B1700" t="s">
        <v>2072</v>
      </c>
      <c r="C1700" t="s">
        <v>1959</v>
      </c>
      <c r="D1700" t="s">
        <v>648</v>
      </c>
      <c r="E1700" t="s">
        <v>1966</v>
      </c>
      <c r="F1700" t="s">
        <v>598</v>
      </c>
      <c r="G1700" t="s">
        <v>599</v>
      </c>
      <c r="H1700" t="s">
        <v>600</v>
      </c>
      <c r="I1700" t="s">
        <v>601</v>
      </c>
      <c r="J1700">
        <v>3.8999999999999998E-3</v>
      </c>
      <c r="K1700">
        <v>4.1000000000000003E-3</v>
      </c>
      <c r="L1700">
        <v>4.1000000000000003E-3</v>
      </c>
      <c r="M1700">
        <v>4.3E-3</v>
      </c>
      <c r="N1700">
        <v>4.3E-3</v>
      </c>
      <c r="O1700">
        <v>4.4000000000000003E-3</v>
      </c>
      <c r="P1700">
        <v>4.4999999999999997E-3</v>
      </c>
      <c r="Q1700">
        <v>4.7000000000000002E-3</v>
      </c>
      <c r="R1700">
        <v>4.7000000000000002E-3</v>
      </c>
      <c r="S1700">
        <v>4.7000000000000002E-3</v>
      </c>
      <c r="T1700">
        <v>4.7000000000000002E-3</v>
      </c>
      <c r="U1700">
        <v>4.8999999999999998E-3</v>
      </c>
      <c r="V1700">
        <v>5.0000000000000001E-3</v>
      </c>
      <c r="W1700">
        <v>5.0000000000000001E-3</v>
      </c>
      <c r="X1700">
        <v>5.1000000000000004E-3</v>
      </c>
      <c r="Y1700">
        <v>5.1999999999999998E-3</v>
      </c>
    </row>
    <row r="1701" spans="1:25" hidden="1">
      <c r="A1701" t="s">
        <v>18809</v>
      </c>
      <c r="B1701" t="s">
        <v>2078</v>
      </c>
      <c r="C1701" t="s">
        <v>2075</v>
      </c>
      <c r="D1701" t="s">
        <v>2079</v>
      </c>
      <c r="E1701" t="s">
        <v>1378</v>
      </c>
      <c r="F1701" t="s">
        <v>598</v>
      </c>
      <c r="G1701" t="s">
        <v>599</v>
      </c>
      <c r="H1701" t="s">
        <v>600</v>
      </c>
      <c r="I1701" t="s">
        <v>601</v>
      </c>
      <c r="J1701">
        <v>1.5299999999999999E-2</v>
      </c>
      <c r="K1701">
        <v>1.5299999999999999E-2</v>
      </c>
      <c r="L1701">
        <v>1.49E-2</v>
      </c>
      <c r="M1701">
        <v>1.46E-2</v>
      </c>
      <c r="N1701">
        <v>1.44E-2</v>
      </c>
      <c r="O1701">
        <v>1.43E-2</v>
      </c>
      <c r="P1701">
        <v>1.44E-2</v>
      </c>
      <c r="Q1701">
        <v>1.46E-2</v>
      </c>
      <c r="R1701">
        <v>1.4800000000000001E-2</v>
      </c>
      <c r="S1701">
        <v>1.49E-2</v>
      </c>
      <c r="T1701">
        <v>1.5100000000000001E-2</v>
      </c>
      <c r="U1701">
        <v>1.5299999999999999E-2</v>
      </c>
      <c r="V1701">
        <v>1.54E-2</v>
      </c>
      <c r="W1701">
        <v>1.5599999999999999E-2</v>
      </c>
      <c r="X1701">
        <v>1.5800000000000002E-2</v>
      </c>
      <c r="Y1701">
        <v>1.6E-2</v>
      </c>
    </row>
    <row r="1702" spans="1:25" hidden="1">
      <c r="A1702" t="s">
        <v>18809</v>
      </c>
      <c r="B1702" t="s">
        <v>2092</v>
      </c>
      <c r="C1702" t="s">
        <v>2075</v>
      </c>
      <c r="D1702" t="s">
        <v>2090</v>
      </c>
      <c r="E1702" t="s">
        <v>1378</v>
      </c>
      <c r="F1702" t="s">
        <v>598</v>
      </c>
      <c r="G1702" t="s">
        <v>599</v>
      </c>
      <c r="H1702" t="s">
        <v>600</v>
      </c>
      <c r="I1702" t="s">
        <v>601</v>
      </c>
      <c r="J1702">
        <v>7.0000000000000001E-3</v>
      </c>
      <c r="K1702">
        <v>7.1000000000000004E-3</v>
      </c>
      <c r="L1702">
        <v>7.1000000000000004E-3</v>
      </c>
      <c r="M1702">
        <v>7.1000000000000004E-3</v>
      </c>
      <c r="N1702">
        <v>7.1999999999999998E-3</v>
      </c>
      <c r="O1702">
        <v>7.3000000000000001E-3</v>
      </c>
      <c r="P1702">
        <v>7.4000000000000003E-3</v>
      </c>
      <c r="Q1702">
        <v>7.4999999999999997E-3</v>
      </c>
      <c r="R1702">
        <v>7.6E-3</v>
      </c>
      <c r="S1702">
        <v>7.7999999999999996E-3</v>
      </c>
      <c r="T1702">
        <v>7.9000000000000008E-3</v>
      </c>
      <c r="U1702">
        <v>8.0999999999999996E-3</v>
      </c>
      <c r="V1702">
        <v>8.2000000000000007E-3</v>
      </c>
      <c r="W1702">
        <v>8.3999999999999995E-3</v>
      </c>
      <c r="X1702">
        <v>8.6E-3</v>
      </c>
      <c r="Y1702">
        <v>8.8999999999999999E-3</v>
      </c>
    </row>
    <row r="1703" spans="1:25" hidden="1">
      <c r="A1703" t="s">
        <v>18809</v>
      </c>
      <c r="B1703" t="s">
        <v>2096</v>
      </c>
      <c r="C1703" t="s">
        <v>2075</v>
      </c>
      <c r="D1703" t="s">
        <v>2090</v>
      </c>
      <c r="E1703" t="s">
        <v>2097</v>
      </c>
      <c r="F1703" t="s">
        <v>598</v>
      </c>
      <c r="G1703" t="s">
        <v>599</v>
      </c>
      <c r="H1703" t="s">
        <v>600</v>
      </c>
      <c r="I1703" t="s">
        <v>601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</row>
    <row r="1704" spans="1:25" hidden="1">
      <c r="A1704" t="s">
        <v>18809</v>
      </c>
      <c r="B1704" t="s">
        <v>2103</v>
      </c>
      <c r="C1704" t="s">
        <v>2075</v>
      </c>
      <c r="D1704" t="s">
        <v>648</v>
      </c>
      <c r="E1704" t="s">
        <v>973</v>
      </c>
      <c r="F1704" t="s">
        <v>598</v>
      </c>
      <c r="G1704" t="s">
        <v>599</v>
      </c>
      <c r="H1704" t="s">
        <v>600</v>
      </c>
      <c r="I1704" t="s">
        <v>601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hidden="1">
      <c r="A1705" t="s">
        <v>18809</v>
      </c>
      <c r="B1705" t="s">
        <v>2105</v>
      </c>
      <c r="C1705" t="s">
        <v>2075</v>
      </c>
      <c r="D1705" t="s">
        <v>648</v>
      </c>
      <c r="E1705" t="s">
        <v>1393</v>
      </c>
      <c r="F1705" t="s">
        <v>598</v>
      </c>
      <c r="G1705" t="s">
        <v>599</v>
      </c>
      <c r="H1705" t="s">
        <v>600</v>
      </c>
      <c r="I1705" t="s">
        <v>601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hidden="1">
      <c r="A1706" t="s">
        <v>18809</v>
      </c>
      <c r="B1706" t="s">
        <v>2106</v>
      </c>
      <c r="C1706" t="s">
        <v>2075</v>
      </c>
      <c r="D1706" t="s">
        <v>648</v>
      </c>
      <c r="E1706" t="s">
        <v>1378</v>
      </c>
      <c r="F1706" t="s">
        <v>598</v>
      </c>
      <c r="G1706" t="s">
        <v>599</v>
      </c>
      <c r="H1706" t="s">
        <v>600</v>
      </c>
      <c r="I1706" t="s">
        <v>601</v>
      </c>
      <c r="J1706">
        <v>4.1999999999999997E-3</v>
      </c>
      <c r="K1706">
        <v>4.1999999999999997E-3</v>
      </c>
      <c r="L1706">
        <v>4.1999999999999997E-3</v>
      </c>
      <c r="M1706">
        <v>4.1999999999999997E-3</v>
      </c>
      <c r="N1706">
        <v>4.3E-3</v>
      </c>
      <c r="O1706">
        <v>4.3E-3</v>
      </c>
      <c r="P1706">
        <v>4.4000000000000003E-3</v>
      </c>
      <c r="Q1706">
        <v>4.4000000000000003E-3</v>
      </c>
      <c r="R1706">
        <v>4.4999999999999997E-3</v>
      </c>
      <c r="S1706">
        <v>4.7000000000000002E-3</v>
      </c>
      <c r="T1706">
        <v>4.7999999999999996E-3</v>
      </c>
      <c r="U1706">
        <v>4.8999999999999998E-3</v>
      </c>
      <c r="V1706">
        <v>5.0000000000000001E-3</v>
      </c>
      <c r="W1706">
        <v>5.1000000000000004E-3</v>
      </c>
      <c r="X1706">
        <v>5.1999999999999998E-3</v>
      </c>
      <c r="Y1706">
        <v>5.4000000000000003E-3</v>
      </c>
    </row>
    <row r="1707" spans="1:25" hidden="1">
      <c r="A1707" t="s">
        <v>18809</v>
      </c>
      <c r="B1707" t="s">
        <v>2187</v>
      </c>
      <c r="C1707" t="s">
        <v>2154</v>
      </c>
      <c r="D1707" t="s">
        <v>648</v>
      </c>
      <c r="E1707" t="s">
        <v>920</v>
      </c>
      <c r="F1707" t="s">
        <v>598</v>
      </c>
      <c r="G1707" t="s">
        <v>599</v>
      </c>
      <c r="H1707" t="s">
        <v>600</v>
      </c>
      <c r="I1707" t="s">
        <v>601</v>
      </c>
      <c r="J1707">
        <v>1.2500000000000001E-2</v>
      </c>
      <c r="K1707">
        <v>1.41E-2</v>
      </c>
      <c r="L1707">
        <v>1.5599999999999999E-2</v>
      </c>
      <c r="M1707">
        <v>1.77E-2</v>
      </c>
      <c r="N1707">
        <v>1.8200000000000001E-2</v>
      </c>
      <c r="O1707">
        <v>1.9E-2</v>
      </c>
      <c r="P1707">
        <v>1.9699999999999999E-2</v>
      </c>
      <c r="Q1707">
        <v>2.0400000000000001E-2</v>
      </c>
      <c r="R1707">
        <v>2.0899999999999998E-2</v>
      </c>
      <c r="S1707">
        <v>2.18E-2</v>
      </c>
      <c r="T1707">
        <v>2.23E-2</v>
      </c>
      <c r="U1707">
        <v>2.3099999999999999E-2</v>
      </c>
      <c r="V1707">
        <v>2.3900000000000001E-2</v>
      </c>
      <c r="W1707">
        <v>2.47E-2</v>
      </c>
      <c r="X1707">
        <v>2.53E-2</v>
      </c>
      <c r="Y1707">
        <v>2.6200000000000001E-2</v>
      </c>
    </row>
    <row r="1708" spans="1:25" hidden="1">
      <c r="A1708" t="s">
        <v>18809</v>
      </c>
      <c r="B1708" t="s">
        <v>2188</v>
      </c>
      <c r="C1708" t="s">
        <v>2154</v>
      </c>
      <c r="D1708" t="s">
        <v>648</v>
      </c>
      <c r="E1708" t="s">
        <v>973</v>
      </c>
      <c r="F1708" t="s">
        <v>598</v>
      </c>
      <c r="G1708" t="s">
        <v>599</v>
      </c>
      <c r="H1708" t="s">
        <v>600</v>
      </c>
      <c r="I1708" t="s">
        <v>601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5" hidden="1">
      <c r="A1709" t="s">
        <v>18809</v>
      </c>
      <c r="B1709" t="s">
        <v>2196</v>
      </c>
      <c r="C1709" t="s">
        <v>2154</v>
      </c>
      <c r="D1709" t="s">
        <v>648</v>
      </c>
      <c r="E1709" t="s">
        <v>1393</v>
      </c>
      <c r="F1709" t="s">
        <v>598</v>
      </c>
      <c r="G1709" t="s">
        <v>599</v>
      </c>
      <c r="H1709" t="s">
        <v>600</v>
      </c>
      <c r="I1709" t="s">
        <v>601</v>
      </c>
      <c r="J1709">
        <v>2.7000000000000001E-3</v>
      </c>
      <c r="K1709">
        <v>3.0000000000000001E-3</v>
      </c>
      <c r="L1709">
        <v>3.3999999999999998E-3</v>
      </c>
      <c r="M1709">
        <v>3.8E-3</v>
      </c>
      <c r="N1709">
        <v>3.8999999999999998E-3</v>
      </c>
      <c r="O1709">
        <v>4.1000000000000003E-3</v>
      </c>
      <c r="P1709">
        <v>4.1999999999999997E-3</v>
      </c>
      <c r="Q1709">
        <v>4.4000000000000003E-3</v>
      </c>
      <c r="R1709">
        <v>4.5999999999999999E-3</v>
      </c>
      <c r="S1709">
        <v>4.7000000000000002E-3</v>
      </c>
      <c r="T1709">
        <v>4.8999999999999998E-3</v>
      </c>
      <c r="U1709">
        <v>5.0000000000000001E-3</v>
      </c>
      <c r="V1709">
        <v>5.1999999999999998E-3</v>
      </c>
      <c r="W1709">
        <v>5.4000000000000003E-3</v>
      </c>
      <c r="X1709">
        <v>5.4999999999999997E-3</v>
      </c>
      <c r="Y1709">
        <v>5.7000000000000002E-3</v>
      </c>
    </row>
    <row r="1710" spans="1:25">
      <c r="J1710">
        <f>SUBTOTAL(109,Table114[2015])</f>
        <v>0.2969</v>
      </c>
      <c r="K1710">
        <f>SUBTOTAL(109,Table114[2016])</f>
        <v>0.30890000000000001</v>
      </c>
      <c r="L1710">
        <f>SUBTOTAL(109,Table114[2017])</f>
        <v>0.315</v>
      </c>
      <c r="M1710">
        <f>SUBTOTAL(109,Table114[2018])</f>
        <v>0.31059999999999999</v>
      </c>
      <c r="N1710">
        <f>SUBTOTAL(109,Table114[2019])</f>
        <v>0.31639999999999996</v>
      </c>
      <c r="O1710">
        <f>SUBTOTAL(109,Table114[2020])</f>
        <v>0.3029</v>
      </c>
      <c r="P1710">
        <f>SUBTOTAL(109,Table114[2021])</f>
        <v>0.30349999999999999</v>
      </c>
      <c r="Q1710">
        <f>SUBTOTAL(109,Table114[2022])</f>
        <v>0.30409999999999998</v>
      </c>
      <c r="R1710">
        <f>SUBTOTAL(109,Table114[2023])</f>
        <v>0.3044</v>
      </c>
      <c r="S1710">
        <f>SUBTOTAL(109,Table114[2024])</f>
        <v>0.30499999999999999</v>
      </c>
      <c r="T1710">
        <f>SUBTOTAL(109,Table114[2025])</f>
        <v>0.30560000000000004</v>
      </c>
      <c r="U1710">
        <f>SUBTOTAL(109,Table114[2026])</f>
        <v>0.30620000000000003</v>
      </c>
      <c r="V1710">
        <f>SUBTOTAL(109,Table114[2027])</f>
        <v>0.30680000000000002</v>
      </c>
      <c r="W1710">
        <f>SUBTOTAL(109,Table114[2028])</f>
        <v>0.30709999999999998</v>
      </c>
      <c r="X1710">
        <f>SUBTOTAL(109,Table114[2029])</f>
        <v>0.30779999999999996</v>
      </c>
      <c r="Y1710">
        <f>SUBTOTAL(109,Table114[2030])</f>
        <v>0.30840000000000001</v>
      </c>
    </row>
    <row r="1712" spans="1:25">
      <c r="A1712" t="s">
        <v>569</v>
      </c>
      <c r="B1712" t="s">
        <v>570</v>
      </c>
      <c r="C1712" t="s">
        <v>571</v>
      </c>
      <c r="D1712" t="s">
        <v>572</v>
      </c>
      <c r="E1712" t="s">
        <v>573</v>
      </c>
      <c r="F1712" t="s">
        <v>574</v>
      </c>
      <c r="G1712" t="s">
        <v>575</v>
      </c>
      <c r="H1712" t="s">
        <v>576</v>
      </c>
      <c r="I1712" t="s">
        <v>577</v>
      </c>
      <c r="J1712" t="s">
        <v>578</v>
      </c>
      <c r="K1712" t="s">
        <v>579</v>
      </c>
      <c r="L1712" t="s">
        <v>580</v>
      </c>
      <c r="M1712" t="s">
        <v>581</v>
      </c>
      <c r="N1712" t="s">
        <v>582</v>
      </c>
      <c r="O1712" t="s">
        <v>583</v>
      </c>
      <c r="P1712" t="s">
        <v>584</v>
      </c>
      <c r="Q1712" t="s">
        <v>585</v>
      </c>
      <c r="R1712" t="s">
        <v>586</v>
      </c>
      <c r="S1712" t="s">
        <v>587</v>
      </c>
      <c r="T1712" t="s">
        <v>588</v>
      </c>
      <c r="U1712" t="s">
        <v>589</v>
      </c>
      <c r="V1712" t="s">
        <v>590</v>
      </c>
      <c r="W1712" t="s">
        <v>591</v>
      </c>
      <c r="X1712" t="s">
        <v>592</v>
      </c>
      <c r="Y1712" t="s">
        <v>593</v>
      </c>
    </row>
    <row r="1713" spans="1:25">
      <c r="A1713" t="s">
        <v>18810</v>
      </c>
      <c r="B1713" t="s">
        <v>594</v>
      </c>
      <c r="C1713" t="s">
        <v>595</v>
      </c>
      <c r="D1713" t="s">
        <v>596</v>
      </c>
      <c r="E1713" t="s">
        <v>597</v>
      </c>
      <c r="F1713" t="s">
        <v>598</v>
      </c>
      <c r="G1713" t="s">
        <v>599</v>
      </c>
      <c r="H1713" t="s">
        <v>600</v>
      </c>
      <c r="I1713" t="s">
        <v>601</v>
      </c>
      <c r="J1713">
        <v>1.0500000000000001E-2</v>
      </c>
      <c r="K1713">
        <v>1.09E-2</v>
      </c>
      <c r="L1713">
        <v>1.12E-2</v>
      </c>
      <c r="M1713">
        <v>1.12E-2</v>
      </c>
      <c r="N1713">
        <v>1.12E-2</v>
      </c>
      <c r="O1713">
        <v>1.03E-2</v>
      </c>
      <c r="P1713">
        <v>1.04E-2</v>
      </c>
      <c r="Q1713">
        <v>1.04E-2</v>
      </c>
      <c r="R1713">
        <v>1.04E-2</v>
      </c>
      <c r="S1713">
        <v>1.04E-2</v>
      </c>
      <c r="T1713">
        <v>1.04E-2</v>
      </c>
      <c r="U1713">
        <v>1.0500000000000001E-2</v>
      </c>
      <c r="V1713">
        <v>1.0500000000000001E-2</v>
      </c>
      <c r="W1713">
        <v>1.0500000000000001E-2</v>
      </c>
      <c r="X1713">
        <v>1.0500000000000001E-2</v>
      </c>
      <c r="Y1713">
        <v>1.0500000000000001E-2</v>
      </c>
    </row>
    <row r="1714" spans="1:25">
      <c r="A1714" t="s">
        <v>18810</v>
      </c>
      <c r="B1714" t="s">
        <v>610</v>
      </c>
      <c r="C1714" t="s">
        <v>595</v>
      </c>
      <c r="D1714" t="s">
        <v>596</v>
      </c>
      <c r="E1714" t="s">
        <v>611</v>
      </c>
      <c r="F1714" t="s">
        <v>598</v>
      </c>
      <c r="G1714" t="s">
        <v>599</v>
      </c>
      <c r="H1714" t="s">
        <v>600</v>
      </c>
      <c r="I1714" t="s">
        <v>601</v>
      </c>
      <c r="J1714">
        <v>5.7999999999999996E-3</v>
      </c>
      <c r="K1714">
        <v>5.7999999999999996E-3</v>
      </c>
      <c r="L1714">
        <v>5.8999999999999999E-3</v>
      </c>
      <c r="M1714">
        <v>6.0000000000000001E-3</v>
      </c>
      <c r="N1714">
        <v>6.1000000000000004E-3</v>
      </c>
      <c r="O1714">
        <v>6.1000000000000004E-3</v>
      </c>
      <c r="P1714">
        <v>6.1999999999999998E-3</v>
      </c>
      <c r="Q1714">
        <v>6.3E-3</v>
      </c>
      <c r="R1714">
        <v>6.4000000000000003E-3</v>
      </c>
      <c r="S1714">
        <v>6.4000000000000003E-3</v>
      </c>
      <c r="T1714">
        <v>6.4999999999999997E-3</v>
      </c>
      <c r="U1714">
        <v>6.6E-3</v>
      </c>
      <c r="V1714">
        <v>6.7000000000000002E-3</v>
      </c>
      <c r="W1714">
        <v>6.7000000000000002E-3</v>
      </c>
      <c r="X1714">
        <v>6.7999999999999996E-3</v>
      </c>
      <c r="Y1714">
        <v>6.8999999999999999E-3</v>
      </c>
    </row>
    <row r="1715" spans="1:25">
      <c r="A1715" t="s">
        <v>18810</v>
      </c>
      <c r="B1715" t="s">
        <v>620</v>
      </c>
      <c r="C1715" t="s">
        <v>595</v>
      </c>
      <c r="D1715" t="s">
        <v>621</v>
      </c>
      <c r="E1715" t="s">
        <v>597</v>
      </c>
      <c r="F1715" t="s">
        <v>598</v>
      </c>
      <c r="G1715" t="s">
        <v>599</v>
      </c>
      <c r="H1715" t="s">
        <v>600</v>
      </c>
      <c r="I1715" t="s">
        <v>601</v>
      </c>
      <c r="J1715">
        <v>8.9999999999999998E-4</v>
      </c>
      <c r="K1715">
        <v>8.9999999999999998E-4</v>
      </c>
      <c r="L1715">
        <v>8.9999999999999998E-4</v>
      </c>
      <c r="M1715">
        <v>8.9999999999999998E-4</v>
      </c>
      <c r="N1715">
        <v>8.9999999999999998E-4</v>
      </c>
      <c r="O1715">
        <v>8.9999999999999998E-4</v>
      </c>
      <c r="P1715">
        <v>8.9999999999999998E-4</v>
      </c>
      <c r="Q1715">
        <v>8.9999999999999998E-4</v>
      </c>
      <c r="R1715">
        <v>8.9999999999999998E-4</v>
      </c>
      <c r="S1715">
        <v>8.9999999999999998E-4</v>
      </c>
      <c r="T1715">
        <v>8.9999999999999998E-4</v>
      </c>
      <c r="U1715">
        <v>8.9999999999999998E-4</v>
      </c>
      <c r="V1715">
        <v>1E-3</v>
      </c>
      <c r="W1715">
        <v>1E-3</v>
      </c>
      <c r="X1715">
        <v>1E-3</v>
      </c>
      <c r="Y1715">
        <v>1E-3</v>
      </c>
    </row>
    <row r="1716" spans="1:25">
      <c r="A1716" t="s">
        <v>18810</v>
      </c>
      <c r="B1716" t="s">
        <v>623</v>
      </c>
      <c r="C1716" t="s">
        <v>595</v>
      </c>
      <c r="D1716" t="s">
        <v>621</v>
      </c>
      <c r="E1716" t="s">
        <v>624</v>
      </c>
      <c r="F1716" t="s">
        <v>598</v>
      </c>
      <c r="G1716" t="s">
        <v>599</v>
      </c>
      <c r="H1716" t="s">
        <v>600</v>
      </c>
      <c r="I1716" t="s">
        <v>601</v>
      </c>
      <c r="J1716">
        <v>2.9600000000000001E-2</v>
      </c>
      <c r="K1716">
        <v>0.03</v>
      </c>
      <c r="L1716">
        <v>3.0300000000000001E-2</v>
      </c>
      <c r="M1716">
        <v>3.0700000000000002E-2</v>
      </c>
      <c r="N1716">
        <v>3.1199999999999999E-2</v>
      </c>
      <c r="O1716">
        <v>3.1800000000000002E-2</v>
      </c>
      <c r="P1716">
        <v>3.2199999999999999E-2</v>
      </c>
      <c r="Q1716">
        <v>3.27E-2</v>
      </c>
      <c r="R1716">
        <v>3.2899999999999999E-2</v>
      </c>
      <c r="S1716">
        <v>3.3599999999999998E-2</v>
      </c>
      <c r="T1716">
        <v>3.4200000000000001E-2</v>
      </c>
      <c r="U1716">
        <v>3.4799999999999998E-2</v>
      </c>
      <c r="V1716">
        <v>3.5099999999999999E-2</v>
      </c>
      <c r="W1716">
        <v>3.56E-2</v>
      </c>
      <c r="X1716">
        <v>3.6299999999999999E-2</v>
      </c>
      <c r="Y1716">
        <v>3.6600000000000001E-2</v>
      </c>
    </row>
    <row r="1717" spans="1:25">
      <c r="A1717" t="s">
        <v>18810</v>
      </c>
      <c r="B1717" t="s">
        <v>627</v>
      </c>
      <c r="C1717" t="s">
        <v>595</v>
      </c>
      <c r="D1717" t="s">
        <v>621</v>
      </c>
      <c r="E1717" t="s">
        <v>628</v>
      </c>
      <c r="F1717" t="s">
        <v>598</v>
      </c>
      <c r="G1717" t="s">
        <v>599</v>
      </c>
      <c r="H1717" t="s">
        <v>600</v>
      </c>
      <c r="I1717" t="s">
        <v>601</v>
      </c>
      <c r="J1717">
        <v>1.7600000000000001E-2</v>
      </c>
      <c r="K1717">
        <v>1.67E-2</v>
      </c>
      <c r="L1717">
        <v>1.5800000000000002E-2</v>
      </c>
      <c r="M1717">
        <v>1.52E-2</v>
      </c>
      <c r="N1717">
        <v>1.44E-2</v>
      </c>
      <c r="O1717">
        <v>1.3599999999999999E-2</v>
      </c>
      <c r="P1717">
        <v>1.3599999999999999E-2</v>
      </c>
      <c r="Q1717">
        <v>1.3599999999999999E-2</v>
      </c>
      <c r="R1717">
        <v>1.4200000000000001E-2</v>
      </c>
      <c r="S1717">
        <v>1.4200000000000001E-2</v>
      </c>
      <c r="T1717">
        <v>1.4200000000000001E-2</v>
      </c>
      <c r="U1717">
        <v>1.44E-2</v>
      </c>
      <c r="V1717">
        <v>1.44E-2</v>
      </c>
      <c r="W1717">
        <v>1.47E-2</v>
      </c>
      <c r="X1717">
        <v>1.47E-2</v>
      </c>
      <c r="Y1717">
        <v>1.47E-2</v>
      </c>
    </row>
    <row r="1718" spans="1:25">
      <c r="A1718" t="s">
        <v>18810</v>
      </c>
      <c r="B1718" t="s">
        <v>631</v>
      </c>
      <c r="C1718" t="s">
        <v>595</v>
      </c>
      <c r="D1718" t="s">
        <v>632</v>
      </c>
      <c r="E1718" t="s">
        <v>597</v>
      </c>
      <c r="F1718" t="s">
        <v>598</v>
      </c>
      <c r="G1718" t="s">
        <v>599</v>
      </c>
      <c r="H1718" t="s">
        <v>600</v>
      </c>
      <c r="I1718" t="s">
        <v>601</v>
      </c>
      <c r="J1718">
        <v>0.21410000000000001</v>
      </c>
      <c r="K1718">
        <v>0.21729999999999999</v>
      </c>
      <c r="L1718">
        <v>0.22059999999999999</v>
      </c>
      <c r="M1718">
        <v>0.224</v>
      </c>
      <c r="N1718">
        <v>0.22720000000000001</v>
      </c>
      <c r="O1718">
        <v>0.23089999999999999</v>
      </c>
      <c r="P1718">
        <v>0.23419999999999999</v>
      </c>
      <c r="Q1718">
        <v>0.23780000000000001</v>
      </c>
      <c r="R1718">
        <v>0.2412</v>
      </c>
      <c r="S1718">
        <v>0.24479999999999999</v>
      </c>
      <c r="T1718">
        <v>0.24859999999999999</v>
      </c>
      <c r="U1718">
        <v>0.25230000000000002</v>
      </c>
      <c r="V1718">
        <v>0.25600000000000001</v>
      </c>
      <c r="W1718">
        <v>0.25990000000000002</v>
      </c>
      <c r="X1718">
        <v>0.26379999999999998</v>
      </c>
      <c r="Y1718">
        <v>0.26769999999999999</v>
      </c>
    </row>
    <row r="1719" spans="1:25">
      <c r="A1719" t="s">
        <v>18810</v>
      </c>
      <c r="B1719" t="s">
        <v>635</v>
      </c>
      <c r="C1719" t="s">
        <v>595</v>
      </c>
      <c r="D1719" t="s">
        <v>632</v>
      </c>
      <c r="E1719" t="s">
        <v>624</v>
      </c>
      <c r="F1719" t="s">
        <v>598</v>
      </c>
      <c r="G1719" t="s">
        <v>599</v>
      </c>
      <c r="H1719" t="s">
        <v>600</v>
      </c>
      <c r="I1719" t="s">
        <v>601</v>
      </c>
      <c r="J1719">
        <v>1.6999999999999999E-3</v>
      </c>
      <c r="K1719">
        <v>1.6999999999999999E-3</v>
      </c>
      <c r="L1719">
        <v>1.6999999999999999E-3</v>
      </c>
      <c r="M1719">
        <v>1.6999999999999999E-3</v>
      </c>
      <c r="N1719">
        <v>1.6999999999999999E-3</v>
      </c>
      <c r="O1719">
        <v>1.6999999999999999E-3</v>
      </c>
      <c r="P1719">
        <v>1.6999999999999999E-3</v>
      </c>
      <c r="Q1719">
        <v>1.6999999999999999E-3</v>
      </c>
      <c r="R1719">
        <v>1.6999999999999999E-3</v>
      </c>
      <c r="S1719">
        <v>1.6999999999999999E-3</v>
      </c>
      <c r="T1719">
        <v>1.6999999999999999E-3</v>
      </c>
      <c r="U1719">
        <v>1.6999999999999999E-3</v>
      </c>
      <c r="V1719">
        <v>1.6999999999999999E-3</v>
      </c>
      <c r="W1719">
        <v>1.6999999999999999E-3</v>
      </c>
      <c r="X1719">
        <v>1.6999999999999999E-3</v>
      </c>
      <c r="Y1719">
        <v>1.6999999999999999E-3</v>
      </c>
    </row>
    <row r="1720" spans="1:25">
      <c r="A1720" t="s">
        <v>18810</v>
      </c>
      <c r="B1720" t="s">
        <v>636</v>
      </c>
      <c r="C1720" t="s">
        <v>595</v>
      </c>
      <c r="D1720" t="s">
        <v>632</v>
      </c>
      <c r="E1720" t="s">
        <v>628</v>
      </c>
      <c r="F1720" t="s">
        <v>598</v>
      </c>
      <c r="G1720" t="s">
        <v>599</v>
      </c>
      <c r="H1720" t="s">
        <v>600</v>
      </c>
      <c r="I1720" t="s">
        <v>601</v>
      </c>
      <c r="J1720">
        <v>5.8999999999999999E-3</v>
      </c>
      <c r="K1720">
        <v>6.0000000000000001E-3</v>
      </c>
      <c r="L1720">
        <v>6.0000000000000001E-3</v>
      </c>
      <c r="M1720">
        <v>6.1000000000000004E-3</v>
      </c>
      <c r="N1720">
        <v>6.1999999999999998E-3</v>
      </c>
      <c r="O1720">
        <v>6.3E-3</v>
      </c>
      <c r="P1720">
        <v>6.3E-3</v>
      </c>
      <c r="Q1720">
        <v>6.4000000000000003E-3</v>
      </c>
      <c r="R1720">
        <v>6.4999999999999997E-3</v>
      </c>
      <c r="S1720">
        <v>6.6E-3</v>
      </c>
      <c r="T1720">
        <v>6.6E-3</v>
      </c>
      <c r="U1720">
        <v>6.7000000000000002E-3</v>
      </c>
      <c r="V1720">
        <v>6.7999999999999996E-3</v>
      </c>
      <c r="W1720">
        <v>6.8999999999999999E-3</v>
      </c>
      <c r="X1720">
        <v>7.0000000000000001E-3</v>
      </c>
      <c r="Y1720">
        <v>7.1000000000000004E-3</v>
      </c>
    </row>
    <row r="1721" spans="1:25">
      <c r="A1721" t="s">
        <v>18810</v>
      </c>
      <c r="B1721" t="s">
        <v>637</v>
      </c>
      <c r="C1721" t="s">
        <v>595</v>
      </c>
      <c r="D1721" t="s">
        <v>632</v>
      </c>
      <c r="E1721" t="s">
        <v>638</v>
      </c>
      <c r="F1721" t="s">
        <v>598</v>
      </c>
      <c r="G1721" t="s">
        <v>599</v>
      </c>
      <c r="H1721" t="s">
        <v>600</v>
      </c>
      <c r="I1721" t="s">
        <v>601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25">
      <c r="A1722" t="s">
        <v>18810</v>
      </c>
      <c r="B1722" t="s">
        <v>639</v>
      </c>
      <c r="C1722" t="s">
        <v>595</v>
      </c>
      <c r="D1722" t="s">
        <v>640</v>
      </c>
      <c r="E1722" t="s">
        <v>597</v>
      </c>
      <c r="F1722" t="s">
        <v>598</v>
      </c>
      <c r="G1722" t="s">
        <v>599</v>
      </c>
      <c r="H1722" t="s">
        <v>600</v>
      </c>
      <c r="I1722" t="s">
        <v>601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>
      <c r="A1723" t="s">
        <v>18810</v>
      </c>
      <c r="B1723" t="s">
        <v>643</v>
      </c>
      <c r="C1723" t="s">
        <v>595</v>
      </c>
      <c r="D1723" t="s">
        <v>640</v>
      </c>
      <c r="E1723" t="s">
        <v>613</v>
      </c>
      <c r="F1723" t="s">
        <v>598</v>
      </c>
      <c r="G1723" t="s">
        <v>599</v>
      </c>
      <c r="H1723" t="s">
        <v>600</v>
      </c>
      <c r="I1723" t="s">
        <v>601</v>
      </c>
      <c r="J1723">
        <v>1.2200000000000001E-2</v>
      </c>
      <c r="K1723">
        <v>1.23E-2</v>
      </c>
      <c r="L1723">
        <v>1.2500000000000001E-2</v>
      </c>
      <c r="M1723">
        <v>1.26E-2</v>
      </c>
      <c r="N1723">
        <v>1.2699999999999999E-2</v>
      </c>
      <c r="O1723">
        <v>1.2800000000000001E-2</v>
      </c>
      <c r="P1723">
        <v>1.29E-2</v>
      </c>
      <c r="Q1723">
        <v>1.3100000000000001E-2</v>
      </c>
      <c r="R1723">
        <v>1.32E-2</v>
      </c>
      <c r="S1723">
        <v>1.3299999999999999E-2</v>
      </c>
      <c r="T1723">
        <v>1.3299999999999999E-2</v>
      </c>
      <c r="U1723">
        <v>1.34E-2</v>
      </c>
      <c r="V1723">
        <v>1.35E-2</v>
      </c>
      <c r="W1723">
        <v>1.38E-2</v>
      </c>
      <c r="X1723">
        <v>1.3899999999999999E-2</v>
      </c>
      <c r="Y1723">
        <v>1.4E-2</v>
      </c>
    </row>
    <row r="1724" spans="1:25" hidden="1">
      <c r="A1724" t="s">
        <v>18810</v>
      </c>
      <c r="B1724" t="s">
        <v>652</v>
      </c>
      <c r="C1724" t="s">
        <v>651</v>
      </c>
      <c r="D1724" t="s">
        <v>596</v>
      </c>
      <c r="E1724" t="s">
        <v>605</v>
      </c>
      <c r="F1724" t="s">
        <v>598</v>
      </c>
      <c r="G1724" t="s">
        <v>599</v>
      </c>
      <c r="H1724" t="s">
        <v>600</v>
      </c>
      <c r="I1724" t="s">
        <v>601</v>
      </c>
      <c r="J1724">
        <v>1.21E-2</v>
      </c>
      <c r="K1724">
        <v>1.2200000000000001E-2</v>
      </c>
      <c r="L1724">
        <v>1.24E-2</v>
      </c>
      <c r="M1724">
        <v>1.2500000000000001E-2</v>
      </c>
      <c r="N1724">
        <v>1.2699999999999999E-2</v>
      </c>
      <c r="O1724">
        <v>1.2800000000000001E-2</v>
      </c>
      <c r="P1724">
        <v>1.2999999999999999E-2</v>
      </c>
      <c r="Q1724">
        <v>1.3100000000000001E-2</v>
      </c>
      <c r="R1724">
        <v>1.3299999999999999E-2</v>
      </c>
      <c r="S1724">
        <v>1.35E-2</v>
      </c>
      <c r="T1724">
        <v>1.3599999999999999E-2</v>
      </c>
      <c r="U1724">
        <v>1.38E-2</v>
      </c>
      <c r="V1724">
        <v>1.3899999999999999E-2</v>
      </c>
      <c r="W1724">
        <v>1.41E-2</v>
      </c>
      <c r="X1724">
        <v>1.43E-2</v>
      </c>
      <c r="Y1724">
        <v>1.44E-2</v>
      </c>
    </row>
    <row r="1725" spans="1:25" hidden="1">
      <c r="A1725" t="s">
        <v>18810</v>
      </c>
      <c r="B1725" t="s">
        <v>657</v>
      </c>
      <c r="C1725" t="s">
        <v>651</v>
      </c>
      <c r="D1725" t="s">
        <v>621</v>
      </c>
      <c r="E1725" t="s">
        <v>597</v>
      </c>
      <c r="F1725" t="s">
        <v>598</v>
      </c>
      <c r="G1725" t="s">
        <v>599</v>
      </c>
      <c r="H1725" t="s">
        <v>600</v>
      </c>
      <c r="I1725" t="s">
        <v>601</v>
      </c>
      <c r="J1725">
        <v>8.8000000000000005E-3</v>
      </c>
      <c r="K1725">
        <v>8.9999999999999993E-3</v>
      </c>
      <c r="L1725">
        <v>8.9999999999999993E-3</v>
      </c>
      <c r="M1725">
        <v>9.1999999999999998E-3</v>
      </c>
      <c r="N1725">
        <v>9.2999999999999992E-3</v>
      </c>
      <c r="O1725">
        <v>9.2999999999999992E-3</v>
      </c>
      <c r="P1725">
        <v>9.4000000000000004E-3</v>
      </c>
      <c r="Q1725">
        <v>9.4999999999999998E-3</v>
      </c>
      <c r="R1725">
        <v>9.5999999999999992E-3</v>
      </c>
      <c r="S1725">
        <v>9.7999999999999997E-3</v>
      </c>
      <c r="T1725">
        <v>9.7999999999999997E-3</v>
      </c>
      <c r="U1725">
        <v>9.7999999999999997E-3</v>
      </c>
      <c r="V1725">
        <v>1.0200000000000001E-2</v>
      </c>
      <c r="W1725">
        <v>1.0200000000000001E-2</v>
      </c>
      <c r="X1725">
        <v>1.06E-2</v>
      </c>
      <c r="Y1725">
        <v>1.06E-2</v>
      </c>
    </row>
    <row r="1726" spans="1:25" hidden="1">
      <c r="A1726" t="s">
        <v>18810</v>
      </c>
      <c r="B1726" t="s">
        <v>660</v>
      </c>
      <c r="C1726" t="s">
        <v>651</v>
      </c>
      <c r="D1726" t="s">
        <v>632</v>
      </c>
      <c r="E1726" t="s">
        <v>597</v>
      </c>
      <c r="F1726" t="s">
        <v>598</v>
      </c>
      <c r="G1726" t="s">
        <v>599</v>
      </c>
      <c r="H1726" t="s">
        <v>600</v>
      </c>
      <c r="I1726" t="s">
        <v>601</v>
      </c>
      <c r="J1726">
        <v>0.5514</v>
      </c>
      <c r="K1726">
        <v>0.55830000000000002</v>
      </c>
      <c r="L1726">
        <v>0.56469999999999998</v>
      </c>
      <c r="M1726">
        <v>0.57140000000000002</v>
      </c>
      <c r="N1726">
        <v>0.57820000000000005</v>
      </c>
      <c r="O1726">
        <v>0.58499999999999996</v>
      </c>
      <c r="P1726">
        <v>0.59260000000000002</v>
      </c>
      <c r="Q1726">
        <v>0.59899999999999998</v>
      </c>
      <c r="R1726">
        <v>0.60650000000000004</v>
      </c>
      <c r="S1726">
        <v>0.61360000000000003</v>
      </c>
      <c r="T1726">
        <v>0.62139999999999995</v>
      </c>
      <c r="U1726">
        <v>0.62860000000000005</v>
      </c>
      <c r="V1726">
        <v>0.6361</v>
      </c>
      <c r="W1726">
        <v>0.64410000000000001</v>
      </c>
      <c r="X1726">
        <v>0.65180000000000005</v>
      </c>
      <c r="Y1726">
        <v>0.6593</v>
      </c>
    </row>
    <row r="1727" spans="1:25" hidden="1">
      <c r="A1727" t="s">
        <v>18810</v>
      </c>
      <c r="B1727" t="s">
        <v>661</v>
      </c>
      <c r="C1727" t="s">
        <v>651</v>
      </c>
      <c r="D1727" t="s">
        <v>632</v>
      </c>
      <c r="E1727" t="s">
        <v>628</v>
      </c>
      <c r="F1727" t="s">
        <v>598</v>
      </c>
      <c r="G1727" t="s">
        <v>599</v>
      </c>
      <c r="H1727" t="s">
        <v>600</v>
      </c>
      <c r="I1727" t="s">
        <v>601</v>
      </c>
      <c r="J1727">
        <v>8.0000000000000004E-4</v>
      </c>
      <c r="K1727">
        <v>8.0000000000000004E-4</v>
      </c>
      <c r="L1727">
        <v>8.0000000000000004E-4</v>
      </c>
      <c r="M1727">
        <v>8.0000000000000004E-4</v>
      </c>
      <c r="N1727">
        <v>8.0000000000000004E-4</v>
      </c>
      <c r="O1727">
        <v>8.0000000000000004E-4</v>
      </c>
      <c r="P1727">
        <v>8.0000000000000004E-4</v>
      </c>
      <c r="Q1727">
        <v>8.0000000000000004E-4</v>
      </c>
      <c r="R1727">
        <v>8.0000000000000004E-4</v>
      </c>
      <c r="S1727">
        <v>8.0000000000000004E-4</v>
      </c>
      <c r="T1727">
        <v>8.0000000000000004E-4</v>
      </c>
      <c r="U1727">
        <v>8.0000000000000004E-4</v>
      </c>
      <c r="V1727">
        <v>8.0000000000000004E-4</v>
      </c>
      <c r="W1727">
        <v>8.0000000000000004E-4</v>
      </c>
      <c r="X1727">
        <v>8.0000000000000004E-4</v>
      </c>
      <c r="Y1727">
        <v>8.0000000000000004E-4</v>
      </c>
    </row>
    <row r="1728" spans="1:25" hidden="1">
      <c r="A1728" t="s">
        <v>18810</v>
      </c>
      <c r="B1728" t="s">
        <v>662</v>
      </c>
      <c r="C1728" t="s">
        <v>651</v>
      </c>
      <c r="D1728" t="s">
        <v>648</v>
      </c>
      <c r="E1728" t="s">
        <v>649</v>
      </c>
      <c r="F1728" t="s">
        <v>598</v>
      </c>
      <c r="G1728" t="s">
        <v>599</v>
      </c>
      <c r="H1728" t="s">
        <v>600</v>
      </c>
      <c r="I1728" t="s">
        <v>601</v>
      </c>
      <c r="J1728">
        <v>3.8800000000000001E-2</v>
      </c>
      <c r="K1728">
        <v>3.9300000000000002E-2</v>
      </c>
      <c r="L1728">
        <v>3.9800000000000002E-2</v>
      </c>
      <c r="M1728">
        <v>4.0399999999999998E-2</v>
      </c>
      <c r="N1728">
        <v>4.0800000000000003E-2</v>
      </c>
      <c r="O1728">
        <v>4.1300000000000003E-2</v>
      </c>
      <c r="P1728">
        <v>4.1799999999999997E-2</v>
      </c>
      <c r="Q1728">
        <v>4.2200000000000001E-2</v>
      </c>
      <c r="R1728">
        <v>4.2700000000000002E-2</v>
      </c>
      <c r="S1728">
        <v>4.3299999999999998E-2</v>
      </c>
      <c r="T1728">
        <v>4.3799999999999999E-2</v>
      </c>
      <c r="U1728">
        <v>4.4299999999999999E-2</v>
      </c>
      <c r="V1728">
        <v>4.48E-2</v>
      </c>
      <c r="W1728">
        <v>4.5499999999999999E-2</v>
      </c>
      <c r="X1728">
        <v>4.5999999999999999E-2</v>
      </c>
      <c r="Y1728">
        <v>4.6399999999999997E-2</v>
      </c>
    </row>
    <row r="1729" spans="1:25" hidden="1">
      <c r="A1729" t="s">
        <v>18810</v>
      </c>
      <c r="B1729" t="s">
        <v>670</v>
      </c>
      <c r="C1729" t="s">
        <v>664</v>
      </c>
      <c r="D1729" t="s">
        <v>671</v>
      </c>
      <c r="E1729" t="s">
        <v>672</v>
      </c>
      <c r="F1729" t="s">
        <v>598</v>
      </c>
      <c r="G1729" t="s">
        <v>599</v>
      </c>
      <c r="H1729" t="s">
        <v>600</v>
      </c>
      <c r="I1729" t="s">
        <v>601</v>
      </c>
      <c r="J1729">
        <v>1E-4</v>
      </c>
      <c r="K1729">
        <v>1E-4</v>
      </c>
      <c r="L1729">
        <v>1E-4</v>
      </c>
      <c r="M1729">
        <v>1E-4</v>
      </c>
      <c r="N1729">
        <v>1E-4</v>
      </c>
      <c r="O1729">
        <v>1E-4</v>
      </c>
      <c r="P1729">
        <v>1E-4</v>
      </c>
      <c r="Q1729">
        <v>1E-4</v>
      </c>
      <c r="R1729">
        <v>1E-4</v>
      </c>
      <c r="S1729">
        <v>1E-4</v>
      </c>
      <c r="T1729">
        <v>1E-4</v>
      </c>
      <c r="U1729">
        <v>1E-4</v>
      </c>
      <c r="V1729">
        <v>1E-4</v>
      </c>
      <c r="W1729">
        <v>1E-4</v>
      </c>
      <c r="X1729">
        <v>1E-4</v>
      </c>
      <c r="Y1729">
        <v>1E-4</v>
      </c>
    </row>
    <row r="1730" spans="1:25" hidden="1">
      <c r="A1730" t="s">
        <v>18810</v>
      </c>
      <c r="B1730" t="s">
        <v>677</v>
      </c>
      <c r="C1730" t="s">
        <v>664</v>
      </c>
      <c r="D1730" t="s">
        <v>671</v>
      </c>
      <c r="E1730" t="s">
        <v>678</v>
      </c>
      <c r="F1730" t="s">
        <v>598</v>
      </c>
      <c r="G1730" t="s">
        <v>599</v>
      </c>
      <c r="H1730" t="s">
        <v>600</v>
      </c>
      <c r="I1730" t="s">
        <v>601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</row>
    <row r="1731" spans="1:25" hidden="1">
      <c r="A1731" t="s">
        <v>18810</v>
      </c>
      <c r="B1731" t="s">
        <v>684</v>
      </c>
      <c r="C1731" t="s">
        <v>664</v>
      </c>
      <c r="D1731" t="s">
        <v>621</v>
      </c>
      <c r="E1731" t="s">
        <v>597</v>
      </c>
      <c r="F1731" t="s">
        <v>598</v>
      </c>
      <c r="G1731" t="s">
        <v>599</v>
      </c>
      <c r="H1731" t="s">
        <v>600</v>
      </c>
      <c r="I1731" t="s">
        <v>601</v>
      </c>
      <c r="J1731">
        <v>1E-4</v>
      </c>
      <c r="K1731">
        <v>1E-4</v>
      </c>
      <c r="L1731">
        <v>1E-4</v>
      </c>
      <c r="M1731">
        <v>1E-4</v>
      </c>
      <c r="N1731">
        <v>1E-4</v>
      </c>
      <c r="O1731">
        <v>1E-4</v>
      </c>
      <c r="P1731">
        <v>1E-4</v>
      </c>
      <c r="Q1731">
        <v>1E-4</v>
      </c>
      <c r="R1731">
        <v>1E-4</v>
      </c>
      <c r="S1731">
        <v>1E-4</v>
      </c>
      <c r="T1731">
        <v>1E-4</v>
      </c>
      <c r="U1731">
        <v>1E-4</v>
      </c>
      <c r="V1731">
        <v>1E-4</v>
      </c>
      <c r="W1731">
        <v>1E-4</v>
      </c>
      <c r="X1731">
        <v>1E-4</v>
      </c>
      <c r="Y1731">
        <v>1E-4</v>
      </c>
    </row>
    <row r="1732" spans="1:25" hidden="1">
      <c r="A1732" t="s">
        <v>18810</v>
      </c>
      <c r="B1732" t="s">
        <v>693</v>
      </c>
      <c r="C1732" t="s">
        <v>664</v>
      </c>
      <c r="D1732" t="s">
        <v>621</v>
      </c>
      <c r="E1732" t="s">
        <v>678</v>
      </c>
      <c r="F1732" t="s">
        <v>598</v>
      </c>
      <c r="G1732" t="s">
        <v>599</v>
      </c>
      <c r="H1732" t="s">
        <v>600</v>
      </c>
      <c r="I1732" t="s">
        <v>601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</row>
    <row r="1733" spans="1:25" hidden="1">
      <c r="A1733" t="s">
        <v>18810</v>
      </c>
      <c r="B1733" t="s">
        <v>698</v>
      </c>
      <c r="C1733" t="s">
        <v>664</v>
      </c>
      <c r="D1733" t="s">
        <v>640</v>
      </c>
      <c r="E1733" t="s">
        <v>597</v>
      </c>
      <c r="F1733" t="s">
        <v>598</v>
      </c>
      <c r="G1733" t="s">
        <v>599</v>
      </c>
      <c r="H1733" t="s">
        <v>600</v>
      </c>
      <c r="I1733" t="s">
        <v>601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hidden="1">
      <c r="A1734" t="s">
        <v>18810</v>
      </c>
      <c r="B1734" t="s">
        <v>699</v>
      </c>
      <c r="C1734" t="s">
        <v>664</v>
      </c>
      <c r="D1734" t="s">
        <v>640</v>
      </c>
      <c r="E1734" t="s">
        <v>605</v>
      </c>
      <c r="F1734" t="s">
        <v>598</v>
      </c>
      <c r="G1734" t="s">
        <v>599</v>
      </c>
      <c r="H1734" t="s">
        <v>600</v>
      </c>
      <c r="I1734" t="s">
        <v>601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</row>
    <row r="1735" spans="1:25" hidden="1">
      <c r="A1735" t="s">
        <v>18810</v>
      </c>
      <c r="B1735" t="s">
        <v>700</v>
      </c>
      <c r="C1735" t="s">
        <v>664</v>
      </c>
      <c r="D1735" t="s">
        <v>701</v>
      </c>
      <c r="E1735" t="s">
        <v>672</v>
      </c>
      <c r="F1735" t="s">
        <v>598</v>
      </c>
      <c r="G1735" t="s">
        <v>599</v>
      </c>
      <c r="H1735" t="s">
        <v>600</v>
      </c>
      <c r="I1735" t="s">
        <v>601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</row>
    <row r="1736" spans="1:25" hidden="1">
      <c r="A1736" t="s">
        <v>18810</v>
      </c>
      <c r="B1736" t="s">
        <v>702</v>
      </c>
      <c r="C1736" t="s">
        <v>664</v>
      </c>
      <c r="D1736" t="s">
        <v>701</v>
      </c>
      <c r="E1736" t="s">
        <v>597</v>
      </c>
      <c r="F1736" t="s">
        <v>598</v>
      </c>
      <c r="G1736" t="s">
        <v>599</v>
      </c>
      <c r="H1736" t="s">
        <v>600</v>
      </c>
      <c r="I1736" t="s">
        <v>601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</row>
    <row r="1737" spans="1:25" hidden="1">
      <c r="A1737" t="s">
        <v>18810</v>
      </c>
      <c r="B1737" t="s">
        <v>703</v>
      </c>
      <c r="C1737" t="s">
        <v>664</v>
      </c>
      <c r="D1737" t="s">
        <v>704</v>
      </c>
      <c r="E1737" t="s">
        <v>672</v>
      </c>
      <c r="F1737" t="s">
        <v>598</v>
      </c>
      <c r="G1737" t="s">
        <v>599</v>
      </c>
      <c r="H1737" t="s">
        <v>600</v>
      </c>
      <c r="I1737" t="s">
        <v>601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</row>
    <row r="1738" spans="1:25" hidden="1">
      <c r="A1738" t="s">
        <v>18810</v>
      </c>
      <c r="B1738" t="s">
        <v>705</v>
      </c>
      <c r="C1738" t="s">
        <v>664</v>
      </c>
      <c r="D1738" t="s">
        <v>704</v>
      </c>
      <c r="E1738" t="s">
        <v>597</v>
      </c>
      <c r="F1738" t="s">
        <v>598</v>
      </c>
      <c r="G1738" t="s">
        <v>599</v>
      </c>
      <c r="H1738" t="s">
        <v>600</v>
      </c>
      <c r="I1738" t="s">
        <v>601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</row>
    <row r="1739" spans="1:25" hidden="1">
      <c r="A1739" t="s">
        <v>18810</v>
      </c>
      <c r="B1739" t="s">
        <v>709</v>
      </c>
      <c r="C1739" t="s">
        <v>710</v>
      </c>
      <c r="D1739" t="s">
        <v>596</v>
      </c>
      <c r="E1739" t="s">
        <v>597</v>
      </c>
      <c r="F1739" t="s">
        <v>598</v>
      </c>
      <c r="G1739" t="s">
        <v>599</v>
      </c>
      <c r="H1739" t="s">
        <v>600</v>
      </c>
      <c r="I1739" t="s">
        <v>601</v>
      </c>
      <c r="J1739">
        <v>1.1000000000000001E-3</v>
      </c>
      <c r="K1739">
        <v>1.1000000000000001E-3</v>
      </c>
      <c r="L1739">
        <v>1.1000000000000001E-3</v>
      </c>
      <c r="M1739">
        <v>1.1000000000000001E-3</v>
      </c>
      <c r="N1739">
        <v>1.1000000000000001E-3</v>
      </c>
      <c r="O1739">
        <v>1.1000000000000001E-3</v>
      </c>
      <c r="P1739">
        <v>1.2999999999999999E-3</v>
      </c>
      <c r="Q1739">
        <v>1.2999999999999999E-3</v>
      </c>
      <c r="R1739">
        <v>1.2999999999999999E-3</v>
      </c>
      <c r="S1739">
        <v>1.2999999999999999E-3</v>
      </c>
      <c r="T1739">
        <v>1.2999999999999999E-3</v>
      </c>
      <c r="U1739">
        <v>1.2999999999999999E-3</v>
      </c>
      <c r="V1739">
        <v>1.2999999999999999E-3</v>
      </c>
      <c r="W1739">
        <v>1.2999999999999999E-3</v>
      </c>
      <c r="X1739">
        <v>1.2999999999999999E-3</v>
      </c>
      <c r="Y1739">
        <v>1.2999999999999999E-3</v>
      </c>
    </row>
    <row r="1740" spans="1:25" hidden="1">
      <c r="A1740" t="s">
        <v>18810</v>
      </c>
      <c r="B1740" t="s">
        <v>711</v>
      </c>
      <c r="C1740" t="s">
        <v>710</v>
      </c>
      <c r="D1740" t="s">
        <v>596</v>
      </c>
      <c r="E1740" t="s">
        <v>605</v>
      </c>
      <c r="F1740" t="s">
        <v>598</v>
      </c>
      <c r="G1740" t="s">
        <v>599</v>
      </c>
      <c r="H1740" t="s">
        <v>600</v>
      </c>
      <c r="I1740" t="s">
        <v>601</v>
      </c>
      <c r="J1740">
        <v>0.14929999999999999</v>
      </c>
      <c r="K1740">
        <v>0.1507</v>
      </c>
      <c r="L1740">
        <v>0.1522</v>
      </c>
      <c r="M1740">
        <v>0.15379999999999999</v>
      </c>
      <c r="N1740">
        <v>0.15529999999999999</v>
      </c>
      <c r="O1740">
        <v>0.15670000000000001</v>
      </c>
      <c r="P1740">
        <v>0.15840000000000001</v>
      </c>
      <c r="Q1740">
        <v>0.16</v>
      </c>
      <c r="R1740">
        <v>0.1615</v>
      </c>
      <c r="S1740">
        <v>0.1633</v>
      </c>
      <c r="T1740">
        <v>0.16470000000000001</v>
      </c>
      <c r="U1740">
        <v>0.16639999999999999</v>
      </c>
      <c r="V1740">
        <v>0.1681</v>
      </c>
      <c r="W1740">
        <v>0.16980000000000001</v>
      </c>
      <c r="X1740">
        <v>0.1714</v>
      </c>
      <c r="Y1740">
        <v>0.17319999999999999</v>
      </c>
    </row>
    <row r="1741" spans="1:25" hidden="1">
      <c r="A1741" t="s">
        <v>18810</v>
      </c>
      <c r="B1741" t="s">
        <v>712</v>
      </c>
      <c r="C1741" t="s">
        <v>710</v>
      </c>
      <c r="D1741" t="s">
        <v>596</v>
      </c>
      <c r="E1741" t="s">
        <v>713</v>
      </c>
      <c r="F1741" t="s">
        <v>598</v>
      </c>
      <c r="G1741" t="s">
        <v>599</v>
      </c>
      <c r="H1741" t="s">
        <v>600</v>
      </c>
      <c r="I1741" t="s">
        <v>601</v>
      </c>
      <c r="J1741">
        <v>2.0000000000000001E-4</v>
      </c>
      <c r="K1741">
        <v>2.0000000000000001E-4</v>
      </c>
      <c r="L1741">
        <v>2.0000000000000001E-4</v>
      </c>
      <c r="M1741">
        <v>2.0000000000000001E-4</v>
      </c>
      <c r="N1741">
        <v>2.0000000000000001E-4</v>
      </c>
      <c r="O1741">
        <v>2.0000000000000001E-4</v>
      </c>
      <c r="P1741">
        <v>2.0000000000000001E-4</v>
      </c>
      <c r="Q1741">
        <v>2.0000000000000001E-4</v>
      </c>
      <c r="R1741">
        <v>2.0000000000000001E-4</v>
      </c>
      <c r="S1741">
        <v>2.0000000000000001E-4</v>
      </c>
      <c r="T1741">
        <v>2.0000000000000001E-4</v>
      </c>
      <c r="U1741">
        <v>2.0000000000000001E-4</v>
      </c>
      <c r="V1741">
        <v>2.0000000000000001E-4</v>
      </c>
      <c r="W1741">
        <v>2.0000000000000001E-4</v>
      </c>
      <c r="X1741">
        <v>2.0000000000000001E-4</v>
      </c>
      <c r="Y1741">
        <v>2.0000000000000001E-4</v>
      </c>
    </row>
    <row r="1742" spans="1:25" hidden="1">
      <c r="A1742" t="s">
        <v>18810</v>
      </c>
      <c r="B1742" t="s">
        <v>715</v>
      </c>
      <c r="C1742" t="s">
        <v>710</v>
      </c>
      <c r="D1742" t="s">
        <v>671</v>
      </c>
      <c r="E1742" t="s">
        <v>597</v>
      </c>
      <c r="F1742" t="s">
        <v>598</v>
      </c>
      <c r="G1742" t="s">
        <v>599</v>
      </c>
      <c r="H1742" t="s">
        <v>600</v>
      </c>
      <c r="I1742" t="s">
        <v>601</v>
      </c>
      <c r="J1742">
        <v>4.3E-3</v>
      </c>
      <c r="K1742">
        <v>4.4000000000000003E-3</v>
      </c>
      <c r="L1742">
        <v>4.4000000000000003E-3</v>
      </c>
      <c r="M1742">
        <v>4.4999999999999997E-3</v>
      </c>
      <c r="N1742">
        <v>4.4999999999999997E-3</v>
      </c>
      <c r="O1742">
        <v>4.4999999999999997E-3</v>
      </c>
      <c r="P1742">
        <v>4.4999999999999997E-3</v>
      </c>
      <c r="Q1742">
        <v>4.7000000000000002E-3</v>
      </c>
      <c r="R1742">
        <v>4.7000000000000002E-3</v>
      </c>
      <c r="S1742">
        <v>4.7000000000000002E-3</v>
      </c>
      <c r="T1742">
        <v>4.7999999999999996E-3</v>
      </c>
      <c r="U1742">
        <v>4.7999999999999996E-3</v>
      </c>
      <c r="V1742">
        <v>4.8999999999999998E-3</v>
      </c>
      <c r="W1742">
        <v>4.8999999999999998E-3</v>
      </c>
      <c r="X1742">
        <v>5.0000000000000001E-3</v>
      </c>
      <c r="Y1742">
        <v>5.0000000000000001E-3</v>
      </c>
    </row>
    <row r="1743" spans="1:25" hidden="1">
      <c r="A1743" t="s">
        <v>18810</v>
      </c>
      <c r="B1743" t="s">
        <v>716</v>
      </c>
      <c r="C1743" t="s">
        <v>710</v>
      </c>
      <c r="D1743" t="s">
        <v>671</v>
      </c>
      <c r="E1743" t="s">
        <v>605</v>
      </c>
      <c r="F1743" t="s">
        <v>598</v>
      </c>
      <c r="G1743" t="s">
        <v>599</v>
      </c>
      <c r="H1743" t="s">
        <v>600</v>
      </c>
      <c r="I1743" t="s">
        <v>601</v>
      </c>
      <c r="J1743">
        <v>1.2650999999999999</v>
      </c>
      <c r="K1743">
        <v>1.2784</v>
      </c>
      <c r="L1743">
        <v>1.2906</v>
      </c>
      <c r="M1743">
        <v>1.304</v>
      </c>
      <c r="N1743">
        <v>1.3172999999999999</v>
      </c>
      <c r="O1743">
        <v>1.3295999999999999</v>
      </c>
      <c r="P1743">
        <v>1.343</v>
      </c>
      <c r="Q1743">
        <v>1.3563000000000001</v>
      </c>
      <c r="R1743">
        <v>1.3696999999999999</v>
      </c>
      <c r="S1743">
        <v>1.3843000000000001</v>
      </c>
      <c r="T1743">
        <v>1.3976</v>
      </c>
      <c r="U1743">
        <v>1.411</v>
      </c>
      <c r="V1743">
        <v>1.4256</v>
      </c>
      <c r="W1743">
        <v>1.4400999999999999</v>
      </c>
      <c r="X1743">
        <v>1.4535</v>
      </c>
      <c r="Y1743">
        <v>1.4693000000000001</v>
      </c>
    </row>
    <row r="1744" spans="1:25" hidden="1">
      <c r="A1744" t="s">
        <v>18810</v>
      </c>
      <c r="B1744" t="s">
        <v>718</v>
      </c>
      <c r="C1744" t="s">
        <v>710</v>
      </c>
      <c r="D1744" t="s">
        <v>621</v>
      </c>
      <c r="E1744" t="s">
        <v>597</v>
      </c>
      <c r="F1744" t="s">
        <v>598</v>
      </c>
      <c r="G1744" t="s">
        <v>599</v>
      </c>
      <c r="H1744" t="s">
        <v>600</v>
      </c>
      <c r="I1744" t="s">
        <v>601</v>
      </c>
      <c r="J1744">
        <v>5.9999999999999995E-4</v>
      </c>
      <c r="K1744">
        <v>5.9999999999999995E-4</v>
      </c>
      <c r="L1744">
        <v>5.9999999999999995E-4</v>
      </c>
      <c r="M1744">
        <v>6.9999999999999999E-4</v>
      </c>
      <c r="N1744">
        <v>6.9999999999999999E-4</v>
      </c>
      <c r="O1744">
        <v>6.9999999999999999E-4</v>
      </c>
      <c r="P1744">
        <v>6.9999999999999999E-4</v>
      </c>
      <c r="Q1744">
        <v>6.9999999999999999E-4</v>
      </c>
      <c r="R1744">
        <v>6.9999999999999999E-4</v>
      </c>
      <c r="S1744">
        <v>6.9999999999999999E-4</v>
      </c>
      <c r="T1744">
        <v>6.9999999999999999E-4</v>
      </c>
      <c r="U1744">
        <v>6.9999999999999999E-4</v>
      </c>
      <c r="V1744">
        <v>6.9999999999999999E-4</v>
      </c>
      <c r="W1744">
        <v>6.9999999999999999E-4</v>
      </c>
      <c r="X1744">
        <v>6.9999999999999999E-4</v>
      </c>
      <c r="Y1744">
        <v>6.9999999999999999E-4</v>
      </c>
    </row>
    <row r="1745" spans="1:25" hidden="1">
      <c r="A1745" t="s">
        <v>18810</v>
      </c>
      <c r="B1745" t="s">
        <v>720</v>
      </c>
      <c r="C1745" t="s">
        <v>710</v>
      </c>
      <c r="D1745" t="s">
        <v>632</v>
      </c>
      <c r="E1745" t="s">
        <v>597</v>
      </c>
      <c r="F1745" t="s">
        <v>598</v>
      </c>
      <c r="G1745" t="s">
        <v>599</v>
      </c>
      <c r="H1745" t="s">
        <v>600</v>
      </c>
      <c r="I1745" t="s">
        <v>601</v>
      </c>
      <c r="J1745">
        <v>0.1052</v>
      </c>
      <c r="K1745">
        <v>0.1065</v>
      </c>
      <c r="L1745">
        <v>0.1077</v>
      </c>
      <c r="M1745">
        <v>0.109</v>
      </c>
      <c r="N1745">
        <v>0.1103</v>
      </c>
      <c r="O1745">
        <v>0.1116</v>
      </c>
      <c r="P1745">
        <v>0.113</v>
      </c>
      <c r="Q1745">
        <v>0.1143</v>
      </c>
      <c r="R1745">
        <v>0.1157</v>
      </c>
      <c r="S1745">
        <v>0.1171</v>
      </c>
      <c r="T1745">
        <v>0.11849999999999999</v>
      </c>
      <c r="U1745">
        <v>0.11990000000000001</v>
      </c>
      <c r="V1745">
        <v>0.12130000000000001</v>
      </c>
      <c r="W1745">
        <v>0.1229</v>
      </c>
      <c r="X1745">
        <v>0.1244</v>
      </c>
      <c r="Y1745">
        <v>0.1258</v>
      </c>
    </row>
    <row r="1746" spans="1:25" hidden="1">
      <c r="A1746" t="s">
        <v>18810</v>
      </c>
      <c r="B1746" t="s">
        <v>721</v>
      </c>
      <c r="C1746" t="s">
        <v>710</v>
      </c>
      <c r="D1746" t="s">
        <v>632</v>
      </c>
      <c r="E1746" t="s">
        <v>642</v>
      </c>
      <c r="F1746" t="s">
        <v>598</v>
      </c>
      <c r="G1746" t="s">
        <v>599</v>
      </c>
      <c r="H1746" t="s">
        <v>600</v>
      </c>
      <c r="I1746" t="s">
        <v>601</v>
      </c>
      <c r="J1746">
        <v>1E-4</v>
      </c>
      <c r="K1746">
        <v>1E-4</v>
      </c>
      <c r="L1746">
        <v>1E-4</v>
      </c>
      <c r="M1746">
        <v>1E-4</v>
      </c>
      <c r="N1746">
        <v>1E-4</v>
      </c>
      <c r="O1746">
        <v>1E-4</v>
      </c>
      <c r="P1746">
        <v>1E-4</v>
      </c>
      <c r="Q1746">
        <v>1E-4</v>
      </c>
      <c r="R1746">
        <v>1E-4</v>
      </c>
      <c r="S1746">
        <v>1E-4</v>
      </c>
      <c r="T1746">
        <v>1E-4</v>
      </c>
      <c r="U1746">
        <v>1E-4</v>
      </c>
      <c r="V1746">
        <v>1E-4</v>
      </c>
      <c r="W1746">
        <v>1E-4</v>
      </c>
      <c r="X1746">
        <v>1E-4</v>
      </c>
      <c r="Y1746">
        <v>1E-4</v>
      </c>
    </row>
    <row r="1747" spans="1:25" hidden="1">
      <c r="A1747" t="s">
        <v>18810</v>
      </c>
      <c r="B1747" t="s">
        <v>722</v>
      </c>
      <c r="C1747" t="s">
        <v>710</v>
      </c>
      <c r="D1747" t="s">
        <v>632</v>
      </c>
      <c r="E1747" t="s">
        <v>723</v>
      </c>
      <c r="F1747" t="s">
        <v>598</v>
      </c>
      <c r="G1747" t="s">
        <v>599</v>
      </c>
      <c r="H1747" t="s">
        <v>600</v>
      </c>
      <c r="I1747" t="s">
        <v>601</v>
      </c>
      <c r="J1747">
        <v>6.6900000000000001E-2</v>
      </c>
      <c r="K1747">
        <v>6.7900000000000002E-2</v>
      </c>
      <c r="L1747">
        <v>6.8599999999999994E-2</v>
      </c>
      <c r="M1747">
        <v>6.9400000000000003E-2</v>
      </c>
      <c r="N1747">
        <v>7.0300000000000001E-2</v>
      </c>
      <c r="O1747">
        <v>7.1099999999999997E-2</v>
      </c>
      <c r="P1747">
        <v>7.1999999999999995E-2</v>
      </c>
      <c r="Q1747">
        <v>7.2800000000000004E-2</v>
      </c>
      <c r="R1747">
        <v>7.3700000000000002E-2</v>
      </c>
      <c r="S1747">
        <v>7.46E-2</v>
      </c>
      <c r="T1747">
        <v>7.5499999999999998E-2</v>
      </c>
      <c r="U1747">
        <v>7.6399999999999996E-2</v>
      </c>
      <c r="V1747">
        <v>7.7200000000000005E-2</v>
      </c>
      <c r="W1747">
        <v>7.8200000000000006E-2</v>
      </c>
      <c r="X1747">
        <v>7.9200000000000007E-2</v>
      </c>
      <c r="Y1747">
        <v>0.08</v>
      </c>
    </row>
    <row r="1748" spans="1:25" hidden="1">
      <c r="A1748" t="s">
        <v>18810</v>
      </c>
      <c r="B1748" t="s">
        <v>724</v>
      </c>
      <c r="C1748" t="s">
        <v>710</v>
      </c>
      <c r="D1748" t="s">
        <v>640</v>
      </c>
      <c r="E1748" t="s">
        <v>597</v>
      </c>
      <c r="F1748" t="s">
        <v>598</v>
      </c>
      <c r="G1748" t="s">
        <v>599</v>
      </c>
      <c r="H1748" t="s">
        <v>600</v>
      </c>
      <c r="I1748" t="s">
        <v>601</v>
      </c>
      <c r="J1748">
        <v>8.3999999999999995E-3</v>
      </c>
      <c r="K1748">
        <v>8.6E-3</v>
      </c>
      <c r="L1748">
        <v>8.6999999999999994E-3</v>
      </c>
      <c r="M1748">
        <v>8.8000000000000005E-3</v>
      </c>
      <c r="N1748">
        <v>8.8999999999999999E-3</v>
      </c>
      <c r="O1748">
        <v>8.8999999999999999E-3</v>
      </c>
      <c r="P1748">
        <v>8.9999999999999993E-3</v>
      </c>
      <c r="Q1748">
        <v>9.1000000000000004E-3</v>
      </c>
      <c r="R1748">
        <v>9.1999999999999998E-3</v>
      </c>
      <c r="S1748">
        <v>9.2999999999999992E-3</v>
      </c>
      <c r="T1748">
        <v>9.4000000000000004E-3</v>
      </c>
      <c r="U1748">
        <v>9.4000000000000004E-3</v>
      </c>
      <c r="V1748">
        <v>9.4999999999999998E-3</v>
      </c>
      <c r="W1748">
        <v>9.7000000000000003E-3</v>
      </c>
      <c r="X1748">
        <v>9.7000000000000003E-3</v>
      </c>
      <c r="Y1748">
        <v>9.9000000000000008E-3</v>
      </c>
    </row>
    <row r="1749" spans="1:25" hidden="1">
      <c r="A1749" t="s">
        <v>18810</v>
      </c>
      <c r="B1749" t="s">
        <v>725</v>
      </c>
      <c r="C1749" t="s">
        <v>710</v>
      </c>
      <c r="D1749" t="s">
        <v>640</v>
      </c>
      <c r="E1749" t="s">
        <v>642</v>
      </c>
      <c r="F1749" t="s">
        <v>598</v>
      </c>
      <c r="G1749" t="s">
        <v>599</v>
      </c>
      <c r="H1749" t="s">
        <v>600</v>
      </c>
      <c r="I1749" t="s">
        <v>601</v>
      </c>
      <c r="J1749">
        <v>1E-4</v>
      </c>
      <c r="K1749">
        <v>1E-4</v>
      </c>
      <c r="L1749">
        <v>1E-4</v>
      </c>
      <c r="M1749">
        <v>1E-4</v>
      </c>
      <c r="N1749">
        <v>1E-4</v>
      </c>
      <c r="O1749">
        <v>1E-4</v>
      </c>
      <c r="P1749">
        <v>1E-4</v>
      </c>
      <c r="Q1749">
        <v>1E-4</v>
      </c>
      <c r="R1749">
        <v>1E-4</v>
      </c>
      <c r="S1749">
        <v>1E-4</v>
      </c>
      <c r="T1749">
        <v>1E-4</v>
      </c>
      <c r="U1749">
        <v>1E-4</v>
      </c>
      <c r="V1749">
        <v>1E-4</v>
      </c>
      <c r="W1749">
        <v>1E-4</v>
      </c>
      <c r="X1749">
        <v>1E-4</v>
      </c>
      <c r="Y1749">
        <v>1E-4</v>
      </c>
    </row>
    <row r="1750" spans="1:25" hidden="1">
      <c r="A1750" t="s">
        <v>18810</v>
      </c>
      <c r="B1750" t="s">
        <v>726</v>
      </c>
      <c r="C1750" t="s">
        <v>710</v>
      </c>
      <c r="D1750" t="s">
        <v>640</v>
      </c>
      <c r="E1750" t="s">
        <v>605</v>
      </c>
      <c r="F1750" t="s">
        <v>598</v>
      </c>
      <c r="G1750" t="s">
        <v>599</v>
      </c>
      <c r="H1750" t="s">
        <v>600</v>
      </c>
      <c r="I1750" t="s">
        <v>601</v>
      </c>
      <c r="J1750">
        <v>7.3400000000000007E-2</v>
      </c>
      <c r="K1750">
        <v>7.4700000000000003E-2</v>
      </c>
      <c r="L1750">
        <v>7.5300000000000006E-2</v>
      </c>
      <c r="M1750">
        <v>7.5999999999999998E-2</v>
      </c>
      <c r="N1750">
        <v>7.6799999999999993E-2</v>
      </c>
      <c r="O1750">
        <v>7.7299999999999994E-2</v>
      </c>
      <c r="P1750">
        <v>7.8100000000000003E-2</v>
      </c>
      <c r="Q1750">
        <v>7.8700000000000006E-2</v>
      </c>
      <c r="R1750">
        <v>0.08</v>
      </c>
      <c r="S1750">
        <v>8.0699999999999994E-2</v>
      </c>
      <c r="T1750">
        <v>8.1299999999999997E-2</v>
      </c>
      <c r="U1750">
        <v>8.2000000000000003E-2</v>
      </c>
      <c r="V1750">
        <v>8.2699999999999996E-2</v>
      </c>
      <c r="W1750">
        <v>8.4000000000000005E-2</v>
      </c>
      <c r="X1750">
        <v>8.4599999999999995E-2</v>
      </c>
      <c r="Y1750">
        <v>8.5400000000000004E-2</v>
      </c>
    </row>
    <row r="1751" spans="1:25" hidden="1">
      <c r="A1751" t="s">
        <v>18810</v>
      </c>
      <c r="B1751" t="s">
        <v>727</v>
      </c>
      <c r="C1751" t="s">
        <v>710</v>
      </c>
      <c r="D1751" t="s">
        <v>640</v>
      </c>
      <c r="E1751" t="s">
        <v>613</v>
      </c>
      <c r="F1751" t="s">
        <v>598</v>
      </c>
      <c r="G1751" t="s">
        <v>599</v>
      </c>
      <c r="H1751" t="s">
        <v>600</v>
      </c>
      <c r="I1751" t="s">
        <v>601</v>
      </c>
      <c r="J1751">
        <v>0.85429999999999995</v>
      </c>
      <c r="K1751">
        <v>0.86250000000000004</v>
      </c>
      <c r="L1751">
        <v>0.86990000000000001</v>
      </c>
      <c r="M1751">
        <v>0.87809999999999999</v>
      </c>
      <c r="N1751">
        <v>0.88639999999999997</v>
      </c>
      <c r="O1751">
        <v>0.89459999999999995</v>
      </c>
      <c r="P1751">
        <v>0.90280000000000005</v>
      </c>
      <c r="Q1751">
        <v>0.91110000000000002</v>
      </c>
      <c r="R1751">
        <v>0.92010000000000003</v>
      </c>
      <c r="S1751">
        <v>0.92830000000000001</v>
      </c>
      <c r="T1751">
        <v>0.93740000000000001</v>
      </c>
      <c r="U1751">
        <v>0.9456</v>
      </c>
      <c r="V1751">
        <v>0.95469999999999999</v>
      </c>
      <c r="W1751">
        <v>0.9637</v>
      </c>
      <c r="X1751">
        <v>0.9728</v>
      </c>
      <c r="Y1751">
        <v>0.98180000000000001</v>
      </c>
    </row>
    <row r="1752" spans="1:25" hidden="1">
      <c r="A1752" t="s">
        <v>18810</v>
      </c>
      <c r="B1752" t="s">
        <v>728</v>
      </c>
      <c r="C1752" t="s">
        <v>729</v>
      </c>
      <c r="D1752" t="s">
        <v>596</v>
      </c>
      <c r="E1752" t="s">
        <v>597</v>
      </c>
      <c r="F1752" t="s">
        <v>598</v>
      </c>
      <c r="G1752" t="s">
        <v>599</v>
      </c>
      <c r="H1752" t="s">
        <v>600</v>
      </c>
      <c r="I1752" t="s">
        <v>601</v>
      </c>
      <c r="J1752">
        <v>7.0000000000000001E-3</v>
      </c>
      <c r="K1752">
        <v>7.0000000000000001E-3</v>
      </c>
      <c r="L1752">
        <v>7.1999999999999998E-3</v>
      </c>
      <c r="M1752">
        <v>7.3000000000000001E-3</v>
      </c>
      <c r="N1752">
        <v>7.3000000000000001E-3</v>
      </c>
      <c r="O1752">
        <v>7.3000000000000001E-3</v>
      </c>
      <c r="P1752">
        <v>7.3000000000000001E-3</v>
      </c>
      <c r="Q1752">
        <v>7.4000000000000003E-3</v>
      </c>
      <c r="R1752">
        <v>7.4999999999999997E-3</v>
      </c>
      <c r="S1752">
        <v>7.4999999999999997E-3</v>
      </c>
      <c r="T1752">
        <v>7.4999999999999997E-3</v>
      </c>
      <c r="U1752">
        <v>7.4999999999999997E-3</v>
      </c>
      <c r="V1752">
        <v>7.6E-3</v>
      </c>
      <c r="W1752">
        <v>7.7000000000000002E-3</v>
      </c>
      <c r="X1752">
        <v>7.7000000000000002E-3</v>
      </c>
      <c r="Y1752">
        <v>7.9000000000000008E-3</v>
      </c>
    </row>
    <row r="1753" spans="1:25" hidden="1">
      <c r="A1753" t="s">
        <v>18810</v>
      </c>
      <c r="B1753" t="s">
        <v>733</v>
      </c>
      <c r="C1753" t="s">
        <v>729</v>
      </c>
      <c r="D1753" t="s">
        <v>596</v>
      </c>
      <c r="E1753" t="s">
        <v>605</v>
      </c>
      <c r="F1753" t="s">
        <v>598</v>
      </c>
      <c r="G1753" t="s">
        <v>599</v>
      </c>
      <c r="H1753" t="s">
        <v>600</v>
      </c>
      <c r="I1753" t="s">
        <v>601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</row>
    <row r="1754" spans="1:25" hidden="1">
      <c r="A1754" t="s">
        <v>18810</v>
      </c>
      <c r="B1754" t="s">
        <v>738</v>
      </c>
      <c r="C1754" t="s">
        <v>729</v>
      </c>
      <c r="D1754" t="s">
        <v>596</v>
      </c>
      <c r="E1754" t="s">
        <v>617</v>
      </c>
      <c r="F1754" t="s">
        <v>598</v>
      </c>
      <c r="G1754" t="s">
        <v>599</v>
      </c>
      <c r="H1754" t="s">
        <v>600</v>
      </c>
      <c r="I1754" t="s">
        <v>601</v>
      </c>
      <c r="J1754">
        <v>5.8999999999999999E-3</v>
      </c>
      <c r="K1754">
        <v>5.8999999999999999E-3</v>
      </c>
      <c r="L1754">
        <v>5.8999999999999999E-3</v>
      </c>
      <c r="M1754">
        <v>5.8999999999999999E-3</v>
      </c>
      <c r="N1754">
        <v>5.8999999999999999E-3</v>
      </c>
      <c r="O1754">
        <v>5.8999999999999999E-3</v>
      </c>
      <c r="P1754">
        <v>5.8999999999999999E-3</v>
      </c>
      <c r="Q1754">
        <v>5.8999999999999999E-3</v>
      </c>
      <c r="R1754">
        <v>5.8999999999999999E-3</v>
      </c>
      <c r="S1754">
        <v>5.8999999999999999E-3</v>
      </c>
      <c r="T1754">
        <v>5.8999999999999999E-3</v>
      </c>
      <c r="U1754">
        <v>5.8999999999999999E-3</v>
      </c>
      <c r="V1754">
        <v>5.8999999999999999E-3</v>
      </c>
      <c r="W1754">
        <v>5.8999999999999999E-3</v>
      </c>
      <c r="X1754">
        <v>5.8999999999999999E-3</v>
      </c>
      <c r="Y1754">
        <v>5.8999999999999999E-3</v>
      </c>
    </row>
    <row r="1755" spans="1:25" hidden="1">
      <c r="A1755" t="s">
        <v>18810</v>
      </c>
      <c r="B1755" t="s">
        <v>745</v>
      </c>
      <c r="C1755" t="s">
        <v>729</v>
      </c>
      <c r="D1755" t="s">
        <v>671</v>
      </c>
      <c r="E1755" t="s">
        <v>597</v>
      </c>
      <c r="F1755" t="s">
        <v>598</v>
      </c>
      <c r="G1755" t="s">
        <v>599</v>
      </c>
      <c r="H1755" t="s">
        <v>600</v>
      </c>
      <c r="I1755" t="s">
        <v>601</v>
      </c>
      <c r="J1755">
        <v>4.0000000000000002E-4</v>
      </c>
      <c r="K1755">
        <v>4.0000000000000002E-4</v>
      </c>
      <c r="L1755">
        <v>4.0000000000000002E-4</v>
      </c>
      <c r="M1755">
        <v>4.0000000000000002E-4</v>
      </c>
      <c r="N1755">
        <v>4.0000000000000002E-4</v>
      </c>
      <c r="O1755">
        <v>4.0000000000000002E-4</v>
      </c>
      <c r="P1755">
        <v>4.0000000000000002E-4</v>
      </c>
      <c r="Q1755">
        <v>4.0000000000000002E-4</v>
      </c>
      <c r="R1755">
        <v>5.0000000000000001E-4</v>
      </c>
      <c r="S1755">
        <v>5.0000000000000001E-4</v>
      </c>
      <c r="T1755">
        <v>5.0000000000000001E-4</v>
      </c>
      <c r="U1755">
        <v>5.0000000000000001E-4</v>
      </c>
      <c r="V1755">
        <v>5.0000000000000001E-4</v>
      </c>
      <c r="W1755">
        <v>5.0000000000000001E-4</v>
      </c>
      <c r="X1755">
        <v>5.0000000000000001E-4</v>
      </c>
      <c r="Y1755">
        <v>5.0000000000000001E-4</v>
      </c>
    </row>
    <row r="1756" spans="1:25" hidden="1">
      <c r="A1756" t="s">
        <v>18810</v>
      </c>
      <c r="B1756" t="s">
        <v>747</v>
      </c>
      <c r="C1756" t="s">
        <v>729</v>
      </c>
      <c r="D1756" t="s">
        <v>671</v>
      </c>
      <c r="E1756" t="s">
        <v>605</v>
      </c>
      <c r="F1756" t="s">
        <v>598</v>
      </c>
      <c r="G1756" t="s">
        <v>599</v>
      </c>
      <c r="H1756" t="s">
        <v>600</v>
      </c>
      <c r="I1756" t="s">
        <v>601</v>
      </c>
      <c r="J1756">
        <v>1.5299999999999999E-2</v>
      </c>
      <c r="K1756">
        <v>1.55E-2</v>
      </c>
      <c r="L1756">
        <v>1.5599999999999999E-2</v>
      </c>
      <c r="M1756">
        <v>1.5800000000000002E-2</v>
      </c>
      <c r="N1756">
        <v>1.6E-2</v>
      </c>
      <c r="O1756">
        <v>1.6199999999999999E-2</v>
      </c>
      <c r="P1756">
        <v>1.6299999999999999E-2</v>
      </c>
      <c r="Q1756">
        <v>1.6500000000000001E-2</v>
      </c>
      <c r="R1756">
        <v>1.67E-2</v>
      </c>
      <c r="S1756">
        <v>1.6899999999999998E-2</v>
      </c>
      <c r="T1756">
        <v>1.7100000000000001E-2</v>
      </c>
      <c r="U1756">
        <v>1.72E-2</v>
      </c>
      <c r="V1756">
        <v>1.7399999999999999E-2</v>
      </c>
      <c r="W1756">
        <v>1.7600000000000001E-2</v>
      </c>
      <c r="X1756">
        <v>1.78E-2</v>
      </c>
      <c r="Y1756">
        <v>1.7999999999999999E-2</v>
      </c>
    </row>
    <row r="1757" spans="1:25" hidden="1">
      <c r="A1757" t="s">
        <v>18810</v>
      </c>
      <c r="B1757" t="s">
        <v>755</v>
      </c>
      <c r="C1757" t="s">
        <v>729</v>
      </c>
      <c r="D1757" t="s">
        <v>756</v>
      </c>
      <c r="E1757" t="s">
        <v>597</v>
      </c>
      <c r="F1757" t="s">
        <v>598</v>
      </c>
      <c r="G1757" t="s">
        <v>599</v>
      </c>
      <c r="H1757" t="s">
        <v>600</v>
      </c>
      <c r="I1757" t="s">
        <v>601</v>
      </c>
      <c r="J1757">
        <v>2.6100000000000002E-2</v>
      </c>
      <c r="K1757">
        <v>2.63E-2</v>
      </c>
      <c r="L1757">
        <v>2.64E-2</v>
      </c>
      <c r="M1757">
        <v>2.6499999999999999E-2</v>
      </c>
      <c r="N1757">
        <v>2.6499999999999999E-2</v>
      </c>
      <c r="O1757">
        <v>2.6499999999999999E-2</v>
      </c>
      <c r="P1757">
        <v>2.6499999999999999E-2</v>
      </c>
      <c r="Q1757">
        <v>2.6499999999999999E-2</v>
      </c>
      <c r="R1757">
        <v>2.6499999999999999E-2</v>
      </c>
      <c r="S1757">
        <v>2.6700000000000002E-2</v>
      </c>
      <c r="T1757">
        <v>2.6800000000000001E-2</v>
      </c>
      <c r="U1757">
        <v>2.69E-2</v>
      </c>
      <c r="V1757">
        <v>2.7E-2</v>
      </c>
      <c r="W1757">
        <v>2.7E-2</v>
      </c>
      <c r="X1757">
        <v>2.7099999999999999E-2</v>
      </c>
      <c r="Y1757">
        <v>2.7199999999999998E-2</v>
      </c>
    </row>
    <row r="1758" spans="1:25" hidden="1">
      <c r="A1758" t="s">
        <v>18810</v>
      </c>
      <c r="B1758" t="s">
        <v>759</v>
      </c>
      <c r="C1758" t="s">
        <v>729</v>
      </c>
      <c r="D1758" t="s">
        <v>756</v>
      </c>
      <c r="E1758" t="s">
        <v>619</v>
      </c>
      <c r="F1758" t="s">
        <v>598</v>
      </c>
      <c r="G1758" t="s">
        <v>599</v>
      </c>
      <c r="H1758" t="s">
        <v>600</v>
      </c>
      <c r="I1758" t="s">
        <v>601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</row>
    <row r="1759" spans="1:25" hidden="1">
      <c r="A1759" t="s">
        <v>18810</v>
      </c>
      <c r="B1759" t="s">
        <v>760</v>
      </c>
      <c r="C1759" t="s">
        <v>729</v>
      </c>
      <c r="D1759" t="s">
        <v>621</v>
      </c>
      <c r="E1759" t="s">
        <v>649</v>
      </c>
      <c r="F1759" t="s">
        <v>598</v>
      </c>
      <c r="G1759" t="s">
        <v>599</v>
      </c>
      <c r="H1759" t="s">
        <v>600</v>
      </c>
      <c r="I1759" t="s">
        <v>601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</row>
    <row r="1760" spans="1:25" hidden="1">
      <c r="A1760" t="s">
        <v>18810</v>
      </c>
      <c r="B1760" t="s">
        <v>761</v>
      </c>
      <c r="C1760" t="s">
        <v>729</v>
      </c>
      <c r="D1760" t="s">
        <v>621</v>
      </c>
      <c r="E1760" t="s">
        <v>597</v>
      </c>
      <c r="F1760" t="s">
        <v>598</v>
      </c>
      <c r="G1760" t="s">
        <v>599</v>
      </c>
      <c r="H1760" t="s">
        <v>600</v>
      </c>
      <c r="I1760" t="s">
        <v>601</v>
      </c>
      <c r="J1760">
        <v>2.3999999999999998E-3</v>
      </c>
      <c r="K1760">
        <v>2.3999999999999998E-3</v>
      </c>
      <c r="L1760">
        <v>2.3999999999999998E-3</v>
      </c>
      <c r="M1760">
        <v>2.5000000000000001E-3</v>
      </c>
      <c r="N1760">
        <v>2.5000000000000001E-3</v>
      </c>
      <c r="O1760">
        <v>2.5000000000000001E-3</v>
      </c>
      <c r="P1760">
        <v>2.5000000000000001E-3</v>
      </c>
      <c r="Q1760">
        <v>2.5000000000000001E-3</v>
      </c>
      <c r="R1760">
        <v>2.5000000000000001E-3</v>
      </c>
      <c r="S1760">
        <v>2.5000000000000001E-3</v>
      </c>
      <c r="T1760">
        <v>2.5000000000000001E-3</v>
      </c>
      <c r="U1760">
        <v>2.5000000000000001E-3</v>
      </c>
      <c r="V1760">
        <v>2.5999999999999999E-3</v>
      </c>
      <c r="W1760">
        <v>2.5999999999999999E-3</v>
      </c>
      <c r="X1760">
        <v>2.5999999999999999E-3</v>
      </c>
      <c r="Y1760">
        <v>2.5999999999999999E-3</v>
      </c>
    </row>
    <row r="1761" spans="1:25" hidden="1">
      <c r="A1761" t="s">
        <v>18810</v>
      </c>
      <c r="B1761" t="s">
        <v>762</v>
      </c>
      <c r="C1761" t="s">
        <v>729</v>
      </c>
      <c r="D1761" t="s">
        <v>621</v>
      </c>
      <c r="E1761" t="s">
        <v>642</v>
      </c>
      <c r="F1761" t="s">
        <v>598</v>
      </c>
      <c r="G1761" t="s">
        <v>599</v>
      </c>
      <c r="H1761" t="s">
        <v>600</v>
      </c>
      <c r="I1761" t="s">
        <v>601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</row>
    <row r="1762" spans="1:25" hidden="1">
      <c r="A1762" t="s">
        <v>18810</v>
      </c>
      <c r="B1762" t="s">
        <v>763</v>
      </c>
      <c r="C1762" t="s">
        <v>729</v>
      </c>
      <c r="D1762" t="s">
        <v>621</v>
      </c>
      <c r="E1762" t="s">
        <v>731</v>
      </c>
      <c r="F1762" t="s">
        <v>598</v>
      </c>
      <c r="G1762" t="s">
        <v>599</v>
      </c>
      <c r="H1762" t="s">
        <v>600</v>
      </c>
      <c r="I1762" t="s">
        <v>601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</row>
    <row r="1763" spans="1:25" hidden="1">
      <c r="A1763" t="s">
        <v>18810</v>
      </c>
      <c r="B1763" t="s">
        <v>764</v>
      </c>
      <c r="C1763" t="s">
        <v>729</v>
      </c>
      <c r="D1763" t="s">
        <v>621</v>
      </c>
      <c r="E1763" t="s">
        <v>603</v>
      </c>
      <c r="F1763" t="s">
        <v>598</v>
      </c>
      <c r="G1763" t="s">
        <v>599</v>
      </c>
      <c r="H1763" t="s">
        <v>600</v>
      </c>
      <c r="I1763" t="s">
        <v>601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hidden="1">
      <c r="A1764" t="s">
        <v>18810</v>
      </c>
      <c r="B1764" t="s">
        <v>766</v>
      </c>
      <c r="C1764" t="s">
        <v>729</v>
      </c>
      <c r="D1764" t="s">
        <v>621</v>
      </c>
      <c r="E1764" t="s">
        <v>624</v>
      </c>
      <c r="F1764" t="s">
        <v>598</v>
      </c>
      <c r="G1764" t="s">
        <v>599</v>
      </c>
      <c r="H1764" t="s">
        <v>600</v>
      </c>
      <c r="I1764" t="s">
        <v>601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hidden="1">
      <c r="A1765" t="s">
        <v>18810</v>
      </c>
      <c r="B1765" t="s">
        <v>770</v>
      </c>
      <c r="C1765" t="s">
        <v>729</v>
      </c>
      <c r="D1765" t="s">
        <v>621</v>
      </c>
      <c r="E1765" t="s">
        <v>628</v>
      </c>
      <c r="F1765" t="s">
        <v>598</v>
      </c>
      <c r="G1765" t="s">
        <v>599</v>
      </c>
      <c r="H1765" t="s">
        <v>600</v>
      </c>
      <c r="I1765" t="s">
        <v>601</v>
      </c>
      <c r="J1765">
        <v>1.9E-3</v>
      </c>
      <c r="K1765">
        <v>1.6999999999999999E-3</v>
      </c>
      <c r="L1765">
        <v>1.6999999999999999E-3</v>
      </c>
      <c r="M1765">
        <v>1.6000000000000001E-3</v>
      </c>
      <c r="N1765">
        <v>1.6000000000000001E-3</v>
      </c>
      <c r="O1765">
        <v>1.5E-3</v>
      </c>
      <c r="P1765">
        <v>1.5E-3</v>
      </c>
      <c r="Q1765">
        <v>1.5E-3</v>
      </c>
      <c r="R1765">
        <v>1.6000000000000001E-3</v>
      </c>
      <c r="S1765">
        <v>1.6000000000000001E-3</v>
      </c>
      <c r="T1765">
        <v>1.6000000000000001E-3</v>
      </c>
      <c r="U1765">
        <v>1.6000000000000001E-3</v>
      </c>
      <c r="V1765">
        <v>1.6000000000000001E-3</v>
      </c>
      <c r="W1765">
        <v>1.6000000000000001E-3</v>
      </c>
      <c r="X1765">
        <v>1.6000000000000001E-3</v>
      </c>
      <c r="Y1765">
        <v>1.6000000000000001E-3</v>
      </c>
    </row>
    <row r="1766" spans="1:25" hidden="1">
      <c r="A1766" t="s">
        <v>18810</v>
      </c>
      <c r="B1766" t="s">
        <v>772</v>
      </c>
      <c r="C1766" t="s">
        <v>729</v>
      </c>
      <c r="D1766" t="s">
        <v>621</v>
      </c>
      <c r="E1766" t="s">
        <v>773</v>
      </c>
      <c r="F1766" t="s">
        <v>598</v>
      </c>
      <c r="G1766" t="s">
        <v>599</v>
      </c>
      <c r="H1766" t="s">
        <v>600</v>
      </c>
      <c r="I1766" t="s">
        <v>601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hidden="1">
      <c r="A1767" t="s">
        <v>18810</v>
      </c>
      <c r="B1767" t="s">
        <v>774</v>
      </c>
      <c r="C1767" t="s">
        <v>729</v>
      </c>
      <c r="D1767" t="s">
        <v>621</v>
      </c>
      <c r="E1767" t="s">
        <v>638</v>
      </c>
      <c r="F1767" t="s">
        <v>598</v>
      </c>
      <c r="G1767" t="s">
        <v>599</v>
      </c>
      <c r="H1767" t="s">
        <v>600</v>
      </c>
      <c r="I1767" t="s">
        <v>601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</row>
    <row r="1768" spans="1:25" hidden="1">
      <c r="A1768" t="s">
        <v>18810</v>
      </c>
      <c r="B1768" t="s">
        <v>785</v>
      </c>
      <c r="C1768" t="s">
        <v>729</v>
      </c>
      <c r="D1768" t="s">
        <v>640</v>
      </c>
      <c r="E1768" t="s">
        <v>597</v>
      </c>
      <c r="F1768" t="s">
        <v>598</v>
      </c>
      <c r="G1768" t="s">
        <v>599</v>
      </c>
      <c r="H1768" t="s">
        <v>600</v>
      </c>
      <c r="I1768" t="s">
        <v>601</v>
      </c>
      <c r="J1768">
        <v>2.81E-2</v>
      </c>
      <c r="K1768">
        <v>2.8299999999999999E-2</v>
      </c>
      <c r="L1768">
        <v>2.8799999999999999E-2</v>
      </c>
      <c r="M1768">
        <v>2.9000000000000001E-2</v>
      </c>
      <c r="N1768">
        <v>2.9100000000000001E-2</v>
      </c>
      <c r="O1768">
        <v>2.9399999999999999E-2</v>
      </c>
      <c r="P1768">
        <v>2.98E-2</v>
      </c>
      <c r="Q1768">
        <v>0.03</v>
      </c>
      <c r="R1768">
        <v>3.0300000000000001E-2</v>
      </c>
      <c r="S1768">
        <v>3.0599999999999999E-2</v>
      </c>
      <c r="T1768">
        <v>3.1E-2</v>
      </c>
      <c r="U1768">
        <v>3.1199999999999999E-2</v>
      </c>
      <c r="V1768">
        <v>3.15E-2</v>
      </c>
      <c r="W1768">
        <v>3.1899999999999998E-2</v>
      </c>
      <c r="X1768">
        <v>3.2199999999999999E-2</v>
      </c>
      <c r="Y1768">
        <v>3.2500000000000001E-2</v>
      </c>
    </row>
    <row r="1769" spans="1:25" hidden="1">
      <c r="A1769" t="s">
        <v>18810</v>
      </c>
      <c r="B1769" t="s">
        <v>786</v>
      </c>
      <c r="C1769" t="s">
        <v>729</v>
      </c>
      <c r="D1769" t="s">
        <v>640</v>
      </c>
      <c r="E1769" t="s">
        <v>642</v>
      </c>
      <c r="F1769" t="s">
        <v>598</v>
      </c>
      <c r="G1769" t="s">
        <v>599</v>
      </c>
      <c r="H1769" t="s">
        <v>600</v>
      </c>
      <c r="I1769" t="s">
        <v>601</v>
      </c>
      <c r="J1769">
        <v>2.0000000000000001E-4</v>
      </c>
      <c r="K1769">
        <v>2.0000000000000001E-4</v>
      </c>
      <c r="L1769">
        <v>2.0000000000000001E-4</v>
      </c>
      <c r="M1769">
        <v>2.0000000000000001E-4</v>
      </c>
      <c r="N1769">
        <v>2.0000000000000001E-4</v>
      </c>
      <c r="O1769">
        <v>2.0000000000000001E-4</v>
      </c>
      <c r="P1769">
        <v>2.0000000000000001E-4</v>
      </c>
      <c r="Q1769">
        <v>2.0000000000000001E-4</v>
      </c>
      <c r="R1769">
        <v>2.0000000000000001E-4</v>
      </c>
      <c r="S1769">
        <v>2.0000000000000001E-4</v>
      </c>
      <c r="T1769">
        <v>2.0000000000000001E-4</v>
      </c>
      <c r="U1769">
        <v>2.0000000000000001E-4</v>
      </c>
      <c r="V1769">
        <v>2.0000000000000001E-4</v>
      </c>
      <c r="W1769">
        <v>2.0000000000000001E-4</v>
      </c>
      <c r="X1769">
        <v>2.0000000000000001E-4</v>
      </c>
      <c r="Y1769">
        <v>2.0000000000000001E-4</v>
      </c>
    </row>
    <row r="1770" spans="1:25" hidden="1">
      <c r="A1770" t="s">
        <v>18810</v>
      </c>
      <c r="B1770" t="s">
        <v>787</v>
      </c>
      <c r="C1770" t="s">
        <v>729</v>
      </c>
      <c r="D1770" t="s">
        <v>640</v>
      </c>
      <c r="E1770" t="s">
        <v>605</v>
      </c>
      <c r="F1770" t="s">
        <v>598</v>
      </c>
      <c r="G1770" t="s">
        <v>599</v>
      </c>
      <c r="H1770" t="s">
        <v>600</v>
      </c>
      <c r="I1770" t="s">
        <v>601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1E-4</v>
      </c>
      <c r="V1770">
        <v>1E-4</v>
      </c>
      <c r="W1770">
        <v>1E-4</v>
      </c>
      <c r="X1770">
        <v>1E-4</v>
      </c>
      <c r="Y1770">
        <v>1E-4</v>
      </c>
    </row>
    <row r="1771" spans="1:25" hidden="1">
      <c r="A1771" t="s">
        <v>18810</v>
      </c>
      <c r="B1771" t="s">
        <v>788</v>
      </c>
      <c r="C1771" t="s">
        <v>729</v>
      </c>
      <c r="D1771" t="s">
        <v>640</v>
      </c>
      <c r="E1771" t="s">
        <v>611</v>
      </c>
      <c r="F1771" t="s">
        <v>598</v>
      </c>
      <c r="G1771" t="s">
        <v>599</v>
      </c>
      <c r="H1771" t="s">
        <v>600</v>
      </c>
      <c r="I1771" t="s">
        <v>601</v>
      </c>
      <c r="J1771">
        <v>1E-4</v>
      </c>
      <c r="K1771">
        <v>1E-4</v>
      </c>
      <c r="L1771">
        <v>1E-4</v>
      </c>
      <c r="M1771">
        <v>1E-4</v>
      </c>
      <c r="N1771">
        <v>1E-4</v>
      </c>
      <c r="O1771">
        <v>1E-4</v>
      </c>
      <c r="P1771">
        <v>1E-4</v>
      </c>
      <c r="Q1771">
        <v>1E-4</v>
      </c>
      <c r="R1771">
        <v>2.0000000000000001E-4</v>
      </c>
      <c r="S1771">
        <v>2.0000000000000001E-4</v>
      </c>
      <c r="T1771">
        <v>2.0000000000000001E-4</v>
      </c>
      <c r="U1771">
        <v>2.0000000000000001E-4</v>
      </c>
      <c r="V1771">
        <v>2.0000000000000001E-4</v>
      </c>
      <c r="W1771">
        <v>2.0000000000000001E-4</v>
      </c>
      <c r="X1771">
        <v>2.0000000000000001E-4</v>
      </c>
      <c r="Y1771">
        <v>2.0000000000000001E-4</v>
      </c>
    </row>
    <row r="1772" spans="1:25" hidden="1">
      <c r="A1772" t="s">
        <v>18810</v>
      </c>
      <c r="B1772" t="s">
        <v>789</v>
      </c>
      <c r="C1772" t="s">
        <v>729</v>
      </c>
      <c r="D1772" t="s">
        <v>640</v>
      </c>
      <c r="E1772" t="s">
        <v>656</v>
      </c>
      <c r="F1772" t="s">
        <v>598</v>
      </c>
      <c r="G1772" t="s">
        <v>599</v>
      </c>
      <c r="H1772" t="s">
        <v>600</v>
      </c>
      <c r="I1772" t="s">
        <v>601</v>
      </c>
      <c r="J1772">
        <v>5.1999999999999998E-3</v>
      </c>
      <c r="K1772">
        <v>5.1999999999999998E-3</v>
      </c>
      <c r="L1772">
        <v>5.3E-3</v>
      </c>
      <c r="M1772">
        <v>5.3E-3</v>
      </c>
      <c r="N1772">
        <v>5.4000000000000003E-3</v>
      </c>
      <c r="O1772">
        <v>5.4999999999999997E-3</v>
      </c>
      <c r="P1772">
        <v>5.4999999999999997E-3</v>
      </c>
      <c r="Q1772">
        <v>5.5999999999999999E-3</v>
      </c>
      <c r="R1772">
        <v>5.5999999999999999E-3</v>
      </c>
      <c r="S1772">
        <v>5.7000000000000002E-3</v>
      </c>
      <c r="T1772">
        <v>5.7999999999999996E-3</v>
      </c>
      <c r="U1772">
        <v>5.7999999999999996E-3</v>
      </c>
      <c r="V1772">
        <v>5.8999999999999999E-3</v>
      </c>
      <c r="W1772">
        <v>6.0000000000000001E-3</v>
      </c>
      <c r="X1772">
        <v>6.0000000000000001E-3</v>
      </c>
      <c r="Y1772">
        <v>6.1000000000000004E-3</v>
      </c>
    </row>
    <row r="1773" spans="1:25" hidden="1">
      <c r="A1773" t="s">
        <v>18810</v>
      </c>
      <c r="B1773" t="s">
        <v>790</v>
      </c>
      <c r="C1773" t="s">
        <v>729</v>
      </c>
      <c r="D1773" t="s">
        <v>640</v>
      </c>
      <c r="E1773" t="s">
        <v>613</v>
      </c>
      <c r="F1773" t="s">
        <v>598</v>
      </c>
      <c r="G1773" t="s">
        <v>599</v>
      </c>
      <c r="H1773" t="s">
        <v>600</v>
      </c>
      <c r="I1773" t="s">
        <v>601</v>
      </c>
      <c r="J1773">
        <v>1.1000000000000001E-3</v>
      </c>
      <c r="K1773">
        <v>1.1999999999999999E-3</v>
      </c>
      <c r="L1773">
        <v>1.1999999999999999E-3</v>
      </c>
      <c r="M1773">
        <v>1.1999999999999999E-3</v>
      </c>
      <c r="N1773">
        <v>1.1999999999999999E-3</v>
      </c>
      <c r="O1773">
        <v>1.1999999999999999E-3</v>
      </c>
      <c r="P1773">
        <v>1.1999999999999999E-3</v>
      </c>
      <c r="Q1773">
        <v>1.1999999999999999E-3</v>
      </c>
      <c r="R1773">
        <v>1.1999999999999999E-3</v>
      </c>
      <c r="S1773">
        <v>1.1999999999999999E-3</v>
      </c>
      <c r="T1773">
        <v>1.1999999999999999E-3</v>
      </c>
      <c r="U1773">
        <v>1.1999999999999999E-3</v>
      </c>
      <c r="V1773">
        <v>1.1999999999999999E-3</v>
      </c>
      <c r="W1773">
        <v>1.1999999999999999E-3</v>
      </c>
      <c r="X1773">
        <v>1.1999999999999999E-3</v>
      </c>
      <c r="Y1773">
        <v>1.1999999999999999E-3</v>
      </c>
    </row>
    <row r="1774" spans="1:25" hidden="1">
      <c r="A1774" t="s">
        <v>18810</v>
      </c>
      <c r="B1774" t="s">
        <v>791</v>
      </c>
      <c r="C1774" t="s">
        <v>729</v>
      </c>
      <c r="D1774" t="s">
        <v>640</v>
      </c>
      <c r="E1774" t="s">
        <v>619</v>
      </c>
      <c r="F1774" t="s">
        <v>598</v>
      </c>
      <c r="G1774" t="s">
        <v>599</v>
      </c>
      <c r="H1774" t="s">
        <v>600</v>
      </c>
      <c r="I1774" t="s">
        <v>601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</row>
    <row r="1775" spans="1:25" hidden="1">
      <c r="A1775" t="s">
        <v>18810</v>
      </c>
      <c r="B1775" t="s">
        <v>795</v>
      </c>
      <c r="C1775" t="s">
        <v>729</v>
      </c>
      <c r="D1775" t="s">
        <v>648</v>
      </c>
      <c r="E1775" t="s">
        <v>597</v>
      </c>
      <c r="F1775" t="s">
        <v>598</v>
      </c>
      <c r="G1775" t="s">
        <v>599</v>
      </c>
      <c r="H1775" t="s">
        <v>600</v>
      </c>
      <c r="I1775" t="s">
        <v>601</v>
      </c>
      <c r="J1775">
        <v>0.63570000000000004</v>
      </c>
      <c r="K1775">
        <v>0.62029999999999996</v>
      </c>
      <c r="L1775">
        <v>0.6038</v>
      </c>
      <c r="M1775">
        <v>0.60389999999999999</v>
      </c>
      <c r="N1775">
        <v>0.59919999999999995</v>
      </c>
      <c r="O1775">
        <v>0.59240000000000004</v>
      </c>
      <c r="P1775">
        <v>0.59460000000000002</v>
      </c>
      <c r="Q1775">
        <v>0.59160000000000001</v>
      </c>
      <c r="R1775">
        <v>0.58950000000000002</v>
      </c>
      <c r="S1775">
        <v>0.58509999999999995</v>
      </c>
      <c r="T1775">
        <v>0.58560000000000001</v>
      </c>
      <c r="U1775">
        <v>0.58620000000000005</v>
      </c>
      <c r="V1775">
        <v>0.5907</v>
      </c>
      <c r="W1775">
        <v>0.59560000000000002</v>
      </c>
      <c r="X1775">
        <v>0.59570000000000001</v>
      </c>
      <c r="Y1775">
        <v>0.6008</v>
      </c>
    </row>
    <row r="1776" spans="1:25" hidden="1">
      <c r="A1776" t="s">
        <v>18810</v>
      </c>
      <c r="B1776" t="s">
        <v>796</v>
      </c>
      <c r="C1776" t="s">
        <v>729</v>
      </c>
      <c r="D1776" t="s">
        <v>648</v>
      </c>
      <c r="E1776" t="s">
        <v>642</v>
      </c>
      <c r="F1776" t="s">
        <v>598</v>
      </c>
      <c r="G1776" t="s">
        <v>599</v>
      </c>
      <c r="H1776" t="s">
        <v>600</v>
      </c>
      <c r="I1776" t="s">
        <v>601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hidden="1">
      <c r="A1777" t="s">
        <v>18810</v>
      </c>
      <c r="B1777" t="s">
        <v>801</v>
      </c>
      <c r="C1777" t="s">
        <v>729</v>
      </c>
      <c r="D1777" t="s">
        <v>648</v>
      </c>
      <c r="E1777" t="s">
        <v>619</v>
      </c>
      <c r="F1777" t="s">
        <v>598</v>
      </c>
      <c r="G1777" t="s">
        <v>599</v>
      </c>
      <c r="H1777" t="s">
        <v>600</v>
      </c>
      <c r="I1777" t="s">
        <v>601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hidden="1">
      <c r="A1778" t="s">
        <v>18810</v>
      </c>
      <c r="B1778" t="s">
        <v>803</v>
      </c>
      <c r="C1778" t="s">
        <v>804</v>
      </c>
      <c r="D1778" t="s">
        <v>596</v>
      </c>
      <c r="E1778" t="s">
        <v>597</v>
      </c>
      <c r="F1778" t="s">
        <v>598</v>
      </c>
      <c r="G1778" t="s">
        <v>599</v>
      </c>
      <c r="H1778" t="s">
        <v>600</v>
      </c>
      <c r="I1778" t="s">
        <v>601</v>
      </c>
      <c r="J1778">
        <v>2.8E-3</v>
      </c>
      <c r="K1778">
        <v>2.8E-3</v>
      </c>
      <c r="L1778">
        <v>2.8E-3</v>
      </c>
      <c r="M1778">
        <v>2.8999999999999998E-3</v>
      </c>
      <c r="N1778">
        <v>3.0000000000000001E-3</v>
      </c>
      <c r="O1778">
        <v>3.0000000000000001E-3</v>
      </c>
      <c r="P1778">
        <v>3.0000000000000001E-3</v>
      </c>
      <c r="Q1778">
        <v>3.0000000000000001E-3</v>
      </c>
      <c r="R1778">
        <v>3.0999999999999999E-3</v>
      </c>
      <c r="S1778">
        <v>3.0999999999999999E-3</v>
      </c>
      <c r="T1778">
        <v>3.0999999999999999E-3</v>
      </c>
      <c r="U1778">
        <v>3.0999999999999999E-3</v>
      </c>
      <c r="V1778">
        <v>3.0999999999999999E-3</v>
      </c>
      <c r="W1778">
        <v>3.2000000000000002E-3</v>
      </c>
      <c r="X1778">
        <v>3.2000000000000002E-3</v>
      </c>
      <c r="Y1778">
        <v>3.2000000000000002E-3</v>
      </c>
    </row>
    <row r="1779" spans="1:25" hidden="1">
      <c r="A1779" t="s">
        <v>18810</v>
      </c>
      <c r="B1779" t="s">
        <v>811</v>
      </c>
      <c r="C1779" t="s">
        <v>804</v>
      </c>
      <c r="D1779" t="s">
        <v>596</v>
      </c>
      <c r="E1779" t="s">
        <v>617</v>
      </c>
      <c r="F1779" t="s">
        <v>598</v>
      </c>
      <c r="G1779" t="s">
        <v>599</v>
      </c>
      <c r="H1779" t="s">
        <v>600</v>
      </c>
      <c r="I1779" t="s">
        <v>601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</row>
    <row r="1780" spans="1:25" hidden="1">
      <c r="A1780" t="s">
        <v>18810</v>
      </c>
      <c r="B1780" t="s">
        <v>812</v>
      </c>
      <c r="C1780" t="s">
        <v>804</v>
      </c>
      <c r="D1780" t="s">
        <v>596</v>
      </c>
      <c r="E1780" t="s">
        <v>619</v>
      </c>
      <c r="F1780" t="s">
        <v>598</v>
      </c>
      <c r="G1780" t="s">
        <v>599</v>
      </c>
      <c r="H1780" t="s">
        <v>600</v>
      </c>
      <c r="I1780" t="s">
        <v>601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1E-4</v>
      </c>
      <c r="R1780">
        <v>1E-4</v>
      </c>
      <c r="S1780">
        <v>1E-4</v>
      </c>
      <c r="T1780">
        <v>1E-4</v>
      </c>
      <c r="U1780">
        <v>1E-4</v>
      </c>
      <c r="V1780">
        <v>1E-4</v>
      </c>
      <c r="W1780">
        <v>1E-4</v>
      </c>
      <c r="X1780">
        <v>1E-4</v>
      </c>
      <c r="Y1780">
        <v>1E-4</v>
      </c>
    </row>
    <row r="1781" spans="1:25" hidden="1">
      <c r="A1781" t="s">
        <v>18810</v>
      </c>
      <c r="B1781" t="s">
        <v>813</v>
      </c>
      <c r="C1781" t="s">
        <v>804</v>
      </c>
      <c r="D1781" t="s">
        <v>596</v>
      </c>
      <c r="E1781" t="s">
        <v>742</v>
      </c>
      <c r="F1781" t="s">
        <v>598</v>
      </c>
      <c r="G1781" t="s">
        <v>599</v>
      </c>
      <c r="H1781" t="s">
        <v>600</v>
      </c>
      <c r="I1781" t="s">
        <v>601</v>
      </c>
      <c r="J1781">
        <v>1E-4</v>
      </c>
      <c r="K1781">
        <v>1E-4</v>
      </c>
      <c r="L1781">
        <v>1E-4</v>
      </c>
      <c r="M1781">
        <v>1E-4</v>
      </c>
      <c r="N1781">
        <v>1E-4</v>
      </c>
      <c r="O1781">
        <v>1E-4</v>
      </c>
      <c r="P1781">
        <v>1E-4</v>
      </c>
      <c r="Q1781">
        <v>1E-4</v>
      </c>
      <c r="R1781">
        <v>1E-4</v>
      </c>
      <c r="S1781">
        <v>1E-4</v>
      </c>
      <c r="T1781">
        <v>1E-4</v>
      </c>
      <c r="U1781">
        <v>1E-4</v>
      </c>
      <c r="V1781">
        <v>1E-4</v>
      </c>
      <c r="W1781">
        <v>1E-4</v>
      </c>
      <c r="X1781">
        <v>1E-4</v>
      </c>
      <c r="Y1781">
        <v>1E-4</v>
      </c>
    </row>
    <row r="1782" spans="1:25" hidden="1">
      <c r="A1782" t="s">
        <v>18810</v>
      </c>
      <c r="B1782" t="s">
        <v>814</v>
      </c>
      <c r="C1782" t="s">
        <v>804</v>
      </c>
      <c r="D1782" t="s">
        <v>596</v>
      </c>
      <c r="E1782" t="s">
        <v>669</v>
      </c>
      <c r="F1782" t="s">
        <v>598</v>
      </c>
      <c r="G1782" t="s">
        <v>599</v>
      </c>
      <c r="H1782" t="s">
        <v>600</v>
      </c>
      <c r="I1782" t="s">
        <v>601</v>
      </c>
      <c r="J1782">
        <v>2.9999999999999997E-4</v>
      </c>
      <c r="K1782">
        <v>2.9999999999999997E-4</v>
      </c>
      <c r="L1782">
        <v>2.9999999999999997E-4</v>
      </c>
      <c r="M1782">
        <v>2.9999999999999997E-4</v>
      </c>
      <c r="N1782">
        <v>2.9999999999999997E-4</v>
      </c>
      <c r="O1782">
        <v>4.0000000000000002E-4</v>
      </c>
      <c r="P1782">
        <v>4.0000000000000002E-4</v>
      </c>
      <c r="Q1782">
        <v>4.0000000000000002E-4</v>
      </c>
      <c r="R1782">
        <v>4.0000000000000002E-4</v>
      </c>
      <c r="S1782">
        <v>4.0000000000000002E-4</v>
      </c>
      <c r="T1782">
        <v>4.0000000000000002E-4</v>
      </c>
      <c r="U1782">
        <v>4.0000000000000002E-4</v>
      </c>
      <c r="V1782">
        <v>4.0000000000000002E-4</v>
      </c>
      <c r="W1782">
        <v>4.0000000000000002E-4</v>
      </c>
      <c r="X1782">
        <v>4.0000000000000002E-4</v>
      </c>
      <c r="Y1782">
        <v>4.0000000000000002E-4</v>
      </c>
    </row>
    <row r="1783" spans="1:25" hidden="1">
      <c r="A1783" t="s">
        <v>18810</v>
      </c>
      <c r="B1783" t="s">
        <v>815</v>
      </c>
      <c r="C1783" t="s">
        <v>804</v>
      </c>
      <c r="D1783" t="s">
        <v>671</v>
      </c>
      <c r="E1783" t="s">
        <v>597</v>
      </c>
      <c r="F1783" t="s">
        <v>598</v>
      </c>
      <c r="G1783" t="s">
        <v>599</v>
      </c>
      <c r="H1783" t="s">
        <v>600</v>
      </c>
      <c r="I1783" t="s">
        <v>601</v>
      </c>
      <c r="J1783">
        <v>2.3E-3</v>
      </c>
      <c r="K1783">
        <v>2.3E-3</v>
      </c>
      <c r="L1783">
        <v>2.3E-3</v>
      </c>
      <c r="M1783">
        <v>2.3E-3</v>
      </c>
      <c r="N1783">
        <v>2.3E-3</v>
      </c>
      <c r="O1783">
        <v>2.3E-3</v>
      </c>
      <c r="P1783">
        <v>2.3E-3</v>
      </c>
      <c r="Q1783">
        <v>2.3999999999999998E-3</v>
      </c>
      <c r="R1783">
        <v>2.5999999999999999E-3</v>
      </c>
      <c r="S1783">
        <v>2.5999999999999999E-3</v>
      </c>
      <c r="T1783">
        <v>2.5999999999999999E-3</v>
      </c>
      <c r="U1783">
        <v>2.5999999999999999E-3</v>
      </c>
      <c r="V1783">
        <v>2.5999999999999999E-3</v>
      </c>
      <c r="W1783">
        <v>2.5999999999999999E-3</v>
      </c>
      <c r="X1783">
        <v>2.5999999999999999E-3</v>
      </c>
      <c r="Y1783">
        <v>2.5999999999999999E-3</v>
      </c>
    </row>
    <row r="1784" spans="1:25" hidden="1">
      <c r="A1784" t="s">
        <v>18810</v>
      </c>
      <c r="B1784" t="s">
        <v>816</v>
      </c>
      <c r="C1784" t="s">
        <v>804</v>
      </c>
      <c r="D1784" t="s">
        <v>671</v>
      </c>
      <c r="E1784" t="s">
        <v>642</v>
      </c>
      <c r="F1784" t="s">
        <v>598</v>
      </c>
      <c r="G1784" t="s">
        <v>599</v>
      </c>
      <c r="H1784" t="s">
        <v>600</v>
      </c>
      <c r="I1784" t="s">
        <v>601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</row>
    <row r="1785" spans="1:25" hidden="1">
      <c r="A1785" t="s">
        <v>18810</v>
      </c>
      <c r="B1785" t="s">
        <v>819</v>
      </c>
      <c r="C1785" t="s">
        <v>804</v>
      </c>
      <c r="D1785" t="s">
        <v>756</v>
      </c>
      <c r="E1785" t="s">
        <v>597</v>
      </c>
      <c r="F1785" t="s">
        <v>598</v>
      </c>
      <c r="G1785" t="s">
        <v>599</v>
      </c>
      <c r="H1785" t="s">
        <v>600</v>
      </c>
      <c r="I1785" t="s">
        <v>601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</row>
    <row r="1786" spans="1:25" hidden="1">
      <c r="A1786" t="s">
        <v>18810</v>
      </c>
      <c r="B1786" t="s">
        <v>820</v>
      </c>
      <c r="C1786" t="s">
        <v>804</v>
      </c>
      <c r="D1786" t="s">
        <v>621</v>
      </c>
      <c r="E1786" t="s">
        <v>597</v>
      </c>
      <c r="F1786" t="s">
        <v>598</v>
      </c>
      <c r="G1786" t="s">
        <v>599</v>
      </c>
      <c r="H1786" t="s">
        <v>600</v>
      </c>
      <c r="I1786" t="s">
        <v>601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 hidden="1">
      <c r="A1787" t="s">
        <v>18810</v>
      </c>
      <c r="B1787" t="s">
        <v>821</v>
      </c>
      <c r="C1787" t="s">
        <v>804</v>
      </c>
      <c r="D1787" t="s">
        <v>621</v>
      </c>
      <c r="E1787" t="s">
        <v>731</v>
      </c>
      <c r="F1787" t="s">
        <v>598</v>
      </c>
      <c r="G1787" t="s">
        <v>599</v>
      </c>
      <c r="H1787" t="s">
        <v>600</v>
      </c>
      <c r="I1787" t="s">
        <v>601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hidden="1">
      <c r="A1788" t="s">
        <v>18810</v>
      </c>
      <c r="B1788" t="s">
        <v>825</v>
      </c>
      <c r="C1788" t="s">
        <v>804</v>
      </c>
      <c r="D1788" t="s">
        <v>621</v>
      </c>
      <c r="E1788" t="s">
        <v>628</v>
      </c>
      <c r="F1788" t="s">
        <v>598</v>
      </c>
      <c r="G1788" t="s">
        <v>599</v>
      </c>
      <c r="H1788" t="s">
        <v>600</v>
      </c>
      <c r="I1788" t="s">
        <v>601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hidden="1">
      <c r="A1789" t="s">
        <v>18810</v>
      </c>
      <c r="B1789" t="s">
        <v>830</v>
      </c>
      <c r="C1789" t="s">
        <v>804</v>
      </c>
      <c r="D1789" t="s">
        <v>828</v>
      </c>
      <c r="E1789" t="s">
        <v>628</v>
      </c>
      <c r="F1789" t="s">
        <v>831</v>
      </c>
      <c r="G1789" t="s">
        <v>599</v>
      </c>
      <c r="H1789" t="s">
        <v>600</v>
      </c>
      <c r="I1789" t="s">
        <v>601</v>
      </c>
      <c r="J1789">
        <v>2.8999999999999998E-3</v>
      </c>
      <c r="K1789">
        <v>1.2999999999999999E-3</v>
      </c>
      <c r="L1789">
        <v>2.0999999999999999E-3</v>
      </c>
      <c r="M1789">
        <v>2.0999999999999999E-3</v>
      </c>
      <c r="N1789">
        <v>2.0999999999999999E-3</v>
      </c>
      <c r="O1789">
        <v>2.0999999999999999E-3</v>
      </c>
      <c r="P1789">
        <v>2.0999999999999999E-3</v>
      </c>
      <c r="Q1789">
        <v>2.0999999999999999E-3</v>
      </c>
      <c r="R1789">
        <v>2.0999999999999999E-3</v>
      </c>
      <c r="S1789">
        <v>2.0999999999999999E-3</v>
      </c>
      <c r="T1789">
        <v>2.0999999999999999E-3</v>
      </c>
      <c r="U1789">
        <v>2.0999999999999999E-3</v>
      </c>
      <c r="V1789">
        <v>2.0999999999999999E-3</v>
      </c>
      <c r="W1789">
        <v>2.0999999999999999E-3</v>
      </c>
      <c r="X1789">
        <v>2E-3</v>
      </c>
      <c r="Y1789">
        <v>1.9E-3</v>
      </c>
    </row>
    <row r="1790" spans="1:25" hidden="1">
      <c r="A1790" t="s">
        <v>18810</v>
      </c>
      <c r="B1790" t="s">
        <v>832</v>
      </c>
      <c r="C1790" t="s">
        <v>804</v>
      </c>
      <c r="D1790" t="s">
        <v>828</v>
      </c>
      <c r="E1790" t="s">
        <v>628</v>
      </c>
      <c r="F1790" t="s">
        <v>833</v>
      </c>
      <c r="G1790" t="s">
        <v>599</v>
      </c>
      <c r="H1790" t="s">
        <v>600</v>
      </c>
      <c r="I1790" t="s">
        <v>601</v>
      </c>
      <c r="J1790">
        <v>3.0000000000000001E-3</v>
      </c>
      <c r="K1790">
        <v>2.8E-3</v>
      </c>
      <c r="L1790">
        <v>2.5999999999999999E-3</v>
      </c>
      <c r="M1790">
        <v>2.5000000000000001E-3</v>
      </c>
      <c r="N1790">
        <v>2.3E-3</v>
      </c>
      <c r="O1790">
        <v>2.2000000000000001E-3</v>
      </c>
      <c r="P1790">
        <v>2E-3</v>
      </c>
      <c r="Q1790">
        <v>1.6999999999999999E-3</v>
      </c>
      <c r="R1790">
        <v>1.5E-3</v>
      </c>
      <c r="S1790">
        <v>1.4E-3</v>
      </c>
      <c r="T1790">
        <v>1.1000000000000001E-3</v>
      </c>
      <c r="U1790">
        <v>1.1000000000000001E-3</v>
      </c>
      <c r="V1790">
        <v>1E-3</v>
      </c>
      <c r="W1790">
        <v>1.2999999999999999E-3</v>
      </c>
      <c r="X1790">
        <v>1.2999999999999999E-3</v>
      </c>
      <c r="Y1790">
        <v>1.2999999999999999E-3</v>
      </c>
    </row>
    <row r="1791" spans="1:25" hidden="1">
      <c r="A1791" t="s">
        <v>18810</v>
      </c>
      <c r="B1791" t="s">
        <v>834</v>
      </c>
      <c r="C1791" t="s">
        <v>804</v>
      </c>
      <c r="D1791" t="s">
        <v>632</v>
      </c>
      <c r="E1791" t="s">
        <v>597</v>
      </c>
      <c r="F1791" t="s">
        <v>598</v>
      </c>
      <c r="G1791" t="s">
        <v>599</v>
      </c>
      <c r="H1791" t="s">
        <v>600</v>
      </c>
      <c r="I1791" t="s">
        <v>601</v>
      </c>
      <c r="J1791">
        <v>8.0000000000000004E-4</v>
      </c>
      <c r="K1791">
        <v>8.0000000000000004E-4</v>
      </c>
      <c r="L1791">
        <v>8.0000000000000004E-4</v>
      </c>
      <c r="M1791">
        <v>8.0000000000000004E-4</v>
      </c>
      <c r="N1791">
        <v>8.9999999999999998E-4</v>
      </c>
      <c r="O1791">
        <v>8.9999999999999998E-4</v>
      </c>
      <c r="P1791">
        <v>8.9999999999999998E-4</v>
      </c>
      <c r="Q1791">
        <v>8.9999999999999998E-4</v>
      </c>
      <c r="R1791">
        <v>8.9999999999999998E-4</v>
      </c>
      <c r="S1791">
        <v>8.9999999999999998E-4</v>
      </c>
      <c r="T1791">
        <v>8.9999999999999998E-4</v>
      </c>
      <c r="U1791">
        <v>1E-3</v>
      </c>
      <c r="V1791">
        <v>1E-3</v>
      </c>
      <c r="W1791">
        <v>1E-3</v>
      </c>
      <c r="X1791">
        <v>1E-3</v>
      </c>
      <c r="Y1791">
        <v>1E-3</v>
      </c>
    </row>
    <row r="1792" spans="1:25" hidden="1">
      <c r="A1792" t="s">
        <v>18810</v>
      </c>
      <c r="B1792" t="s">
        <v>836</v>
      </c>
      <c r="C1792" t="s">
        <v>804</v>
      </c>
      <c r="D1792" t="s">
        <v>640</v>
      </c>
      <c r="E1792" t="s">
        <v>597</v>
      </c>
      <c r="F1792" t="s">
        <v>598</v>
      </c>
      <c r="G1792" t="s">
        <v>599</v>
      </c>
      <c r="H1792" t="s">
        <v>600</v>
      </c>
      <c r="I1792" t="s">
        <v>601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 hidden="1">
      <c r="A1793" t="s">
        <v>18810</v>
      </c>
      <c r="B1793" t="s">
        <v>837</v>
      </c>
      <c r="C1793" t="s">
        <v>804</v>
      </c>
      <c r="D1793" t="s">
        <v>640</v>
      </c>
      <c r="E1793" t="s">
        <v>613</v>
      </c>
      <c r="F1793" t="s">
        <v>598</v>
      </c>
      <c r="G1793" t="s">
        <v>599</v>
      </c>
      <c r="H1793" t="s">
        <v>600</v>
      </c>
      <c r="I1793" t="s">
        <v>601</v>
      </c>
      <c r="J1793">
        <v>4.0000000000000002E-4</v>
      </c>
      <c r="K1793">
        <v>4.0000000000000002E-4</v>
      </c>
      <c r="L1793">
        <v>4.0000000000000002E-4</v>
      </c>
      <c r="M1793">
        <v>4.0000000000000002E-4</v>
      </c>
      <c r="N1793">
        <v>4.0000000000000002E-4</v>
      </c>
      <c r="O1793">
        <v>4.0000000000000002E-4</v>
      </c>
      <c r="P1793">
        <v>4.0000000000000002E-4</v>
      </c>
      <c r="Q1793">
        <v>4.0000000000000002E-4</v>
      </c>
      <c r="R1793">
        <v>4.0000000000000002E-4</v>
      </c>
      <c r="S1793">
        <v>4.0000000000000002E-4</v>
      </c>
      <c r="T1793">
        <v>4.0000000000000002E-4</v>
      </c>
      <c r="U1793">
        <v>4.0000000000000002E-4</v>
      </c>
      <c r="V1793">
        <v>4.0000000000000002E-4</v>
      </c>
      <c r="W1793">
        <v>4.0000000000000002E-4</v>
      </c>
      <c r="X1793">
        <v>4.0000000000000002E-4</v>
      </c>
      <c r="Y1793">
        <v>4.0000000000000002E-4</v>
      </c>
    </row>
    <row r="1794" spans="1:25" hidden="1">
      <c r="A1794" t="s">
        <v>18810</v>
      </c>
      <c r="B1794" t="s">
        <v>838</v>
      </c>
      <c r="C1794" t="s">
        <v>804</v>
      </c>
      <c r="D1794" t="s">
        <v>648</v>
      </c>
      <c r="E1794" t="s">
        <v>597</v>
      </c>
      <c r="F1794" t="s">
        <v>598</v>
      </c>
      <c r="G1794" t="s">
        <v>599</v>
      </c>
      <c r="H1794" t="s">
        <v>600</v>
      </c>
      <c r="I1794" t="s">
        <v>601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</row>
    <row r="1795" spans="1:25" hidden="1">
      <c r="A1795" t="s">
        <v>18810</v>
      </c>
      <c r="B1795" t="s">
        <v>842</v>
      </c>
      <c r="C1795" t="s">
        <v>841</v>
      </c>
      <c r="D1795" t="s">
        <v>596</v>
      </c>
      <c r="E1795" t="s">
        <v>597</v>
      </c>
      <c r="F1795" t="s">
        <v>598</v>
      </c>
      <c r="G1795" t="s">
        <v>599</v>
      </c>
      <c r="H1795" t="s">
        <v>600</v>
      </c>
      <c r="I1795" t="s">
        <v>601</v>
      </c>
      <c r="J1795">
        <v>9.1000000000000004E-3</v>
      </c>
      <c r="K1795">
        <v>9.1999999999999998E-3</v>
      </c>
      <c r="L1795">
        <v>9.1999999999999998E-3</v>
      </c>
      <c r="M1795">
        <v>9.2999999999999992E-3</v>
      </c>
      <c r="N1795">
        <v>9.4000000000000004E-3</v>
      </c>
      <c r="O1795">
        <v>9.5999999999999992E-3</v>
      </c>
      <c r="P1795">
        <v>9.5999999999999992E-3</v>
      </c>
      <c r="Q1795">
        <v>9.7999999999999997E-3</v>
      </c>
      <c r="R1795">
        <v>0.01</v>
      </c>
      <c r="S1795">
        <v>0.01</v>
      </c>
      <c r="T1795">
        <v>0.01</v>
      </c>
      <c r="U1795">
        <v>0.01</v>
      </c>
      <c r="V1795">
        <v>0.01</v>
      </c>
      <c r="W1795">
        <v>0.01</v>
      </c>
      <c r="X1795">
        <v>0.01</v>
      </c>
      <c r="Y1795">
        <v>1.04E-2</v>
      </c>
    </row>
    <row r="1796" spans="1:25" hidden="1">
      <c r="A1796" t="s">
        <v>18810</v>
      </c>
      <c r="B1796" t="s">
        <v>844</v>
      </c>
      <c r="C1796" t="s">
        <v>841</v>
      </c>
      <c r="D1796" t="s">
        <v>596</v>
      </c>
      <c r="E1796" t="s">
        <v>603</v>
      </c>
      <c r="F1796" t="s">
        <v>598</v>
      </c>
      <c r="G1796" t="s">
        <v>599</v>
      </c>
      <c r="H1796" t="s">
        <v>600</v>
      </c>
      <c r="I1796" t="s">
        <v>601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hidden="1">
      <c r="A1797" t="s">
        <v>18810</v>
      </c>
      <c r="B1797" t="s">
        <v>845</v>
      </c>
      <c r="C1797" t="s">
        <v>841</v>
      </c>
      <c r="D1797" t="s">
        <v>596</v>
      </c>
      <c r="E1797" t="s">
        <v>605</v>
      </c>
      <c r="F1797" t="s">
        <v>598</v>
      </c>
      <c r="G1797" t="s">
        <v>599</v>
      </c>
      <c r="H1797" t="s">
        <v>600</v>
      </c>
      <c r="I1797" t="s">
        <v>601</v>
      </c>
      <c r="J1797">
        <v>2.0000000000000001E-4</v>
      </c>
      <c r="K1797">
        <v>2.0000000000000001E-4</v>
      </c>
      <c r="L1797">
        <v>2.0000000000000001E-4</v>
      </c>
      <c r="M1797">
        <v>2.0000000000000001E-4</v>
      </c>
      <c r="N1797">
        <v>2.0000000000000001E-4</v>
      </c>
      <c r="O1797">
        <v>2.0000000000000001E-4</v>
      </c>
      <c r="P1797">
        <v>2.0000000000000001E-4</v>
      </c>
      <c r="Q1797">
        <v>2.0000000000000001E-4</v>
      </c>
      <c r="R1797">
        <v>2.0000000000000001E-4</v>
      </c>
      <c r="S1797">
        <v>2.0000000000000001E-4</v>
      </c>
      <c r="T1797">
        <v>2.0000000000000001E-4</v>
      </c>
      <c r="U1797">
        <v>2.0000000000000001E-4</v>
      </c>
      <c r="V1797">
        <v>2.0000000000000001E-4</v>
      </c>
      <c r="W1797">
        <v>2.0000000000000001E-4</v>
      </c>
      <c r="X1797">
        <v>2.0000000000000001E-4</v>
      </c>
      <c r="Y1797">
        <v>2.0000000000000001E-4</v>
      </c>
    </row>
    <row r="1798" spans="1:25" hidden="1">
      <c r="A1798" t="s">
        <v>18810</v>
      </c>
      <c r="B1798" t="s">
        <v>847</v>
      </c>
      <c r="C1798" t="s">
        <v>841</v>
      </c>
      <c r="D1798" t="s">
        <v>596</v>
      </c>
      <c r="E1798" t="s">
        <v>808</v>
      </c>
      <c r="F1798" t="s">
        <v>598</v>
      </c>
      <c r="G1798" t="s">
        <v>599</v>
      </c>
      <c r="H1798" t="s">
        <v>600</v>
      </c>
      <c r="I1798" t="s">
        <v>601</v>
      </c>
      <c r="J1798">
        <v>1.6999999999999999E-3</v>
      </c>
      <c r="K1798">
        <v>1.6999999999999999E-3</v>
      </c>
      <c r="L1798">
        <v>1.8E-3</v>
      </c>
      <c r="M1798">
        <v>1.8E-3</v>
      </c>
      <c r="N1798">
        <v>1.8E-3</v>
      </c>
      <c r="O1798">
        <v>1.8E-3</v>
      </c>
      <c r="P1798">
        <v>1.8E-3</v>
      </c>
      <c r="Q1798">
        <v>1.8E-3</v>
      </c>
      <c r="R1798">
        <v>1.8E-3</v>
      </c>
      <c r="S1798">
        <v>1.8E-3</v>
      </c>
      <c r="T1798">
        <v>1.8E-3</v>
      </c>
      <c r="U1798">
        <v>1.8E-3</v>
      </c>
      <c r="V1798">
        <v>1.8E-3</v>
      </c>
      <c r="W1798">
        <v>1.9E-3</v>
      </c>
      <c r="X1798">
        <v>1.9E-3</v>
      </c>
      <c r="Y1798">
        <v>2E-3</v>
      </c>
    </row>
    <row r="1799" spans="1:25" hidden="1">
      <c r="A1799" t="s">
        <v>18810</v>
      </c>
      <c r="B1799" t="s">
        <v>852</v>
      </c>
      <c r="C1799" t="s">
        <v>841</v>
      </c>
      <c r="D1799" t="s">
        <v>596</v>
      </c>
      <c r="E1799" t="s">
        <v>619</v>
      </c>
      <c r="F1799" t="s">
        <v>598</v>
      </c>
      <c r="G1799" t="s">
        <v>599</v>
      </c>
      <c r="H1799" t="s">
        <v>600</v>
      </c>
      <c r="I1799" t="s">
        <v>601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 hidden="1">
      <c r="A1800" t="s">
        <v>18810</v>
      </c>
      <c r="B1800" t="s">
        <v>855</v>
      </c>
      <c r="C1800" t="s">
        <v>841</v>
      </c>
      <c r="D1800" t="s">
        <v>671</v>
      </c>
      <c r="E1800" t="s">
        <v>597</v>
      </c>
      <c r="F1800" t="s">
        <v>598</v>
      </c>
      <c r="G1800" t="s">
        <v>599</v>
      </c>
      <c r="H1800" t="s">
        <v>600</v>
      </c>
      <c r="I1800" t="s">
        <v>601</v>
      </c>
      <c r="J1800">
        <v>4.0000000000000001E-3</v>
      </c>
      <c r="K1800">
        <v>4.0000000000000001E-3</v>
      </c>
      <c r="L1800">
        <v>4.0000000000000001E-3</v>
      </c>
      <c r="M1800">
        <v>4.1000000000000003E-3</v>
      </c>
      <c r="N1800">
        <v>4.1000000000000003E-3</v>
      </c>
      <c r="O1800">
        <v>4.1999999999999997E-3</v>
      </c>
      <c r="P1800">
        <v>4.1999999999999997E-3</v>
      </c>
      <c r="Q1800">
        <v>4.1999999999999997E-3</v>
      </c>
      <c r="R1800">
        <v>4.3E-3</v>
      </c>
      <c r="S1800">
        <v>4.3E-3</v>
      </c>
      <c r="T1800">
        <v>4.3E-3</v>
      </c>
      <c r="U1800">
        <v>4.4000000000000003E-3</v>
      </c>
      <c r="V1800">
        <v>4.4000000000000003E-3</v>
      </c>
      <c r="W1800">
        <v>4.4999999999999997E-3</v>
      </c>
      <c r="X1800">
        <v>4.4999999999999997E-3</v>
      </c>
      <c r="Y1800">
        <v>4.4999999999999997E-3</v>
      </c>
    </row>
    <row r="1801" spans="1:25" hidden="1">
      <c r="A1801" t="s">
        <v>18810</v>
      </c>
      <c r="B1801" t="s">
        <v>857</v>
      </c>
      <c r="C1801" t="s">
        <v>841</v>
      </c>
      <c r="D1801" t="s">
        <v>671</v>
      </c>
      <c r="E1801" t="s">
        <v>605</v>
      </c>
      <c r="F1801" t="s">
        <v>598</v>
      </c>
      <c r="G1801" t="s">
        <v>599</v>
      </c>
      <c r="H1801" t="s">
        <v>600</v>
      </c>
      <c r="I1801" t="s">
        <v>601</v>
      </c>
      <c r="J1801">
        <v>8.8000000000000005E-3</v>
      </c>
      <c r="K1801">
        <v>8.8999999999999999E-3</v>
      </c>
      <c r="L1801">
        <v>8.9999999999999993E-3</v>
      </c>
      <c r="M1801">
        <v>9.1000000000000004E-3</v>
      </c>
      <c r="N1801">
        <v>9.1999999999999998E-3</v>
      </c>
      <c r="O1801">
        <v>9.2999999999999992E-3</v>
      </c>
      <c r="P1801">
        <v>9.4000000000000004E-3</v>
      </c>
      <c r="Q1801">
        <v>9.4999999999999998E-3</v>
      </c>
      <c r="R1801">
        <v>9.5999999999999992E-3</v>
      </c>
      <c r="S1801">
        <v>9.7999999999999997E-3</v>
      </c>
      <c r="T1801">
        <v>9.9000000000000008E-3</v>
      </c>
      <c r="U1801">
        <v>0.01</v>
      </c>
      <c r="V1801">
        <v>1.01E-2</v>
      </c>
      <c r="W1801">
        <v>1.0200000000000001E-2</v>
      </c>
      <c r="X1801">
        <v>1.03E-2</v>
      </c>
      <c r="Y1801">
        <v>1.04E-2</v>
      </c>
    </row>
    <row r="1802" spans="1:25" hidden="1">
      <c r="A1802" t="s">
        <v>18810</v>
      </c>
      <c r="B1802" t="s">
        <v>862</v>
      </c>
      <c r="C1802" t="s">
        <v>841</v>
      </c>
      <c r="D1802" t="s">
        <v>756</v>
      </c>
      <c r="E1802" t="s">
        <v>597</v>
      </c>
      <c r="F1802" t="s">
        <v>598</v>
      </c>
      <c r="G1802" t="s">
        <v>599</v>
      </c>
      <c r="H1802" t="s">
        <v>600</v>
      </c>
      <c r="I1802" t="s">
        <v>601</v>
      </c>
      <c r="J1802">
        <v>3.2599999999999997E-2</v>
      </c>
      <c r="K1802">
        <v>3.2800000000000003E-2</v>
      </c>
      <c r="L1802">
        <v>3.32E-2</v>
      </c>
      <c r="M1802">
        <v>3.3500000000000002E-2</v>
      </c>
      <c r="N1802">
        <v>3.3799999999999997E-2</v>
      </c>
      <c r="O1802">
        <v>3.4299999999999997E-2</v>
      </c>
      <c r="P1802">
        <v>3.4599999999999999E-2</v>
      </c>
      <c r="Q1802">
        <v>3.4700000000000002E-2</v>
      </c>
      <c r="R1802">
        <v>3.49E-2</v>
      </c>
      <c r="S1802">
        <v>3.5000000000000003E-2</v>
      </c>
      <c r="T1802">
        <v>3.5400000000000001E-2</v>
      </c>
      <c r="U1802">
        <v>3.5499999999999997E-2</v>
      </c>
      <c r="V1802">
        <v>3.5999999999999997E-2</v>
      </c>
      <c r="W1802">
        <v>3.6200000000000003E-2</v>
      </c>
      <c r="X1802">
        <v>3.6799999999999999E-2</v>
      </c>
      <c r="Y1802">
        <v>3.6999999999999998E-2</v>
      </c>
    </row>
    <row r="1803" spans="1:25" hidden="1">
      <c r="A1803" t="s">
        <v>18810</v>
      </c>
      <c r="B1803" t="s">
        <v>863</v>
      </c>
      <c r="C1803" t="s">
        <v>841</v>
      </c>
      <c r="D1803" t="s">
        <v>756</v>
      </c>
      <c r="E1803" t="s">
        <v>642</v>
      </c>
      <c r="F1803" t="s">
        <v>598</v>
      </c>
      <c r="G1803" t="s">
        <v>599</v>
      </c>
      <c r="H1803" t="s">
        <v>600</v>
      </c>
      <c r="I1803" t="s">
        <v>601</v>
      </c>
      <c r="J1803">
        <v>2.9999999999999997E-4</v>
      </c>
      <c r="K1803">
        <v>2.9999999999999997E-4</v>
      </c>
      <c r="L1803">
        <v>2.9999999999999997E-4</v>
      </c>
      <c r="M1803">
        <v>2.9999999999999997E-4</v>
      </c>
      <c r="N1803">
        <v>2.9999999999999997E-4</v>
      </c>
      <c r="O1803">
        <v>2.9999999999999997E-4</v>
      </c>
      <c r="P1803">
        <v>2.9999999999999997E-4</v>
      </c>
      <c r="Q1803">
        <v>2.9999999999999997E-4</v>
      </c>
      <c r="R1803">
        <v>2.9999999999999997E-4</v>
      </c>
      <c r="S1803">
        <v>2.9999999999999997E-4</v>
      </c>
      <c r="T1803">
        <v>2.9999999999999997E-4</v>
      </c>
      <c r="U1803">
        <v>2.9999999999999997E-4</v>
      </c>
      <c r="V1803">
        <v>2.9999999999999997E-4</v>
      </c>
      <c r="W1803">
        <v>2.9999999999999997E-4</v>
      </c>
      <c r="X1803">
        <v>2.9999999999999997E-4</v>
      </c>
      <c r="Y1803">
        <v>2.9999999999999997E-4</v>
      </c>
    </row>
    <row r="1804" spans="1:25" hidden="1">
      <c r="A1804" t="s">
        <v>18810</v>
      </c>
      <c r="B1804" t="s">
        <v>864</v>
      </c>
      <c r="C1804" t="s">
        <v>841</v>
      </c>
      <c r="D1804" t="s">
        <v>756</v>
      </c>
      <c r="E1804" t="s">
        <v>619</v>
      </c>
      <c r="F1804" t="s">
        <v>598</v>
      </c>
      <c r="G1804" t="s">
        <v>599</v>
      </c>
      <c r="H1804" t="s">
        <v>600</v>
      </c>
      <c r="I1804" t="s">
        <v>601</v>
      </c>
      <c r="J1804">
        <v>1E-4</v>
      </c>
      <c r="K1804">
        <v>1E-4</v>
      </c>
      <c r="L1804">
        <v>1E-4</v>
      </c>
      <c r="M1804">
        <v>1E-4</v>
      </c>
      <c r="N1804">
        <v>1E-4</v>
      </c>
      <c r="O1804">
        <v>1E-4</v>
      </c>
      <c r="P1804">
        <v>1E-4</v>
      </c>
      <c r="Q1804">
        <v>1E-4</v>
      </c>
      <c r="R1804">
        <v>1E-4</v>
      </c>
      <c r="S1804">
        <v>1E-4</v>
      </c>
      <c r="T1804">
        <v>1E-4</v>
      </c>
      <c r="U1804">
        <v>1E-4</v>
      </c>
      <c r="V1804">
        <v>1E-4</v>
      </c>
      <c r="W1804">
        <v>1E-4</v>
      </c>
      <c r="X1804">
        <v>1E-4</v>
      </c>
      <c r="Y1804">
        <v>1E-4</v>
      </c>
    </row>
    <row r="1805" spans="1:25" hidden="1">
      <c r="A1805" t="s">
        <v>18810</v>
      </c>
      <c r="B1805" t="s">
        <v>868</v>
      </c>
      <c r="C1805" t="s">
        <v>841</v>
      </c>
      <c r="D1805" t="s">
        <v>621</v>
      </c>
      <c r="E1805" t="s">
        <v>597</v>
      </c>
      <c r="F1805" t="s">
        <v>598</v>
      </c>
      <c r="G1805" t="s">
        <v>599</v>
      </c>
      <c r="H1805" t="s">
        <v>600</v>
      </c>
      <c r="I1805" t="s">
        <v>601</v>
      </c>
      <c r="J1805">
        <v>9.1000000000000004E-3</v>
      </c>
      <c r="K1805">
        <v>9.1999999999999998E-3</v>
      </c>
      <c r="L1805">
        <v>9.1999999999999998E-3</v>
      </c>
      <c r="M1805">
        <v>9.2999999999999992E-3</v>
      </c>
      <c r="N1805">
        <v>9.2999999999999992E-3</v>
      </c>
      <c r="O1805">
        <v>9.4000000000000004E-3</v>
      </c>
      <c r="P1805">
        <v>9.4000000000000004E-3</v>
      </c>
      <c r="Q1805">
        <v>9.4999999999999998E-3</v>
      </c>
      <c r="R1805">
        <v>9.5999999999999992E-3</v>
      </c>
      <c r="S1805">
        <v>9.7000000000000003E-3</v>
      </c>
      <c r="T1805">
        <v>9.9000000000000008E-3</v>
      </c>
      <c r="U1805">
        <v>0.01</v>
      </c>
      <c r="V1805">
        <v>1.01E-2</v>
      </c>
      <c r="W1805">
        <v>1.01E-2</v>
      </c>
      <c r="X1805">
        <v>1.0200000000000001E-2</v>
      </c>
      <c r="Y1805">
        <v>1.04E-2</v>
      </c>
    </row>
    <row r="1806" spans="1:25" hidden="1">
      <c r="A1806" t="s">
        <v>18810</v>
      </c>
      <c r="B1806" t="s">
        <v>869</v>
      </c>
      <c r="C1806" t="s">
        <v>841</v>
      </c>
      <c r="D1806" t="s">
        <v>621</v>
      </c>
      <c r="E1806" t="s">
        <v>731</v>
      </c>
      <c r="F1806" t="s">
        <v>598</v>
      </c>
      <c r="G1806" t="s">
        <v>599</v>
      </c>
      <c r="H1806" t="s">
        <v>600</v>
      </c>
      <c r="I1806" t="s">
        <v>601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</row>
    <row r="1807" spans="1:25" hidden="1">
      <c r="A1807" t="s">
        <v>18810</v>
      </c>
      <c r="B1807" t="s">
        <v>870</v>
      </c>
      <c r="C1807" t="s">
        <v>841</v>
      </c>
      <c r="D1807" t="s">
        <v>621</v>
      </c>
      <c r="E1807" t="s">
        <v>603</v>
      </c>
      <c r="F1807" t="s">
        <v>598</v>
      </c>
      <c r="G1807" t="s">
        <v>599</v>
      </c>
      <c r="H1807" t="s">
        <v>600</v>
      </c>
      <c r="I1807" t="s">
        <v>601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hidden="1">
      <c r="A1808" t="s">
        <v>18810</v>
      </c>
      <c r="B1808" t="s">
        <v>872</v>
      </c>
      <c r="C1808" t="s">
        <v>841</v>
      </c>
      <c r="D1808" t="s">
        <v>621</v>
      </c>
      <c r="E1808" t="s">
        <v>624</v>
      </c>
      <c r="F1808" t="s">
        <v>598</v>
      </c>
      <c r="G1808" t="s">
        <v>599</v>
      </c>
      <c r="H1808" t="s">
        <v>600</v>
      </c>
      <c r="I1808" t="s">
        <v>601</v>
      </c>
      <c r="J1808">
        <v>5.4699999999999999E-2</v>
      </c>
      <c r="K1808">
        <v>5.4800000000000001E-2</v>
      </c>
      <c r="L1808">
        <v>5.4899999999999997E-2</v>
      </c>
      <c r="M1808">
        <v>5.5100000000000003E-2</v>
      </c>
      <c r="N1808">
        <v>5.5199999999999999E-2</v>
      </c>
      <c r="O1808">
        <v>5.5199999999999999E-2</v>
      </c>
      <c r="P1808">
        <v>5.5300000000000002E-2</v>
      </c>
      <c r="Q1808">
        <v>5.5399999999999998E-2</v>
      </c>
      <c r="R1808">
        <v>5.5300000000000002E-2</v>
      </c>
      <c r="S1808">
        <v>5.5300000000000002E-2</v>
      </c>
      <c r="T1808">
        <v>5.5300000000000002E-2</v>
      </c>
      <c r="U1808">
        <v>5.5300000000000002E-2</v>
      </c>
      <c r="V1808">
        <v>5.5100000000000003E-2</v>
      </c>
      <c r="W1808">
        <v>5.5199999999999999E-2</v>
      </c>
      <c r="X1808">
        <v>5.5E-2</v>
      </c>
      <c r="Y1808">
        <v>5.4899999999999997E-2</v>
      </c>
    </row>
    <row r="1809" spans="1:25" hidden="1">
      <c r="A1809" t="s">
        <v>18810</v>
      </c>
      <c r="B1809" t="s">
        <v>873</v>
      </c>
      <c r="C1809" t="s">
        <v>841</v>
      </c>
      <c r="D1809" t="s">
        <v>621</v>
      </c>
      <c r="E1809" t="s">
        <v>768</v>
      </c>
      <c r="F1809" t="s">
        <v>598</v>
      </c>
      <c r="G1809" t="s">
        <v>599</v>
      </c>
      <c r="H1809" t="s">
        <v>600</v>
      </c>
      <c r="I1809" t="s">
        <v>601</v>
      </c>
      <c r="J1809">
        <v>4.5900000000000003E-2</v>
      </c>
      <c r="K1809">
        <v>4.65E-2</v>
      </c>
      <c r="L1809">
        <v>4.6899999999999997E-2</v>
      </c>
      <c r="M1809">
        <v>4.7600000000000003E-2</v>
      </c>
      <c r="N1809">
        <v>4.82E-2</v>
      </c>
      <c r="O1809">
        <v>4.87E-2</v>
      </c>
      <c r="P1809">
        <v>4.9299999999999997E-2</v>
      </c>
      <c r="Q1809">
        <v>4.99E-2</v>
      </c>
      <c r="R1809">
        <v>5.04E-2</v>
      </c>
      <c r="S1809">
        <v>5.1200000000000002E-2</v>
      </c>
      <c r="T1809">
        <v>5.1799999999999999E-2</v>
      </c>
      <c r="U1809">
        <v>5.2299999999999999E-2</v>
      </c>
      <c r="V1809">
        <v>5.28E-2</v>
      </c>
      <c r="W1809">
        <v>5.3600000000000002E-2</v>
      </c>
      <c r="X1809">
        <v>5.4399999999999997E-2</v>
      </c>
      <c r="Y1809">
        <v>5.4899999999999997E-2</v>
      </c>
    </row>
    <row r="1810" spans="1:25" hidden="1">
      <c r="A1810" t="s">
        <v>18810</v>
      </c>
      <c r="B1810" t="s">
        <v>875</v>
      </c>
      <c r="C1810" t="s">
        <v>841</v>
      </c>
      <c r="D1810" t="s">
        <v>621</v>
      </c>
      <c r="E1810" t="s">
        <v>626</v>
      </c>
      <c r="F1810" t="s">
        <v>598</v>
      </c>
      <c r="G1810" t="s">
        <v>599</v>
      </c>
      <c r="H1810" t="s">
        <v>600</v>
      </c>
      <c r="I1810" t="s">
        <v>601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</row>
    <row r="1811" spans="1:25" hidden="1">
      <c r="A1811" t="s">
        <v>18810</v>
      </c>
      <c r="B1811" t="s">
        <v>876</v>
      </c>
      <c r="C1811" t="s">
        <v>841</v>
      </c>
      <c r="D1811" t="s">
        <v>621</v>
      </c>
      <c r="E1811" t="s">
        <v>628</v>
      </c>
      <c r="F1811" t="s">
        <v>598</v>
      </c>
      <c r="G1811" t="s">
        <v>599</v>
      </c>
      <c r="H1811" t="s">
        <v>600</v>
      </c>
      <c r="I1811" t="s">
        <v>601</v>
      </c>
      <c r="J1811">
        <v>8.0000000000000002E-3</v>
      </c>
      <c r="K1811">
        <v>7.4999999999999997E-3</v>
      </c>
      <c r="L1811">
        <v>7.1000000000000004E-3</v>
      </c>
      <c r="M1811">
        <v>6.8999999999999999E-3</v>
      </c>
      <c r="N1811">
        <v>6.4999999999999997E-3</v>
      </c>
      <c r="O1811">
        <v>6.4999999999999997E-3</v>
      </c>
      <c r="P1811">
        <v>6.4999999999999997E-3</v>
      </c>
      <c r="Q1811">
        <v>6.4999999999999997E-3</v>
      </c>
      <c r="R1811">
        <v>6.6E-3</v>
      </c>
      <c r="S1811">
        <v>6.6E-3</v>
      </c>
      <c r="T1811">
        <v>6.7000000000000002E-3</v>
      </c>
      <c r="U1811">
        <v>6.7000000000000002E-3</v>
      </c>
      <c r="V1811">
        <v>6.7000000000000002E-3</v>
      </c>
      <c r="W1811">
        <v>6.8999999999999999E-3</v>
      </c>
      <c r="X1811">
        <v>7.0000000000000001E-3</v>
      </c>
      <c r="Y1811">
        <v>7.0000000000000001E-3</v>
      </c>
    </row>
    <row r="1812" spans="1:25" hidden="1">
      <c r="A1812" t="s">
        <v>18810</v>
      </c>
      <c r="B1812" t="s">
        <v>878</v>
      </c>
      <c r="C1812" t="s">
        <v>841</v>
      </c>
      <c r="D1812" t="s">
        <v>621</v>
      </c>
      <c r="E1812" t="s">
        <v>619</v>
      </c>
      <c r="F1812" t="s">
        <v>598</v>
      </c>
      <c r="G1812" t="s">
        <v>599</v>
      </c>
      <c r="H1812" t="s">
        <v>600</v>
      </c>
      <c r="I1812" t="s">
        <v>601</v>
      </c>
      <c r="J1812">
        <v>1E-4</v>
      </c>
      <c r="K1812">
        <v>1E-4</v>
      </c>
      <c r="L1812">
        <v>1E-4</v>
      </c>
      <c r="M1812">
        <v>1E-4</v>
      </c>
      <c r="N1812">
        <v>1E-4</v>
      </c>
      <c r="O1812">
        <v>1E-4</v>
      </c>
      <c r="P1812">
        <v>1E-4</v>
      </c>
      <c r="Q1812">
        <v>1E-4</v>
      </c>
      <c r="R1812">
        <v>1E-4</v>
      </c>
      <c r="S1812">
        <v>1E-4</v>
      </c>
      <c r="T1812">
        <v>1E-4</v>
      </c>
      <c r="U1812">
        <v>1E-4</v>
      </c>
      <c r="V1812">
        <v>1E-4</v>
      </c>
      <c r="W1812">
        <v>1E-4</v>
      </c>
      <c r="X1812">
        <v>1E-4</v>
      </c>
      <c r="Y1812">
        <v>1E-4</v>
      </c>
    </row>
    <row r="1813" spans="1:25" hidden="1">
      <c r="A1813" t="s">
        <v>18810</v>
      </c>
      <c r="B1813" t="s">
        <v>880</v>
      </c>
      <c r="C1813" t="s">
        <v>841</v>
      </c>
      <c r="D1813" t="s">
        <v>621</v>
      </c>
      <c r="E1813" t="s">
        <v>638</v>
      </c>
      <c r="F1813" t="s">
        <v>598</v>
      </c>
      <c r="G1813" t="s">
        <v>599</v>
      </c>
      <c r="H1813" t="s">
        <v>600</v>
      </c>
      <c r="I1813" t="s">
        <v>601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</row>
    <row r="1814" spans="1:25" hidden="1">
      <c r="A1814" t="s">
        <v>18810</v>
      </c>
      <c r="B1814" t="s">
        <v>881</v>
      </c>
      <c r="C1814" t="s">
        <v>841</v>
      </c>
      <c r="D1814" t="s">
        <v>632</v>
      </c>
      <c r="E1814" t="s">
        <v>649</v>
      </c>
      <c r="F1814" t="s">
        <v>598</v>
      </c>
      <c r="G1814" t="s">
        <v>599</v>
      </c>
      <c r="H1814" t="s">
        <v>600</v>
      </c>
      <c r="I1814" t="s">
        <v>601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5" hidden="1">
      <c r="A1815" t="s">
        <v>18810</v>
      </c>
      <c r="B1815" t="s">
        <v>882</v>
      </c>
      <c r="C1815" t="s">
        <v>841</v>
      </c>
      <c r="D1815" t="s">
        <v>632</v>
      </c>
      <c r="E1815" t="s">
        <v>597</v>
      </c>
      <c r="F1815" t="s">
        <v>598</v>
      </c>
      <c r="G1815" t="s">
        <v>599</v>
      </c>
      <c r="H1815" t="s">
        <v>600</v>
      </c>
      <c r="I1815" t="s">
        <v>601</v>
      </c>
      <c r="J1815">
        <v>8.9999999999999998E-4</v>
      </c>
      <c r="K1815">
        <v>8.9999999999999998E-4</v>
      </c>
      <c r="L1815">
        <v>8.9999999999999998E-4</v>
      </c>
      <c r="M1815">
        <v>1E-3</v>
      </c>
      <c r="N1815">
        <v>1.1000000000000001E-3</v>
      </c>
      <c r="O1815">
        <v>1.1000000000000001E-3</v>
      </c>
      <c r="P1815">
        <v>1.1000000000000001E-3</v>
      </c>
      <c r="Q1815">
        <v>1.1000000000000001E-3</v>
      </c>
      <c r="R1815">
        <v>1.1000000000000001E-3</v>
      </c>
      <c r="S1815">
        <v>1.1999999999999999E-3</v>
      </c>
      <c r="T1815">
        <v>1.1999999999999999E-3</v>
      </c>
      <c r="U1815">
        <v>1.1999999999999999E-3</v>
      </c>
      <c r="V1815">
        <v>1.1999999999999999E-3</v>
      </c>
      <c r="W1815">
        <v>1.1999999999999999E-3</v>
      </c>
      <c r="X1815">
        <v>1.1999999999999999E-3</v>
      </c>
      <c r="Y1815">
        <v>1.1999999999999999E-3</v>
      </c>
    </row>
    <row r="1816" spans="1:25" hidden="1">
      <c r="A1816" t="s">
        <v>18810</v>
      </c>
      <c r="B1816" t="s">
        <v>883</v>
      </c>
      <c r="C1816" t="s">
        <v>841</v>
      </c>
      <c r="D1816" t="s">
        <v>632</v>
      </c>
      <c r="E1816" t="s">
        <v>624</v>
      </c>
      <c r="F1816" t="s">
        <v>598</v>
      </c>
      <c r="G1816" t="s">
        <v>599</v>
      </c>
      <c r="H1816" t="s">
        <v>600</v>
      </c>
      <c r="I1816" t="s">
        <v>601</v>
      </c>
      <c r="J1816">
        <v>2.6499999999999999E-2</v>
      </c>
      <c r="K1816">
        <v>2.6499999999999999E-2</v>
      </c>
      <c r="L1816">
        <v>2.6499999999999999E-2</v>
      </c>
      <c r="M1816">
        <v>2.6499999999999999E-2</v>
      </c>
      <c r="N1816">
        <v>2.6499999999999999E-2</v>
      </c>
      <c r="O1816">
        <v>2.64E-2</v>
      </c>
      <c r="P1816">
        <v>2.64E-2</v>
      </c>
      <c r="Q1816">
        <v>2.64E-2</v>
      </c>
      <c r="R1816">
        <v>2.63E-2</v>
      </c>
      <c r="S1816">
        <v>2.63E-2</v>
      </c>
      <c r="T1816">
        <v>2.6200000000000001E-2</v>
      </c>
      <c r="U1816">
        <v>2.6100000000000002E-2</v>
      </c>
      <c r="V1816">
        <v>2.5999999999999999E-2</v>
      </c>
      <c r="W1816">
        <v>2.5899999999999999E-2</v>
      </c>
      <c r="X1816">
        <v>2.58E-2</v>
      </c>
      <c r="Y1816">
        <v>2.5600000000000001E-2</v>
      </c>
    </row>
    <row r="1817" spans="1:25" hidden="1">
      <c r="A1817" t="s">
        <v>18810</v>
      </c>
      <c r="B1817" t="s">
        <v>884</v>
      </c>
      <c r="C1817" t="s">
        <v>841</v>
      </c>
      <c r="D1817" t="s">
        <v>632</v>
      </c>
      <c r="E1817" t="s">
        <v>768</v>
      </c>
      <c r="F1817" t="s">
        <v>598</v>
      </c>
      <c r="G1817" t="s">
        <v>599</v>
      </c>
      <c r="H1817" t="s">
        <v>600</v>
      </c>
      <c r="I1817" t="s">
        <v>601</v>
      </c>
      <c r="J1817">
        <v>2.8999999999999998E-3</v>
      </c>
      <c r="K1817">
        <v>3.0000000000000001E-3</v>
      </c>
      <c r="L1817">
        <v>3.0000000000000001E-3</v>
      </c>
      <c r="M1817">
        <v>3.0000000000000001E-3</v>
      </c>
      <c r="N1817">
        <v>3.0999999999999999E-3</v>
      </c>
      <c r="O1817">
        <v>3.0999999999999999E-3</v>
      </c>
      <c r="P1817">
        <v>3.0999999999999999E-3</v>
      </c>
      <c r="Q1817">
        <v>3.2000000000000002E-3</v>
      </c>
      <c r="R1817">
        <v>3.2000000000000002E-3</v>
      </c>
      <c r="S1817">
        <v>3.2000000000000002E-3</v>
      </c>
      <c r="T1817">
        <v>3.3E-3</v>
      </c>
      <c r="U1817">
        <v>3.3E-3</v>
      </c>
      <c r="V1817">
        <v>3.3999999999999998E-3</v>
      </c>
      <c r="W1817">
        <v>3.3999999999999998E-3</v>
      </c>
      <c r="X1817">
        <v>3.3999999999999998E-3</v>
      </c>
      <c r="Y1817">
        <v>3.5000000000000001E-3</v>
      </c>
    </row>
    <row r="1818" spans="1:25" hidden="1">
      <c r="A1818" t="s">
        <v>18810</v>
      </c>
      <c r="B1818" t="s">
        <v>885</v>
      </c>
      <c r="C1818" t="s">
        <v>841</v>
      </c>
      <c r="D1818" t="s">
        <v>632</v>
      </c>
      <c r="E1818" t="s">
        <v>628</v>
      </c>
      <c r="F1818" t="s">
        <v>598</v>
      </c>
      <c r="G1818" t="s">
        <v>599</v>
      </c>
      <c r="H1818" t="s">
        <v>600</v>
      </c>
      <c r="I1818" t="s">
        <v>601</v>
      </c>
      <c r="J1818">
        <v>4.0000000000000002E-4</v>
      </c>
      <c r="K1818">
        <v>4.0000000000000002E-4</v>
      </c>
      <c r="L1818">
        <v>4.0000000000000002E-4</v>
      </c>
      <c r="M1818">
        <v>4.0000000000000002E-4</v>
      </c>
      <c r="N1818">
        <v>4.0000000000000002E-4</v>
      </c>
      <c r="O1818">
        <v>4.0000000000000002E-4</v>
      </c>
      <c r="P1818">
        <v>4.0000000000000002E-4</v>
      </c>
      <c r="Q1818">
        <v>4.0000000000000002E-4</v>
      </c>
      <c r="R1818">
        <v>4.0000000000000002E-4</v>
      </c>
      <c r="S1818">
        <v>4.0000000000000002E-4</v>
      </c>
      <c r="T1818">
        <v>4.0000000000000002E-4</v>
      </c>
      <c r="U1818">
        <v>4.0000000000000002E-4</v>
      </c>
      <c r="V1818">
        <v>4.0000000000000002E-4</v>
      </c>
      <c r="W1818">
        <v>4.0000000000000002E-4</v>
      </c>
      <c r="X1818">
        <v>4.0000000000000002E-4</v>
      </c>
      <c r="Y1818">
        <v>4.0000000000000002E-4</v>
      </c>
    </row>
    <row r="1819" spans="1:25" hidden="1">
      <c r="A1819" t="s">
        <v>18810</v>
      </c>
      <c r="B1819" t="s">
        <v>887</v>
      </c>
      <c r="C1819" t="s">
        <v>841</v>
      </c>
      <c r="D1819" t="s">
        <v>632</v>
      </c>
      <c r="E1819" t="s">
        <v>888</v>
      </c>
      <c r="F1819" t="s">
        <v>598</v>
      </c>
      <c r="G1819" t="s">
        <v>599</v>
      </c>
      <c r="H1819" t="s">
        <v>600</v>
      </c>
      <c r="I1819" t="s">
        <v>601</v>
      </c>
      <c r="J1819">
        <v>2.5399999999999999E-2</v>
      </c>
      <c r="K1819">
        <v>2.5600000000000001E-2</v>
      </c>
      <c r="L1819">
        <v>2.58E-2</v>
      </c>
      <c r="M1819">
        <v>2.6100000000000002E-2</v>
      </c>
      <c r="N1819">
        <v>2.63E-2</v>
      </c>
      <c r="O1819">
        <v>2.6499999999999999E-2</v>
      </c>
      <c r="P1819">
        <v>2.6800000000000001E-2</v>
      </c>
      <c r="Q1819">
        <v>2.7E-2</v>
      </c>
      <c r="R1819">
        <v>2.7199999999999998E-2</v>
      </c>
      <c r="S1819">
        <v>2.75E-2</v>
      </c>
      <c r="T1819">
        <v>2.7699999999999999E-2</v>
      </c>
      <c r="U1819">
        <v>2.7900000000000001E-2</v>
      </c>
      <c r="V1819">
        <v>2.8199999999999999E-2</v>
      </c>
      <c r="W1819">
        <v>2.8400000000000002E-2</v>
      </c>
      <c r="X1819">
        <v>2.86E-2</v>
      </c>
      <c r="Y1819">
        <v>2.8899999999999999E-2</v>
      </c>
    </row>
    <row r="1820" spans="1:25" hidden="1">
      <c r="A1820" t="s">
        <v>18810</v>
      </c>
      <c r="B1820" t="s">
        <v>891</v>
      </c>
      <c r="C1820" t="s">
        <v>841</v>
      </c>
      <c r="D1820" t="s">
        <v>632</v>
      </c>
      <c r="E1820" t="s">
        <v>892</v>
      </c>
      <c r="F1820" t="s">
        <v>598</v>
      </c>
      <c r="G1820" t="s">
        <v>599</v>
      </c>
      <c r="H1820" t="s">
        <v>600</v>
      </c>
      <c r="I1820" t="s">
        <v>601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5" hidden="1">
      <c r="A1821" t="s">
        <v>18810</v>
      </c>
      <c r="B1821" t="s">
        <v>896</v>
      </c>
      <c r="C1821" t="s">
        <v>841</v>
      </c>
      <c r="D1821" t="s">
        <v>640</v>
      </c>
      <c r="E1821" t="s">
        <v>597</v>
      </c>
      <c r="F1821" t="s">
        <v>598</v>
      </c>
      <c r="G1821" t="s">
        <v>599</v>
      </c>
      <c r="H1821" t="s">
        <v>600</v>
      </c>
      <c r="I1821" t="s">
        <v>601</v>
      </c>
      <c r="J1821">
        <v>1E-4</v>
      </c>
      <c r="K1821">
        <v>1E-4</v>
      </c>
      <c r="L1821">
        <v>1E-4</v>
      </c>
      <c r="M1821">
        <v>2.0000000000000001E-4</v>
      </c>
      <c r="N1821">
        <v>2.0000000000000001E-4</v>
      </c>
      <c r="O1821">
        <v>2.0000000000000001E-4</v>
      </c>
      <c r="P1821">
        <v>2.0000000000000001E-4</v>
      </c>
      <c r="Q1821">
        <v>2.0000000000000001E-4</v>
      </c>
      <c r="R1821">
        <v>2.0000000000000001E-4</v>
      </c>
      <c r="S1821">
        <v>2.0000000000000001E-4</v>
      </c>
      <c r="T1821">
        <v>2.0000000000000001E-4</v>
      </c>
      <c r="U1821">
        <v>2.0000000000000001E-4</v>
      </c>
      <c r="V1821">
        <v>2.0000000000000001E-4</v>
      </c>
      <c r="W1821">
        <v>2.0000000000000001E-4</v>
      </c>
      <c r="X1821">
        <v>2.0000000000000001E-4</v>
      </c>
      <c r="Y1821">
        <v>2.0000000000000001E-4</v>
      </c>
    </row>
    <row r="1822" spans="1:25" hidden="1">
      <c r="A1822" t="s">
        <v>18810</v>
      </c>
      <c r="B1822" t="s">
        <v>897</v>
      </c>
      <c r="C1822" t="s">
        <v>841</v>
      </c>
      <c r="D1822" t="s">
        <v>640</v>
      </c>
      <c r="E1822" t="s">
        <v>642</v>
      </c>
      <c r="F1822" t="s">
        <v>598</v>
      </c>
      <c r="G1822" t="s">
        <v>599</v>
      </c>
      <c r="H1822" t="s">
        <v>600</v>
      </c>
      <c r="I1822" t="s">
        <v>601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hidden="1">
      <c r="A1823" t="s">
        <v>18810</v>
      </c>
      <c r="B1823" t="s">
        <v>899</v>
      </c>
      <c r="C1823" t="s">
        <v>841</v>
      </c>
      <c r="D1823" t="s">
        <v>640</v>
      </c>
      <c r="E1823" t="s">
        <v>613</v>
      </c>
      <c r="F1823" t="s">
        <v>598</v>
      </c>
      <c r="G1823" t="s">
        <v>599</v>
      </c>
      <c r="H1823" t="s">
        <v>600</v>
      </c>
      <c r="I1823" t="s">
        <v>601</v>
      </c>
      <c r="J1823">
        <v>2.5999999999999999E-3</v>
      </c>
      <c r="K1823">
        <v>2.5999999999999999E-3</v>
      </c>
      <c r="L1823">
        <v>2.5999999999999999E-3</v>
      </c>
      <c r="M1823">
        <v>2.5999999999999999E-3</v>
      </c>
      <c r="N1823">
        <v>2.5999999999999999E-3</v>
      </c>
      <c r="O1823">
        <v>2.5999999999999999E-3</v>
      </c>
      <c r="P1823">
        <v>2.5999999999999999E-3</v>
      </c>
      <c r="Q1823">
        <v>2.5999999999999999E-3</v>
      </c>
      <c r="R1823">
        <v>2.5999999999999999E-3</v>
      </c>
      <c r="S1823">
        <v>2.5999999999999999E-3</v>
      </c>
      <c r="T1823">
        <v>2.5999999999999999E-3</v>
      </c>
      <c r="U1823">
        <v>2.7000000000000001E-3</v>
      </c>
      <c r="V1823">
        <v>2.7000000000000001E-3</v>
      </c>
      <c r="W1823">
        <v>2.7000000000000001E-3</v>
      </c>
      <c r="X1823">
        <v>2.8999999999999998E-3</v>
      </c>
      <c r="Y1823">
        <v>2.8999999999999998E-3</v>
      </c>
    </row>
    <row r="1824" spans="1:25" hidden="1">
      <c r="A1824" t="s">
        <v>18810</v>
      </c>
      <c r="B1824" t="s">
        <v>900</v>
      </c>
      <c r="C1824" t="s">
        <v>841</v>
      </c>
      <c r="D1824" t="s">
        <v>640</v>
      </c>
      <c r="E1824" t="s">
        <v>619</v>
      </c>
      <c r="F1824" t="s">
        <v>598</v>
      </c>
      <c r="G1824" t="s">
        <v>599</v>
      </c>
      <c r="H1824" t="s">
        <v>600</v>
      </c>
      <c r="I1824" t="s">
        <v>601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</row>
    <row r="1825" spans="1:25" hidden="1">
      <c r="A1825" t="s">
        <v>18810</v>
      </c>
      <c r="B1825" t="s">
        <v>902</v>
      </c>
      <c r="C1825" t="s">
        <v>841</v>
      </c>
      <c r="D1825" t="s">
        <v>648</v>
      </c>
      <c r="E1825" t="s">
        <v>597</v>
      </c>
      <c r="F1825" t="s">
        <v>598</v>
      </c>
      <c r="G1825" t="s">
        <v>599</v>
      </c>
      <c r="H1825" t="s">
        <v>600</v>
      </c>
      <c r="I1825" t="s">
        <v>601</v>
      </c>
      <c r="J1825">
        <v>0.56279999999999997</v>
      </c>
      <c r="K1825">
        <v>0.56989999999999996</v>
      </c>
      <c r="L1825">
        <v>0.57850000000000001</v>
      </c>
      <c r="M1825">
        <v>0.58979999999999999</v>
      </c>
      <c r="N1825">
        <v>0.5968</v>
      </c>
      <c r="O1825">
        <v>0.60209999999999997</v>
      </c>
      <c r="P1825">
        <v>0.60619999999999996</v>
      </c>
      <c r="Q1825">
        <v>0.61009999999999998</v>
      </c>
      <c r="R1825">
        <v>0.61219999999999997</v>
      </c>
      <c r="S1825">
        <v>0.61380000000000001</v>
      </c>
      <c r="T1825">
        <v>0.61350000000000005</v>
      </c>
      <c r="U1825">
        <v>0.61270000000000002</v>
      </c>
      <c r="V1825">
        <v>0.61509999999999998</v>
      </c>
      <c r="W1825">
        <v>0.62050000000000005</v>
      </c>
      <c r="X1825">
        <v>0.62639999999999996</v>
      </c>
      <c r="Y1825">
        <v>0.63249999999999995</v>
      </c>
    </row>
    <row r="1826" spans="1:25" hidden="1">
      <c r="A1826" t="s">
        <v>18810</v>
      </c>
      <c r="B1826" t="s">
        <v>909</v>
      </c>
      <c r="C1826" t="s">
        <v>841</v>
      </c>
      <c r="D1826" t="s">
        <v>648</v>
      </c>
      <c r="E1826" t="s">
        <v>642</v>
      </c>
      <c r="F1826" t="s">
        <v>598</v>
      </c>
      <c r="G1826" t="s">
        <v>599</v>
      </c>
      <c r="H1826" t="s">
        <v>600</v>
      </c>
      <c r="I1826" t="s">
        <v>601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1E-4</v>
      </c>
      <c r="X1826">
        <v>1E-4</v>
      </c>
      <c r="Y1826">
        <v>1E-4</v>
      </c>
    </row>
    <row r="1827" spans="1:25" hidden="1">
      <c r="A1827" t="s">
        <v>18810</v>
      </c>
      <c r="B1827" t="s">
        <v>911</v>
      </c>
      <c r="C1827" t="s">
        <v>841</v>
      </c>
      <c r="D1827" t="s">
        <v>648</v>
      </c>
      <c r="E1827" t="s">
        <v>619</v>
      </c>
      <c r="F1827" t="s">
        <v>598</v>
      </c>
      <c r="G1827" t="s">
        <v>599</v>
      </c>
      <c r="H1827" t="s">
        <v>600</v>
      </c>
      <c r="I1827" t="s">
        <v>601</v>
      </c>
      <c r="J1827">
        <v>2.9999999999999997E-4</v>
      </c>
      <c r="K1827">
        <v>2.9999999999999997E-4</v>
      </c>
      <c r="L1827">
        <v>2.9999999999999997E-4</v>
      </c>
      <c r="M1827">
        <v>2.9999999999999997E-4</v>
      </c>
      <c r="N1827">
        <v>2.9999999999999997E-4</v>
      </c>
      <c r="O1827">
        <v>2.9999999999999997E-4</v>
      </c>
      <c r="P1827">
        <v>2.9999999999999997E-4</v>
      </c>
      <c r="Q1827">
        <v>2.9999999999999997E-4</v>
      </c>
      <c r="R1827">
        <v>2.9999999999999997E-4</v>
      </c>
      <c r="S1827">
        <v>2.9999999999999997E-4</v>
      </c>
      <c r="T1827">
        <v>2.9999999999999997E-4</v>
      </c>
      <c r="U1827">
        <v>2.9999999999999997E-4</v>
      </c>
      <c r="V1827">
        <v>2.9999999999999997E-4</v>
      </c>
      <c r="W1827">
        <v>2.9999999999999997E-4</v>
      </c>
      <c r="X1827">
        <v>2.9999999999999997E-4</v>
      </c>
      <c r="Y1827">
        <v>2.9999999999999997E-4</v>
      </c>
    </row>
    <row r="1828" spans="1:25" hidden="1">
      <c r="A1828" t="s">
        <v>18810</v>
      </c>
      <c r="B1828" t="s">
        <v>913</v>
      </c>
      <c r="C1828" t="s">
        <v>914</v>
      </c>
      <c r="D1828" t="s">
        <v>671</v>
      </c>
      <c r="E1828" t="s">
        <v>597</v>
      </c>
      <c r="F1828" t="s">
        <v>598</v>
      </c>
      <c r="G1828" t="s">
        <v>599</v>
      </c>
      <c r="H1828" t="s">
        <v>600</v>
      </c>
      <c r="I1828" t="s">
        <v>601</v>
      </c>
      <c r="J1828">
        <v>2.9999999999999997E-4</v>
      </c>
      <c r="K1828">
        <v>2.9999999999999997E-4</v>
      </c>
      <c r="L1828">
        <v>2.9999999999999997E-4</v>
      </c>
      <c r="M1828">
        <v>2.9999999999999997E-4</v>
      </c>
      <c r="N1828">
        <v>2.9999999999999997E-4</v>
      </c>
      <c r="O1828">
        <v>2.9999999999999997E-4</v>
      </c>
      <c r="P1828">
        <v>2.9999999999999997E-4</v>
      </c>
      <c r="Q1828">
        <v>2.9999999999999997E-4</v>
      </c>
      <c r="R1828">
        <v>2.9999999999999997E-4</v>
      </c>
      <c r="S1828">
        <v>2.9999999999999997E-4</v>
      </c>
      <c r="T1828">
        <v>2.9999999999999997E-4</v>
      </c>
      <c r="U1828">
        <v>2.9999999999999997E-4</v>
      </c>
      <c r="V1828">
        <v>2.9999999999999997E-4</v>
      </c>
      <c r="W1828">
        <v>2.9999999999999997E-4</v>
      </c>
      <c r="X1828">
        <v>2.9999999999999997E-4</v>
      </c>
      <c r="Y1828">
        <v>2.9999999999999997E-4</v>
      </c>
    </row>
    <row r="1829" spans="1:25" hidden="1">
      <c r="A1829" t="s">
        <v>18810</v>
      </c>
      <c r="B1829" t="s">
        <v>916</v>
      </c>
      <c r="C1829" t="s">
        <v>914</v>
      </c>
      <c r="D1829" t="s">
        <v>621</v>
      </c>
      <c r="E1829" t="s">
        <v>628</v>
      </c>
      <c r="F1829" t="s">
        <v>598</v>
      </c>
      <c r="G1829" t="s">
        <v>599</v>
      </c>
      <c r="H1829" t="s">
        <v>600</v>
      </c>
      <c r="I1829" t="s">
        <v>601</v>
      </c>
      <c r="J1829">
        <v>1.9529359999999999E-2</v>
      </c>
      <c r="K1829">
        <v>1.9045960000000001E-2</v>
      </c>
      <c r="L1829">
        <v>1.8949279999999999E-2</v>
      </c>
      <c r="M1829">
        <v>1.846588E-2</v>
      </c>
      <c r="N1829">
        <v>1.7982479999999999E-2</v>
      </c>
      <c r="O1829">
        <v>1.358354E-2</v>
      </c>
      <c r="P1829">
        <v>1.358354E-2</v>
      </c>
      <c r="Q1829">
        <v>1.358354E-2</v>
      </c>
      <c r="R1829">
        <v>1.3631880000000001E-2</v>
      </c>
      <c r="S1829">
        <v>1.3631880000000001E-2</v>
      </c>
      <c r="T1829">
        <v>1.368022E-2</v>
      </c>
      <c r="U1829">
        <v>1.387358E-2</v>
      </c>
      <c r="V1829">
        <v>1.387358E-2</v>
      </c>
      <c r="W1829">
        <v>1.4018600000000001E-2</v>
      </c>
      <c r="X1829">
        <v>1.4018600000000001E-2</v>
      </c>
      <c r="Y1829">
        <v>1.4018600000000001E-2</v>
      </c>
    </row>
    <row r="1830" spans="1:25" hidden="1">
      <c r="A1830" t="s">
        <v>18810</v>
      </c>
      <c r="B1830" t="s">
        <v>917</v>
      </c>
      <c r="C1830" t="s">
        <v>914</v>
      </c>
      <c r="D1830" t="s">
        <v>918</v>
      </c>
      <c r="E1830" t="s">
        <v>649</v>
      </c>
      <c r="F1830" t="s">
        <v>598</v>
      </c>
      <c r="G1830" t="s">
        <v>599</v>
      </c>
      <c r="H1830" t="s">
        <v>600</v>
      </c>
      <c r="I1830" t="s">
        <v>601</v>
      </c>
      <c r="J1830">
        <v>2.0000000000000001E-4</v>
      </c>
      <c r="K1830">
        <v>2.0000000000000001E-4</v>
      </c>
      <c r="L1830">
        <v>2.0000000000000001E-4</v>
      </c>
      <c r="M1830">
        <v>2.0000000000000001E-4</v>
      </c>
      <c r="N1830">
        <v>2.0000000000000001E-4</v>
      </c>
      <c r="O1830">
        <v>2.0000000000000001E-4</v>
      </c>
      <c r="P1830">
        <v>2.0000000000000001E-4</v>
      </c>
      <c r="Q1830">
        <v>2.0000000000000001E-4</v>
      </c>
      <c r="R1830">
        <v>2.0000000000000001E-4</v>
      </c>
      <c r="S1830">
        <v>2.0000000000000001E-4</v>
      </c>
      <c r="T1830">
        <v>2.0000000000000001E-4</v>
      </c>
      <c r="U1830">
        <v>2.0000000000000001E-4</v>
      </c>
      <c r="V1830">
        <v>2.0000000000000001E-4</v>
      </c>
      <c r="W1830">
        <v>2.0000000000000001E-4</v>
      </c>
      <c r="X1830">
        <v>2.0000000000000001E-4</v>
      </c>
      <c r="Y1830">
        <v>2.0000000000000001E-4</v>
      </c>
    </row>
    <row r="1831" spans="1:25" hidden="1">
      <c r="A1831" t="s">
        <v>18810</v>
      </c>
      <c r="B1831" t="s">
        <v>919</v>
      </c>
      <c r="C1831" t="s">
        <v>914</v>
      </c>
      <c r="D1831" t="s">
        <v>648</v>
      </c>
      <c r="E1831" t="s">
        <v>920</v>
      </c>
      <c r="F1831" t="s">
        <v>598</v>
      </c>
      <c r="G1831" t="s">
        <v>599</v>
      </c>
      <c r="H1831" t="s">
        <v>600</v>
      </c>
      <c r="I1831" t="s">
        <v>601</v>
      </c>
      <c r="J1831">
        <v>2.3199999999999998E-2</v>
      </c>
      <c r="K1831">
        <v>2.35E-2</v>
      </c>
      <c r="L1831">
        <v>2.3699999999999999E-2</v>
      </c>
      <c r="M1831">
        <v>2.3900000000000001E-2</v>
      </c>
      <c r="N1831">
        <v>2.41E-2</v>
      </c>
      <c r="O1831">
        <v>2.4299999999999999E-2</v>
      </c>
      <c r="P1831">
        <v>2.46E-2</v>
      </c>
      <c r="Q1831">
        <v>2.47E-2</v>
      </c>
      <c r="R1831">
        <v>2.5000000000000001E-2</v>
      </c>
      <c r="S1831">
        <v>2.53E-2</v>
      </c>
      <c r="T1831">
        <v>2.5600000000000001E-2</v>
      </c>
      <c r="U1831">
        <v>2.58E-2</v>
      </c>
      <c r="V1831">
        <v>2.6100000000000002E-2</v>
      </c>
      <c r="W1831">
        <v>2.6200000000000001E-2</v>
      </c>
      <c r="X1831">
        <v>2.6499999999999999E-2</v>
      </c>
      <c r="Y1831">
        <v>2.6800000000000001E-2</v>
      </c>
    </row>
    <row r="1832" spans="1:25" hidden="1">
      <c r="A1832" t="s">
        <v>18810</v>
      </c>
      <c r="B1832" t="s">
        <v>921</v>
      </c>
      <c r="C1832" t="s">
        <v>914</v>
      </c>
      <c r="D1832" t="s">
        <v>648</v>
      </c>
      <c r="E1832" t="s">
        <v>649</v>
      </c>
      <c r="F1832" t="s">
        <v>598</v>
      </c>
      <c r="G1832" t="s">
        <v>599</v>
      </c>
      <c r="H1832" t="s">
        <v>600</v>
      </c>
      <c r="I1832" t="s">
        <v>601</v>
      </c>
      <c r="J1832">
        <v>1E-4</v>
      </c>
      <c r="K1832">
        <v>1E-4</v>
      </c>
      <c r="L1832">
        <v>1E-4</v>
      </c>
      <c r="M1832">
        <v>1E-4</v>
      </c>
      <c r="N1832">
        <v>1E-4</v>
      </c>
      <c r="O1832">
        <v>1E-4</v>
      </c>
      <c r="P1832">
        <v>1E-4</v>
      </c>
      <c r="Q1832">
        <v>1E-4</v>
      </c>
      <c r="R1832">
        <v>1E-4</v>
      </c>
      <c r="S1832">
        <v>1E-4</v>
      </c>
      <c r="T1832">
        <v>1E-4</v>
      </c>
      <c r="U1832">
        <v>1E-4</v>
      </c>
      <c r="V1832">
        <v>1E-4</v>
      </c>
      <c r="W1832">
        <v>1E-4</v>
      </c>
      <c r="X1832">
        <v>1E-4</v>
      </c>
      <c r="Y1832">
        <v>1E-4</v>
      </c>
    </row>
    <row r="1833" spans="1:25" hidden="1">
      <c r="A1833" t="s">
        <v>18810</v>
      </c>
      <c r="B1833" t="s">
        <v>924</v>
      </c>
      <c r="C1833" t="s">
        <v>925</v>
      </c>
      <c r="D1833" t="s">
        <v>926</v>
      </c>
      <c r="E1833" t="s">
        <v>927</v>
      </c>
      <c r="F1833" t="s">
        <v>598</v>
      </c>
      <c r="G1833" t="s">
        <v>599</v>
      </c>
      <c r="H1833" t="s">
        <v>600</v>
      </c>
      <c r="I1833" t="s">
        <v>601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hidden="1">
      <c r="A1834" t="s">
        <v>18810</v>
      </c>
      <c r="B1834" t="s">
        <v>930</v>
      </c>
      <c r="C1834" t="s">
        <v>925</v>
      </c>
      <c r="D1834" t="s">
        <v>931</v>
      </c>
      <c r="E1834" t="s">
        <v>932</v>
      </c>
      <c r="F1834" t="s">
        <v>598</v>
      </c>
      <c r="G1834" t="s">
        <v>599</v>
      </c>
      <c r="H1834" t="s">
        <v>600</v>
      </c>
      <c r="I1834" t="s">
        <v>601</v>
      </c>
      <c r="J1834">
        <v>1.2999999999999999E-3</v>
      </c>
      <c r="K1834">
        <v>1.2999999999999999E-3</v>
      </c>
      <c r="L1834">
        <v>1.2999999999999999E-3</v>
      </c>
      <c r="M1834">
        <v>1.2999999999999999E-3</v>
      </c>
      <c r="N1834">
        <v>1.2999999999999999E-3</v>
      </c>
      <c r="O1834">
        <v>1.2999999999999999E-3</v>
      </c>
      <c r="P1834">
        <v>1.2999999999999999E-3</v>
      </c>
      <c r="Q1834">
        <v>1.2999999999999999E-3</v>
      </c>
      <c r="R1834">
        <v>1.2999999999999999E-3</v>
      </c>
      <c r="S1834">
        <v>1.4E-3</v>
      </c>
      <c r="T1834">
        <v>1.4E-3</v>
      </c>
      <c r="U1834">
        <v>1.4E-3</v>
      </c>
      <c r="V1834">
        <v>1.4E-3</v>
      </c>
      <c r="W1834">
        <v>1.4E-3</v>
      </c>
      <c r="X1834">
        <v>1.4E-3</v>
      </c>
      <c r="Y1834">
        <v>1.4E-3</v>
      </c>
    </row>
    <row r="1835" spans="1:25" hidden="1">
      <c r="A1835" t="s">
        <v>18810</v>
      </c>
      <c r="B1835" t="s">
        <v>933</v>
      </c>
      <c r="C1835" t="s">
        <v>925</v>
      </c>
      <c r="D1835" t="s">
        <v>934</v>
      </c>
      <c r="E1835" t="s">
        <v>597</v>
      </c>
      <c r="F1835" t="s">
        <v>598</v>
      </c>
      <c r="G1835" t="s">
        <v>599</v>
      </c>
      <c r="H1835" t="s">
        <v>600</v>
      </c>
      <c r="I1835" t="s">
        <v>601</v>
      </c>
      <c r="J1835">
        <v>0</v>
      </c>
      <c r="K1835">
        <v>0</v>
      </c>
      <c r="L1835">
        <v>0</v>
      </c>
      <c r="M1835">
        <v>0</v>
      </c>
      <c r="N1835">
        <v>1E-4</v>
      </c>
      <c r="O1835">
        <v>1E-4</v>
      </c>
      <c r="P1835">
        <v>1E-4</v>
      </c>
      <c r="Q1835">
        <v>1E-4</v>
      </c>
      <c r="R1835">
        <v>1E-4</v>
      </c>
      <c r="S1835">
        <v>1E-4</v>
      </c>
      <c r="T1835">
        <v>1E-4</v>
      </c>
      <c r="U1835">
        <v>1E-4</v>
      </c>
      <c r="V1835">
        <v>1E-4</v>
      </c>
      <c r="W1835">
        <v>1E-4</v>
      </c>
      <c r="X1835">
        <v>1E-4</v>
      </c>
      <c r="Y1835">
        <v>1E-4</v>
      </c>
    </row>
    <row r="1836" spans="1:25" hidden="1">
      <c r="A1836" t="s">
        <v>18810</v>
      </c>
      <c r="B1836" t="s">
        <v>935</v>
      </c>
      <c r="C1836" t="s">
        <v>925</v>
      </c>
      <c r="D1836" t="s">
        <v>934</v>
      </c>
      <c r="E1836" t="s">
        <v>605</v>
      </c>
      <c r="F1836" t="s">
        <v>598</v>
      </c>
      <c r="G1836" t="s">
        <v>599</v>
      </c>
      <c r="H1836" t="s">
        <v>600</v>
      </c>
      <c r="I1836" t="s">
        <v>601</v>
      </c>
      <c r="J1836">
        <v>4.0000000000000002E-4</v>
      </c>
      <c r="K1836">
        <v>4.0000000000000002E-4</v>
      </c>
      <c r="L1836">
        <v>4.0000000000000002E-4</v>
      </c>
      <c r="M1836">
        <v>4.0000000000000002E-4</v>
      </c>
      <c r="N1836">
        <v>4.0000000000000002E-4</v>
      </c>
      <c r="O1836">
        <v>4.0000000000000002E-4</v>
      </c>
      <c r="P1836">
        <v>4.0000000000000002E-4</v>
      </c>
      <c r="Q1836">
        <v>4.0000000000000002E-4</v>
      </c>
      <c r="R1836">
        <v>4.0000000000000002E-4</v>
      </c>
      <c r="S1836">
        <v>4.0000000000000002E-4</v>
      </c>
      <c r="T1836">
        <v>4.0000000000000002E-4</v>
      </c>
      <c r="U1836">
        <v>4.0000000000000002E-4</v>
      </c>
      <c r="V1836">
        <v>4.0000000000000002E-4</v>
      </c>
      <c r="W1836">
        <v>5.0000000000000001E-4</v>
      </c>
      <c r="X1836">
        <v>5.0000000000000001E-4</v>
      </c>
      <c r="Y1836">
        <v>5.0000000000000001E-4</v>
      </c>
    </row>
    <row r="1837" spans="1:25" hidden="1">
      <c r="A1837" t="s">
        <v>18810</v>
      </c>
      <c r="B1837" t="s">
        <v>938</v>
      </c>
      <c r="C1837" t="s">
        <v>925</v>
      </c>
      <c r="D1837" t="s">
        <v>934</v>
      </c>
      <c r="E1837" t="s">
        <v>768</v>
      </c>
      <c r="F1837" t="s">
        <v>598</v>
      </c>
      <c r="G1837" t="s">
        <v>599</v>
      </c>
      <c r="H1837" t="s">
        <v>600</v>
      </c>
      <c r="I1837" t="s">
        <v>601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</row>
    <row r="1838" spans="1:25" hidden="1">
      <c r="A1838" t="s">
        <v>18810</v>
      </c>
      <c r="B1838" t="s">
        <v>939</v>
      </c>
      <c r="C1838" t="s">
        <v>925</v>
      </c>
      <c r="D1838" t="s">
        <v>648</v>
      </c>
      <c r="E1838" t="s">
        <v>597</v>
      </c>
      <c r="F1838" t="s">
        <v>598</v>
      </c>
      <c r="G1838" t="s">
        <v>599</v>
      </c>
      <c r="H1838" t="s">
        <v>600</v>
      </c>
      <c r="I1838" t="s">
        <v>601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</row>
    <row r="1839" spans="1:25" hidden="1">
      <c r="A1839" t="s">
        <v>18810</v>
      </c>
      <c r="B1839" t="s">
        <v>945</v>
      </c>
      <c r="C1839" t="s">
        <v>943</v>
      </c>
      <c r="D1839" t="s">
        <v>946</v>
      </c>
      <c r="E1839" t="s">
        <v>613</v>
      </c>
      <c r="F1839" t="s">
        <v>598</v>
      </c>
      <c r="G1839" t="s">
        <v>599</v>
      </c>
      <c r="H1839" t="s">
        <v>600</v>
      </c>
      <c r="I1839" t="s">
        <v>601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</row>
    <row r="1840" spans="1:25" hidden="1">
      <c r="A1840" t="s">
        <v>18810</v>
      </c>
      <c r="B1840" t="s">
        <v>947</v>
      </c>
      <c r="C1840" t="s">
        <v>943</v>
      </c>
      <c r="D1840" t="s">
        <v>946</v>
      </c>
      <c r="E1840" t="s">
        <v>948</v>
      </c>
      <c r="F1840" t="s">
        <v>598</v>
      </c>
      <c r="G1840" t="s">
        <v>599</v>
      </c>
      <c r="H1840" t="s">
        <v>600</v>
      </c>
      <c r="I1840" t="s">
        <v>601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</row>
    <row r="1841" spans="1:25" hidden="1">
      <c r="A1841" t="s">
        <v>18810</v>
      </c>
      <c r="B1841" t="s">
        <v>953</v>
      </c>
      <c r="C1841" t="s">
        <v>943</v>
      </c>
      <c r="D1841" t="s">
        <v>648</v>
      </c>
      <c r="E1841" t="s">
        <v>954</v>
      </c>
      <c r="F1841" t="s">
        <v>598</v>
      </c>
      <c r="G1841" t="s">
        <v>599</v>
      </c>
      <c r="H1841" t="s">
        <v>600</v>
      </c>
      <c r="I1841" t="s">
        <v>601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</row>
    <row r="1842" spans="1:25" hidden="1">
      <c r="A1842" t="s">
        <v>18810</v>
      </c>
      <c r="B1842" t="s">
        <v>955</v>
      </c>
      <c r="C1842" t="s">
        <v>956</v>
      </c>
      <c r="D1842" t="s">
        <v>931</v>
      </c>
      <c r="E1842" t="s">
        <v>597</v>
      </c>
      <c r="F1842" t="s">
        <v>598</v>
      </c>
      <c r="G1842" t="s">
        <v>599</v>
      </c>
      <c r="H1842" t="s">
        <v>600</v>
      </c>
      <c r="I1842" t="s">
        <v>601</v>
      </c>
      <c r="J1842">
        <v>4.8999999999999998E-3</v>
      </c>
      <c r="K1842">
        <v>5.0000000000000001E-3</v>
      </c>
      <c r="L1842">
        <v>5.0000000000000001E-3</v>
      </c>
      <c r="M1842">
        <v>5.0000000000000001E-3</v>
      </c>
      <c r="N1842">
        <v>5.1000000000000004E-3</v>
      </c>
      <c r="O1842">
        <v>5.1999999999999998E-3</v>
      </c>
      <c r="P1842">
        <v>5.1999999999999998E-3</v>
      </c>
      <c r="Q1842">
        <v>5.3E-3</v>
      </c>
      <c r="R1842">
        <v>5.3E-3</v>
      </c>
      <c r="S1842">
        <v>5.3E-3</v>
      </c>
      <c r="T1842">
        <v>5.4000000000000003E-3</v>
      </c>
      <c r="U1842">
        <v>5.4000000000000003E-3</v>
      </c>
      <c r="V1842">
        <v>5.4000000000000003E-3</v>
      </c>
      <c r="W1842">
        <v>5.4999999999999997E-3</v>
      </c>
      <c r="X1842">
        <v>5.4999999999999997E-3</v>
      </c>
      <c r="Y1842">
        <v>5.5999999999999999E-3</v>
      </c>
    </row>
    <row r="1843" spans="1:25" hidden="1">
      <c r="A1843" t="s">
        <v>18810</v>
      </c>
      <c r="B1843" t="s">
        <v>959</v>
      </c>
      <c r="C1843" t="s">
        <v>956</v>
      </c>
      <c r="D1843" t="s">
        <v>931</v>
      </c>
      <c r="E1843" t="s">
        <v>613</v>
      </c>
      <c r="F1843" t="s">
        <v>598</v>
      </c>
      <c r="G1843" t="s">
        <v>599</v>
      </c>
      <c r="H1843" t="s">
        <v>600</v>
      </c>
      <c r="I1843" t="s">
        <v>601</v>
      </c>
      <c r="J1843">
        <v>8.0000000000000004E-4</v>
      </c>
      <c r="K1843">
        <v>8.0000000000000004E-4</v>
      </c>
      <c r="L1843">
        <v>8.0000000000000004E-4</v>
      </c>
      <c r="M1843">
        <v>8.0000000000000004E-4</v>
      </c>
      <c r="N1843">
        <v>8.0000000000000004E-4</v>
      </c>
      <c r="O1843">
        <v>8.0000000000000004E-4</v>
      </c>
      <c r="P1843">
        <v>8.0000000000000004E-4</v>
      </c>
      <c r="Q1843">
        <v>8.0000000000000004E-4</v>
      </c>
      <c r="R1843">
        <v>8.0000000000000004E-4</v>
      </c>
      <c r="S1843">
        <v>8.0000000000000004E-4</v>
      </c>
      <c r="T1843">
        <v>8.0000000000000004E-4</v>
      </c>
      <c r="U1843">
        <v>8.0000000000000004E-4</v>
      </c>
      <c r="V1843">
        <v>8.0000000000000004E-4</v>
      </c>
      <c r="W1843">
        <v>8.0000000000000004E-4</v>
      </c>
      <c r="X1843">
        <v>8.0000000000000004E-4</v>
      </c>
      <c r="Y1843">
        <v>8.0000000000000004E-4</v>
      </c>
    </row>
    <row r="1844" spans="1:25" hidden="1">
      <c r="A1844" t="s">
        <v>18810</v>
      </c>
      <c r="B1844" t="s">
        <v>960</v>
      </c>
      <c r="C1844" t="s">
        <v>956</v>
      </c>
      <c r="D1844" t="s">
        <v>931</v>
      </c>
      <c r="E1844" t="s">
        <v>961</v>
      </c>
      <c r="F1844" t="s">
        <v>598</v>
      </c>
      <c r="G1844" t="s">
        <v>599</v>
      </c>
      <c r="H1844" t="s">
        <v>600</v>
      </c>
      <c r="I1844" t="s">
        <v>601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25" hidden="1">
      <c r="A1845" t="s">
        <v>18810</v>
      </c>
      <c r="B1845" t="s">
        <v>963</v>
      </c>
      <c r="C1845" t="s">
        <v>956</v>
      </c>
      <c r="D1845" t="s">
        <v>934</v>
      </c>
      <c r="E1845" t="s">
        <v>597</v>
      </c>
      <c r="F1845" t="s">
        <v>598</v>
      </c>
      <c r="G1845" t="s">
        <v>599</v>
      </c>
      <c r="H1845" t="s">
        <v>600</v>
      </c>
      <c r="I1845" t="s">
        <v>601</v>
      </c>
      <c r="J1845">
        <v>1.1000000000000001E-3</v>
      </c>
      <c r="K1845">
        <v>1.1000000000000001E-3</v>
      </c>
      <c r="L1845">
        <v>1.1000000000000001E-3</v>
      </c>
      <c r="M1845">
        <v>1.1999999999999999E-3</v>
      </c>
      <c r="N1845">
        <v>1.1999999999999999E-3</v>
      </c>
      <c r="O1845">
        <v>1.4E-3</v>
      </c>
      <c r="P1845">
        <v>1.4E-3</v>
      </c>
      <c r="Q1845">
        <v>1.4E-3</v>
      </c>
      <c r="R1845">
        <v>1.4E-3</v>
      </c>
      <c r="S1845">
        <v>1.4E-3</v>
      </c>
      <c r="T1845">
        <v>1.4E-3</v>
      </c>
      <c r="U1845">
        <v>1.4E-3</v>
      </c>
      <c r="V1845">
        <v>1.5E-3</v>
      </c>
      <c r="W1845">
        <v>1.5E-3</v>
      </c>
      <c r="X1845">
        <v>1.5E-3</v>
      </c>
      <c r="Y1845">
        <v>1.6000000000000001E-3</v>
      </c>
    </row>
    <row r="1846" spans="1:25" hidden="1">
      <c r="A1846" t="s">
        <v>18810</v>
      </c>
      <c r="B1846" t="s">
        <v>964</v>
      </c>
      <c r="C1846" t="s">
        <v>956</v>
      </c>
      <c r="D1846" t="s">
        <v>934</v>
      </c>
      <c r="E1846" t="s">
        <v>605</v>
      </c>
      <c r="F1846" t="s">
        <v>598</v>
      </c>
      <c r="G1846" t="s">
        <v>599</v>
      </c>
      <c r="H1846" t="s">
        <v>600</v>
      </c>
      <c r="I1846" t="s">
        <v>601</v>
      </c>
      <c r="J1846">
        <v>0.1191</v>
      </c>
      <c r="K1846">
        <v>0.1191</v>
      </c>
      <c r="L1846">
        <v>0.1192</v>
      </c>
      <c r="M1846">
        <v>0.11899999999999999</v>
      </c>
      <c r="N1846">
        <v>0.1192</v>
      </c>
      <c r="O1846">
        <v>0.1192</v>
      </c>
      <c r="P1846">
        <v>0.1191</v>
      </c>
      <c r="Q1846">
        <v>0.1188</v>
      </c>
      <c r="R1846">
        <v>0.11849999999999999</v>
      </c>
      <c r="S1846">
        <v>0.11840000000000001</v>
      </c>
      <c r="T1846">
        <v>0.1182</v>
      </c>
      <c r="U1846">
        <v>0.1176</v>
      </c>
      <c r="V1846">
        <v>0.1173</v>
      </c>
      <c r="W1846">
        <v>0.1169</v>
      </c>
      <c r="X1846">
        <v>0.11650000000000001</v>
      </c>
      <c r="Y1846">
        <v>0.1159</v>
      </c>
    </row>
    <row r="1847" spans="1:25" hidden="1">
      <c r="A1847" t="s">
        <v>18810</v>
      </c>
      <c r="B1847" t="s">
        <v>966</v>
      </c>
      <c r="C1847" t="s">
        <v>956</v>
      </c>
      <c r="D1847" t="s">
        <v>648</v>
      </c>
      <c r="E1847" t="s">
        <v>597</v>
      </c>
      <c r="F1847" t="s">
        <v>598</v>
      </c>
      <c r="G1847" t="s">
        <v>599</v>
      </c>
      <c r="H1847" t="s">
        <v>600</v>
      </c>
      <c r="I1847" t="s">
        <v>601</v>
      </c>
      <c r="J1847">
        <v>2.0000000000000001E-4</v>
      </c>
      <c r="K1847">
        <v>2.0000000000000001E-4</v>
      </c>
      <c r="L1847">
        <v>2.0000000000000001E-4</v>
      </c>
      <c r="M1847">
        <v>2.0000000000000001E-4</v>
      </c>
      <c r="N1847">
        <v>2.0000000000000001E-4</v>
      </c>
      <c r="O1847">
        <v>2.0000000000000001E-4</v>
      </c>
      <c r="P1847">
        <v>2.0000000000000001E-4</v>
      </c>
      <c r="Q1847">
        <v>2.0000000000000001E-4</v>
      </c>
      <c r="R1847">
        <v>2.0000000000000001E-4</v>
      </c>
      <c r="S1847">
        <v>2.0000000000000001E-4</v>
      </c>
      <c r="T1847">
        <v>2.0000000000000001E-4</v>
      </c>
      <c r="U1847">
        <v>2.0000000000000001E-4</v>
      </c>
      <c r="V1847">
        <v>2.0000000000000001E-4</v>
      </c>
      <c r="W1847">
        <v>2.0000000000000001E-4</v>
      </c>
      <c r="X1847">
        <v>2.0000000000000001E-4</v>
      </c>
      <c r="Y1847">
        <v>2.0000000000000001E-4</v>
      </c>
    </row>
    <row r="1848" spans="1:25" hidden="1">
      <c r="A1848" t="s">
        <v>18810</v>
      </c>
      <c r="B1848" t="s">
        <v>967</v>
      </c>
      <c r="C1848" t="s">
        <v>956</v>
      </c>
      <c r="D1848" t="s">
        <v>648</v>
      </c>
      <c r="E1848" t="s">
        <v>642</v>
      </c>
      <c r="F1848" t="s">
        <v>598</v>
      </c>
      <c r="G1848" t="s">
        <v>599</v>
      </c>
      <c r="H1848" t="s">
        <v>600</v>
      </c>
      <c r="I1848" t="s">
        <v>601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</row>
    <row r="1849" spans="1:25" hidden="1">
      <c r="A1849" t="s">
        <v>18810</v>
      </c>
      <c r="B1849" t="s">
        <v>968</v>
      </c>
      <c r="C1849" t="s">
        <v>956</v>
      </c>
      <c r="D1849" t="s">
        <v>648</v>
      </c>
      <c r="E1849" t="s">
        <v>961</v>
      </c>
      <c r="F1849" t="s">
        <v>598</v>
      </c>
      <c r="G1849" t="s">
        <v>599</v>
      </c>
      <c r="H1849" t="s">
        <v>600</v>
      </c>
      <c r="I1849" t="s">
        <v>601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1E-4</v>
      </c>
      <c r="Q1849">
        <v>1E-4</v>
      </c>
      <c r="R1849">
        <v>1E-4</v>
      </c>
      <c r="S1849">
        <v>1E-4</v>
      </c>
      <c r="T1849">
        <v>1E-4</v>
      </c>
      <c r="U1849">
        <v>1E-4</v>
      </c>
      <c r="V1849">
        <v>1E-4</v>
      </c>
      <c r="W1849">
        <v>1E-4</v>
      </c>
      <c r="X1849">
        <v>1E-4</v>
      </c>
      <c r="Y1849">
        <v>1E-4</v>
      </c>
    </row>
    <row r="1850" spans="1:25" hidden="1">
      <c r="A1850" t="s">
        <v>18810</v>
      </c>
      <c r="B1850" t="s">
        <v>970</v>
      </c>
      <c r="C1850" t="s">
        <v>971</v>
      </c>
      <c r="D1850" t="s">
        <v>972</v>
      </c>
      <c r="E1850" t="s">
        <v>973</v>
      </c>
      <c r="F1850" t="s">
        <v>598</v>
      </c>
      <c r="G1850" t="s">
        <v>599</v>
      </c>
      <c r="H1850" t="s">
        <v>600</v>
      </c>
      <c r="I1850" t="s">
        <v>601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</row>
    <row r="1851" spans="1:25" hidden="1">
      <c r="A1851" t="s">
        <v>18810</v>
      </c>
      <c r="B1851" t="s">
        <v>974</v>
      </c>
      <c r="C1851" t="s">
        <v>971</v>
      </c>
      <c r="D1851" t="s">
        <v>648</v>
      </c>
      <c r="E1851" t="s">
        <v>973</v>
      </c>
      <c r="F1851" t="s">
        <v>598</v>
      </c>
      <c r="G1851" t="s">
        <v>599</v>
      </c>
      <c r="H1851" t="s">
        <v>600</v>
      </c>
      <c r="I1851" t="s">
        <v>601</v>
      </c>
      <c r="J1851">
        <v>1E-4</v>
      </c>
      <c r="K1851">
        <v>1E-4</v>
      </c>
      <c r="L1851">
        <v>1E-4</v>
      </c>
      <c r="M1851">
        <v>1E-4</v>
      </c>
      <c r="N1851">
        <v>1E-4</v>
      </c>
      <c r="O1851">
        <v>1E-4</v>
      </c>
      <c r="P1851">
        <v>1E-4</v>
      </c>
      <c r="Q1851">
        <v>1E-4</v>
      </c>
      <c r="R1851">
        <v>1E-4</v>
      </c>
      <c r="S1851">
        <v>1E-4</v>
      </c>
      <c r="T1851">
        <v>1E-4</v>
      </c>
      <c r="U1851">
        <v>1E-4</v>
      </c>
      <c r="V1851">
        <v>1E-4</v>
      </c>
      <c r="W1851">
        <v>1E-4</v>
      </c>
      <c r="X1851">
        <v>1E-4</v>
      </c>
      <c r="Y1851">
        <v>1E-4</v>
      </c>
    </row>
    <row r="1852" spans="1:25" hidden="1">
      <c r="A1852" t="s">
        <v>18810</v>
      </c>
      <c r="B1852" t="s">
        <v>977</v>
      </c>
      <c r="C1852" t="s">
        <v>971</v>
      </c>
      <c r="D1852" t="s">
        <v>648</v>
      </c>
      <c r="E1852" t="s">
        <v>613</v>
      </c>
      <c r="F1852" t="s">
        <v>598</v>
      </c>
      <c r="G1852" t="s">
        <v>599</v>
      </c>
      <c r="H1852" t="s">
        <v>600</v>
      </c>
      <c r="I1852" t="s">
        <v>601</v>
      </c>
      <c r="J1852">
        <v>4.02E-2</v>
      </c>
      <c r="K1852">
        <v>4.0899999999999999E-2</v>
      </c>
      <c r="L1852">
        <v>4.1399999999999999E-2</v>
      </c>
      <c r="M1852">
        <v>4.19E-2</v>
      </c>
      <c r="N1852">
        <v>4.2599999999999999E-2</v>
      </c>
      <c r="O1852">
        <v>4.3299999999999998E-2</v>
      </c>
      <c r="P1852">
        <v>4.3799999999999999E-2</v>
      </c>
      <c r="Q1852">
        <v>4.41E-2</v>
      </c>
      <c r="R1852">
        <v>4.48E-2</v>
      </c>
      <c r="S1852">
        <v>4.53E-2</v>
      </c>
      <c r="T1852">
        <v>4.5900000000000003E-2</v>
      </c>
      <c r="U1852">
        <v>4.6300000000000001E-2</v>
      </c>
      <c r="V1852">
        <v>4.6899999999999997E-2</v>
      </c>
      <c r="W1852">
        <v>4.7600000000000003E-2</v>
      </c>
      <c r="X1852">
        <v>4.82E-2</v>
      </c>
      <c r="Y1852">
        <v>4.8800000000000003E-2</v>
      </c>
    </row>
    <row r="1853" spans="1:25" hidden="1">
      <c r="A1853" t="s">
        <v>18810</v>
      </c>
      <c r="B1853" t="s">
        <v>978</v>
      </c>
      <c r="C1853" t="s">
        <v>971</v>
      </c>
      <c r="D1853" t="s">
        <v>648</v>
      </c>
      <c r="E1853" t="s">
        <v>927</v>
      </c>
      <c r="F1853" t="s">
        <v>598</v>
      </c>
      <c r="G1853" t="s">
        <v>599</v>
      </c>
      <c r="H1853" t="s">
        <v>600</v>
      </c>
      <c r="I1853" t="s">
        <v>601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</row>
    <row r="1854" spans="1:25" hidden="1">
      <c r="A1854" t="s">
        <v>18810</v>
      </c>
      <c r="B1854" t="s">
        <v>981</v>
      </c>
      <c r="C1854" t="s">
        <v>980</v>
      </c>
      <c r="D1854" t="s">
        <v>982</v>
      </c>
      <c r="E1854" t="s">
        <v>613</v>
      </c>
      <c r="F1854" t="s">
        <v>598</v>
      </c>
      <c r="G1854" t="s">
        <v>599</v>
      </c>
      <c r="H1854" t="s">
        <v>600</v>
      </c>
      <c r="I1854" t="s">
        <v>601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hidden="1">
      <c r="A1855" t="s">
        <v>18810</v>
      </c>
      <c r="B1855" t="s">
        <v>983</v>
      </c>
      <c r="C1855" t="s">
        <v>980</v>
      </c>
      <c r="D1855" t="s">
        <v>982</v>
      </c>
      <c r="E1855" t="s">
        <v>984</v>
      </c>
      <c r="F1855" t="s">
        <v>598</v>
      </c>
      <c r="G1855" t="s">
        <v>599</v>
      </c>
      <c r="H1855" t="s">
        <v>600</v>
      </c>
      <c r="I1855" t="s">
        <v>601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</row>
    <row r="1856" spans="1:25" hidden="1">
      <c r="A1856" t="s">
        <v>18810</v>
      </c>
      <c r="B1856" t="s">
        <v>985</v>
      </c>
      <c r="C1856" t="s">
        <v>980</v>
      </c>
      <c r="D1856" t="s">
        <v>986</v>
      </c>
      <c r="E1856" t="s">
        <v>973</v>
      </c>
      <c r="F1856" t="s">
        <v>598</v>
      </c>
      <c r="G1856" t="s">
        <v>599</v>
      </c>
      <c r="H1856" t="s">
        <v>600</v>
      </c>
      <c r="I1856" t="s">
        <v>601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hidden="1">
      <c r="A1857" t="s">
        <v>18810</v>
      </c>
      <c r="B1857" t="s">
        <v>988</v>
      </c>
      <c r="C1857" t="s">
        <v>980</v>
      </c>
      <c r="D1857" t="s">
        <v>648</v>
      </c>
      <c r="E1857" t="s">
        <v>920</v>
      </c>
      <c r="F1857" t="s">
        <v>598</v>
      </c>
      <c r="G1857" t="s">
        <v>599</v>
      </c>
      <c r="H1857" t="s">
        <v>600</v>
      </c>
      <c r="I1857" t="s">
        <v>601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</row>
    <row r="1858" spans="1:25" hidden="1">
      <c r="A1858" t="s">
        <v>18810</v>
      </c>
      <c r="B1858" t="s">
        <v>990</v>
      </c>
      <c r="C1858" t="s">
        <v>980</v>
      </c>
      <c r="D1858" t="s">
        <v>648</v>
      </c>
      <c r="E1858" t="s">
        <v>984</v>
      </c>
      <c r="F1858" t="s">
        <v>598</v>
      </c>
      <c r="G1858" t="s">
        <v>599</v>
      </c>
      <c r="H1858" t="s">
        <v>600</v>
      </c>
      <c r="I1858" t="s">
        <v>601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</row>
    <row r="1859" spans="1:25" hidden="1">
      <c r="A1859" t="s">
        <v>18810</v>
      </c>
      <c r="B1859" t="s">
        <v>991</v>
      </c>
      <c r="C1859" t="s">
        <v>980</v>
      </c>
      <c r="D1859" t="s">
        <v>648</v>
      </c>
      <c r="E1859" t="s">
        <v>927</v>
      </c>
      <c r="F1859" t="s">
        <v>598</v>
      </c>
      <c r="G1859" t="s">
        <v>599</v>
      </c>
      <c r="H1859" t="s">
        <v>600</v>
      </c>
      <c r="I1859" t="s">
        <v>601</v>
      </c>
      <c r="J1859">
        <v>2.0000000000000001E-4</v>
      </c>
      <c r="K1859">
        <v>2.0000000000000001E-4</v>
      </c>
      <c r="L1859">
        <v>2.0000000000000001E-4</v>
      </c>
      <c r="M1859">
        <v>2.0000000000000001E-4</v>
      </c>
      <c r="N1859">
        <v>2.0000000000000001E-4</v>
      </c>
      <c r="O1859">
        <v>2.0000000000000001E-4</v>
      </c>
      <c r="P1859">
        <v>2.0000000000000001E-4</v>
      </c>
      <c r="Q1859">
        <v>2.0000000000000001E-4</v>
      </c>
      <c r="R1859">
        <v>2.0000000000000001E-4</v>
      </c>
      <c r="S1859">
        <v>2.0000000000000001E-4</v>
      </c>
      <c r="T1859">
        <v>2.0000000000000001E-4</v>
      </c>
      <c r="U1859">
        <v>2.0000000000000001E-4</v>
      </c>
      <c r="V1859">
        <v>2.0000000000000001E-4</v>
      </c>
      <c r="W1859">
        <v>2.0000000000000001E-4</v>
      </c>
      <c r="X1859">
        <v>2.0000000000000001E-4</v>
      </c>
      <c r="Y1859">
        <v>2.0000000000000001E-4</v>
      </c>
    </row>
    <row r="1860" spans="1:25" hidden="1">
      <c r="A1860" t="s">
        <v>18810</v>
      </c>
      <c r="B1860" t="s">
        <v>994</v>
      </c>
      <c r="C1860" t="s">
        <v>980</v>
      </c>
      <c r="D1860" t="s">
        <v>648</v>
      </c>
      <c r="E1860" t="s">
        <v>954</v>
      </c>
      <c r="F1860" t="s">
        <v>598</v>
      </c>
      <c r="G1860" t="s">
        <v>599</v>
      </c>
      <c r="H1860" t="s">
        <v>600</v>
      </c>
      <c r="I1860" t="s">
        <v>601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hidden="1">
      <c r="A1861" t="s">
        <v>18810</v>
      </c>
      <c r="B1861" t="s">
        <v>997</v>
      </c>
      <c r="C1861" t="s">
        <v>998</v>
      </c>
      <c r="D1861" t="s">
        <v>999</v>
      </c>
      <c r="E1861" t="s">
        <v>1000</v>
      </c>
      <c r="F1861" t="s">
        <v>598</v>
      </c>
      <c r="G1861" t="s">
        <v>599</v>
      </c>
      <c r="H1861" t="s">
        <v>600</v>
      </c>
      <c r="I1861" t="s">
        <v>601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hidden="1">
      <c r="A1862" t="s">
        <v>18810</v>
      </c>
      <c r="B1862" t="s">
        <v>1001</v>
      </c>
      <c r="C1862" t="s">
        <v>998</v>
      </c>
      <c r="D1862" t="s">
        <v>999</v>
      </c>
      <c r="E1862" t="s">
        <v>1002</v>
      </c>
      <c r="F1862" t="s">
        <v>598</v>
      </c>
      <c r="G1862" t="s">
        <v>599</v>
      </c>
      <c r="H1862" t="s">
        <v>600</v>
      </c>
      <c r="I1862" t="s">
        <v>601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hidden="1">
      <c r="A1863" t="s">
        <v>18810</v>
      </c>
      <c r="B1863" t="s">
        <v>1005</v>
      </c>
      <c r="C1863" t="s">
        <v>998</v>
      </c>
      <c r="D1863" t="s">
        <v>999</v>
      </c>
      <c r="E1863" t="s">
        <v>1006</v>
      </c>
      <c r="F1863" t="s">
        <v>598</v>
      </c>
      <c r="G1863" t="s">
        <v>599</v>
      </c>
      <c r="H1863" t="s">
        <v>600</v>
      </c>
      <c r="I1863" t="s">
        <v>601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hidden="1">
      <c r="A1864" t="s">
        <v>18810</v>
      </c>
      <c r="B1864" t="s">
        <v>1009</v>
      </c>
      <c r="C1864" t="s">
        <v>998</v>
      </c>
      <c r="D1864" t="s">
        <v>999</v>
      </c>
      <c r="E1864" t="s">
        <v>1010</v>
      </c>
      <c r="F1864" t="s">
        <v>598</v>
      </c>
      <c r="G1864" t="s">
        <v>599</v>
      </c>
      <c r="H1864" t="s">
        <v>600</v>
      </c>
      <c r="I1864" t="s">
        <v>601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hidden="1">
      <c r="A1865" t="s">
        <v>18810</v>
      </c>
      <c r="B1865" t="s">
        <v>1011</v>
      </c>
      <c r="C1865" t="s">
        <v>998</v>
      </c>
      <c r="D1865" t="s">
        <v>1012</v>
      </c>
      <c r="E1865" t="s">
        <v>1004</v>
      </c>
      <c r="F1865" t="s">
        <v>598</v>
      </c>
      <c r="G1865" t="s">
        <v>599</v>
      </c>
      <c r="H1865" t="s">
        <v>600</v>
      </c>
      <c r="I1865" t="s">
        <v>601</v>
      </c>
      <c r="J1865">
        <v>1E-4</v>
      </c>
      <c r="K1865">
        <v>1E-4</v>
      </c>
      <c r="L1865">
        <v>1E-4</v>
      </c>
      <c r="M1865">
        <v>1E-4</v>
      </c>
      <c r="N1865">
        <v>1E-4</v>
      </c>
      <c r="O1865">
        <v>1E-4</v>
      </c>
      <c r="P1865">
        <v>1E-4</v>
      </c>
      <c r="Q1865">
        <v>1E-4</v>
      </c>
      <c r="R1865">
        <v>1E-4</v>
      </c>
      <c r="S1865">
        <v>1E-4</v>
      </c>
      <c r="T1865">
        <v>1E-4</v>
      </c>
      <c r="U1865">
        <v>1E-4</v>
      </c>
      <c r="V1865">
        <v>1E-4</v>
      </c>
      <c r="W1865">
        <v>1E-4</v>
      </c>
      <c r="X1865">
        <v>1E-4</v>
      </c>
      <c r="Y1865">
        <v>1E-4</v>
      </c>
    </row>
    <row r="1866" spans="1:25" hidden="1">
      <c r="A1866" t="s">
        <v>18810</v>
      </c>
      <c r="B1866" t="s">
        <v>1015</v>
      </c>
      <c r="C1866" t="s">
        <v>1016</v>
      </c>
      <c r="D1866" t="s">
        <v>1017</v>
      </c>
      <c r="E1866" t="s">
        <v>1018</v>
      </c>
      <c r="F1866" t="s">
        <v>598</v>
      </c>
      <c r="G1866" t="s">
        <v>599</v>
      </c>
      <c r="H1866" t="s">
        <v>600</v>
      </c>
      <c r="I1866" t="s">
        <v>601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</row>
    <row r="1867" spans="1:25" hidden="1">
      <c r="A1867" t="s">
        <v>18810</v>
      </c>
      <c r="B1867" t="s">
        <v>1019</v>
      </c>
      <c r="C1867" t="s">
        <v>1016</v>
      </c>
      <c r="D1867" t="s">
        <v>1017</v>
      </c>
      <c r="E1867" t="s">
        <v>1020</v>
      </c>
      <c r="F1867" t="s">
        <v>598</v>
      </c>
      <c r="G1867" t="s">
        <v>599</v>
      </c>
      <c r="H1867" t="s">
        <v>600</v>
      </c>
      <c r="I1867" t="s">
        <v>601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hidden="1">
      <c r="A1868" t="s">
        <v>18810</v>
      </c>
      <c r="B1868" t="s">
        <v>1025</v>
      </c>
      <c r="C1868" t="s">
        <v>1016</v>
      </c>
      <c r="D1868" t="s">
        <v>1017</v>
      </c>
      <c r="E1868" t="s">
        <v>1026</v>
      </c>
      <c r="F1868" t="s">
        <v>598</v>
      </c>
      <c r="G1868" t="s">
        <v>599</v>
      </c>
      <c r="H1868" t="s">
        <v>600</v>
      </c>
      <c r="I1868" t="s">
        <v>601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hidden="1">
      <c r="A1869" t="s">
        <v>18810</v>
      </c>
      <c r="B1869" t="s">
        <v>1029</v>
      </c>
      <c r="C1869" t="s">
        <v>1016</v>
      </c>
      <c r="D1869" t="s">
        <v>1017</v>
      </c>
      <c r="E1869" t="s">
        <v>1030</v>
      </c>
      <c r="F1869" t="s">
        <v>598</v>
      </c>
      <c r="G1869" t="s">
        <v>599</v>
      </c>
      <c r="H1869" t="s">
        <v>600</v>
      </c>
      <c r="I1869" t="s">
        <v>601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hidden="1">
      <c r="A1870" t="s">
        <v>18810</v>
      </c>
      <c r="B1870" t="s">
        <v>1031</v>
      </c>
      <c r="C1870" t="s">
        <v>1016</v>
      </c>
      <c r="D1870" t="s">
        <v>1017</v>
      </c>
      <c r="E1870" t="s">
        <v>630</v>
      </c>
      <c r="F1870" t="s">
        <v>598</v>
      </c>
      <c r="G1870" t="s">
        <v>599</v>
      </c>
      <c r="H1870" t="s">
        <v>600</v>
      </c>
      <c r="I1870" t="s">
        <v>601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hidden="1">
      <c r="A1871" t="s">
        <v>18810</v>
      </c>
      <c r="B1871" t="s">
        <v>1032</v>
      </c>
      <c r="C1871" t="s">
        <v>1016</v>
      </c>
      <c r="D1871" t="s">
        <v>1017</v>
      </c>
      <c r="E1871" t="s">
        <v>1033</v>
      </c>
      <c r="F1871" t="s">
        <v>598</v>
      </c>
      <c r="G1871" t="s">
        <v>599</v>
      </c>
      <c r="H1871" t="s">
        <v>600</v>
      </c>
      <c r="I1871" t="s">
        <v>601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hidden="1">
      <c r="A1872" t="s">
        <v>18810</v>
      </c>
      <c r="B1872" t="s">
        <v>1034</v>
      </c>
      <c r="C1872" t="s">
        <v>1016</v>
      </c>
      <c r="D1872" t="s">
        <v>1017</v>
      </c>
      <c r="E1872" t="s">
        <v>1035</v>
      </c>
      <c r="F1872" t="s">
        <v>598</v>
      </c>
      <c r="G1872" t="s">
        <v>599</v>
      </c>
      <c r="H1872" t="s">
        <v>600</v>
      </c>
      <c r="I1872" t="s">
        <v>601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hidden="1">
      <c r="A1873" t="s">
        <v>18810</v>
      </c>
      <c r="B1873" t="s">
        <v>1036</v>
      </c>
      <c r="C1873" t="s">
        <v>1016</v>
      </c>
      <c r="D1873" t="s">
        <v>1017</v>
      </c>
      <c r="E1873" t="s">
        <v>1000</v>
      </c>
      <c r="F1873" t="s">
        <v>598</v>
      </c>
      <c r="G1873" t="s">
        <v>599</v>
      </c>
      <c r="H1873" t="s">
        <v>600</v>
      </c>
      <c r="I1873" t="s">
        <v>601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hidden="1">
      <c r="A1874" t="s">
        <v>18810</v>
      </c>
      <c r="B1874" t="s">
        <v>1041</v>
      </c>
      <c r="C1874" t="s">
        <v>1016</v>
      </c>
      <c r="D1874" t="s">
        <v>1017</v>
      </c>
      <c r="E1874" t="s">
        <v>1042</v>
      </c>
      <c r="F1874" t="s">
        <v>598</v>
      </c>
      <c r="G1874" t="s">
        <v>599</v>
      </c>
      <c r="H1874" t="s">
        <v>600</v>
      </c>
      <c r="I1874" t="s">
        <v>601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hidden="1">
      <c r="A1875" t="s">
        <v>18810</v>
      </c>
      <c r="B1875" t="s">
        <v>1043</v>
      </c>
      <c r="C1875" t="s">
        <v>1016</v>
      </c>
      <c r="D1875" t="s">
        <v>1017</v>
      </c>
      <c r="E1875" t="s">
        <v>1044</v>
      </c>
      <c r="F1875" t="s">
        <v>598</v>
      </c>
      <c r="G1875" t="s">
        <v>599</v>
      </c>
      <c r="H1875" t="s">
        <v>600</v>
      </c>
      <c r="I1875" t="s">
        <v>601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hidden="1">
      <c r="A1876" t="s">
        <v>18810</v>
      </c>
      <c r="B1876" t="s">
        <v>1047</v>
      </c>
      <c r="C1876" t="s">
        <v>1016</v>
      </c>
      <c r="D1876" t="s">
        <v>1017</v>
      </c>
      <c r="E1876" t="s">
        <v>1048</v>
      </c>
      <c r="F1876" t="s">
        <v>598</v>
      </c>
      <c r="G1876" t="s">
        <v>599</v>
      </c>
      <c r="H1876" t="s">
        <v>600</v>
      </c>
      <c r="I1876" t="s">
        <v>601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hidden="1">
      <c r="A1877" t="s">
        <v>18810</v>
      </c>
      <c r="B1877" t="s">
        <v>1053</v>
      </c>
      <c r="C1877" t="s">
        <v>1016</v>
      </c>
      <c r="D1877" t="s">
        <v>1050</v>
      </c>
      <c r="E1877" t="s">
        <v>1000</v>
      </c>
      <c r="F1877" t="s">
        <v>598</v>
      </c>
      <c r="G1877" t="s">
        <v>599</v>
      </c>
      <c r="H1877" t="s">
        <v>600</v>
      </c>
      <c r="I1877" t="s">
        <v>601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hidden="1">
      <c r="A1878" t="s">
        <v>18810</v>
      </c>
      <c r="B1878" t="s">
        <v>1056</v>
      </c>
      <c r="C1878" t="s">
        <v>1016</v>
      </c>
      <c r="D1878" t="s">
        <v>1050</v>
      </c>
      <c r="E1878" t="s">
        <v>1002</v>
      </c>
      <c r="F1878" t="s">
        <v>598</v>
      </c>
      <c r="G1878" t="s">
        <v>599</v>
      </c>
      <c r="H1878" t="s">
        <v>600</v>
      </c>
      <c r="I1878" t="s">
        <v>601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hidden="1">
      <c r="A1879" t="s">
        <v>18810</v>
      </c>
      <c r="B1879" t="s">
        <v>1059</v>
      </c>
      <c r="C1879" t="s">
        <v>1016</v>
      </c>
      <c r="D1879" t="s">
        <v>1050</v>
      </c>
      <c r="E1879" t="s">
        <v>1042</v>
      </c>
      <c r="F1879" t="s">
        <v>598</v>
      </c>
      <c r="G1879" t="s">
        <v>599</v>
      </c>
      <c r="H1879" t="s">
        <v>600</v>
      </c>
      <c r="I1879" t="s">
        <v>601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hidden="1">
      <c r="A1880" t="s">
        <v>18810</v>
      </c>
      <c r="B1880" t="s">
        <v>1060</v>
      </c>
      <c r="C1880" t="s">
        <v>1016</v>
      </c>
      <c r="D1880" t="s">
        <v>1050</v>
      </c>
      <c r="E1880" t="s">
        <v>1044</v>
      </c>
      <c r="F1880" t="s">
        <v>598</v>
      </c>
      <c r="G1880" t="s">
        <v>599</v>
      </c>
      <c r="H1880" t="s">
        <v>600</v>
      </c>
      <c r="I1880" t="s">
        <v>601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hidden="1">
      <c r="A1881" t="s">
        <v>18810</v>
      </c>
      <c r="B1881" t="s">
        <v>1061</v>
      </c>
      <c r="C1881" t="s">
        <v>1016</v>
      </c>
      <c r="D1881" t="s">
        <v>1050</v>
      </c>
      <c r="E1881" t="s">
        <v>1048</v>
      </c>
      <c r="F1881" t="s">
        <v>598</v>
      </c>
      <c r="G1881" t="s">
        <v>599</v>
      </c>
      <c r="H1881" t="s">
        <v>600</v>
      </c>
      <c r="I1881" t="s">
        <v>601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 hidden="1">
      <c r="A1882" t="s">
        <v>18810</v>
      </c>
      <c r="B1882" t="s">
        <v>1076</v>
      </c>
      <c r="C1882" t="s">
        <v>1016</v>
      </c>
      <c r="D1882" t="s">
        <v>1063</v>
      </c>
      <c r="E1882" t="s">
        <v>1048</v>
      </c>
      <c r="F1882" t="s">
        <v>598</v>
      </c>
      <c r="G1882" t="s">
        <v>599</v>
      </c>
      <c r="H1882" t="s">
        <v>600</v>
      </c>
      <c r="I1882" t="s">
        <v>601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hidden="1">
      <c r="A1883" t="s">
        <v>18810</v>
      </c>
      <c r="B1883" t="s">
        <v>1082</v>
      </c>
      <c r="C1883" t="s">
        <v>1079</v>
      </c>
      <c r="D1883" t="s">
        <v>1083</v>
      </c>
      <c r="E1883" t="s">
        <v>1084</v>
      </c>
      <c r="F1883" t="s">
        <v>598</v>
      </c>
      <c r="G1883" t="s">
        <v>599</v>
      </c>
      <c r="H1883" t="s">
        <v>600</v>
      </c>
      <c r="I1883" t="s">
        <v>601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hidden="1">
      <c r="A1884" t="s">
        <v>18810</v>
      </c>
      <c r="B1884" t="s">
        <v>1085</v>
      </c>
      <c r="C1884" t="s">
        <v>1079</v>
      </c>
      <c r="D1884" t="s">
        <v>1086</v>
      </c>
      <c r="E1884" t="s">
        <v>1004</v>
      </c>
      <c r="F1884" t="s">
        <v>598</v>
      </c>
      <c r="G1884" t="s">
        <v>599</v>
      </c>
      <c r="H1884" t="s">
        <v>600</v>
      </c>
      <c r="I1884" t="s">
        <v>601</v>
      </c>
      <c r="J1884">
        <v>2.0000000000000001E-4</v>
      </c>
      <c r="K1884">
        <v>2.0000000000000001E-4</v>
      </c>
      <c r="L1884">
        <v>2.0000000000000001E-4</v>
      </c>
      <c r="M1884">
        <v>2.0000000000000001E-4</v>
      </c>
      <c r="N1884">
        <v>2.0000000000000001E-4</v>
      </c>
      <c r="O1884">
        <v>2.9999999999999997E-4</v>
      </c>
      <c r="P1884">
        <v>2.9999999999999997E-4</v>
      </c>
      <c r="Q1884">
        <v>2.9999999999999997E-4</v>
      </c>
      <c r="R1884">
        <v>2.9999999999999997E-4</v>
      </c>
      <c r="S1884">
        <v>2.9999999999999997E-4</v>
      </c>
      <c r="T1884">
        <v>2.9999999999999997E-4</v>
      </c>
      <c r="U1884">
        <v>2.9999999999999997E-4</v>
      </c>
      <c r="V1884">
        <v>2.9999999999999997E-4</v>
      </c>
      <c r="W1884">
        <v>2.9999999999999997E-4</v>
      </c>
      <c r="X1884">
        <v>2.9999999999999997E-4</v>
      </c>
      <c r="Y1884">
        <v>2.9999999999999997E-4</v>
      </c>
    </row>
    <row r="1885" spans="1:25" hidden="1">
      <c r="A1885" t="s">
        <v>18810</v>
      </c>
      <c r="B1885" t="s">
        <v>1087</v>
      </c>
      <c r="C1885" t="s">
        <v>1079</v>
      </c>
      <c r="D1885" t="s">
        <v>1086</v>
      </c>
      <c r="E1885" t="s">
        <v>1081</v>
      </c>
      <c r="F1885" t="s">
        <v>598</v>
      </c>
      <c r="G1885" t="s">
        <v>599</v>
      </c>
      <c r="H1885" t="s">
        <v>600</v>
      </c>
      <c r="I1885" t="s">
        <v>601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 hidden="1">
      <c r="A1886" t="s">
        <v>18810</v>
      </c>
      <c r="B1886" t="s">
        <v>1090</v>
      </c>
      <c r="C1886" t="s">
        <v>1079</v>
      </c>
      <c r="D1886" t="s">
        <v>1086</v>
      </c>
      <c r="E1886" t="s">
        <v>1091</v>
      </c>
      <c r="F1886" t="s">
        <v>598</v>
      </c>
      <c r="G1886" t="s">
        <v>599</v>
      </c>
      <c r="H1886" t="s">
        <v>600</v>
      </c>
      <c r="I1886" t="s">
        <v>601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hidden="1">
      <c r="A1887" t="s">
        <v>18810</v>
      </c>
      <c r="B1887" t="s">
        <v>1092</v>
      </c>
      <c r="C1887" t="s">
        <v>1079</v>
      </c>
      <c r="D1887" t="s">
        <v>1086</v>
      </c>
      <c r="E1887" t="s">
        <v>1093</v>
      </c>
      <c r="F1887" t="s">
        <v>598</v>
      </c>
      <c r="G1887" t="s">
        <v>599</v>
      </c>
      <c r="H1887" t="s">
        <v>600</v>
      </c>
      <c r="I1887" t="s">
        <v>601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hidden="1">
      <c r="A1888" t="s">
        <v>18810</v>
      </c>
      <c r="B1888" t="s">
        <v>1096</v>
      </c>
      <c r="C1888" t="s">
        <v>1079</v>
      </c>
      <c r="D1888" t="s">
        <v>1086</v>
      </c>
      <c r="E1888" t="s">
        <v>1097</v>
      </c>
      <c r="F1888" t="s">
        <v>598</v>
      </c>
      <c r="G1888" t="s">
        <v>599</v>
      </c>
      <c r="H1888" t="s">
        <v>600</v>
      </c>
      <c r="I1888" t="s">
        <v>601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 hidden="1">
      <c r="A1889" t="s">
        <v>18810</v>
      </c>
      <c r="B1889" t="s">
        <v>1098</v>
      </c>
      <c r="C1889" t="s">
        <v>1079</v>
      </c>
      <c r="D1889" t="s">
        <v>1086</v>
      </c>
      <c r="E1889" t="s">
        <v>1099</v>
      </c>
      <c r="F1889" t="s">
        <v>598</v>
      </c>
      <c r="G1889" t="s">
        <v>599</v>
      </c>
      <c r="H1889" t="s">
        <v>600</v>
      </c>
      <c r="I1889" t="s">
        <v>601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hidden="1">
      <c r="A1890" t="s">
        <v>18810</v>
      </c>
      <c r="B1890" t="s">
        <v>1100</v>
      </c>
      <c r="C1890" t="s">
        <v>1079</v>
      </c>
      <c r="D1890" t="s">
        <v>1086</v>
      </c>
      <c r="E1890" t="s">
        <v>1101</v>
      </c>
      <c r="F1890" t="s">
        <v>598</v>
      </c>
      <c r="G1890" t="s">
        <v>599</v>
      </c>
      <c r="H1890" t="s">
        <v>600</v>
      </c>
      <c r="I1890" t="s">
        <v>601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hidden="1">
      <c r="A1891" t="s">
        <v>18810</v>
      </c>
      <c r="B1891" t="s">
        <v>1107</v>
      </c>
      <c r="C1891" t="s">
        <v>1079</v>
      </c>
      <c r="D1891" t="s">
        <v>1108</v>
      </c>
      <c r="E1891" t="s">
        <v>1081</v>
      </c>
      <c r="F1891" t="s">
        <v>598</v>
      </c>
      <c r="G1891" t="s">
        <v>599</v>
      </c>
      <c r="H1891" t="s">
        <v>600</v>
      </c>
      <c r="I1891" t="s">
        <v>601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hidden="1">
      <c r="A1892" t="s">
        <v>18810</v>
      </c>
      <c r="B1892" t="s">
        <v>1109</v>
      </c>
      <c r="C1892" t="s">
        <v>1079</v>
      </c>
      <c r="D1892" t="s">
        <v>1108</v>
      </c>
      <c r="E1892" t="s">
        <v>1091</v>
      </c>
      <c r="F1892" t="s">
        <v>598</v>
      </c>
      <c r="G1892" t="s">
        <v>599</v>
      </c>
      <c r="H1892" t="s">
        <v>600</v>
      </c>
      <c r="I1892" t="s">
        <v>601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hidden="1">
      <c r="A1893" t="s">
        <v>18810</v>
      </c>
      <c r="B1893" t="s">
        <v>1111</v>
      </c>
      <c r="C1893" t="s">
        <v>1079</v>
      </c>
      <c r="D1893" t="s">
        <v>1108</v>
      </c>
      <c r="E1893" t="s">
        <v>1095</v>
      </c>
      <c r="F1893" t="s">
        <v>598</v>
      </c>
      <c r="G1893" t="s">
        <v>599</v>
      </c>
      <c r="H1893" t="s">
        <v>600</v>
      </c>
      <c r="I1893" t="s">
        <v>601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hidden="1">
      <c r="A1894" t="s">
        <v>18810</v>
      </c>
      <c r="B1894" t="s">
        <v>1113</v>
      </c>
      <c r="C1894" t="s">
        <v>1079</v>
      </c>
      <c r="D1894" t="s">
        <v>1108</v>
      </c>
      <c r="E1894" t="s">
        <v>1101</v>
      </c>
      <c r="F1894" t="s">
        <v>598</v>
      </c>
      <c r="G1894" t="s">
        <v>599</v>
      </c>
      <c r="H1894" t="s">
        <v>600</v>
      </c>
      <c r="I1894" t="s">
        <v>601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hidden="1">
      <c r="A1895" t="s">
        <v>18810</v>
      </c>
      <c r="B1895" t="s">
        <v>1114</v>
      </c>
      <c r="C1895" t="s">
        <v>1079</v>
      </c>
      <c r="D1895" t="s">
        <v>1115</v>
      </c>
      <c r="E1895" t="s">
        <v>1081</v>
      </c>
      <c r="F1895" t="s">
        <v>598</v>
      </c>
      <c r="G1895" t="s">
        <v>599</v>
      </c>
      <c r="H1895" t="s">
        <v>600</v>
      </c>
      <c r="I1895" t="s">
        <v>601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hidden="1">
      <c r="A1896" t="s">
        <v>18810</v>
      </c>
      <c r="B1896" t="s">
        <v>1117</v>
      </c>
      <c r="C1896" t="s">
        <v>1079</v>
      </c>
      <c r="D1896" t="s">
        <v>1115</v>
      </c>
      <c r="E1896" t="s">
        <v>1093</v>
      </c>
      <c r="F1896" t="s">
        <v>598</v>
      </c>
      <c r="G1896" t="s">
        <v>599</v>
      </c>
      <c r="H1896" t="s">
        <v>600</v>
      </c>
      <c r="I1896" t="s">
        <v>601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hidden="1">
      <c r="A1897" t="s">
        <v>18810</v>
      </c>
      <c r="B1897" t="s">
        <v>1119</v>
      </c>
      <c r="C1897" t="s">
        <v>1079</v>
      </c>
      <c r="D1897" t="s">
        <v>1115</v>
      </c>
      <c r="E1897" t="s">
        <v>1101</v>
      </c>
      <c r="F1897" t="s">
        <v>598</v>
      </c>
      <c r="G1897" t="s">
        <v>599</v>
      </c>
      <c r="H1897" t="s">
        <v>600</v>
      </c>
      <c r="I1897" t="s">
        <v>601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hidden="1">
      <c r="A1898" t="s">
        <v>18810</v>
      </c>
      <c r="B1898" t="s">
        <v>1120</v>
      </c>
      <c r="C1898" t="s">
        <v>1079</v>
      </c>
      <c r="D1898" t="s">
        <v>1121</v>
      </c>
      <c r="E1898" t="s">
        <v>1081</v>
      </c>
      <c r="F1898" t="s">
        <v>598</v>
      </c>
      <c r="G1898" t="s">
        <v>599</v>
      </c>
      <c r="H1898" t="s">
        <v>600</v>
      </c>
      <c r="I1898" t="s">
        <v>601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5" hidden="1">
      <c r="A1899" t="s">
        <v>18810</v>
      </c>
      <c r="B1899" t="s">
        <v>1122</v>
      </c>
      <c r="C1899" t="s">
        <v>1079</v>
      </c>
      <c r="D1899" t="s">
        <v>1121</v>
      </c>
      <c r="E1899" t="s">
        <v>1097</v>
      </c>
      <c r="F1899" t="s">
        <v>598</v>
      </c>
      <c r="G1899" t="s">
        <v>599</v>
      </c>
      <c r="H1899" t="s">
        <v>600</v>
      </c>
      <c r="I1899" t="s">
        <v>601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hidden="1">
      <c r="A1900" t="s">
        <v>18810</v>
      </c>
      <c r="B1900" t="s">
        <v>1125</v>
      </c>
      <c r="C1900" t="s">
        <v>1079</v>
      </c>
      <c r="D1900" t="s">
        <v>1126</v>
      </c>
      <c r="E1900" t="s">
        <v>1081</v>
      </c>
      <c r="F1900" t="s">
        <v>598</v>
      </c>
      <c r="G1900" t="s">
        <v>599</v>
      </c>
      <c r="H1900" t="s">
        <v>600</v>
      </c>
      <c r="I1900" t="s">
        <v>601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hidden="1">
      <c r="A1901" t="s">
        <v>18810</v>
      </c>
      <c r="B1901" t="s">
        <v>1127</v>
      </c>
      <c r="C1901" t="s">
        <v>1079</v>
      </c>
      <c r="D1901" t="s">
        <v>1126</v>
      </c>
      <c r="E1901" t="s">
        <v>1091</v>
      </c>
      <c r="F1901" t="s">
        <v>598</v>
      </c>
      <c r="G1901" t="s">
        <v>599</v>
      </c>
      <c r="H1901" t="s">
        <v>600</v>
      </c>
      <c r="I1901" t="s">
        <v>601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hidden="1">
      <c r="A1902" t="s">
        <v>18810</v>
      </c>
      <c r="B1902" t="s">
        <v>1128</v>
      </c>
      <c r="C1902" t="s">
        <v>1079</v>
      </c>
      <c r="D1902" t="s">
        <v>1126</v>
      </c>
      <c r="E1902" t="s">
        <v>1093</v>
      </c>
      <c r="F1902" t="s">
        <v>598</v>
      </c>
      <c r="G1902" t="s">
        <v>599</v>
      </c>
      <c r="H1902" t="s">
        <v>600</v>
      </c>
      <c r="I1902" t="s">
        <v>601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hidden="1">
      <c r="A1903" t="s">
        <v>18810</v>
      </c>
      <c r="B1903" t="s">
        <v>1129</v>
      </c>
      <c r="C1903" t="s">
        <v>1079</v>
      </c>
      <c r="D1903" t="s">
        <v>1126</v>
      </c>
      <c r="E1903" t="s">
        <v>1097</v>
      </c>
      <c r="F1903" t="s">
        <v>598</v>
      </c>
      <c r="G1903" t="s">
        <v>599</v>
      </c>
      <c r="H1903" t="s">
        <v>600</v>
      </c>
      <c r="I1903" t="s">
        <v>601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hidden="1">
      <c r="A1904" t="s">
        <v>18810</v>
      </c>
      <c r="B1904" t="s">
        <v>1130</v>
      </c>
      <c r="C1904" t="s">
        <v>1079</v>
      </c>
      <c r="D1904" t="s">
        <v>1126</v>
      </c>
      <c r="E1904" t="s">
        <v>1099</v>
      </c>
      <c r="F1904" t="s">
        <v>598</v>
      </c>
      <c r="G1904" t="s">
        <v>599</v>
      </c>
      <c r="H1904" t="s">
        <v>600</v>
      </c>
      <c r="I1904" t="s">
        <v>601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hidden="1">
      <c r="A1905" t="s">
        <v>18810</v>
      </c>
      <c r="B1905" t="s">
        <v>1131</v>
      </c>
      <c r="C1905" t="s">
        <v>1079</v>
      </c>
      <c r="D1905" t="s">
        <v>1126</v>
      </c>
      <c r="E1905" t="s">
        <v>1101</v>
      </c>
      <c r="F1905" t="s">
        <v>598</v>
      </c>
      <c r="G1905" t="s">
        <v>599</v>
      </c>
      <c r="H1905" t="s">
        <v>600</v>
      </c>
      <c r="I1905" t="s">
        <v>601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hidden="1">
      <c r="A1906" t="s">
        <v>18810</v>
      </c>
      <c r="B1906" t="s">
        <v>1133</v>
      </c>
      <c r="C1906" t="s">
        <v>1079</v>
      </c>
      <c r="D1906" t="s">
        <v>1134</v>
      </c>
      <c r="E1906" t="s">
        <v>1081</v>
      </c>
      <c r="F1906" t="s">
        <v>598</v>
      </c>
      <c r="G1906" t="s">
        <v>599</v>
      </c>
      <c r="H1906" t="s">
        <v>600</v>
      </c>
      <c r="I1906" t="s">
        <v>601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hidden="1">
      <c r="A1907" t="s">
        <v>18810</v>
      </c>
      <c r="B1907" t="s">
        <v>1139</v>
      </c>
      <c r="C1907" t="s">
        <v>1079</v>
      </c>
      <c r="D1907" t="s">
        <v>1134</v>
      </c>
      <c r="E1907" t="s">
        <v>1099</v>
      </c>
      <c r="F1907" t="s">
        <v>598</v>
      </c>
      <c r="G1907" t="s">
        <v>599</v>
      </c>
      <c r="H1907" t="s">
        <v>600</v>
      </c>
      <c r="I1907" t="s">
        <v>601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hidden="1">
      <c r="A1908" t="s">
        <v>18810</v>
      </c>
      <c r="B1908" t="s">
        <v>1142</v>
      </c>
      <c r="C1908" t="s">
        <v>1079</v>
      </c>
      <c r="D1908" t="s">
        <v>1134</v>
      </c>
      <c r="E1908" t="s">
        <v>1101</v>
      </c>
      <c r="F1908" t="s">
        <v>598</v>
      </c>
      <c r="G1908" t="s">
        <v>599</v>
      </c>
      <c r="H1908" t="s">
        <v>600</v>
      </c>
      <c r="I1908" t="s">
        <v>601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hidden="1">
      <c r="A1909" t="s">
        <v>18810</v>
      </c>
      <c r="B1909" t="s">
        <v>1144</v>
      </c>
      <c r="C1909" t="s">
        <v>1079</v>
      </c>
      <c r="D1909" t="s">
        <v>1145</v>
      </c>
      <c r="E1909" t="s">
        <v>1081</v>
      </c>
      <c r="F1909" t="s">
        <v>598</v>
      </c>
      <c r="G1909" t="s">
        <v>599</v>
      </c>
      <c r="H1909" t="s">
        <v>600</v>
      </c>
      <c r="I1909" t="s">
        <v>601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hidden="1">
      <c r="A1910" t="s">
        <v>18810</v>
      </c>
      <c r="B1910" t="s">
        <v>1146</v>
      </c>
      <c r="C1910" t="s">
        <v>1079</v>
      </c>
      <c r="D1910" t="s">
        <v>1145</v>
      </c>
      <c r="E1910" t="s">
        <v>1091</v>
      </c>
      <c r="F1910" t="s">
        <v>598</v>
      </c>
      <c r="G1910" t="s">
        <v>599</v>
      </c>
      <c r="H1910" t="s">
        <v>600</v>
      </c>
      <c r="I1910" t="s">
        <v>601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hidden="1">
      <c r="A1911" t="s">
        <v>18810</v>
      </c>
      <c r="B1911" t="s">
        <v>1147</v>
      </c>
      <c r="C1911" t="s">
        <v>1079</v>
      </c>
      <c r="D1911" t="s">
        <v>1145</v>
      </c>
      <c r="E1911" t="s">
        <v>1093</v>
      </c>
      <c r="F1911" t="s">
        <v>598</v>
      </c>
      <c r="G1911" t="s">
        <v>599</v>
      </c>
      <c r="H1911" t="s">
        <v>600</v>
      </c>
      <c r="I1911" t="s">
        <v>601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hidden="1">
      <c r="A1912" t="s">
        <v>18810</v>
      </c>
      <c r="B1912" t="s">
        <v>1148</v>
      </c>
      <c r="C1912" t="s">
        <v>1079</v>
      </c>
      <c r="D1912" t="s">
        <v>1145</v>
      </c>
      <c r="E1912" t="s">
        <v>1095</v>
      </c>
      <c r="F1912" t="s">
        <v>598</v>
      </c>
      <c r="G1912" t="s">
        <v>599</v>
      </c>
      <c r="H1912" t="s">
        <v>600</v>
      </c>
      <c r="I1912" t="s">
        <v>601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hidden="1">
      <c r="A1913" t="s">
        <v>18810</v>
      </c>
      <c r="B1913" t="s">
        <v>1151</v>
      </c>
      <c r="C1913" t="s">
        <v>1079</v>
      </c>
      <c r="D1913" t="s">
        <v>1145</v>
      </c>
      <c r="E1913" t="s">
        <v>1101</v>
      </c>
      <c r="F1913" t="s">
        <v>598</v>
      </c>
      <c r="G1913" t="s">
        <v>599</v>
      </c>
      <c r="H1913" t="s">
        <v>600</v>
      </c>
      <c r="I1913" t="s">
        <v>601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</row>
    <row r="1914" spans="1:25" hidden="1">
      <c r="A1914" t="s">
        <v>18810</v>
      </c>
      <c r="B1914" t="s">
        <v>1155</v>
      </c>
      <c r="C1914" t="s">
        <v>1079</v>
      </c>
      <c r="D1914" t="s">
        <v>1156</v>
      </c>
      <c r="E1914" t="s">
        <v>1081</v>
      </c>
      <c r="F1914" t="s">
        <v>598</v>
      </c>
      <c r="G1914" t="s">
        <v>599</v>
      </c>
      <c r="H1914" t="s">
        <v>600</v>
      </c>
      <c r="I1914" t="s">
        <v>601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hidden="1">
      <c r="A1915" t="s">
        <v>18810</v>
      </c>
      <c r="B1915" t="s">
        <v>1157</v>
      </c>
      <c r="C1915" t="s">
        <v>1079</v>
      </c>
      <c r="D1915" t="s">
        <v>1156</v>
      </c>
      <c r="E1915" t="s">
        <v>1091</v>
      </c>
      <c r="F1915" t="s">
        <v>598</v>
      </c>
      <c r="G1915" t="s">
        <v>599</v>
      </c>
      <c r="H1915" t="s">
        <v>600</v>
      </c>
      <c r="I1915" t="s">
        <v>601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</row>
    <row r="1916" spans="1:25" hidden="1">
      <c r="A1916" t="s">
        <v>18810</v>
      </c>
      <c r="B1916" t="s">
        <v>1158</v>
      </c>
      <c r="C1916" t="s">
        <v>1079</v>
      </c>
      <c r="D1916" t="s">
        <v>1156</v>
      </c>
      <c r="E1916" t="s">
        <v>1093</v>
      </c>
      <c r="F1916" t="s">
        <v>598</v>
      </c>
      <c r="G1916" t="s">
        <v>599</v>
      </c>
      <c r="H1916" t="s">
        <v>600</v>
      </c>
      <c r="I1916" t="s">
        <v>601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hidden="1">
      <c r="A1917" t="s">
        <v>18810</v>
      </c>
      <c r="B1917" t="s">
        <v>1159</v>
      </c>
      <c r="C1917" t="s">
        <v>1079</v>
      </c>
      <c r="D1917" t="s">
        <v>1156</v>
      </c>
      <c r="E1917" t="s">
        <v>1097</v>
      </c>
      <c r="F1917" t="s">
        <v>598</v>
      </c>
      <c r="G1917" t="s">
        <v>599</v>
      </c>
      <c r="H1917" t="s">
        <v>600</v>
      </c>
      <c r="I1917" t="s">
        <v>601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hidden="1">
      <c r="A1918" t="s">
        <v>18810</v>
      </c>
      <c r="B1918" t="s">
        <v>1160</v>
      </c>
      <c r="C1918" t="s">
        <v>1079</v>
      </c>
      <c r="D1918" t="s">
        <v>1156</v>
      </c>
      <c r="E1918" t="s">
        <v>1099</v>
      </c>
      <c r="F1918" t="s">
        <v>598</v>
      </c>
      <c r="G1918" t="s">
        <v>599</v>
      </c>
      <c r="H1918" t="s">
        <v>600</v>
      </c>
      <c r="I1918" t="s">
        <v>601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hidden="1">
      <c r="A1919" t="s">
        <v>18810</v>
      </c>
      <c r="B1919" t="s">
        <v>1161</v>
      </c>
      <c r="C1919" t="s">
        <v>1079</v>
      </c>
      <c r="D1919" t="s">
        <v>1156</v>
      </c>
      <c r="E1919" t="s">
        <v>1101</v>
      </c>
      <c r="F1919" t="s">
        <v>598</v>
      </c>
      <c r="G1919" t="s">
        <v>599</v>
      </c>
      <c r="H1919" t="s">
        <v>600</v>
      </c>
      <c r="I1919" t="s">
        <v>601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hidden="1">
      <c r="A1920" t="s">
        <v>18810</v>
      </c>
      <c r="B1920" t="s">
        <v>1167</v>
      </c>
      <c r="C1920" t="s">
        <v>1079</v>
      </c>
      <c r="D1920" t="s">
        <v>1164</v>
      </c>
      <c r="E1920" t="s">
        <v>1095</v>
      </c>
      <c r="F1920" t="s">
        <v>598</v>
      </c>
      <c r="G1920" t="s">
        <v>599</v>
      </c>
      <c r="H1920" t="s">
        <v>600</v>
      </c>
      <c r="I1920" t="s">
        <v>601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hidden="1">
      <c r="A1921" t="s">
        <v>18810</v>
      </c>
      <c r="B1921" t="s">
        <v>1168</v>
      </c>
      <c r="C1921" t="s">
        <v>1079</v>
      </c>
      <c r="D1921" t="s">
        <v>1164</v>
      </c>
      <c r="E1921" t="s">
        <v>1141</v>
      </c>
      <c r="F1921" t="s">
        <v>598</v>
      </c>
      <c r="G1921" t="s">
        <v>599</v>
      </c>
      <c r="H1921" t="s">
        <v>600</v>
      </c>
      <c r="I1921" t="s">
        <v>601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hidden="1">
      <c r="A1922" t="s">
        <v>18810</v>
      </c>
      <c r="B1922" t="s">
        <v>1171</v>
      </c>
      <c r="C1922" t="s">
        <v>1079</v>
      </c>
      <c r="D1922" t="s">
        <v>1172</v>
      </c>
      <c r="E1922" t="s">
        <v>1081</v>
      </c>
      <c r="F1922" t="s">
        <v>598</v>
      </c>
      <c r="G1922" t="s">
        <v>599</v>
      </c>
      <c r="H1922" t="s">
        <v>600</v>
      </c>
      <c r="I1922" t="s">
        <v>601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hidden="1">
      <c r="A1923" t="s">
        <v>18810</v>
      </c>
      <c r="B1923" t="s">
        <v>1174</v>
      </c>
      <c r="C1923" t="s">
        <v>1079</v>
      </c>
      <c r="D1923" t="s">
        <v>1172</v>
      </c>
      <c r="E1923" t="s">
        <v>1099</v>
      </c>
      <c r="F1923" t="s">
        <v>598</v>
      </c>
      <c r="G1923" t="s">
        <v>599</v>
      </c>
      <c r="H1923" t="s">
        <v>600</v>
      </c>
      <c r="I1923" t="s">
        <v>601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hidden="1">
      <c r="A1924" t="s">
        <v>18810</v>
      </c>
      <c r="B1924" t="s">
        <v>1175</v>
      </c>
      <c r="C1924" t="s">
        <v>1079</v>
      </c>
      <c r="D1924" t="s">
        <v>1172</v>
      </c>
      <c r="E1924" t="s">
        <v>1101</v>
      </c>
      <c r="F1924" t="s">
        <v>598</v>
      </c>
      <c r="G1924" t="s">
        <v>599</v>
      </c>
      <c r="H1924" t="s">
        <v>600</v>
      </c>
      <c r="I1924" t="s">
        <v>601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hidden="1">
      <c r="A1925" t="s">
        <v>18810</v>
      </c>
      <c r="B1925" t="s">
        <v>1179</v>
      </c>
      <c r="C1925" t="s">
        <v>1079</v>
      </c>
      <c r="D1925" t="s">
        <v>1180</v>
      </c>
      <c r="E1925" t="s">
        <v>1081</v>
      </c>
      <c r="F1925" t="s">
        <v>598</v>
      </c>
      <c r="G1925" t="s">
        <v>599</v>
      </c>
      <c r="H1925" t="s">
        <v>600</v>
      </c>
      <c r="I1925" t="s">
        <v>601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hidden="1">
      <c r="A1926" t="s">
        <v>18810</v>
      </c>
      <c r="B1926" t="s">
        <v>1183</v>
      </c>
      <c r="C1926" t="s">
        <v>1079</v>
      </c>
      <c r="D1926" t="s">
        <v>1180</v>
      </c>
      <c r="E1926" t="s">
        <v>1097</v>
      </c>
      <c r="F1926" t="s">
        <v>598</v>
      </c>
      <c r="G1926" t="s">
        <v>599</v>
      </c>
      <c r="H1926" t="s">
        <v>600</v>
      </c>
      <c r="I1926" t="s">
        <v>601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hidden="1">
      <c r="A1927" t="s">
        <v>18810</v>
      </c>
      <c r="B1927" t="s">
        <v>1184</v>
      </c>
      <c r="C1927" t="s">
        <v>1079</v>
      </c>
      <c r="D1927" t="s">
        <v>1180</v>
      </c>
      <c r="E1927" t="s">
        <v>1099</v>
      </c>
      <c r="F1927" t="s">
        <v>598</v>
      </c>
      <c r="G1927" t="s">
        <v>599</v>
      </c>
      <c r="H1927" t="s">
        <v>600</v>
      </c>
      <c r="I1927" t="s">
        <v>601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hidden="1">
      <c r="A1928" t="s">
        <v>18810</v>
      </c>
      <c r="B1928" t="s">
        <v>1185</v>
      </c>
      <c r="C1928" t="s">
        <v>1079</v>
      </c>
      <c r="D1928" t="s">
        <v>1180</v>
      </c>
      <c r="E1928" t="s">
        <v>1101</v>
      </c>
      <c r="F1928" t="s">
        <v>598</v>
      </c>
      <c r="G1928" t="s">
        <v>599</v>
      </c>
      <c r="H1928" t="s">
        <v>600</v>
      </c>
      <c r="I1928" t="s">
        <v>601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hidden="1">
      <c r="A1929" t="s">
        <v>18810</v>
      </c>
      <c r="B1929" t="s">
        <v>1217</v>
      </c>
      <c r="C1929" t="s">
        <v>1079</v>
      </c>
      <c r="D1929" t="s">
        <v>1188</v>
      </c>
      <c r="E1929" t="s">
        <v>1106</v>
      </c>
      <c r="F1929" t="s">
        <v>598</v>
      </c>
      <c r="G1929" t="s">
        <v>599</v>
      </c>
      <c r="H1929" t="s">
        <v>600</v>
      </c>
      <c r="I1929" t="s">
        <v>601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hidden="1">
      <c r="A1930" t="s">
        <v>18810</v>
      </c>
      <c r="B1930" t="s">
        <v>1220</v>
      </c>
      <c r="C1930" t="s">
        <v>1079</v>
      </c>
      <c r="D1930" t="s">
        <v>1188</v>
      </c>
      <c r="E1930" t="s">
        <v>1084</v>
      </c>
      <c r="F1930" t="s">
        <v>598</v>
      </c>
      <c r="G1930" t="s">
        <v>599</v>
      </c>
      <c r="H1930" t="s">
        <v>600</v>
      </c>
      <c r="I1930" t="s">
        <v>601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hidden="1">
      <c r="A1931" t="s">
        <v>18810</v>
      </c>
      <c r="B1931" t="s">
        <v>1221</v>
      </c>
      <c r="C1931" t="s">
        <v>1079</v>
      </c>
      <c r="D1931" t="s">
        <v>648</v>
      </c>
      <c r="E1931" t="s">
        <v>1081</v>
      </c>
      <c r="F1931" t="s">
        <v>598</v>
      </c>
      <c r="G1931" t="s">
        <v>599</v>
      </c>
      <c r="H1931" t="s">
        <v>600</v>
      </c>
      <c r="I1931" t="s">
        <v>601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hidden="1">
      <c r="A1932" t="s">
        <v>18810</v>
      </c>
      <c r="B1932" t="s">
        <v>1222</v>
      </c>
      <c r="C1932" t="s">
        <v>1079</v>
      </c>
      <c r="D1932" t="s">
        <v>648</v>
      </c>
      <c r="E1932" t="s">
        <v>1091</v>
      </c>
      <c r="F1932" t="s">
        <v>598</v>
      </c>
      <c r="G1932" t="s">
        <v>599</v>
      </c>
      <c r="H1932" t="s">
        <v>600</v>
      </c>
      <c r="I1932" t="s">
        <v>601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hidden="1">
      <c r="A1933" t="s">
        <v>18810</v>
      </c>
      <c r="B1933" t="s">
        <v>1223</v>
      </c>
      <c r="C1933" t="s">
        <v>1079</v>
      </c>
      <c r="D1933" t="s">
        <v>648</v>
      </c>
      <c r="E1933" t="s">
        <v>1093</v>
      </c>
      <c r="F1933" t="s">
        <v>598</v>
      </c>
      <c r="G1933" t="s">
        <v>599</v>
      </c>
      <c r="H1933" t="s">
        <v>600</v>
      </c>
      <c r="I1933" t="s">
        <v>601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hidden="1">
      <c r="A1934" t="s">
        <v>18810</v>
      </c>
      <c r="B1934" t="s">
        <v>1224</v>
      </c>
      <c r="C1934" t="s">
        <v>1079</v>
      </c>
      <c r="D1934" t="s">
        <v>648</v>
      </c>
      <c r="E1934" t="s">
        <v>1095</v>
      </c>
      <c r="F1934" t="s">
        <v>598</v>
      </c>
      <c r="G1934" t="s">
        <v>599</v>
      </c>
      <c r="H1934" t="s">
        <v>600</v>
      </c>
      <c r="I1934" t="s">
        <v>601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hidden="1">
      <c r="A1935" t="s">
        <v>18810</v>
      </c>
      <c r="B1935" t="s">
        <v>1225</v>
      </c>
      <c r="C1935" t="s">
        <v>1079</v>
      </c>
      <c r="D1935" t="s">
        <v>648</v>
      </c>
      <c r="E1935" t="s">
        <v>1097</v>
      </c>
      <c r="F1935" t="s">
        <v>598</v>
      </c>
      <c r="G1935" t="s">
        <v>599</v>
      </c>
      <c r="H1935" t="s">
        <v>600</v>
      </c>
      <c r="I1935" t="s">
        <v>601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hidden="1">
      <c r="A1936" t="s">
        <v>18810</v>
      </c>
      <c r="B1936" t="s">
        <v>1226</v>
      </c>
      <c r="C1936" t="s">
        <v>1079</v>
      </c>
      <c r="D1936" t="s">
        <v>648</v>
      </c>
      <c r="E1936" t="s">
        <v>1099</v>
      </c>
      <c r="F1936" t="s">
        <v>598</v>
      </c>
      <c r="G1936" t="s">
        <v>599</v>
      </c>
      <c r="H1936" t="s">
        <v>600</v>
      </c>
      <c r="I1936" t="s">
        <v>601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hidden="1">
      <c r="A1937" t="s">
        <v>18810</v>
      </c>
      <c r="B1937" t="s">
        <v>1227</v>
      </c>
      <c r="C1937" t="s">
        <v>1079</v>
      </c>
      <c r="D1937" t="s">
        <v>648</v>
      </c>
      <c r="E1937" t="s">
        <v>1101</v>
      </c>
      <c r="F1937" t="s">
        <v>598</v>
      </c>
      <c r="G1937" t="s">
        <v>599</v>
      </c>
      <c r="H1937" t="s">
        <v>600</v>
      </c>
      <c r="I1937" t="s">
        <v>601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hidden="1">
      <c r="A1938" t="s">
        <v>18810</v>
      </c>
      <c r="B1938" t="s">
        <v>1231</v>
      </c>
      <c r="C1938" t="s">
        <v>1230</v>
      </c>
      <c r="D1938" t="s">
        <v>1188</v>
      </c>
      <c r="E1938" t="s">
        <v>1028</v>
      </c>
      <c r="F1938" t="s">
        <v>598</v>
      </c>
      <c r="G1938" t="s">
        <v>599</v>
      </c>
      <c r="H1938" t="s">
        <v>600</v>
      </c>
      <c r="I1938" t="s">
        <v>601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hidden="1">
      <c r="A1939" t="s">
        <v>18810</v>
      </c>
      <c r="B1939" t="s">
        <v>1232</v>
      </c>
      <c r="C1939" t="s">
        <v>1230</v>
      </c>
      <c r="D1939" t="s">
        <v>1188</v>
      </c>
      <c r="E1939" t="s">
        <v>1233</v>
      </c>
      <c r="F1939" t="s">
        <v>598</v>
      </c>
      <c r="G1939" t="s">
        <v>599</v>
      </c>
      <c r="H1939" t="s">
        <v>600</v>
      </c>
      <c r="I1939" t="s">
        <v>601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hidden="1">
      <c r="A1940" t="s">
        <v>18810</v>
      </c>
      <c r="B1940" t="s">
        <v>1236</v>
      </c>
      <c r="C1940" t="s">
        <v>1230</v>
      </c>
      <c r="D1940" t="s">
        <v>1188</v>
      </c>
      <c r="E1940" t="s">
        <v>1084</v>
      </c>
      <c r="F1940" t="s">
        <v>598</v>
      </c>
      <c r="G1940" t="s">
        <v>599</v>
      </c>
      <c r="H1940" t="s">
        <v>600</v>
      </c>
      <c r="I1940" t="s">
        <v>601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hidden="1">
      <c r="A1941" t="s">
        <v>18810</v>
      </c>
      <c r="B1941" t="s">
        <v>1237</v>
      </c>
      <c r="C1941" t="s">
        <v>1230</v>
      </c>
      <c r="D1941" t="s">
        <v>1238</v>
      </c>
      <c r="E1941" t="s">
        <v>1239</v>
      </c>
      <c r="F1941" t="s">
        <v>598</v>
      </c>
      <c r="G1941" t="s">
        <v>599</v>
      </c>
      <c r="H1941" t="s">
        <v>600</v>
      </c>
      <c r="I1941" t="s">
        <v>601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hidden="1">
      <c r="A1942" t="s">
        <v>18810</v>
      </c>
      <c r="B1942" t="s">
        <v>1240</v>
      </c>
      <c r="C1942" t="s">
        <v>1230</v>
      </c>
      <c r="D1942" t="s">
        <v>1241</v>
      </c>
      <c r="E1942" t="s">
        <v>1239</v>
      </c>
      <c r="F1942" t="s">
        <v>598</v>
      </c>
      <c r="G1942" t="s">
        <v>599</v>
      </c>
      <c r="H1942" t="s">
        <v>600</v>
      </c>
      <c r="I1942" t="s">
        <v>601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hidden="1">
      <c r="A1943" t="s">
        <v>18810</v>
      </c>
      <c r="B1943" t="s">
        <v>1242</v>
      </c>
      <c r="C1943" t="s">
        <v>1230</v>
      </c>
      <c r="D1943" t="s">
        <v>1243</v>
      </c>
      <c r="E1943" t="s">
        <v>1004</v>
      </c>
      <c r="F1943" t="s">
        <v>598</v>
      </c>
      <c r="G1943" t="s">
        <v>599</v>
      </c>
      <c r="H1943" t="s">
        <v>600</v>
      </c>
      <c r="I1943" t="s">
        <v>601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hidden="1">
      <c r="A1944" t="s">
        <v>18810</v>
      </c>
      <c r="B1944" t="s">
        <v>1244</v>
      </c>
      <c r="C1944" t="s">
        <v>1230</v>
      </c>
      <c r="D1944" t="s">
        <v>1243</v>
      </c>
      <c r="E1944" t="s">
        <v>1239</v>
      </c>
      <c r="F1944" t="s">
        <v>598</v>
      </c>
      <c r="G1944" t="s">
        <v>599</v>
      </c>
      <c r="H1944" t="s">
        <v>600</v>
      </c>
      <c r="I1944" t="s">
        <v>601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hidden="1">
      <c r="A1945" t="s">
        <v>18810</v>
      </c>
      <c r="B1945" t="s">
        <v>1247</v>
      </c>
      <c r="C1945" t="s">
        <v>1230</v>
      </c>
      <c r="D1945" t="s">
        <v>1246</v>
      </c>
      <c r="E1945" t="s">
        <v>1239</v>
      </c>
      <c r="F1945" t="s">
        <v>598</v>
      </c>
      <c r="G1945" t="s">
        <v>599</v>
      </c>
      <c r="H1945" t="s">
        <v>600</v>
      </c>
      <c r="I1945" t="s">
        <v>601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hidden="1">
      <c r="A1946" t="s">
        <v>18810</v>
      </c>
      <c r="B1946" t="s">
        <v>1248</v>
      </c>
      <c r="C1946" t="s">
        <v>1230</v>
      </c>
      <c r="D1946" t="s">
        <v>1249</v>
      </c>
      <c r="E1946" t="s">
        <v>1239</v>
      </c>
      <c r="F1946" t="s">
        <v>598</v>
      </c>
      <c r="G1946" t="s">
        <v>599</v>
      </c>
      <c r="H1946" t="s">
        <v>600</v>
      </c>
      <c r="I1946" t="s">
        <v>601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hidden="1">
      <c r="A1947" t="s">
        <v>18810</v>
      </c>
      <c r="B1947" t="s">
        <v>1250</v>
      </c>
      <c r="C1947" t="s">
        <v>1230</v>
      </c>
      <c r="D1947" t="s">
        <v>648</v>
      </c>
      <c r="E1947" t="s">
        <v>1004</v>
      </c>
      <c r="F1947" t="s">
        <v>598</v>
      </c>
      <c r="G1947" t="s">
        <v>599</v>
      </c>
      <c r="H1947" t="s">
        <v>600</v>
      </c>
      <c r="I1947" t="s">
        <v>601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hidden="1">
      <c r="A1948" t="s">
        <v>18810</v>
      </c>
      <c r="B1948" t="s">
        <v>1251</v>
      </c>
      <c r="C1948" t="s">
        <v>1230</v>
      </c>
      <c r="D1948" t="s">
        <v>648</v>
      </c>
      <c r="E1948" t="s">
        <v>1239</v>
      </c>
      <c r="F1948" t="s">
        <v>598</v>
      </c>
      <c r="G1948" t="s">
        <v>599</v>
      </c>
      <c r="H1948" t="s">
        <v>600</v>
      </c>
      <c r="I1948" t="s">
        <v>601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hidden="1">
      <c r="A1949" t="s">
        <v>18810</v>
      </c>
      <c r="B1949" t="s">
        <v>1252</v>
      </c>
      <c r="C1949" t="s">
        <v>1253</v>
      </c>
      <c r="D1949" t="s">
        <v>1254</v>
      </c>
      <c r="E1949" t="s">
        <v>1255</v>
      </c>
      <c r="F1949" t="s">
        <v>598</v>
      </c>
      <c r="G1949" t="s">
        <v>599</v>
      </c>
      <c r="H1949" t="s">
        <v>600</v>
      </c>
      <c r="I1949" t="s">
        <v>601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hidden="1">
      <c r="A1950" t="s">
        <v>18810</v>
      </c>
      <c r="B1950" t="s">
        <v>1256</v>
      </c>
      <c r="C1950" t="s">
        <v>1253</v>
      </c>
      <c r="D1950" t="s">
        <v>1254</v>
      </c>
      <c r="E1950" t="s">
        <v>1257</v>
      </c>
      <c r="F1950" t="s">
        <v>598</v>
      </c>
      <c r="G1950" t="s">
        <v>599</v>
      </c>
      <c r="H1950" t="s">
        <v>600</v>
      </c>
      <c r="I1950" t="s">
        <v>601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hidden="1">
      <c r="A1951" t="s">
        <v>18810</v>
      </c>
      <c r="B1951" t="s">
        <v>1258</v>
      </c>
      <c r="C1951" t="s">
        <v>1253</v>
      </c>
      <c r="D1951" t="s">
        <v>1254</v>
      </c>
      <c r="E1951" t="s">
        <v>1259</v>
      </c>
      <c r="F1951" t="s">
        <v>598</v>
      </c>
      <c r="G1951" t="s">
        <v>599</v>
      </c>
      <c r="H1951" t="s">
        <v>600</v>
      </c>
      <c r="I1951" t="s">
        <v>601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</row>
    <row r="1952" spans="1:25" hidden="1">
      <c r="A1952" t="s">
        <v>18810</v>
      </c>
      <c r="B1952" t="s">
        <v>1260</v>
      </c>
      <c r="C1952" t="s">
        <v>1261</v>
      </c>
      <c r="D1952" t="s">
        <v>648</v>
      </c>
      <c r="E1952" t="s">
        <v>920</v>
      </c>
      <c r="F1952" t="s">
        <v>598</v>
      </c>
      <c r="G1952" t="s">
        <v>599</v>
      </c>
      <c r="H1952" t="s">
        <v>600</v>
      </c>
      <c r="I1952" t="s">
        <v>601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hidden="1">
      <c r="A1953" t="s">
        <v>18810</v>
      </c>
      <c r="B1953" t="s">
        <v>1265</v>
      </c>
      <c r="C1953" t="s">
        <v>1261</v>
      </c>
      <c r="D1953" t="s">
        <v>648</v>
      </c>
      <c r="E1953" t="s">
        <v>1004</v>
      </c>
      <c r="F1953" t="s">
        <v>598</v>
      </c>
      <c r="G1953" t="s">
        <v>599</v>
      </c>
      <c r="H1953" t="s">
        <v>600</v>
      </c>
      <c r="I1953" t="s">
        <v>601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hidden="1">
      <c r="A1954" t="s">
        <v>18810</v>
      </c>
      <c r="B1954" t="s">
        <v>1272</v>
      </c>
      <c r="C1954" t="s">
        <v>1267</v>
      </c>
      <c r="D1954" t="s">
        <v>1271</v>
      </c>
      <c r="E1954" t="s">
        <v>678</v>
      </c>
      <c r="F1954" t="s">
        <v>598</v>
      </c>
      <c r="G1954" t="s">
        <v>599</v>
      </c>
      <c r="H1954" t="s">
        <v>600</v>
      </c>
      <c r="I1954" t="s">
        <v>601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hidden="1">
      <c r="A1955" t="s">
        <v>18810</v>
      </c>
      <c r="B1955" t="s">
        <v>1273</v>
      </c>
      <c r="C1955" t="s">
        <v>1267</v>
      </c>
      <c r="D1955" t="s">
        <v>1274</v>
      </c>
      <c r="E1955" t="s">
        <v>672</v>
      </c>
      <c r="F1955" t="s">
        <v>598</v>
      </c>
      <c r="G1955" t="s">
        <v>599</v>
      </c>
      <c r="H1955" t="s">
        <v>600</v>
      </c>
      <c r="I1955" t="s">
        <v>601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hidden="1">
      <c r="A1956" t="s">
        <v>18810</v>
      </c>
      <c r="B1956" t="s">
        <v>1276</v>
      </c>
      <c r="C1956" t="s">
        <v>1267</v>
      </c>
      <c r="D1956" t="s">
        <v>1274</v>
      </c>
      <c r="E1956" t="s">
        <v>678</v>
      </c>
      <c r="F1956" t="s">
        <v>598</v>
      </c>
      <c r="G1956" t="s">
        <v>599</v>
      </c>
      <c r="H1956" t="s">
        <v>600</v>
      </c>
      <c r="I1956" t="s">
        <v>601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hidden="1">
      <c r="A1957" t="s">
        <v>18810</v>
      </c>
      <c r="B1957" t="s">
        <v>1277</v>
      </c>
      <c r="C1957" t="s">
        <v>1267</v>
      </c>
      <c r="D1957" t="s">
        <v>1278</v>
      </c>
      <c r="E1957" t="s">
        <v>672</v>
      </c>
      <c r="F1957" t="s">
        <v>598</v>
      </c>
      <c r="G1957" t="s">
        <v>599</v>
      </c>
      <c r="H1957" t="s">
        <v>600</v>
      </c>
      <c r="I1957" t="s">
        <v>601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hidden="1">
      <c r="A1958" t="s">
        <v>18810</v>
      </c>
      <c r="B1958" t="s">
        <v>1279</v>
      </c>
      <c r="C1958" t="s">
        <v>1267</v>
      </c>
      <c r="D1958" t="s">
        <v>1278</v>
      </c>
      <c r="E1958" t="s">
        <v>678</v>
      </c>
      <c r="F1958" t="s">
        <v>598</v>
      </c>
      <c r="G1958" t="s">
        <v>599</v>
      </c>
      <c r="H1958" t="s">
        <v>600</v>
      </c>
      <c r="I1958" t="s">
        <v>601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hidden="1">
      <c r="A1959" t="s">
        <v>18810</v>
      </c>
      <c r="B1959" t="s">
        <v>1280</v>
      </c>
      <c r="C1959" t="s">
        <v>1267</v>
      </c>
      <c r="D1959" t="s">
        <v>1281</v>
      </c>
      <c r="E1959" t="s">
        <v>672</v>
      </c>
      <c r="F1959" t="s">
        <v>598</v>
      </c>
      <c r="G1959" t="s">
        <v>599</v>
      </c>
      <c r="H1959" t="s">
        <v>600</v>
      </c>
      <c r="I1959" t="s">
        <v>601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hidden="1">
      <c r="A1960" t="s">
        <v>18810</v>
      </c>
      <c r="B1960" t="s">
        <v>1283</v>
      </c>
      <c r="C1960" t="s">
        <v>1267</v>
      </c>
      <c r="D1960" t="s">
        <v>1281</v>
      </c>
      <c r="E1960" t="s">
        <v>678</v>
      </c>
      <c r="F1960" t="s">
        <v>598</v>
      </c>
      <c r="G1960" t="s">
        <v>599</v>
      </c>
      <c r="H1960" t="s">
        <v>600</v>
      </c>
      <c r="I1960" t="s">
        <v>601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hidden="1">
      <c r="A1961" t="s">
        <v>18810</v>
      </c>
      <c r="B1961" t="s">
        <v>1291</v>
      </c>
      <c r="C1961" t="s">
        <v>1267</v>
      </c>
      <c r="D1961" t="s">
        <v>1290</v>
      </c>
      <c r="E1961" t="s">
        <v>678</v>
      </c>
      <c r="F1961" t="s">
        <v>598</v>
      </c>
      <c r="G1961" t="s">
        <v>599</v>
      </c>
      <c r="H1961" t="s">
        <v>600</v>
      </c>
      <c r="I1961" t="s">
        <v>601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hidden="1">
      <c r="A1962" t="s">
        <v>18810</v>
      </c>
      <c r="B1962" t="s">
        <v>1292</v>
      </c>
      <c r="C1962" t="s">
        <v>1267</v>
      </c>
      <c r="D1962" t="s">
        <v>1293</v>
      </c>
      <c r="E1962" t="s">
        <v>672</v>
      </c>
      <c r="F1962" t="s">
        <v>598</v>
      </c>
      <c r="G1962" t="s">
        <v>599</v>
      </c>
      <c r="H1962" t="s">
        <v>600</v>
      </c>
      <c r="I1962" t="s">
        <v>601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hidden="1">
      <c r="A1963" t="s">
        <v>18810</v>
      </c>
      <c r="B1963" t="s">
        <v>1294</v>
      </c>
      <c r="C1963" t="s">
        <v>1267</v>
      </c>
      <c r="D1963" t="s">
        <v>1293</v>
      </c>
      <c r="E1963" t="s">
        <v>678</v>
      </c>
      <c r="F1963" t="s">
        <v>598</v>
      </c>
      <c r="G1963" t="s">
        <v>599</v>
      </c>
      <c r="H1963" t="s">
        <v>600</v>
      </c>
      <c r="I1963" t="s">
        <v>601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hidden="1">
      <c r="A1964" t="s">
        <v>18810</v>
      </c>
      <c r="B1964" t="s">
        <v>1297</v>
      </c>
      <c r="C1964" t="s">
        <v>1267</v>
      </c>
      <c r="D1964" t="s">
        <v>1298</v>
      </c>
      <c r="E1964" t="s">
        <v>672</v>
      </c>
      <c r="F1964" t="s">
        <v>598</v>
      </c>
      <c r="G1964" t="s">
        <v>599</v>
      </c>
      <c r="H1964" t="s">
        <v>600</v>
      </c>
      <c r="I1964" t="s">
        <v>601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hidden="1">
      <c r="A1965" t="s">
        <v>18810</v>
      </c>
      <c r="B1965" t="s">
        <v>1301</v>
      </c>
      <c r="C1965" t="s">
        <v>1267</v>
      </c>
      <c r="D1965" t="s">
        <v>1302</v>
      </c>
      <c r="E1965" t="s">
        <v>672</v>
      </c>
      <c r="F1965" t="s">
        <v>598</v>
      </c>
      <c r="G1965" t="s">
        <v>599</v>
      </c>
      <c r="H1965" t="s">
        <v>600</v>
      </c>
      <c r="I1965" t="s">
        <v>601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hidden="1">
      <c r="A1966" t="s">
        <v>18810</v>
      </c>
      <c r="B1966" t="s">
        <v>1303</v>
      </c>
      <c r="C1966" t="s">
        <v>1267</v>
      </c>
      <c r="D1966" t="s">
        <v>1302</v>
      </c>
      <c r="E1966" t="s">
        <v>678</v>
      </c>
      <c r="F1966" t="s">
        <v>598</v>
      </c>
      <c r="G1966" t="s">
        <v>599</v>
      </c>
      <c r="H1966" t="s">
        <v>600</v>
      </c>
      <c r="I1966" t="s">
        <v>601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hidden="1">
      <c r="A1967" t="s">
        <v>18810</v>
      </c>
      <c r="B1967" t="s">
        <v>1304</v>
      </c>
      <c r="C1967" t="s">
        <v>1267</v>
      </c>
      <c r="D1967" t="s">
        <v>1305</v>
      </c>
      <c r="E1967" t="s">
        <v>672</v>
      </c>
      <c r="F1967" t="s">
        <v>598</v>
      </c>
      <c r="G1967" t="s">
        <v>599</v>
      </c>
      <c r="H1967" t="s">
        <v>600</v>
      </c>
      <c r="I1967" t="s">
        <v>601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hidden="1">
      <c r="A1968" t="s">
        <v>18810</v>
      </c>
      <c r="B1968" t="s">
        <v>1308</v>
      </c>
      <c r="C1968" t="s">
        <v>1267</v>
      </c>
      <c r="D1968" t="s">
        <v>1309</v>
      </c>
      <c r="E1968" t="s">
        <v>672</v>
      </c>
      <c r="F1968" t="s">
        <v>598</v>
      </c>
      <c r="G1968" t="s">
        <v>599</v>
      </c>
      <c r="H1968" t="s">
        <v>600</v>
      </c>
      <c r="I1968" t="s">
        <v>601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hidden="1">
      <c r="A1969" t="s">
        <v>18810</v>
      </c>
      <c r="B1969" t="s">
        <v>1313</v>
      </c>
      <c r="C1969" t="s">
        <v>1267</v>
      </c>
      <c r="D1969" t="s">
        <v>1311</v>
      </c>
      <c r="E1969" t="s">
        <v>605</v>
      </c>
      <c r="F1969" t="s">
        <v>598</v>
      </c>
      <c r="G1969" t="s">
        <v>599</v>
      </c>
      <c r="H1969" t="s">
        <v>600</v>
      </c>
      <c r="I1969" t="s">
        <v>601</v>
      </c>
      <c r="J1969">
        <v>1.6E-2</v>
      </c>
      <c r="K1969">
        <v>1.5599999999999999E-2</v>
      </c>
      <c r="L1969">
        <v>1.5299999999999999E-2</v>
      </c>
      <c r="M1969">
        <v>1.49E-2</v>
      </c>
      <c r="N1969">
        <v>1.46E-2</v>
      </c>
      <c r="O1969">
        <v>1.43E-2</v>
      </c>
      <c r="P1969">
        <v>1.4E-2</v>
      </c>
      <c r="Q1969">
        <v>1.37E-2</v>
      </c>
      <c r="R1969">
        <v>1.34E-2</v>
      </c>
      <c r="S1969">
        <v>1.3100000000000001E-2</v>
      </c>
      <c r="T1969">
        <v>1.2800000000000001E-2</v>
      </c>
      <c r="U1969">
        <v>1.2500000000000001E-2</v>
      </c>
      <c r="V1969">
        <v>1.2200000000000001E-2</v>
      </c>
      <c r="W1969">
        <v>1.2E-2</v>
      </c>
      <c r="X1969">
        <v>1.17E-2</v>
      </c>
      <c r="Y1969">
        <v>1.14E-2</v>
      </c>
    </row>
    <row r="1970" spans="1:25" hidden="1">
      <c r="A1970" t="s">
        <v>18810</v>
      </c>
      <c r="B1970" t="s">
        <v>1314</v>
      </c>
      <c r="C1970" t="s">
        <v>1267</v>
      </c>
      <c r="D1970" t="s">
        <v>1311</v>
      </c>
      <c r="E1970" t="s">
        <v>678</v>
      </c>
      <c r="F1970" t="s">
        <v>598</v>
      </c>
      <c r="G1970" t="s">
        <v>599</v>
      </c>
      <c r="H1970" t="s">
        <v>600</v>
      </c>
      <c r="I1970" t="s">
        <v>601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</row>
    <row r="1971" spans="1:25" hidden="1">
      <c r="A1971" t="s">
        <v>18810</v>
      </c>
      <c r="B1971" t="s">
        <v>1321</v>
      </c>
      <c r="C1971" t="s">
        <v>1267</v>
      </c>
      <c r="D1971" t="s">
        <v>1322</v>
      </c>
      <c r="E1971" t="s">
        <v>672</v>
      </c>
      <c r="F1971" t="s">
        <v>598</v>
      </c>
      <c r="G1971" t="s">
        <v>599</v>
      </c>
      <c r="H1971" t="s">
        <v>600</v>
      </c>
      <c r="I1971" t="s">
        <v>601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hidden="1">
      <c r="A1972" t="s">
        <v>18810</v>
      </c>
      <c r="B1972" t="s">
        <v>1323</v>
      </c>
      <c r="C1972" t="s">
        <v>1267</v>
      </c>
      <c r="D1972" t="s">
        <v>1324</v>
      </c>
      <c r="E1972" t="s">
        <v>688</v>
      </c>
      <c r="F1972" t="s">
        <v>598</v>
      </c>
      <c r="G1972" t="s">
        <v>599</v>
      </c>
      <c r="H1972" t="s">
        <v>600</v>
      </c>
      <c r="I1972" t="s">
        <v>601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hidden="1">
      <c r="A1973" t="s">
        <v>18810</v>
      </c>
      <c r="B1973" t="s">
        <v>1325</v>
      </c>
      <c r="C1973" t="s">
        <v>1267</v>
      </c>
      <c r="D1973" t="s">
        <v>1324</v>
      </c>
      <c r="E1973" t="s">
        <v>1326</v>
      </c>
      <c r="F1973" t="s">
        <v>598</v>
      </c>
      <c r="G1973" t="s">
        <v>599</v>
      </c>
      <c r="H1973" t="s">
        <v>600</v>
      </c>
      <c r="I1973" t="s">
        <v>601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hidden="1">
      <c r="A1974" t="s">
        <v>18810</v>
      </c>
      <c r="B1974" t="s">
        <v>1328</v>
      </c>
      <c r="C1974" t="s">
        <v>1267</v>
      </c>
      <c r="D1974" t="s">
        <v>1324</v>
      </c>
      <c r="E1974" t="s">
        <v>678</v>
      </c>
      <c r="F1974" t="s">
        <v>598</v>
      </c>
      <c r="G1974" t="s">
        <v>599</v>
      </c>
      <c r="H1974" t="s">
        <v>600</v>
      </c>
      <c r="I1974" t="s">
        <v>601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hidden="1">
      <c r="A1975" t="s">
        <v>18810</v>
      </c>
      <c r="B1975" t="s">
        <v>1329</v>
      </c>
      <c r="C1975" t="s">
        <v>1267</v>
      </c>
      <c r="D1975" t="s">
        <v>1324</v>
      </c>
      <c r="E1975" t="s">
        <v>1318</v>
      </c>
      <c r="F1975" t="s">
        <v>598</v>
      </c>
      <c r="G1975" t="s">
        <v>599</v>
      </c>
      <c r="H1975" t="s">
        <v>600</v>
      </c>
      <c r="I1975" t="s">
        <v>601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hidden="1">
      <c r="A1976" t="s">
        <v>18810</v>
      </c>
      <c r="B1976" t="s">
        <v>1330</v>
      </c>
      <c r="C1976" t="s">
        <v>1267</v>
      </c>
      <c r="D1976" t="s">
        <v>1324</v>
      </c>
      <c r="E1976" t="s">
        <v>954</v>
      </c>
      <c r="F1976" t="s">
        <v>598</v>
      </c>
      <c r="G1976" t="s">
        <v>599</v>
      </c>
      <c r="H1976" t="s">
        <v>600</v>
      </c>
      <c r="I1976" t="s">
        <v>601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hidden="1">
      <c r="A1977" t="s">
        <v>18810</v>
      </c>
      <c r="B1977" t="s">
        <v>1347</v>
      </c>
      <c r="C1977" t="s">
        <v>1267</v>
      </c>
      <c r="D1977" t="s">
        <v>1348</v>
      </c>
      <c r="E1977" t="s">
        <v>1318</v>
      </c>
      <c r="F1977" t="s">
        <v>598</v>
      </c>
      <c r="G1977" t="s">
        <v>599</v>
      </c>
      <c r="H1977" t="s">
        <v>600</v>
      </c>
      <c r="I1977" t="s">
        <v>601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</row>
    <row r="1978" spans="1:25" hidden="1">
      <c r="A1978" t="s">
        <v>18810</v>
      </c>
      <c r="B1978" t="s">
        <v>1351</v>
      </c>
      <c r="C1978" t="s">
        <v>1267</v>
      </c>
      <c r="D1978" t="s">
        <v>1352</v>
      </c>
      <c r="E1978" t="s">
        <v>672</v>
      </c>
      <c r="F1978" t="s">
        <v>598</v>
      </c>
      <c r="G1978" t="s">
        <v>599</v>
      </c>
      <c r="H1978" t="s">
        <v>600</v>
      </c>
      <c r="I1978" t="s">
        <v>601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hidden="1">
      <c r="A1979" t="s">
        <v>18810</v>
      </c>
      <c r="B1979" t="s">
        <v>1353</v>
      </c>
      <c r="C1979" t="s">
        <v>1267</v>
      </c>
      <c r="D1979" t="s">
        <v>1354</v>
      </c>
      <c r="E1979" t="s">
        <v>672</v>
      </c>
      <c r="F1979" t="s">
        <v>598</v>
      </c>
      <c r="G1979" t="s">
        <v>599</v>
      </c>
      <c r="H1979" t="s">
        <v>600</v>
      </c>
      <c r="I1979" t="s">
        <v>601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hidden="1">
      <c r="A1980" t="s">
        <v>18810</v>
      </c>
      <c r="B1980" t="s">
        <v>1369</v>
      </c>
      <c r="C1980" t="s">
        <v>1267</v>
      </c>
      <c r="D1980" t="s">
        <v>1370</v>
      </c>
      <c r="E1980" t="s">
        <v>672</v>
      </c>
      <c r="F1980" t="s">
        <v>598</v>
      </c>
      <c r="G1980" t="s">
        <v>599</v>
      </c>
      <c r="H1980" t="s">
        <v>600</v>
      </c>
      <c r="I1980" t="s">
        <v>601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hidden="1">
      <c r="A1981" t="s">
        <v>18810</v>
      </c>
      <c r="B1981" t="s">
        <v>1371</v>
      </c>
      <c r="C1981" t="s">
        <v>1267</v>
      </c>
      <c r="D1981" t="s">
        <v>1370</v>
      </c>
      <c r="E1981" t="s">
        <v>678</v>
      </c>
      <c r="F1981" t="s">
        <v>598</v>
      </c>
      <c r="G1981" t="s">
        <v>599</v>
      </c>
      <c r="H1981" t="s">
        <v>600</v>
      </c>
      <c r="I1981" t="s">
        <v>601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hidden="1">
      <c r="A1982" t="s">
        <v>18810</v>
      </c>
      <c r="B1982" t="s">
        <v>1373</v>
      </c>
      <c r="C1982" t="s">
        <v>1267</v>
      </c>
      <c r="D1982" t="s">
        <v>648</v>
      </c>
      <c r="E1982" t="s">
        <v>672</v>
      </c>
      <c r="F1982" t="s">
        <v>598</v>
      </c>
      <c r="G1982" t="s">
        <v>599</v>
      </c>
      <c r="H1982" t="s">
        <v>600</v>
      </c>
      <c r="I1982" t="s">
        <v>601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hidden="1">
      <c r="A1983" t="s">
        <v>18810</v>
      </c>
      <c r="B1983" t="s">
        <v>1375</v>
      </c>
      <c r="C1983" t="s">
        <v>1267</v>
      </c>
      <c r="D1983" t="s">
        <v>648</v>
      </c>
      <c r="E1983" t="s">
        <v>929</v>
      </c>
      <c r="F1983" t="s">
        <v>598</v>
      </c>
      <c r="G1983" t="s">
        <v>599</v>
      </c>
      <c r="H1983" t="s">
        <v>600</v>
      </c>
      <c r="I1983" t="s">
        <v>601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</row>
    <row r="1984" spans="1:25" hidden="1">
      <c r="A1984" t="s">
        <v>18810</v>
      </c>
      <c r="B1984" t="s">
        <v>1376</v>
      </c>
      <c r="C1984" t="s">
        <v>1267</v>
      </c>
      <c r="D1984" t="s">
        <v>648</v>
      </c>
      <c r="E1984" t="s">
        <v>678</v>
      </c>
      <c r="F1984" t="s">
        <v>598</v>
      </c>
      <c r="G1984" t="s">
        <v>599</v>
      </c>
      <c r="H1984" t="s">
        <v>600</v>
      </c>
      <c r="I1984" t="s">
        <v>601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hidden="1">
      <c r="A1985" t="s">
        <v>18810</v>
      </c>
      <c r="B1985" t="s">
        <v>1381</v>
      </c>
      <c r="C1985" t="s">
        <v>1382</v>
      </c>
      <c r="D1985" t="s">
        <v>1274</v>
      </c>
      <c r="E1985" t="s">
        <v>973</v>
      </c>
      <c r="F1985" t="s">
        <v>598</v>
      </c>
      <c r="G1985" t="s">
        <v>599</v>
      </c>
      <c r="H1985" t="s">
        <v>600</v>
      </c>
      <c r="I1985" t="s">
        <v>601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</row>
    <row r="1986" spans="1:25" hidden="1">
      <c r="A1986" t="s">
        <v>18810</v>
      </c>
      <c r="B1986" t="s">
        <v>1384</v>
      </c>
      <c r="C1986" t="s">
        <v>1382</v>
      </c>
      <c r="D1986" t="s">
        <v>1285</v>
      </c>
      <c r="E1986" t="s">
        <v>973</v>
      </c>
      <c r="F1986" t="s">
        <v>598</v>
      </c>
      <c r="G1986" t="s">
        <v>599</v>
      </c>
      <c r="H1986" t="s">
        <v>600</v>
      </c>
      <c r="I1986" t="s">
        <v>601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hidden="1">
      <c r="A1987" t="s">
        <v>18810</v>
      </c>
      <c r="B1987" t="s">
        <v>1387</v>
      </c>
      <c r="C1987" t="s">
        <v>1382</v>
      </c>
      <c r="D1987" t="s">
        <v>1311</v>
      </c>
      <c r="E1987" t="s">
        <v>973</v>
      </c>
      <c r="F1987" t="s">
        <v>598</v>
      </c>
      <c r="G1987" t="s">
        <v>599</v>
      </c>
      <c r="H1987" t="s">
        <v>600</v>
      </c>
      <c r="I1987" t="s">
        <v>601</v>
      </c>
      <c r="J1987">
        <v>8.9999999999999998E-4</v>
      </c>
      <c r="K1987">
        <v>8.9999999999999998E-4</v>
      </c>
      <c r="L1987">
        <v>8.9999999999999998E-4</v>
      </c>
      <c r="M1987">
        <v>8.9999999999999998E-4</v>
      </c>
      <c r="N1987">
        <v>8.9999999999999998E-4</v>
      </c>
      <c r="O1987">
        <v>8.9999999999999998E-4</v>
      </c>
      <c r="P1987">
        <v>8.9999999999999998E-4</v>
      </c>
      <c r="Q1987">
        <v>8.9999999999999998E-4</v>
      </c>
      <c r="R1987">
        <v>8.9999999999999998E-4</v>
      </c>
      <c r="S1987">
        <v>8.9999999999999998E-4</v>
      </c>
      <c r="T1987">
        <v>8.9999999999999998E-4</v>
      </c>
      <c r="U1987">
        <v>1E-3</v>
      </c>
      <c r="V1987">
        <v>1E-3</v>
      </c>
      <c r="W1987">
        <v>1E-3</v>
      </c>
      <c r="X1987">
        <v>1E-3</v>
      </c>
      <c r="Y1987">
        <v>1E-3</v>
      </c>
    </row>
    <row r="1988" spans="1:25" hidden="1">
      <c r="A1988" t="s">
        <v>18810</v>
      </c>
      <c r="B1988" t="s">
        <v>1388</v>
      </c>
      <c r="C1988" t="s">
        <v>1382</v>
      </c>
      <c r="D1988" t="s">
        <v>1311</v>
      </c>
      <c r="E1988" t="s">
        <v>597</v>
      </c>
      <c r="F1988" t="s">
        <v>598</v>
      </c>
      <c r="G1988" t="s">
        <v>599</v>
      </c>
      <c r="H1988" t="s">
        <v>600</v>
      </c>
      <c r="I1988" t="s">
        <v>601</v>
      </c>
      <c r="J1988">
        <v>3.3E-3</v>
      </c>
      <c r="K1988">
        <v>3.3E-3</v>
      </c>
      <c r="L1988">
        <v>3.3999999999999998E-3</v>
      </c>
      <c r="M1988">
        <v>3.5000000000000001E-3</v>
      </c>
      <c r="N1988">
        <v>3.5000000000000001E-3</v>
      </c>
      <c r="O1988">
        <v>3.5000000000000001E-3</v>
      </c>
      <c r="P1988">
        <v>3.5000000000000001E-3</v>
      </c>
      <c r="Q1988">
        <v>3.5999999999999999E-3</v>
      </c>
      <c r="R1988">
        <v>3.5999999999999999E-3</v>
      </c>
      <c r="S1988">
        <v>3.5999999999999999E-3</v>
      </c>
      <c r="T1988">
        <v>3.5999999999999999E-3</v>
      </c>
      <c r="U1988">
        <v>3.5999999999999999E-3</v>
      </c>
      <c r="V1988">
        <v>3.7000000000000002E-3</v>
      </c>
      <c r="W1988">
        <v>3.7000000000000002E-3</v>
      </c>
      <c r="X1988">
        <v>3.8E-3</v>
      </c>
      <c r="Y1988">
        <v>3.8E-3</v>
      </c>
    </row>
    <row r="1989" spans="1:25" hidden="1">
      <c r="A1989" t="s">
        <v>18810</v>
      </c>
      <c r="B1989" t="s">
        <v>1390</v>
      </c>
      <c r="C1989" t="s">
        <v>1382</v>
      </c>
      <c r="D1989" t="s">
        <v>1311</v>
      </c>
      <c r="E1989" t="s">
        <v>605</v>
      </c>
      <c r="F1989" t="s">
        <v>598</v>
      </c>
      <c r="G1989" t="s">
        <v>599</v>
      </c>
      <c r="H1989" t="s">
        <v>600</v>
      </c>
      <c r="I1989" t="s">
        <v>601</v>
      </c>
      <c r="J1989">
        <v>2.0000000000000001E-4</v>
      </c>
      <c r="K1989">
        <v>2.0000000000000001E-4</v>
      </c>
      <c r="L1989">
        <v>2.0000000000000001E-4</v>
      </c>
      <c r="M1989">
        <v>2.0000000000000001E-4</v>
      </c>
      <c r="N1989">
        <v>2.9999999999999997E-4</v>
      </c>
      <c r="O1989">
        <v>2.9999999999999997E-4</v>
      </c>
      <c r="P1989">
        <v>2.9999999999999997E-4</v>
      </c>
      <c r="Q1989">
        <v>2.9999999999999997E-4</v>
      </c>
      <c r="R1989">
        <v>2.9999999999999997E-4</v>
      </c>
      <c r="S1989">
        <v>2.9999999999999997E-4</v>
      </c>
      <c r="T1989">
        <v>2.9999999999999997E-4</v>
      </c>
      <c r="U1989">
        <v>2.9999999999999997E-4</v>
      </c>
      <c r="V1989">
        <v>2.9999999999999997E-4</v>
      </c>
      <c r="W1989">
        <v>2.9999999999999997E-4</v>
      </c>
      <c r="X1989">
        <v>2.9999999999999997E-4</v>
      </c>
      <c r="Y1989">
        <v>2.9999999999999997E-4</v>
      </c>
    </row>
    <row r="1990" spans="1:25" hidden="1">
      <c r="A1990" t="s">
        <v>18810</v>
      </c>
      <c r="B1990" t="s">
        <v>1391</v>
      </c>
      <c r="C1990" t="s">
        <v>1382</v>
      </c>
      <c r="D1990" t="s">
        <v>1392</v>
      </c>
      <c r="E1990" t="s">
        <v>1393</v>
      </c>
      <c r="F1990" t="s">
        <v>598</v>
      </c>
      <c r="G1990" t="s">
        <v>599</v>
      </c>
      <c r="H1990" t="s">
        <v>600</v>
      </c>
      <c r="I1990" t="s">
        <v>601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</row>
    <row r="1991" spans="1:25" hidden="1">
      <c r="A1991" t="s">
        <v>18810</v>
      </c>
      <c r="B1991" t="s">
        <v>1394</v>
      </c>
      <c r="C1991" t="s">
        <v>1382</v>
      </c>
      <c r="D1991" t="s">
        <v>1316</v>
      </c>
      <c r="E1991" t="s">
        <v>1018</v>
      </c>
      <c r="F1991" t="s">
        <v>598</v>
      </c>
      <c r="G1991" t="s">
        <v>599</v>
      </c>
      <c r="H1991" t="s">
        <v>600</v>
      </c>
      <c r="I1991" t="s">
        <v>601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hidden="1">
      <c r="A1992" t="s">
        <v>18810</v>
      </c>
      <c r="B1992" t="s">
        <v>1395</v>
      </c>
      <c r="C1992" t="s">
        <v>1382</v>
      </c>
      <c r="D1992" t="s">
        <v>1316</v>
      </c>
      <c r="E1992" t="s">
        <v>688</v>
      </c>
      <c r="F1992" t="s">
        <v>598</v>
      </c>
      <c r="G1992" t="s">
        <v>599</v>
      </c>
      <c r="H1992" t="s">
        <v>600</v>
      </c>
      <c r="I1992" t="s">
        <v>601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hidden="1">
      <c r="A1993" t="s">
        <v>18810</v>
      </c>
      <c r="B1993" t="s">
        <v>1396</v>
      </c>
      <c r="C1993" t="s">
        <v>1382</v>
      </c>
      <c r="D1993" t="s">
        <v>1316</v>
      </c>
      <c r="E1993" t="s">
        <v>626</v>
      </c>
      <c r="F1993" t="s">
        <v>598</v>
      </c>
      <c r="G1993" t="s">
        <v>599</v>
      </c>
      <c r="H1993" t="s">
        <v>600</v>
      </c>
      <c r="I1993" t="s">
        <v>601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hidden="1">
      <c r="A1994" t="s">
        <v>18810</v>
      </c>
      <c r="B1994" t="s">
        <v>1397</v>
      </c>
      <c r="C1994" t="s">
        <v>1382</v>
      </c>
      <c r="D1994" t="s">
        <v>1316</v>
      </c>
      <c r="E1994" t="s">
        <v>1334</v>
      </c>
      <c r="F1994" t="s">
        <v>598</v>
      </c>
      <c r="G1994" t="s">
        <v>599</v>
      </c>
      <c r="H1994" t="s">
        <v>600</v>
      </c>
      <c r="I1994" t="s">
        <v>601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hidden="1">
      <c r="A1995" t="s">
        <v>18810</v>
      </c>
      <c r="B1995" t="s">
        <v>1404</v>
      </c>
      <c r="C1995" t="s">
        <v>1382</v>
      </c>
      <c r="D1995" t="s">
        <v>1316</v>
      </c>
      <c r="E1995" t="s">
        <v>1318</v>
      </c>
      <c r="F1995" t="s">
        <v>598</v>
      </c>
      <c r="G1995" t="s">
        <v>599</v>
      </c>
      <c r="H1995" t="s">
        <v>600</v>
      </c>
      <c r="I1995" t="s">
        <v>601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hidden="1">
      <c r="A1996" t="s">
        <v>18810</v>
      </c>
      <c r="B1996" t="s">
        <v>1405</v>
      </c>
      <c r="C1996" t="s">
        <v>1382</v>
      </c>
      <c r="D1996" t="s">
        <v>1316</v>
      </c>
      <c r="E1996" t="s">
        <v>1198</v>
      </c>
      <c r="F1996" t="s">
        <v>598</v>
      </c>
      <c r="G1996" t="s">
        <v>599</v>
      </c>
      <c r="H1996" t="s">
        <v>600</v>
      </c>
      <c r="I1996" t="s">
        <v>601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hidden="1">
      <c r="A1997" t="s">
        <v>18810</v>
      </c>
      <c r="B1997" t="s">
        <v>1413</v>
      </c>
      <c r="C1997" t="s">
        <v>1382</v>
      </c>
      <c r="D1997" t="s">
        <v>1324</v>
      </c>
      <c r="E1997" t="s">
        <v>1018</v>
      </c>
      <c r="F1997" t="s">
        <v>598</v>
      </c>
      <c r="G1997" t="s">
        <v>599</v>
      </c>
      <c r="H1997" t="s">
        <v>600</v>
      </c>
      <c r="I1997" t="s">
        <v>601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hidden="1">
      <c r="A1998" t="s">
        <v>18810</v>
      </c>
      <c r="B1998" t="s">
        <v>1414</v>
      </c>
      <c r="C1998" t="s">
        <v>1382</v>
      </c>
      <c r="D1998" t="s">
        <v>1324</v>
      </c>
      <c r="E1998" t="s">
        <v>688</v>
      </c>
      <c r="F1998" t="s">
        <v>598</v>
      </c>
      <c r="G1998" t="s">
        <v>599</v>
      </c>
      <c r="H1998" t="s">
        <v>600</v>
      </c>
      <c r="I1998" t="s">
        <v>601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hidden="1">
      <c r="A1999" t="s">
        <v>18810</v>
      </c>
      <c r="B1999" t="s">
        <v>1418</v>
      </c>
      <c r="C1999" t="s">
        <v>1382</v>
      </c>
      <c r="D1999" t="s">
        <v>1324</v>
      </c>
      <c r="E1999" t="s">
        <v>1326</v>
      </c>
      <c r="F1999" t="s">
        <v>598</v>
      </c>
      <c r="G1999" t="s">
        <v>599</v>
      </c>
      <c r="H1999" t="s">
        <v>600</v>
      </c>
      <c r="I1999" t="s">
        <v>601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hidden="1">
      <c r="A2000" t="s">
        <v>18810</v>
      </c>
      <c r="B2000" t="s">
        <v>1421</v>
      </c>
      <c r="C2000" t="s">
        <v>1382</v>
      </c>
      <c r="D2000" t="s">
        <v>1324</v>
      </c>
      <c r="E2000" t="s">
        <v>1318</v>
      </c>
      <c r="F2000" t="s">
        <v>598</v>
      </c>
      <c r="G2000" t="s">
        <v>599</v>
      </c>
      <c r="H2000" t="s">
        <v>600</v>
      </c>
      <c r="I2000" t="s">
        <v>601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hidden="1">
      <c r="A2001" t="s">
        <v>18810</v>
      </c>
      <c r="B2001" t="s">
        <v>1422</v>
      </c>
      <c r="C2001" t="s">
        <v>1382</v>
      </c>
      <c r="D2001" t="s">
        <v>1324</v>
      </c>
      <c r="E2001" t="s">
        <v>1423</v>
      </c>
      <c r="F2001" t="s">
        <v>598</v>
      </c>
      <c r="G2001" t="s">
        <v>599</v>
      </c>
      <c r="H2001" t="s">
        <v>600</v>
      </c>
      <c r="I2001" t="s">
        <v>601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</row>
    <row r="2002" spans="1:25" hidden="1">
      <c r="A2002" t="s">
        <v>18810</v>
      </c>
      <c r="B2002" t="s">
        <v>1432</v>
      </c>
      <c r="C2002" t="s">
        <v>1382</v>
      </c>
      <c r="D2002" t="s">
        <v>1348</v>
      </c>
      <c r="E2002" t="s">
        <v>688</v>
      </c>
      <c r="F2002" t="s">
        <v>598</v>
      </c>
      <c r="G2002" t="s">
        <v>599</v>
      </c>
      <c r="H2002" t="s">
        <v>600</v>
      </c>
      <c r="I2002" t="s">
        <v>601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hidden="1">
      <c r="A2003" t="s">
        <v>18810</v>
      </c>
      <c r="B2003" t="s">
        <v>1434</v>
      </c>
      <c r="C2003" t="s">
        <v>1382</v>
      </c>
      <c r="D2003" t="s">
        <v>1435</v>
      </c>
      <c r="E2003" t="s">
        <v>973</v>
      </c>
      <c r="F2003" t="s">
        <v>598</v>
      </c>
      <c r="G2003" t="s">
        <v>599</v>
      </c>
      <c r="H2003" t="s">
        <v>600</v>
      </c>
      <c r="I2003" t="s">
        <v>601</v>
      </c>
      <c r="J2003">
        <v>1.4800000000000001E-2</v>
      </c>
      <c r="K2003">
        <v>1.49E-2</v>
      </c>
      <c r="L2003">
        <v>1.5100000000000001E-2</v>
      </c>
      <c r="M2003">
        <v>1.52E-2</v>
      </c>
      <c r="N2003">
        <v>1.54E-2</v>
      </c>
      <c r="O2003">
        <v>1.55E-2</v>
      </c>
      <c r="P2003">
        <v>1.5699999999999999E-2</v>
      </c>
      <c r="Q2003">
        <v>1.5800000000000002E-2</v>
      </c>
      <c r="R2003">
        <v>1.6E-2</v>
      </c>
      <c r="S2003">
        <v>1.6199999999999999E-2</v>
      </c>
      <c r="T2003">
        <v>1.6299999999999999E-2</v>
      </c>
      <c r="U2003">
        <v>1.6500000000000001E-2</v>
      </c>
      <c r="V2003">
        <v>1.66E-2</v>
      </c>
      <c r="W2003">
        <v>1.6799999999999999E-2</v>
      </c>
      <c r="X2003">
        <v>1.7000000000000001E-2</v>
      </c>
      <c r="Y2003">
        <v>1.7100000000000001E-2</v>
      </c>
    </row>
    <row r="2004" spans="1:25" hidden="1">
      <c r="A2004" t="s">
        <v>18810</v>
      </c>
      <c r="B2004" t="s">
        <v>1436</v>
      </c>
      <c r="C2004" t="s">
        <v>1382</v>
      </c>
      <c r="D2004" t="s">
        <v>1354</v>
      </c>
      <c r="E2004" t="s">
        <v>973</v>
      </c>
      <c r="F2004" t="s">
        <v>598</v>
      </c>
      <c r="G2004" t="s">
        <v>599</v>
      </c>
      <c r="H2004" t="s">
        <v>600</v>
      </c>
      <c r="I2004" t="s">
        <v>601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hidden="1">
      <c r="A2005" t="s">
        <v>18810</v>
      </c>
      <c r="B2005" t="s">
        <v>1437</v>
      </c>
      <c r="C2005" t="s">
        <v>1382</v>
      </c>
      <c r="D2005" t="s">
        <v>1354</v>
      </c>
      <c r="E2005" t="s">
        <v>1438</v>
      </c>
      <c r="F2005" t="s">
        <v>598</v>
      </c>
      <c r="G2005" t="s">
        <v>599</v>
      </c>
      <c r="H2005" t="s">
        <v>600</v>
      </c>
      <c r="I2005" t="s">
        <v>601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hidden="1">
      <c r="A2006" t="s">
        <v>18810</v>
      </c>
      <c r="B2006" t="s">
        <v>1439</v>
      </c>
      <c r="C2006" t="s">
        <v>1382</v>
      </c>
      <c r="D2006" t="s">
        <v>1440</v>
      </c>
      <c r="E2006" t="s">
        <v>973</v>
      </c>
      <c r="F2006" t="s">
        <v>598</v>
      </c>
      <c r="G2006" t="s">
        <v>599</v>
      </c>
      <c r="H2006" t="s">
        <v>600</v>
      </c>
      <c r="I2006" t="s">
        <v>601</v>
      </c>
      <c r="J2006">
        <v>0.25169999999999998</v>
      </c>
      <c r="K2006">
        <v>0.25440000000000002</v>
      </c>
      <c r="L2006">
        <v>0.25679999999999997</v>
      </c>
      <c r="M2006">
        <v>0.25950000000000001</v>
      </c>
      <c r="N2006">
        <v>0.2621</v>
      </c>
      <c r="O2006">
        <v>0.26450000000000001</v>
      </c>
      <c r="P2006">
        <v>0.26719999999999999</v>
      </c>
      <c r="Q2006">
        <v>0.26989999999999997</v>
      </c>
      <c r="R2006">
        <v>0.27250000000000002</v>
      </c>
      <c r="S2006">
        <v>0.27539999999999998</v>
      </c>
      <c r="T2006">
        <v>0.27810000000000001</v>
      </c>
      <c r="U2006">
        <v>0.28070000000000001</v>
      </c>
      <c r="V2006">
        <v>0.28360000000000002</v>
      </c>
      <c r="W2006">
        <v>0.28649999999999998</v>
      </c>
      <c r="X2006">
        <v>0.28920000000000001</v>
      </c>
      <c r="Y2006">
        <v>0.2923</v>
      </c>
    </row>
    <row r="2007" spans="1:25" hidden="1">
      <c r="A2007" t="s">
        <v>18810</v>
      </c>
      <c r="B2007" t="s">
        <v>1442</v>
      </c>
      <c r="C2007" t="s">
        <v>1382</v>
      </c>
      <c r="D2007" t="s">
        <v>1443</v>
      </c>
      <c r="E2007" t="s">
        <v>611</v>
      </c>
      <c r="F2007" t="s">
        <v>598</v>
      </c>
      <c r="G2007" t="s">
        <v>599</v>
      </c>
      <c r="H2007" t="s">
        <v>600</v>
      </c>
      <c r="I2007" t="s">
        <v>601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hidden="1">
      <c r="A2008" t="s">
        <v>18810</v>
      </c>
      <c r="B2008" t="s">
        <v>1444</v>
      </c>
      <c r="C2008" t="s">
        <v>1382</v>
      </c>
      <c r="D2008" t="s">
        <v>1445</v>
      </c>
      <c r="E2008" t="s">
        <v>973</v>
      </c>
      <c r="F2008" t="s">
        <v>598</v>
      </c>
      <c r="G2008" t="s">
        <v>599</v>
      </c>
      <c r="H2008" t="s">
        <v>600</v>
      </c>
      <c r="I2008" t="s">
        <v>601</v>
      </c>
      <c r="J2008">
        <v>3.7000000000000002E-3</v>
      </c>
      <c r="K2008">
        <v>3.8E-3</v>
      </c>
      <c r="L2008">
        <v>3.8E-3</v>
      </c>
      <c r="M2008">
        <v>3.8999999999999998E-3</v>
      </c>
      <c r="N2008">
        <v>3.8999999999999998E-3</v>
      </c>
      <c r="O2008">
        <v>4.0000000000000001E-3</v>
      </c>
      <c r="P2008">
        <v>4.0000000000000001E-3</v>
      </c>
      <c r="Q2008">
        <v>4.0000000000000001E-3</v>
      </c>
      <c r="R2008">
        <v>4.1000000000000003E-3</v>
      </c>
      <c r="S2008">
        <v>4.1000000000000003E-3</v>
      </c>
      <c r="T2008">
        <v>4.1000000000000003E-3</v>
      </c>
      <c r="U2008">
        <v>4.1999999999999997E-3</v>
      </c>
      <c r="V2008">
        <v>4.1999999999999997E-3</v>
      </c>
      <c r="W2008">
        <v>4.3E-3</v>
      </c>
      <c r="X2008">
        <v>4.3E-3</v>
      </c>
      <c r="Y2008">
        <v>4.3E-3</v>
      </c>
    </row>
    <row r="2009" spans="1:25" hidden="1">
      <c r="A2009" t="s">
        <v>18810</v>
      </c>
      <c r="B2009" t="s">
        <v>1448</v>
      </c>
      <c r="C2009" t="s">
        <v>1382</v>
      </c>
      <c r="D2009" t="s">
        <v>1449</v>
      </c>
      <c r="E2009" t="s">
        <v>1450</v>
      </c>
      <c r="F2009" t="s">
        <v>598</v>
      </c>
      <c r="G2009" t="s">
        <v>599</v>
      </c>
      <c r="H2009" t="s">
        <v>600</v>
      </c>
      <c r="I2009" t="s">
        <v>601</v>
      </c>
      <c r="J2009">
        <v>8.2000000000000007E-3</v>
      </c>
      <c r="K2009">
        <v>8.2000000000000007E-3</v>
      </c>
      <c r="L2009">
        <v>8.3000000000000001E-3</v>
      </c>
      <c r="M2009">
        <v>8.3999999999999995E-3</v>
      </c>
      <c r="N2009">
        <v>8.5000000000000006E-3</v>
      </c>
      <c r="O2009">
        <v>8.6E-3</v>
      </c>
      <c r="P2009">
        <v>8.6999999999999994E-3</v>
      </c>
      <c r="Q2009">
        <v>8.6999999999999994E-3</v>
      </c>
      <c r="R2009">
        <v>8.8000000000000005E-3</v>
      </c>
      <c r="S2009">
        <v>8.8999999999999999E-3</v>
      </c>
      <c r="T2009">
        <v>8.9999999999999993E-3</v>
      </c>
      <c r="U2009">
        <v>9.1000000000000004E-3</v>
      </c>
      <c r="V2009">
        <v>9.1999999999999998E-3</v>
      </c>
      <c r="W2009">
        <v>9.2999999999999992E-3</v>
      </c>
      <c r="X2009">
        <v>9.4000000000000004E-3</v>
      </c>
      <c r="Y2009">
        <v>9.4999999999999998E-3</v>
      </c>
    </row>
    <row r="2010" spans="1:25" hidden="1">
      <c r="A2010" t="s">
        <v>18810</v>
      </c>
      <c r="B2010" t="s">
        <v>1459</v>
      </c>
      <c r="C2010" t="s">
        <v>1382</v>
      </c>
      <c r="D2010" t="s">
        <v>648</v>
      </c>
      <c r="E2010" t="s">
        <v>920</v>
      </c>
      <c r="F2010" t="s">
        <v>598</v>
      </c>
      <c r="G2010" t="s">
        <v>599</v>
      </c>
      <c r="H2010" t="s">
        <v>600</v>
      </c>
      <c r="I2010" t="s">
        <v>601</v>
      </c>
      <c r="J2010">
        <v>7.0400000000000004E-2</v>
      </c>
      <c r="K2010">
        <v>7.1499999999999994E-2</v>
      </c>
      <c r="L2010">
        <v>7.22E-2</v>
      </c>
      <c r="M2010">
        <v>7.2999999999999995E-2</v>
      </c>
      <c r="N2010">
        <v>7.3700000000000002E-2</v>
      </c>
      <c r="O2010">
        <v>7.4300000000000005E-2</v>
      </c>
      <c r="P2010">
        <v>7.4999999999999997E-2</v>
      </c>
      <c r="Q2010">
        <v>7.5600000000000001E-2</v>
      </c>
      <c r="R2010">
        <v>7.6799999999999993E-2</v>
      </c>
      <c r="S2010">
        <v>7.7499999999999999E-2</v>
      </c>
      <c r="T2010">
        <v>7.8100000000000003E-2</v>
      </c>
      <c r="U2010">
        <v>7.8799999999999995E-2</v>
      </c>
      <c r="V2010">
        <v>7.9500000000000001E-2</v>
      </c>
      <c r="W2010">
        <v>8.0600000000000005E-2</v>
      </c>
      <c r="X2010">
        <v>8.14E-2</v>
      </c>
      <c r="Y2010">
        <v>8.2100000000000006E-2</v>
      </c>
    </row>
    <row r="2011" spans="1:25" hidden="1">
      <c r="A2011" t="s">
        <v>18810</v>
      </c>
      <c r="B2011" t="s">
        <v>1460</v>
      </c>
      <c r="C2011" t="s">
        <v>1382</v>
      </c>
      <c r="D2011" t="s">
        <v>648</v>
      </c>
      <c r="E2011" t="s">
        <v>973</v>
      </c>
      <c r="F2011" t="s">
        <v>598</v>
      </c>
      <c r="G2011" t="s">
        <v>599</v>
      </c>
      <c r="H2011" t="s">
        <v>600</v>
      </c>
      <c r="I2011" t="s">
        <v>601</v>
      </c>
      <c r="J2011">
        <v>1.8E-3</v>
      </c>
      <c r="K2011">
        <v>1.8E-3</v>
      </c>
      <c r="L2011">
        <v>1.8E-3</v>
      </c>
      <c r="M2011">
        <v>1.8E-3</v>
      </c>
      <c r="N2011">
        <v>1.8E-3</v>
      </c>
      <c r="O2011">
        <v>1.8E-3</v>
      </c>
      <c r="P2011">
        <v>1.8E-3</v>
      </c>
      <c r="Q2011">
        <v>1.8E-3</v>
      </c>
      <c r="R2011">
        <v>1.8E-3</v>
      </c>
      <c r="S2011">
        <v>1.8E-3</v>
      </c>
      <c r="T2011">
        <v>1.8E-3</v>
      </c>
      <c r="U2011">
        <v>1.8E-3</v>
      </c>
      <c r="V2011">
        <v>1.8E-3</v>
      </c>
      <c r="W2011">
        <v>1.8E-3</v>
      </c>
      <c r="X2011">
        <v>1.8E-3</v>
      </c>
      <c r="Y2011">
        <v>1.8E-3</v>
      </c>
    </row>
    <row r="2012" spans="1:25" hidden="1">
      <c r="A2012" t="s">
        <v>18810</v>
      </c>
      <c r="B2012" t="s">
        <v>1462</v>
      </c>
      <c r="C2012" t="s">
        <v>1382</v>
      </c>
      <c r="D2012" t="s">
        <v>648</v>
      </c>
      <c r="E2012" t="s">
        <v>929</v>
      </c>
      <c r="F2012" t="s">
        <v>598</v>
      </c>
      <c r="G2012" t="s">
        <v>599</v>
      </c>
      <c r="H2012" t="s">
        <v>600</v>
      </c>
      <c r="I2012" t="s">
        <v>601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hidden="1">
      <c r="A2013" t="s">
        <v>18810</v>
      </c>
      <c r="B2013" t="s">
        <v>1466</v>
      </c>
      <c r="C2013" t="s">
        <v>1382</v>
      </c>
      <c r="D2013" t="s">
        <v>648</v>
      </c>
      <c r="E2013" t="s">
        <v>1467</v>
      </c>
      <c r="F2013" t="s">
        <v>598</v>
      </c>
      <c r="G2013" t="s">
        <v>599</v>
      </c>
      <c r="H2013" t="s">
        <v>600</v>
      </c>
      <c r="I2013" t="s">
        <v>601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hidden="1">
      <c r="A2014" t="s">
        <v>18810</v>
      </c>
      <c r="B2014" t="s">
        <v>1468</v>
      </c>
      <c r="C2014" t="s">
        <v>1382</v>
      </c>
      <c r="D2014" t="s">
        <v>648</v>
      </c>
      <c r="E2014" t="s">
        <v>1469</v>
      </c>
      <c r="F2014" t="s">
        <v>598</v>
      </c>
      <c r="G2014" t="s">
        <v>599</v>
      </c>
      <c r="H2014" t="s">
        <v>600</v>
      </c>
      <c r="I2014" t="s">
        <v>601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hidden="1">
      <c r="A2015" t="s">
        <v>18810</v>
      </c>
      <c r="B2015" t="s">
        <v>1470</v>
      </c>
      <c r="C2015" t="s">
        <v>1382</v>
      </c>
      <c r="D2015" t="s">
        <v>648</v>
      </c>
      <c r="E2015" t="s">
        <v>1393</v>
      </c>
      <c r="F2015" t="s">
        <v>598</v>
      </c>
      <c r="G2015" t="s">
        <v>599</v>
      </c>
      <c r="H2015" t="s">
        <v>600</v>
      </c>
      <c r="I2015" t="s">
        <v>601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hidden="1">
      <c r="A2016" t="s">
        <v>18810</v>
      </c>
      <c r="B2016" t="s">
        <v>1471</v>
      </c>
      <c r="C2016" t="s">
        <v>1472</v>
      </c>
      <c r="D2016" t="s">
        <v>1274</v>
      </c>
      <c r="E2016" t="s">
        <v>973</v>
      </c>
      <c r="F2016" t="s">
        <v>598</v>
      </c>
      <c r="G2016" t="s">
        <v>599</v>
      </c>
      <c r="H2016" t="s">
        <v>600</v>
      </c>
      <c r="I2016" t="s">
        <v>601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hidden="1">
      <c r="A2017" t="s">
        <v>18810</v>
      </c>
      <c r="B2017" t="s">
        <v>1482</v>
      </c>
      <c r="C2017" t="s">
        <v>1472</v>
      </c>
      <c r="D2017" t="s">
        <v>1483</v>
      </c>
      <c r="E2017" t="s">
        <v>597</v>
      </c>
      <c r="F2017" t="s">
        <v>598</v>
      </c>
      <c r="G2017" t="s">
        <v>599</v>
      </c>
      <c r="H2017" t="s">
        <v>600</v>
      </c>
      <c r="I2017" t="s">
        <v>601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hidden="1">
      <c r="A2018" t="s">
        <v>18810</v>
      </c>
      <c r="B2018" t="s">
        <v>1491</v>
      </c>
      <c r="C2018" t="s">
        <v>1472</v>
      </c>
      <c r="D2018" t="s">
        <v>1392</v>
      </c>
      <c r="E2018" t="s">
        <v>1393</v>
      </c>
      <c r="F2018" t="s">
        <v>598</v>
      </c>
      <c r="G2018" t="s">
        <v>599</v>
      </c>
      <c r="H2018" t="s">
        <v>600</v>
      </c>
      <c r="I2018" t="s">
        <v>601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hidden="1">
      <c r="A2019" t="s">
        <v>18810</v>
      </c>
      <c r="B2019" t="s">
        <v>1494</v>
      </c>
      <c r="C2019" t="s">
        <v>1472</v>
      </c>
      <c r="D2019" t="s">
        <v>1316</v>
      </c>
      <c r="E2019" t="s">
        <v>1334</v>
      </c>
      <c r="F2019" t="s">
        <v>598</v>
      </c>
      <c r="G2019" t="s">
        <v>599</v>
      </c>
      <c r="H2019" t="s">
        <v>600</v>
      </c>
      <c r="I2019" t="s">
        <v>601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hidden="1">
      <c r="A2020" t="s">
        <v>18810</v>
      </c>
      <c r="B2020" t="s">
        <v>1501</v>
      </c>
      <c r="C2020" t="s">
        <v>1472</v>
      </c>
      <c r="D2020" t="s">
        <v>1316</v>
      </c>
      <c r="E2020" t="s">
        <v>1318</v>
      </c>
      <c r="F2020" t="s">
        <v>598</v>
      </c>
      <c r="G2020" t="s">
        <v>599</v>
      </c>
      <c r="H2020" t="s">
        <v>600</v>
      </c>
      <c r="I2020" t="s">
        <v>601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hidden="1">
      <c r="A2021" t="s">
        <v>18810</v>
      </c>
      <c r="B2021" t="s">
        <v>1502</v>
      </c>
      <c r="C2021" t="s">
        <v>1472</v>
      </c>
      <c r="D2021" t="s">
        <v>1316</v>
      </c>
      <c r="E2021" t="s">
        <v>1198</v>
      </c>
      <c r="F2021" t="s">
        <v>598</v>
      </c>
      <c r="G2021" t="s">
        <v>599</v>
      </c>
      <c r="H2021" t="s">
        <v>600</v>
      </c>
      <c r="I2021" t="s">
        <v>601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hidden="1">
      <c r="A2022" t="s">
        <v>18810</v>
      </c>
      <c r="B2022" t="s">
        <v>1513</v>
      </c>
      <c r="C2022" t="s">
        <v>1472</v>
      </c>
      <c r="D2022" t="s">
        <v>1324</v>
      </c>
      <c r="E2022" t="s">
        <v>688</v>
      </c>
      <c r="F2022" t="s">
        <v>598</v>
      </c>
      <c r="G2022" t="s">
        <v>599</v>
      </c>
      <c r="H2022" t="s">
        <v>600</v>
      </c>
      <c r="I2022" t="s">
        <v>601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hidden="1">
      <c r="A2023" t="s">
        <v>18810</v>
      </c>
      <c r="B2023" t="s">
        <v>1514</v>
      </c>
      <c r="C2023" t="s">
        <v>1472</v>
      </c>
      <c r="D2023" t="s">
        <v>1324</v>
      </c>
      <c r="E2023" t="s">
        <v>1334</v>
      </c>
      <c r="F2023" t="s">
        <v>598</v>
      </c>
      <c r="G2023" t="s">
        <v>599</v>
      </c>
      <c r="H2023" t="s">
        <v>600</v>
      </c>
      <c r="I2023" t="s">
        <v>601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hidden="1">
      <c r="A2024" t="s">
        <v>18810</v>
      </c>
      <c r="B2024" t="s">
        <v>1524</v>
      </c>
      <c r="C2024" t="s">
        <v>1472</v>
      </c>
      <c r="D2024" t="s">
        <v>1324</v>
      </c>
      <c r="E2024" t="s">
        <v>1318</v>
      </c>
      <c r="F2024" t="s">
        <v>598</v>
      </c>
      <c r="G2024" t="s">
        <v>599</v>
      </c>
      <c r="H2024" t="s">
        <v>600</v>
      </c>
      <c r="I2024" t="s">
        <v>601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hidden="1">
      <c r="A2025" t="s">
        <v>18810</v>
      </c>
      <c r="B2025" t="s">
        <v>1539</v>
      </c>
      <c r="C2025" t="s">
        <v>1472</v>
      </c>
      <c r="D2025" t="s">
        <v>1348</v>
      </c>
      <c r="E2025" t="s">
        <v>688</v>
      </c>
      <c r="F2025" t="s">
        <v>598</v>
      </c>
      <c r="G2025" t="s">
        <v>599</v>
      </c>
      <c r="H2025" t="s">
        <v>600</v>
      </c>
      <c r="I2025" t="s">
        <v>601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hidden="1">
      <c r="A2026" t="s">
        <v>18810</v>
      </c>
      <c r="B2026" t="s">
        <v>1540</v>
      </c>
      <c r="C2026" t="s">
        <v>1472</v>
      </c>
      <c r="D2026" t="s">
        <v>1348</v>
      </c>
      <c r="E2026" t="s">
        <v>1334</v>
      </c>
      <c r="F2026" t="s">
        <v>598</v>
      </c>
      <c r="G2026" t="s">
        <v>599</v>
      </c>
      <c r="H2026" t="s">
        <v>600</v>
      </c>
      <c r="I2026" t="s">
        <v>601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hidden="1">
      <c r="A2027" t="s">
        <v>18810</v>
      </c>
      <c r="B2027" t="s">
        <v>1541</v>
      </c>
      <c r="C2027" t="s">
        <v>1472</v>
      </c>
      <c r="D2027" t="s">
        <v>1348</v>
      </c>
      <c r="E2027" t="s">
        <v>1399</v>
      </c>
      <c r="F2027" t="s">
        <v>598</v>
      </c>
      <c r="G2027" t="s">
        <v>599</v>
      </c>
      <c r="H2027" t="s">
        <v>600</v>
      </c>
      <c r="I2027" t="s">
        <v>601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hidden="1">
      <c r="A2028" t="s">
        <v>18810</v>
      </c>
      <c r="B2028" t="s">
        <v>1543</v>
      </c>
      <c r="C2028" t="s">
        <v>1472</v>
      </c>
      <c r="D2028" t="s">
        <v>1348</v>
      </c>
      <c r="E2028" t="s">
        <v>1544</v>
      </c>
      <c r="F2028" t="s">
        <v>598</v>
      </c>
      <c r="G2028" t="s">
        <v>599</v>
      </c>
      <c r="H2028" t="s">
        <v>600</v>
      </c>
      <c r="I2028" t="s">
        <v>601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hidden="1">
      <c r="A2029" t="s">
        <v>18810</v>
      </c>
      <c r="B2029" t="s">
        <v>1545</v>
      </c>
      <c r="C2029" t="s">
        <v>1472</v>
      </c>
      <c r="D2029" t="s">
        <v>1348</v>
      </c>
      <c r="E2029" t="s">
        <v>1326</v>
      </c>
      <c r="F2029" t="s">
        <v>598</v>
      </c>
      <c r="G2029" t="s">
        <v>599</v>
      </c>
      <c r="H2029" t="s">
        <v>600</v>
      </c>
      <c r="I2029" t="s">
        <v>601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</row>
    <row r="2030" spans="1:25" hidden="1">
      <c r="A2030" t="s">
        <v>18810</v>
      </c>
      <c r="B2030" t="s">
        <v>1546</v>
      </c>
      <c r="C2030" t="s">
        <v>1472</v>
      </c>
      <c r="D2030" t="s">
        <v>1348</v>
      </c>
      <c r="E2030" t="s">
        <v>1402</v>
      </c>
      <c r="F2030" t="s">
        <v>598</v>
      </c>
      <c r="G2030" t="s">
        <v>599</v>
      </c>
      <c r="H2030" t="s">
        <v>600</v>
      </c>
      <c r="I2030" t="s">
        <v>601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hidden="1">
      <c r="A2031" t="s">
        <v>18810</v>
      </c>
      <c r="B2031" t="s">
        <v>1548</v>
      </c>
      <c r="C2031" t="s">
        <v>1472</v>
      </c>
      <c r="D2031" t="s">
        <v>1348</v>
      </c>
      <c r="E2031" t="s">
        <v>1318</v>
      </c>
      <c r="F2031" t="s">
        <v>598</v>
      </c>
      <c r="G2031" t="s">
        <v>599</v>
      </c>
      <c r="H2031" t="s">
        <v>600</v>
      </c>
      <c r="I2031" t="s">
        <v>601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hidden="1">
      <c r="A2032" t="s">
        <v>18810</v>
      </c>
      <c r="B2032" t="s">
        <v>1550</v>
      </c>
      <c r="C2032" t="s">
        <v>1472</v>
      </c>
      <c r="D2032" t="s">
        <v>1354</v>
      </c>
      <c r="E2032" t="s">
        <v>973</v>
      </c>
      <c r="F2032" t="s">
        <v>598</v>
      </c>
      <c r="G2032" t="s">
        <v>599</v>
      </c>
      <c r="H2032" t="s">
        <v>600</v>
      </c>
      <c r="I2032" t="s">
        <v>601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hidden="1">
      <c r="A2033" t="s">
        <v>18810</v>
      </c>
      <c r="B2033" t="s">
        <v>1557</v>
      </c>
      <c r="C2033" t="s">
        <v>1472</v>
      </c>
      <c r="D2033" t="s">
        <v>1558</v>
      </c>
      <c r="E2033" t="s">
        <v>688</v>
      </c>
      <c r="F2033" t="s">
        <v>598</v>
      </c>
      <c r="G2033" t="s">
        <v>599</v>
      </c>
      <c r="H2033" t="s">
        <v>600</v>
      </c>
      <c r="I2033" t="s">
        <v>601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hidden="1">
      <c r="A2034" t="s">
        <v>18810</v>
      </c>
      <c r="B2034" t="s">
        <v>1561</v>
      </c>
      <c r="C2034" t="s">
        <v>1472</v>
      </c>
      <c r="D2034" t="s">
        <v>1562</v>
      </c>
      <c r="E2034" t="s">
        <v>678</v>
      </c>
      <c r="F2034" t="s">
        <v>598</v>
      </c>
      <c r="G2034" t="s">
        <v>599</v>
      </c>
      <c r="H2034" t="s">
        <v>600</v>
      </c>
      <c r="I2034" t="s">
        <v>601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hidden="1">
      <c r="A2035" t="s">
        <v>18810</v>
      </c>
      <c r="B2035" t="s">
        <v>1563</v>
      </c>
      <c r="C2035" t="s">
        <v>1472</v>
      </c>
      <c r="D2035" t="s">
        <v>1564</v>
      </c>
      <c r="E2035" t="s">
        <v>626</v>
      </c>
      <c r="F2035" t="s">
        <v>598</v>
      </c>
      <c r="G2035" t="s">
        <v>599</v>
      </c>
      <c r="H2035" t="s">
        <v>600</v>
      </c>
      <c r="I2035" t="s">
        <v>601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hidden="1">
      <c r="A2036" t="s">
        <v>18810</v>
      </c>
      <c r="B2036" t="s">
        <v>1565</v>
      </c>
      <c r="C2036" t="s">
        <v>1472</v>
      </c>
      <c r="D2036" t="s">
        <v>1564</v>
      </c>
      <c r="E2036" t="s">
        <v>678</v>
      </c>
      <c r="F2036" t="s">
        <v>598</v>
      </c>
      <c r="G2036" t="s">
        <v>599</v>
      </c>
      <c r="H2036" t="s">
        <v>600</v>
      </c>
      <c r="I2036" t="s">
        <v>601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hidden="1">
      <c r="A2037" t="s">
        <v>18810</v>
      </c>
      <c r="B2037" t="s">
        <v>1566</v>
      </c>
      <c r="C2037" t="s">
        <v>1472</v>
      </c>
      <c r="D2037" t="s">
        <v>1567</v>
      </c>
      <c r="E2037" t="s">
        <v>626</v>
      </c>
      <c r="F2037" t="s">
        <v>598</v>
      </c>
      <c r="G2037" t="s">
        <v>599</v>
      </c>
      <c r="H2037" t="s">
        <v>600</v>
      </c>
      <c r="I2037" t="s">
        <v>601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hidden="1">
      <c r="A2038" t="s">
        <v>18810</v>
      </c>
      <c r="B2038" t="s">
        <v>1568</v>
      </c>
      <c r="C2038" t="s">
        <v>1472</v>
      </c>
      <c r="D2038" t="s">
        <v>1569</v>
      </c>
      <c r="E2038" t="s">
        <v>626</v>
      </c>
      <c r="F2038" t="s">
        <v>598</v>
      </c>
      <c r="G2038" t="s">
        <v>599</v>
      </c>
      <c r="H2038" t="s">
        <v>600</v>
      </c>
      <c r="I2038" t="s">
        <v>601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hidden="1">
      <c r="A2039" t="s">
        <v>18810</v>
      </c>
      <c r="B2039" t="s">
        <v>1570</v>
      </c>
      <c r="C2039" t="s">
        <v>1472</v>
      </c>
      <c r="D2039" t="s">
        <v>1571</v>
      </c>
      <c r="E2039" t="s">
        <v>626</v>
      </c>
      <c r="F2039" t="s">
        <v>598</v>
      </c>
      <c r="G2039" t="s">
        <v>599</v>
      </c>
      <c r="H2039" t="s">
        <v>600</v>
      </c>
      <c r="I2039" t="s">
        <v>601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hidden="1">
      <c r="A2040" t="s">
        <v>18810</v>
      </c>
      <c r="B2040" t="s">
        <v>1573</v>
      </c>
      <c r="C2040" t="s">
        <v>1472</v>
      </c>
      <c r="D2040" t="s">
        <v>1574</v>
      </c>
      <c r="E2040" t="s">
        <v>626</v>
      </c>
      <c r="F2040" t="s">
        <v>598</v>
      </c>
      <c r="G2040" t="s">
        <v>599</v>
      </c>
      <c r="H2040" t="s">
        <v>600</v>
      </c>
      <c r="I2040" t="s">
        <v>601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hidden="1">
      <c r="A2041" t="s">
        <v>18810</v>
      </c>
      <c r="B2041" t="s">
        <v>1575</v>
      </c>
      <c r="C2041" t="s">
        <v>1472</v>
      </c>
      <c r="D2041" t="s">
        <v>1576</v>
      </c>
      <c r="E2041" t="s">
        <v>626</v>
      </c>
      <c r="F2041" t="s">
        <v>598</v>
      </c>
      <c r="G2041" t="s">
        <v>599</v>
      </c>
      <c r="H2041" t="s">
        <v>600</v>
      </c>
      <c r="I2041" t="s">
        <v>601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hidden="1">
      <c r="A2042" t="s">
        <v>18810</v>
      </c>
      <c r="B2042" t="s">
        <v>1582</v>
      </c>
      <c r="C2042" t="s">
        <v>1472</v>
      </c>
      <c r="D2042" t="s">
        <v>1583</v>
      </c>
      <c r="E2042" t="s">
        <v>626</v>
      </c>
      <c r="F2042" t="s">
        <v>598</v>
      </c>
      <c r="G2042" t="s">
        <v>599</v>
      </c>
      <c r="H2042" t="s">
        <v>600</v>
      </c>
      <c r="I2042" t="s">
        <v>601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hidden="1">
      <c r="A2043" t="s">
        <v>18810</v>
      </c>
      <c r="B2043" t="s">
        <v>1585</v>
      </c>
      <c r="C2043" t="s">
        <v>1472</v>
      </c>
      <c r="D2043" t="s">
        <v>1583</v>
      </c>
      <c r="E2043" t="s">
        <v>1399</v>
      </c>
      <c r="F2043" t="s">
        <v>598</v>
      </c>
      <c r="G2043" t="s">
        <v>599</v>
      </c>
      <c r="H2043" t="s">
        <v>600</v>
      </c>
      <c r="I2043" t="s">
        <v>601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hidden="1">
      <c r="A2044" t="s">
        <v>18810</v>
      </c>
      <c r="B2044" t="s">
        <v>1589</v>
      </c>
      <c r="C2044" t="s">
        <v>1472</v>
      </c>
      <c r="D2044" t="s">
        <v>1365</v>
      </c>
      <c r="E2044" t="s">
        <v>973</v>
      </c>
      <c r="F2044" t="s">
        <v>598</v>
      </c>
      <c r="G2044" t="s">
        <v>599</v>
      </c>
      <c r="H2044" t="s">
        <v>600</v>
      </c>
      <c r="I2044" t="s">
        <v>601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hidden="1">
      <c r="A2045" t="s">
        <v>18810</v>
      </c>
      <c r="B2045" t="s">
        <v>1590</v>
      </c>
      <c r="C2045" t="s">
        <v>1472</v>
      </c>
      <c r="D2045" t="s">
        <v>1365</v>
      </c>
      <c r="E2045" t="s">
        <v>626</v>
      </c>
      <c r="F2045" t="s">
        <v>598</v>
      </c>
      <c r="G2045" t="s">
        <v>599</v>
      </c>
      <c r="H2045" t="s">
        <v>600</v>
      </c>
      <c r="I2045" t="s">
        <v>601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hidden="1">
      <c r="A2046" t="s">
        <v>18810</v>
      </c>
      <c r="B2046" t="s">
        <v>1591</v>
      </c>
      <c r="C2046" t="s">
        <v>1472</v>
      </c>
      <c r="D2046" t="s">
        <v>1365</v>
      </c>
      <c r="E2046" t="s">
        <v>628</v>
      </c>
      <c r="F2046" t="s">
        <v>598</v>
      </c>
      <c r="G2046" t="s">
        <v>599</v>
      </c>
      <c r="H2046" t="s">
        <v>600</v>
      </c>
      <c r="I2046" t="s">
        <v>601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hidden="1">
      <c r="A2047" t="s">
        <v>18810</v>
      </c>
      <c r="B2047" t="s">
        <v>1592</v>
      </c>
      <c r="C2047" t="s">
        <v>1472</v>
      </c>
      <c r="D2047" t="s">
        <v>1365</v>
      </c>
      <c r="E2047" t="s">
        <v>888</v>
      </c>
      <c r="F2047" t="s">
        <v>598</v>
      </c>
      <c r="G2047" t="s">
        <v>599</v>
      </c>
      <c r="H2047" t="s">
        <v>600</v>
      </c>
      <c r="I2047" t="s">
        <v>601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hidden="1">
      <c r="A2048" t="s">
        <v>18810</v>
      </c>
      <c r="B2048" t="s">
        <v>1596</v>
      </c>
      <c r="C2048" t="s">
        <v>1472</v>
      </c>
      <c r="D2048" t="s">
        <v>1458</v>
      </c>
      <c r="E2048" t="s">
        <v>781</v>
      </c>
      <c r="F2048" t="s">
        <v>598</v>
      </c>
      <c r="G2048" t="s">
        <v>599</v>
      </c>
      <c r="H2048" t="s">
        <v>600</v>
      </c>
      <c r="I2048" t="s">
        <v>601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hidden="1">
      <c r="A2049" t="s">
        <v>18810</v>
      </c>
      <c r="B2049" t="s">
        <v>1600</v>
      </c>
      <c r="C2049" t="s">
        <v>1472</v>
      </c>
      <c r="D2049" t="s">
        <v>1601</v>
      </c>
      <c r="E2049" t="s">
        <v>626</v>
      </c>
      <c r="F2049" t="s">
        <v>598</v>
      </c>
      <c r="G2049" t="s">
        <v>599</v>
      </c>
      <c r="H2049" t="s">
        <v>600</v>
      </c>
      <c r="I2049" t="s">
        <v>601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hidden="1">
      <c r="A2050" t="s">
        <v>18810</v>
      </c>
      <c r="B2050" t="s">
        <v>1602</v>
      </c>
      <c r="C2050" t="s">
        <v>1472</v>
      </c>
      <c r="D2050" t="s">
        <v>1603</v>
      </c>
      <c r="E2050" t="s">
        <v>626</v>
      </c>
      <c r="F2050" t="s">
        <v>598</v>
      </c>
      <c r="G2050" t="s">
        <v>599</v>
      </c>
      <c r="H2050" t="s">
        <v>600</v>
      </c>
      <c r="I2050" t="s">
        <v>601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hidden="1">
      <c r="A2051" t="s">
        <v>18810</v>
      </c>
      <c r="B2051" t="s">
        <v>1604</v>
      </c>
      <c r="C2051" t="s">
        <v>1472</v>
      </c>
      <c r="D2051" t="s">
        <v>1605</v>
      </c>
      <c r="E2051" t="s">
        <v>626</v>
      </c>
      <c r="F2051" t="s">
        <v>598</v>
      </c>
      <c r="G2051" t="s">
        <v>599</v>
      </c>
      <c r="H2051" t="s">
        <v>600</v>
      </c>
      <c r="I2051" t="s">
        <v>601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hidden="1">
      <c r="A2052" t="s">
        <v>18810</v>
      </c>
      <c r="B2052" t="s">
        <v>1609</v>
      </c>
      <c r="C2052" t="s">
        <v>1472</v>
      </c>
      <c r="D2052" t="s">
        <v>648</v>
      </c>
      <c r="E2052" t="s">
        <v>626</v>
      </c>
      <c r="F2052" t="s">
        <v>598</v>
      </c>
      <c r="G2052" t="s">
        <v>599</v>
      </c>
      <c r="H2052" t="s">
        <v>600</v>
      </c>
      <c r="I2052" t="s">
        <v>601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</row>
    <row r="2053" spans="1:25" hidden="1">
      <c r="A2053" t="s">
        <v>18810</v>
      </c>
      <c r="B2053" t="s">
        <v>1610</v>
      </c>
      <c r="C2053" t="s">
        <v>1611</v>
      </c>
      <c r="D2053" t="s">
        <v>648</v>
      </c>
      <c r="E2053" t="s">
        <v>920</v>
      </c>
      <c r="F2053" t="s">
        <v>598</v>
      </c>
      <c r="G2053" t="s">
        <v>599</v>
      </c>
      <c r="H2053" t="s">
        <v>600</v>
      </c>
      <c r="I2053" t="s">
        <v>601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hidden="1">
      <c r="A2054" t="s">
        <v>18810</v>
      </c>
      <c r="B2054" t="s">
        <v>1616</v>
      </c>
      <c r="C2054" t="s">
        <v>1614</v>
      </c>
      <c r="D2054" t="s">
        <v>1392</v>
      </c>
      <c r="E2054" t="s">
        <v>1393</v>
      </c>
      <c r="F2054" t="s">
        <v>598</v>
      </c>
      <c r="G2054" t="s">
        <v>599</v>
      </c>
      <c r="H2054" t="s">
        <v>600</v>
      </c>
      <c r="I2054" t="s">
        <v>601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hidden="1">
      <c r="A2055" t="s">
        <v>18810</v>
      </c>
      <c r="B2055" t="s">
        <v>1617</v>
      </c>
      <c r="C2055" t="s">
        <v>1614</v>
      </c>
      <c r="D2055" t="s">
        <v>1316</v>
      </c>
      <c r="E2055" t="s">
        <v>954</v>
      </c>
      <c r="F2055" t="s">
        <v>598</v>
      </c>
      <c r="G2055" t="s">
        <v>599</v>
      </c>
      <c r="H2055" t="s">
        <v>600</v>
      </c>
      <c r="I2055" t="s">
        <v>601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hidden="1">
      <c r="A2056" t="s">
        <v>18810</v>
      </c>
      <c r="B2056" t="s">
        <v>1623</v>
      </c>
      <c r="C2056" t="s">
        <v>1614</v>
      </c>
      <c r="D2056" t="s">
        <v>1324</v>
      </c>
      <c r="E2056" t="s">
        <v>642</v>
      </c>
      <c r="F2056" t="s">
        <v>598</v>
      </c>
      <c r="G2056" t="s">
        <v>599</v>
      </c>
      <c r="H2056" t="s">
        <v>600</v>
      </c>
      <c r="I2056" t="s">
        <v>601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hidden="1">
      <c r="A2057" t="s">
        <v>18810</v>
      </c>
      <c r="B2057" t="s">
        <v>1624</v>
      </c>
      <c r="C2057" t="s">
        <v>1614</v>
      </c>
      <c r="D2057" t="s">
        <v>1324</v>
      </c>
      <c r="E2057" t="s">
        <v>1018</v>
      </c>
      <c r="F2057" t="s">
        <v>598</v>
      </c>
      <c r="G2057" t="s">
        <v>599</v>
      </c>
      <c r="H2057" t="s">
        <v>600</v>
      </c>
      <c r="I2057" t="s">
        <v>601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hidden="1">
      <c r="A2058" t="s">
        <v>18810</v>
      </c>
      <c r="B2058" t="s">
        <v>1627</v>
      </c>
      <c r="C2058" t="s">
        <v>1614</v>
      </c>
      <c r="D2058" t="s">
        <v>1324</v>
      </c>
      <c r="E2058" t="s">
        <v>954</v>
      </c>
      <c r="F2058" t="s">
        <v>598</v>
      </c>
      <c r="G2058" t="s">
        <v>599</v>
      </c>
      <c r="H2058" t="s">
        <v>600</v>
      </c>
      <c r="I2058" t="s">
        <v>601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hidden="1">
      <c r="A2059" t="s">
        <v>18810</v>
      </c>
      <c r="B2059" t="s">
        <v>1628</v>
      </c>
      <c r="C2059" t="s">
        <v>1614</v>
      </c>
      <c r="D2059" t="s">
        <v>1324</v>
      </c>
      <c r="E2059" t="s">
        <v>1022</v>
      </c>
      <c r="F2059" t="s">
        <v>598</v>
      </c>
      <c r="G2059" t="s">
        <v>599</v>
      </c>
      <c r="H2059" t="s">
        <v>600</v>
      </c>
      <c r="I2059" t="s">
        <v>601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hidden="1">
      <c r="A2060" t="s">
        <v>18810</v>
      </c>
      <c r="B2060" t="s">
        <v>1629</v>
      </c>
      <c r="C2060" t="s">
        <v>1614</v>
      </c>
      <c r="D2060" t="s">
        <v>1324</v>
      </c>
      <c r="E2060" t="s">
        <v>1423</v>
      </c>
      <c r="F2060" t="s">
        <v>598</v>
      </c>
      <c r="G2060" t="s">
        <v>599</v>
      </c>
      <c r="H2060" t="s">
        <v>600</v>
      </c>
      <c r="I2060" t="s">
        <v>601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hidden="1">
      <c r="A2061" t="s">
        <v>18810</v>
      </c>
      <c r="B2061" t="s">
        <v>1630</v>
      </c>
      <c r="C2061" t="s">
        <v>1614</v>
      </c>
      <c r="D2061" t="s">
        <v>1324</v>
      </c>
      <c r="E2061" t="s">
        <v>1343</v>
      </c>
      <c r="F2061" t="s">
        <v>598</v>
      </c>
      <c r="G2061" t="s">
        <v>599</v>
      </c>
      <c r="H2061" t="s">
        <v>600</v>
      </c>
      <c r="I2061" t="s">
        <v>601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hidden="1">
      <c r="A2062" t="s">
        <v>18810</v>
      </c>
      <c r="B2062" t="s">
        <v>1631</v>
      </c>
      <c r="C2062" t="s">
        <v>1614</v>
      </c>
      <c r="D2062" t="s">
        <v>1324</v>
      </c>
      <c r="E2062" t="s">
        <v>1469</v>
      </c>
      <c r="F2062" t="s">
        <v>598</v>
      </c>
      <c r="G2062" t="s">
        <v>599</v>
      </c>
      <c r="H2062" t="s">
        <v>600</v>
      </c>
      <c r="I2062" t="s">
        <v>601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hidden="1">
      <c r="A2063" t="s">
        <v>18810</v>
      </c>
      <c r="B2063" t="s">
        <v>1632</v>
      </c>
      <c r="C2063" t="s">
        <v>1614</v>
      </c>
      <c r="D2063" t="s">
        <v>1324</v>
      </c>
      <c r="E2063" t="s">
        <v>1192</v>
      </c>
      <c r="F2063" t="s">
        <v>598</v>
      </c>
      <c r="G2063" t="s">
        <v>599</v>
      </c>
      <c r="H2063" t="s">
        <v>600</v>
      </c>
      <c r="I2063" t="s">
        <v>601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hidden="1">
      <c r="A2064" t="s">
        <v>18810</v>
      </c>
      <c r="B2064" t="s">
        <v>1633</v>
      </c>
      <c r="C2064" t="s">
        <v>1614</v>
      </c>
      <c r="D2064" t="s">
        <v>1324</v>
      </c>
      <c r="E2064" t="s">
        <v>1634</v>
      </c>
      <c r="F2064" t="s">
        <v>598</v>
      </c>
      <c r="G2064" t="s">
        <v>599</v>
      </c>
      <c r="H2064" t="s">
        <v>600</v>
      </c>
      <c r="I2064" t="s">
        <v>601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hidden="1">
      <c r="A2065" t="s">
        <v>18810</v>
      </c>
      <c r="B2065" t="s">
        <v>1635</v>
      </c>
      <c r="C2065" t="s">
        <v>1614</v>
      </c>
      <c r="D2065" t="s">
        <v>1324</v>
      </c>
      <c r="E2065" t="s">
        <v>1636</v>
      </c>
      <c r="F2065" t="s">
        <v>598</v>
      </c>
      <c r="G2065" t="s">
        <v>599</v>
      </c>
      <c r="H2065" t="s">
        <v>600</v>
      </c>
      <c r="I2065" t="s">
        <v>601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hidden="1">
      <c r="A2066" t="s">
        <v>18810</v>
      </c>
      <c r="B2066" t="s">
        <v>1639</v>
      </c>
      <c r="C2066" t="s">
        <v>1614</v>
      </c>
      <c r="D2066" t="s">
        <v>1324</v>
      </c>
      <c r="E2066" t="s">
        <v>1640</v>
      </c>
      <c r="F2066" t="s">
        <v>598</v>
      </c>
      <c r="G2066" t="s">
        <v>599</v>
      </c>
      <c r="H2066" t="s">
        <v>600</v>
      </c>
      <c r="I2066" t="s">
        <v>601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hidden="1">
      <c r="A2067" t="s">
        <v>18810</v>
      </c>
      <c r="B2067" t="s">
        <v>1641</v>
      </c>
      <c r="C2067" t="s">
        <v>1614</v>
      </c>
      <c r="D2067" t="s">
        <v>1324</v>
      </c>
      <c r="E2067" t="s">
        <v>1642</v>
      </c>
      <c r="F2067" t="s">
        <v>598</v>
      </c>
      <c r="G2067" t="s">
        <v>599</v>
      </c>
      <c r="H2067" t="s">
        <v>600</v>
      </c>
      <c r="I2067" t="s">
        <v>601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hidden="1">
      <c r="A2068" t="s">
        <v>18810</v>
      </c>
      <c r="B2068" t="s">
        <v>1643</v>
      </c>
      <c r="C2068" t="s">
        <v>1614</v>
      </c>
      <c r="D2068" t="s">
        <v>1324</v>
      </c>
      <c r="E2068" t="s">
        <v>1198</v>
      </c>
      <c r="F2068" t="s">
        <v>598</v>
      </c>
      <c r="G2068" t="s">
        <v>599</v>
      </c>
      <c r="H2068" t="s">
        <v>600</v>
      </c>
      <c r="I2068" t="s">
        <v>601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hidden="1">
      <c r="A2069" t="s">
        <v>18810</v>
      </c>
      <c r="B2069" t="s">
        <v>1646</v>
      </c>
      <c r="C2069" t="s">
        <v>1614</v>
      </c>
      <c r="D2069" t="s">
        <v>1324</v>
      </c>
      <c r="E2069" t="s">
        <v>1647</v>
      </c>
      <c r="F2069" t="s">
        <v>598</v>
      </c>
      <c r="G2069" t="s">
        <v>599</v>
      </c>
      <c r="H2069" t="s">
        <v>600</v>
      </c>
      <c r="I2069" t="s">
        <v>601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hidden="1">
      <c r="A2070" t="s">
        <v>18810</v>
      </c>
      <c r="B2070" t="s">
        <v>1650</v>
      </c>
      <c r="C2070" t="s">
        <v>1614</v>
      </c>
      <c r="D2070" t="s">
        <v>1324</v>
      </c>
      <c r="E2070" t="s">
        <v>1651</v>
      </c>
      <c r="F2070" t="s">
        <v>598</v>
      </c>
      <c r="G2070" t="s">
        <v>599</v>
      </c>
      <c r="H2070" t="s">
        <v>600</v>
      </c>
      <c r="I2070" t="s">
        <v>601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hidden="1">
      <c r="A2071" t="s">
        <v>18810</v>
      </c>
      <c r="B2071" t="s">
        <v>1652</v>
      </c>
      <c r="C2071" t="s">
        <v>1614</v>
      </c>
      <c r="D2071" t="s">
        <v>1324</v>
      </c>
      <c r="E2071" t="s">
        <v>1653</v>
      </c>
      <c r="F2071" t="s">
        <v>598</v>
      </c>
      <c r="G2071" t="s">
        <v>599</v>
      </c>
      <c r="H2071" t="s">
        <v>600</v>
      </c>
      <c r="I2071" t="s">
        <v>601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hidden="1">
      <c r="A2072" t="s">
        <v>18810</v>
      </c>
      <c r="B2072" t="s">
        <v>1654</v>
      </c>
      <c r="C2072" t="s">
        <v>1614</v>
      </c>
      <c r="D2072" t="s">
        <v>1324</v>
      </c>
      <c r="E2072" t="s">
        <v>1655</v>
      </c>
      <c r="F2072" t="s">
        <v>598</v>
      </c>
      <c r="G2072" t="s">
        <v>599</v>
      </c>
      <c r="H2072" t="s">
        <v>600</v>
      </c>
      <c r="I2072" t="s">
        <v>601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hidden="1">
      <c r="A2073" t="s">
        <v>18810</v>
      </c>
      <c r="B2073" t="s">
        <v>1656</v>
      </c>
      <c r="C2073" t="s">
        <v>1614</v>
      </c>
      <c r="D2073" t="s">
        <v>1324</v>
      </c>
      <c r="E2073" t="s">
        <v>1202</v>
      </c>
      <c r="F2073" t="s">
        <v>598</v>
      </c>
      <c r="G2073" t="s">
        <v>599</v>
      </c>
      <c r="H2073" t="s">
        <v>600</v>
      </c>
      <c r="I2073" t="s">
        <v>601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hidden="1">
      <c r="A2074" t="s">
        <v>18810</v>
      </c>
      <c r="B2074" t="s">
        <v>1657</v>
      </c>
      <c r="C2074" t="s">
        <v>1614</v>
      </c>
      <c r="D2074" t="s">
        <v>1324</v>
      </c>
      <c r="E2074" t="s">
        <v>1028</v>
      </c>
      <c r="F2074" t="s">
        <v>598</v>
      </c>
      <c r="G2074" t="s">
        <v>599</v>
      </c>
      <c r="H2074" t="s">
        <v>600</v>
      </c>
      <c r="I2074" t="s">
        <v>601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hidden="1">
      <c r="A2075" t="s">
        <v>18810</v>
      </c>
      <c r="B2075" t="s">
        <v>1659</v>
      </c>
      <c r="C2075" t="s">
        <v>1614</v>
      </c>
      <c r="D2075" t="s">
        <v>1324</v>
      </c>
      <c r="E2075" t="s">
        <v>1660</v>
      </c>
      <c r="F2075" t="s">
        <v>598</v>
      </c>
      <c r="G2075" t="s">
        <v>599</v>
      </c>
      <c r="H2075" t="s">
        <v>600</v>
      </c>
      <c r="I2075" t="s">
        <v>601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hidden="1">
      <c r="A2076" t="s">
        <v>18810</v>
      </c>
      <c r="B2076" t="s">
        <v>1661</v>
      </c>
      <c r="C2076" t="s">
        <v>1614</v>
      </c>
      <c r="D2076" t="s">
        <v>1324</v>
      </c>
      <c r="E2076" t="s">
        <v>630</v>
      </c>
      <c r="F2076" t="s">
        <v>598</v>
      </c>
      <c r="G2076" t="s">
        <v>599</v>
      </c>
      <c r="H2076" t="s">
        <v>600</v>
      </c>
      <c r="I2076" t="s">
        <v>601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hidden="1">
      <c r="A2077" t="s">
        <v>18810</v>
      </c>
      <c r="B2077" t="s">
        <v>1662</v>
      </c>
      <c r="C2077" t="s">
        <v>1614</v>
      </c>
      <c r="D2077" t="s">
        <v>1324</v>
      </c>
      <c r="E2077" t="s">
        <v>1033</v>
      </c>
      <c r="F2077" t="s">
        <v>598</v>
      </c>
      <c r="G2077" t="s">
        <v>599</v>
      </c>
      <c r="H2077" t="s">
        <v>600</v>
      </c>
      <c r="I2077" t="s">
        <v>601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hidden="1">
      <c r="A2078" t="s">
        <v>18810</v>
      </c>
      <c r="B2078" t="s">
        <v>1663</v>
      </c>
      <c r="C2078" t="s">
        <v>1614</v>
      </c>
      <c r="D2078" t="s">
        <v>1324</v>
      </c>
      <c r="E2078" t="s">
        <v>1664</v>
      </c>
      <c r="F2078" t="s">
        <v>598</v>
      </c>
      <c r="G2078" t="s">
        <v>599</v>
      </c>
      <c r="H2078" t="s">
        <v>600</v>
      </c>
      <c r="I2078" t="s">
        <v>601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hidden="1">
      <c r="A2079" t="s">
        <v>18810</v>
      </c>
      <c r="B2079" t="s">
        <v>1667</v>
      </c>
      <c r="C2079" t="s">
        <v>1614</v>
      </c>
      <c r="D2079" t="s">
        <v>1324</v>
      </c>
      <c r="E2079" t="s">
        <v>1035</v>
      </c>
      <c r="F2079" t="s">
        <v>598</v>
      </c>
      <c r="G2079" t="s">
        <v>599</v>
      </c>
      <c r="H2079" t="s">
        <v>600</v>
      </c>
      <c r="I2079" t="s">
        <v>601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hidden="1">
      <c r="A2080" t="s">
        <v>18810</v>
      </c>
      <c r="B2080" t="s">
        <v>1668</v>
      </c>
      <c r="C2080" t="s">
        <v>1614</v>
      </c>
      <c r="D2080" t="s">
        <v>1324</v>
      </c>
      <c r="E2080" t="s">
        <v>1211</v>
      </c>
      <c r="F2080" t="s">
        <v>598</v>
      </c>
      <c r="G2080" t="s">
        <v>599</v>
      </c>
      <c r="H2080" t="s">
        <v>600</v>
      </c>
      <c r="I2080" t="s">
        <v>601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hidden="1">
      <c r="A2081" t="s">
        <v>18810</v>
      </c>
      <c r="B2081" t="s">
        <v>1673</v>
      </c>
      <c r="C2081" t="s">
        <v>1614</v>
      </c>
      <c r="D2081" t="s">
        <v>1324</v>
      </c>
      <c r="E2081" t="s">
        <v>1000</v>
      </c>
      <c r="F2081" t="s">
        <v>598</v>
      </c>
      <c r="G2081" t="s">
        <v>599</v>
      </c>
      <c r="H2081" t="s">
        <v>600</v>
      </c>
      <c r="I2081" t="s">
        <v>601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hidden="1">
      <c r="A2082" t="s">
        <v>18810</v>
      </c>
      <c r="B2082" t="s">
        <v>1674</v>
      </c>
      <c r="C2082" t="s">
        <v>1614</v>
      </c>
      <c r="D2082" t="s">
        <v>1324</v>
      </c>
      <c r="E2082" t="s">
        <v>1233</v>
      </c>
      <c r="F2082" t="s">
        <v>598</v>
      </c>
      <c r="G2082" t="s">
        <v>599</v>
      </c>
      <c r="H2082" t="s">
        <v>600</v>
      </c>
      <c r="I2082" t="s">
        <v>601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hidden="1">
      <c r="A2083" t="s">
        <v>18810</v>
      </c>
      <c r="B2083" t="s">
        <v>1677</v>
      </c>
      <c r="C2083" t="s">
        <v>1614</v>
      </c>
      <c r="D2083" t="s">
        <v>1324</v>
      </c>
      <c r="E2083" t="s">
        <v>1678</v>
      </c>
      <c r="F2083" t="s">
        <v>598</v>
      </c>
      <c r="G2083" t="s">
        <v>599</v>
      </c>
      <c r="H2083" t="s">
        <v>600</v>
      </c>
      <c r="I2083" t="s">
        <v>601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hidden="1">
      <c r="A2084" t="s">
        <v>18810</v>
      </c>
      <c r="B2084" t="s">
        <v>1679</v>
      </c>
      <c r="C2084" t="s">
        <v>1614</v>
      </c>
      <c r="D2084" t="s">
        <v>1324</v>
      </c>
      <c r="E2084" t="s">
        <v>1058</v>
      </c>
      <c r="F2084" t="s">
        <v>598</v>
      </c>
      <c r="G2084" t="s">
        <v>599</v>
      </c>
      <c r="H2084" t="s">
        <v>600</v>
      </c>
      <c r="I2084" t="s">
        <v>601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hidden="1">
      <c r="A2085" t="s">
        <v>18810</v>
      </c>
      <c r="B2085" t="s">
        <v>1698</v>
      </c>
      <c r="C2085" t="s">
        <v>1614</v>
      </c>
      <c r="D2085" t="s">
        <v>1332</v>
      </c>
      <c r="E2085" t="s">
        <v>1033</v>
      </c>
      <c r="F2085" t="s">
        <v>598</v>
      </c>
      <c r="G2085" t="s">
        <v>599</v>
      </c>
      <c r="H2085" t="s">
        <v>600</v>
      </c>
      <c r="I2085" t="s">
        <v>601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hidden="1">
      <c r="A2086" t="s">
        <v>18810</v>
      </c>
      <c r="B2086" t="s">
        <v>1709</v>
      </c>
      <c r="C2086" t="s">
        <v>1614</v>
      </c>
      <c r="D2086" t="s">
        <v>1332</v>
      </c>
      <c r="E2086" t="s">
        <v>1346</v>
      </c>
      <c r="F2086" t="s">
        <v>598</v>
      </c>
      <c r="G2086" t="s">
        <v>599</v>
      </c>
      <c r="H2086" t="s">
        <v>600</v>
      </c>
      <c r="I2086" t="s">
        <v>601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hidden="1">
      <c r="A2087" t="s">
        <v>18810</v>
      </c>
      <c r="B2087" t="s">
        <v>1714</v>
      </c>
      <c r="C2087" t="s">
        <v>1614</v>
      </c>
      <c r="D2087" t="s">
        <v>1354</v>
      </c>
      <c r="E2087" t="s">
        <v>954</v>
      </c>
      <c r="F2087" t="s">
        <v>598</v>
      </c>
      <c r="G2087" t="s">
        <v>599</v>
      </c>
      <c r="H2087" t="s">
        <v>600</v>
      </c>
      <c r="I2087" t="s">
        <v>601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hidden="1">
      <c r="A2088" t="s">
        <v>18810</v>
      </c>
      <c r="B2088" t="s">
        <v>1715</v>
      </c>
      <c r="C2088" t="s">
        <v>1614</v>
      </c>
      <c r="D2088" t="s">
        <v>1354</v>
      </c>
      <c r="E2088" t="s">
        <v>1716</v>
      </c>
      <c r="F2088" t="s">
        <v>598</v>
      </c>
      <c r="G2088" t="s">
        <v>599</v>
      </c>
      <c r="H2088" t="s">
        <v>600</v>
      </c>
      <c r="I2088" t="s">
        <v>601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hidden="1">
      <c r="A2089" t="s">
        <v>18810</v>
      </c>
      <c r="B2089" t="s">
        <v>1719</v>
      </c>
      <c r="C2089" t="s">
        <v>1614</v>
      </c>
      <c r="D2089" t="s">
        <v>1365</v>
      </c>
      <c r="E2089" t="s">
        <v>954</v>
      </c>
      <c r="F2089" t="s">
        <v>598</v>
      </c>
      <c r="G2089" t="s">
        <v>599</v>
      </c>
      <c r="H2089" t="s">
        <v>600</v>
      </c>
      <c r="I2089" t="s">
        <v>601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hidden="1">
      <c r="A2090" t="s">
        <v>18810</v>
      </c>
      <c r="B2090" t="s">
        <v>1720</v>
      </c>
      <c r="C2090" t="s">
        <v>1614</v>
      </c>
      <c r="D2090" t="s">
        <v>1365</v>
      </c>
      <c r="E2090" t="s">
        <v>1393</v>
      </c>
      <c r="F2090" t="s">
        <v>598</v>
      </c>
      <c r="G2090" t="s">
        <v>599</v>
      </c>
      <c r="H2090" t="s">
        <v>600</v>
      </c>
      <c r="I2090" t="s">
        <v>601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hidden="1">
      <c r="A2091" t="s">
        <v>18810</v>
      </c>
      <c r="B2091" t="s">
        <v>1724</v>
      </c>
      <c r="C2091" t="s">
        <v>1614</v>
      </c>
      <c r="D2091" t="s">
        <v>1722</v>
      </c>
      <c r="E2091" t="s">
        <v>1340</v>
      </c>
      <c r="F2091" t="s">
        <v>598</v>
      </c>
      <c r="G2091" t="s">
        <v>599</v>
      </c>
      <c r="H2091" t="s">
        <v>600</v>
      </c>
      <c r="I2091" t="s">
        <v>601</v>
      </c>
      <c r="J2091">
        <v>2.0500000000000001E-2</v>
      </c>
      <c r="K2091">
        <v>2.07E-2</v>
      </c>
      <c r="L2091">
        <v>2.1000000000000001E-2</v>
      </c>
      <c r="M2091">
        <v>2.1100000000000001E-2</v>
      </c>
      <c r="N2091">
        <v>2.1399999999999999E-2</v>
      </c>
      <c r="O2091">
        <v>2.1600000000000001E-2</v>
      </c>
      <c r="P2091">
        <v>2.18E-2</v>
      </c>
      <c r="Q2091">
        <v>2.2200000000000001E-2</v>
      </c>
      <c r="R2091">
        <v>2.23E-2</v>
      </c>
      <c r="S2091">
        <v>2.2700000000000001E-2</v>
      </c>
      <c r="T2091">
        <v>2.29E-2</v>
      </c>
      <c r="U2091">
        <v>2.3E-2</v>
      </c>
      <c r="V2091">
        <v>2.3300000000000001E-2</v>
      </c>
      <c r="W2091">
        <v>2.3599999999999999E-2</v>
      </c>
      <c r="X2091">
        <v>2.3900000000000001E-2</v>
      </c>
      <c r="Y2091">
        <v>2.4E-2</v>
      </c>
    </row>
    <row r="2092" spans="1:25" hidden="1">
      <c r="A2092" t="s">
        <v>18810</v>
      </c>
      <c r="B2092" t="s">
        <v>1725</v>
      </c>
      <c r="C2092" t="s">
        <v>1614</v>
      </c>
      <c r="D2092" t="s">
        <v>1722</v>
      </c>
      <c r="E2092" t="s">
        <v>1684</v>
      </c>
      <c r="F2092" t="s">
        <v>598</v>
      </c>
      <c r="G2092" t="s">
        <v>599</v>
      </c>
      <c r="H2092" t="s">
        <v>600</v>
      </c>
      <c r="I2092" t="s">
        <v>601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hidden="1">
      <c r="A2093" t="s">
        <v>18810</v>
      </c>
      <c r="B2093" t="s">
        <v>1732</v>
      </c>
      <c r="C2093" t="s">
        <v>1614</v>
      </c>
      <c r="D2093" t="s">
        <v>1722</v>
      </c>
      <c r="E2093" t="s">
        <v>1733</v>
      </c>
      <c r="F2093" t="s">
        <v>598</v>
      </c>
      <c r="G2093" t="s">
        <v>599</v>
      </c>
      <c r="H2093" t="s">
        <v>600</v>
      </c>
      <c r="I2093" t="s">
        <v>601</v>
      </c>
      <c r="J2093">
        <v>5.0000000000000001E-4</v>
      </c>
      <c r="K2093">
        <v>5.0000000000000001E-4</v>
      </c>
      <c r="L2093">
        <v>5.0000000000000001E-4</v>
      </c>
      <c r="M2093">
        <v>5.0000000000000001E-4</v>
      </c>
      <c r="N2093">
        <v>5.0000000000000001E-4</v>
      </c>
      <c r="O2093">
        <v>5.9999999999999995E-4</v>
      </c>
      <c r="P2093">
        <v>5.9999999999999995E-4</v>
      </c>
      <c r="Q2093">
        <v>5.9999999999999995E-4</v>
      </c>
      <c r="R2093">
        <v>5.9999999999999995E-4</v>
      </c>
      <c r="S2093">
        <v>6.9999999999999999E-4</v>
      </c>
      <c r="T2093">
        <v>6.9999999999999999E-4</v>
      </c>
      <c r="U2093">
        <v>6.9999999999999999E-4</v>
      </c>
      <c r="V2093">
        <v>6.9999999999999999E-4</v>
      </c>
      <c r="W2093">
        <v>6.9999999999999999E-4</v>
      </c>
      <c r="X2093">
        <v>8.0000000000000004E-4</v>
      </c>
      <c r="Y2093">
        <v>8.0000000000000004E-4</v>
      </c>
    </row>
    <row r="2094" spans="1:25" hidden="1">
      <c r="A2094" t="s">
        <v>18810</v>
      </c>
      <c r="B2094" t="s">
        <v>1734</v>
      </c>
      <c r="C2094" t="s">
        <v>1614</v>
      </c>
      <c r="D2094" t="s">
        <v>1722</v>
      </c>
      <c r="E2094" t="s">
        <v>1735</v>
      </c>
      <c r="F2094" t="s">
        <v>598</v>
      </c>
      <c r="G2094" t="s">
        <v>599</v>
      </c>
      <c r="H2094" t="s">
        <v>600</v>
      </c>
      <c r="I2094" t="s">
        <v>601</v>
      </c>
      <c r="J2094">
        <v>1E-4</v>
      </c>
      <c r="K2094">
        <v>1E-4</v>
      </c>
      <c r="L2094">
        <v>1E-4</v>
      </c>
      <c r="M2094">
        <v>1E-4</v>
      </c>
      <c r="N2094">
        <v>1E-4</v>
      </c>
      <c r="O2094">
        <v>1E-4</v>
      </c>
      <c r="P2094">
        <v>1E-4</v>
      </c>
      <c r="Q2094">
        <v>1E-4</v>
      </c>
      <c r="R2094">
        <v>1E-4</v>
      </c>
      <c r="S2094">
        <v>1E-4</v>
      </c>
      <c r="T2094">
        <v>1E-4</v>
      </c>
      <c r="U2094">
        <v>1E-4</v>
      </c>
      <c r="V2094">
        <v>1E-4</v>
      </c>
      <c r="W2094">
        <v>1E-4</v>
      </c>
      <c r="X2094">
        <v>1E-4</v>
      </c>
      <c r="Y2094">
        <v>1E-4</v>
      </c>
    </row>
    <row r="2095" spans="1:25" hidden="1">
      <c r="A2095" t="s">
        <v>18810</v>
      </c>
      <c r="B2095" t="s">
        <v>1736</v>
      </c>
      <c r="C2095" t="s">
        <v>1614</v>
      </c>
      <c r="D2095" t="s">
        <v>1722</v>
      </c>
      <c r="E2095" t="s">
        <v>1737</v>
      </c>
      <c r="F2095" t="s">
        <v>598</v>
      </c>
      <c r="G2095" t="s">
        <v>599</v>
      </c>
      <c r="H2095" t="s">
        <v>600</v>
      </c>
      <c r="I2095" t="s">
        <v>601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hidden="1">
      <c r="A2096" t="s">
        <v>18810</v>
      </c>
      <c r="B2096" t="s">
        <v>1745</v>
      </c>
      <c r="C2096" t="s">
        <v>1614</v>
      </c>
      <c r="D2096" t="s">
        <v>1722</v>
      </c>
      <c r="E2096" t="s">
        <v>1615</v>
      </c>
      <c r="F2096" t="s">
        <v>598</v>
      </c>
      <c r="G2096" t="s">
        <v>599</v>
      </c>
      <c r="H2096" t="s">
        <v>600</v>
      </c>
      <c r="I2096" t="s">
        <v>601</v>
      </c>
      <c r="J2096">
        <v>6.5799999999999997E-2</v>
      </c>
      <c r="K2096">
        <v>6.6500000000000004E-2</v>
      </c>
      <c r="L2096">
        <v>6.7199999999999996E-2</v>
      </c>
      <c r="M2096">
        <v>6.7799999999999999E-2</v>
      </c>
      <c r="N2096">
        <v>6.8500000000000005E-2</v>
      </c>
      <c r="O2096">
        <v>6.9199999999999998E-2</v>
      </c>
      <c r="P2096">
        <v>6.9900000000000004E-2</v>
      </c>
      <c r="Q2096">
        <v>7.0599999999999996E-2</v>
      </c>
      <c r="R2096">
        <v>7.1300000000000002E-2</v>
      </c>
      <c r="S2096">
        <v>7.1999999999999995E-2</v>
      </c>
      <c r="T2096">
        <v>7.2700000000000001E-2</v>
      </c>
      <c r="U2096">
        <v>7.3499999999999996E-2</v>
      </c>
      <c r="V2096">
        <v>7.4200000000000002E-2</v>
      </c>
      <c r="W2096">
        <v>7.4899999999999994E-2</v>
      </c>
      <c r="X2096">
        <v>7.5700000000000003E-2</v>
      </c>
      <c r="Y2096">
        <v>7.6399999999999996E-2</v>
      </c>
    </row>
    <row r="2097" spans="1:25" hidden="1">
      <c r="A2097" t="s">
        <v>18810</v>
      </c>
      <c r="B2097" t="s">
        <v>1746</v>
      </c>
      <c r="C2097" t="s">
        <v>1614</v>
      </c>
      <c r="D2097" t="s">
        <v>1722</v>
      </c>
      <c r="E2097" t="s">
        <v>954</v>
      </c>
      <c r="F2097" t="s">
        <v>598</v>
      </c>
      <c r="G2097" t="s">
        <v>599</v>
      </c>
      <c r="H2097" t="s">
        <v>600</v>
      </c>
      <c r="I2097" t="s">
        <v>601</v>
      </c>
      <c r="J2097">
        <v>1.2E-2</v>
      </c>
      <c r="K2097">
        <v>1.21E-2</v>
      </c>
      <c r="L2097">
        <v>1.2200000000000001E-2</v>
      </c>
      <c r="M2097">
        <v>1.23E-2</v>
      </c>
      <c r="N2097">
        <v>1.24E-2</v>
      </c>
      <c r="O2097">
        <v>1.24E-2</v>
      </c>
      <c r="P2097">
        <v>1.26E-2</v>
      </c>
      <c r="Q2097">
        <v>1.2699999999999999E-2</v>
      </c>
      <c r="R2097">
        <v>1.2800000000000001E-2</v>
      </c>
      <c r="S2097">
        <v>1.29E-2</v>
      </c>
      <c r="T2097">
        <v>1.2999999999999999E-2</v>
      </c>
      <c r="U2097">
        <v>1.3100000000000001E-2</v>
      </c>
      <c r="V2097">
        <v>1.32E-2</v>
      </c>
      <c r="W2097">
        <v>1.3299999999999999E-2</v>
      </c>
      <c r="X2097">
        <v>1.34E-2</v>
      </c>
      <c r="Y2097">
        <v>1.35E-2</v>
      </c>
    </row>
    <row r="2098" spans="1:25" hidden="1">
      <c r="A2098" t="s">
        <v>18810</v>
      </c>
      <c r="B2098" t="s">
        <v>1757</v>
      </c>
      <c r="C2098" t="s">
        <v>1614</v>
      </c>
      <c r="D2098" t="s">
        <v>1722</v>
      </c>
      <c r="E2098" t="s">
        <v>1393</v>
      </c>
      <c r="F2098" t="s">
        <v>598</v>
      </c>
      <c r="G2098" t="s">
        <v>599</v>
      </c>
      <c r="H2098" t="s">
        <v>600</v>
      </c>
      <c r="I2098" t="s">
        <v>601</v>
      </c>
      <c r="J2098">
        <v>1.43E-2</v>
      </c>
      <c r="K2098">
        <v>1.44E-2</v>
      </c>
      <c r="L2098">
        <v>1.46E-2</v>
      </c>
      <c r="M2098">
        <v>1.47E-2</v>
      </c>
      <c r="N2098">
        <v>1.49E-2</v>
      </c>
      <c r="O2098">
        <v>1.4999999999999999E-2</v>
      </c>
      <c r="P2098">
        <v>1.52E-2</v>
      </c>
      <c r="Q2098">
        <v>1.5299999999999999E-2</v>
      </c>
      <c r="R2098">
        <v>1.55E-2</v>
      </c>
      <c r="S2098">
        <v>1.5599999999999999E-2</v>
      </c>
      <c r="T2098">
        <v>1.5699999999999999E-2</v>
      </c>
      <c r="U2098">
        <v>1.5900000000000001E-2</v>
      </c>
      <c r="V2098">
        <v>1.61E-2</v>
      </c>
      <c r="W2098">
        <v>1.6299999999999999E-2</v>
      </c>
      <c r="X2098">
        <v>1.6500000000000001E-2</v>
      </c>
      <c r="Y2098">
        <v>1.66E-2</v>
      </c>
    </row>
    <row r="2099" spans="1:25" hidden="1">
      <c r="A2099" t="s">
        <v>18810</v>
      </c>
      <c r="B2099" t="s">
        <v>1758</v>
      </c>
      <c r="C2099" t="s">
        <v>1614</v>
      </c>
      <c r="D2099" t="s">
        <v>1722</v>
      </c>
      <c r="E2099" t="s">
        <v>1759</v>
      </c>
      <c r="F2099" t="s">
        <v>598</v>
      </c>
      <c r="G2099" t="s">
        <v>599</v>
      </c>
      <c r="H2099" t="s">
        <v>600</v>
      </c>
      <c r="I2099" t="s">
        <v>601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hidden="1">
      <c r="A2100" t="s">
        <v>18810</v>
      </c>
      <c r="B2100" t="s">
        <v>1766</v>
      </c>
      <c r="C2100" t="s">
        <v>1614</v>
      </c>
      <c r="D2100" t="s">
        <v>1722</v>
      </c>
      <c r="E2100" t="s">
        <v>1378</v>
      </c>
      <c r="F2100" t="s">
        <v>598</v>
      </c>
      <c r="G2100" t="s">
        <v>599</v>
      </c>
      <c r="H2100" t="s">
        <v>600</v>
      </c>
      <c r="I2100" t="s">
        <v>601</v>
      </c>
      <c r="J2100">
        <v>1.9599999999999999E-2</v>
      </c>
      <c r="K2100">
        <v>1.9699999999999999E-2</v>
      </c>
      <c r="L2100">
        <v>1.9900000000000001E-2</v>
      </c>
      <c r="M2100">
        <v>2.0199999999999999E-2</v>
      </c>
      <c r="N2100">
        <v>2.0400000000000001E-2</v>
      </c>
      <c r="O2100">
        <v>2.06E-2</v>
      </c>
      <c r="P2100">
        <v>2.0799999999999999E-2</v>
      </c>
      <c r="Q2100">
        <v>2.1000000000000001E-2</v>
      </c>
      <c r="R2100">
        <v>2.12E-2</v>
      </c>
      <c r="S2100">
        <v>2.1399999999999999E-2</v>
      </c>
      <c r="T2100">
        <v>2.1600000000000001E-2</v>
      </c>
      <c r="U2100">
        <v>2.18E-2</v>
      </c>
      <c r="V2100">
        <v>2.2100000000000002E-2</v>
      </c>
      <c r="W2100">
        <v>2.23E-2</v>
      </c>
      <c r="X2100">
        <v>2.2499999999999999E-2</v>
      </c>
      <c r="Y2100">
        <v>2.2700000000000001E-2</v>
      </c>
    </row>
    <row r="2101" spans="1:25" hidden="1">
      <c r="A2101" t="s">
        <v>18810</v>
      </c>
      <c r="B2101" t="s">
        <v>1767</v>
      </c>
      <c r="C2101" t="s">
        <v>1614</v>
      </c>
      <c r="D2101" t="s">
        <v>1768</v>
      </c>
      <c r="E2101" t="s">
        <v>973</v>
      </c>
      <c r="F2101" t="s">
        <v>598</v>
      </c>
      <c r="G2101" t="s">
        <v>599</v>
      </c>
      <c r="H2101" t="s">
        <v>600</v>
      </c>
      <c r="I2101" t="s">
        <v>601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hidden="1">
      <c r="A2102" t="s">
        <v>18810</v>
      </c>
      <c r="B2102" t="s">
        <v>1771</v>
      </c>
      <c r="C2102" t="s">
        <v>1614</v>
      </c>
      <c r="D2102" t="s">
        <v>1768</v>
      </c>
      <c r="E2102" t="s">
        <v>1772</v>
      </c>
      <c r="F2102" t="s">
        <v>598</v>
      </c>
      <c r="G2102" t="s">
        <v>599</v>
      </c>
      <c r="H2102" t="s">
        <v>600</v>
      </c>
      <c r="I2102" t="s">
        <v>601</v>
      </c>
      <c r="J2102">
        <v>1E-4</v>
      </c>
      <c r="K2102">
        <v>1E-4</v>
      </c>
      <c r="L2102">
        <v>1E-4</v>
      </c>
      <c r="M2102">
        <v>1E-4</v>
      </c>
      <c r="N2102">
        <v>1E-4</v>
      </c>
      <c r="O2102">
        <v>1E-4</v>
      </c>
      <c r="P2102">
        <v>1E-4</v>
      </c>
      <c r="Q2102">
        <v>1E-4</v>
      </c>
      <c r="R2102">
        <v>1E-4</v>
      </c>
      <c r="S2102">
        <v>1E-4</v>
      </c>
      <c r="T2102">
        <v>1E-4</v>
      </c>
      <c r="U2102">
        <v>1E-4</v>
      </c>
      <c r="V2102">
        <v>1E-4</v>
      </c>
      <c r="W2102">
        <v>1E-4</v>
      </c>
      <c r="X2102">
        <v>1E-4</v>
      </c>
      <c r="Y2102">
        <v>1E-4</v>
      </c>
    </row>
    <row r="2103" spans="1:25" hidden="1">
      <c r="A2103" t="s">
        <v>18810</v>
      </c>
      <c r="B2103" t="s">
        <v>1773</v>
      </c>
      <c r="C2103" t="s">
        <v>1614</v>
      </c>
      <c r="D2103" t="s">
        <v>1768</v>
      </c>
      <c r="E2103" t="s">
        <v>1774</v>
      </c>
      <c r="F2103" t="s">
        <v>598</v>
      </c>
      <c r="G2103" t="s">
        <v>599</v>
      </c>
      <c r="H2103" t="s">
        <v>600</v>
      </c>
      <c r="I2103" t="s">
        <v>601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hidden="1">
      <c r="A2104" t="s">
        <v>18810</v>
      </c>
      <c r="B2104" t="s">
        <v>1775</v>
      </c>
      <c r="C2104" t="s">
        <v>1614</v>
      </c>
      <c r="D2104" t="s">
        <v>1776</v>
      </c>
      <c r="E2104" t="s">
        <v>1777</v>
      </c>
      <c r="F2104" t="s">
        <v>598</v>
      </c>
      <c r="G2104" t="s">
        <v>599</v>
      </c>
      <c r="H2104" t="s">
        <v>600</v>
      </c>
      <c r="I2104" t="s">
        <v>601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hidden="1">
      <c r="A2105" t="s">
        <v>18810</v>
      </c>
      <c r="B2105" t="s">
        <v>1780</v>
      </c>
      <c r="C2105" t="s">
        <v>1614</v>
      </c>
      <c r="D2105" t="s">
        <v>1781</v>
      </c>
      <c r="E2105" t="s">
        <v>1716</v>
      </c>
      <c r="F2105" t="s">
        <v>598</v>
      </c>
      <c r="G2105" t="s">
        <v>599</v>
      </c>
      <c r="H2105" t="s">
        <v>600</v>
      </c>
      <c r="I2105" t="s">
        <v>601</v>
      </c>
      <c r="J2105">
        <v>2.7699999999999999E-2</v>
      </c>
      <c r="K2105">
        <v>2.87E-2</v>
      </c>
      <c r="L2105">
        <v>2.9700000000000001E-2</v>
      </c>
      <c r="M2105">
        <v>3.1E-2</v>
      </c>
      <c r="N2105">
        <v>3.1600000000000003E-2</v>
      </c>
      <c r="O2105">
        <v>3.27E-2</v>
      </c>
      <c r="P2105">
        <v>3.39E-2</v>
      </c>
      <c r="Q2105">
        <v>3.49E-2</v>
      </c>
      <c r="R2105">
        <v>3.5999999999999997E-2</v>
      </c>
      <c r="S2105">
        <v>3.7199999999999997E-2</v>
      </c>
      <c r="T2105">
        <v>3.8399999999999997E-2</v>
      </c>
      <c r="U2105">
        <v>3.9600000000000003E-2</v>
      </c>
      <c r="V2105">
        <v>4.0899999999999999E-2</v>
      </c>
      <c r="W2105">
        <v>4.2200000000000001E-2</v>
      </c>
      <c r="X2105">
        <v>4.3499999999999997E-2</v>
      </c>
      <c r="Y2105">
        <v>4.48E-2</v>
      </c>
    </row>
    <row r="2106" spans="1:25" hidden="1">
      <c r="A2106" t="s">
        <v>18810</v>
      </c>
      <c r="B2106" t="s">
        <v>1796</v>
      </c>
      <c r="C2106" t="s">
        <v>1614</v>
      </c>
      <c r="D2106" t="s">
        <v>1781</v>
      </c>
      <c r="E2106" t="s">
        <v>1797</v>
      </c>
      <c r="F2106" t="s">
        <v>598</v>
      </c>
      <c r="G2106" t="s">
        <v>599</v>
      </c>
      <c r="H2106" t="s">
        <v>600</v>
      </c>
      <c r="I2106" t="s">
        <v>601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</row>
    <row r="2107" spans="1:25" hidden="1">
      <c r="A2107" t="s">
        <v>18810</v>
      </c>
      <c r="B2107" t="s">
        <v>1798</v>
      </c>
      <c r="C2107" t="s">
        <v>1614</v>
      </c>
      <c r="D2107" t="s">
        <v>1781</v>
      </c>
      <c r="E2107" t="s">
        <v>1799</v>
      </c>
      <c r="F2107" t="s">
        <v>598</v>
      </c>
      <c r="G2107" t="s">
        <v>599</v>
      </c>
      <c r="H2107" t="s">
        <v>600</v>
      </c>
      <c r="I2107" t="s">
        <v>601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hidden="1">
      <c r="A2108" t="s">
        <v>18810</v>
      </c>
      <c r="B2108" t="s">
        <v>1800</v>
      </c>
      <c r="C2108" t="s">
        <v>1614</v>
      </c>
      <c r="D2108" t="s">
        <v>1781</v>
      </c>
      <c r="E2108" t="s">
        <v>1801</v>
      </c>
      <c r="F2108" t="s">
        <v>598</v>
      </c>
      <c r="G2108" t="s">
        <v>599</v>
      </c>
      <c r="H2108" t="s">
        <v>600</v>
      </c>
      <c r="I2108" t="s">
        <v>601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hidden="1">
      <c r="A2109" t="s">
        <v>18810</v>
      </c>
      <c r="B2109" t="s">
        <v>1813</v>
      </c>
      <c r="C2109" t="s">
        <v>1614</v>
      </c>
      <c r="D2109" t="s">
        <v>1812</v>
      </c>
      <c r="E2109" t="s">
        <v>1393</v>
      </c>
      <c r="F2109" t="s">
        <v>598</v>
      </c>
      <c r="G2109" t="s">
        <v>599</v>
      </c>
      <c r="H2109" t="s">
        <v>600</v>
      </c>
      <c r="I2109" t="s">
        <v>601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hidden="1">
      <c r="A2110" t="s">
        <v>18810</v>
      </c>
      <c r="B2110" t="s">
        <v>1814</v>
      </c>
      <c r="C2110" t="s">
        <v>1614</v>
      </c>
      <c r="D2110" t="s">
        <v>1812</v>
      </c>
      <c r="E2110" t="s">
        <v>1081</v>
      </c>
      <c r="F2110" t="s">
        <v>598</v>
      </c>
      <c r="G2110" t="s">
        <v>599</v>
      </c>
      <c r="H2110" t="s">
        <v>600</v>
      </c>
      <c r="I2110" t="s">
        <v>601</v>
      </c>
      <c r="J2110">
        <v>1.6999999999999999E-3</v>
      </c>
      <c r="K2110">
        <v>1.8E-3</v>
      </c>
      <c r="L2110">
        <v>1.8E-3</v>
      </c>
      <c r="M2110">
        <v>1.8E-3</v>
      </c>
      <c r="N2110">
        <v>1.8E-3</v>
      </c>
      <c r="O2110">
        <v>1.9E-3</v>
      </c>
      <c r="P2110">
        <v>1.9E-3</v>
      </c>
      <c r="Q2110">
        <v>1.9E-3</v>
      </c>
      <c r="R2110">
        <v>2E-3</v>
      </c>
      <c r="S2110">
        <v>2E-3</v>
      </c>
      <c r="T2110">
        <v>2E-3</v>
      </c>
      <c r="U2110">
        <v>2E-3</v>
      </c>
      <c r="V2110">
        <v>2.0999999999999999E-3</v>
      </c>
      <c r="W2110">
        <v>2.0999999999999999E-3</v>
      </c>
      <c r="X2110">
        <v>2.0999999999999999E-3</v>
      </c>
      <c r="Y2110">
        <v>2.2000000000000001E-3</v>
      </c>
    </row>
    <row r="2111" spans="1:25" hidden="1">
      <c r="A2111" t="s">
        <v>18810</v>
      </c>
      <c r="B2111" t="s">
        <v>1819</v>
      </c>
      <c r="C2111" t="s">
        <v>1614</v>
      </c>
      <c r="D2111" t="s">
        <v>648</v>
      </c>
      <c r="E2111" t="s">
        <v>1340</v>
      </c>
      <c r="F2111" t="s">
        <v>598</v>
      </c>
      <c r="G2111" t="s">
        <v>599</v>
      </c>
      <c r="H2111" t="s">
        <v>600</v>
      </c>
      <c r="I2111" t="s">
        <v>601</v>
      </c>
      <c r="J2111">
        <v>1.2999999999999999E-3</v>
      </c>
      <c r="K2111">
        <v>1.2999999999999999E-3</v>
      </c>
      <c r="L2111">
        <v>1.5E-3</v>
      </c>
      <c r="M2111">
        <v>1.5E-3</v>
      </c>
      <c r="N2111">
        <v>1.5E-3</v>
      </c>
      <c r="O2111">
        <v>1.5E-3</v>
      </c>
      <c r="P2111">
        <v>1.6000000000000001E-3</v>
      </c>
      <c r="Q2111">
        <v>1.6000000000000001E-3</v>
      </c>
      <c r="R2111">
        <v>1.6999999999999999E-3</v>
      </c>
      <c r="S2111">
        <v>1.6999999999999999E-3</v>
      </c>
      <c r="T2111">
        <v>1.6999999999999999E-3</v>
      </c>
      <c r="U2111">
        <v>1.6999999999999999E-3</v>
      </c>
      <c r="V2111">
        <v>1.6999999999999999E-3</v>
      </c>
      <c r="W2111">
        <v>1.6999999999999999E-3</v>
      </c>
      <c r="X2111">
        <v>1.6999999999999999E-3</v>
      </c>
      <c r="Y2111">
        <v>1.6999999999999999E-3</v>
      </c>
    </row>
    <row r="2112" spans="1:25" hidden="1">
      <c r="A2112" t="s">
        <v>18810</v>
      </c>
      <c r="B2112" t="s">
        <v>1823</v>
      </c>
      <c r="C2112" t="s">
        <v>1614</v>
      </c>
      <c r="D2112" t="s">
        <v>648</v>
      </c>
      <c r="E2112" t="s">
        <v>1743</v>
      </c>
      <c r="F2112" t="s">
        <v>598</v>
      </c>
      <c r="G2112" t="s">
        <v>599</v>
      </c>
      <c r="H2112" t="s">
        <v>600</v>
      </c>
      <c r="I2112" t="s">
        <v>601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hidden="1">
      <c r="A2113" t="s">
        <v>18810</v>
      </c>
      <c r="B2113" t="s">
        <v>1824</v>
      </c>
      <c r="C2113" t="s">
        <v>1614</v>
      </c>
      <c r="D2113" t="s">
        <v>648</v>
      </c>
      <c r="E2113" t="s">
        <v>1615</v>
      </c>
      <c r="F2113" t="s">
        <v>598</v>
      </c>
      <c r="G2113" t="s">
        <v>599</v>
      </c>
      <c r="H2113" t="s">
        <v>600</v>
      </c>
      <c r="I2113" t="s">
        <v>601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hidden="1">
      <c r="A2114" t="s">
        <v>18810</v>
      </c>
      <c r="B2114" t="s">
        <v>1825</v>
      </c>
      <c r="C2114" t="s">
        <v>1614</v>
      </c>
      <c r="D2114" t="s">
        <v>648</v>
      </c>
      <c r="E2114" t="s">
        <v>954</v>
      </c>
      <c r="F2114" t="s">
        <v>598</v>
      </c>
      <c r="G2114" t="s">
        <v>599</v>
      </c>
      <c r="H2114" t="s">
        <v>600</v>
      </c>
      <c r="I2114" t="s">
        <v>601</v>
      </c>
      <c r="J2114">
        <v>0.51729999999999998</v>
      </c>
      <c r="K2114">
        <v>0.52429999999999999</v>
      </c>
      <c r="L2114">
        <v>0.53190000000000004</v>
      </c>
      <c r="M2114">
        <v>0.53900000000000003</v>
      </c>
      <c r="N2114">
        <v>0.54590000000000005</v>
      </c>
      <c r="O2114">
        <v>0.55300000000000005</v>
      </c>
      <c r="P2114">
        <v>0.55940000000000001</v>
      </c>
      <c r="Q2114">
        <v>0.56610000000000005</v>
      </c>
      <c r="R2114">
        <v>0.57269999999999999</v>
      </c>
      <c r="S2114">
        <v>0.57920000000000005</v>
      </c>
      <c r="T2114">
        <v>0.58589999999999998</v>
      </c>
      <c r="U2114">
        <v>0.59309999999999996</v>
      </c>
      <c r="V2114">
        <v>0.60060000000000002</v>
      </c>
      <c r="W2114">
        <v>0.60760000000000003</v>
      </c>
      <c r="X2114">
        <v>0.61499999999999999</v>
      </c>
      <c r="Y2114">
        <v>0.62239999999999995</v>
      </c>
    </row>
    <row r="2115" spans="1:25" hidden="1">
      <c r="A2115" t="s">
        <v>18810</v>
      </c>
      <c r="B2115" t="s">
        <v>1826</v>
      </c>
      <c r="C2115" t="s">
        <v>1614</v>
      </c>
      <c r="D2115" t="s">
        <v>648</v>
      </c>
      <c r="E2115" t="s">
        <v>1020</v>
      </c>
      <c r="F2115" t="s">
        <v>598</v>
      </c>
      <c r="G2115" t="s">
        <v>599</v>
      </c>
      <c r="H2115" t="s">
        <v>600</v>
      </c>
      <c r="I2115" t="s">
        <v>601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hidden="1">
      <c r="A2116" t="s">
        <v>18810</v>
      </c>
      <c r="B2116" t="s">
        <v>1832</v>
      </c>
      <c r="C2116" t="s">
        <v>1614</v>
      </c>
      <c r="D2116" t="s">
        <v>648</v>
      </c>
      <c r="E2116" t="s">
        <v>1393</v>
      </c>
      <c r="F2116" t="s">
        <v>598</v>
      </c>
      <c r="G2116" t="s">
        <v>599</v>
      </c>
      <c r="H2116" t="s">
        <v>600</v>
      </c>
      <c r="I2116" t="s">
        <v>601</v>
      </c>
      <c r="J2116">
        <v>1E-4</v>
      </c>
      <c r="K2116">
        <v>1E-4</v>
      </c>
      <c r="L2116">
        <v>1E-4</v>
      </c>
      <c r="M2116">
        <v>1E-4</v>
      </c>
      <c r="N2116">
        <v>1E-4</v>
      </c>
      <c r="O2116">
        <v>1E-4</v>
      </c>
      <c r="P2116">
        <v>1E-4</v>
      </c>
      <c r="Q2116">
        <v>1E-4</v>
      </c>
      <c r="R2116">
        <v>1E-4</v>
      </c>
      <c r="S2116">
        <v>1E-4</v>
      </c>
      <c r="T2116">
        <v>1E-4</v>
      </c>
      <c r="U2116">
        <v>1E-4</v>
      </c>
      <c r="V2116">
        <v>1E-4</v>
      </c>
      <c r="W2116">
        <v>1E-4</v>
      </c>
      <c r="X2116">
        <v>1E-4</v>
      </c>
      <c r="Y2116">
        <v>1E-4</v>
      </c>
    </row>
    <row r="2117" spans="1:25" hidden="1">
      <c r="A2117" t="s">
        <v>18810</v>
      </c>
      <c r="B2117" t="s">
        <v>1836</v>
      </c>
      <c r="C2117" t="s">
        <v>1614</v>
      </c>
      <c r="D2117" t="s">
        <v>648</v>
      </c>
      <c r="E2117" t="s">
        <v>1799</v>
      </c>
      <c r="F2117" t="s">
        <v>598</v>
      </c>
      <c r="G2117" t="s">
        <v>599</v>
      </c>
      <c r="H2117" t="s">
        <v>600</v>
      </c>
      <c r="I2117" t="s">
        <v>601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hidden="1">
      <c r="A2118" t="s">
        <v>18810</v>
      </c>
      <c r="B2118" t="s">
        <v>1837</v>
      </c>
      <c r="C2118" t="s">
        <v>1614</v>
      </c>
      <c r="D2118" t="s">
        <v>648</v>
      </c>
      <c r="E2118" t="s">
        <v>1759</v>
      </c>
      <c r="F2118" t="s">
        <v>598</v>
      </c>
      <c r="G2118" t="s">
        <v>599</v>
      </c>
      <c r="H2118" t="s">
        <v>600</v>
      </c>
      <c r="I2118" t="s">
        <v>601</v>
      </c>
      <c r="J2118">
        <v>2.0000000000000001E-4</v>
      </c>
      <c r="K2118">
        <v>2.0000000000000001E-4</v>
      </c>
      <c r="L2118">
        <v>2.0000000000000001E-4</v>
      </c>
      <c r="M2118">
        <v>2.0000000000000001E-4</v>
      </c>
      <c r="N2118">
        <v>2.0000000000000001E-4</v>
      </c>
      <c r="O2118">
        <v>2.0000000000000001E-4</v>
      </c>
      <c r="P2118">
        <v>2.9999999999999997E-4</v>
      </c>
      <c r="Q2118">
        <v>2.9999999999999997E-4</v>
      </c>
      <c r="R2118">
        <v>2.9999999999999997E-4</v>
      </c>
      <c r="S2118">
        <v>2.9999999999999997E-4</v>
      </c>
      <c r="T2118">
        <v>2.9999999999999997E-4</v>
      </c>
      <c r="U2118">
        <v>2.9999999999999997E-4</v>
      </c>
      <c r="V2118">
        <v>2.9999999999999997E-4</v>
      </c>
      <c r="W2118">
        <v>2.9999999999999997E-4</v>
      </c>
      <c r="X2118">
        <v>2.9999999999999997E-4</v>
      </c>
      <c r="Y2118">
        <v>2.9999999999999997E-4</v>
      </c>
    </row>
    <row r="2119" spans="1:25" hidden="1">
      <c r="A2119" t="s">
        <v>18810</v>
      </c>
      <c r="B2119" t="s">
        <v>1838</v>
      </c>
      <c r="C2119" t="s">
        <v>1614</v>
      </c>
      <c r="D2119" t="s">
        <v>648</v>
      </c>
      <c r="E2119" t="s">
        <v>1718</v>
      </c>
      <c r="F2119" t="s">
        <v>598</v>
      </c>
      <c r="G2119" t="s">
        <v>599</v>
      </c>
      <c r="H2119" t="s">
        <v>600</v>
      </c>
      <c r="I2119" t="s">
        <v>601</v>
      </c>
      <c r="J2119">
        <v>1.4E-2</v>
      </c>
      <c r="K2119">
        <v>1.41E-2</v>
      </c>
      <c r="L2119">
        <v>1.4200000000000001E-2</v>
      </c>
      <c r="M2119">
        <v>1.44E-2</v>
      </c>
      <c r="N2119">
        <v>1.4500000000000001E-2</v>
      </c>
      <c r="O2119">
        <v>1.47E-2</v>
      </c>
      <c r="P2119">
        <v>1.4800000000000001E-2</v>
      </c>
      <c r="Q2119">
        <v>1.4999999999999999E-2</v>
      </c>
      <c r="R2119">
        <v>1.5100000000000001E-2</v>
      </c>
      <c r="S2119">
        <v>1.5299999999999999E-2</v>
      </c>
      <c r="T2119">
        <v>1.54E-2</v>
      </c>
      <c r="U2119">
        <v>1.5599999999999999E-2</v>
      </c>
      <c r="V2119">
        <v>1.5699999999999999E-2</v>
      </c>
      <c r="W2119">
        <v>1.5900000000000001E-2</v>
      </c>
      <c r="X2119">
        <v>1.6E-2</v>
      </c>
      <c r="Y2119">
        <v>1.6199999999999999E-2</v>
      </c>
    </row>
    <row r="2120" spans="1:25" hidden="1">
      <c r="A2120" t="s">
        <v>18810</v>
      </c>
      <c r="B2120" t="s">
        <v>1839</v>
      </c>
      <c r="C2120" t="s">
        <v>1614</v>
      </c>
      <c r="D2120" t="s">
        <v>648</v>
      </c>
      <c r="E2120" t="s">
        <v>1765</v>
      </c>
      <c r="F2120" t="s">
        <v>598</v>
      </c>
      <c r="G2120" t="s">
        <v>599</v>
      </c>
      <c r="H2120" t="s">
        <v>600</v>
      </c>
      <c r="I2120" t="s">
        <v>601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1E-4</v>
      </c>
      <c r="T2120">
        <v>1E-4</v>
      </c>
      <c r="U2120">
        <v>1E-4</v>
      </c>
      <c r="V2120">
        <v>1E-4</v>
      </c>
      <c r="W2120">
        <v>1E-4</v>
      </c>
      <c r="X2120">
        <v>1E-4</v>
      </c>
      <c r="Y2120">
        <v>1E-4</v>
      </c>
    </row>
    <row r="2121" spans="1:25" hidden="1">
      <c r="A2121" t="s">
        <v>18810</v>
      </c>
      <c r="B2121" t="s">
        <v>1841</v>
      </c>
      <c r="C2121" t="s">
        <v>1614</v>
      </c>
      <c r="D2121" t="s">
        <v>648</v>
      </c>
      <c r="E2121" t="s">
        <v>1380</v>
      </c>
      <c r="F2121" t="s">
        <v>598</v>
      </c>
      <c r="G2121" t="s">
        <v>599</v>
      </c>
      <c r="H2121" t="s">
        <v>600</v>
      </c>
      <c r="I2121" t="s">
        <v>601</v>
      </c>
      <c r="J2121">
        <v>5.0000000000000001E-4</v>
      </c>
      <c r="K2121">
        <v>5.0000000000000001E-4</v>
      </c>
      <c r="L2121">
        <v>5.0000000000000001E-4</v>
      </c>
      <c r="M2121">
        <v>5.9999999999999995E-4</v>
      </c>
      <c r="N2121">
        <v>5.9999999999999995E-4</v>
      </c>
      <c r="O2121">
        <v>5.9999999999999995E-4</v>
      </c>
      <c r="P2121">
        <v>5.9999999999999995E-4</v>
      </c>
      <c r="Q2121">
        <v>5.9999999999999995E-4</v>
      </c>
      <c r="R2121">
        <v>5.9999999999999995E-4</v>
      </c>
      <c r="S2121">
        <v>6.9999999999999999E-4</v>
      </c>
      <c r="T2121">
        <v>6.9999999999999999E-4</v>
      </c>
      <c r="U2121">
        <v>6.9999999999999999E-4</v>
      </c>
      <c r="V2121">
        <v>6.9999999999999999E-4</v>
      </c>
      <c r="W2121">
        <v>6.9999999999999999E-4</v>
      </c>
      <c r="X2121">
        <v>6.9999999999999999E-4</v>
      </c>
      <c r="Y2121">
        <v>8.0000000000000004E-4</v>
      </c>
    </row>
    <row r="2122" spans="1:25" hidden="1">
      <c r="A2122" t="s">
        <v>18810</v>
      </c>
      <c r="B2122" t="s">
        <v>1842</v>
      </c>
      <c r="C2122" t="s">
        <v>1614</v>
      </c>
      <c r="D2122" t="s">
        <v>648</v>
      </c>
      <c r="E2122" t="s">
        <v>1239</v>
      </c>
      <c r="F2122" t="s">
        <v>598</v>
      </c>
      <c r="G2122" t="s">
        <v>599</v>
      </c>
      <c r="H2122" t="s">
        <v>600</v>
      </c>
      <c r="I2122" t="s">
        <v>601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hidden="1">
      <c r="A2123" t="s">
        <v>18810</v>
      </c>
      <c r="B2123" t="s">
        <v>1843</v>
      </c>
      <c r="C2123" t="s">
        <v>1614</v>
      </c>
      <c r="D2123" t="s">
        <v>648</v>
      </c>
      <c r="E2123" t="s">
        <v>1081</v>
      </c>
      <c r="F2123" t="s">
        <v>598</v>
      </c>
      <c r="G2123" t="s">
        <v>599</v>
      </c>
      <c r="H2123" t="s">
        <v>600</v>
      </c>
      <c r="I2123" t="s">
        <v>601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hidden="1">
      <c r="A2124" t="s">
        <v>18810</v>
      </c>
      <c r="B2124" t="s">
        <v>1844</v>
      </c>
      <c r="C2124" t="s">
        <v>1845</v>
      </c>
      <c r="D2124" t="s">
        <v>1392</v>
      </c>
      <c r="E2124" t="s">
        <v>1846</v>
      </c>
      <c r="F2124" t="s">
        <v>598</v>
      </c>
      <c r="G2124" t="s">
        <v>599</v>
      </c>
      <c r="H2124" t="s">
        <v>600</v>
      </c>
      <c r="I2124" t="s">
        <v>601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hidden="1">
      <c r="A2125" t="s">
        <v>18810</v>
      </c>
      <c r="B2125" t="s">
        <v>1848</v>
      </c>
      <c r="C2125" t="s">
        <v>1845</v>
      </c>
      <c r="D2125" t="s">
        <v>1324</v>
      </c>
      <c r="E2125" t="s">
        <v>954</v>
      </c>
      <c r="F2125" t="s">
        <v>598</v>
      </c>
      <c r="G2125" t="s">
        <v>599</v>
      </c>
      <c r="H2125" t="s">
        <v>600</v>
      </c>
      <c r="I2125" t="s">
        <v>601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hidden="1">
      <c r="A2126" t="s">
        <v>18810</v>
      </c>
      <c r="B2126" t="s">
        <v>1858</v>
      </c>
      <c r="C2126" t="s">
        <v>1845</v>
      </c>
      <c r="D2126" t="s">
        <v>1859</v>
      </c>
      <c r="E2126" t="s">
        <v>1860</v>
      </c>
      <c r="F2126" t="s">
        <v>598</v>
      </c>
      <c r="G2126" t="s">
        <v>599</v>
      </c>
      <c r="H2126" t="s">
        <v>600</v>
      </c>
      <c r="I2126" t="s">
        <v>601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hidden="1">
      <c r="A2127" t="s">
        <v>18810</v>
      </c>
      <c r="B2127" t="s">
        <v>1861</v>
      </c>
      <c r="C2127" t="s">
        <v>1845</v>
      </c>
      <c r="D2127" t="s">
        <v>1862</v>
      </c>
      <c r="E2127" t="s">
        <v>1860</v>
      </c>
      <c r="F2127" t="s">
        <v>598</v>
      </c>
      <c r="G2127" t="s">
        <v>599</v>
      </c>
      <c r="H2127" t="s">
        <v>600</v>
      </c>
      <c r="I2127" t="s">
        <v>601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hidden="1">
      <c r="A2128" t="s">
        <v>18810</v>
      </c>
      <c r="B2128" t="s">
        <v>1863</v>
      </c>
      <c r="C2128" t="s">
        <v>1845</v>
      </c>
      <c r="D2128" t="s">
        <v>1864</v>
      </c>
      <c r="E2128" t="s">
        <v>1865</v>
      </c>
      <c r="F2128" t="s">
        <v>598</v>
      </c>
      <c r="G2128" t="s">
        <v>599</v>
      </c>
      <c r="H2128" t="s">
        <v>600</v>
      </c>
      <c r="I2128" t="s">
        <v>601</v>
      </c>
      <c r="J2128">
        <v>8.9999999999999998E-4</v>
      </c>
      <c r="K2128">
        <v>1E-3</v>
      </c>
      <c r="L2128">
        <v>1E-3</v>
      </c>
      <c r="M2128">
        <v>1E-3</v>
      </c>
      <c r="N2128">
        <v>1E-3</v>
      </c>
      <c r="O2128">
        <v>1E-3</v>
      </c>
      <c r="P2128">
        <v>1E-3</v>
      </c>
      <c r="Q2128">
        <v>1E-3</v>
      </c>
      <c r="R2128">
        <v>1E-3</v>
      </c>
      <c r="S2128">
        <v>1E-3</v>
      </c>
      <c r="T2128">
        <v>1E-3</v>
      </c>
      <c r="U2128">
        <v>1.1000000000000001E-3</v>
      </c>
      <c r="V2128">
        <v>1.1000000000000001E-3</v>
      </c>
      <c r="W2128">
        <v>1.1000000000000001E-3</v>
      </c>
      <c r="X2128">
        <v>1.1000000000000001E-3</v>
      </c>
      <c r="Y2128">
        <v>1.1000000000000001E-3</v>
      </c>
    </row>
    <row r="2129" spans="1:25" hidden="1">
      <c r="A2129" t="s">
        <v>18810</v>
      </c>
      <c r="B2129" t="s">
        <v>1873</v>
      </c>
      <c r="C2129" t="s">
        <v>1845</v>
      </c>
      <c r="D2129" t="s">
        <v>1871</v>
      </c>
      <c r="E2129" t="s">
        <v>1874</v>
      </c>
      <c r="F2129" t="s">
        <v>598</v>
      </c>
      <c r="G2129" t="s">
        <v>599</v>
      </c>
      <c r="H2129" t="s">
        <v>600</v>
      </c>
      <c r="I2129" t="s">
        <v>601</v>
      </c>
      <c r="J2129">
        <v>1E-4</v>
      </c>
      <c r="K2129">
        <v>1E-4</v>
      </c>
      <c r="L2129">
        <v>1E-4</v>
      </c>
      <c r="M2129">
        <v>1E-4</v>
      </c>
      <c r="N2129">
        <v>1E-4</v>
      </c>
      <c r="O2129">
        <v>1E-4</v>
      </c>
      <c r="P2129">
        <v>1E-4</v>
      </c>
      <c r="Q2129">
        <v>1E-4</v>
      </c>
      <c r="R2129">
        <v>1E-4</v>
      </c>
      <c r="S2129">
        <v>1E-4</v>
      </c>
      <c r="T2129">
        <v>1E-4</v>
      </c>
      <c r="U2129">
        <v>1E-4</v>
      </c>
      <c r="V2129">
        <v>1E-4</v>
      </c>
      <c r="W2129">
        <v>1E-4</v>
      </c>
      <c r="X2129">
        <v>1E-4</v>
      </c>
      <c r="Y2129">
        <v>1E-4</v>
      </c>
    </row>
    <row r="2130" spans="1:25" hidden="1">
      <c r="A2130" t="s">
        <v>18810</v>
      </c>
      <c r="B2130" t="s">
        <v>1877</v>
      </c>
      <c r="C2130" t="s">
        <v>1845</v>
      </c>
      <c r="D2130" t="s">
        <v>1878</v>
      </c>
      <c r="E2130" t="s">
        <v>1872</v>
      </c>
      <c r="F2130" t="s">
        <v>598</v>
      </c>
      <c r="G2130" t="s">
        <v>599</v>
      </c>
      <c r="H2130" t="s">
        <v>600</v>
      </c>
      <c r="I2130" t="s">
        <v>601</v>
      </c>
      <c r="J2130">
        <v>7.7999999999999996E-3</v>
      </c>
      <c r="K2130">
        <v>7.9000000000000008E-3</v>
      </c>
      <c r="L2130">
        <v>8.0000000000000002E-3</v>
      </c>
      <c r="M2130">
        <v>8.3000000000000001E-3</v>
      </c>
      <c r="N2130">
        <v>8.3999999999999995E-3</v>
      </c>
      <c r="O2130">
        <v>8.6E-3</v>
      </c>
      <c r="P2130">
        <v>8.6999999999999994E-3</v>
      </c>
      <c r="Q2130">
        <v>8.8999999999999999E-3</v>
      </c>
      <c r="R2130">
        <v>8.9999999999999993E-3</v>
      </c>
      <c r="S2130">
        <v>9.1000000000000004E-3</v>
      </c>
      <c r="T2130">
        <v>9.1000000000000004E-3</v>
      </c>
      <c r="U2130">
        <v>9.1999999999999998E-3</v>
      </c>
      <c r="V2130">
        <v>9.4000000000000004E-3</v>
      </c>
      <c r="W2130">
        <v>9.5999999999999992E-3</v>
      </c>
      <c r="X2130">
        <v>9.7999999999999997E-3</v>
      </c>
      <c r="Y2130">
        <v>0.01</v>
      </c>
    </row>
    <row r="2131" spans="1:25" hidden="1">
      <c r="A2131" t="s">
        <v>18810</v>
      </c>
      <c r="B2131" t="s">
        <v>1881</v>
      </c>
      <c r="C2131" t="s">
        <v>1845</v>
      </c>
      <c r="D2131" t="s">
        <v>1878</v>
      </c>
      <c r="E2131" t="s">
        <v>1882</v>
      </c>
      <c r="F2131" t="s">
        <v>598</v>
      </c>
      <c r="G2131" t="s">
        <v>599</v>
      </c>
      <c r="H2131" t="s">
        <v>600</v>
      </c>
      <c r="I2131" t="s">
        <v>601</v>
      </c>
      <c r="J2131">
        <v>1E-3</v>
      </c>
      <c r="K2131">
        <v>1.1000000000000001E-3</v>
      </c>
      <c r="L2131">
        <v>1.1000000000000001E-3</v>
      </c>
      <c r="M2131">
        <v>1.1000000000000001E-3</v>
      </c>
      <c r="N2131">
        <v>1.1000000000000001E-3</v>
      </c>
      <c r="O2131">
        <v>1.1000000000000001E-3</v>
      </c>
      <c r="P2131">
        <v>1.1000000000000001E-3</v>
      </c>
      <c r="Q2131">
        <v>1.1000000000000001E-3</v>
      </c>
      <c r="R2131">
        <v>1.1999999999999999E-3</v>
      </c>
      <c r="S2131">
        <v>1.1999999999999999E-3</v>
      </c>
      <c r="T2131">
        <v>1.1999999999999999E-3</v>
      </c>
      <c r="U2131">
        <v>1.1999999999999999E-3</v>
      </c>
      <c r="V2131">
        <v>1.1999999999999999E-3</v>
      </c>
      <c r="W2131">
        <v>1.1999999999999999E-3</v>
      </c>
      <c r="X2131">
        <v>1.1999999999999999E-3</v>
      </c>
      <c r="Y2131">
        <v>1.2999999999999999E-3</v>
      </c>
    </row>
    <row r="2132" spans="1:25" hidden="1">
      <c r="A2132" t="s">
        <v>18810</v>
      </c>
      <c r="B2132" t="s">
        <v>1885</v>
      </c>
      <c r="C2132" t="s">
        <v>1845</v>
      </c>
      <c r="D2132" t="s">
        <v>1878</v>
      </c>
      <c r="E2132" t="s">
        <v>1886</v>
      </c>
      <c r="F2132" t="s">
        <v>598</v>
      </c>
      <c r="G2132" t="s">
        <v>599</v>
      </c>
      <c r="H2132" t="s">
        <v>600</v>
      </c>
      <c r="I2132" t="s">
        <v>601</v>
      </c>
      <c r="J2132">
        <v>7.7299999999999994E-2</v>
      </c>
      <c r="K2132">
        <v>7.85E-2</v>
      </c>
      <c r="L2132">
        <v>7.9899999999999999E-2</v>
      </c>
      <c r="M2132">
        <v>8.09E-2</v>
      </c>
      <c r="N2132">
        <v>8.2199999999999995E-2</v>
      </c>
      <c r="O2132">
        <v>8.3500000000000005E-2</v>
      </c>
      <c r="P2132">
        <v>8.4199999999999997E-2</v>
      </c>
      <c r="Q2132">
        <v>8.5400000000000004E-2</v>
      </c>
      <c r="R2132">
        <v>8.6400000000000005E-2</v>
      </c>
      <c r="S2132">
        <v>8.72E-2</v>
      </c>
      <c r="T2132">
        <v>8.8300000000000003E-2</v>
      </c>
      <c r="U2132">
        <v>8.9399999999999993E-2</v>
      </c>
      <c r="V2132">
        <v>9.0700000000000003E-2</v>
      </c>
      <c r="W2132">
        <v>9.1999999999999998E-2</v>
      </c>
      <c r="X2132">
        <v>9.3100000000000002E-2</v>
      </c>
      <c r="Y2132">
        <v>9.4299999999999995E-2</v>
      </c>
    </row>
    <row r="2133" spans="1:25" hidden="1">
      <c r="A2133" t="s">
        <v>18810</v>
      </c>
      <c r="B2133" t="s">
        <v>1893</v>
      </c>
      <c r="C2133" t="s">
        <v>1845</v>
      </c>
      <c r="D2133" t="s">
        <v>1878</v>
      </c>
      <c r="E2133" t="s">
        <v>1894</v>
      </c>
      <c r="F2133" t="s">
        <v>598</v>
      </c>
      <c r="G2133" t="s">
        <v>599</v>
      </c>
      <c r="H2133" t="s">
        <v>600</v>
      </c>
      <c r="I2133" t="s">
        <v>601</v>
      </c>
      <c r="J2133">
        <v>5.1999999999999998E-3</v>
      </c>
      <c r="K2133">
        <v>5.1999999999999998E-3</v>
      </c>
      <c r="L2133">
        <v>5.3E-3</v>
      </c>
      <c r="M2133">
        <v>5.4000000000000003E-3</v>
      </c>
      <c r="N2133">
        <v>5.4000000000000003E-3</v>
      </c>
      <c r="O2133">
        <v>5.5999999999999999E-3</v>
      </c>
      <c r="P2133">
        <v>5.5999999999999999E-3</v>
      </c>
      <c r="Q2133">
        <v>5.7000000000000002E-3</v>
      </c>
      <c r="R2133">
        <v>5.7000000000000002E-3</v>
      </c>
      <c r="S2133">
        <v>5.7999999999999996E-3</v>
      </c>
      <c r="T2133">
        <v>5.7999999999999996E-3</v>
      </c>
      <c r="U2133">
        <v>6.0000000000000001E-3</v>
      </c>
      <c r="V2133">
        <v>6.0000000000000001E-3</v>
      </c>
      <c r="W2133">
        <v>6.1000000000000004E-3</v>
      </c>
      <c r="X2133">
        <v>6.1000000000000004E-3</v>
      </c>
      <c r="Y2133">
        <v>6.3E-3</v>
      </c>
    </row>
    <row r="2134" spans="1:25" hidden="1">
      <c r="A2134" t="s">
        <v>18810</v>
      </c>
      <c r="B2134" t="s">
        <v>1897</v>
      </c>
      <c r="C2134" t="s">
        <v>1845</v>
      </c>
      <c r="D2134" t="s">
        <v>1878</v>
      </c>
      <c r="E2134" t="s">
        <v>1898</v>
      </c>
      <c r="F2134" t="s">
        <v>598</v>
      </c>
      <c r="G2134" t="s">
        <v>599</v>
      </c>
      <c r="H2134" t="s">
        <v>600</v>
      </c>
      <c r="I2134" t="s">
        <v>601</v>
      </c>
      <c r="J2134">
        <v>1E-4</v>
      </c>
      <c r="K2134">
        <v>1E-4</v>
      </c>
      <c r="L2134">
        <v>1E-4</v>
      </c>
      <c r="M2134">
        <v>1E-4</v>
      </c>
      <c r="N2134">
        <v>1E-4</v>
      </c>
      <c r="O2134">
        <v>1E-4</v>
      </c>
      <c r="P2134">
        <v>1E-4</v>
      </c>
      <c r="Q2134">
        <v>1E-4</v>
      </c>
      <c r="R2134">
        <v>1E-4</v>
      </c>
      <c r="S2134">
        <v>1E-4</v>
      </c>
      <c r="T2134">
        <v>1E-4</v>
      </c>
      <c r="U2134">
        <v>1E-4</v>
      </c>
      <c r="V2134">
        <v>1E-4</v>
      </c>
      <c r="W2134">
        <v>1E-4</v>
      </c>
      <c r="X2134">
        <v>1E-4</v>
      </c>
      <c r="Y2134">
        <v>1E-4</v>
      </c>
    </row>
    <row r="2135" spans="1:25" hidden="1">
      <c r="A2135" t="s">
        <v>18810</v>
      </c>
      <c r="B2135" t="s">
        <v>1905</v>
      </c>
      <c r="C2135" t="s">
        <v>1845</v>
      </c>
      <c r="D2135" t="s">
        <v>1878</v>
      </c>
      <c r="E2135" t="s">
        <v>1906</v>
      </c>
      <c r="F2135" t="s">
        <v>598</v>
      </c>
      <c r="G2135" t="s">
        <v>599</v>
      </c>
      <c r="H2135" t="s">
        <v>600</v>
      </c>
      <c r="I2135" t="s">
        <v>601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hidden="1">
      <c r="A2136" t="s">
        <v>18810</v>
      </c>
      <c r="B2136" t="s">
        <v>1913</v>
      </c>
      <c r="C2136" t="s">
        <v>1845</v>
      </c>
      <c r="D2136" t="s">
        <v>1878</v>
      </c>
      <c r="E2136" t="s">
        <v>1914</v>
      </c>
      <c r="F2136" t="s">
        <v>598</v>
      </c>
      <c r="G2136" t="s">
        <v>599</v>
      </c>
      <c r="H2136" t="s">
        <v>600</v>
      </c>
      <c r="I2136" t="s">
        <v>601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hidden="1">
      <c r="A2137" t="s">
        <v>18810</v>
      </c>
      <c r="B2137" t="s">
        <v>1915</v>
      </c>
      <c r="C2137" t="s">
        <v>1845</v>
      </c>
      <c r="D2137" t="s">
        <v>1878</v>
      </c>
      <c r="E2137" t="s">
        <v>1846</v>
      </c>
      <c r="F2137" t="s">
        <v>598</v>
      </c>
      <c r="G2137" t="s">
        <v>599</v>
      </c>
      <c r="H2137" t="s">
        <v>600</v>
      </c>
      <c r="I2137" t="s">
        <v>601</v>
      </c>
      <c r="J2137">
        <v>2.7000000000000001E-3</v>
      </c>
      <c r="K2137">
        <v>2.7000000000000001E-3</v>
      </c>
      <c r="L2137">
        <v>2.8E-3</v>
      </c>
      <c r="M2137">
        <v>2.8E-3</v>
      </c>
      <c r="N2137">
        <v>2.8999999999999998E-3</v>
      </c>
      <c r="O2137">
        <v>2.8999999999999998E-3</v>
      </c>
      <c r="P2137">
        <v>2.8999999999999998E-3</v>
      </c>
      <c r="Q2137">
        <v>3.0000000000000001E-3</v>
      </c>
      <c r="R2137">
        <v>3.0000000000000001E-3</v>
      </c>
      <c r="S2137">
        <v>3.0000000000000001E-3</v>
      </c>
      <c r="T2137">
        <v>3.0999999999999999E-3</v>
      </c>
      <c r="U2137">
        <v>3.0999999999999999E-3</v>
      </c>
      <c r="V2137">
        <v>3.2000000000000002E-3</v>
      </c>
      <c r="W2137">
        <v>3.2000000000000002E-3</v>
      </c>
      <c r="X2137">
        <v>3.2000000000000002E-3</v>
      </c>
      <c r="Y2137">
        <v>3.3E-3</v>
      </c>
    </row>
    <row r="2138" spans="1:25" hidden="1">
      <c r="A2138" t="s">
        <v>18810</v>
      </c>
      <c r="B2138" t="s">
        <v>1916</v>
      </c>
      <c r="C2138" t="s">
        <v>1845</v>
      </c>
      <c r="D2138" t="s">
        <v>1878</v>
      </c>
      <c r="E2138" t="s">
        <v>1869</v>
      </c>
      <c r="F2138" t="s">
        <v>598</v>
      </c>
      <c r="G2138" t="s">
        <v>599</v>
      </c>
      <c r="H2138" t="s">
        <v>600</v>
      </c>
      <c r="I2138" t="s">
        <v>601</v>
      </c>
      <c r="J2138">
        <v>2.0000000000000001E-4</v>
      </c>
      <c r="K2138">
        <v>2.0000000000000001E-4</v>
      </c>
      <c r="L2138">
        <v>2.9999999999999997E-4</v>
      </c>
      <c r="M2138">
        <v>2.9999999999999997E-4</v>
      </c>
      <c r="N2138">
        <v>2.9999999999999997E-4</v>
      </c>
      <c r="O2138">
        <v>2.9999999999999997E-4</v>
      </c>
      <c r="P2138">
        <v>2.9999999999999997E-4</v>
      </c>
      <c r="Q2138">
        <v>2.9999999999999997E-4</v>
      </c>
      <c r="R2138">
        <v>2.9999999999999997E-4</v>
      </c>
      <c r="S2138">
        <v>2.9999999999999997E-4</v>
      </c>
      <c r="T2138">
        <v>2.9999999999999997E-4</v>
      </c>
      <c r="U2138">
        <v>2.9999999999999997E-4</v>
      </c>
      <c r="V2138">
        <v>2.9999999999999997E-4</v>
      </c>
      <c r="W2138">
        <v>2.9999999999999997E-4</v>
      </c>
      <c r="X2138">
        <v>2.9999999999999997E-4</v>
      </c>
      <c r="Y2138">
        <v>2.9999999999999997E-4</v>
      </c>
    </row>
    <row r="2139" spans="1:25" hidden="1">
      <c r="A2139" t="s">
        <v>18810</v>
      </c>
      <c r="B2139" t="s">
        <v>1917</v>
      </c>
      <c r="C2139" t="s">
        <v>1845</v>
      </c>
      <c r="D2139" t="s">
        <v>1918</v>
      </c>
      <c r="E2139" t="s">
        <v>1872</v>
      </c>
      <c r="F2139" t="s">
        <v>598</v>
      </c>
      <c r="G2139" t="s">
        <v>599</v>
      </c>
      <c r="H2139" t="s">
        <v>600</v>
      </c>
      <c r="I2139" t="s">
        <v>601</v>
      </c>
      <c r="J2139">
        <v>6.3600000000000004E-2</v>
      </c>
      <c r="K2139">
        <v>6.4799999999999996E-2</v>
      </c>
      <c r="L2139">
        <v>6.6199999999999995E-2</v>
      </c>
      <c r="M2139">
        <v>6.7599999999999993E-2</v>
      </c>
      <c r="N2139">
        <v>6.8699999999999997E-2</v>
      </c>
      <c r="O2139">
        <v>7.0000000000000007E-2</v>
      </c>
      <c r="P2139">
        <v>7.0999999999999994E-2</v>
      </c>
      <c r="Q2139">
        <v>7.1900000000000006E-2</v>
      </c>
      <c r="R2139">
        <v>7.2900000000000006E-2</v>
      </c>
      <c r="S2139">
        <v>7.3800000000000004E-2</v>
      </c>
      <c r="T2139">
        <v>7.4700000000000003E-2</v>
      </c>
      <c r="U2139">
        <v>7.5700000000000003E-2</v>
      </c>
      <c r="V2139">
        <v>7.6799999999999993E-2</v>
      </c>
      <c r="W2139">
        <v>7.7899999999999997E-2</v>
      </c>
      <c r="X2139">
        <v>7.8899999999999998E-2</v>
      </c>
      <c r="Y2139">
        <v>8.0100000000000005E-2</v>
      </c>
    </row>
    <row r="2140" spans="1:25" hidden="1">
      <c r="A2140" t="s">
        <v>18810</v>
      </c>
      <c r="B2140" t="s">
        <v>1940</v>
      </c>
      <c r="C2140" t="s">
        <v>1845</v>
      </c>
      <c r="D2140" t="s">
        <v>1918</v>
      </c>
      <c r="E2140" t="s">
        <v>1910</v>
      </c>
      <c r="F2140" t="s">
        <v>598</v>
      </c>
      <c r="G2140" t="s">
        <v>599</v>
      </c>
      <c r="H2140" t="s">
        <v>600</v>
      </c>
      <c r="I2140" t="s">
        <v>601</v>
      </c>
      <c r="J2140">
        <v>5.0000000000000001E-4</v>
      </c>
      <c r="K2140">
        <v>5.0000000000000001E-4</v>
      </c>
      <c r="L2140">
        <v>5.0000000000000001E-4</v>
      </c>
      <c r="M2140">
        <v>5.0000000000000001E-4</v>
      </c>
      <c r="N2140">
        <v>5.0000000000000001E-4</v>
      </c>
      <c r="O2140">
        <v>5.9999999999999995E-4</v>
      </c>
      <c r="P2140">
        <v>6.9999999999999999E-4</v>
      </c>
      <c r="Q2140">
        <v>6.9999999999999999E-4</v>
      </c>
      <c r="R2140">
        <v>6.9999999999999999E-4</v>
      </c>
      <c r="S2140">
        <v>6.9999999999999999E-4</v>
      </c>
      <c r="T2140">
        <v>6.9999999999999999E-4</v>
      </c>
      <c r="U2140">
        <v>6.9999999999999999E-4</v>
      </c>
      <c r="V2140">
        <v>6.9999999999999999E-4</v>
      </c>
      <c r="W2140">
        <v>6.9999999999999999E-4</v>
      </c>
      <c r="X2140">
        <v>6.9999999999999999E-4</v>
      </c>
      <c r="Y2140">
        <v>6.9999999999999999E-4</v>
      </c>
    </row>
    <row r="2141" spans="1:25" hidden="1">
      <c r="A2141" t="s">
        <v>18810</v>
      </c>
      <c r="B2141" t="s">
        <v>1942</v>
      </c>
      <c r="C2141" t="s">
        <v>1845</v>
      </c>
      <c r="D2141" t="s">
        <v>1918</v>
      </c>
      <c r="E2141" t="s">
        <v>1914</v>
      </c>
      <c r="F2141" t="s">
        <v>598</v>
      </c>
      <c r="G2141" t="s">
        <v>599</v>
      </c>
      <c r="H2141" t="s">
        <v>600</v>
      </c>
      <c r="I2141" t="s">
        <v>601</v>
      </c>
      <c r="J2141">
        <v>1.3100000000000001E-2</v>
      </c>
      <c r="K2141">
        <v>1.3299999999999999E-2</v>
      </c>
      <c r="L2141">
        <v>1.35E-2</v>
      </c>
      <c r="M2141">
        <v>1.37E-2</v>
      </c>
      <c r="N2141">
        <v>1.3899999999999999E-2</v>
      </c>
      <c r="O2141">
        <v>1.41E-2</v>
      </c>
      <c r="P2141">
        <v>1.43E-2</v>
      </c>
      <c r="Q2141">
        <v>1.4500000000000001E-2</v>
      </c>
      <c r="R2141">
        <v>1.46E-2</v>
      </c>
      <c r="S2141">
        <v>1.4800000000000001E-2</v>
      </c>
      <c r="T2141">
        <v>1.49E-2</v>
      </c>
      <c r="U2141">
        <v>1.5100000000000001E-2</v>
      </c>
      <c r="V2141">
        <v>1.5299999999999999E-2</v>
      </c>
      <c r="W2141">
        <v>1.55E-2</v>
      </c>
      <c r="X2141">
        <v>1.5699999999999999E-2</v>
      </c>
      <c r="Y2141">
        <v>1.5900000000000001E-2</v>
      </c>
    </row>
    <row r="2142" spans="1:25" hidden="1">
      <c r="A2142" t="s">
        <v>18810</v>
      </c>
      <c r="B2142" t="s">
        <v>1948</v>
      </c>
      <c r="C2142" t="s">
        <v>1845</v>
      </c>
      <c r="D2142" t="s">
        <v>648</v>
      </c>
      <c r="E2142" t="s">
        <v>1393</v>
      </c>
      <c r="F2142" t="s">
        <v>598</v>
      </c>
      <c r="G2142" t="s">
        <v>599</v>
      </c>
      <c r="H2142" t="s">
        <v>600</v>
      </c>
      <c r="I2142" t="s">
        <v>601</v>
      </c>
      <c r="J2142">
        <v>5.0000000000000001E-4</v>
      </c>
      <c r="K2142">
        <v>5.0000000000000001E-4</v>
      </c>
      <c r="L2142">
        <v>5.0000000000000001E-4</v>
      </c>
      <c r="M2142">
        <v>5.0000000000000001E-4</v>
      </c>
      <c r="N2142">
        <v>5.0000000000000001E-4</v>
      </c>
      <c r="O2142">
        <v>5.0000000000000001E-4</v>
      </c>
      <c r="P2142">
        <v>5.0000000000000001E-4</v>
      </c>
      <c r="Q2142">
        <v>5.0000000000000001E-4</v>
      </c>
      <c r="R2142">
        <v>5.0000000000000001E-4</v>
      </c>
      <c r="S2142">
        <v>5.0000000000000001E-4</v>
      </c>
      <c r="T2142">
        <v>5.0000000000000001E-4</v>
      </c>
      <c r="U2142">
        <v>5.9999999999999995E-4</v>
      </c>
      <c r="V2142">
        <v>5.9999999999999995E-4</v>
      </c>
      <c r="W2142">
        <v>5.9999999999999995E-4</v>
      </c>
      <c r="X2142">
        <v>5.9999999999999995E-4</v>
      </c>
      <c r="Y2142">
        <v>5.9999999999999995E-4</v>
      </c>
    </row>
    <row r="2143" spans="1:25" hidden="1">
      <c r="A2143" t="s">
        <v>18810</v>
      </c>
      <c r="B2143" t="s">
        <v>1949</v>
      </c>
      <c r="C2143" t="s">
        <v>1845</v>
      </c>
      <c r="D2143" t="s">
        <v>648</v>
      </c>
      <c r="E2143" t="s">
        <v>1872</v>
      </c>
      <c r="F2143" t="s">
        <v>598</v>
      </c>
      <c r="G2143" t="s">
        <v>599</v>
      </c>
      <c r="H2143" t="s">
        <v>600</v>
      </c>
      <c r="I2143" t="s">
        <v>601</v>
      </c>
      <c r="J2143">
        <v>1E-4</v>
      </c>
      <c r="K2143">
        <v>1E-4</v>
      </c>
      <c r="L2143">
        <v>1E-4</v>
      </c>
      <c r="M2143">
        <v>1E-4</v>
      </c>
      <c r="N2143">
        <v>1E-4</v>
      </c>
      <c r="O2143">
        <v>1E-4</v>
      </c>
      <c r="P2143">
        <v>1E-4</v>
      </c>
      <c r="Q2143">
        <v>1E-4</v>
      </c>
      <c r="R2143">
        <v>1E-4</v>
      </c>
      <c r="S2143">
        <v>1E-4</v>
      </c>
      <c r="T2143">
        <v>1E-4</v>
      </c>
      <c r="U2143">
        <v>1E-4</v>
      </c>
      <c r="V2143">
        <v>1E-4</v>
      </c>
      <c r="W2143">
        <v>1E-4</v>
      </c>
      <c r="X2143">
        <v>1E-4</v>
      </c>
      <c r="Y2143">
        <v>1E-4</v>
      </c>
    </row>
    <row r="2144" spans="1:25" hidden="1">
      <c r="A2144" t="s">
        <v>18810</v>
      </c>
      <c r="B2144" t="s">
        <v>1954</v>
      </c>
      <c r="C2144" t="s">
        <v>1845</v>
      </c>
      <c r="D2144" t="s">
        <v>648</v>
      </c>
      <c r="E2144" t="s">
        <v>1896</v>
      </c>
      <c r="F2144" t="s">
        <v>598</v>
      </c>
      <c r="G2144" t="s">
        <v>599</v>
      </c>
      <c r="H2144" t="s">
        <v>600</v>
      </c>
      <c r="I2144" t="s">
        <v>601</v>
      </c>
      <c r="J2144">
        <v>1E-4</v>
      </c>
      <c r="K2144">
        <v>1E-4</v>
      </c>
      <c r="L2144">
        <v>1E-4</v>
      </c>
      <c r="M2144">
        <v>1E-4</v>
      </c>
      <c r="N2144">
        <v>1E-4</v>
      </c>
      <c r="O2144">
        <v>1E-4</v>
      </c>
      <c r="P2144">
        <v>1E-4</v>
      </c>
      <c r="Q2144">
        <v>1E-4</v>
      </c>
      <c r="R2144">
        <v>1E-4</v>
      </c>
      <c r="S2144">
        <v>1E-4</v>
      </c>
      <c r="T2144">
        <v>1E-4</v>
      </c>
      <c r="U2144">
        <v>1E-4</v>
      </c>
      <c r="V2144">
        <v>1E-4</v>
      </c>
      <c r="W2144">
        <v>1E-4</v>
      </c>
      <c r="X2144">
        <v>1E-4</v>
      </c>
      <c r="Y2144">
        <v>1E-4</v>
      </c>
    </row>
    <row r="2145" spans="1:25" hidden="1">
      <c r="A2145" t="s">
        <v>18810</v>
      </c>
      <c r="B2145" t="s">
        <v>1955</v>
      </c>
      <c r="C2145" t="s">
        <v>1845</v>
      </c>
      <c r="D2145" t="s">
        <v>648</v>
      </c>
      <c r="E2145" t="s">
        <v>1914</v>
      </c>
      <c r="F2145" t="s">
        <v>598</v>
      </c>
      <c r="G2145" t="s">
        <v>599</v>
      </c>
      <c r="H2145" t="s">
        <v>600</v>
      </c>
      <c r="I2145" t="s">
        <v>601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hidden="1">
      <c r="A2146" t="s">
        <v>18810</v>
      </c>
      <c r="B2146" t="s">
        <v>1958</v>
      </c>
      <c r="C2146" t="s">
        <v>1959</v>
      </c>
      <c r="D2146" t="s">
        <v>1324</v>
      </c>
      <c r="E2146" t="s">
        <v>954</v>
      </c>
      <c r="F2146" t="s">
        <v>598</v>
      </c>
      <c r="G2146" t="s">
        <v>599</v>
      </c>
      <c r="H2146" t="s">
        <v>600</v>
      </c>
      <c r="I2146" t="s">
        <v>601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</row>
    <row r="2147" spans="1:25" hidden="1">
      <c r="A2147" t="s">
        <v>18810</v>
      </c>
      <c r="B2147" t="s">
        <v>1964</v>
      </c>
      <c r="C2147" t="s">
        <v>1959</v>
      </c>
      <c r="D2147" t="s">
        <v>1965</v>
      </c>
      <c r="E2147" t="s">
        <v>1966</v>
      </c>
      <c r="F2147" t="s">
        <v>598</v>
      </c>
      <c r="G2147" t="s">
        <v>599</v>
      </c>
      <c r="H2147" t="s">
        <v>600</v>
      </c>
      <c r="I2147" t="s">
        <v>601</v>
      </c>
      <c r="J2147">
        <v>5.9700000000000003E-2</v>
      </c>
      <c r="K2147">
        <v>6.1699999999999998E-2</v>
      </c>
      <c r="L2147">
        <v>6.3200000000000006E-2</v>
      </c>
      <c r="M2147">
        <v>6.4899999999999999E-2</v>
      </c>
      <c r="N2147">
        <v>6.5799999999999997E-2</v>
      </c>
      <c r="O2147">
        <v>6.7000000000000004E-2</v>
      </c>
      <c r="P2147">
        <v>6.8000000000000005E-2</v>
      </c>
      <c r="Q2147">
        <v>6.8699999999999997E-2</v>
      </c>
      <c r="R2147">
        <v>6.9800000000000001E-2</v>
      </c>
      <c r="S2147">
        <v>7.0900000000000005E-2</v>
      </c>
      <c r="T2147">
        <v>7.2099999999999997E-2</v>
      </c>
      <c r="U2147">
        <v>7.3599999999999999E-2</v>
      </c>
      <c r="V2147">
        <v>7.51E-2</v>
      </c>
      <c r="W2147">
        <v>7.6600000000000001E-2</v>
      </c>
      <c r="X2147">
        <v>7.7700000000000005E-2</v>
      </c>
      <c r="Y2147">
        <v>7.9000000000000001E-2</v>
      </c>
    </row>
    <row r="2148" spans="1:25" hidden="1">
      <c r="A2148" t="s">
        <v>18810</v>
      </c>
      <c r="B2148" t="s">
        <v>1967</v>
      </c>
      <c r="C2148" t="s">
        <v>1959</v>
      </c>
      <c r="D2148" t="s">
        <v>1968</v>
      </c>
      <c r="E2148" t="s">
        <v>1962</v>
      </c>
      <c r="F2148" t="s">
        <v>598</v>
      </c>
      <c r="G2148" t="s">
        <v>599</v>
      </c>
      <c r="H2148" t="s">
        <v>600</v>
      </c>
      <c r="I2148" t="s">
        <v>601</v>
      </c>
      <c r="J2148">
        <v>0.30620000000000003</v>
      </c>
      <c r="K2148">
        <v>0.31390000000000001</v>
      </c>
      <c r="L2148">
        <v>0.32190000000000002</v>
      </c>
      <c r="M2148">
        <v>0.33019999999999999</v>
      </c>
      <c r="N2148">
        <v>0.33560000000000001</v>
      </c>
      <c r="O2148">
        <v>0.34139999999999998</v>
      </c>
      <c r="P2148">
        <v>0.34789999999999999</v>
      </c>
      <c r="Q2148">
        <v>0.35499999999999998</v>
      </c>
      <c r="R2148">
        <v>0.3619</v>
      </c>
      <c r="S2148">
        <v>0.36919999999999997</v>
      </c>
      <c r="T2148">
        <v>0.3765</v>
      </c>
      <c r="U2148">
        <v>0.3841</v>
      </c>
      <c r="V2148">
        <v>0.39129999999999998</v>
      </c>
      <c r="W2148">
        <v>0.39910000000000001</v>
      </c>
      <c r="X2148">
        <v>0.40610000000000002</v>
      </c>
      <c r="Y2148">
        <v>0.41360000000000002</v>
      </c>
    </row>
    <row r="2149" spans="1:25" hidden="1">
      <c r="A2149" t="s">
        <v>18810</v>
      </c>
      <c r="B2149" t="s">
        <v>1974</v>
      </c>
      <c r="C2149" t="s">
        <v>1959</v>
      </c>
      <c r="D2149" t="s">
        <v>1972</v>
      </c>
      <c r="E2149" t="s">
        <v>1962</v>
      </c>
      <c r="F2149" t="s">
        <v>598</v>
      </c>
      <c r="G2149" t="s">
        <v>599</v>
      </c>
      <c r="H2149" t="s">
        <v>600</v>
      </c>
      <c r="I2149" t="s">
        <v>601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hidden="1">
      <c r="A2150" t="s">
        <v>18810</v>
      </c>
      <c r="B2150" t="s">
        <v>1977</v>
      </c>
      <c r="C2150" t="s">
        <v>1959</v>
      </c>
      <c r="D2150" t="s">
        <v>1972</v>
      </c>
      <c r="E2150" t="s">
        <v>1966</v>
      </c>
      <c r="F2150" t="s">
        <v>598</v>
      </c>
      <c r="G2150" t="s">
        <v>599</v>
      </c>
      <c r="H2150" t="s">
        <v>600</v>
      </c>
      <c r="I2150" t="s">
        <v>601</v>
      </c>
      <c r="J2150">
        <v>1.6400000000000001E-2</v>
      </c>
      <c r="K2150">
        <v>1.7100000000000001E-2</v>
      </c>
      <c r="L2150">
        <v>1.78E-2</v>
      </c>
      <c r="M2150">
        <v>1.8499999999999999E-2</v>
      </c>
      <c r="N2150">
        <v>1.89E-2</v>
      </c>
      <c r="O2150">
        <v>1.9300000000000001E-2</v>
      </c>
      <c r="P2150">
        <v>1.9699999999999999E-2</v>
      </c>
      <c r="Q2150">
        <v>2.01E-2</v>
      </c>
      <c r="R2150">
        <v>2.0500000000000001E-2</v>
      </c>
      <c r="S2150">
        <v>2.0899999999999998E-2</v>
      </c>
      <c r="T2150">
        <v>2.1299999999999999E-2</v>
      </c>
      <c r="U2150">
        <v>2.1899999999999999E-2</v>
      </c>
      <c r="V2150">
        <v>2.2499999999999999E-2</v>
      </c>
      <c r="W2150">
        <v>2.3E-2</v>
      </c>
      <c r="X2150">
        <v>2.3400000000000001E-2</v>
      </c>
      <c r="Y2150">
        <v>2.3900000000000001E-2</v>
      </c>
    </row>
    <row r="2151" spans="1:25" hidden="1">
      <c r="A2151" t="s">
        <v>18810</v>
      </c>
      <c r="B2151" t="s">
        <v>1978</v>
      </c>
      <c r="C2151" t="s">
        <v>1959</v>
      </c>
      <c r="D2151" t="s">
        <v>1972</v>
      </c>
      <c r="E2151" t="s">
        <v>1979</v>
      </c>
      <c r="F2151" t="s">
        <v>598</v>
      </c>
      <c r="G2151" t="s">
        <v>599</v>
      </c>
      <c r="H2151" t="s">
        <v>600</v>
      </c>
      <c r="I2151" t="s">
        <v>601</v>
      </c>
      <c r="J2151">
        <v>5.5500000000000001E-2</v>
      </c>
      <c r="K2151">
        <v>5.6300000000000003E-2</v>
      </c>
      <c r="L2151">
        <v>5.7299999999999997E-2</v>
      </c>
      <c r="M2151">
        <v>5.8000000000000003E-2</v>
      </c>
      <c r="N2151">
        <v>5.8900000000000001E-2</v>
      </c>
      <c r="O2151">
        <v>5.9700000000000003E-2</v>
      </c>
      <c r="P2151">
        <v>6.0499999999999998E-2</v>
      </c>
      <c r="Q2151">
        <v>6.1100000000000002E-2</v>
      </c>
      <c r="R2151">
        <v>6.1800000000000001E-2</v>
      </c>
      <c r="S2151">
        <v>6.2399999999999997E-2</v>
      </c>
      <c r="T2151">
        <v>6.3200000000000006E-2</v>
      </c>
      <c r="U2151">
        <v>6.4100000000000004E-2</v>
      </c>
      <c r="V2151">
        <v>6.4899999999999999E-2</v>
      </c>
      <c r="W2151">
        <v>6.5699999999999995E-2</v>
      </c>
      <c r="X2151">
        <v>6.6699999999999995E-2</v>
      </c>
      <c r="Y2151">
        <v>6.7400000000000002E-2</v>
      </c>
    </row>
    <row r="2152" spans="1:25" hidden="1">
      <c r="A2152" t="s">
        <v>18810</v>
      </c>
      <c r="B2152" t="s">
        <v>1985</v>
      </c>
      <c r="C2152" t="s">
        <v>1959</v>
      </c>
      <c r="D2152" t="s">
        <v>1983</v>
      </c>
      <c r="E2152" t="s">
        <v>1378</v>
      </c>
      <c r="F2152" t="s">
        <v>598</v>
      </c>
      <c r="G2152" t="s">
        <v>599</v>
      </c>
      <c r="H2152" t="s">
        <v>600</v>
      </c>
      <c r="I2152" t="s">
        <v>601</v>
      </c>
      <c r="J2152">
        <v>1.6199999999999999E-2</v>
      </c>
      <c r="K2152">
        <v>1.66E-2</v>
      </c>
      <c r="L2152">
        <v>1.6799999999999999E-2</v>
      </c>
      <c r="M2152">
        <v>1.7000000000000001E-2</v>
      </c>
      <c r="N2152">
        <v>1.7299999999999999E-2</v>
      </c>
      <c r="O2152">
        <v>1.7399999999999999E-2</v>
      </c>
      <c r="P2152">
        <v>1.77E-2</v>
      </c>
      <c r="Q2152">
        <v>1.7999999999999999E-2</v>
      </c>
      <c r="R2152">
        <v>1.8200000000000001E-2</v>
      </c>
      <c r="S2152">
        <v>1.84E-2</v>
      </c>
      <c r="T2152">
        <v>1.8599999999999998E-2</v>
      </c>
      <c r="U2152">
        <v>1.8800000000000001E-2</v>
      </c>
      <c r="V2152">
        <v>1.9E-2</v>
      </c>
      <c r="W2152">
        <v>1.9400000000000001E-2</v>
      </c>
      <c r="X2152">
        <v>1.9699999999999999E-2</v>
      </c>
      <c r="Y2152">
        <v>1.9800000000000002E-2</v>
      </c>
    </row>
    <row r="2153" spans="1:25" hidden="1">
      <c r="A2153" t="s">
        <v>18810</v>
      </c>
      <c r="B2153" t="s">
        <v>1988</v>
      </c>
      <c r="C2153" t="s">
        <v>1959</v>
      </c>
      <c r="D2153" t="s">
        <v>1983</v>
      </c>
      <c r="E2153" t="s">
        <v>1966</v>
      </c>
      <c r="F2153" t="s">
        <v>598</v>
      </c>
      <c r="G2153" t="s">
        <v>599</v>
      </c>
      <c r="H2153" t="s">
        <v>600</v>
      </c>
      <c r="I2153" t="s">
        <v>601</v>
      </c>
      <c r="J2153">
        <v>4.1099999999999998E-2</v>
      </c>
      <c r="K2153">
        <v>4.1799999999999997E-2</v>
      </c>
      <c r="L2153">
        <v>4.2500000000000003E-2</v>
      </c>
      <c r="M2153">
        <v>4.3099999999999999E-2</v>
      </c>
      <c r="N2153">
        <v>4.3799999999999999E-2</v>
      </c>
      <c r="O2153">
        <v>4.4299999999999999E-2</v>
      </c>
      <c r="P2153">
        <v>4.4900000000000002E-2</v>
      </c>
      <c r="Q2153">
        <v>4.5499999999999999E-2</v>
      </c>
      <c r="R2153">
        <v>4.6100000000000002E-2</v>
      </c>
      <c r="S2153">
        <v>4.6600000000000003E-2</v>
      </c>
      <c r="T2153">
        <v>4.7300000000000002E-2</v>
      </c>
      <c r="U2153">
        <v>4.7899999999999998E-2</v>
      </c>
      <c r="V2153">
        <v>4.8599999999999997E-2</v>
      </c>
      <c r="W2153">
        <v>4.9200000000000001E-2</v>
      </c>
      <c r="X2153">
        <v>4.99E-2</v>
      </c>
      <c r="Y2153">
        <v>5.0599999999999999E-2</v>
      </c>
    </row>
    <row r="2154" spans="1:25" hidden="1">
      <c r="A2154" t="s">
        <v>18810</v>
      </c>
      <c r="B2154" t="s">
        <v>1991</v>
      </c>
      <c r="C2154" t="s">
        <v>1959</v>
      </c>
      <c r="D2154" t="s">
        <v>1983</v>
      </c>
      <c r="E2154" t="s">
        <v>1992</v>
      </c>
      <c r="F2154" t="s">
        <v>598</v>
      </c>
      <c r="G2154" t="s">
        <v>599</v>
      </c>
      <c r="H2154" t="s">
        <v>600</v>
      </c>
      <c r="I2154" t="s">
        <v>601</v>
      </c>
      <c r="J2154">
        <v>1.6999999999999999E-3</v>
      </c>
      <c r="K2154">
        <v>1.6999999999999999E-3</v>
      </c>
      <c r="L2154">
        <v>1.8E-3</v>
      </c>
      <c r="M2154">
        <v>1.8E-3</v>
      </c>
      <c r="N2154">
        <v>1.9E-3</v>
      </c>
      <c r="O2154">
        <v>1.9E-3</v>
      </c>
      <c r="P2154">
        <v>1.9E-3</v>
      </c>
      <c r="Q2154">
        <v>2E-3</v>
      </c>
      <c r="R2154">
        <v>2E-3</v>
      </c>
      <c r="S2154">
        <v>2E-3</v>
      </c>
      <c r="T2154">
        <v>2.0999999999999999E-3</v>
      </c>
      <c r="U2154">
        <v>2.0999999999999999E-3</v>
      </c>
      <c r="V2154">
        <v>2.2000000000000001E-3</v>
      </c>
      <c r="W2154">
        <v>2.2000000000000001E-3</v>
      </c>
      <c r="X2154">
        <v>2.2000000000000001E-3</v>
      </c>
      <c r="Y2154">
        <v>2.3E-3</v>
      </c>
    </row>
    <row r="2155" spans="1:25" hidden="1">
      <c r="A2155" t="s">
        <v>18810</v>
      </c>
      <c r="B2155" t="s">
        <v>1995</v>
      </c>
      <c r="C2155" t="s">
        <v>1959</v>
      </c>
      <c r="D2155" t="s">
        <v>1996</v>
      </c>
      <c r="E2155" t="s">
        <v>1973</v>
      </c>
      <c r="F2155" t="s">
        <v>598</v>
      </c>
      <c r="G2155" t="s">
        <v>599</v>
      </c>
      <c r="H2155" t="s">
        <v>600</v>
      </c>
      <c r="I2155" t="s">
        <v>601</v>
      </c>
      <c r="J2155">
        <v>8.0000000000000002E-3</v>
      </c>
      <c r="K2155">
        <v>8.0999999999999996E-3</v>
      </c>
      <c r="L2155">
        <v>8.3000000000000001E-3</v>
      </c>
      <c r="M2155">
        <v>8.3999999999999995E-3</v>
      </c>
      <c r="N2155">
        <v>8.3999999999999995E-3</v>
      </c>
      <c r="O2155">
        <v>8.6E-3</v>
      </c>
      <c r="P2155">
        <v>8.6999999999999994E-3</v>
      </c>
      <c r="Q2155">
        <v>8.8999999999999999E-3</v>
      </c>
      <c r="R2155">
        <v>8.9999999999999993E-3</v>
      </c>
      <c r="S2155">
        <v>9.2999999999999992E-3</v>
      </c>
      <c r="T2155">
        <v>9.2999999999999992E-3</v>
      </c>
      <c r="U2155">
        <v>9.4000000000000004E-3</v>
      </c>
      <c r="V2155">
        <v>9.7000000000000003E-3</v>
      </c>
      <c r="W2155">
        <v>9.7999999999999997E-3</v>
      </c>
      <c r="X2155">
        <v>0.01</v>
      </c>
      <c r="Y2155">
        <v>1.01E-2</v>
      </c>
    </row>
    <row r="2156" spans="1:25" hidden="1">
      <c r="A2156" t="s">
        <v>18810</v>
      </c>
      <c r="B2156" t="s">
        <v>1997</v>
      </c>
      <c r="C2156" t="s">
        <v>1959</v>
      </c>
      <c r="D2156" t="s">
        <v>1996</v>
      </c>
      <c r="E2156" t="s">
        <v>1380</v>
      </c>
      <c r="F2156" t="s">
        <v>598</v>
      </c>
      <c r="G2156" t="s">
        <v>599</v>
      </c>
      <c r="H2156" t="s">
        <v>600</v>
      </c>
      <c r="I2156" t="s">
        <v>601</v>
      </c>
      <c r="J2156">
        <v>6.4899999999999999E-2</v>
      </c>
      <c r="K2156">
        <v>6.6299999999999998E-2</v>
      </c>
      <c r="L2156">
        <v>6.7900000000000002E-2</v>
      </c>
      <c r="M2156">
        <v>6.93E-2</v>
      </c>
      <c r="N2156">
        <v>7.0599999999999996E-2</v>
      </c>
      <c r="O2156">
        <v>7.1900000000000006E-2</v>
      </c>
      <c r="P2156">
        <v>7.3999999999999996E-2</v>
      </c>
      <c r="Q2156">
        <v>7.6200000000000004E-2</v>
      </c>
      <c r="R2156">
        <v>7.8200000000000006E-2</v>
      </c>
      <c r="S2156">
        <v>8.0299999999999996E-2</v>
      </c>
      <c r="T2156">
        <v>8.2400000000000001E-2</v>
      </c>
      <c r="U2156">
        <v>8.4199999999999997E-2</v>
      </c>
      <c r="V2156">
        <v>8.6300000000000002E-2</v>
      </c>
      <c r="W2156">
        <v>8.8499999999999995E-2</v>
      </c>
      <c r="X2156">
        <v>9.01E-2</v>
      </c>
      <c r="Y2156">
        <v>9.1999999999999998E-2</v>
      </c>
    </row>
    <row r="2157" spans="1:25" hidden="1">
      <c r="A2157" t="s">
        <v>18810</v>
      </c>
      <c r="B2157" t="s">
        <v>2004</v>
      </c>
      <c r="C2157" t="s">
        <v>1959</v>
      </c>
      <c r="D2157" t="s">
        <v>2001</v>
      </c>
      <c r="E2157" t="s">
        <v>1380</v>
      </c>
      <c r="F2157" t="s">
        <v>598</v>
      </c>
      <c r="G2157" t="s">
        <v>599</v>
      </c>
      <c r="H2157" t="s">
        <v>600</v>
      </c>
      <c r="I2157" t="s">
        <v>601</v>
      </c>
      <c r="J2157">
        <v>2.3199999999999998E-2</v>
      </c>
      <c r="K2157">
        <v>2.3400000000000001E-2</v>
      </c>
      <c r="L2157">
        <v>2.3900000000000001E-2</v>
      </c>
      <c r="M2157">
        <v>2.4299999999999999E-2</v>
      </c>
      <c r="N2157">
        <v>2.47E-2</v>
      </c>
      <c r="O2157">
        <v>2.5000000000000001E-2</v>
      </c>
      <c r="P2157">
        <v>2.52E-2</v>
      </c>
      <c r="Q2157">
        <v>2.5600000000000001E-2</v>
      </c>
      <c r="R2157">
        <v>2.5899999999999999E-2</v>
      </c>
      <c r="S2157">
        <v>2.6200000000000001E-2</v>
      </c>
      <c r="T2157">
        <v>2.6499999999999999E-2</v>
      </c>
      <c r="U2157">
        <v>2.69E-2</v>
      </c>
      <c r="V2157">
        <v>2.7199999999999998E-2</v>
      </c>
      <c r="W2157">
        <v>2.75E-2</v>
      </c>
      <c r="X2157">
        <v>2.7900000000000001E-2</v>
      </c>
      <c r="Y2157">
        <v>2.8299999999999999E-2</v>
      </c>
    </row>
    <row r="2158" spans="1:25" hidden="1">
      <c r="A2158" t="s">
        <v>18810</v>
      </c>
      <c r="B2158" t="s">
        <v>2005</v>
      </c>
      <c r="C2158" t="s">
        <v>1959</v>
      </c>
      <c r="D2158" t="s">
        <v>2001</v>
      </c>
      <c r="E2158" t="s">
        <v>1976</v>
      </c>
      <c r="F2158" t="s">
        <v>598</v>
      </c>
      <c r="G2158" t="s">
        <v>599</v>
      </c>
      <c r="H2158" t="s">
        <v>600</v>
      </c>
      <c r="I2158" t="s">
        <v>601</v>
      </c>
      <c r="J2158">
        <v>0.16300000000000001</v>
      </c>
      <c r="K2158">
        <v>0.1658</v>
      </c>
      <c r="L2158">
        <v>0.16819999999999999</v>
      </c>
      <c r="M2158">
        <v>0.17050000000000001</v>
      </c>
      <c r="N2158">
        <v>0.17330000000000001</v>
      </c>
      <c r="O2158">
        <v>0.1762</v>
      </c>
      <c r="P2158">
        <v>0.17879999999999999</v>
      </c>
      <c r="Q2158">
        <v>0.1807</v>
      </c>
      <c r="R2158">
        <v>0.18379999999999999</v>
      </c>
      <c r="S2158">
        <v>0.18609999999999999</v>
      </c>
      <c r="T2158">
        <v>0.1888</v>
      </c>
      <c r="U2158">
        <v>0.19139999999999999</v>
      </c>
      <c r="V2158">
        <v>0.19420000000000001</v>
      </c>
      <c r="W2158">
        <v>0.19689999999999999</v>
      </c>
      <c r="X2158">
        <v>0.1996</v>
      </c>
      <c r="Y2158">
        <v>0.20250000000000001</v>
      </c>
    </row>
    <row r="2159" spans="1:25" hidden="1">
      <c r="A2159" t="s">
        <v>18810</v>
      </c>
      <c r="B2159" t="s">
        <v>2007</v>
      </c>
      <c r="C2159" t="s">
        <v>1959</v>
      </c>
      <c r="D2159" t="s">
        <v>2001</v>
      </c>
      <c r="E2159" t="s">
        <v>1966</v>
      </c>
      <c r="F2159" t="s">
        <v>598</v>
      </c>
      <c r="G2159" t="s">
        <v>599</v>
      </c>
      <c r="H2159" t="s">
        <v>600</v>
      </c>
      <c r="I2159" t="s">
        <v>601</v>
      </c>
      <c r="J2159">
        <v>6.7000000000000002E-3</v>
      </c>
      <c r="K2159">
        <v>6.7000000000000002E-3</v>
      </c>
      <c r="L2159">
        <v>6.7999999999999996E-3</v>
      </c>
      <c r="M2159">
        <v>7.1000000000000004E-3</v>
      </c>
      <c r="N2159">
        <v>7.1999999999999998E-3</v>
      </c>
      <c r="O2159">
        <v>7.3000000000000001E-3</v>
      </c>
      <c r="P2159">
        <v>7.3000000000000001E-3</v>
      </c>
      <c r="Q2159">
        <v>7.4000000000000003E-3</v>
      </c>
      <c r="R2159">
        <v>7.4999999999999997E-3</v>
      </c>
      <c r="S2159">
        <v>7.6E-3</v>
      </c>
      <c r="T2159">
        <v>7.7000000000000002E-3</v>
      </c>
      <c r="U2159">
        <v>7.7999999999999996E-3</v>
      </c>
      <c r="V2159">
        <v>7.9000000000000008E-3</v>
      </c>
      <c r="W2159">
        <v>8.0000000000000002E-3</v>
      </c>
      <c r="X2159">
        <v>8.0999999999999996E-3</v>
      </c>
      <c r="Y2159">
        <v>8.2000000000000007E-3</v>
      </c>
    </row>
    <row r="2160" spans="1:25" hidden="1">
      <c r="A2160" t="s">
        <v>18810</v>
      </c>
      <c r="B2160" t="s">
        <v>2008</v>
      </c>
      <c r="C2160" t="s">
        <v>1959</v>
      </c>
      <c r="D2160" t="s">
        <v>2009</v>
      </c>
      <c r="E2160" t="s">
        <v>2010</v>
      </c>
      <c r="F2160" t="s">
        <v>598</v>
      </c>
      <c r="G2160" t="s">
        <v>599</v>
      </c>
      <c r="H2160" t="s">
        <v>600</v>
      </c>
      <c r="I2160" t="s">
        <v>601</v>
      </c>
      <c r="J2160">
        <v>3.0599999999999999E-2</v>
      </c>
      <c r="K2160">
        <v>3.1199999999999999E-2</v>
      </c>
      <c r="L2160">
        <v>3.1600000000000003E-2</v>
      </c>
      <c r="M2160">
        <v>3.2000000000000001E-2</v>
      </c>
      <c r="N2160">
        <v>3.2500000000000001E-2</v>
      </c>
      <c r="O2160">
        <v>3.3000000000000002E-2</v>
      </c>
      <c r="P2160">
        <v>3.3300000000000003E-2</v>
      </c>
      <c r="Q2160">
        <v>3.3700000000000001E-2</v>
      </c>
      <c r="R2160">
        <v>3.4099999999999998E-2</v>
      </c>
      <c r="S2160">
        <v>3.44E-2</v>
      </c>
      <c r="T2160">
        <v>3.4799999999999998E-2</v>
      </c>
      <c r="U2160">
        <v>3.5400000000000001E-2</v>
      </c>
      <c r="V2160">
        <v>3.5799999999999998E-2</v>
      </c>
      <c r="W2160">
        <v>3.6299999999999999E-2</v>
      </c>
      <c r="X2160">
        <v>3.6799999999999999E-2</v>
      </c>
      <c r="Y2160">
        <v>3.73E-2</v>
      </c>
    </row>
    <row r="2161" spans="1:25" hidden="1">
      <c r="A2161" t="s">
        <v>18810</v>
      </c>
      <c r="B2161" t="s">
        <v>2011</v>
      </c>
      <c r="C2161" t="s">
        <v>1959</v>
      </c>
      <c r="D2161" t="s">
        <v>2012</v>
      </c>
      <c r="E2161" t="s">
        <v>2013</v>
      </c>
      <c r="F2161" t="s">
        <v>598</v>
      </c>
      <c r="G2161" t="s">
        <v>599</v>
      </c>
      <c r="H2161" t="s">
        <v>600</v>
      </c>
      <c r="I2161" t="s">
        <v>601</v>
      </c>
      <c r="J2161">
        <v>2.0000000000000001E-4</v>
      </c>
      <c r="K2161">
        <v>2.0000000000000001E-4</v>
      </c>
      <c r="L2161">
        <v>2.9999999999999997E-4</v>
      </c>
      <c r="M2161">
        <v>2.9999999999999997E-4</v>
      </c>
      <c r="N2161">
        <v>2.9999999999999997E-4</v>
      </c>
      <c r="O2161">
        <v>2.9999999999999997E-4</v>
      </c>
      <c r="P2161">
        <v>2.9999999999999997E-4</v>
      </c>
      <c r="Q2161">
        <v>2.9999999999999997E-4</v>
      </c>
      <c r="R2161">
        <v>2.9999999999999997E-4</v>
      </c>
      <c r="S2161">
        <v>2.9999999999999997E-4</v>
      </c>
      <c r="T2161">
        <v>2.9999999999999997E-4</v>
      </c>
      <c r="U2161">
        <v>2.9999999999999997E-4</v>
      </c>
      <c r="V2161">
        <v>2.9999999999999997E-4</v>
      </c>
      <c r="W2161">
        <v>2.9999999999999997E-4</v>
      </c>
      <c r="X2161">
        <v>2.9999999999999997E-4</v>
      </c>
      <c r="Y2161">
        <v>2.9999999999999997E-4</v>
      </c>
    </row>
    <row r="2162" spans="1:25" hidden="1">
      <c r="A2162" t="s">
        <v>18810</v>
      </c>
      <c r="B2162" t="s">
        <v>2017</v>
      </c>
      <c r="C2162" t="s">
        <v>1959</v>
      </c>
      <c r="D2162" t="s">
        <v>1817</v>
      </c>
      <c r="E2162" t="s">
        <v>1962</v>
      </c>
      <c r="F2162" t="s">
        <v>598</v>
      </c>
      <c r="G2162" t="s">
        <v>599</v>
      </c>
      <c r="H2162" t="s">
        <v>600</v>
      </c>
      <c r="I2162" t="s">
        <v>601</v>
      </c>
      <c r="J2162">
        <v>1E-4</v>
      </c>
      <c r="K2162">
        <v>1E-4</v>
      </c>
      <c r="L2162">
        <v>1E-4</v>
      </c>
      <c r="M2162">
        <v>1E-4</v>
      </c>
      <c r="N2162">
        <v>1E-4</v>
      </c>
      <c r="O2162">
        <v>1E-4</v>
      </c>
      <c r="P2162">
        <v>1E-4</v>
      </c>
      <c r="Q2162">
        <v>1E-4</v>
      </c>
      <c r="R2162">
        <v>1E-4</v>
      </c>
      <c r="S2162">
        <v>1E-4</v>
      </c>
      <c r="T2162">
        <v>1E-4</v>
      </c>
      <c r="U2162">
        <v>1E-4</v>
      </c>
      <c r="V2162">
        <v>1E-4</v>
      </c>
      <c r="W2162">
        <v>1E-4</v>
      </c>
      <c r="X2162">
        <v>1E-4</v>
      </c>
      <c r="Y2162">
        <v>1E-4</v>
      </c>
    </row>
    <row r="2163" spans="1:25" hidden="1">
      <c r="A2163" t="s">
        <v>18810</v>
      </c>
      <c r="B2163" t="s">
        <v>2019</v>
      </c>
      <c r="C2163" t="s">
        <v>1959</v>
      </c>
      <c r="D2163" t="s">
        <v>1817</v>
      </c>
      <c r="E2163" t="s">
        <v>1976</v>
      </c>
      <c r="F2163" t="s">
        <v>598</v>
      </c>
      <c r="G2163" t="s">
        <v>599</v>
      </c>
      <c r="H2163" t="s">
        <v>600</v>
      </c>
      <c r="I2163" t="s">
        <v>601</v>
      </c>
      <c r="J2163">
        <v>5.0000000000000001E-4</v>
      </c>
      <c r="K2163">
        <v>5.0000000000000001E-4</v>
      </c>
      <c r="L2163">
        <v>5.0000000000000001E-4</v>
      </c>
      <c r="M2163">
        <v>5.0000000000000001E-4</v>
      </c>
      <c r="N2163">
        <v>5.0000000000000001E-4</v>
      </c>
      <c r="O2163">
        <v>5.0000000000000001E-4</v>
      </c>
      <c r="P2163">
        <v>5.0000000000000001E-4</v>
      </c>
      <c r="Q2163">
        <v>5.0000000000000001E-4</v>
      </c>
      <c r="R2163">
        <v>5.0000000000000001E-4</v>
      </c>
      <c r="S2163">
        <v>5.9999999999999995E-4</v>
      </c>
      <c r="T2163">
        <v>5.9999999999999995E-4</v>
      </c>
      <c r="U2163">
        <v>5.9999999999999995E-4</v>
      </c>
      <c r="V2163">
        <v>5.9999999999999995E-4</v>
      </c>
      <c r="W2163">
        <v>5.9999999999999995E-4</v>
      </c>
      <c r="X2163">
        <v>5.9999999999999995E-4</v>
      </c>
      <c r="Y2163">
        <v>5.9999999999999995E-4</v>
      </c>
    </row>
    <row r="2164" spans="1:25" hidden="1">
      <c r="A2164" t="s">
        <v>18810</v>
      </c>
      <c r="B2164" t="s">
        <v>2023</v>
      </c>
      <c r="C2164" t="s">
        <v>1959</v>
      </c>
      <c r="D2164" t="s">
        <v>1817</v>
      </c>
      <c r="E2164" t="s">
        <v>1970</v>
      </c>
      <c r="F2164" t="s">
        <v>598</v>
      </c>
      <c r="G2164" t="s">
        <v>599</v>
      </c>
      <c r="H2164" t="s">
        <v>600</v>
      </c>
      <c r="I2164" t="s">
        <v>601</v>
      </c>
      <c r="J2164">
        <v>1E-4</v>
      </c>
      <c r="K2164">
        <v>1E-4</v>
      </c>
      <c r="L2164">
        <v>1E-4</v>
      </c>
      <c r="M2164">
        <v>1E-4</v>
      </c>
      <c r="N2164">
        <v>1E-4</v>
      </c>
      <c r="O2164">
        <v>1E-4</v>
      </c>
      <c r="P2164">
        <v>1E-4</v>
      </c>
      <c r="Q2164">
        <v>1E-4</v>
      </c>
      <c r="R2164">
        <v>1E-4</v>
      </c>
      <c r="S2164">
        <v>1E-4</v>
      </c>
      <c r="T2164">
        <v>1E-4</v>
      </c>
      <c r="U2164">
        <v>1E-4</v>
      </c>
      <c r="V2164">
        <v>1E-4</v>
      </c>
      <c r="W2164">
        <v>1E-4</v>
      </c>
      <c r="X2164">
        <v>1E-4</v>
      </c>
      <c r="Y2164">
        <v>1E-4</v>
      </c>
    </row>
    <row r="2165" spans="1:25" hidden="1">
      <c r="A2165" t="s">
        <v>18810</v>
      </c>
      <c r="B2165" t="s">
        <v>2028</v>
      </c>
      <c r="C2165" t="s">
        <v>1959</v>
      </c>
      <c r="D2165" t="s">
        <v>1817</v>
      </c>
      <c r="E2165" t="s">
        <v>1966</v>
      </c>
      <c r="F2165" t="s">
        <v>598</v>
      </c>
      <c r="G2165" t="s">
        <v>599</v>
      </c>
      <c r="H2165" t="s">
        <v>600</v>
      </c>
      <c r="I2165" t="s">
        <v>601</v>
      </c>
      <c r="J2165">
        <v>1.5E-3</v>
      </c>
      <c r="K2165">
        <v>1.6000000000000001E-3</v>
      </c>
      <c r="L2165">
        <v>1.6999999999999999E-3</v>
      </c>
      <c r="M2165">
        <v>1.6999999999999999E-3</v>
      </c>
      <c r="N2165">
        <v>1.6999999999999999E-3</v>
      </c>
      <c r="O2165">
        <v>1.6999999999999999E-3</v>
      </c>
      <c r="P2165">
        <v>1.8E-3</v>
      </c>
      <c r="Q2165">
        <v>1.8E-3</v>
      </c>
      <c r="R2165">
        <v>1.8E-3</v>
      </c>
      <c r="S2165">
        <v>1.9E-3</v>
      </c>
      <c r="T2165">
        <v>1.9E-3</v>
      </c>
      <c r="U2165">
        <v>1.9E-3</v>
      </c>
      <c r="V2165">
        <v>2E-3</v>
      </c>
      <c r="W2165">
        <v>2E-3</v>
      </c>
      <c r="X2165">
        <v>2E-3</v>
      </c>
      <c r="Y2165">
        <v>2.0999999999999999E-3</v>
      </c>
    </row>
    <row r="2166" spans="1:25" hidden="1">
      <c r="A2166" t="s">
        <v>18810</v>
      </c>
      <c r="B2166" t="s">
        <v>2029</v>
      </c>
      <c r="C2166" t="s">
        <v>1959</v>
      </c>
      <c r="D2166" t="s">
        <v>1817</v>
      </c>
      <c r="E2166" t="s">
        <v>1979</v>
      </c>
      <c r="F2166" t="s">
        <v>598</v>
      </c>
      <c r="G2166" t="s">
        <v>599</v>
      </c>
      <c r="H2166" t="s">
        <v>600</v>
      </c>
      <c r="I2166" t="s">
        <v>601</v>
      </c>
      <c r="J2166">
        <v>3.3999999999999998E-3</v>
      </c>
      <c r="K2166">
        <v>3.3999999999999998E-3</v>
      </c>
      <c r="L2166">
        <v>3.5000000000000001E-3</v>
      </c>
      <c r="M2166">
        <v>3.5000000000000001E-3</v>
      </c>
      <c r="N2166">
        <v>3.5000000000000001E-3</v>
      </c>
      <c r="O2166">
        <v>3.5999999999999999E-3</v>
      </c>
      <c r="P2166">
        <v>3.5999999999999999E-3</v>
      </c>
      <c r="Q2166">
        <v>3.7000000000000002E-3</v>
      </c>
      <c r="R2166">
        <v>3.7000000000000002E-3</v>
      </c>
      <c r="S2166">
        <v>3.8E-3</v>
      </c>
      <c r="T2166">
        <v>3.8999999999999998E-3</v>
      </c>
      <c r="U2166">
        <v>3.8999999999999998E-3</v>
      </c>
      <c r="V2166">
        <v>3.8999999999999998E-3</v>
      </c>
      <c r="W2166">
        <v>4.1000000000000003E-3</v>
      </c>
      <c r="X2166">
        <v>4.1000000000000003E-3</v>
      </c>
      <c r="Y2166">
        <v>4.1000000000000003E-3</v>
      </c>
    </row>
    <row r="2167" spans="1:25" hidden="1">
      <c r="A2167" t="s">
        <v>18810</v>
      </c>
      <c r="B2167" t="s">
        <v>2033</v>
      </c>
      <c r="C2167" t="s">
        <v>1959</v>
      </c>
      <c r="D2167" t="s">
        <v>648</v>
      </c>
      <c r="E2167" t="s">
        <v>973</v>
      </c>
      <c r="F2167" t="s">
        <v>598</v>
      </c>
      <c r="G2167" t="s">
        <v>599</v>
      </c>
      <c r="H2167" t="s">
        <v>600</v>
      </c>
      <c r="I2167" t="s">
        <v>601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hidden="1">
      <c r="A2168" t="s">
        <v>18810</v>
      </c>
      <c r="B2168" t="s">
        <v>2036</v>
      </c>
      <c r="C2168" t="s">
        <v>1959</v>
      </c>
      <c r="D2168" t="s">
        <v>648</v>
      </c>
      <c r="E2168" t="s">
        <v>611</v>
      </c>
      <c r="F2168" t="s">
        <v>598</v>
      </c>
      <c r="G2168" t="s">
        <v>599</v>
      </c>
      <c r="H2168" t="s">
        <v>600</v>
      </c>
      <c r="I2168" t="s">
        <v>601</v>
      </c>
      <c r="J2168">
        <v>1.1999999999999999E-3</v>
      </c>
      <c r="K2168">
        <v>1.1999999999999999E-3</v>
      </c>
      <c r="L2168">
        <v>1.1999999999999999E-3</v>
      </c>
      <c r="M2168">
        <v>1.2999999999999999E-3</v>
      </c>
      <c r="N2168">
        <v>1.4E-3</v>
      </c>
      <c r="O2168">
        <v>1.4E-3</v>
      </c>
      <c r="P2168">
        <v>1.4E-3</v>
      </c>
      <c r="Q2168">
        <v>1.4E-3</v>
      </c>
      <c r="R2168">
        <v>1.4E-3</v>
      </c>
      <c r="S2168">
        <v>1.4E-3</v>
      </c>
      <c r="T2168">
        <v>1.4E-3</v>
      </c>
      <c r="U2168">
        <v>1.5E-3</v>
      </c>
      <c r="V2168">
        <v>1.5E-3</v>
      </c>
      <c r="W2168">
        <v>1.5E-3</v>
      </c>
      <c r="X2168">
        <v>1.5E-3</v>
      </c>
      <c r="Y2168">
        <v>1.5E-3</v>
      </c>
    </row>
    <row r="2169" spans="1:25" hidden="1">
      <c r="A2169" t="s">
        <v>18810</v>
      </c>
      <c r="B2169" t="s">
        <v>2039</v>
      </c>
      <c r="C2169" t="s">
        <v>1959</v>
      </c>
      <c r="D2169" t="s">
        <v>648</v>
      </c>
      <c r="E2169" t="s">
        <v>1378</v>
      </c>
      <c r="F2169" t="s">
        <v>598</v>
      </c>
      <c r="G2169" t="s">
        <v>599</v>
      </c>
      <c r="H2169" t="s">
        <v>600</v>
      </c>
      <c r="I2169" t="s">
        <v>601</v>
      </c>
      <c r="J2169">
        <v>0.54659999999999997</v>
      </c>
      <c r="K2169">
        <v>0.55940000000000001</v>
      </c>
      <c r="L2169">
        <v>0.57289999999999996</v>
      </c>
      <c r="M2169">
        <v>0.58689999999999998</v>
      </c>
      <c r="N2169">
        <v>0.5958</v>
      </c>
      <c r="O2169">
        <v>0.60499999999999998</v>
      </c>
      <c r="P2169">
        <v>0.61319999999999997</v>
      </c>
      <c r="Q2169">
        <v>0.62160000000000004</v>
      </c>
      <c r="R2169">
        <v>0.63070000000000004</v>
      </c>
      <c r="S2169">
        <v>0.64</v>
      </c>
      <c r="T2169">
        <v>0.65</v>
      </c>
      <c r="U2169">
        <v>0.66090000000000004</v>
      </c>
      <c r="V2169">
        <v>0.67230000000000001</v>
      </c>
      <c r="W2169">
        <v>0.68389999999999995</v>
      </c>
      <c r="X2169">
        <v>0.6946</v>
      </c>
      <c r="Y2169">
        <v>0.70579999999999998</v>
      </c>
    </row>
    <row r="2170" spans="1:25" hidden="1">
      <c r="A2170" t="s">
        <v>18810</v>
      </c>
      <c r="B2170" t="s">
        <v>2040</v>
      </c>
      <c r="C2170" t="s">
        <v>1959</v>
      </c>
      <c r="D2170" t="s">
        <v>648</v>
      </c>
      <c r="E2170" t="s">
        <v>1962</v>
      </c>
      <c r="F2170" t="s">
        <v>598</v>
      </c>
      <c r="G2170" t="s">
        <v>599</v>
      </c>
      <c r="H2170" t="s">
        <v>600</v>
      </c>
      <c r="I2170" t="s">
        <v>601</v>
      </c>
      <c r="J2170">
        <v>4.1000000000000003E-3</v>
      </c>
      <c r="K2170">
        <v>4.1999999999999997E-3</v>
      </c>
      <c r="L2170">
        <v>4.3E-3</v>
      </c>
      <c r="M2170">
        <v>4.4999999999999997E-3</v>
      </c>
      <c r="N2170">
        <v>4.5999999999999999E-3</v>
      </c>
      <c r="O2170">
        <v>4.5999999999999999E-3</v>
      </c>
      <c r="P2170">
        <v>4.7000000000000002E-3</v>
      </c>
      <c r="Q2170">
        <v>4.7999999999999996E-3</v>
      </c>
      <c r="R2170">
        <v>4.8999999999999998E-3</v>
      </c>
      <c r="S2170">
        <v>5.0000000000000001E-3</v>
      </c>
      <c r="T2170">
        <v>5.1000000000000004E-3</v>
      </c>
      <c r="U2170">
        <v>5.1999999999999998E-3</v>
      </c>
      <c r="V2170">
        <v>5.3E-3</v>
      </c>
      <c r="W2170">
        <v>5.4000000000000003E-3</v>
      </c>
      <c r="X2170">
        <v>5.4999999999999997E-3</v>
      </c>
      <c r="Y2170">
        <v>5.5999999999999999E-3</v>
      </c>
    </row>
    <row r="2171" spans="1:25" hidden="1">
      <c r="A2171" t="s">
        <v>18810</v>
      </c>
      <c r="B2171" t="s">
        <v>2041</v>
      </c>
      <c r="C2171" t="s">
        <v>1959</v>
      </c>
      <c r="D2171" t="s">
        <v>648</v>
      </c>
      <c r="E2171" t="s">
        <v>2003</v>
      </c>
      <c r="F2171" t="s">
        <v>598</v>
      </c>
      <c r="G2171" t="s">
        <v>599</v>
      </c>
      <c r="H2171" t="s">
        <v>600</v>
      </c>
      <c r="I2171" t="s">
        <v>601</v>
      </c>
      <c r="J2171">
        <v>2.9999999999999997E-4</v>
      </c>
      <c r="K2171">
        <v>2.9999999999999997E-4</v>
      </c>
      <c r="L2171">
        <v>2.9999999999999997E-4</v>
      </c>
      <c r="M2171">
        <v>2.9999999999999997E-4</v>
      </c>
      <c r="N2171">
        <v>2.9999999999999997E-4</v>
      </c>
      <c r="O2171">
        <v>2.9999999999999997E-4</v>
      </c>
      <c r="P2171">
        <v>2.9999999999999997E-4</v>
      </c>
      <c r="Q2171">
        <v>4.0000000000000002E-4</v>
      </c>
      <c r="R2171">
        <v>4.0000000000000002E-4</v>
      </c>
      <c r="S2171">
        <v>4.0000000000000002E-4</v>
      </c>
      <c r="T2171">
        <v>4.0000000000000002E-4</v>
      </c>
      <c r="U2171">
        <v>4.0000000000000002E-4</v>
      </c>
      <c r="V2171">
        <v>4.0000000000000002E-4</v>
      </c>
      <c r="W2171">
        <v>4.0000000000000002E-4</v>
      </c>
      <c r="X2171">
        <v>4.0000000000000002E-4</v>
      </c>
      <c r="Y2171">
        <v>4.0000000000000002E-4</v>
      </c>
    </row>
    <row r="2172" spans="1:25" hidden="1">
      <c r="A2172" t="s">
        <v>18810</v>
      </c>
      <c r="B2172" t="s">
        <v>2042</v>
      </c>
      <c r="C2172" t="s">
        <v>1959</v>
      </c>
      <c r="D2172" t="s">
        <v>648</v>
      </c>
      <c r="E2172" t="s">
        <v>1380</v>
      </c>
      <c r="F2172" t="s">
        <v>598</v>
      </c>
      <c r="G2172" t="s">
        <v>599</v>
      </c>
      <c r="H2172" t="s">
        <v>600</v>
      </c>
      <c r="I2172" t="s">
        <v>601</v>
      </c>
      <c r="J2172">
        <v>1E-4</v>
      </c>
      <c r="K2172">
        <v>1E-4</v>
      </c>
      <c r="L2172">
        <v>1E-4</v>
      </c>
      <c r="M2172">
        <v>1E-4</v>
      </c>
      <c r="N2172">
        <v>1E-4</v>
      </c>
      <c r="O2172">
        <v>1E-4</v>
      </c>
      <c r="P2172">
        <v>1E-4</v>
      </c>
      <c r="Q2172">
        <v>1E-4</v>
      </c>
      <c r="R2172">
        <v>1E-4</v>
      </c>
      <c r="S2172">
        <v>1E-4</v>
      </c>
      <c r="T2172">
        <v>1E-4</v>
      </c>
      <c r="U2172">
        <v>1E-4</v>
      </c>
      <c r="V2172">
        <v>1E-4</v>
      </c>
      <c r="W2172">
        <v>1E-4</v>
      </c>
      <c r="X2172">
        <v>1E-4</v>
      </c>
      <c r="Y2172">
        <v>1E-4</v>
      </c>
    </row>
    <row r="2173" spans="1:25" hidden="1">
      <c r="A2173" t="s">
        <v>18810</v>
      </c>
      <c r="B2173" t="s">
        <v>2043</v>
      </c>
      <c r="C2173" t="s">
        <v>1959</v>
      </c>
      <c r="D2173" t="s">
        <v>648</v>
      </c>
      <c r="E2173" t="s">
        <v>1976</v>
      </c>
      <c r="F2173" t="s">
        <v>598</v>
      </c>
      <c r="G2173" t="s">
        <v>599</v>
      </c>
      <c r="H2173" t="s">
        <v>600</v>
      </c>
      <c r="I2173" t="s">
        <v>601</v>
      </c>
      <c r="J2173">
        <v>1.6000000000000001E-3</v>
      </c>
      <c r="K2173">
        <v>1.6000000000000001E-3</v>
      </c>
      <c r="L2173">
        <v>1.6999999999999999E-3</v>
      </c>
      <c r="M2173">
        <v>1.6999999999999999E-3</v>
      </c>
      <c r="N2173">
        <v>1.6999999999999999E-3</v>
      </c>
      <c r="O2173">
        <v>1.6999999999999999E-3</v>
      </c>
      <c r="P2173">
        <v>1.6999999999999999E-3</v>
      </c>
      <c r="Q2173">
        <v>1.8E-3</v>
      </c>
      <c r="R2173">
        <v>1.8E-3</v>
      </c>
      <c r="S2173">
        <v>1.8E-3</v>
      </c>
      <c r="T2173">
        <v>1.8E-3</v>
      </c>
      <c r="U2173">
        <v>1.9E-3</v>
      </c>
      <c r="V2173">
        <v>1.9E-3</v>
      </c>
      <c r="W2173">
        <v>1.9E-3</v>
      </c>
      <c r="X2173">
        <v>1.9E-3</v>
      </c>
      <c r="Y2173">
        <v>2E-3</v>
      </c>
    </row>
    <row r="2174" spans="1:25" hidden="1">
      <c r="A2174" t="s">
        <v>18810</v>
      </c>
      <c r="B2174" t="s">
        <v>2046</v>
      </c>
      <c r="C2174" t="s">
        <v>1959</v>
      </c>
      <c r="D2174" t="s">
        <v>648</v>
      </c>
      <c r="E2174" t="s">
        <v>2047</v>
      </c>
      <c r="F2174" t="s">
        <v>598</v>
      </c>
      <c r="G2174" t="s">
        <v>599</v>
      </c>
      <c r="H2174" t="s">
        <v>600</v>
      </c>
      <c r="I2174" t="s">
        <v>601</v>
      </c>
      <c r="J2174">
        <v>5.5999999999999999E-3</v>
      </c>
      <c r="K2174">
        <v>5.5999999999999999E-3</v>
      </c>
      <c r="L2174">
        <v>5.7000000000000002E-3</v>
      </c>
      <c r="M2174">
        <v>5.7999999999999996E-3</v>
      </c>
      <c r="N2174">
        <v>5.8999999999999999E-3</v>
      </c>
      <c r="O2174">
        <v>6.0000000000000001E-3</v>
      </c>
      <c r="P2174">
        <v>6.1000000000000004E-3</v>
      </c>
      <c r="Q2174">
        <v>6.1000000000000004E-3</v>
      </c>
      <c r="R2174">
        <v>6.1999999999999998E-3</v>
      </c>
      <c r="S2174">
        <v>6.3E-3</v>
      </c>
      <c r="T2174">
        <v>6.4000000000000003E-3</v>
      </c>
      <c r="U2174">
        <v>6.4000000000000003E-3</v>
      </c>
      <c r="V2174">
        <v>6.4999999999999997E-3</v>
      </c>
      <c r="W2174">
        <v>6.6E-3</v>
      </c>
      <c r="X2174">
        <v>6.7000000000000002E-3</v>
      </c>
      <c r="Y2174">
        <v>6.7999999999999996E-3</v>
      </c>
    </row>
    <row r="2175" spans="1:25" hidden="1">
      <c r="A2175" t="s">
        <v>18810</v>
      </c>
      <c r="B2175" t="s">
        <v>2053</v>
      </c>
      <c r="C2175" t="s">
        <v>1959</v>
      </c>
      <c r="D2175" t="s">
        <v>648</v>
      </c>
      <c r="E2175" t="s">
        <v>2022</v>
      </c>
      <c r="F2175" t="s">
        <v>598</v>
      </c>
      <c r="G2175" t="s">
        <v>599</v>
      </c>
      <c r="H2175" t="s">
        <v>600</v>
      </c>
      <c r="I2175" t="s">
        <v>601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hidden="1">
      <c r="A2176" t="s">
        <v>18810</v>
      </c>
      <c r="B2176" t="s">
        <v>2056</v>
      </c>
      <c r="C2176" t="s">
        <v>1959</v>
      </c>
      <c r="D2176" t="s">
        <v>648</v>
      </c>
      <c r="E2176" t="s">
        <v>2057</v>
      </c>
      <c r="F2176" t="s">
        <v>598</v>
      </c>
      <c r="G2176" t="s">
        <v>599</v>
      </c>
      <c r="H2176" t="s">
        <v>600</v>
      </c>
      <c r="I2176" t="s">
        <v>601</v>
      </c>
      <c r="J2176">
        <v>3.9199999999999999E-2</v>
      </c>
      <c r="K2176">
        <v>3.9800000000000002E-2</v>
      </c>
      <c r="L2176">
        <v>4.0399999999999998E-2</v>
      </c>
      <c r="M2176">
        <v>4.1000000000000002E-2</v>
      </c>
      <c r="N2176">
        <v>4.1599999999999998E-2</v>
      </c>
      <c r="O2176">
        <v>4.2200000000000001E-2</v>
      </c>
      <c r="P2176">
        <v>4.2700000000000002E-2</v>
      </c>
      <c r="Q2176">
        <v>4.3200000000000002E-2</v>
      </c>
      <c r="R2176">
        <v>4.3700000000000003E-2</v>
      </c>
      <c r="S2176">
        <v>4.4200000000000003E-2</v>
      </c>
      <c r="T2176">
        <v>4.4699999999999997E-2</v>
      </c>
      <c r="U2176">
        <v>4.53E-2</v>
      </c>
      <c r="V2176">
        <v>4.5900000000000003E-2</v>
      </c>
      <c r="W2176">
        <v>4.65E-2</v>
      </c>
      <c r="X2176">
        <v>4.7100000000000003E-2</v>
      </c>
      <c r="Y2176">
        <v>4.7699999999999999E-2</v>
      </c>
    </row>
    <row r="2177" spans="1:25" hidden="1">
      <c r="A2177" t="s">
        <v>18810</v>
      </c>
      <c r="B2177" t="s">
        <v>2058</v>
      </c>
      <c r="C2177" t="s">
        <v>1959</v>
      </c>
      <c r="D2177" t="s">
        <v>648</v>
      </c>
      <c r="E2177" t="s">
        <v>2025</v>
      </c>
      <c r="F2177" t="s">
        <v>598</v>
      </c>
      <c r="G2177" t="s">
        <v>599</v>
      </c>
      <c r="H2177" t="s">
        <v>600</v>
      </c>
      <c r="I2177" t="s">
        <v>601</v>
      </c>
      <c r="J2177">
        <v>5.0000000000000001E-4</v>
      </c>
      <c r="K2177">
        <v>5.0000000000000001E-4</v>
      </c>
      <c r="L2177">
        <v>5.0000000000000001E-4</v>
      </c>
      <c r="M2177">
        <v>5.0000000000000001E-4</v>
      </c>
      <c r="N2177">
        <v>5.0000000000000001E-4</v>
      </c>
      <c r="O2177">
        <v>5.0000000000000001E-4</v>
      </c>
      <c r="P2177">
        <v>5.0000000000000001E-4</v>
      </c>
      <c r="Q2177">
        <v>5.0000000000000001E-4</v>
      </c>
      <c r="R2177">
        <v>5.0000000000000001E-4</v>
      </c>
      <c r="S2177">
        <v>5.0000000000000001E-4</v>
      </c>
      <c r="T2177">
        <v>5.0000000000000001E-4</v>
      </c>
      <c r="U2177">
        <v>5.0000000000000001E-4</v>
      </c>
      <c r="V2177">
        <v>5.0000000000000001E-4</v>
      </c>
      <c r="W2177">
        <v>5.9999999999999995E-4</v>
      </c>
      <c r="X2177">
        <v>5.9999999999999995E-4</v>
      </c>
      <c r="Y2177">
        <v>5.9999999999999995E-4</v>
      </c>
    </row>
    <row r="2178" spans="1:25" hidden="1">
      <c r="A2178" t="s">
        <v>18810</v>
      </c>
      <c r="B2178" t="s">
        <v>2063</v>
      </c>
      <c r="C2178" t="s">
        <v>1959</v>
      </c>
      <c r="D2178" t="s">
        <v>648</v>
      </c>
      <c r="E2178" t="s">
        <v>2064</v>
      </c>
      <c r="F2178" t="s">
        <v>598</v>
      </c>
      <c r="G2178" t="s">
        <v>599</v>
      </c>
      <c r="H2178" t="s">
        <v>600</v>
      </c>
      <c r="I2178" t="s">
        <v>601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hidden="1">
      <c r="A2179" t="s">
        <v>18810</v>
      </c>
      <c r="B2179" t="s">
        <v>2067</v>
      </c>
      <c r="C2179" t="s">
        <v>1959</v>
      </c>
      <c r="D2179" t="s">
        <v>648</v>
      </c>
      <c r="E2179" t="s">
        <v>2027</v>
      </c>
      <c r="F2179" t="s">
        <v>598</v>
      </c>
      <c r="G2179" t="s">
        <v>599</v>
      </c>
      <c r="H2179" t="s">
        <v>600</v>
      </c>
      <c r="I2179" t="s">
        <v>601</v>
      </c>
      <c r="J2179">
        <v>6.9999999999999999E-4</v>
      </c>
      <c r="K2179">
        <v>6.9999999999999999E-4</v>
      </c>
      <c r="L2179">
        <v>6.9999999999999999E-4</v>
      </c>
      <c r="M2179">
        <v>6.9999999999999999E-4</v>
      </c>
      <c r="N2179">
        <v>6.9999999999999999E-4</v>
      </c>
      <c r="O2179">
        <v>8.0000000000000004E-4</v>
      </c>
      <c r="P2179">
        <v>8.0000000000000004E-4</v>
      </c>
      <c r="Q2179">
        <v>8.0000000000000004E-4</v>
      </c>
      <c r="R2179">
        <v>8.0000000000000004E-4</v>
      </c>
      <c r="S2179">
        <v>8.0000000000000004E-4</v>
      </c>
      <c r="T2179">
        <v>8.0000000000000004E-4</v>
      </c>
      <c r="U2179">
        <v>8.0000000000000004E-4</v>
      </c>
      <c r="V2179">
        <v>8.0000000000000004E-4</v>
      </c>
      <c r="W2179">
        <v>8.0000000000000004E-4</v>
      </c>
      <c r="X2179">
        <v>8.0000000000000004E-4</v>
      </c>
      <c r="Y2179">
        <v>8.0000000000000004E-4</v>
      </c>
    </row>
    <row r="2180" spans="1:25" hidden="1">
      <c r="A2180" t="s">
        <v>18810</v>
      </c>
      <c r="B2180" t="s">
        <v>2068</v>
      </c>
      <c r="C2180" t="s">
        <v>1959</v>
      </c>
      <c r="D2180" t="s">
        <v>648</v>
      </c>
      <c r="E2180" t="s">
        <v>2069</v>
      </c>
      <c r="F2180" t="s">
        <v>598</v>
      </c>
      <c r="G2180" t="s">
        <v>599</v>
      </c>
      <c r="H2180" t="s">
        <v>600</v>
      </c>
      <c r="I2180" t="s">
        <v>601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hidden="1">
      <c r="A2181" t="s">
        <v>18810</v>
      </c>
      <c r="B2181" t="s">
        <v>2070</v>
      </c>
      <c r="C2181" t="s">
        <v>1959</v>
      </c>
      <c r="D2181" t="s">
        <v>648</v>
      </c>
      <c r="E2181" t="s">
        <v>2071</v>
      </c>
      <c r="F2181" t="s">
        <v>598</v>
      </c>
      <c r="G2181" t="s">
        <v>599</v>
      </c>
      <c r="H2181" t="s">
        <v>600</v>
      </c>
      <c r="I2181" t="s">
        <v>601</v>
      </c>
      <c r="J2181">
        <v>7.4000000000000003E-3</v>
      </c>
      <c r="K2181">
        <v>7.4000000000000003E-3</v>
      </c>
      <c r="L2181">
        <v>7.7000000000000002E-3</v>
      </c>
      <c r="M2181">
        <v>7.7000000000000002E-3</v>
      </c>
      <c r="N2181">
        <v>7.7999999999999996E-3</v>
      </c>
      <c r="O2181">
        <v>7.9000000000000008E-3</v>
      </c>
      <c r="P2181">
        <v>8.0000000000000002E-3</v>
      </c>
      <c r="Q2181">
        <v>8.0000000000000002E-3</v>
      </c>
      <c r="R2181">
        <v>8.0000000000000002E-3</v>
      </c>
      <c r="S2181">
        <v>8.3000000000000001E-3</v>
      </c>
      <c r="T2181">
        <v>8.3000000000000001E-3</v>
      </c>
      <c r="U2181">
        <v>8.3999999999999995E-3</v>
      </c>
      <c r="V2181">
        <v>8.5000000000000006E-3</v>
      </c>
      <c r="W2181">
        <v>8.6E-3</v>
      </c>
      <c r="X2181">
        <v>8.6E-3</v>
      </c>
      <c r="Y2181">
        <v>8.8999999999999999E-3</v>
      </c>
    </row>
    <row r="2182" spans="1:25" hidden="1">
      <c r="A2182" t="s">
        <v>18810</v>
      </c>
      <c r="B2182" t="s">
        <v>2072</v>
      </c>
      <c r="C2182" t="s">
        <v>1959</v>
      </c>
      <c r="D2182" t="s">
        <v>648</v>
      </c>
      <c r="E2182" t="s">
        <v>1966</v>
      </c>
      <c r="F2182" t="s">
        <v>598</v>
      </c>
      <c r="G2182" t="s">
        <v>599</v>
      </c>
      <c r="H2182" t="s">
        <v>600</v>
      </c>
      <c r="I2182" t="s">
        <v>601</v>
      </c>
      <c r="J2182">
        <v>2.5000000000000001E-3</v>
      </c>
      <c r="K2182">
        <v>2.5000000000000001E-3</v>
      </c>
      <c r="L2182">
        <v>2.5999999999999999E-3</v>
      </c>
      <c r="M2182">
        <v>2.7000000000000001E-3</v>
      </c>
      <c r="N2182">
        <v>2.7000000000000001E-3</v>
      </c>
      <c r="O2182">
        <v>2.8999999999999998E-3</v>
      </c>
      <c r="P2182">
        <v>2.8999999999999998E-3</v>
      </c>
      <c r="Q2182">
        <v>2.8999999999999998E-3</v>
      </c>
      <c r="R2182">
        <v>3.0000000000000001E-3</v>
      </c>
      <c r="S2182">
        <v>3.0000000000000001E-3</v>
      </c>
      <c r="T2182">
        <v>3.0000000000000001E-3</v>
      </c>
      <c r="U2182">
        <v>3.0999999999999999E-3</v>
      </c>
      <c r="V2182">
        <v>3.0999999999999999E-3</v>
      </c>
      <c r="W2182">
        <v>3.0999999999999999E-3</v>
      </c>
      <c r="X2182">
        <v>3.2000000000000002E-3</v>
      </c>
      <c r="Y2182">
        <v>3.2000000000000002E-3</v>
      </c>
    </row>
    <row r="2183" spans="1:25" hidden="1">
      <c r="A2183" t="s">
        <v>18810</v>
      </c>
      <c r="B2183" t="s">
        <v>2077</v>
      </c>
      <c r="C2183" t="s">
        <v>2075</v>
      </c>
      <c r="D2183" t="s">
        <v>1354</v>
      </c>
      <c r="E2183" t="s">
        <v>973</v>
      </c>
      <c r="F2183" t="s">
        <v>598</v>
      </c>
      <c r="G2183" t="s">
        <v>599</v>
      </c>
      <c r="H2183" t="s">
        <v>600</v>
      </c>
      <c r="I2183" t="s">
        <v>601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hidden="1">
      <c r="A2184" t="s">
        <v>18810</v>
      </c>
      <c r="B2184" t="s">
        <v>2078</v>
      </c>
      <c r="C2184" t="s">
        <v>2075</v>
      </c>
      <c r="D2184" t="s">
        <v>2079</v>
      </c>
      <c r="E2184" t="s">
        <v>1378</v>
      </c>
      <c r="F2184" t="s">
        <v>598</v>
      </c>
      <c r="G2184" t="s">
        <v>599</v>
      </c>
      <c r="H2184" t="s">
        <v>600</v>
      </c>
      <c r="I2184" t="s">
        <v>601</v>
      </c>
      <c r="J2184">
        <v>0.31019999999999998</v>
      </c>
      <c r="K2184">
        <v>0.31480000000000002</v>
      </c>
      <c r="L2184">
        <v>0.32</v>
      </c>
      <c r="M2184">
        <v>0.32479999999999998</v>
      </c>
      <c r="N2184">
        <v>0.32940000000000003</v>
      </c>
      <c r="O2184">
        <v>0.33429999999999999</v>
      </c>
      <c r="P2184">
        <v>0.3382</v>
      </c>
      <c r="Q2184">
        <v>0.3422</v>
      </c>
      <c r="R2184">
        <v>0.34620000000000001</v>
      </c>
      <c r="S2184">
        <v>0.35</v>
      </c>
      <c r="T2184">
        <v>0.35410000000000003</v>
      </c>
      <c r="U2184">
        <v>0.35880000000000001</v>
      </c>
      <c r="V2184">
        <v>0.36349999999999999</v>
      </c>
      <c r="W2184">
        <v>0.36840000000000001</v>
      </c>
      <c r="X2184">
        <v>0.37340000000000001</v>
      </c>
      <c r="Y2184">
        <v>0.378</v>
      </c>
    </row>
    <row r="2185" spans="1:25" hidden="1">
      <c r="A2185" t="s">
        <v>18810</v>
      </c>
      <c r="B2185" t="s">
        <v>2080</v>
      </c>
      <c r="C2185" t="s">
        <v>2075</v>
      </c>
      <c r="D2185" t="s">
        <v>2079</v>
      </c>
      <c r="E2185" t="s">
        <v>2081</v>
      </c>
      <c r="F2185" t="s">
        <v>598</v>
      </c>
      <c r="G2185" t="s">
        <v>599</v>
      </c>
      <c r="H2185" t="s">
        <v>600</v>
      </c>
      <c r="I2185" t="s">
        <v>601</v>
      </c>
      <c r="J2185">
        <v>1.37E-2</v>
      </c>
      <c r="K2185">
        <v>1.37E-2</v>
      </c>
      <c r="L2185">
        <v>1.37E-2</v>
      </c>
      <c r="M2185">
        <v>1.37E-2</v>
      </c>
      <c r="N2185">
        <v>1.37E-2</v>
      </c>
      <c r="O2185">
        <v>1.37E-2</v>
      </c>
      <c r="P2185">
        <v>1.37E-2</v>
      </c>
      <c r="Q2185">
        <v>1.37E-2</v>
      </c>
      <c r="R2185">
        <v>1.37E-2</v>
      </c>
      <c r="S2185">
        <v>1.37E-2</v>
      </c>
      <c r="T2185">
        <v>1.37E-2</v>
      </c>
      <c r="U2185">
        <v>1.37E-2</v>
      </c>
      <c r="V2185">
        <v>1.37E-2</v>
      </c>
      <c r="W2185">
        <v>1.37E-2</v>
      </c>
      <c r="X2185">
        <v>1.37E-2</v>
      </c>
      <c r="Y2185">
        <v>1.37E-2</v>
      </c>
    </row>
    <row r="2186" spans="1:25" hidden="1">
      <c r="A2186" t="s">
        <v>18810</v>
      </c>
      <c r="B2186" t="s">
        <v>2082</v>
      </c>
      <c r="C2186" t="s">
        <v>2075</v>
      </c>
      <c r="D2186" t="s">
        <v>2079</v>
      </c>
      <c r="E2186" t="s">
        <v>2083</v>
      </c>
      <c r="F2186" t="s">
        <v>598</v>
      </c>
      <c r="G2186" t="s">
        <v>599</v>
      </c>
      <c r="H2186" t="s">
        <v>600</v>
      </c>
      <c r="I2186" t="s">
        <v>601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1E-4</v>
      </c>
      <c r="Q2186">
        <v>1E-4</v>
      </c>
      <c r="R2186">
        <v>1E-4</v>
      </c>
      <c r="S2186">
        <v>1E-4</v>
      </c>
      <c r="T2186">
        <v>1E-4</v>
      </c>
      <c r="U2186">
        <v>1E-4</v>
      </c>
      <c r="V2186">
        <v>1E-4</v>
      </c>
      <c r="W2186">
        <v>1E-4</v>
      </c>
      <c r="X2186">
        <v>1E-4</v>
      </c>
      <c r="Y2186">
        <v>1E-4</v>
      </c>
    </row>
    <row r="2187" spans="1:25" hidden="1">
      <c r="A2187" t="s">
        <v>18810</v>
      </c>
      <c r="B2187" t="s">
        <v>2084</v>
      </c>
      <c r="C2187" t="s">
        <v>2075</v>
      </c>
      <c r="D2187" t="s">
        <v>2079</v>
      </c>
      <c r="E2187" t="s">
        <v>2022</v>
      </c>
      <c r="F2187" t="s">
        <v>598</v>
      </c>
      <c r="G2187" t="s">
        <v>599</v>
      </c>
      <c r="H2187" t="s">
        <v>600</v>
      </c>
      <c r="I2187" t="s">
        <v>601</v>
      </c>
      <c r="J2187">
        <v>1.4200000000000001E-2</v>
      </c>
      <c r="K2187">
        <v>1.44E-2</v>
      </c>
      <c r="L2187">
        <v>1.46E-2</v>
      </c>
      <c r="M2187">
        <v>1.4800000000000001E-2</v>
      </c>
      <c r="N2187">
        <v>1.4999999999999999E-2</v>
      </c>
      <c r="O2187">
        <v>1.52E-2</v>
      </c>
      <c r="P2187">
        <v>1.54E-2</v>
      </c>
      <c r="Q2187">
        <v>1.5599999999999999E-2</v>
      </c>
      <c r="R2187">
        <v>1.5699999999999999E-2</v>
      </c>
      <c r="S2187">
        <v>1.5900000000000001E-2</v>
      </c>
      <c r="T2187">
        <v>1.61E-2</v>
      </c>
      <c r="U2187">
        <v>1.6299999999999999E-2</v>
      </c>
      <c r="V2187">
        <v>1.6500000000000001E-2</v>
      </c>
      <c r="W2187">
        <v>1.67E-2</v>
      </c>
      <c r="X2187">
        <v>1.6899999999999998E-2</v>
      </c>
      <c r="Y2187">
        <v>1.7100000000000001E-2</v>
      </c>
    </row>
    <row r="2188" spans="1:25" hidden="1">
      <c r="A2188" t="s">
        <v>18810</v>
      </c>
      <c r="B2188" t="s">
        <v>2087</v>
      </c>
      <c r="C2188" t="s">
        <v>2075</v>
      </c>
      <c r="D2188" t="s">
        <v>2079</v>
      </c>
      <c r="E2188" t="s">
        <v>2088</v>
      </c>
      <c r="F2188" t="s">
        <v>598</v>
      </c>
      <c r="G2188" t="s">
        <v>599</v>
      </c>
      <c r="H2188" t="s">
        <v>600</v>
      </c>
      <c r="I2188" t="s">
        <v>601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hidden="1">
      <c r="A2189" t="s">
        <v>18810</v>
      </c>
      <c r="B2189" t="s">
        <v>2092</v>
      </c>
      <c r="C2189" t="s">
        <v>2075</v>
      </c>
      <c r="D2189" t="s">
        <v>2090</v>
      </c>
      <c r="E2189" t="s">
        <v>1378</v>
      </c>
      <c r="F2189" t="s">
        <v>598</v>
      </c>
      <c r="G2189" t="s">
        <v>599</v>
      </c>
      <c r="H2189" t="s">
        <v>600</v>
      </c>
      <c r="I2189" t="s">
        <v>601</v>
      </c>
      <c r="J2189">
        <v>1E-3</v>
      </c>
      <c r="K2189">
        <v>1E-3</v>
      </c>
      <c r="L2189">
        <v>1.1000000000000001E-3</v>
      </c>
      <c r="M2189">
        <v>1.1000000000000001E-3</v>
      </c>
      <c r="N2189">
        <v>1.1999999999999999E-3</v>
      </c>
      <c r="O2189">
        <v>1.1999999999999999E-3</v>
      </c>
      <c r="P2189">
        <v>1.1999999999999999E-3</v>
      </c>
      <c r="Q2189">
        <v>1.1999999999999999E-3</v>
      </c>
      <c r="R2189">
        <v>1.1999999999999999E-3</v>
      </c>
      <c r="S2189">
        <v>1.1999999999999999E-3</v>
      </c>
      <c r="T2189">
        <v>1.1999999999999999E-3</v>
      </c>
      <c r="U2189">
        <v>1.1999999999999999E-3</v>
      </c>
      <c r="V2189">
        <v>1.1999999999999999E-3</v>
      </c>
      <c r="W2189">
        <v>1.1999999999999999E-3</v>
      </c>
      <c r="X2189">
        <v>1.1999999999999999E-3</v>
      </c>
      <c r="Y2189">
        <v>1.1999999999999999E-3</v>
      </c>
    </row>
    <row r="2190" spans="1:25" hidden="1">
      <c r="A2190" t="s">
        <v>18810</v>
      </c>
      <c r="B2190" t="s">
        <v>2098</v>
      </c>
      <c r="C2190" t="s">
        <v>2075</v>
      </c>
      <c r="D2190" t="s">
        <v>2090</v>
      </c>
      <c r="E2190" t="s">
        <v>2099</v>
      </c>
      <c r="F2190" t="s">
        <v>598</v>
      </c>
      <c r="G2190" t="s">
        <v>599</v>
      </c>
      <c r="H2190" t="s">
        <v>600</v>
      </c>
      <c r="I2190" t="s">
        <v>601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hidden="1">
      <c r="A2191" t="s">
        <v>18810</v>
      </c>
      <c r="B2191" t="s">
        <v>2106</v>
      </c>
      <c r="C2191" t="s">
        <v>2075</v>
      </c>
      <c r="D2191" t="s">
        <v>648</v>
      </c>
      <c r="E2191" t="s">
        <v>1378</v>
      </c>
      <c r="F2191" t="s">
        <v>598</v>
      </c>
      <c r="G2191" t="s">
        <v>599</v>
      </c>
      <c r="H2191" t="s">
        <v>600</v>
      </c>
      <c r="I2191" t="s">
        <v>601</v>
      </c>
      <c r="J2191">
        <v>6.0000000000000001E-3</v>
      </c>
      <c r="K2191">
        <v>6.1000000000000004E-3</v>
      </c>
      <c r="L2191">
        <v>6.1000000000000004E-3</v>
      </c>
      <c r="M2191">
        <v>6.1999999999999998E-3</v>
      </c>
      <c r="N2191">
        <v>6.1999999999999998E-3</v>
      </c>
      <c r="O2191">
        <v>6.4000000000000003E-3</v>
      </c>
      <c r="P2191">
        <v>6.4999999999999997E-3</v>
      </c>
      <c r="Q2191">
        <v>6.6E-3</v>
      </c>
      <c r="R2191">
        <v>6.6E-3</v>
      </c>
      <c r="S2191">
        <v>6.7000000000000002E-3</v>
      </c>
      <c r="T2191">
        <v>6.8999999999999999E-3</v>
      </c>
      <c r="U2191">
        <v>6.8999999999999999E-3</v>
      </c>
      <c r="V2191">
        <v>7.0000000000000001E-3</v>
      </c>
      <c r="W2191">
        <v>7.0000000000000001E-3</v>
      </c>
      <c r="X2191">
        <v>7.1000000000000004E-3</v>
      </c>
      <c r="Y2191">
        <v>7.1999999999999998E-3</v>
      </c>
    </row>
    <row r="2192" spans="1:25" hidden="1">
      <c r="A2192" t="s">
        <v>18810</v>
      </c>
      <c r="B2192" t="s">
        <v>2107</v>
      </c>
      <c r="C2192" t="s">
        <v>2075</v>
      </c>
      <c r="D2192" t="s">
        <v>648</v>
      </c>
      <c r="E2192" t="s">
        <v>2081</v>
      </c>
      <c r="F2192" t="s">
        <v>598</v>
      </c>
      <c r="G2192" t="s">
        <v>599</v>
      </c>
      <c r="H2192" t="s">
        <v>600</v>
      </c>
      <c r="I2192" t="s">
        <v>601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hidden="1">
      <c r="A2193" t="s">
        <v>18810</v>
      </c>
      <c r="B2193" t="s">
        <v>2109</v>
      </c>
      <c r="C2193" t="s">
        <v>2075</v>
      </c>
      <c r="D2193" t="s">
        <v>648</v>
      </c>
      <c r="E2193" t="s">
        <v>2022</v>
      </c>
      <c r="F2193" t="s">
        <v>598</v>
      </c>
      <c r="G2193" t="s">
        <v>599</v>
      </c>
      <c r="H2193" t="s">
        <v>600</v>
      </c>
      <c r="I2193" t="s">
        <v>601</v>
      </c>
      <c r="J2193">
        <v>2.3800000000000002E-2</v>
      </c>
      <c r="K2193">
        <v>2.4199999999999999E-2</v>
      </c>
      <c r="L2193">
        <v>2.4500000000000001E-2</v>
      </c>
      <c r="M2193">
        <v>2.4899999999999999E-2</v>
      </c>
      <c r="N2193">
        <v>2.52E-2</v>
      </c>
      <c r="O2193">
        <v>2.5499999999999998E-2</v>
      </c>
      <c r="P2193">
        <v>2.5899999999999999E-2</v>
      </c>
      <c r="Q2193">
        <v>2.6100000000000002E-2</v>
      </c>
      <c r="R2193">
        <v>2.63E-2</v>
      </c>
      <c r="S2193">
        <v>2.6700000000000002E-2</v>
      </c>
      <c r="T2193">
        <v>2.7E-2</v>
      </c>
      <c r="U2193">
        <v>2.7199999999999998E-2</v>
      </c>
      <c r="V2193">
        <v>2.76E-2</v>
      </c>
      <c r="W2193">
        <v>2.81E-2</v>
      </c>
      <c r="X2193">
        <v>2.8400000000000002E-2</v>
      </c>
      <c r="Y2193">
        <v>2.8799999999999999E-2</v>
      </c>
    </row>
    <row r="2194" spans="1:25" hidden="1">
      <c r="A2194" t="s">
        <v>18810</v>
      </c>
      <c r="B2194" t="s">
        <v>2110</v>
      </c>
      <c r="C2194" t="s">
        <v>2075</v>
      </c>
      <c r="D2194" t="s">
        <v>648</v>
      </c>
      <c r="E2194" t="s">
        <v>1966</v>
      </c>
      <c r="F2194" t="s">
        <v>598</v>
      </c>
      <c r="G2194" t="s">
        <v>599</v>
      </c>
      <c r="H2194" t="s">
        <v>600</v>
      </c>
      <c r="I2194" t="s">
        <v>601</v>
      </c>
      <c r="J2194">
        <v>5.28E-2</v>
      </c>
      <c r="K2194">
        <v>5.3499999999999999E-2</v>
      </c>
      <c r="L2194">
        <v>5.4399999999999997E-2</v>
      </c>
      <c r="M2194">
        <v>5.5199999999999999E-2</v>
      </c>
      <c r="N2194">
        <v>5.6000000000000001E-2</v>
      </c>
      <c r="O2194">
        <v>5.6800000000000003E-2</v>
      </c>
      <c r="P2194">
        <v>5.7500000000000002E-2</v>
      </c>
      <c r="Q2194">
        <v>5.8200000000000002E-2</v>
      </c>
      <c r="R2194">
        <v>5.8799999999999998E-2</v>
      </c>
      <c r="S2194">
        <v>5.96E-2</v>
      </c>
      <c r="T2194">
        <v>6.0299999999999999E-2</v>
      </c>
      <c r="U2194">
        <v>6.1100000000000002E-2</v>
      </c>
      <c r="V2194">
        <v>6.1800000000000001E-2</v>
      </c>
      <c r="W2194">
        <v>6.2600000000000003E-2</v>
      </c>
      <c r="X2194">
        <v>6.3600000000000004E-2</v>
      </c>
      <c r="Y2194">
        <v>6.4299999999999996E-2</v>
      </c>
    </row>
    <row r="2195" spans="1:25" hidden="1">
      <c r="A2195" t="s">
        <v>18810</v>
      </c>
      <c r="B2195" t="s">
        <v>2111</v>
      </c>
      <c r="C2195" t="s">
        <v>2075</v>
      </c>
      <c r="D2195" t="s">
        <v>648</v>
      </c>
      <c r="E2195" t="s">
        <v>2099</v>
      </c>
      <c r="F2195" t="s">
        <v>598</v>
      </c>
      <c r="G2195" t="s">
        <v>599</v>
      </c>
      <c r="H2195" t="s">
        <v>600</v>
      </c>
      <c r="I2195" t="s">
        <v>601</v>
      </c>
      <c r="J2195">
        <v>9.6600000000000005E-2</v>
      </c>
      <c r="K2195">
        <v>9.8000000000000004E-2</v>
      </c>
      <c r="L2195">
        <v>9.9400000000000002E-2</v>
      </c>
      <c r="M2195">
        <v>0.1008</v>
      </c>
      <c r="N2195">
        <v>0.1022</v>
      </c>
      <c r="O2195">
        <v>0.10349999999999999</v>
      </c>
      <c r="P2195">
        <v>0.1046</v>
      </c>
      <c r="Q2195">
        <v>0.1057</v>
      </c>
      <c r="R2195">
        <v>0.1069</v>
      </c>
      <c r="S2195">
        <v>0.108</v>
      </c>
      <c r="T2195">
        <v>0.10920000000000001</v>
      </c>
      <c r="U2195">
        <v>0.11070000000000001</v>
      </c>
      <c r="V2195">
        <v>0.112</v>
      </c>
      <c r="W2195">
        <v>0.1134</v>
      </c>
      <c r="X2195">
        <v>0.1148</v>
      </c>
      <c r="Y2195">
        <v>0.11609999999999999</v>
      </c>
    </row>
    <row r="2196" spans="1:25" hidden="1">
      <c r="A2196" t="s">
        <v>18810</v>
      </c>
      <c r="B2196" t="s">
        <v>2117</v>
      </c>
      <c r="C2196" t="s">
        <v>2116</v>
      </c>
      <c r="D2196" t="s">
        <v>2118</v>
      </c>
      <c r="E2196" t="s">
        <v>2119</v>
      </c>
      <c r="F2196" t="s">
        <v>598</v>
      </c>
      <c r="G2196" t="s">
        <v>599</v>
      </c>
      <c r="H2196" t="s">
        <v>600</v>
      </c>
      <c r="I2196" t="s">
        <v>601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hidden="1">
      <c r="A2197" t="s">
        <v>18810</v>
      </c>
      <c r="B2197" t="s">
        <v>2120</v>
      </c>
      <c r="C2197" t="s">
        <v>2116</v>
      </c>
      <c r="D2197" t="s">
        <v>2121</v>
      </c>
      <c r="E2197" t="s">
        <v>2119</v>
      </c>
      <c r="F2197" t="s">
        <v>598</v>
      </c>
      <c r="G2197" t="s">
        <v>599</v>
      </c>
      <c r="H2197" t="s">
        <v>600</v>
      </c>
      <c r="I2197" t="s">
        <v>601</v>
      </c>
      <c r="J2197">
        <v>1.7500000000000002E-2</v>
      </c>
      <c r="K2197">
        <v>1.78E-2</v>
      </c>
      <c r="L2197">
        <v>1.8100000000000002E-2</v>
      </c>
      <c r="M2197">
        <v>1.83E-2</v>
      </c>
      <c r="N2197">
        <v>1.8599999999999998E-2</v>
      </c>
      <c r="O2197">
        <v>1.89E-2</v>
      </c>
      <c r="P2197">
        <v>1.9099999999999999E-2</v>
      </c>
      <c r="Q2197">
        <v>1.9300000000000001E-2</v>
      </c>
      <c r="R2197">
        <v>1.95E-2</v>
      </c>
      <c r="S2197">
        <v>1.9800000000000002E-2</v>
      </c>
      <c r="T2197">
        <v>0.02</v>
      </c>
      <c r="U2197">
        <v>2.0299999999999999E-2</v>
      </c>
      <c r="V2197">
        <v>2.0500000000000001E-2</v>
      </c>
      <c r="W2197">
        <v>2.0799999999999999E-2</v>
      </c>
      <c r="X2197">
        <v>2.1100000000000001E-2</v>
      </c>
      <c r="Y2197">
        <v>2.1299999999999999E-2</v>
      </c>
    </row>
    <row r="2198" spans="1:25" hidden="1">
      <c r="A2198" t="s">
        <v>18810</v>
      </c>
      <c r="B2198" t="s">
        <v>2122</v>
      </c>
      <c r="C2198" t="s">
        <v>2116</v>
      </c>
      <c r="D2198" t="s">
        <v>2121</v>
      </c>
      <c r="E2198" t="s">
        <v>1910</v>
      </c>
      <c r="F2198" t="s">
        <v>598</v>
      </c>
      <c r="G2198" t="s">
        <v>599</v>
      </c>
      <c r="H2198" t="s">
        <v>600</v>
      </c>
      <c r="I2198" t="s">
        <v>601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hidden="1">
      <c r="A2199" t="s">
        <v>18810</v>
      </c>
      <c r="B2199" t="s">
        <v>2126</v>
      </c>
      <c r="C2199" t="s">
        <v>2116</v>
      </c>
      <c r="D2199" t="s">
        <v>2127</v>
      </c>
      <c r="E2199" t="s">
        <v>656</v>
      </c>
      <c r="F2199" t="s">
        <v>598</v>
      </c>
      <c r="G2199" t="s">
        <v>599</v>
      </c>
      <c r="H2199" t="s">
        <v>600</v>
      </c>
      <c r="I2199" t="s">
        <v>601</v>
      </c>
      <c r="J2199">
        <v>4.4000000000000003E-3</v>
      </c>
      <c r="K2199">
        <v>4.4999999999999997E-3</v>
      </c>
      <c r="L2199">
        <v>4.7000000000000002E-3</v>
      </c>
      <c r="M2199">
        <v>4.7000000000000002E-3</v>
      </c>
      <c r="N2199">
        <v>4.7000000000000002E-3</v>
      </c>
      <c r="O2199">
        <v>4.8999999999999998E-3</v>
      </c>
      <c r="P2199">
        <v>4.8999999999999998E-3</v>
      </c>
      <c r="Q2199">
        <v>4.8999999999999998E-3</v>
      </c>
      <c r="R2199">
        <v>5.0000000000000001E-3</v>
      </c>
      <c r="S2199">
        <v>5.0000000000000001E-3</v>
      </c>
      <c r="T2199">
        <v>5.1000000000000004E-3</v>
      </c>
      <c r="U2199">
        <v>5.1000000000000004E-3</v>
      </c>
      <c r="V2199">
        <v>5.1999999999999998E-3</v>
      </c>
      <c r="W2199">
        <v>5.1999999999999998E-3</v>
      </c>
      <c r="X2199">
        <v>5.3E-3</v>
      </c>
      <c r="Y2199">
        <v>5.4000000000000003E-3</v>
      </c>
    </row>
    <row r="2200" spans="1:25" hidden="1">
      <c r="A2200" t="s">
        <v>18810</v>
      </c>
      <c r="B2200" t="s">
        <v>2128</v>
      </c>
      <c r="C2200" t="s">
        <v>2116</v>
      </c>
      <c r="D2200" t="s">
        <v>648</v>
      </c>
      <c r="E2200" t="s">
        <v>656</v>
      </c>
      <c r="F2200" t="s">
        <v>598</v>
      </c>
      <c r="G2200" t="s">
        <v>599</v>
      </c>
      <c r="H2200" t="s">
        <v>600</v>
      </c>
      <c r="I2200" t="s">
        <v>601</v>
      </c>
      <c r="J2200">
        <v>4.2299999999999997E-2</v>
      </c>
      <c r="K2200">
        <v>4.2799999999999998E-2</v>
      </c>
      <c r="L2200">
        <v>4.36E-2</v>
      </c>
      <c r="M2200">
        <v>4.4299999999999999E-2</v>
      </c>
      <c r="N2200">
        <v>4.4900000000000002E-2</v>
      </c>
      <c r="O2200">
        <v>4.5600000000000002E-2</v>
      </c>
      <c r="P2200">
        <v>4.6199999999999998E-2</v>
      </c>
      <c r="Q2200">
        <v>4.6699999999999998E-2</v>
      </c>
      <c r="R2200">
        <v>4.7300000000000002E-2</v>
      </c>
      <c r="S2200">
        <v>4.7800000000000002E-2</v>
      </c>
      <c r="T2200">
        <v>4.8500000000000001E-2</v>
      </c>
      <c r="U2200">
        <v>4.9200000000000001E-2</v>
      </c>
      <c r="V2200">
        <v>4.99E-2</v>
      </c>
      <c r="W2200">
        <v>5.04E-2</v>
      </c>
      <c r="X2200">
        <v>5.11E-2</v>
      </c>
      <c r="Y2200">
        <v>5.1700000000000003E-2</v>
      </c>
    </row>
    <row r="2201" spans="1:25" hidden="1">
      <c r="A2201" t="s">
        <v>18810</v>
      </c>
      <c r="B2201" t="s">
        <v>2138</v>
      </c>
      <c r="C2201" t="s">
        <v>2131</v>
      </c>
      <c r="D2201" t="s">
        <v>2134</v>
      </c>
      <c r="E2201" t="s">
        <v>2139</v>
      </c>
      <c r="F2201" t="s">
        <v>598</v>
      </c>
      <c r="G2201" t="s">
        <v>599</v>
      </c>
      <c r="H2201" t="s">
        <v>600</v>
      </c>
      <c r="I2201" t="s">
        <v>601</v>
      </c>
      <c r="J2201">
        <v>3.1800000000000002E-2</v>
      </c>
      <c r="K2201">
        <v>3.2300000000000002E-2</v>
      </c>
      <c r="L2201">
        <v>3.2800000000000003E-2</v>
      </c>
      <c r="M2201">
        <v>3.3300000000000003E-2</v>
      </c>
      <c r="N2201">
        <v>3.3799999999999997E-2</v>
      </c>
      <c r="O2201">
        <v>3.4299999999999997E-2</v>
      </c>
      <c r="P2201">
        <v>3.4700000000000002E-2</v>
      </c>
      <c r="Q2201">
        <v>3.5099999999999999E-2</v>
      </c>
      <c r="R2201">
        <v>3.5499999999999997E-2</v>
      </c>
      <c r="S2201">
        <v>3.5900000000000001E-2</v>
      </c>
      <c r="T2201">
        <v>3.6299999999999999E-2</v>
      </c>
      <c r="U2201">
        <v>3.6799999999999999E-2</v>
      </c>
      <c r="V2201">
        <v>3.73E-2</v>
      </c>
      <c r="W2201">
        <v>3.78E-2</v>
      </c>
      <c r="X2201">
        <v>3.8300000000000001E-2</v>
      </c>
      <c r="Y2201">
        <v>3.8699999999999998E-2</v>
      </c>
    </row>
    <row r="2202" spans="1:25" hidden="1">
      <c r="A2202" t="s">
        <v>18810</v>
      </c>
      <c r="B2202" t="s">
        <v>2142</v>
      </c>
      <c r="C2202" t="s">
        <v>2131</v>
      </c>
      <c r="D2202" t="s">
        <v>2134</v>
      </c>
      <c r="E2202" t="s">
        <v>2057</v>
      </c>
      <c r="F2202" t="s">
        <v>598</v>
      </c>
      <c r="G2202" t="s">
        <v>599</v>
      </c>
      <c r="H2202" t="s">
        <v>600</v>
      </c>
      <c r="I2202" t="s">
        <v>601</v>
      </c>
      <c r="J2202">
        <v>4.0000000000000002E-4</v>
      </c>
      <c r="K2202">
        <v>5.0000000000000001E-4</v>
      </c>
      <c r="L2202">
        <v>5.0000000000000001E-4</v>
      </c>
      <c r="M2202">
        <v>5.0000000000000001E-4</v>
      </c>
      <c r="N2202">
        <v>5.0000000000000001E-4</v>
      </c>
      <c r="O2202">
        <v>5.0000000000000001E-4</v>
      </c>
      <c r="P2202">
        <v>5.0000000000000001E-4</v>
      </c>
      <c r="Q2202">
        <v>5.0000000000000001E-4</v>
      </c>
      <c r="R2202">
        <v>5.0000000000000001E-4</v>
      </c>
      <c r="S2202">
        <v>5.0000000000000001E-4</v>
      </c>
      <c r="T2202">
        <v>5.0000000000000001E-4</v>
      </c>
      <c r="U2202">
        <v>5.0000000000000001E-4</v>
      </c>
      <c r="V2202">
        <v>5.0000000000000001E-4</v>
      </c>
      <c r="W2202">
        <v>5.0000000000000001E-4</v>
      </c>
      <c r="X2202">
        <v>5.0000000000000001E-4</v>
      </c>
      <c r="Y2202">
        <v>5.0000000000000001E-4</v>
      </c>
    </row>
    <row r="2203" spans="1:25" hidden="1">
      <c r="A2203" t="s">
        <v>18810</v>
      </c>
      <c r="B2203" t="s">
        <v>2143</v>
      </c>
      <c r="C2203" t="s">
        <v>2144</v>
      </c>
      <c r="D2203" t="s">
        <v>1324</v>
      </c>
      <c r="E2203" t="s">
        <v>954</v>
      </c>
      <c r="F2203" t="s">
        <v>598</v>
      </c>
      <c r="G2203" t="s">
        <v>599</v>
      </c>
      <c r="H2203" t="s">
        <v>600</v>
      </c>
      <c r="I2203" t="s">
        <v>601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hidden="1">
      <c r="A2204" t="s">
        <v>18810</v>
      </c>
      <c r="B2204" t="s">
        <v>2148</v>
      </c>
      <c r="C2204" t="s">
        <v>2144</v>
      </c>
      <c r="D2204" t="s">
        <v>2147</v>
      </c>
      <c r="E2204" t="s">
        <v>1393</v>
      </c>
      <c r="F2204" t="s">
        <v>598</v>
      </c>
      <c r="G2204" t="s">
        <v>599</v>
      </c>
      <c r="H2204" t="s">
        <v>600</v>
      </c>
      <c r="I2204" t="s">
        <v>601</v>
      </c>
      <c r="J2204">
        <v>2.2000000000000001E-3</v>
      </c>
      <c r="K2204">
        <v>2.3E-3</v>
      </c>
      <c r="L2204">
        <v>2.3999999999999998E-3</v>
      </c>
      <c r="M2204">
        <v>2.3999999999999998E-3</v>
      </c>
      <c r="N2204">
        <v>2.5000000000000001E-3</v>
      </c>
      <c r="O2204">
        <v>2.5000000000000001E-3</v>
      </c>
      <c r="P2204">
        <v>2.5000000000000001E-3</v>
      </c>
      <c r="Q2204">
        <v>2.5999999999999999E-3</v>
      </c>
      <c r="R2204">
        <v>2.5999999999999999E-3</v>
      </c>
      <c r="S2204">
        <v>2.7000000000000001E-3</v>
      </c>
      <c r="T2204">
        <v>2.7000000000000001E-3</v>
      </c>
      <c r="U2204">
        <v>2.7000000000000001E-3</v>
      </c>
      <c r="V2204">
        <v>2.8E-3</v>
      </c>
      <c r="W2204">
        <v>2.8E-3</v>
      </c>
      <c r="X2204">
        <v>2.8999999999999998E-3</v>
      </c>
      <c r="Y2204">
        <v>2.8999999999999998E-3</v>
      </c>
    </row>
    <row r="2205" spans="1:25" hidden="1">
      <c r="A2205" t="s">
        <v>18810</v>
      </c>
      <c r="B2205" t="s">
        <v>2149</v>
      </c>
      <c r="C2205" t="s">
        <v>2144</v>
      </c>
      <c r="D2205" t="s">
        <v>2147</v>
      </c>
      <c r="E2205" t="s">
        <v>1004</v>
      </c>
      <c r="F2205" t="s">
        <v>598</v>
      </c>
      <c r="G2205" t="s">
        <v>599</v>
      </c>
      <c r="H2205" t="s">
        <v>600</v>
      </c>
      <c r="I2205" t="s">
        <v>601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hidden="1">
      <c r="A2206" t="s">
        <v>18810</v>
      </c>
      <c r="B2206" t="s">
        <v>2150</v>
      </c>
      <c r="C2206" t="s">
        <v>2144</v>
      </c>
      <c r="D2206" t="s">
        <v>648</v>
      </c>
      <c r="E2206" t="s">
        <v>1393</v>
      </c>
      <c r="F2206" t="s">
        <v>598</v>
      </c>
      <c r="G2206" t="s">
        <v>599</v>
      </c>
      <c r="H2206" t="s">
        <v>600</v>
      </c>
      <c r="I2206" t="s">
        <v>601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hidden="1">
      <c r="A2207" t="s">
        <v>18810</v>
      </c>
      <c r="B2207" t="s">
        <v>2151</v>
      </c>
      <c r="C2207" t="s">
        <v>2144</v>
      </c>
      <c r="D2207" t="s">
        <v>648</v>
      </c>
      <c r="E2207" t="s">
        <v>1799</v>
      </c>
      <c r="F2207" t="s">
        <v>598</v>
      </c>
      <c r="G2207" t="s">
        <v>599</v>
      </c>
      <c r="H2207" t="s">
        <v>600</v>
      </c>
      <c r="I2207" t="s">
        <v>601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hidden="1">
      <c r="A2208" t="s">
        <v>18810</v>
      </c>
      <c r="B2208" t="s">
        <v>2152</v>
      </c>
      <c r="C2208" t="s">
        <v>2144</v>
      </c>
      <c r="D2208" t="s">
        <v>648</v>
      </c>
      <c r="E2208" t="s">
        <v>1378</v>
      </c>
      <c r="F2208" t="s">
        <v>598</v>
      </c>
      <c r="G2208" t="s">
        <v>599</v>
      </c>
      <c r="H2208" t="s">
        <v>600</v>
      </c>
      <c r="I2208" t="s">
        <v>601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hidden="1">
      <c r="A2209" t="s">
        <v>18810</v>
      </c>
      <c r="B2209" t="s">
        <v>2153</v>
      </c>
      <c r="C2209" t="s">
        <v>2154</v>
      </c>
      <c r="D2209" t="s">
        <v>1392</v>
      </c>
      <c r="E2209" t="s">
        <v>1393</v>
      </c>
      <c r="F2209" t="s">
        <v>598</v>
      </c>
      <c r="G2209" t="s">
        <v>599</v>
      </c>
      <c r="H2209" t="s">
        <v>600</v>
      </c>
      <c r="I2209" t="s">
        <v>601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hidden="1">
      <c r="A2210" t="s">
        <v>18810</v>
      </c>
      <c r="B2210" t="s">
        <v>2155</v>
      </c>
      <c r="C2210" t="s">
        <v>2154</v>
      </c>
      <c r="D2210" t="s">
        <v>1316</v>
      </c>
      <c r="E2210" t="s">
        <v>1393</v>
      </c>
      <c r="F2210" t="s">
        <v>598</v>
      </c>
      <c r="G2210" t="s">
        <v>599</v>
      </c>
      <c r="H2210" t="s">
        <v>600</v>
      </c>
      <c r="I2210" t="s">
        <v>601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hidden="1">
      <c r="A2211" t="s">
        <v>18810</v>
      </c>
      <c r="B2211" t="s">
        <v>2163</v>
      </c>
      <c r="C2211" t="s">
        <v>2154</v>
      </c>
      <c r="D2211" t="s">
        <v>1324</v>
      </c>
      <c r="E2211" t="s">
        <v>954</v>
      </c>
      <c r="F2211" t="s">
        <v>598</v>
      </c>
      <c r="G2211" t="s">
        <v>599</v>
      </c>
      <c r="H2211" t="s">
        <v>600</v>
      </c>
      <c r="I2211" t="s">
        <v>601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hidden="1">
      <c r="A2212" t="s">
        <v>18810</v>
      </c>
      <c r="B2212" t="s">
        <v>2164</v>
      </c>
      <c r="C2212" t="s">
        <v>2154</v>
      </c>
      <c r="D2212" t="s">
        <v>1324</v>
      </c>
      <c r="E2212" t="s">
        <v>1020</v>
      </c>
      <c r="F2212" t="s">
        <v>598</v>
      </c>
      <c r="G2212" t="s">
        <v>599</v>
      </c>
      <c r="H2212" t="s">
        <v>600</v>
      </c>
      <c r="I2212" t="s">
        <v>601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hidden="1">
      <c r="A2213" t="s">
        <v>18810</v>
      </c>
      <c r="B2213" t="s">
        <v>2173</v>
      </c>
      <c r="C2213" t="s">
        <v>2154</v>
      </c>
      <c r="D2213" t="s">
        <v>1354</v>
      </c>
      <c r="E2213" t="s">
        <v>973</v>
      </c>
      <c r="F2213" t="s">
        <v>598</v>
      </c>
      <c r="G2213" t="s">
        <v>599</v>
      </c>
      <c r="H2213" t="s">
        <v>600</v>
      </c>
      <c r="I2213" t="s">
        <v>601</v>
      </c>
      <c r="J2213">
        <v>1E-4</v>
      </c>
      <c r="K2213">
        <v>1E-4</v>
      </c>
      <c r="L2213">
        <v>1E-4</v>
      </c>
      <c r="M2213">
        <v>1E-4</v>
      </c>
      <c r="N2213">
        <v>1E-4</v>
      </c>
      <c r="O2213">
        <v>1E-4</v>
      </c>
      <c r="P2213">
        <v>1E-4</v>
      </c>
      <c r="Q2213">
        <v>1E-4</v>
      </c>
      <c r="R2213">
        <v>1E-4</v>
      </c>
      <c r="S2213">
        <v>1E-4</v>
      </c>
      <c r="T2213">
        <v>1E-4</v>
      </c>
      <c r="U2213">
        <v>1E-4</v>
      </c>
      <c r="V2213">
        <v>1E-4</v>
      </c>
      <c r="W2213">
        <v>1E-4</v>
      </c>
      <c r="X2213">
        <v>1E-4</v>
      </c>
      <c r="Y2213">
        <v>1E-4</v>
      </c>
    </row>
    <row r="2214" spans="1:25" hidden="1">
      <c r="A2214" t="s">
        <v>18810</v>
      </c>
      <c r="B2214" t="s">
        <v>2174</v>
      </c>
      <c r="C2214" t="s">
        <v>2154</v>
      </c>
      <c r="D2214" t="s">
        <v>1354</v>
      </c>
      <c r="E2214" t="s">
        <v>927</v>
      </c>
      <c r="F2214" t="s">
        <v>598</v>
      </c>
      <c r="G2214" t="s">
        <v>599</v>
      </c>
      <c r="H2214" t="s">
        <v>600</v>
      </c>
      <c r="I2214" t="s">
        <v>601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hidden="1">
      <c r="A2215" t="s">
        <v>18810</v>
      </c>
      <c r="B2215" t="s">
        <v>2175</v>
      </c>
      <c r="C2215" t="s">
        <v>2154</v>
      </c>
      <c r="D2215" t="s">
        <v>1354</v>
      </c>
      <c r="E2215" t="s">
        <v>954</v>
      </c>
      <c r="F2215" t="s">
        <v>598</v>
      </c>
      <c r="G2215" t="s">
        <v>599</v>
      </c>
      <c r="H2215" t="s">
        <v>600</v>
      </c>
      <c r="I2215" t="s">
        <v>601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hidden="1">
      <c r="A2216" t="s">
        <v>18810</v>
      </c>
      <c r="B2216" t="s">
        <v>2176</v>
      </c>
      <c r="C2216" t="s">
        <v>2154</v>
      </c>
      <c r="D2216" t="s">
        <v>1365</v>
      </c>
      <c r="E2216" t="s">
        <v>1393</v>
      </c>
      <c r="F2216" t="s">
        <v>598</v>
      </c>
      <c r="G2216" t="s">
        <v>599</v>
      </c>
      <c r="H2216" t="s">
        <v>600</v>
      </c>
      <c r="I2216" t="s">
        <v>601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hidden="1">
      <c r="A2217" t="s">
        <v>18810</v>
      </c>
      <c r="B2217" t="s">
        <v>2177</v>
      </c>
      <c r="C2217" t="s">
        <v>2154</v>
      </c>
      <c r="D2217" t="s">
        <v>1817</v>
      </c>
      <c r="E2217" t="s">
        <v>611</v>
      </c>
      <c r="F2217" t="s">
        <v>598</v>
      </c>
      <c r="G2217" t="s">
        <v>599</v>
      </c>
      <c r="H2217" t="s">
        <v>600</v>
      </c>
      <c r="I2217" t="s">
        <v>601</v>
      </c>
      <c r="J2217">
        <v>1E-4</v>
      </c>
      <c r="K2217">
        <v>1E-4</v>
      </c>
      <c r="L2217">
        <v>1E-4</v>
      </c>
      <c r="M2217">
        <v>1E-4</v>
      </c>
      <c r="N2217">
        <v>1E-4</v>
      </c>
      <c r="O2217">
        <v>1E-4</v>
      </c>
      <c r="P2217">
        <v>1E-4</v>
      </c>
      <c r="Q2217">
        <v>1E-4</v>
      </c>
      <c r="R2217">
        <v>1E-4</v>
      </c>
      <c r="S2217">
        <v>1E-4</v>
      </c>
      <c r="T2217">
        <v>1E-4</v>
      </c>
      <c r="U2217">
        <v>1E-4</v>
      </c>
      <c r="V2217">
        <v>1E-4</v>
      </c>
      <c r="W2217">
        <v>1E-4</v>
      </c>
      <c r="X2217">
        <v>1E-4</v>
      </c>
      <c r="Y2217">
        <v>1E-4</v>
      </c>
    </row>
    <row r="2218" spans="1:25" hidden="1">
      <c r="A2218" t="s">
        <v>18810</v>
      </c>
      <c r="B2218" t="s">
        <v>2181</v>
      </c>
      <c r="C2218" t="s">
        <v>2154</v>
      </c>
      <c r="D2218" t="s">
        <v>2179</v>
      </c>
      <c r="E2218" t="s">
        <v>2139</v>
      </c>
      <c r="F2218" t="s">
        <v>598</v>
      </c>
      <c r="G2218" t="s">
        <v>599</v>
      </c>
      <c r="H2218" t="s">
        <v>600</v>
      </c>
      <c r="I2218" t="s">
        <v>601</v>
      </c>
      <c r="J2218">
        <v>6.9999999999999999E-4</v>
      </c>
      <c r="K2218">
        <v>8.0000000000000004E-4</v>
      </c>
      <c r="L2218">
        <v>8.9999999999999998E-4</v>
      </c>
      <c r="M2218">
        <v>8.9999999999999998E-4</v>
      </c>
      <c r="N2218">
        <v>8.9999999999999998E-4</v>
      </c>
      <c r="O2218">
        <v>8.9999999999999998E-4</v>
      </c>
      <c r="P2218">
        <v>8.9999999999999998E-4</v>
      </c>
      <c r="Q2218">
        <v>8.9999999999999998E-4</v>
      </c>
      <c r="R2218">
        <v>8.9999999999999998E-4</v>
      </c>
      <c r="S2218">
        <v>1E-3</v>
      </c>
      <c r="T2218">
        <v>1E-3</v>
      </c>
      <c r="U2218">
        <v>1E-3</v>
      </c>
      <c r="V2218">
        <v>1E-3</v>
      </c>
      <c r="W2218">
        <v>1E-3</v>
      </c>
      <c r="X2218">
        <v>1E-3</v>
      </c>
      <c r="Y2218">
        <v>1E-3</v>
      </c>
    </row>
    <row r="2219" spans="1:25" hidden="1">
      <c r="A2219" t="s">
        <v>18810</v>
      </c>
      <c r="B2219" t="s">
        <v>2187</v>
      </c>
      <c r="C2219" t="s">
        <v>2154</v>
      </c>
      <c r="D2219" t="s">
        <v>648</v>
      </c>
      <c r="E2219" t="s">
        <v>920</v>
      </c>
      <c r="F2219" t="s">
        <v>598</v>
      </c>
      <c r="G2219" t="s">
        <v>599</v>
      </c>
      <c r="H2219" t="s">
        <v>600</v>
      </c>
      <c r="I2219" t="s">
        <v>601</v>
      </c>
      <c r="J2219">
        <v>0.21729999999999999</v>
      </c>
      <c r="K2219">
        <v>0.22670000000000001</v>
      </c>
      <c r="L2219">
        <v>0.23680000000000001</v>
      </c>
      <c r="M2219">
        <v>0.248</v>
      </c>
      <c r="N2219">
        <v>0.25330000000000003</v>
      </c>
      <c r="O2219">
        <v>0.25879999999999997</v>
      </c>
      <c r="P2219">
        <v>0.2646</v>
      </c>
      <c r="Q2219">
        <v>0.27</v>
      </c>
      <c r="R2219">
        <v>0.27589999999999998</v>
      </c>
      <c r="S2219">
        <v>0.28170000000000001</v>
      </c>
      <c r="T2219">
        <v>0.28770000000000001</v>
      </c>
      <c r="U2219">
        <v>0.29459999999999997</v>
      </c>
      <c r="V2219">
        <v>0.30130000000000001</v>
      </c>
      <c r="W2219">
        <v>0.30840000000000001</v>
      </c>
      <c r="X2219">
        <v>0.31580000000000003</v>
      </c>
      <c r="Y2219">
        <v>0.32269999999999999</v>
      </c>
    </row>
    <row r="2220" spans="1:25" hidden="1">
      <c r="A2220" t="s">
        <v>18810</v>
      </c>
      <c r="B2220" t="s">
        <v>2188</v>
      </c>
      <c r="C2220" t="s">
        <v>2154</v>
      </c>
      <c r="D2220" t="s">
        <v>648</v>
      </c>
      <c r="E2220" t="s">
        <v>973</v>
      </c>
      <c r="F2220" t="s">
        <v>598</v>
      </c>
      <c r="G2220" t="s">
        <v>599</v>
      </c>
      <c r="H2220" t="s">
        <v>600</v>
      </c>
      <c r="I2220" t="s">
        <v>601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hidden="1">
      <c r="A2221" t="s">
        <v>18810</v>
      </c>
      <c r="B2221" t="s">
        <v>2196</v>
      </c>
      <c r="C2221" t="s">
        <v>2154</v>
      </c>
      <c r="D2221" t="s">
        <v>648</v>
      </c>
      <c r="E2221" t="s">
        <v>1393</v>
      </c>
      <c r="F2221" t="s">
        <v>598</v>
      </c>
      <c r="G2221" t="s">
        <v>599</v>
      </c>
      <c r="H2221" t="s">
        <v>600</v>
      </c>
      <c r="I2221" t="s">
        <v>601</v>
      </c>
      <c r="J2221">
        <v>1.8957999999999999</v>
      </c>
      <c r="K2221">
        <v>1.9160999999999999</v>
      </c>
      <c r="L2221">
        <v>1.9383999999999999</v>
      </c>
      <c r="M2221">
        <v>1.9609000000000001</v>
      </c>
      <c r="N2221">
        <v>1.9802</v>
      </c>
      <c r="O2221">
        <v>2.0013999999999998</v>
      </c>
      <c r="P2221">
        <v>2.0205000000000002</v>
      </c>
      <c r="Q2221">
        <v>2.0394999999999999</v>
      </c>
      <c r="R2221">
        <v>2.0590999999999999</v>
      </c>
      <c r="S2221">
        <v>2.0796999999999999</v>
      </c>
      <c r="T2221">
        <v>2.0990000000000002</v>
      </c>
      <c r="U2221">
        <v>2.1204999999999998</v>
      </c>
      <c r="V2221">
        <v>2.1421000000000001</v>
      </c>
      <c r="W2221">
        <v>2.1635</v>
      </c>
      <c r="X2221">
        <v>2.1829999999999998</v>
      </c>
      <c r="Y2221">
        <v>2.2046999999999999</v>
      </c>
    </row>
    <row r="2222" spans="1:25" hidden="1">
      <c r="A2222" t="s">
        <v>18810</v>
      </c>
      <c r="B2222" t="s">
        <v>2198</v>
      </c>
      <c r="C2222" t="s">
        <v>2154</v>
      </c>
      <c r="D2222" t="s">
        <v>648</v>
      </c>
      <c r="E2222" t="s">
        <v>2119</v>
      </c>
      <c r="F2222" t="s">
        <v>598</v>
      </c>
      <c r="G2222" t="s">
        <v>599</v>
      </c>
      <c r="H2222" t="s">
        <v>600</v>
      </c>
      <c r="I2222" t="s">
        <v>601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</row>
    <row r="2223" spans="1:25" hidden="1">
      <c r="A2223" t="s">
        <v>18810</v>
      </c>
      <c r="B2223" t="s">
        <v>2199</v>
      </c>
      <c r="C2223" t="s">
        <v>2154</v>
      </c>
      <c r="D2223" t="s">
        <v>648</v>
      </c>
      <c r="E2223" t="s">
        <v>1014</v>
      </c>
      <c r="F2223" t="s">
        <v>598</v>
      </c>
      <c r="G2223" t="s">
        <v>599</v>
      </c>
      <c r="H2223" t="s">
        <v>600</v>
      </c>
      <c r="I2223" t="s">
        <v>601</v>
      </c>
      <c r="J2223">
        <v>7.9899999999999999E-2</v>
      </c>
      <c r="K2223">
        <v>8.5099999999999995E-2</v>
      </c>
      <c r="L2223">
        <v>9.0800000000000006E-2</v>
      </c>
      <c r="M2223">
        <v>9.74E-2</v>
      </c>
      <c r="N2223">
        <v>9.9900000000000003E-2</v>
      </c>
      <c r="O2223">
        <v>0.1026</v>
      </c>
      <c r="P2223">
        <v>0.10539999999999999</v>
      </c>
      <c r="Q2223">
        <v>0.10829999999999999</v>
      </c>
      <c r="R2223">
        <v>0.1113</v>
      </c>
      <c r="S2223">
        <v>0.1143</v>
      </c>
      <c r="T2223">
        <v>0.11749999999999999</v>
      </c>
      <c r="U2223">
        <v>0.121</v>
      </c>
      <c r="V2223">
        <v>0.12470000000000001</v>
      </c>
      <c r="W2223">
        <v>0.1283</v>
      </c>
      <c r="X2223">
        <v>0.13200000000000001</v>
      </c>
      <c r="Y2223">
        <v>0.13569999999999999</v>
      </c>
    </row>
    <row r="2224" spans="1:25" hidden="1">
      <c r="A2224" t="s">
        <v>18810</v>
      </c>
      <c r="B2224" t="s">
        <v>2206</v>
      </c>
      <c r="C2224" t="s">
        <v>2154</v>
      </c>
      <c r="D2224" t="s">
        <v>648</v>
      </c>
      <c r="E2224" t="s">
        <v>1910</v>
      </c>
      <c r="F2224" t="s">
        <v>598</v>
      </c>
      <c r="G2224" t="s">
        <v>599</v>
      </c>
      <c r="H2224" t="s">
        <v>600</v>
      </c>
      <c r="I2224" t="s">
        <v>601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hidden="1">
      <c r="A2225" t="s">
        <v>18810</v>
      </c>
      <c r="B2225" t="s">
        <v>2207</v>
      </c>
      <c r="C2225" t="s">
        <v>2154</v>
      </c>
      <c r="D2225" t="s">
        <v>648</v>
      </c>
      <c r="E2225" t="s">
        <v>1378</v>
      </c>
      <c r="F2225" t="s">
        <v>598</v>
      </c>
      <c r="G2225" t="s">
        <v>599</v>
      </c>
      <c r="H2225" t="s">
        <v>600</v>
      </c>
      <c r="I2225" t="s">
        <v>601</v>
      </c>
      <c r="J2225">
        <v>1E-4</v>
      </c>
      <c r="K2225">
        <v>1E-4</v>
      </c>
      <c r="L2225">
        <v>2.0000000000000001E-4</v>
      </c>
      <c r="M2225">
        <v>2.0000000000000001E-4</v>
      </c>
      <c r="N2225">
        <v>2.0000000000000001E-4</v>
      </c>
      <c r="O2225">
        <v>2.0000000000000001E-4</v>
      </c>
      <c r="P2225">
        <v>2.0000000000000001E-4</v>
      </c>
      <c r="Q2225">
        <v>2.0000000000000001E-4</v>
      </c>
      <c r="R2225">
        <v>2.0000000000000001E-4</v>
      </c>
      <c r="S2225">
        <v>2.0000000000000001E-4</v>
      </c>
      <c r="T2225">
        <v>2.0000000000000001E-4</v>
      </c>
      <c r="U2225">
        <v>2.0000000000000001E-4</v>
      </c>
      <c r="V2225">
        <v>2.0000000000000001E-4</v>
      </c>
      <c r="W2225">
        <v>2.0000000000000001E-4</v>
      </c>
      <c r="X2225">
        <v>2.0000000000000001E-4</v>
      </c>
      <c r="Y2225">
        <v>2.0000000000000001E-4</v>
      </c>
    </row>
    <row r="2226" spans="1:25" hidden="1">
      <c r="A2226" t="s">
        <v>18810</v>
      </c>
      <c r="B2226" t="s">
        <v>2209</v>
      </c>
      <c r="C2226" t="s">
        <v>2154</v>
      </c>
      <c r="D2226" t="s">
        <v>648</v>
      </c>
      <c r="E2226" t="s">
        <v>1004</v>
      </c>
      <c r="F2226" t="s">
        <v>598</v>
      </c>
      <c r="G2226" t="s">
        <v>599</v>
      </c>
      <c r="H2226" t="s">
        <v>600</v>
      </c>
      <c r="I2226" t="s">
        <v>601</v>
      </c>
      <c r="J2226">
        <v>0.1047</v>
      </c>
      <c r="K2226">
        <v>0.10580000000000001</v>
      </c>
      <c r="L2226">
        <v>0.10680000000000001</v>
      </c>
      <c r="M2226">
        <v>0.1079</v>
      </c>
      <c r="N2226">
        <v>0.1091</v>
      </c>
      <c r="O2226">
        <v>0.1101</v>
      </c>
      <c r="P2226">
        <v>0.1113</v>
      </c>
      <c r="Q2226">
        <v>0.1124</v>
      </c>
      <c r="R2226">
        <v>0.1135</v>
      </c>
      <c r="S2226">
        <v>0.1147</v>
      </c>
      <c r="T2226">
        <v>0.1159</v>
      </c>
      <c r="U2226">
        <v>0.11700000000000001</v>
      </c>
      <c r="V2226">
        <v>0.1183</v>
      </c>
      <c r="W2226">
        <v>0.11940000000000001</v>
      </c>
      <c r="X2226">
        <v>0.1205</v>
      </c>
      <c r="Y2226">
        <v>0.1222</v>
      </c>
    </row>
    <row r="2227" spans="1:25">
      <c r="J2227">
        <f>SUBTOTAL(109,Table115[2015])</f>
        <v>0.29830000000000001</v>
      </c>
      <c r="K2227">
        <f>SUBTOTAL(109,Table115[2016])</f>
        <v>0.30159999999999992</v>
      </c>
      <c r="L2227">
        <f>SUBTOTAL(109,Table115[2017])</f>
        <v>0.3049</v>
      </c>
      <c r="M2227">
        <f>SUBTOTAL(109,Table115[2018])</f>
        <v>0.30840000000000001</v>
      </c>
      <c r="N2227">
        <f>SUBTOTAL(109,Table115[2019])</f>
        <v>0.31159999999999999</v>
      </c>
      <c r="O2227">
        <f>SUBTOTAL(109,Table115[2020])</f>
        <v>0.31439999999999996</v>
      </c>
      <c r="P2227">
        <f>SUBTOTAL(109,Table115[2021])</f>
        <v>0.31840000000000002</v>
      </c>
      <c r="Q2227">
        <f>SUBTOTAL(109,Table115[2022])</f>
        <v>0.32290000000000002</v>
      </c>
      <c r="R2227">
        <f>SUBTOTAL(109,Table115[2023])</f>
        <v>0.32739999999999997</v>
      </c>
      <c r="S2227">
        <f>SUBTOTAL(109,Table115[2024])</f>
        <v>0.33189999999999997</v>
      </c>
      <c r="T2227">
        <f>SUBTOTAL(109,Table115[2025])</f>
        <v>0.33639999999999992</v>
      </c>
      <c r="U2227">
        <f>SUBTOTAL(109,Table115[2026])</f>
        <v>0.34129999999999999</v>
      </c>
      <c r="V2227">
        <f>SUBTOTAL(109,Table115[2027])</f>
        <v>0.34569999999999995</v>
      </c>
      <c r="W2227">
        <f>SUBTOTAL(109,Table115[2028])</f>
        <v>0.3508</v>
      </c>
      <c r="X2227">
        <f>SUBTOTAL(109,Table115[2029])</f>
        <v>0.35569999999999996</v>
      </c>
      <c r="Y2227">
        <f>SUBTOTAL(109,Table115[2030])</f>
        <v>0.36019999999999996</v>
      </c>
    </row>
    <row r="2229" spans="1:25">
      <c r="A2229" t="s">
        <v>569</v>
      </c>
      <c r="B2229" t="s">
        <v>570</v>
      </c>
      <c r="C2229" t="s">
        <v>571</v>
      </c>
      <c r="D2229" t="s">
        <v>572</v>
      </c>
      <c r="E2229" t="s">
        <v>573</v>
      </c>
      <c r="F2229" t="s">
        <v>574</v>
      </c>
      <c r="G2229" t="s">
        <v>575</v>
      </c>
      <c r="H2229" t="s">
        <v>576</v>
      </c>
      <c r="I2229" t="s">
        <v>577</v>
      </c>
      <c r="J2229" t="s">
        <v>578</v>
      </c>
      <c r="K2229" t="s">
        <v>579</v>
      </c>
      <c r="L2229" t="s">
        <v>580</v>
      </c>
      <c r="M2229" t="s">
        <v>581</v>
      </c>
      <c r="N2229" t="s">
        <v>582</v>
      </c>
      <c r="O2229" t="s">
        <v>583</v>
      </c>
      <c r="P2229" t="s">
        <v>584</v>
      </c>
      <c r="Q2229" t="s">
        <v>585</v>
      </c>
      <c r="R2229" t="s">
        <v>586</v>
      </c>
      <c r="S2229" t="s">
        <v>587</v>
      </c>
      <c r="T2229" t="s">
        <v>588</v>
      </c>
      <c r="U2229" t="s">
        <v>589</v>
      </c>
      <c r="V2229" t="s">
        <v>590</v>
      </c>
      <c r="W2229" t="s">
        <v>591</v>
      </c>
      <c r="X2229" t="s">
        <v>592</v>
      </c>
      <c r="Y2229" t="s">
        <v>593</v>
      </c>
    </row>
    <row r="2230" spans="1:25">
      <c r="A2230" t="s">
        <v>18811</v>
      </c>
      <c r="B2230" t="s">
        <v>594</v>
      </c>
      <c r="C2230" t="s">
        <v>595</v>
      </c>
      <c r="D2230" t="s">
        <v>596</v>
      </c>
      <c r="E2230" t="s">
        <v>597</v>
      </c>
      <c r="F2230" t="s">
        <v>598</v>
      </c>
      <c r="G2230" t="s">
        <v>599</v>
      </c>
      <c r="H2230" t="s">
        <v>600</v>
      </c>
      <c r="I2230" t="s">
        <v>601</v>
      </c>
      <c r="J2230">
        <v>1.5E-3</v>
      </c>
      <c r="K2230">
        <v>1.6000000000000001E-3</v>
      </c>
      <c r="L2230">
        <v>1.6000000000000001E-3</v>
      </c>
      <c r="M2230">
        <v>1.6000000000000001E-3</v>
      </c>
      <c r="N2230">
        <v>1.6000000000000001E-3</v>
      </c>
      <c r="O2230">
        <v>1.4E-3</v>
      </c>
      <c r="P2230">
        <v>1.4E-3</v>
      </c>
      <c r="Q2230">
        <v>1.4E-3</v>
      </c>
      <c r="R2230">
        <v>1.4E-3</v>
      </c>
      <c r="S2230">
        <v>1.4E-3</v>
      </c>
      <c r="T2230">
        <v>1.4E-3</v>
      </c>
      <c r="U2230">
        <v>1.4E-3</v>
      </c>
      <c r="V2230">
        <v>1.4E-3</v>
      </c>
      <c r="W2230">
        <v>1.4E-3</v>
      </c>
      <c r="X2230">
        <v>1.5E-3</v>
      </c>
      <c r="Y2230">
        <v>1.5E-3</v>
      </c>
    </row>
    <row r="2231" spans="1:25">
      <c r="A2231" t="s">
        <v>18811</v>
      </c>
      <c r="B2231" t="s">
        <v>602</v>
      </c>
      <c r="C2231" t="s">
        <v>595</v>
      </c>
      <c r="D2231" t="s">
        <v>596</v>
      </c>
      <c r="E2231" t="s">
        <v>603</v>
      </c>
      <c r="F2231" t="s">
        <v>598</v>
      </c>
      <c r="G2231" t="s">
        <v>599</v>
      </c>
      <c r="H2231" t="s">
        <v>600</v>
      </c>
      <c r="I2231" t="s">
        <v>601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>
      <c r="A2232" t="s">
        <v>18811</v>
      </c>
      <c r="B2232" t="s">
        <v>604</v>
      </c>
      <c r="C2232" t="s">
        <v>595</v>
      </c>
      <c r="D2232" t="s">
        <v>596</v>
      </c>
      <c r="E2232" t="s">
        <v>605</v>
      </c>
      <c r="F2232" t="s">
        <v>598</v>
      </c>
      <c r="G2232" t="s">
        <v>599</v>
      </c>
      <c r="H2232" t="s">
        <v>600</v>
      </c>
      <c r="I2232" t="s">
        <v>601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</row>
    <row r="2233" spans="1:25">
      <c r="A2233" t="s">
        <v>18811</v>
      </c>
      <c r="B2233" t="s">
        <v>606</v>
      </c>
      <c r="C2233" t="s">
        <v>595</v>
      </c>
      <c r="D2233" t="s">
        <v>596</v>
      </c>
      <c r="E2233" t="s">
        <v>607</v>
      </c>
      <c r="F2233" t="s">
        <v>598</v>
      </c>
      <c r="G2233" t="s">
        <v>599</v>
      </c>
      <c r="H2233" t="s">
        <v>600</v>
      </c>
      <c r="I2233" t="s">
        <v>601</v>
      </c>
      <c r="J2233">
        <v>1.14E-2</v>
      </c>
      <c r="K2233">
        <v>1.1599999999999999E-2</v>
      </c>
      <c r="L2233">
        <v>1.2E-2</v>
      </c>
      <c r="M2233">
        <v>1.2E-2</v>
      </c>
      <c r="N2233">
        <v>1.2E-2</v>
      </c>
      <c r="O2233">
        <v>1.2E-2</v>
      </c>
      <c r="P2233">
        <v>1.2E-2</v>
      </c>
      <c r="Q2233">
        <v>1.2E-2</v>
      </c>
      <c r="R2233">
        <v>1.2E-2</v>
      </c>
      <c r="S2233">
        <v>1.2E-2</v>
      </c>
      <c r="T2233">
        <v>1.2E-2</v>
      </c>
      <c r="U2233">
        <v>1.2E-2</v>
      </c>
      <c r="V2233">
        <v>1.2E-2</v>
      </c>
      <c r="W2233">
        <v>1.2E-2</v>
      </c>
      <c r="X2233">
        <v>1.23E-2</v>
      </c>
      <c r="Y2233">
        <v>1.23E-2</v>
      </c>
    </row>
    <row r="2234" spans="1:25">
      <c r="A2234" t="s">
        <v>18811</v>
      </c>
      <c r="B2234" t="s">
        <v>608</v>
      </c>
      <c r="C2234" t="s">
        <v>595</v>
      </c>
      <c r="D2234" t="s">
        <v>596</v>
      </c>
      <c r="E2234" t="s">
        <v>609</v>
      </c>
      <c r="F2234" t="s">
        <v>598</v>
      </c>
      <c r="G2234" t="s">
        <v>599</v>
      </c>
      <c r="H2234" t="s">
        <v>600</v>
      </c>
      <c r="I2234" t="s">
        <v>601</v>
      </c>
      <c r="J2234">
        <v>8.8999999999999999E-3</v>
      </c>
      <c r="K2234">
        <v>9.1000000000000004E-3</v>
      </c>
      <c r="L2234">
        <v>9.4000000000000004E-3</v>
      </c>
      <c r="M2234">
        <v>9.4000000000000004E-3</v>
      </c>
      <c r="N2234">
        <v>9.4999999999999998E-3</v>
      </c>
      <c r="O2234">
        <v>9.4999999999999998E-3</v>
      </c>
      <c r="P2234">
        <v>9.4999999999999998E-3</v>
      </c>
      <c r="Q2234">
        <v>9.4999999999999998E-3</v>
      </c>
      <c r="R2234">
        <v>9.4999999999999998E-3</v>
      </c>
      <c r="S2234">
        <v>9.4999999999999998E-3</v>
      </c>
      <c r="T2234">
        <v>9.4999999999999998E-3</v>
      </c>
      <c r="U2234">
        <v>9.4999999999999998E-3</v>
      </c>
      <c r="V2234">
        <v>9.4999999999999998E-3</v>
      </c>
      <c r="W2234">
        <v>9.4999999999999998E-3</v>
      </c>
      <c r="X2234">
        <v>9.5999999999999992E-3</v>
      </c>
      <c r="Y2234">
        <v>9.5999999999999992E-3</v>
      </c>
    </row>
    <row r="2235" spans="1:25">
      <c r="A2235" t="s">
        <v>18811</v>
      </c>
      <c r="B2235" t="s">
        <v>610</v>
      </c>
      <c r="C2235" t="s">
        <v>595</v>
      </c>
      <c r="D2235" t="s">
        <v>596</v>
      </c>
      <c r="E2235" t="s">
        <v>611</v>
      </c>
      <c r="F2235" t="s">
        <v>598</v>
      </c>
      <c r="G2235" t="s">
        <v>599</v>
      </c>
      <c r="H2235" t="s">
        <v>600</v>
      </c>
      <c r="I2235" t="s">
        <v>601</v>
      </c>
      <c r="J2235">
        <v>5.0000000000000001E-4</v>
      </c>
      <c r="K2235">
        <v>5.0000000000000001E-4</v>
      </c>
      <c r="L2235">
        <v>5.0000000000000001E-4</v>
      </c>
      <c r="M2235">
        <v>5.0000000000000001E-4</v>
      </c>
      <c r="N2235">
        <v>5.0000000000000001E-4</v>
      </c>
      <c r="O2235">
        <v>5.0000000000000001E-4</v>
      </c>
      <c r="P2235">
        <v>5.0000000000000001E-4</v>
      </c>
      <c r="Q2235">
        <v>5.0000000000000001E-4</v>
      </c>
      <c r="R2235">
        <v>5.0000000000000001E-4</v>
      </c>
      <c r="S2235">
        <v>5.0000000000000001E-4</v>
      </c>
      <c r="T2235">
        <v>5.0000000000000001E-4</v>
      </c>
      <c r="U2235">
        <v>5.0000000000000001E-4</v>
      </c>
      <c r="V2235">
        <v>5.0000000000000001E-4</v>
      </c>
      <c r="W2235">
        <v>5.0000000000000001E-4</v>
      </c>
      <c r="X2235">
        <v>5.0000000000000001E-4</v>
      </c>
      <c r="Y2235">
        <v>5.0000000000000001E-4</v>
      </c>
    </row>
    <row r="2236" spans="1:25">
      <c r="A2236" t="s">
        <v>18811</v>
      </c>
      <c r="B2236" t="s">
        <v>612</v>
      </c>
      <c r="C2236" t="s">
        <v>595</v>
      </c>
      <c r="D2236" t="s">
        <v>596</v>
      </c>
      <c r="E2236" t="s">
        <v>613</v>
      </c>
      <c r="F2236" t="s">
        <v>598</v>
      </c>
      <c r="G2236" t="s">
        <v>599</v>
      </c>
      <c r="H2236" t="s">
        <v>600</v>
      </c>
      <c r="I2236" t="s">
        <v>601</v>
      </c>
      <c r="J2236">
        <v>3.2000000000000002E-3</v>
      </c>
      <c r="K2236">
        <v>3.3E-3</v>
      </c>
      <c r="L2236">
        <v>3.3E-3</v>
      </c>
      <c r="M2236">
        <v>3.3E-3</v>
      </c>
      <c r="N2236">
        <v>3.3999999999999998E-3</v>
      </c>
      <c r="O2236">
        <v>3.5000000000000001E-3</v>
      </c>
      <c r="P2236">
        <v>3.5000000000000001E-3</v>
      </c>
      <c r="Q2236">
        <v>3.5999999999999999E-3</v>
      </c>
      <c r="R2236">
        <v>3.5999999999999999E-3</v>
      </c>
      <c r="S2236">
        <v>3.7000000000000002E-3</v>
      </c>
      <c r="T2236">
        <v>3.8E-3</v>
      </c>
      <c r="U2236">
        <v>3.8999999999999998E-3</v>
      </c>
      <c r="V2236">
        <v>3.8999999999999998E-3</v>
      </c>
      <c r="W2236">
        <v>4.0000000000000001E-3</v>
      </c>
      <c r="X2236">
        <v>4.1000000000000003E-3</v>
      </c>
      <c r="Y2236">
        <v>4.1999999999999997E-3</v>
      </c>
    </row>
    <row r="2237" spans="1:25">
      <c r="A2237" t="s">
        <v>18811</v>
      </c>
      <c r="B2237" t="s">
        <v>616</v>
      </c>
      <c r="C2237" t="s">
        <v>595</v>
      </c>
      <c r="D2237" t="s">
        <v>596</v>
      </c>
      <c r="E2237" t="s">
        <v>617</v>
      </c>
      <c r="F2237" t="s">
        <v>598</v>
      </c>
      <c r="G2237" t="s">
        <v>599</v>
      </c>
      <c r="H2237" t="s">
        <v>600</v>
      </c>
      <c r="I2237" t="s">
        <v>601</v>
      </c>
      <c r="J2237">
        <v>0.46300000000000002</v>
      </c>
      <c r="K2237">
        <v>0.47860000000000003</v>
      </c>
      <c r="L2237">
        <v>0.48110000000000003</v>
      </c>
      <c r="M2237">
        <v>0.49020000000000002</v>
      </c>
      <c r="N2237">
        <v>0.496</v>
      </c>
      <c r="O2237">
        <v>0.51529999999999998</v>
      </c>
      <c r="P2237">
        <v>0.51859999999999995</v>
      </c>
      <c r="Q2237">
        <v>0.52690000000000003</v>
      </c>
      <c r="R2237">
        <v>0.53259999999999996</v>
      </c>
      <c r="S2237">
        <v>0.54649999999999999</v>
      </c>
      <c r="T2237">
        <v>0.56210000000000004</v>
      </c>
      <c r="U2237">
        <v>0.57320000000000004</v>
      </c>
      <c r="V2237">
        <v>0.57809999999999995</v>
      </c>
      <c r="W2237">
        <v>0.59040000000000004</v>
      </c>
      <c r="X2237">
        <v>0.6028</v>
      </c>
      <c r="Y2237">
        <v>0.61050000000000004</v>
      </c>
    </row>
    <row r="2238" spans="1:25">
      <c r="A2238" t="s">
        <v>18811</v>
      </c>
      <c r="B2238" t="s">
        <v>620</v>
      </c>
      <c r="C2238" t="s">
        <v>595</v>
      </c>
      <c r="D2238" t="s">
        <v>621</v>
      </c>
      <c r="E2238" t="s">
        <v>597</v>
      </c>
      <c r="F2238" t="s">
        <v>598</v>
      </c>
      <c r="G2238" t="s">
        <v>599</v>
      </c>
      <c r="H2238" t="s">
        <v>600</v>
      </c>
      <c r="I2238" t="s">
        <v>601</v>
      </c>
      <c r="J2238">
        <v>7.1999999999999998E-3</v>
      </c>
      <c r="K2238">
        <v>7.4000000000000003E-3</v>
      </c>
      <c r="L2238">
        <v>7.7000000000000002E-3</v>
      </c>
      <c r="M2238">
        <v>7.7000000000000002E-3</v>
      </c>
      <c r="N2238">
        <v>7.7000000000000002E-3</v>
      </c>
      <c r="O2238">
        <v>7.1000000000000004E-3</v>
      </c>
      <c r="P2238">
        <v>7.1000000000000004E-3</v>
      </c>
      <c r="Q2238">
        <v>7.1999999999999998E-3</v>
      </c>
      <c r="R2238">
        <v>7.1999999999999998E-3</v>
      </c>
      <c r="S2238">
        <v>7.1999999999999998E-3</v>
      </c>
      <c r="T2238">
        <v>7.1999999999999998E-3</v>
      </c>
      <c r="U2238">
        <v>7.1999999999999998E-3</v>
      </c>
      <c r="V2238">
        <v>7.1999999999999998E-3</v>
      </c>
      <c r="W2238">
        <v>7.1999999999999998E-3</v>
      </c>
      <c r="X2238">
        <v>7.1999999999999998E-3</v>
      </c>
      <c r="Y2238">
        <v>7.1999999999999998E-3</v>
      </c>
    </row>
    <row r="2239" spans="1:25">
      <c r="A2239" t="s">
        <v>18811</v>
      </c>
      <c r="B2239" t="s">
        <v>623</v>
      </c>
      <c r="C2239" t="s">
        <v>595</v>
      </c>
      <c r="D2239" t="s">
        <v>621</v>
      </c>
      <c r="E2239" t="s">
        <v>624</v>
      </c>
      <c r="F2239" t="s">
        <v>598</v>
      </c>
      <c r="G2239" t="s">
        <v>599</v>
      </c>
      <c r="H2239" t="s">
        <v>600</v>
      </c>
      <c r="I2239" t="s">
        <v>601</v>
      </c>
      <c r="J2239">
        <v>2.0000000000000001E-4</v>
      </c>
      <c r="K2239">
        <v>2.0000000000000001E-4</v>
      </c>
      <c r="L2239">
        <v>2.0000000000000001E-4</v>
      </c>
      <c r="M2239">
        <v>2.0000000000000001E-4</v>
      </c>
      <c r="N2239">
        <v>2.0000000000000001E-4</v>
      </c>
      <c r="O2239">
        <v>2.0000000000000001E-4</v>
      </c>
      <c r="P2239">
        <v>2.0000000000000001E-4</v>
      </c>
      <c r="Q2239">
        <v>2.0000000000000001E-4</v>
      </c>
      <c r="R2239">
        <v>2.0000000000000001E-4</v>
      </c>
      <c r="S2239">
        <v>2.0000000000000001E-4</v>
      </c>
      <c r="T2239">
        <v>2.0000000000000001E-4</v>
      </c>
      <c r="U2239">
        <v>2.0000000000000001E-4</v>
      </c>
      <c r="V2239">
        <v>2.0000000000000001E-4</v>
      </c>
      <c r="W2239">
        <v>2.0000000000000001E-4</v>
      </c>
      <c r="X2239">
        <v>2.0000000000000001E-4</v>
      </c>
      <c r="Y2239">
        <v>2.0000000000000001E-4</v>
      </c>
    </row>
    <row r="2240" spans="1:25">
      <c r="A2240" t="s">
        <v>18811</v>
      </c>
      <c r="B2240" t="s">
        <v>627</v>
      </c>
      <c r="C2240" t="s">
        <v>595</v>
      </c>
      <c r="D2240" t="s">
        <v>621</v>
      </c>
      <c r="E2240" t="s">
        <v>628</v>
      </c>
      <c r="F2240" t="s">
        <v>598</v>
      </c>
      <c r="G2240" t="s">
        <v>599</v>
      </c>
      <c r="H2240" t="s">
        <v>600</v>
      </c>
      <c r="I2240" t="s">
        <v>601</v>
      </c>
      <c r="J2240">
        <v>1.9E-3</v>
      </c>
      <c r="K2240">
        <v>1.9E-3</v>
      </c>
      <c r="L2240">
        <v>1.9E-3</v>
      </c>
      <c r="M2240">
        <v>1.9E-3</v>
      </c>
      <c r="N2240">
        <v>1.9E-3</v>
      </c>
      <c r="O2240">
        <v>1.9E-3</v>
      </c>
      <c r="P2240">
        <v>1.9E-3</v>
      </c>
      <c r="Q2240">
        <v>1.9E-3</v>
      </c>
      <c r="R2240">
        <v>1.9E-3</v>
      </c>
      <c r="S2240">
        <v>1.9E-3</v>
      </c>
      <c r="T2240">
        <v>1.9E-3</v>
      </c>
      <c r="U2240">
        <v>1.9E-3</v>
      </c>
      <c r="V2240">
        <v>1.9E-3</v>
      </c>
      <c r="W2240">
        <v>1.9E-3</v>
      </c>
      <c r="X2240">
        <v>1.9E-3</v>
      </c>
      <c r="Y2240">
        <v>1.9E-3</v>
      </c>
    </row>
    <row r="2241" spans="1:25">
      <c r="A2241" t="s">
        <v>18811</v>
      </c>
      <c r="B2241" t="s">
        <v>631</v>
      </c>
      <c r="C2241" t="s">
        <v>595</v>
      </c>
      <c r="D2241" t="s">
        <v>632</v>
      </c>
      <c r="E2241" t="s">
        <v>597</v>
      </c>
      <c r="F2241" t="s">
        <v>598</v>
      </c>
      <c r="G2241" t="s">
        <v>599</v>
      </c>
      <c r="H2241" t="s">
        <v>600</v>
      </c>
      <c r="I2241" t="s">
        <v>601</v>
      </c>
      <c r="J2241">
        <v>0.66800000000000004</v>
      </c>
      <c r="K2241">
        <v>0.68740000000000001</v>
      </c>
      <c r="L2241">
        <v>0.70850000000000002</v>
      </c>
      <c r="M2241">
        <v>0.70809999999999995</v>
      </c>
      <c r="N2241">
        <v>0.70730000000000004</v>
      </c>
      <c r="O2241">
        <v>0.65739999999999998</v>
      </c>
      <c r="P2241">
        <v>0.65859999999999996</v>
      </c>
      <c r="Q2241">
        <v>0.65990000000000004</v>
      </c>
      <c r="R2241">
        <v>0.66059999999999997</v>
      </c>
      <c r="S2241">
        <v>0.66200000000000003</v>
      </c>
      <c r="T2241">
        <v>0.6633</v>
      </c>
      <c r="U2241">
        <v>0.66469999999999996</v>
      </c>
      <c r="V2241">
        <v>0.66590000000000005</v>
      </c>
      <c r="W2241">
        <v>0.66659999999999997</v>
      </c>
      <c r="X2241">
        <v>0.66800000000000004</v>
      </c>
      <c r="Y2241">
        <v>0.66910000000000003</v>
      </c>
    </row>
    <row r="2242" spans="1:25">
      <c r="A2242" t="s">
        <v>18811</v>
      </c>
      <c r="B2242" t="s">
        <v>636</v>
      </c>
      <c r="C2242" t="s">
        <v>595</v>
      </c>
      <c r="D2242" t="s">
        <v>632</v>
      </c>
      <c r="E2242" t="s">
        <v>628</v>
      </c>
      <c r="F2242" t="s">
        <v>598</v>
      </c>
      <c r="G2242" t="s">
        <v>599</v>
      </c>
      <c r="H2242" t="s">
        <v>600</v>
      </c>
      <c r="I2242" t="s">
        <v>601</v>
      </c>
      <c r="J2242">
        <v>1E-4</v>
      </c>
      <c r="K2242">
        <v>1E-4</v>
      </c>
      <c r="L2242">
        <v>1E-4</v>
      </c>
      <c r="M2242">
        <v>1E-4</v>
      </c>
      <c r="N2242">
        <v>1E-4</v>
      </c>
      <c r="O2242">
        <v>1E-4</v>
      </c>
      <c r="P2242">
        <v>1E-4</v>
      </c>
      <c r="Q2242">
        <v>1E-4</v>
      </c>
      <c r="R2242">
        <v>1E-4</v>
      </c>
      <c r="S2242">
        <v>1E-4</v>
      </c>
      <c r="T2242">
        <v>1E-4</v>
      </c>
      <c r="U2242">
        <v>1E-4</v>
      </c>
      <c r="V2242">
        <v>1E-4</v>
      </c>
      <c r="W2242">
        <v>1E-4</v>
      </c>
      <c r="X2242">
        <v>1E-4</v>
      </c>
      <c r="Y2242">
        <v>1E-4</v>
      </c>
    </row>
    <row r="2243" spans="1:25">
      <c r="A2243" t="s">
        <v>18811</v>
      </c>
      <c r="B2243" t="s">
        <v>647</v>
      </c>
      <c r="C2243" t="s">
        <v>595</v>
      </c>
      <c r="D2243" t="s">
        <v>648</v>
      </c>
      <c r="E2243" t="s">
        <v>649</v>
      </c>
      <c r="F2243" t="s">
        <v>598</v>
      </c>
      <c r="G2243" t="s">
        <v>599</v>
      </c>
      <c r="H2243" t="s">
        <v>600</v>
      </c>
      <c r="I2243" t="s">
        <v>601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hidden="1">
      <c r="A2244" t="s">
        <v>18811</v>
      </c>
      <c r="B2244" t="s">
        <v>650</v>
      </c>
      <c r="C2244" t="s">
        <v>651</v>
      </c>
      <c r="D2244" t="s">
        <v>596</v>
      </c>
      <c r="E2244" t="s">
        <v>597</v>
      </c>
      <c r="F2244" t="s">
        <v>598</v>
      </c>
      <c r="G2244" t="s">
        <v>599</v>
      </c>
      <c r="H2244" t="s">
        <v>600</v>
      </c>
      <c r="I2244" t="s">
        <v>601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hidden="1">
      <c r="A2245" t="s">
        <v>18811</v>
      </c>
      <c r="B2245" t="s">
        <v>653</v>
      </c>
      <c r="C2245" t="s">
        <v>651</v>
      </c>
      <c r="D2245" t="s">
        <v>596</v>
      </c>
      <c r="E2245" t="s">
        <v>607</v>
      </c>
      <c r="F2245" t="s">
        <v>598</v>
      </c>
      <c r="G2245" t="s">
        <v>599</v>
      </c>
      <c r="H2245" t="s">
        <v>600</v>
      </c>
      <c r="I2245" t="s">
        <v>601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hidden="1">
      <c r="A2246" t="s">
        <v>18811</v>
      </c>
      <c r="B2246" t="s">
        <v>654</v>
      </c>
      <c r="C2246" t="s">
        <v>651</v>
      </c>
      <c r="D2246" t="s">
        <v>596</v>
      </c>
      <c r="E2246" t="s">
        <v>609</v>
      </c>
      <c r="F2246" t="s">
        <v>598</v>
      </c>
      <c r="G2246" t="s">
        <v>599</v>
      </c>
      <c r="H2246" t="s">
        <v>600</v>
      </c>
      <c r="I2246" t="s">
        <v>601</v>
      </c>
      <c r="J2246">
        <v>2.2000000000000001E-3</v>
      </c>
      <c r="K2246">
        <v>2.2000000000000001E-3</v>
      </c>
      <c r="L2246">
        <v>2.2000000000000001E-3</v>
      </c>
      <c r="M2246">
        <v>2.2000000000000001E-3</v>
      </c>
      <c r="N2246">
        <v>2.2000000000000001E-3</v>
      </c>
      <c r="O2246">
        <v>2.2000000000000001E-3</v>
      </c>
      <c r="P2246">
        <v>2.2000000000000001E-3</v>
      </c>
      <c r="Q2246">
        <v>2.3E-3</v>
      </c>
      <c r="R2246">
        <v>2.3999999999999998E-3</v>
      </c>
      <c r="S2246">
        <v>2.3999999999999998E-3</v>
      </c>
      <c r="T2246">
        <v>2.3999999999999998E-3</v>
      </c>
      <c r="U2246">
        <v>2.3999999999999998E-3</v>
      </c>
      <c r="V2246">
        <v>2.3999999999999998E-3</v>
      </c>
      <c r="W2246">
        <v>2.3999999999999998E-3</v>
      </c>
      <c r="X2246">
        <v>2.3999999999999998E-3</v>
      </c>
      <c r="Y2246">
        <v>2.3999999999999998E-3</v>
      </c>
    </row>
    <row r="2247" spans="1:25" hidden="1">
      <c r="A2247" t="s">
        <v>18811</v>
      </c>
      <c r="B2247" t="s">
        <v>655</v>
      </c>
      <c r="C2247" t="s">
        <v>651</v>
      </c>
      <c r="D2247" t="s">
        <v>596</v>
      </c>
      <c r="E2247" t="s">
        <v>656</v>
      </c>
      <c r="F2247" t="s">
        <v>598</v>
      </c>
      <c r="G2247" t="s">
        <v>599</v>
      </c>
      <c r="H2247" t="s">
        <v>600</v>
      </c>
      <c r="I2247" t="s">
        <v>601</v>
      </c>
      <c r="J2247">
        <v>0.2195</v>
      </c>
      <c r="K2247">
        <v>0.25109999999999999</v>
      </c>
      <c r="L2247">
        <v>0.26960000000000001</v>
      </c>
      <c r="M2247">
        <v>0.29339999999999999</v>
      </c>
      <c r="N2247">
        <v>0.31019999999999998</v>
      </c>
      <c r="O2247">
        <v>0.32240000000000002</v>
      </c>
      <c r="P2247">
        <v>0.3261</v>
      </c>
      <c r="Q2247">
        <v>0.32979999999999998</v>
      </c>
      <c r="R2247">
        <v>0.3382</v>
      </c>
      <c r="S2247">
        <v>0.34399999999999997</v>
      </c>
      <c r="T2247">
        <v>0.3498</v>
      </c>
      <c r="U2247">
        <v>0.35560000000000003</v>
      </c>
      <c r="V2247">
        <v>0.36199999999999999</v>
      </c>
      <c r="W2247">
        <v>0.3609</v>
      </c>
      <c r="X2247">
        <v>0.36349999999999999</v>
      </c>
      <c r="Y2247">
        <v>0.36249999999999999</v>
      </c>
    </row>
    <row r="2248" spans="1:25" hidden="1">
      <c r="A2248" t="s">
        <v>18811</v>
      </c>
      <c r="B2248" t="s">
        <v>657</v>
      </c>
      <c r="C2248" t="s">
        <v>651</v>
      </c>
      <c r="D2248" t="s">
        <v>621</v>
      </c>
      <c r="E2248" t="s">
        <v>597</v>
      </c>
      <c r="F2248" t="s">
        <v>598</v>
      </c>
      <c r="G2248" t="s">
        <v>599</v>
      </c>
      <c r="H2248" t="s">
        <v>600</v>
      </c>
      <c r="I2248" t="s">
        <v>601</v>
      </c>
      <c r="J2248">
        <v>1.2999999999999999E-3</v>
      </c>
      <c r="K2248">
        <v>1.2999999999999999E-3</v>
      </c>
      <c r="L2248">
        <v>1.2999999999999999E-3</v>
      </c>
      <c r="M2248">
        <v>1.2999999999999999E-3</v>
      </c>
      <c r="N2248">
        <v>1.2999999999999999E-3</v>
      </c>
      <c r="O2248">
        <v>1.2999999999999999E-3</v>
      </c>
      <c r="P2248">
        <v>1.2999999999999999E-3</v>
      </c>
      <c r="Q2248">
        <v>1.2999999999999999E-3</v>
      </c>
      <c r="R2248">
        <v>1.2999999999999999E-3</v>
      </c>
      <c r="S2248">
        <v>1.2999999999999999E-3</v>
      </c>
      <c r="T2248">
        <v>1.2999999999999999E-3</v>
      </c>
      <c r="U2248">
        <v>1.2999999999999999E-3</v>
      </c>
      <c r="V2248">
        <v>1.2999999999999999E-3</v>
      </c>
      <c r="W2248">
        <v>1.2999999999999999E-3</v>
      </c>
      <c r="X2248">
        <v>1.2999999999999999E-3</v>
      </c>
      <c r="Y2248">
        <v>1.2999999999999999E-3</v>
      </c>
    </row>
    <row r="2249" spans="1:25" hidden="1">
      <c r="A2249" t="s">
        <v>18811</v>
      </c>
      <c r="B2249" t="s">
        <v>659</v>
      </c>
      <c r="C2249" t="s">
        <v>651</v>
      </c>
      <c r="D2249" t="s">
        <v>621</v>
      </c>
      <c r="E2249" t="s">
        <v>628</v>
      </c>
      <c r="F2249" t="s">
        <v>598</v>
      </c>
      <c r="G2249" t="s">
        <v>599</v>
      </c>
      <c r="H2249" t="s">
        <v>600</v>
      </c>
      <c r="I2249" t="s">
        <v>601</v>
      </c>
      <c r="J2249">
        <v>1E-4</v>
      </c>
      <c r="K2249">
        <v>1E-4</v>
      </c>
      <c r="L2249">
        <v>1E-4</v>
      </c>
      <c r="M2249">
        <v>1E-4</v>
      </c>
      <c r="N2249">
        <v>1E-4</v>
      </c>
      <c r="O2249">
        <v>1E-4</v>
      </c>
      <c r="P2249">
        <v>1E-4</v>
      </c>
      <c r="Q2249">
        <v>1E-4</v>
      </c>
      <c r="R2249">
        <v>1E-4</v>
      </c>
      <c r="S2249">
        <v>1E-4</v>
      </c>
      <c r="T2249">
        <v>1E-4</v>
      </c>
      <c r="U2249">
        <v>1E-4</v>
      </c>
      <c r="V2249">
        <v>1E-4</v>
      </c>
      <c r="W2249">
        <v>1E-4</v>
      </c>
      <c r="X2249">
        <v>1E-4</v>
      </c>
      <c r="Y2249">
        <v>1E-4</v>
      </c>
    </row>
    <row r="2250" spans="1:25" hidden="1">
      <c r="A2250" t="s">
        <v>18811</v>
      </c>
      <c r="B2250" t="s">
        <v>660</v>
      </c>
      <c r="C2250" t="s">
        <v>651</v>
      </c>
      <c r="D2250" t="s">
        <v>632</v>
      </c>
      <c r="E2250" t="s">
        <v>597</v>
      </c>
      <c r="F2250" t="s">
        <v>598</v>
      </c>
      <c r="G2250" t="s">
        <v>599</v>
      </c>
      <c r="H2250" t="s">
        <v>600</v>
      </c>
      <c r="I2250" t="s">
        <v>601</v>
      </c>
      <c r="J2250">
        <v>0.38550000000000001</v>
      </c>
      <c r="K2250">
        <v>0.3896</v>
      </c>
      <c r="L2250">
        <v>0.39439999999999997</v>
      </c>
      <c r="M2250">
        <v>0.39839999999999998</v>
      </c>
      <c r="N2250">
        <v>0.40310000000000001</v>
      </c>
      <c r="O2250">
        <v>0.40749999999999997</v>
      </c>
      <c r="P2250">
        <v>0.41210000000000002</v>
      </c>
      <c r="Q2250">
        <v>0.41660000000000003</v>
      </c>
      <c r="R2250">
        <v>0.42130000000000001</v>
      </c>
      <c r="S2250">
        <v>0.4259</v>
      </c>
      <c r="T2250">
        <v>0.43049999999999999</v>
      </c>
      <c r="U2250">
        <v>0.43519999999999998</v>
      </c>
      <c r="V2250">
        <v>0.44030000000000002</v>
      </c>
      <c r="W2250">
        <v>0.4451</v>
      </c>
      <c r="X2250">
        <v>0.45</v>
      </c>
      <c r="Y2250">
        <v>0.45500000000000002</v>
      </c>
    </row>
    <row r="2251" spans="1:25" hidden="1">
      <c r="A2251" t="s">
        <v>18811</v>
      </c>
      <c r="B2251" t="s">
        <v>663</v>
      </c>
      <c r="C2251" t="s">
        <v>664</v>
      </c>
      <c r="D2251" t="s">
        <v>596</v>
      </c>
      <c r="E2251" t="s">
        <v>597</v>
      </c>
      <c r="F2251" t="s">
        <v>598</v>
      </c>
      <c r="G2251" t="s">
        <v>599</v>
      </c>
      <c r="H2251" t="s">
        <v>600</v>
      </c>
      <c r="I2251" t="s">
        <v>601</v>
      </c>
      <c r="J2251">
        <v>2.2100000000000002E-2</v>
      </c>
      <c r="K2251">
        <v>2.1499999999999998E-2</v>
      </c>
      <c r="L2251">
        <v>2.1100000000000001E-2</v>
      </c>
      <c r="M2251">
        <v>2.07E-2</v>
      </c>
      <c r="N2251">
        <v>2.01E-2</v>
      </c>
      <c r="O2251">
        <v>1.95E-2</v>
      </c>
      <c r="P2251">
        <v>1.9300000000000001E-2</v>
      </c>
      <c r="Q2251">
        <v>1.8800000000000001E-2</v>
      </c>
      <c r="R2251">
        <v>1.8499999999999999E-2</v>
      </c>
      <c r="S2251">
        <v>1.7899999999999999E-2</v>
      </c>
      <c r="T2251">
        <v>1.7600000000000001E-2</v>
      </c>
      <c r="U2251">
        <v>1.72E-2</v>
      </c>
      <c r="V2251">
        <v>1.67E-2</v>
      </c>
      <c r="W2251">
        <v>1.6500000000000001E-2</v>
      </c>
      <c r="X2251">
        <v>1.61E-2</v>
      </c>
      <c r="Y2251">
        <v>1.5800000000000002E-2</v>
      </c>
    </row>
    <row r="2252" spans="1:25" hidden="1">
      <c r="A2252" t="s">
        <v>18811</v>
      </c>
      <c r="B2252" t="s">
        <v>665</v>
      </c>
      <c r="C2252" t="s">
        <v>664</v>
      </c>
      <c r="D2252" t="s">
        <v>596</v>
      </c>
      <c r="E2252" t="s">
        <v>603</v>
      </c>
      <c r="F2252" t="s">
        <v>598</v>
      </c>
      <c r="G2252" t="s">
        <v>599</v>
      </c>
      <c r="H2252" t="s">
        <v>600</v>
      </c>
      <c r="I2252" t="s">
        <v>601</v>
      </c>
      <c r="J2252">
        <v>2.0000000000000001E-4</v>
      </c>
      <c r="K2252">
        <v>2.0000000000000001E-4</v>
      </c>
      <c r="L2252">
        <v>1E-4</v>
      </c>
      <c r="M2252">
        <v>1E-4</v>
      </c>
      <c r="N2252">
        <v>1E-4</v>
      </c>
      <c r="O2252">
        <v>1E-4</v>
      </c>
      <c r="P2252">
        <v>1E-4</v>
      </c>
      <c r="Q2252">
        <v>1E-4</v>
      </c>
      <c r="R2252">
        <v>1E-4</v>
      </c>
      <c r="S2252">
        <v>1E-4</v>
      </c>
      <c r="T2252">
        <v>1E-4</v>
      </c>
      <c r="U2252">
        <v>1E-4</v>
      </c>
      <c r="V2252">
        <v>1E-4</v>
      </c>
      <c r="W2252">
        <v>1E-4</v>
      </c>
      <c r="X2252">
        <v>1E-4</v>
      </c>
      <c r="Y2252">
        <v>1E-4</v>
      </c>
    </row>
    <row r="2253" spans="1:25" hidden="1">
      <c r="A2253" t="s">
        <v>18811</v>
      </c>
      <c r="B2253" t="s">
        <v>666</v>
      </c>
      <c r="C2253" t="s">
        <v>664</v>
      </c>
      <c r="D2253" t="s">
        <v>596</v>
      </c>
      <c r="E2253" t="s">
        <v>605</v>
      </c>
      <c r="F2253" t="s">
        <v>598</v>
      </c>
      <c r="G2253" t="s">
        <v>599</v>
      </c>
      <c r="H2253" t="s">
        <v>600</v>
      </c>
      <c r="I2253" t="s">
        <v>601</v>
      </c>
      <c r="J2253">
        <v>1E-4</v>
      </c>
      <c r="K2253">
        <v>1E-4</v>
      </c>
      <c r="L2253">
        <v>1E-4</v>
      </c>
      <c r="M2253">
        <v>1E-4</v>
      </c>
      <c r="N2253">
        <v>1E-4</v>
      </c>
      <c r="O2253">
        <v>1E-4</v>
      </c>
      <c r="P2253">
        <v>1E-4</v>
      </c>
      <c r="Q2253">
        <v>1E-4</v>
      </c>
      <c r="R2253">
        <v>1E-4</v>
      </c>
      <c r="S2253">
        <v>1E-4</v>
      </c>
      <c r="T2253">
        <v>1E-4</v>
      </c>
      <c r="U2253">
        <v>1E-4</v>
      </c>
      <c r="V2253">
        <v>1E-4</v>
      </c>
      <c r="W2253">
        <v>1E-4</v>
      </c>
      <c r="X2253">
        <v>1E-4</v>
      </c>
      <c r="Y2253">
        <v>1E-4</v>
      </c>
    </row>
    <row r="2254" spans="1:25" hidden="1">
      <c r="A2254" t="s">
        <v>18811</v>
      </c>
      <c r="B2254" t="s">
        <v>667</v>
      </c>
      <c r="C2254" t="s">
        <v>664</v>
      </c>
      <c r="D2254" t="s">
        <v>596</v>
      </c>
      <c r="E2254" t="s">
        <v>619</v>
      </c>
      <c r="F2254" t="s">
        <v>598</v>
      </c>
      <c r="G2254" t="s">
        <v>599</v>
      </c>
      <c r="H2254" t="s">
        <v>600</v>
      </c>
      <c r="I2254" t="s">
        <v>601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hidden="1">
      <c r="A2255" t="s">
        <v>18811</v>
      </c>
      <c r="B2255" t="s">
        <v>668</v>
      </c>
      <c r="C2255" t="s">
        <v>664</v>
      </c>
      <c r="D2255" t="s">
        <v>596</v>
      </c>
      <c r="E2255" t="s">
        <v>669</v>
      </c>
      <c r="F2255" t="s">
        <v>598</v>
      </c>
      <c r="G2255" t="s">
        <v>599</v>
      </c>
      <c r="H2255" t="s">
        <v>600</v>
      </c>
      <c r="I2255" t="s">
        <v>601</v>
      </c>
      <c r="J2255">
        <v>1E-4</v>
      </c>
      <c r="K2255">
        <v>1E-4</v>
      </c>
      <c r="L2255">
        <v>1E-4</v>
      </c>
      <c r="M2255">
        <v>1E-4</v>
      </c>
      <c r="N2255">
        <v>1E-4</v>
      </c>
      <c r="O2255">
        <v>1E-4</v>
      </c>
      <c r="P2255">
        <v>1E-4</v>
      </c>
      <c r="Q2255">
        <v>1E-4</v>
      </c>
      <c r="R2255">
        <v>1E-4</v>
      </c>
      <c r="S2255">
        <v>1E-4</v>
      </c>
      <c r="T2255">
        <v>1E-4</v>
      </c>
      <c r="U2255">
        <v>1E-4</v>
      </c>
      <c r="V2255">
        <v>1E-4</v>
      </c>
      <c r="W2255">
        <v>1E-4</v>
      </c>
      <c r="X2255">
        <v>1E-4</v>
      </c>
      <c r="Y2255">
        <v>1E-4</v>
      </c>
    </row>
    <row r="2256" spans="1:25" hidden="1">
      <c r="A2256" t="s">
        <v>18811</v>
      </c>
      <c r="B2256" t="s">
        <v>670</v>
      </c>
      <c r="C2256" t="s">
        <v>664</v>
      </c>
      <c r="D2256" t="s">
        <v>671</v>
      </c>
      <c r="E2256" t="s">
        <v>672</v>
      </c>
      <c r="F2256" t="s">
        <v>598</v>
      </c>
      <c r="G2256" t="s">
        <v>599</v>
      </c>
      <c r="H2256" t="s">
        <v>600</v>
      </c>
      <c r="I2256" t="s">
        <v>601</v>
      </c>
      <c r="J2256">
        <v>5.9999999999999995E-4</v>
      </c>
      <c r="K2256">
        <v>5.9999999999999995E-4</v>
      </c>
      <c r="L2256">
        <v>5.9999999999999995E-4</v>
      </c>
      <c r="M2256">
        <v>5.0000000000000001E-4</v>
      </c>
      <c r="N2256">
        <v>5.0000000000000001E-4</v>
      </c>
      <c r="O2256">
        <v>5.0000000000000001E-4</v>
      </c>
      <c r="P2256">
        <v>5.0000000000000001E-4</v>
      </c>
      <c r="Q2256">
        <v>5.0000000000000001E-4</v>
      </c>
      <c r="R2256">
        <v>4.0000000000000002E-4</v>
      </c>
      <c r="S2256">
        <v>4.0000000000000002E-4</v>
      </c>
      <c r="T2256">
        <v>4.0000000000000002E-4</v>
      </c>
      <c r="U2256">
        <v>4.0000000000000002E-4</v>
      </c>
      <c r="V2256">
        <v>4.0000000000000002E-4</v>
      </c>
      <c r="W2256">
        <v>4.0000000000000002E-4</v>
      </c>
      <c r="X2256">
        <v>4.0000000000000002E-4</v>
      </c>
      <c r="Y2256">
        <v>4.0000000000000002E-4</v>
      </c>
    </row>
    <row r="2257" spans="1:25" hidden="1">
      <c r="A2257" t="s">
        <v>18811</v>
      </c>
      <c r="B2257" t="s">
        <v>673</v>
      </c>
      <c r="C2257" t="s">
        <v>664</v>
      </c>
      <c r="D2257" t="s">
        <v>671</v>
      </c>
      <c r="E2257" t="s">
        <v>597</v>
      </c>
      <c r="F2257" t="s">
        <v>598</v>
      </c>
      <c r="G2257" t="s">
        <v>599</v>
      </c>
      <c r="H2257" t="s">
        <v>600</v>
      </c>
      <c r="I2257" t="s">
        <v>601</v>
      </c>
      <c r="J2257">
        <v>5.4000000000000003E-3</v>
      </c>
      <c r="K2257">
        <v>5.3E-3</v>
      </c>
      <c r="L2257">
        <v>5.1999999999999998E-3</v>
      </c>
      <c r="M2257">
        <v>5.0000000000000001E-3</v>
      </c>
      <c r="N2257">
        <v>4.8999999999999998E-3</v>
      </c>
      <c r="O2257">
        <v>4.7999999999999996E-3</v>
      </c>
      <c r="P2257">
        <v>4.7000000000000002E-3</v>
      </c>
      <c r="Q2257">
        <v>4.7000000000000002E-3</v>
      </c>
      <c r="R2257">
        <v>4.5999999999999999E-3</v>
      </c>
      <c r="S2257">
        <v>4.4999999999999997E-3</v>
      </c>
      <c r="T2257">
        <v>4.3E-3</v>
      </c>
      <c r="U2257">
        <v>4.1999999999999997E-3</v>
      </c>
      <c r="V2257">
        <v>4.1000000000000003E-3</v>
      </c>
      <c r="W2257">
        <v>4.0000000000000001E-3</v>
      </c>
      <c r="X2257">
        <v>3.8999999999999998E-3</v>
      </c>
      <c r="Y2257">
        <v>3.8999999999999998E-3</v>
      </c>
    </row>
    <row r="2258" spans="1:25" hidden="1">
      <c r="A2258" t="s">
        <v>18811</v>
      </c>
      <c r="B2258" t="s">
        <v>674</v>
      </c>
      <c r="C2258" t="s">
        <v>664</v>
      </c>
      <c r="D2258" t="s">
        <v>671</v>
      </c>
      <c r="E2258" t="s">
        <v>605</v>
      </c>
      <c r="F2258" t="s">
        <v>598</v>
      </c>
      <c r="G2258" t="s">
        <v>599</v>
      </c>
      <c r="H2258" t="s">
        <v>600</v>
      </c>
      <c r="I2258" t="s">
        <v>601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</row>
    <row r="2259" spans="1:25" hidden="1">
      <c r="A2259" t="s">
        <v>18811</v>
      </c>
      <c r="B2259" t="s">
        <v>675</v>
      </c>
      <c r="C2259" t="s">
        <v>664</v>
      </c>
      <c r="D2259" t="s">
        <v>671</v>
      </c>
      <c r="E2259" t="s">
        <v>676</v>
      </c>
      <c r="F2259" t="s">
        <v>598</v>
      </c>
      <c r="G2259" t="s">
        <v>599</v>
      </c>
      <c r="H2259" t="s">
        <v>600</v>
      </c>
      <c r="I2259" t="s">
        <v>601</v>
      </c>
      <c r="J2259">
        <v>1E-4</v>
      </c>
      <c r="K2259">
        <v>1E-4</v>
      </c>
      <c r="L2259">
        <v>1E-4</v>
      </c>
      <c r="M2259">
        <v>1E-4</v>
      </c>
      <c r="N2259">
        <v>1E-4</v>
      </c>
      <c r="O2259">
        <v>1E-4</v>
      </c>
      <c r="P2259">
        <v>1E-4</v>
      </c>
      <c r="Q2259">
        <v>1E-4</v>
      </c>
      <c r="R2259">
        <v>1E-4</v>
      </c>
      <c r="S2259">
        <v>1E-4</v>
      </c>
      <c r="T2259">
        <v>1E-4</v>
      </c>
      <c r="U2259">
        <v>1E-4</v>
      </c>
      <c r="V2259">
        <v>1E-4</v>
      </c>
      <c r="W2259">
        <v>1E-4</v>
      </c>
      <c r="X2259">
        <v>1E-4</v>
      </c>
      <c r="Y2259">
        <v>1E-4</v>
      </c>
    </row>
    <row r="2260" spans="1:25" hidden="1">
      <c r="A2260" t="s">
        <v>18811</v>
      </c>
      <c r="B2260" t="s">
        <v>677</v>
      </c>
      <c r="C2260" t="s">
        <v>664</v>
      </c>
      <c r="D2260" t="s">
        <v>671</v>
      </c>
      <c r="E2260" t="s">
        <v>678</v>
      </c>
      <c r="F2260" t="s">
        <v>598</v>
      </c>
      <c r="G2260" t="s">
        <v>599</v>
      </c>
      <c r="H2260" t="s">
        <v>600</v>
      </c>
      <c r="I2260" t="s">
        <v>601</v>
      </c>
      <c r="J2260">
        <v>5.0000000000000001E-4</v>
      </c>
      <c r="K2260">
        <v>5.0000000000000001E-4</v>
      </c>
      <c r="L2260">
        <v>5.0000000000000001E-4</v>
      </c>
      <c r="M2260">
        <v>5.0000000000000001E-4</v>
      </c>
      <c r="N2260">
        <v>5.0000000000000001E-4</v>
      </c>
      <c r="O2260">
        <v>5.0000000000000001E-4</v>
      </c>
      <c r="P2260">
        <v>4.0000000000000002E-4</v>
      </c>
      <c r="Q2260">
        <v>4.0000000000000002E-4</v>
      </c>
      <c r="R2260">
        <v>4.0000000000000002E-4</v>
      </c>
      <c r="S2260">
        <v>4.0000000000000002E-4</v>
      </c>
      <c r="T2260">
        <v>4.0000000000000002E-4</v>
      </c>
      <c r="U2260">
        <v>4.0000000000000002E-4</v>
      </c>
      <c r="V2260">
        <v>4.0000000000000002E-4</v>
      </c>
      <c r="W2260">
        <v>4.0000000000000002E-4</v>
      </c>
      <c r="X2260">
        <v>2.9999999999999997E-4</v>
      </c>
      <c r="Y2260">
        <v>2.9999999999999997E-4</v>
      </c>
    </row>
    <row r="2261" spans="1:25" hidden="1">
      <c r="A2261" t="s">
        <v>18811</v>
      </c>
      <c r="B2261" t="s">
        <v>679</v>
      </c>
      <c r="C2261" t="s">
        <v>664</v>
      </c>
      <c r="D2261" t="s">
        <v>680</v>
      </c>
      <c r="E2261" t="s">
        <v>597</v>
      </c>
      <c r="F2261" t="s">
        <v>598</v>
      </c>
      <c r="G2261" t="s">
        <v>599</v>
      </c>
      <c r="H2261" t="s">
        <v>600</v>
      </c>
      <c r="I2261" t="s">
        <v>601</v>
      </c>
      <c r="J2261">
        <v>1.4066000000000001</v>
      </c>
      <c r="K2261">
        <v>1.3756999999999999</v>
      </c>
      <c r="L2261">
        <v>1.3453999999999999</v>
      </c>
      <c r="M2261">
        <v>1.3157000000000001</v>
      </c>
      <c r="N2261">
        <v>1.2867999999999999</v>
      </c>
      <c r="O2261">
        <v>1.2585</v>
      </c>
      <c r="P2261">
        <v>1.2309000000000001</v>
      </c>
      <c r="Q2261">
        <v>1.2038</v>
      </c>
      <c r="R2261">
        <v>1.1772</v>
      </c>
      <c r="S2261">
        <v>1.1514</v>
      </c>
      <c r="T2261">
        <v>1.1259999999999999</v>
      </c>
      <c r="U2261">
        <v>1.1012999999999999</v>
      </c>
      <c r="V2261">
        <v>1.077</v>
      </c>
      <c r="W2261">
        <v>1.0533999999999999</v>
      </c>
      <c r="X2261">
        <v>1.0302</v>
      </c>
      <c r="Y2261">
        <v>1.0076000000000001</v>
      </c>
    </row>
    <row r="2262" spans="1:25" hidden="1">
      <c r="A2262" t="s">
        <v>18811</v>
      </c>
      <c r="B2262" t="s">
        <v>681</v>
      </c>
      <c r="C2262" t="s">
        <v>664</v>
      </c>
      <c r="D2262" t="s">
        <v>680</v>
      </c>
      <c r="E2262" t="s">
        <v>605</v>
      </c>
      <c r="F2262" t="s">
        <v>598</v>
      </c>
      <c r="G2262" t="s">
        <v>599</v>
      </c>
      <c r="H2262" t="s">
        <v>600</v>
      </c>
      <c r="I2262" t="s">
        <v>601</v>
      </c>
      <c r="J2262">
        <v>0.1424</v>
      </c>
      <c r="K2262">
        <v>0.13930000000000001</v>
      </c>
      <c r="L2262">
        <v>0.13619999999999999</v>
      </c>
      <c r="M2262">
        <v>0.13320000000000001</v>
      </c>
      <c r="N2262">
        <v>0.1303</v>
      </c>
      <c r="O2262">
        <v>0.1275</v>
      </c>
      <c r="P2262">
        <v>0.1246</v>
      </c>
      <c r="Q2262">
        <v>0.12189999999999999</v>
      </c>
      <c r="R2262">
        <v>0.1192</v>
      </c>
      <c r="S2262">
        <v>0.1166</v>
      </c>
      <c r="T2262">
        <v>0.114</v>
      </c>
      <c r="U2262">
        <v>0.1115</v>
      </c>
      <c r="V2262">
        <v>0.109</v>
      </c>
      <c r="W2262">
        <v>0.1067</v>
      </c>
      <c r="X2262">
        <v>0.1043</v>
      </c>
      <c r="Y2262">
        <v>0.1021</v>
      </c>
    </row>
    <row r="2263" spans="1:25" hidden="1">
      <c r="A2263" t="s">
        <v>18811</v>
      </c>
      <c r="B2263" t="s">
        <v>684</v>
      </c>
      <c r="C2263" t="s">
        <v>664</v>
      </c>
      <c r="D2263" t="s">
        <v>621</v>
      </c>
      <c r="E2263" t="s">
        <v>597</v>
      </c>
      <c r="F2263" t="s">
        <v>598</v>
      </c>
      <c r="G2263" t="s">
        <v>599</v>
      </c>
      <c r="H2263" t="s">
        <v>600</v>
      </c>
      <c r="I2263" t="s">
        <v>601</v>
      </c>
      <c r="J2263">
        <v>1.35E-2</v>
      </c>
      <c r="K2263">
        <v>1.3299999999999999E-2</v>
      </c>
      <c r="L2263">
        <v>1.3100000000000001E-2</v>
      </c>
      <c r="M2263">
        <v>1.2800000000000001E-2</v>
      </c>
      <c r="N2263">
        <v>1.2500000000000001E-2</v>
      </c>
      <c r="O2263">
        <v>1.2200000000000001E-2</v>
      </c>
      <c r="P2263">
        <v>1.18E-2</v>
      </c>
      <c r="Q2263">
        <v>1.1599999999999999E-2</v>
      </c>
      <c r="R2263">
        <v>1.14E-2</v>
      </c>
      <c r="S2263">
        <v>1.11E-2</v>
      </c>
      <c r="T2263">
        <v>1.09E-2</v>
      </c>
      <c r="U2263">
        <v>1.0699999999999999E-2</v>
      </c>
      <c r="V2263">
        <v>1.04E-2</v>
      </c>
      <c r="W2263">
        <v>1.01E-2</v>
      </c>
      <c r="X2263">
        <v>9.9000000000000008E-3</v>
      </c>
      <c r="Y2263">
        <v>9.7999999999999997E-3</v>
      </c>
    </row>
    <row r="2264" spans="1:25" hidden="1">
      <c r="A2264" t="s">
        <v>18811</v>
      </c>
      <c r="B2264" t="s">
        <v>685</v>
      </c>
      <c r="C2264" t="s">
        <v>664</v>
      </c>
      <c r="D2264" t="s">
        <v>621</v>
      </c>
      <c r="E2264" t="s">
        <v>603</v>
      </c>
      <c r="F2264" t="s">
        <v>598</v>
      </c>
      <c r="G2264" t="s">
        <v>599</v>
      </c>
      <c r="H2264" t="s">
        <v>600</v>
      </c>
      <c r="I2264" t="s">
        <v>601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</row>
    <row r="2265" spans="1:25" hidden="1">
      <c r="A2265" t="s">
        <v>18811</v>
      </c>
      <c r="B2265" t="s">
        <v>686</v>
      </c>
      <c r="C2265" t="s">
        <v>664</v>
      </c>
      <c r="D2265" t="s">
        <v>621</v>
      </c>
      <c r="E2265" t="s">
        <v>605</v>
      </c>
      <c r="F2265" t="s">
        <v>598</v>
      </c>
      <c r="G2265" t="s">
        <v>599</v>
      </c>
      <c r="H2265" t="s">
        <v>600</v>
      </c>
      <c r="I2265" t="s">
        <v>601</v>
      </c>
      <c r="J2265">
        <v>6.8999999999999999E-3</v>
      </c>
      <c r="K2265">
        <v>6.7999999999999996E-3</v>
      </c>
      <c r="L2265">
        <v>6.6E-3</v>
      </c>
      <c r="M2265">
        <v>6.4999999999999997E-3</v>
      </c>
      <c r="N2265">
        <v>6.3E-3</v>
      </c>
      <c r="O2265">
        <v>6.1999999999999998E-3</v>
      </c>
      <c r="P2265">
        <v>6.0000000000000001E-3</v>
      </c>
      <c r="Q2265">
        <v>5.8999999999999999E-3</v>
      </c>
      <c r="R2265">
        <v>5.7999999999999996E-3</v>
      </c>
      <c r="S2265">
        <v>5.7000000000000002E-3</v>
      </c>
      <c r="T2265">
        <v>5.4999999999999997E-3</v>
      </c>
      <c r="U2265">
        <v>5.4000000000000003E-3</v>
      </c>
      <c r="V2265">
        <v>5.3E-3</v>
      </c>
      <c r="W2265">
        <v>5.1999999999999998E-3</v>
      </c>
      <c r="X2265">
        <v>5.1000000000000004E-3</v>
      </c>
      <c r="Y2265">
        <v>4.8999999999999998E-3</v>
      </c>
    </row>
    <row r="2266" spans="1:25" hidden="1">
      <c r="A2266" t="s">
        <v>18811</v>
      </c>
      <c r="B2266" t="s">
        <v>689</v>
      </c>
      <c r="C2266" t="s">
        <v>664</v>
      </c>
      <c r="D2266" t="s">
        <v>621</v>
      </c>
      <c r="E2266" t="s">
        <v>626</v>
      </c>
      <c r="F2266" t="s">
        <v>598</v>
      </c>
      <c r="G2266" t="s">
        <v>599</v>
      </c>
      <c r="H2266" t="s">
        <v>600</v>
      </c>
      <c r="I2266" t="s">
        <v>601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</row>
    <row r="2267" spans="1:25" hidden="1">
      <c r="A2267" t="s">
        <v>18811</v>
      </c>
      <c r="B2267" t="s">
        <v>690</v>
      </c>
      <c r="C2267" t="s">
        <v>664</v>
      </c>
      <c r="D2267" t="s">
        <v>621</v>
      </c>
      <c r="E2267" t="s">
        <v>628</v>
      </c>
      <c r="F2267" t="s">
        <v>598</v>
      </c>
      <c r="G2267" t="s">
        <v>599</v>
      </c>
      <c r="H2267" t="s">
        <v>600</v>
      </c>
      <c r="I2267" t="s">
        <v>601</v>
      </c>
      <c r="J2267">
        <v>2.9999999999999997E-4</v>
      </c>
      <c r="K2267">
        <v>2.9999999999999997E-4</v>
      </c>
      <c r="L2267">
        <v>2.9999999999999997E-4</v>
      </c>
      <c r="M2267">
        <v>2.0000000000000001E-4</v>
      </c>
      <c r="N2267">
        <v>2.0000000000000001E-4</v>
      </c>
      <c r="O2267">
        <v>2.0000000000000001E-4</v>
      </c>
      <c r="P2267">
        <v>2.0000000000000001E-4</v>
      </c>
      <c r="Q2267">
        <v>2.0000000000000001E-4</v>
      </c>
      <c r="R2267">
        <v>2.0000000000000001E-4</v>
      </c>
      <c r="S2267">
        <v>2.0000000000000001E-4</v>
      </c>
      <c r="T2267">
        <v>2.0000000000000001E-4</v>
      </c>
      <c r="U2267">
        <v>2.0000000000000001E-4</v>
      </c>
      <c r="V2267">
        <v>2.0000000000000001E-4</v>
      </c>
      <c r="W2267">
        <v>2.0000000000000001E-4</v>
      </c>
      <c r="X2267">
        <v>2.0000000000000001E-4</v>
      </c>
      <c r="Y2267">
        <v>2.0000000000000001E-4</v>
      </c>
    </row>
    <row r="2268" spans="1:25" hidden="1">
      <c r="A2268" t="s">
        <v>18811</v>
      </c>
      <c r="B2268" t="s">
        <v>693</v>
      </c>
      <c r="C2268" t="s">
        <v>664</v>
      </c>
      <c r="D2268" t="s">
        <v>621</v>
      </c>
      <c r="E2268" t="s">
        <v>678</v>
      </c>
      <c r="F2268" t="s">
        <v>598</v>
      </c>
      <c r="G2268" t="s">
        <v>599</v>
      </c>
      <c r="H2268" t="s">
        <v>600</v>
      </c>
      <c r="I2268" t="s">
        <v>601</v>
      </c>
      <c r="J2268">
        <v>3.3E-3</v>
      </c>
      <c r="K2268">
        <v>3.3E-3</v>
      </c>
      <c r="L2268">
        <v>3.2000000000000002E-3</v>
      </c>
      <c r="M2268">
        <v>3.0999999999999999E-3</v>
      </c>
      <c r="N2268">
        <v>3.0999999999999999E-3</v>
      </c>
      <c r="O2268">
        <v>3.0000000000000001E-3</v>
      </c>
      <c r="P2268">
        <v>2.8999999999999998E-3</v>
      </c>
      <c r="Q2268">
        <v>2.8999999999999998E-3</v>
      </c>
      <c r="R2268">
        <v>2.8E-3</v>
      </c>
      <c r="S2268">
        <v>2.8E-3</v>
      </c>
      <c r="T2268">
        <v>2.7000000000000001E-3</v>
      </c>
      <c r="U2268">
        <v>2.5999999999999999E-3</v>
      </c>
      <c r="V2268">
        <v>2.5999999999999999E-3</v>
      </c>
      <c r="W2268">
        <v>2.5000000000000001E-3</v>
      </c>
      <c r="X2268">
        <v>2.5000000000000001E-3</v>
      </c>
      <c r="Y2268">
        <v>2.3999999999999998E-3</v>
      </c>
    </row>
    <row r="2269" spans="1:25" hidden="1">
      <c r="A2269" t="s">
        <v>18811</v>
      </c>
      <c r="B2269" t="s">
        <v>694</v>
      </c>
      <c r="C2269" t="s">
        <v>664</v>
      </c>
      <c r="D2269" t="s">
        <v>695</v>
      </c>
      <c r="E2269" t="s">
        <v>678</v>
      </c>
      <c r="F2269" t="s">
        <v>598</v>
      </c>
      <c r="G2269" t="s">
        <v>599</v>
      </c>
      <c r="H2269" t="s">
        <v>600</v>
      </c>
      <c r="I2269" t="s">
        <v>601</v>
      </c>
      <c r="J2269">
        <v>2.9999999999999997E-4</v>
      </c>
      <c r="K2269">
        <v>2.9999999999999997E-4</v>
      </c>
      <c r="L2269">
        <v>2.9999999999999997E-4</v>
      </c>
      <c r="M2269">
        <v>2.9999999999999997E-4</v>
      </c>
      <c r="N2269">
        <v>2.9999999999999997E-4</v>
      </c>
      <c r="O2269">
        <v>2.9999999999999997E-4</v>
      </c>
      <c r="P2269">
        <v>2.9999999999999997E-4</v>
      </c>
      <c r="Q2269">
        <v>2.9999999999999997E-4</v>
      </c>
      <c r="R2269">
        <v>2.9999999999999997E-4</v>
      </c>
      <c r="S2269">
        <v>2.9999999999999997E-4</v>
      </c>
      <c r="T2269">
        <v>2.9999999999999997E-4</v>
      </c>
      <c r="U2269">
        <v>2.9999999999999997E-4</v>
      </c>
      <c r="V2269">
        <v>2.9999999999999997E-4</v>
      </c>
      <c r="W2269">
        <v>2.9999999999999997E-4</v>
      </c>
      <c r="X2269">
        <v>2.0000000000000001E-4</v>
      </c>
      <c r="Y2269">
        <v>2.0000000000000001E-4</v>
      </c>
    </row>
    <row r="2270" spans="1:25" hidden="1">
      <c r="A2270" t="s">
        <v>18811</v>
      </c>
      <c r="B2270" t="s">
        <v>700</v>
      </c>
      <c r="C2270" t="s">
        <v>664</v>
      </c>
      <c r="D2270" t="s">
        <v>701</v>
      </c>
      <c r="E2270" t="s">
        <v>672</v>
      </c>
      <c r="F2270" t="s">
        <v>598</v>
      </c>
      <c r="G2270" t="s">
        <v>599</v>
      </c>
      <c r="H2270" t="s">
        <v>600</v>
      </c>
      <c r="I2270" t="s">
        <v>601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hidden="1">
      <c r="A2271" t="s">
        <v>18811</v>
      </c>
      <c r="B2271" t="s">
        <v>702</v>
      </c>
      <c r="C2271" t="s">
        <v>664</v>
      </c>
      <c r="D2271" t="s">
        <v>701</v>
      </c>
      <c r="E2271" t="s">
        <v>597</v>
      </c>
      <c r="F2271" t="s">
        <v>598</v>
      </c>
      <c r="G2271" t="s">
        <v>599</v>
      </c>
      <c r="H2271" t="s">
        <v>600</v>
      </c>
      <c r="I2271" t="s">
        <v>601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hidden="1">
      <c r="A2272" t="s">
        <v>18811</v>
      </c>
      <c r="B2272" t="s">
        <v>703</v>
      </c>
      <c r="C2272" t="s">
        <v>664</v>
      </c>
      <c r="D2272" t="s">
        <v>704</v>
      </c>
      <c r="E2272" t="s">
        <v>672</v>
      </c>
      <c r="F2272" t="s">
        <v>598</v>
      </c>
      <c r="G2272" t="s">
        <v>599</v>
      </c>
      <c r="H2272" t="s">
        <v>600</v>
      </c>
      <c r="I2272" t="s">
        <v>601</v>
      </c>
      <c r="J2272">
        <v>2.9999999999999997E-4</v>
      </c>
      <c r="K2272">
        <v>2.9999999999999997E-4</v>
      </c>
      <c r="L2272">
        <v>2.9999999999999997E-4</v>
      </c>
      <c r="M2272">
        <v>2.9999999999999997E-4</v>
      </c>
      <c r="N2272">
        <v>2.9999999999999997E-4</v>
      </c>
      <c r="O2272">
        <v>2.9999999999999997E-4</v>
      </c>
      <c r="P2272">
        <v>2.9999999999999997E-4</v>
      </c>
      <c r="Q2272">
        <v>2.9999999999999997E-4</v>
      </c>
      <c r="R2272">
        <v>2.0000000000000001E-4</v>
      </c>
      <c r="S2272">
        <v>2.0000000000000001E-4</v>
      </c>
      <c r="T2272">
        <v>2.0000000000000001E-4</v>
      </c>
      <c r="U2272">
        <v>2.0000000000000001E-4</v>
      </c>
      <c r="V2272">
        <v>2.0000000000000001E-4</v>
      </c>
      <c r="W2272">
        <v>2.0000000000000001E-4</v>
      </c>
      <c r="X2272">
        <v>1E-4</v>
      </c>
      <c r="Y2272">
        <v>1E-4</v>
      </c>
    </row>
    <row r="2273" spans="1:25" hidden="1">
      <c r="A2273" t="s">
        <v>18811</v>
      </c>
      <c r="B2273" t="s">
        <v>705</v>
      </c>
      <c r="C2273" t="s">
        <v>664</v>
      </c>
      <c r="D2273" t="s">
        <v>704</v>
      </c>
      <c r="E2273" t="s">
        <v>597</v>
      </c>
      <c r="F2273" t="s">
        <v>598</v>
      </c>
      <c r="G2273" t="s">
        <v>599</v>
      </c>
      <c r="H2273" t="s">
        <v>600</v>
      </c>
      <c r="I2273" t="s">
        <v>601</v>
      </c>
      <c r="J2273">
        <v>1E-4</v>
      </c>
      <c r="K2273">
        <v>1E-4</v>
      </c>
      <c r="L2273">
        <v>1E-4</v>
      </c>
      <c r="M2273">
        <v>1E-4</v>
      </c>
      <c r="N2273">
        <v>1E-4</v>
      </c>
      <c r="O2273">
        <v>1E-4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</row>
    <row r="2274" spans="1:25" hidden="1">
      <c r="A2274" t="s">
        <v>18811</v>
      </c>
      <c r="B2274" t="s">
        <v>707</v>
      </c>
      <c r="C2274" t="s">
        <v>664</v>
      </c>
      <c r="D2274" t="s">
        <v>648</v>
      </c>
      <c r="E2274" t="s">
        <v>672</v>
      </c>
      <c r="F2274" t="s">
        <v>598</v>
      </c>
      <c r="G2274" t="s">
        <v>599</v>
      </c>
      <c r="H2274" t="s">
        <v>600</v>
      </c>
      <c r="I2274" t="s">
        <v>601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hidden="1">
      <c r="A2275" t="s">
        <v>18811</v>
      </c>
      <c r="B2275" t="s">
        <v>708</v>
      </c>
      <c r="C2275" t="s">
        <v>664</v>
      </c>
      <c r="D2275" t="s">
        <v>648</v>
      </c>
      <c r="E2275" t="s">
        <v>597</v>
      </c>
      <c r="F2275" t="s">
        <v>598</v>
      </c>
      <c r="G2275" t="s">
        <v>599</v>
      </c>
      <c r="H2275" t="s">
        <v>600</v>
      </c>
      <c r="I2275" t="s">
        <v>601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hidden="1">
      <c r="A2276" t="s">
        <v>18811</v>
      </c>
      <c r="B2276" t="s">
        <v>709</v>
      </c>
      <c r="C2276" t="s">
        <v>710</v>
      </c>
      <c r="D2276" t="s">
        <v>596</v>
      </c>
      <c r="E2276" t="s">
        <v>597</v>
      </c>
      <c r="F2276" t="s">
        <v>598</v>
      </c>
      <c r="G2276" t="s">
        <v>599</v>
      </c>
      <c r="H2276" t="s">
        <v>600</v>
      </c>
      <c r="I2276" t="s">
        <v>601</v>
      </c>
      <c r="J2276">
        <v>5.4999999999999997E-3</v>
      </c>
      <c r="K2276">
        <v>5.4999999999999997E-3</v>
      </c>
      <c r="L2276">
        <v>5.4999999999999997E-3</v>
      </c>
      <c r="M2276">
        <v>5.4999999999999997E-3</v>
      </c>
      <c r="N2276">
        <v>5.4999999999999997E-3</v>
      </c>
      <c r="O2276">
        <v>5.4999999999999997E-3</v>
      </c>
      <c r="P2276">
        <v>5.4999999999999997E-3</v>
      </c>
      <c r="Q2276">
        <v>5.4999999999999997E-3</v>
      </c>
      <c r="R2276">
        <v>5.4999999999999997E-3</v>
      </c>
      <c r="S2276">
        <v>5.4999999999999997E-3</v>
      </c>
      <c r="T2276">
        <v>5.4999999999999997E-3</v>
      </c>
      <c r="U2276">
        <v>5.4999999999999997E-3</v>
      </c>
      <c r="V2276">
        <v>5.4999999999999997E-3</v>
      </c>
      <c r="W2276">
        <v>5.4999999999999997E-3</v>
      </c>
      <c r="X2276">
        <v>5.4999999999999997E-3</v>
      </c>
      <c r="Y2276">
        <v>5.4999999999999997E-3</v>
      </c>
    </row>
    <row r="2277" spans="1:25" hidden="1">
      <c r="A2277" t="s">
        <v>18811</v>
      </c>
      <c r="B2277" t="s">
        <v>714</v>
      </c>
      <c r="C2277" t="s">
        <v>710</v>
      </c>
      <c r="D2277" t="s">
        <v>671</v>
      </c>
      <c r="E2277" t="s">
        <v>672</v>
      </c>
      <c r="F2277" t="s">
        <v>598</v>
      </c>
      <c r="G2277" t="s">
        <v>599</v>
      </c>
      <c r="H2277" t="s">
        <v>600</v>
      </c>
      <c r="I2277" t="s">
        <v>601</v>
      </c>
      <c r="J2277">
        <v>1.2999999999999999E-3</v>
      </c>
      <c r="K2277">
        <v>1.2999999999999999E-3</v>
      </c>
      <c r="L2277">
        <v>1.2999999999999999E-3</v>
      </c>
      <c r="M2277">
        <v>1.2999999999999999E-3</v>
      </c>
      <c r="N2277">
        <v>1.2999999999999999E-3</v>
      </c>
      <c r="O2277">
        <v>1.2999999999999999E-3</v>
      </c>
      <c r="P2277">
        <v>1.2999999999999999E-3</v>
      </c>
      <c r="Q2277">
        <v>1.2999999999999999E-3</v>
      </c>
      <c r="R2277">
        <v>1.2999999999999999E-3</v>
      </c>
      <c r="S2277">
        <v>1.2999999999999999E-3</v>
      </c>
      <c r="T2277">
        <v>1.2999999999999999E-3</v>
      </c>
      <c r="U2277">
        <v>1.2999999999999999E-3</v>
      </c>
      <c r="V2277">
        <v>1.2999999999999999E-3</v>
      </c>
      <c r="W2277">
        <v>1.2999999999999999E-3</v>
      </c>
      <c r="X2277">
        <v>1.2999999999999999E-3</v>
      </c>
      <c r="Y2277">
        <v>1.2999999999999999E-3</v>
      </c>
    </row>
    <row r="2278" spans="1:25" hidden="1">
      <c r="A2278" t="s">
        <v>18811</v>
      </c>
      <c r="B2278" t="s">
        <v>715</v>
      </c>
      <c r="C2278" t="s">
        <v>710</v>
      </c>
      <c r="D2278" t="s">
        <v>671</v>
      </c>
      <c r="E2278" t="s">
        <v>597</v>
      </c>
      <c r="F2278" t="s">
        <v>598</v>
      </c>
      <c r="G2278" t="s">
        <v>599</v>
      </c>
      <c r="H2278" t="s">
        <v>600</v>
      </c>
      <c r="I2278" t="s">
        <v>601</v>
      </c>
      <c r="J2278">
        <v>1.78E-2</v>
      </c>
      <c r="K2278">
        <v>1.78E-2</v>
      </c>
      <c r="L2278">
        <v>1.78E-2</v>
      </c>
      <c r="M2278">
        <v>1.78E-2</v>
      </c>
      <c r="N2278">
        <v>1.78E-2</v>
      </c>
      <c r="O2278">
        <v>1.78E-2</v>
      </c>
      <c r="P2278">
        <v>1.78E-2</v>
      </c>
      <c r="Q2278">
        <v>1.78E-2</v>
      </c>
      <c r="R2278">
        <v>1.78E-2</v>
      </c>
      <c r="S2278">
        <v>1.78E-2</v>
      </c>
      <c r="T2278">
        <v>1.78E-2</v>
      </c>
      <c r="U2278">
        <v>1.78E-2</v>
      </c>
      <c r="V2278">
        <v>1.78E-2</v>
      </c>
      <c r="W2278">
        <v>1.78E-2</v>
      </c>
      <c r="X2278">
        <v>1.78E-2</v>
      </c>
      <c r="Y2278">
        <v>1.78E-2</v>
      </c>
    </row>
    <row r="2279" spans="1:25" hidden="1">
      <c r="A2279" t="s">
        <v>18811</v>
      </c>
      <c r="B2279" t="s">
        <v>716</v>
      </c>
      <c r="C2279" t="s">
        <v>710</v>
      </c>
      <c r="D2279" t="s">
        <v>671</v>
      </c>
      <c r="E2279" t="s">
        <v>605</v>
      </c>
      <c r="F2279" t="s">
        <v>598</v>
      </c>
      <c r="G2279" t="s">
        <v>599</v>
      </c>
      <c r="H2279" t="s">
        <v>600</v>
      </c>
      <c r="I2279" t="s">
        <v>601</v>
      </c>
      <c r="J2279">
        <v>3.4299999999999997E-2</v>
      </c>
      <c r="K2279">
        <v>3.4299999999999997E-2</v>
      </c>
      <c r="L2279">
        <v>3.4299999999999997E-2</v>
      </c>
      <c r="M2279">
        <v>3.4299999999999997E-2</v>
      </c>
      <c r="N2279">
        <v>3.4299999999999997E-2</v>
      </c>
      <c r="O2279">
        <v>3.4299999999999997E-2</v>
      </c>
      <c r="P2279">
        <v>3.4299999999999997E-2</v>
      </c>
      <c r="Q2279">
        <v>3.4299999999999997E-2</v>
      </c>
      <c r="R2279">
        <v>3.4299999999999997E-2</v>
      </c>
      <c r="S2279">
        <v>3.4299999999999997E-2</v>
      </c>
      <c r="T2279">
        <v>3.4299999999999997E-2</v>
      </c>
      <c r="U2279">
        <v>3.4299999999999997E-2</v>
      </c>
      <c r="V2279">
        <v>3.4299999999999997E-2</v>
      </c>
      <c r="W2279">
        <v>3.4299999999999997E-2</v>
      </c>
      <c r="X2279">
        <v>3.4299999999999997E-2</v>
      </c>
      <c r="Y2279">
        <v>3.4299999999999997E-2</v>
      </c>
    </row>
    <row r="2280" spans="1:25" hidden="1">
      <c r="A2280" t="s">
        <v>18811</v>
      </c>
      <c r="B2280" t="s">
        <v>718</v>
      </c>
      <c r="C2280" t="s">
        <v>710</v>
      </c>
      <c r="D2280" t="s">
        <v>621</v>
      </c>
      <c r="E2280" t="s">
        <v>597</v>
      </c>
      <c r="F2280" t="s">
        <v>598</v>
      </c>
      <c r="G2280" t="s">
        <v>599</v>
      </c>
      <c r="H2280" t="s">
        <v>600</v>
      </c>
      <c r="I2280" t="s">
        <v>601</v>
      </c>
      <c r="J2280">
        <v>2.3999999999999998E-3</v>
      </c>
      <c r="K2280">
        <v>2.3999999999999998E-3</v>
      </c>
      <c r="L2280">
        <v>2.3999999999999998E-3</v>
      </c>
      <c r="M2280">
        <v>2.3999999999999998E-3</v>
      </c>
      <c r="N2280">
        <v>2.3999999999999998E-3</v>
      </c>
      <c r="O2280">
        <v>2.3999999999999998E-3</v>
      </c>
      <c r="P2280">
        <v>2.3999999999999998E-3</v>
      </c>
      <c r="Q2280">
        <v>2.3999999999999998E-3</v>
      </c>
      <c r="R2280">
        <v>2.3999999999999998E-3</v>
      </c>
      <c r="S2280">
        <v>2.3999999999999998E-3</v>
      </c>
      <c r="T2280">
        <v>2.3999999999999998E-3</v>
      </c>
      <c r="U2280">
        <v>2.3999999999999998E-3</v>
      </c>
      <c r="V2280">
        <v>2.3999999999999998E-3</v>
      </c>
      <c r="W2280">
        <v>2.3999999999999998E-3</v>
      </c>
      <c r="X2280">
        <v>2.3999999999999998E-3</v>
      </c>
      <c r="Y2280">
        <v>2.3999999999999998E-3</v>
      </c>
    </row>
    <row r="2281" spans="1:25" hidden="1">
      <c r="A2281" t="s">
        <v>18811</v>
      </c>
      <c r="B2281" t="s">
        <v>722</v>
      </c>
      <c r="C2281" t="s">
        <v>710</v>
      </c>
      <c r="D2281" t="s">
        <v>632</v>
      </c>
      <c r="E2281" t="s">
        <v>723</v>
      </c>
      <c r="F2281" t="s">
        <v>598</v>
      </c>
      <c r="G2281" t="s">
        <v>599</v>
      </c>
      <c r="H2281" t="s">
        <v>600</v>
      </c>
      <c r="I2281" t="s">
        <v>601</v>
      </c>
      <c r="J2281">
        <v>1.6500000000000001E-2</v>
      </c>
      <c r="K2281">
        <v>1.6500000000000001E-2</v>
      </c>
      <c r="L2281">
        <v>1.6500000000000001E-2</v>
      </c>
      <c r="M2281">
        <v>1.6500000000000001E-2</v>
      </c>
      <c r="N2281">
        <v>1.6500000000000001E-2</v>
      </c>
      <c r="O2281">
        <v>1.6500000000000001E-2</v>
      </c>
      <c r="P2281">
        <v>1.6500000000000001E-2</v>
      </c>
      <c r="Q2281">
        <v>1.6500000000000001E-2</v>
      </c>
      <c r="R2281">
        <v>1.6500000000000001E-2</v>
      </c>
      <c r="S2281">
        <v>1.6500000000000001E-2</v>
      </c>
      <c r="T2281">
        <v>1.6500000000000001E-2</v>
      </c>
      <c r="U2281">
        <v>1.6500000000000001E-2</v>
      </c>
      <c r="V2281">
        <v>1.6500000000000001E-2</v>
      </c>
      <c r="W2281">
        <v>1.6500000000000001E-2</v>
      </c>
      <c r="X2281">
        <v>1.6500000000000001E-2</v>
      </c>
      <c r="Y2281">
        <v>1.6500000000000001E-2</v>
      </c>
    </row>
    <row r="2282" spans="1:25" hidden="1">
      <c r="A2282" t="s">
        <v>18811</v>
      </c>
      <c r="B2282" t="s">
        <v>728</v>
      </c>
      <c r="C2282" t="s">
        <v>729</v>
      </c>
      <c r="D2282" t="s">
        <v>596</v>
      </c>
      <c r="E2282" t="s">
        <v>597</v>
      </c>
      <c r="F2282" t="s">
        <v>598</v>
      </c>
      <c r="G2282" t="s">
        <v>599</v>
      </c>
      <c r="H2282" t="s">
        <v>600</v>
      </c>
      <c r="I2282" t="s">
        <v>601</v>
      </c>
      <c r="J2282">
        <v>3.7400000000000003E-2</v>
      </c>
      <c r="K2282">
        <v>3.6400000000000002E-2</v>
      </c>
      <c r="L2282">
        <v>3.6299999999999999E-2</v>
      </c>
      <c r="M2282">
        <v>3.7199999999999997E-2</v>
      </c>
      <c r="N2282">
        <v>3.6900000000000002E-2</v>
      </c>
      <c r="O2282">
        <v>3.7199999999999997E-2</v>
      </c>
      <c r="P2282">
        <v>3.73E-2</v>
      </c>
      <c r="Q2282">
        <v>3.7499999999999999E-2</v>
      </c>
      <c r="R2282">
        <v>3.7600000000000001E-2</v>
      </c>
      <c r="S2282">
        <v>3.73E-2</v>
      </c>
      <c r="T2282">
        <v>3.7499999999999999E-2</v>
      </c>
      <c r="U2282">
        <v>3.78E-2</v>
      </c>
      <c r="V2282">
        <v>3.8199999999999998E-2</v>
      </c>
      <c r="W2282">
        <v>3.8699999999999998E-2</v>
      </c>
      <c r="X2282">
        <v>3.8699999999999998E-2</v>
      </c>
      <c r="Y2282">
        <v>3.9100000000000003E-2</v>
      </c>
    </row>
    <row r="2283" spans="1:25" hidden="1">
      <c r="A2283" t="s">
        <v>18811</v>
      </c>
      <c r="B2283" t="s">
        <v>730</v>
      </c>
      <c r="C2283" t="s">
        <v>729</v>
      </c>
      <c r="D2283" t="s">
        <v>596</v>
      </c>
      <c r="E2283" t="s">
        <v>731</v>
      </c>
      <c r="F2283" t="s">
        <v>598</v>
      </c>
      <c r="G2283" t="s">
        <v>599</v>
      </c>
      <c r="H2283" t="s">
        <v>600</v>
      </c>
      <c r="I2283" t="s">
        <v>601</v>
      </c>
      <c r="J2283">
        <v>1E-4</v>
      </c>
      <c r="K2283">
        <v>1E-4</v>
      </c>
      <c r="L2283">
        <v>1E-4</v>
      </c>
      <c r="M2283">
        <v>1E-4</v>
      </c>
      <c r="N2283">
        <v>1E-4</v>
      </c>
      <c r="O2283">
        <v>1E-4</v>
      </c>
      <c r="P2283">
        <v>1E-4</v>
      </c>
      <c r="Q2283">
        <v>1E-4</v>
      </c>
      <c r="R2283">
        <v>1E-4</v>
      </c>
      <c r="S2283">
        <v>1E-4</v>
      </c>
      <c r="T2283">
        <v>1E-4</v>
      </c>
      <c r="U2283">
        <v>1E-4</v>
      </c>
      <c r="V2283">
        <v>1E-4</v>
      </c>
      <c r="W2283">
        <v>1E-4</v>
      </c>
      <c r="X2283">
        <v>1E-4</v>
      </c>
      <c r="Y2283">
        <v>1E-4</v>
      </c>
    </row>
    <row r="2284" spans="1:25" hidden="1">
      <c r="A2284" t="s">
        <v>18811</v>
      </c>
      <c r="B2284" t="s">
        <v>732</v>
      </c>
      <c r="C2284" t="s">
        <v>729</v>
      </c>
      <c r="D2284" t="s">
        <v>596</v>
      </c>
      <c r="E2284" t="s">
        <v>603</v>
      </c>
      <c r="F2284" t="s">
        <v>598</v>
      </c>
      <c r="G2284" t="s">
        <v>599</v>
      </c>
      <c r="H2284" t="s">
        <v>600</v>
      </c>
      <c r="I2284" t="s">
        <v>601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</row>
    <row r="2285" spans="1:25" hidden="1">
      <c r="A2285" t="s">
        <v>18811</v>
      </c>
      <c r="B2285" t="s">
        <v>733</v>
      </c>
      <c r="C2285" t="s">
        <v>729</v>
      </c>
      <c r="D2285" t="s">
        <v>596</v>
      </c>
      <c r="E2285" t="s">
        <v>605</v>
      </c>
      <c r="F2285" t="s">
        <v>598</v>
      </c>
      <c r="G2285" t="s">
        <v>599</v>
      </c>
      <c r="H2285" t="s">
        <v>600</v>
      </c>
      <c r="I2285" t="s">
        <v>601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</row>
    <row r="2286" spans="1:25" hidden="1">
      <c r="A2286" t="s">
        <v>18811</v>
      </c>
      <c r="B2286" t="s">
        <v>738</v>
      </c>
      <c r="C2286" t="s">
        <v>729</v>
      </c>
      <c r="D2286" t="s">
        <v>596</v>
      </c>
      <c r="E2286" t="s">
        <v>617</v>
      </c>
      <c r="F2286" t="s">
        <v>598</v>
      </c>
      <c r="G2286" t="s">
        <v>599</v>
      </c>
      <c r="H2286" t="s">
        <v>600</v>
      </c>
      <c r="I2286" t="s">
        <v>601</v>
      </c>
      <c r="J2286">
        <v>2.9999999999999997E-4</v>
      </c>
      <c r="K2286">
        <v>2.9999999999999997E-4</v>
      </c>
      <c r="L2286">
        <v>2.9999999999999997E-4</v>
      </c>
      <c r="M2286">
        <v>2.9999999999999997E-4</v>
      </c>
      <c r="N2286">
        <v>2.9999999999999997E-4</v>
      </c>
      <c r="O2286">
        <v>2.9999999999999997E-4</v>
      </c>
      <c r="P2286">
        <v>2.9999999999999997E-4</v>
      </c>
      <c r="Q2286">
        <v>2.9999999999999997E-4</v>
      </c>
      <c r="R2286">
        <v>2.9999999999999997E-4</v>
      </c>
      <c r="S2286">
        <v>2.9999999999999997E-4</v>
      </c>
      <c r="T2286">
        <v>2.9999999999999997E-4</v>
      </c>
      <c r="U2286">
        <v>2.9999999999999997E-4</v>
      </c>
      <c r="V2286">
        <v>2.9999999999999997E-4</v>
      </c>
      <c r="W2286">
        <v>2.9999999999999997E-4</v>
      </c>
      <c r="X2286">
        <v>2.9999999999999997E-4</v>
      </c>
      <c r="Y2286">
        <v>2.9999999999999997E-4</v>
      </c>
    </row>
    <row r="2287" spans="1:25" hidden="1">
      <c r="A2287" t="s">
        <v>18811</v>
      </c>
      <c r="B2287" t="s">
        <v>740</v>
      </c>
      <c r="C2287" t="s">
        <v>729</v>
      </c>
      <c r="D2287" t="s">
        <v>596</v>
      </c>
      <c r="E2287" t="s">
        <v>619</v>
      </c>
      <c r="F2287" t="s">
        <v>598</v>
      </c>
      <c r="G2287" t="s">
        <v>599</v>
      </c>
      <c r="H2287" t="s">
        <v>600</v>
      </c>
      <c r="I2287" t="s">
        <v>601</v>
      </c>
      <c r="J2287">
        <v>8.9999999999999998E-4</v>
      </c>
      <c r="K2287">
        <v>8.9999999999999998E-4</v>
      </c>
      <c r="L2287">
        <v>8.9999999999999998E-4</v>
      </c>
      <c r="M2287">
        <v>8.9999999999999998E-4</v>
      </c>
      <c r="N2287">
        <v>8.9999999999999998E-4</v>
      </c>
      <c r="O2287">
        <v>8.9999999999999998E-4</v>
      </c>
      <c r="P2287">
        <v>8.9999999999999998E-4</v>
      </c>
      <c r="Q2287">
        <v>8.9999999999999998E-4</v>
      </c>
      <c r="R2287">
        <v>8.9999999999999998E-4</v>
      </c>
      <c r="S2287">
        <v>8.9999999999999998E-4</v>
      </c>
      <c r="T2287">
        <v>8.9999999999999998E-4</v>
      </c>
      <c r="U2287">
        <v>8.9999999999999998E-4</v>
      </c>
      <c r="V2287">
        <v>8.9999999999999998E-4</v>
      </c>
      <c r="W2287">
        <v>8.9999999999999998E-4</v>
      </c>
      <c r="X2287">
        <v>8.9999999999999998E-4</v>
      </c>
      <c r="Y2287">
        <v>8.9999999999999998E-4</v>
      </c>
    </row>
    <row r="2288" spans="1:25" hidden="1">
      <c r="A2288" t="s">
        <v>18811</v>
      </c>
      <c r="B2288" t="s">
        <v>741</v>
      </c>
      <c r="C2288" t="s">
        <v>729</v>
      </c>
      <c r="D2288" t="s">
        <v>596</v>
      </c>
      <c r="E2288" t="s">
        <v>742</v>
      </c>
      <c r="F2288" t="s">
        <v>598</v>
      </c>
      <c r="G2288" t="s">
        <v>599</v>
      </c>
      <c r="H2288" t="s">
        <v>600</v>
      </c>
      <c r="I2288" t="s">
        <v>601</v>
      </c>
      <c r="J2288">
        <v>1E-4</v>
      </c>
      <c r="K2288">
        <v>1E-4</v>
      </c>
      <c r="L2288">
        <v>1E-4</v>
      </c>
      <c r="M2288">
        <v>1E-4</v>
      </c>
      <c r="N2288">
        <v>1E-4</v>
      </c>
      <c r="O2288">
        <v>1E-4</v>
      </c>
      <c r="P2288">
        <v>1E-4</v>
      </c>
      <c r="Q2288">
        <v>1E-4</v>
      </c>
      <c r="R2288">
        <v>1E-4</v>
      </c>
      <c r="S2288">
        <v>1E-4</v>
      </c>
      <c r="T2288">
        <v>1E-4</v>
      </c>
      <c r="U2288">
        <v>1E-4</v>
      </c>
      <c r="V2288">
        <v>1E-4</v>
      </c>
      <c r="W2288">
        <v>1E-4</v>
      </c>
      <c r="X2288">
        <v>1E-4</v>
      </c>
      <c r="Y2288">
        <v>1E-4</v>
      </c>
    </row>
    <row r="2289" spans="1:25" hidden="1">
      <c r="A2289" t="s">
        <v>18811</v>
      </c>
      <c r="B2289" t="s">
        <v>743</v>
      </c>
      <c r="C2289" t="s">
        <v>729</v>
      </c>
      <c r="D2289" t="s">
        <v>596</v>
      </c>
      <c r="E2289" t="s">
        <v>744</v>
      </c>
      <c r="F2289" t="s">
        <v>598</v>
      </c>
      <c r="G2289" t="s">
        <v>599</v>
      </c>
      <c r="H2289" t="s">
        <v>600</v>
      </c>
      <c r="I2289" t="s">
        <v>601</v>
      </c>
      <c r="J2289">
        <v>1E-4</v>
      </c>
      <c r="K2289">
        <v>1E-4</v>
      </c>
      <c r="L2289">
        <v>1E-4</v>
      </c>
      <c r="M2289">
        <v>1E-4</v>
      </c>
      <c r="N2289">
        <v>1E-4</v>
      </c>
      <c r="O2289">
        <v>1E-4</v>
      </c>
      <c r="P2289">
        <v>1E-4</v>
      </c>
      <c r="Q2289">
        <v>1E-4</v>
      </c>
      <c r="R2289">
        <v>1E-4</v>
      </c>
      <c r="S2289">
        <v>1E-4</v>
      </c>
      <c r="T2289">
        <v>1E-4</v>
      </c>
      <c r="U2289">
        <v>1E-4</v>
      </c>
      <c r="V2289">
        <v>1E-4</v>
      </c>
      <c r="W2289">
        <v>1E-4</v>
      </c>
      <c r="X2289">
        <v>1E-4</v>
      </c>
      <c r="Y2289">
        <v>1E-4</v>
      </c>
    </row>
    <row r="2290" spans="1:25" hidden="1">
      <c r="A2290" t="s">
        <v>18811</v>
      </c>
      <c r="B2290" t="s">
        <v>745</v>
      </c>
      <c r="C2290" t="s">
        <v>729</v>
      </c>
      <c r="D2290" t="s">
        <v>671</v>
      </c>
      <c r="E2290" t="s">
        <v>597</v>
      </c>
      <c r="F2290" t="s">
        <v>598</v>
      </c>
      <c r="G2290" t="s">
        <v>599</v>
      </c>
      <c r="H2290" t="s">
        <v>600</v>
      </c>
      <c r="I2290" t="s">
        <v>601</v>
      </c>
      <c r="J2290">
        <v>7.3000000000000001E-3</v>
      </c>
      <c r="K2290">
        <v>7.1000000000000004E-3</v>
      </c>
      <c r="L2290">
        <v>6.7999999999999996E-3</v>
      </c>
      <c r="M2290">
        <v>7.0000000000000001E-3</v>
      </c>
      <c r="N2290">
        <v>7.0000000000000001E-3</v>
      </c>
      <c r="O2290">
        <v>7.0000000000000001E-3</v>
      </c>
      <c r="P2290">
        <v>7.1999999999999998E-3</v>
      </c>
      <c r="Q2290">
        <v>7.1999999999999998E-3</v>
      </c>
      <c r="R2290">
        <v>7.1999999999999998E-3</v>
      </c>
      <c r="S2290">
        <v>7.1999999999999998E-3</v>
      </c>
      <c r="T2290">
        <v>7.1999999999999998E-3</v>
      </c>
      <c r="U2290">
        <v>7.1999999999999998E-3</v>
      </c>
      <c r="V2290">
        <v>7.3000000000000001E-3</v>
      </c>
      <c r="W2290">
        <v>7.3000000000000001E-3</v>
      </c>
      <c r="X2290">
        <v>7.3000000000000001E-3</v>
      </c>
      <c r="Y2290">
        <v>7.4999999999999997E-3</v>
      </c>
    </row>
    <row r="2291" spans="1:25" hidden="1">
      <c r="A2291" t="s">
        <v>18811</v>
      </c>
      <c r="B2291" t="s">
        <v>746</v>
      </c>
      <c r="C2291" t="s">
        <v>729</v>
      </c>
      <c r="D2291" t="s">
        <v>671</v>
      </c>
      <c r="E2291" t="s">
        <v>642</v>
      </c>
      <c r="F2291" t="s">
        <v>598</v>
      </c>
      <c r="G2291" t="s">
        <v>599</v>
      </c>
      <c r="H2291" t="s">
        <v>600</v>
      </c>
      <c r="I2291" t="s">
        <v>601</v>
      </c>
      <c r="J2291">
        <v>2.0000000000000001E-4</v>
      </c>
      <c r="K2291">
        <v>2.0000000000000001E-4</v>
      </c>
      <c r="L2291">
        <v>2.0000000000000001E-4</v>
      </c>
      <c r="M2291">
        <v>2.0000000000000001E-4</v>
      </c>
      <c r="N2291">
        <v>2.0000000000000001E-4</v>
      </c>
      <c r="O2291">
        <v>2.0000000000000001E-4</v>
      </c>
      <c r="P2291">
        <v>2.0000000000000001E-4</v>
      </c>
      <c r="Q2291">
        <v>2.0000000000000001E-4</v>
      </c>
      <c r="R2291">
        <v>2.0000000000000001E-4</v>
      </c>
      <c r="S2291">
        <v>2.0000000000000001E-4</v>
      </c>
      <c r="T2291">
        <v>2.0000000000000001E-4</v>
      </c>
      <c r="U2291">
        <v>2.0000000000000001E-4</v>
      </c>
      <c r="V2291">
        <v>2.0000000000000001E-4</v>
      </c>
      <c r="W2291">
        <v>2.0000000000000001E-4</v>
      </c>
      <c r="X2291">
        <v>2.0000000000000001E-4</v>
      </c>
      <c r="Y2291">
        <v>2.0000000000000001E-4</v>
      </c>
    </row>
    <row r="2292" spans="1:25" hidden="1">
      <c r="A2292" t="s">
        <v>18811</v>
      </c>
      <c r="B2292" t="s">
        <v>748</v>
      </c>
      <c r="C2292" t="s">
        <v>729</v>
      </c>
      <c r="D2292" t="s">
        <v>671</v>
      </c>
      <c r="E2292" t="s">
        <v>619</v>
      </c>
      <c r="F2292" t="s">
        <v>598</v>
      </c>
      <c r="G2292" t="s">
        <v>599</v>
      </c>
      <c r="H2292" t="s">
        <v>600</v>
      </c>
      <c r="I2292" t="s">
        <v>601</v>
      </c>
      <c r="J2292">
        <v>4.0000000000000002E-4</v>
      </c>
      <c r="K2292">
        <v>5.0000000000000001E-4</v>
      </c>
      <c r="L2292">
        <v>5.0000000000000001E-4</v>
      </c>
      <c r="M2292">
        <v>5.0000000000000001E-4</v>
      </c>
      <c r="N2292">
        <v>5.0000000000000001E-4</v>
      </c>
      <c r="O2292">
        <v>5.0000000000000001E-4</v>
      </c>
      <c r="P2292">
        <v>5.0000000000000001E-4</v>
      </c>
      <c r="Q2292">
        <v>5.0000000000000001E-4</v>
      </c>
      <c r="R2292">
        <v>5.0000000000000001E-4</v>
      </c>
      <c r="S2292">
        <v>5.0000000000000001E-4</v>
      </c>
      <c r="T2292">
        <v>5.0000000000000001E-4</v>
      </c>
      <c r="U2292">
        <v>5.0000000000000001E-4</v>
      </c>
      <c r="V2292">
        <v>5.0000000000000001E-4</v>
      </c>
      <c r="W2292">
        <v>4.0000000000000002E-4</v>
      </c>
      <c r="X2292">
        <v>4.0000000000000002E-4</v>
      </c>
      <c r="Y2292">
        <v>4.0000000000000002E-4</v>
      </c>
    </row>
    <row r="2293" spans="1:25" hidden="1">
      <c r="A2293" t="s">
        <v>18811</v>
      </c>
      <c r="B2293" t="s">
        <v>749</v>
      </c>
      <c r="C2293" t="s">
        <v>729</v>
      </c>
      <c r="D2293" t="s">
        <v>671</v>
      </c>
      <c r="E2293" t="s">
        <v>750</v>
      </c>
      <c r="F2293" t="s">
        <v>598</v>
      </c>
      <c r="G2293" t="s">
        <v>599</v>
      </c>
      <c r="H2293" t="s">
        <v>600</v>
      </c>
      <c r="I2293" t="s">
        <v>601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 hidden="1">
      <c r="A2294" t="s">
        <v>18811</v>
      </c>
      <c r="B2294" t="s">
        <v>752</v>
      </c>
      <c r="C2294" t="s">
        <v>729</v>
      </c>
      <c r="D2294" t="s">
        <v>753</v>
      </c>
      <c r="E2294" t="s">
        <v>597</v>
      </c>
      <c r="F2294" t="s">
        <v>598</v>
      </c>
      <c r="G2294" t="s">
        <v>599</v>
      </c>
      <c r="H2294" t="s">
        <v>600</v>
      </c>
      <c r="I2294" t="s">
        <v>601</v>
      </c>
      <c r="J2294">
        <v>3.3E-3</v>
      </c>
      <c r="K2294">
        <v>3.3E-3</v>
      </c>
      <c r="L2294">
        <v>3.3E-3</v>
      </c>
      <c r="M2294">
        <v>3.3E-3</v>
      </c>
      <c r="N2294">
        <v>3.3E-3</v>
      </c>
      <c r="O2294">
        <v>3.3E-3</v>
      </c>
      <c r="P2294">
        <v>3.3E-3</v>
      </c>
      <c r="Q2294">
        <v>3.3E-3</v>
      </c>
      <c r="R2294">
        <v>3.3E-3</v>
      </c>
      <c r="S2294">
        <v>3.3E-3</v>
      </c>
      <c r="T2294">
        <v>3.3E-3</v>
      </c>
      <c r="U2294">
        <v>3.3E-3</v>
      </c>
      <c r="V2294">
        <v>3.3E-3</v>
      </c>
      <c r="W2294">
        <v>3.3E-3</v>
      </c>
      <c r="X2294">
        <v>3.3E-3</v>
      </c>
      <c r="Y2294">
        <v>3.3E-3</v>
      </c>
    </row>
    <row r="2295" spans="1:25" hidden="1">
      <c r="A2295" t="s">
        <v>18811</v>
      </c>
      <c r="B2295" t="s">
        <v>754</v>
      </c>
      <c r="C2295" t="s">
        <v>729</v>
      </c>
      <c r="D2295" t="s">
        <v>753</v>
      </c>
      <c r="E2295" t="s">
        <v>642</v>
      </c>
      <c r="F2295" t="s">
        <v>598</v>
      </c>
      <c r="G2295" t="s">
        <v>599</v>
      </c>
      <c r="H2295" t="s">
        <v>600</v>
      </c>
      <c r="I2295" t="s">
        <v>601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hidden="1">
      <c r="A2296" t="s">
        <v>18811</v>
      </c>
      <c r="B2296" t="s">
        <v>755</v>
      </c>
      <c r="C2296" t="s">
        <v>729</v>
      </c>
      <c r="D2296" t="s">
        <v>756</v>
      </c>
      <c r="E2296" t="s">
        <v>597</v>
      </c>
      <c r="F2296" t="s">
        <v>598</v>
      </c>
      <c r="G2296" t="s">
        <v>599</v>
      </c>
      <c r="H2296" t="s">
        <v>600</v>
      </c>
      <c r="I2296" t="s">
        <v>601</v>
      </c>
      <c r="J2296">
        <v>1E-4</v>
      </c>
      <c r="K2296">
        <v>1E-4</v>
      </c>
      <c r="L2296">
        <v>1E-4</v>
      </c>
      <c r="M2296">
        <v>1E-4</v>
      </c>
      <c r="N2296">
        <v>1E-4</v>
      </c>
      <c r="O2296">
        <v>1E-4</v>
      </c>
      <c r="P2296">
        <v>1E-4</v>
      </c>
      <c r="Q2296">
        <v>1E-4</v>
      </c>
      <c r="R2296">
        <v>1E-4</v>
      </c>
      <c r="S2296">
        <v>1E-4</v>
      </c>
      <c r="T2296">
        <v>1E-4</v>
      </c>
      <c r="U2296">
        <v>1E-4</v>
      </c>
      <c r="V2296">
        <v>1E-4</v>
      </c>
      <c r="W2296">
        <v>1E-4</v>
      </c>
      <c r="X2296">
        <v>1E-4</v>
      </c>
      <c r="Y2296">
        <v>1E-4</v>
      </c>
    </row>
    <row r="2297" spans="1:25" hidden="1">
      <c r="A2297" t="s">
        <v>18811</v>
      </c>
      <c r="B2297" t="s">
        <v>757</v>
      </c>
      <c r="C2297" t="s">
        <v>729</v>
      </c>
      <c r="D2297" t="s">
        <v>756</v>
      </c>
      <c r="E2297" t="s">
        <v>642</v>
      </c>
      <c r="F2297" t="s">
        <v>598</v>
      </c>
      <c r="G2297" t="s">
        <v>599</v>
      </c>
      <c r="H2297" t="s">
        <v>600</v>
      </c>
      <c r="I2297" t="s">
        <v>601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</row>
    <row r="2298" spans="1:25" hidden="1">
      <c r="A2298" t="s">
        <v>18811</v>
      </c>
      <c r="B2298" t="s">
        <v>761</v>
      </c>
      <c r="C2298" t="s">
        <v>729</v>
      </c>
      <c r="D2298" t="s">
        <v>621</v>
      </c>
      <c r="E2298" t="s">
        <v>597</v>
      </c>
      <c r="F2298" t="s">
        <v>598</v>
      </c>
      <c r="G2298" t="s">
        <v>599</v>
      </c>
      <c r="H2298" t="s">
        <v>600</v>
      </c>
      <c r="I2298" t="s">
        <v>601</v>
      </c>
      <c r="J2298">
        <v>1.09E-2</v>
      </c>
      <c r="K2298">
        <v>1.0699999999999999E-2</v>
      </c>
      <c r="L2298">
        <v>1.04E-2</v>
      </c>
      <c r="M2298">
        <v>1.09E-2</v>
      </c>
      <c r="N2298">
        <v>1.0800000000000001E-2</v>
      </c>
      <c r="O2298">
        <v>1.0699999999999999E-2</v>
      </c>
      <c r="P2298">
        <v>1.11E-2</v>
      </c>
      <c r="Q2298">
        <v>1.11E-2</v>
      </c>
      <c r="R2298">
        <v>1.0999999999999999E-2</v>
      </c>
      <c r="S2298">
        <v>1.09E-2</v>
      </c>
      <c r="T2298">
        <v>1.0999999999999999E-2</v>
      </c>
      <c r="U2298">
        <v>1.11E-2</v>
      </c>
      <c r="V2298">
        <v>1.12E-2</v>
      </c>
      <c r="W2298">
        <v>1.1299999999999999E-2</v>
      </c>
      <c r="X2298">
        <v>1.14E-2</v>
      </c>
      <c r="Y2298">
        <v>1.15E-2</v>
      </c>
    </row>
    <row r="2299" spans="1:25" hidden="1">
      <c r="A2299" t="s">
        <v>18811</v>
      </c>
      <c r="B2299" t="s">
        <v>762</v>
      </c>
      <c r="C2299" t="s">
        <v>729</v>
      </c>
      <c r="D2299" t="s">
        <v>621</v>
      </c>
      <c r="E2299" t="s">
        <v>642</v>
      </c>
      <c r="F2299" t="s">
        <v>598</v>
      </c>
      <c r="G2299" t="s">
        <v>599</v>
      </c>
      <c r="H2299" t="s">
        <v>600</v>
      </c>
      <c r="I2299" t="s">
        <v>601</v>
      </c>
      <c r="J2299">
        <v>2.0000000000000001E-4</v>
      </c>
      <c r="K2299">
        <v>2.0000000000000001E-4</v>
      </c>
      <c r="L2299">
        <v>2.0000000000000001E-4</v>
      </c>
      <c r="M2299">
        <v>2.0000000000000001E-4</v>
      </c>
      <c r="N2299">
        <v>2.0000000000000001E-4</v>
      </c>
      <c r="O2299">
        <v>2.0000000000000001E-4</v>
      </c>
      <c r="P2299">
        <v>2.0000000000000001E-4</v>
      </c>
      <c r="Q2299">
        <v>2.0000000000000001E-4</v>
      </c>
      <c r="R2299">
        <v>2.0000000000000001E-4</v>
      </c>
      <c r="S2299">
        <v>2.0000000000000001E-4</v>
      </c>
      <c r="T2299">
        <v>2.0000000000000001E-4</v>
      </c>
      <c r="U2299">
        <v>2.0000000000000001E-4</v>
      </c>
      <c r="V2299">
        <v>2.0000000000000001E-4</v>
      </c>
      <c r="W2299">
        <v>2.0000000000000001E-4</v>
      </c>
      <c r="X2299">
        <v>2.0000000000000001E-4</v>
      </c>
      <c r="Y2299">
        <v>2.0000000000000001E-4</v>
      </c>
    </row>
    <row r="2300" spans="1:25" hidden="1">
      <c r="A2300" t="s">
        <v>18811</v>
      </c>
      <c r="B2300" t="s">
        <v>763</v>
      </c>
      <c r="C2300" t="s">
        <v>729</v>
      </c>
      <c r="D2300" t="s">
        <v>621</v>
      </c>
      <c r="E2300" t="s">
        <v>731</v>
      </c>
      <c r="F2300" t="s">
        <v>598</v>
      </c>
      <c r="G2300" t="s">
        <v>599</v>
      </c>
      <c r="H2300" t="s">
        <v>600</v>
      </c>
      <c r="I2300" t="s">
        <v>601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</row>
    <row r="2301" spans="1:25" hidden="1">
      <c r="A2301" t="s">
        <v>18811</v>
      </c>
      <c r="B2301" t="s">
        <v>764</v>
      </c>
      <c r="C2301" t="s">
        <v>729</v>
      </c>
      <c r="D2301" t="s">
        <v>621</v>
      </c>
      <c r="E2301" t="s">
        <v>603</v>
      </c>
      <c r="F2301" t="s">
        <v>598</v>
      </c>
      <c r="G2301" t="s">
        <v>599</v>
      </c>
      <c r="H2301" t="s">
        <v>600</v>
      </c>
      <c r="I2301" t="s">
        <v>601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hidden="1">
      <c r="A2302" t="s">
        <v>18811</v>
      </c>
      <c r="B2302" t="s">
        <v>767</v>
      </c>
      <c r="C2302" t="s">
        <v>729</v>
      </c>
      <c r="D2302" t="s">
        <v>621</v>
      </c>
      <c r="E2302" t="s">
        <v>768</v>
      </c>
      <c r="F2302" t="s">
        <v>598</v>
      </c>
      <c r="G2302" t="s">
        <v>599</v>
      </c>
      <c r="H2302" t="s">
        <v>600</v>
      </c>
      <c r="I2302" t="s">
        <v>601</v>
      </c>
      <c r="J2302">
        <v>2.8E-3</v>
      </c>
      <c r="K2302">
        <v>2.8E-3</v>
      </c>
      <c r="L2302">
        <v>2.8E-3</v>
      </c>
      <c r="M2302">
        <v>2.8E-3</v>
      </c>
      <c r="N2302">
        <v>2.8E-3</v>
      </c>
      <c r="O2302">
        <v>2.8E-3</v>
      </c>
      <c r="P2302">
        <v>2.8E-3</v>
      </c>
      <c r="Q2302">
        <v>2.8E-3</v>
      </c>
      <c r="R2302">
        <v>2.8E-3</v>
      </c>
      <c r="S2302">
        <v>2.8E-3</v>
      </c>
      <c r="T2302">
        <v>2.8E-3</v>
      </c>
      <c r="U2302">
        <v>2.8E-3</v>
      </c>
      <c r="V2302">
        <v>2.8E-3</v>
      </c>
      <c r="W2302">
        <v>2.8E-3</v>
      </c>
      <c r="X2302">
        <v>2.8E-3</v>
      </c>
      <c r="Y2302">
        <v>2.8E-3</v>
      </c>
    </row>
    <row r="2303" spans="1:25" hidden="1">
      <c r="A2303" t="s">
        <v>18811</v>
      </c>
      <c r="B2303" t="s">
        <v>769</v>
      </c>
      <c r="C2303" t="s">
        <v>729</v>
      </c>
      <c r="D2303" t="s">
        <v>621</v>
      </c>
      <c r="E2303" t="s">
        <v>626</v>
      </c>
      <c r="F2303" t="s">
        <v>598</v>
      </c>
      <c r="G2303" t="s">
        <v>599</v>
      </c>
      <c r="H2303" t="s">
        <v>600</v>
      </c>
      <c r="I2303" t="s">
        <v>601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hidden="1">
      <c r="A2304" t="s">
        <v>18811</v>
      </c>
      <c r="B2304" t="s">
        <v>770</v>
      </c>
      <c r="C2304" t="s">
        <v>729</v>
      </c>
      <c r="D2304" t="s">
        <v>621</v>
      </c>
      <c r="E2304" t="s">
        <v>628</v>
      </c>
      <c r="F2304" t="s">
        <v>598</v>
      </c>
      <c r="G2304" t="s">
        <v>599</v>
      </c>
      <c r="H2304" t="s">
        <v>600</v>
      </c>
      <c r="I2304" t="s">
        <v>601</v>
      </c>
      <c r="J2304">
        <v>2.7000000000000001E-3</v>
      </c>
      <c r="K2304">
        <v>2.7000000000000001E-3</v>
      </c>
      <c r="L2304">
        <v>2.7000000000000001E-3</v>
      </c>
      <c r="M2304">
        <v>2.7000000000000001E-3</v>
      </c>
      <c r="N2304">
        <v>2.7000000000000001E-3</v>
      </c>
      <c r="O2304">
        <v>2.7000000000000001E-3</v>
      </c>
      <c r="P2304">
        <v>2.7000000000000001E-3</v>
      </c>
      <c r="Q2304">
        <v>2.7000000000000001E-3</v>
      </c>
      <c r="R2304">
        <v>2.7000000000000001E-3</v>
      </c>
      <c r="S2304">
        <v>2.7000000000000001E-3</v>
      </c>
      <c r="T2304">
        <v>2.7000000000000001E-3</v>
      </c>
      <c r="U2304">
        <v>2.7000000000000001E-3</v>
      </c>
      <c r="V2304">
        <v>2.7000000000000001E-3</v>
      </c>
      <c r="W2304">
        <v>2.7000000000000001E-3</v>
      </c>
      <c r="X2304">
        <v>2.7000000000000001E-3</v>
      </c>
      <c r="Y2304">
        <v>2.7000000000000001E-3</v>
      </c>
    </row>
    <row r="2305" spans="1:25" hidden="1">
      <c r="A2305" t="s">
        <v>18811</v>
      </c>
      <c r="B2305" t="s">
        <v>775</v>
      </c>
      <c r="C2305" t="s">
        <v>729</v>
      </c>
      <c r="D2305" t="s">
        <v>621</v>
      </c>
      <c r="E2305" t="s">
        <v>630</v>
      </c>
      <c r="F2305" t="s">
        <v>598</v>
      </c>
      <c r="G2305" t="s">
        <v>599</v>
      </c>
      <c r="H2305" t="s">
        <v>600</v>
      </c>
      <c r="I2305" t="s">
        <v>601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</row>
    <row r="2306" spans="1:25" hidden="1">
      <c r="A2306" t="s">
        <v>18811</v>
      </c>
      <c r="B2306" t="s">
        <v>776</v>
      </c>
      <c r="C2306" t="s">
        <v>729</v>
      </c>
      <c r="D2306" t="s">
        <v>632</v>
      </c>
      <c r="E2306" t="s">
        <v>597</v>
      </c>
      <c r="F2306" t="s">
        <v>598</v>
      </c>
      <c r="G2306" t="s">
        <v>599</v>
      </c>
      <c r="H2306" t="s">
        <v>600</v>
      </c>
      <c r="I2306" t="s">
        <v>601</v>
      </c>
      <c r="J2306">
        <v>2E-3</v>
      </c>
      <c r="K2306">
        <v>2E-3</v>
      </c>
      <c r="L2306">
        <v>2E-3</v>
      </c>
      <c r="M2306">
        <v>2E-3</v>
      </c>
      <c r="N2306">
        <v>2E-3</v>
      </c>
      <c r="O2306">
        <v>2E-3</v>
      </c>
      <c r="P2306">
        <v>2E-3</v>
      </c>
      <c r="Q2306">
        <v>2E-3</v>
      </c>
      <c r="R2306">
        <v>2E-3</v>
      </c>
      <c r="S2306">
        <v>2E-3</v>
      </c>
      <c r="T2306">
        <v>2E-3</v>
      </c>
      <c r="U2306">
        <v>2E-3</v>
      </c>
      <c r="V2306">
        <v>2E-3</v>
      </c>
      <c r="W2306">
        <v>2E-3</v>
      </c>
      <c r="X2306">
        <v>2E-3</v>
      </c>
      <c r="Y2306">
        <v>2E-3</v>
      </c>
    </row>
    <row r="2307" spans="1:25" hidden="1">
      <c r="A2307" t="s">
        <v>18811</v>
      </c>
      <c r="B2307" t="s">
        <v>785</v>
      </c>
      <c r="C2307" t="s">
        <v>729</v>
      </c>
      <c r="D2307" t="s">
        <v>640</v>
      </c>
      <c r="E2307" t="s">
        <v>597</v>
      </c>
      <c r="F2307" t="s">
        <v>598</v>
      </c>
      <c r="G2307" t="s">
        <v>599</v>
      </c>
      <c r="H2307" t="s">
        <v>600</v>
      </c>
      <c r="I2307" t="s">
        <v>601</v>
      </c>
      <c r="J2307">
        <v>1.0699999999999999E-2</v>
      </c>
      <c r="K2307">
        <v>1.0999999999999999E-2</v>
      </c>
      <c r="L2307">
        <v>1.0800000000000001E-2</v>
      </c>
      <c r="M2307">
        <v>1.09E-2</v>
      </c>
      <c r="N2307">
        <v>1.12E-2</v>
      </c>
      <c r="O2307">
        <v>1.12E-2</v>
      </c>
      <c r="P2307">
        <v>1.12E-2</v>
      </c>
      <c r="Q2307">
        <v>1.17E-2</v>
      </c>
      <c r="R2307">
        <v>1.17E-2</v>
      </c>
      <c r="S2307">
        <v>1.1599999999999999E-2</v>
      </c>
      <c r="T2307">
        <v>1.17E-2</v>
      </c>
      <c r="U2307">
        <v>1.17E-2</v>
      </c>
      <c r="V2307">
        <v>1.1900000000000001E-2</v>
      </c>
      <c r="W2307">
        <v>1.21E-2</v>
      </c>
      <c r="X2307">
        <v>1.21E-2</v>
      </c>
      <c r="Y2307">
        <v>1.2200000000000001E-2</v>
      </c>
    </row>
    <row r="2308" spans="1:25" hidden="1">
      <c r="A2308" t="s">
        <v>18811</v>
      </c>
      <c r="B2308" t="s">
        <v>787</v>
      </c>
      <c r="C2308" t="s">
        <v>729</v>
      </c>
      <c r="D2308" t="s">
        <v>640</v>
      </c>
      <c r="E2308" t="s">
        <v>605</v>
      </c>
      <c r="F2308" t="s">
        <v>598</v>
      </c>
      <c r="G2308" t="s">
        <v>599</v>
      </c>
      <c r="H2308" t="s">
        <v>600</v>
      </c>
      <c r="I2308" t="s">
        <v>601</v>
      </c>
      <c r="J2308">
        <v>2.9999999999999997E-4</v>
      </c>
      <c r="K2308">
        <v>2.9999999999999997E-4</v>
      </c>
      <c r="L2308">
        <v>2.9999999999999997E-4</v>
      </c>
      <c r="M2308">
        <v>2.9999999999999997E-4</v>
      </c>
      <c r="N2308">
        <v>2.9999999999999997E-4</v>
      </c>
      <c r="O2308">
        <v>2.9999999999999997E-4</v>
      </c>
      <c r="P2308">
        <v>2.9999999999999997E-4</v>
      </c>
      <c r="Q2308">
        <v>2.9999999999999997E-4</v>
      </c>
      <c r="R2308">
        <v>2.9999999999999997E-4</v>
      </c>
      <c r="S2308">
        <v>2.9999999999999997E-4</v>
      </c>
      <c r="T2308">
        <v>2.9999999999999997E-4</v>
      </c>
      <c r="U2308">
        <v>2.9999999999999997E-4</v>
      </c>
      <c r="V2308">
        <v>2.9999999999999997E-4</v>
      </c>
      <c r="W2308">
        <v>2.9999999999999997E-4</v>
      </c>
      <c r="X2308">
        <v>2.9999999999999997E-4</v>
      </c>
      <c r="Y2308">
        <v>2.9999999999999997E-4</v>
      </c>
    </row>
    <row r="2309" spans="1:25" hidden="1">
      <c r="A2309" t="s">
        <v>18811</v>
      </c>
      <c r="B2309" t="s">
        <v>795</v>
      </c>
      <c r="C2309" t="s">
        <v>729</v>
      </c>
      <c r="D2309" t="s">
        <v>648</v>
      </c>
      <c r="E2309" t="s">
        <v>597</v>
      </c>
      <c r="F2309" t="s">
        <v>598</v>
      </c>
      <c r="G2309" t="s">
        <v>599</v>
      </c>
      <c r="H2309" t="s">
        <v>600</v>
      </c>
      <c r="I2309" t="s">
        <v>601</v>
      </c>
      <c r="J2309">
        <v>4.99E-2</v>
      </c>
      <c r="K2309">
        <v>4.99E-2</v>
      </c>
      <c r="L2309">
        <v>4.9399999999999999E-2</v>
      </c>
      <c r="M2309">
        <v>0.05</v>
      </c>
      <c r="N2309">
        <v>5.0599999999999999E-2</v>
      </c>
      <c r="O2309">
        <v>5.0700000000000002E-2</v>
      </c>
      <c r="P2309">
        <v>5.0900000000000001E-2</v>
      </c>
      <c r="Q2309">
        <v>5.1700000000000003E-2</v>
      </c>
      <c r="R2309">
        <v>5.1799999999999999E-2</v>
      </c>
      <c r="S2309">
        <v>5.16E-2</v>
      </c>
      <c r="T2309">
        <v>5.1900000000000002E-2</v>
      </c>
      <c r="U2309">
        <v>5.2299999999999999E-2</v>
      </c>
      <c r="V2309">
        <v>5.28E-2</v>
      </c>
      <c r="W2309">
        <v>5.3499999999999999E-2</v>
      </c>
      <c r="X2309">
        <v>5.3699999999999998E-2</v>
      </c>
      <c r="Y2309">
        <v>5.4199999999999998E-2</v>
      </c>
    </row>
    <row r="2310" spans="1:25" hidden="1">
      <c r="A2310" t="s">
        <v>18811</v>
      </c>
      <c r="B2310" t="s">
        <v>796</v>
      </c>
      <c r="C2310" t="s">
        <v>729</v>
      </c>
      <c r="D2310" t="s">
        <v>648</v>
      </c>
      <c r="E2310" t="s">
        <v>642</v>
      </c>
      <c r="F2310" t="s">
        <v>598</v>
      </c>
      <c r="G2310" t="s">
        <v>599</v>
      </c>
      <c r="H2310" t="s">
        <v>600</v>
      </c>
      <c r="I2310" t="s">
        <v>601</v>
      </c>
      <c r="J2310">
        <v>5.9999999999999995E-4</v>
      </c>
      <c r="K2310">
        <v>5.9999999999999995E-4</v>
      </c>
      <c r="L2310">
        <v>5.9999999999999995E-4</v>
      </c>
      <c r="M2310">
        <v>5.9999999999999995E-4</v>
      </c>
      <c r="N2310">
        <v>5.9999999999999995E-4</v>
      </c>
      <c r="O2310">
        <v>5.9999999999999995E-4</v>
      </c>
      <c r="P2310">
        <v>5.9999999999999995E-4</v>
      </c>
      <c r="Q2310">
        <v>5.9999999999999995E-4</v>
      </c>
      <c r="R2310">
        <v>5.9999999999999995E-4</v>
      </c>
      <c r="S2310">
        <v>5.9999999999999995E-4</v>
      </c>
      <c r="T2310">
        <v>5.9999999999999995E-4</v>
      </c>
      <c r="U2310">
        <v>5.9999999999999995E-4</v>
      </c>
      <c r="V2310">
        <v>5.9999999999999995E-4</v>
      </c>
      <c r="W2310">
        <v>5.9999999999999995E-4</v>
      </c>
      <c r="X2310">
        <v>5.9999999999999995E-4</v>
      </c>
      <c r="Y2310">
        <v>5.9999999999999995E-4</v>
      </c>
    </row>
    <row r="2311" spans="1:25" hidden="1">
      <c r="A2311" t="s">
        <v>18811</v>
      </c>
      <c r="B2311" t="s">
        <v>803</v>
      </c>
      <c r="C2311" t="s">
        <v>804</v>
      </c>
      <c r="D2311" t="s">
        <v>596</v>
      </c>
      <c r="E2311" t="s">
        <v>597</v>
      </c>
      <c r="F2311" t="s">
        <v>598</v>
      </c>
      <c r="G2311" t="s">
        <v>599</v>
      </c>
      <c r="H2311" t="s">
        <v>600</v>
      </c>
      <c r="I2311" t="s">
        <v>601</v>
      </c>
      <c r="J2311">
        <v>0.26919999999999999</v>
      </c>
      <c r="K2311">
        <v>0.26640000000000003</v>
      </c>
      <c r="L2311">
        <v>0.2611</v>
      </c>
      <c r="M2311">
        <v>0.2646</v>
      </c>
      <c r="N2311">
        <v>0.2626</v>
      </c>
      <c r="O2311">
        <v>0.26050000000000001</v>
      </c>
      <c r="P2311">
        <v>0.2601</v>
      </c>
      <c r="Q2311">
        <v>0.2586</v>
      </c>
      <c r="R2311">
        <v>0.25459999999999999</v>
      </c>
      <c r="S2311">
        <v>0.252</v>
      </c>
      <c r="T2311">
        <v>0.25019999999999998</v>
      </c>
      <c r="U2311">
        <v>0.249</v>
      </c>
      <c r="V2311">
        <v>0.2495</v>
      </c>
      <c r="W2311">
        <v>0.25019999999999998</v>
      </c>
      <c r="X2311">
        <v>0.248</v>
      </c>
      <c r="Y2311">
        <v>0.24779999999999999</v>
      </c>
    </row>
    <row r="2312" spans="1:25" hidden="1">
      <c r="A2312" t="s">
        <v>18811</v>
      </c>
      <c r="B2312" t="s">
        <v>805</v>
      </c>
      <c r="C2312" t="s">
        <v>804</v>
      </c>
      <c r="D2312" t="s">
        <v>596</v>
      </c>
      <c r="E2312" t="s">
        <v>603</v>
      </c>
      <c r="F2312" t="s">
        <v>598</v>
      </c>
      <c r="G2312" t="s">
        <v>599</v>
      </c>
      <c r="H2312" t="s">
        <v>600</v>
      </c>
      <c r="I2312" t="s">
        <v>601</v>
      </c>
      <c r="J2312">
        <v>4.0000000000000002E-4</v>
      </c>
      <c r="K2312">
        <v>4.0000000000000002E-4</v>
      </c>
      <c r="L2312">
        <v>4.0000000000000002E-4</v>
      </c>
      <c r="M2312">
        <v>4.0000000000000002E-4</v>
      </c>
      <c r="N2312">
        <v>4.0000000000000002E-4</v>
      </c>
      <c r="O2312">
        <v>4.0000000000000002E-4</v>
      </c>
      <c r="P2312">
        <v>4.0000000000000002E-4</v>
      </c>
      <c r="Q2312">
        <v>4.0000000000000002E-4</v>
      </c>
      <c r="R2312">
        <v>4.0000000000000002E-4</v>
      </c>
      <c r="S2312">
        <v>4.0000000000000002E-4</v>
      </c>
      <c r="T2312">
        <v>4.0000000000000002E-4</v>
      </c>
      <c r="U2312">
        <v>4.0000000000000002E-4</v>
      </c>
      <c r="V2312">
        <v>4.0000000000000002E-4</v>
      </c>
      <c r="W2312">
        <v>4.0000000000000002E-4</v>
      </c>
      <c r="X2312">
        <v>4.0000000000000002E-4</v>
      </c>
      <c r="Y2312">
        <v>4.0000000000000002E-4</v>
      </c>
    </row>
    <row r="2313" spans="1:25" hidden="1">
      <c r="A2313" t="s">
        <v>18811</v>
      </c>
      <c r="B2313" t="s">
        <v>806</v>
      </c>
      <c r="C2313" t="s">
        <v>804</v>
      </c>
      <c r="D2313" t="s">
        <v>596</v>
      </c>
      <c r="E2313" t="s">
        <v>605</v>
      </c>
      <c r="F2313" t="s">
        <v>598</v>
      </c>
      <c r="G2313" t="s">
        <v>599</v>
      </c>
      <c r="H2313" t="s">
        <v>600</v>
      </c>
      <c r="I2313" t="s">
        <v>601</v>
      </c>
      <c r="J2313">
        <v>4.0000000000000002E-4</v>
      </c>
      <c r="K2313">
        <v>4.0000000000000002E-4</v>
      </c>
      <c r="L2313">
        <v>4.0000000000000002E-4</v>
      </c>
      <c r="M2313">
        <v>4.0000000000000002E-4</v>
      </c>
      <c r="N2313">
        <v>4.0000000000000002E-4</v>
      </c>
      <c r="O2313">
        <v>4.0000000000000002E-4</v>
      </c>
      <c r="P2313">
        <v>4.0000000000000002E-4</v>
      </c>
      <c r="Q2313">
        <v>4.0000000000000002E-4</v>
      </c>
      <c r="R2313">
        <v>4.0000000000000002E-4</v>
      </c>
      <c r="S2313">
        <v>4.0000000000000002E-4</v>
      </c>
      <c r="T2313">
        <v>4.0000000000000002E-4</v>
      </c>
      <c r="U2313">
        <v>4.0000000000000002E-4</v>
      </c>
      <c r="V2313">
        <v>4.0000000000000002E-4</v>
      </c>
      <c r="W2313">
        <v>4.0000000000000002E-4</v>
      </c>
      <c r="X2313">
        <v>4.0000000000000002E-4</v>
      </c>
      <c r="Y2313">
        <v>4.0000000000000002E-4</v>
      </c>
    </row>
    <row r="2314" spans="1:25" hidden="1">
      <c r="A2314" t="s">
        <v>18811</v>
      </c>
      <c r="B2314" t="s">
        <v>809</v>
      </c>
      <c r="C2314" t="s">
        <v>804</v>
      </c>
      <c r="D2314" t="s">
        <v>596</v>
      </c>
      <c r="E2314" t="s">
        <v>735</v>
      </c>
      <c r="F2314" t="s">
        <v>598</v>
      </c>
      <c r="G2314" t="s">
        <v>599</v>
      </c>
      <c r="H2314" t="s">
        <v>600</v>
      </c>
      <c r="I2314" t="s">
        <v>601</v>
      </c>
      <c r="J2314">
        <v>2.0000000000000001E-4</v>
      </c>
      <c r="K2314">
        <v>2.0000000000000001E-4</v>
      </c>
      <c r="L2314">
        <v>2.0000000000000001E-4</v>
      </c>
      <c r="M2314">
        <v>2.0000000000000001E-4</v>
      </c>
      <c r="N2314">
        <v>2.0000000000000001E-4</v>
      </c>
      <c r="O2314">
        <v>2.0000000000000001E-4</v>
      </c>
      <c r="P2314">
        <v>2.0000000000000001E-4</v>
      </c>
      <c r="Q2314">
        <v>2.0000000000000001E-4</v>
      </c>
      <c r="R2314">
        <v>2.0000000000000001E-4</v>
      </c>
      <c r="S2314">
        <v>2.0000000000000001E-4</v>
      </c>
      <c r="T2314">
        <v>2.0000000000000001E-4</v>
      </c>
      <c r="U2314">
        <v>2.0000000000000001E-4</v>
      </c>
      <c r="V2314">
        <v>2.0000000000000001E-4</v>
      </c>
      <c r="W2314">
        <v>2.0000000000000001E-4</v>
      </c>
      <c r="X2314">
        <v>2.0000000000000001E-4</v>
      </c>
      <c r="Y2314">
        <v>2.0000000000000001E-4</v>
      </c>
    </row>
    <row r="2315" spans="1:25" hidden="1">
      <c r="A2315" t="s">
        <v>18811</v>
      </c>
      <c r="B2315" t="s">
        <v>810</v>
      </c>
      <c r="C2315" t="s">
        <v>804</v>
      </c>
      <c r="D2315" t="s">
        <v>596</v>
      </c>
      <c r="E2315" t="s">
        <v>613</v>
      </c>
      <c r="F2315" t="s">
        <v>598</v>
      </c>
      <c r="G2315" t="s">
        <v>599</v>
      </c>
      <c r="H2315" t="s">
        <v>600</v>
      </c>
      <c r="I2315" t="s">
        <v>601</v>
      </c>
      <c r="J2315">
        <v>7.0000000000000001E-3</v>
      </c>
      <c r="K2315">
        <v>7.1999999999999998E-3</v>
      </c>
      <c r="L2315">
        <v>7.3000000000000001E-3</v>
      </c>
      <c r="M2315">
        <v>7.4999999999999997E-3</v>
      </c>
      <c r="N2315">
        <v>7.6E-3</v>
      </c>
      <c r="O2315">
        <v>7.7999999999999996E-3</v>
      </c>
      <c r="P2315">
        <v>7.9000000000000008E-3</v>
      </c>
      <c r="Q2315">
        <v>8.0999999999999996E-3</v>
      </c>
      <c r="R2315">
        <v>8.2000000000000007E-3</v>
      </c>
      <c r="S2315">
        <v>8.3999999999999995E-3</v>
      </c>
      <c r="T2315">
        <v>8.5000000000000006E-3</v>
      </c>
      <c r="U2315">
        <v>8.6E-3</v>
      </c>
      <c r="V2315">
        <v>8.8000000000000005E-3</v>
      </c>
      <c r="W2315">
        <v>8.9999999999999993E-3</v>
      </c>
      <c r="X2315">
        <v>9.1000000000000004E-3</v>
      </c>
      <c r="Y2315">
        <v>9.2999999999999992E-3</v>
      </c>
    </row>
    <row r="2316" spans="1:25" hidden="1">
      <c r="A2316" t="s">
        <v>18811</v>
      </c>
      <c r="B2316" t="s">
        <v>812</v>
      </c>
      <c r="C2316" t="s">
        <v>804</v>
      </c>
      <c r="D2316" t="s">
        <v>596</v>
      </c>
      <c r="E2316" t="s">
        <v>619</v>
      </c>
      <c r="F2316" t="s">
        <v>598</v>
      </c>
      <c r="G2316" t="s">
        <v>599</v>
      </c>
      <c r="H2316" t="s">
        <v>600</v>
      </c>
      <c r="I2316" t="s">
        <v>601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</row>
    <row r="2317" spans="1:25" hidden="1">
      <c r="A2317" t="s">
        <v>18811</v>
      </c>
      <c r="B2317" t="s">
        <v>815</v>
      </c>
      <c r="C2317" t="s">
        <v>804</v>
      </c>
      <c r="D2317" t="s">
        <v>671</v>
      </c>
      <c r="E2317" t="s">
        <v>597</v>
      </c>
      <c r="F2317" t="s">
        <v>598</v>
      </c>
      <c r="G2317" t="s">
        <v>599</v>
      </c>
      <c r="H2317" t="s">
        <v>600</v>
      </c>
      <c r="I2317" t="s">
        <v>601</v>
      </c>
      <c r="J2317">
        <v>4.3900000000000002E-2</v>
      </c>
      <c r="K2317">
        <v>4.3499999999999997E-2</v>
      </c>
      <c r="L2317">
        <v>4.2900000000000001E-2</v>
      </c>
      <c r="M2317">
        <v>4.3400000000000001E-2</v>
      </c>
      <c r="N2317">
        <v>4.2799999999999998E-2</v>
      </c>
      <c r="O2317">
        <v>4.2299999999999997E-2</v>
      </c>
      <c r="P2317">
        <v>4.24E-2</v>
      </c>
      <c r="Q2317">
        <v>4.2000000000000003E-2</v>
      </c>
      <c r="R2317">
        <v>4.1599999999999998E-2</v>
      </c>
      <c r="S2317">
        <v>4.0599999999999997E-2</v>
      </c>
      <c r="T2317">
        <v>4.0500000000000001E-2</v>
      </c>
      <c r="U2317">
        <v>4.0300000000000002E-2</v>
      </c>
      <c r="V2317">
        <v>4.0399999999999998E-2</v>
      </c>
      <c r="W2317">
        <v>4.0500000000000001E-2</v>
      </c>
      <c r="X2317">
        <v>4.0099999999999997E-2</v>
      </c>
      <c r="Y2317">
        <v>0.04</v>
      </c>
    </row>
    <row r="2318" spans="1:25" hidden="1">
      <c r="A2318" t="s">
        <v>18811</v>
      </c>
      <c r="B2318" t="s">
        <v>816</v>
      </c>
      <c r="C2318" t="s">
        <v>804</v>
      </c>
      <c r="D2318" t="s">
        <v>671</v>
      </c>
      <c r="E2318" t="s">
        <v>642</v>
      </c>
      <c r="F2318" t="s">
        <v>598</v>
      </c>
      <c r="G2318" t="s">
        <v>599</v>
      </c>
      <c r="H2318" t="s">
        <v>600</v>
      </c>
      <c r="I2318" t="s">
        <v>601</v>
      </c>
      <c r="J2318">
        <v>2.0000000000000001E-4</v>
      </c>
      <c r="K2318">
        <v>2.0000000000000001E-4</v>
      </c>
      <c r="L2318">
        <v>2.0000000000000001E-4</v>
      </c>
      <c r="M2318">
        <v>2.0000000000000001E-4</v>
      </c>
      <c r="N2318">
        <v>2.0000000000000001E-4</v>
      </c>
      <c r="O2318">
        <v>2.0000000000000001E-4</v>
      </c>
      <c r="P2318">
        <v>2.0000000000000001E-4</v>
      </c>
      <c r="Q2318">
        <v>2.0000000000000001E-4</v>
      </c>
      <c r="R2318">
        <v>2.0000000000000001E-4</v>
      </c>
      <c r="S2318">
        <v>2.0000000000000001E-4</v>
      </c>
      <c r="T2318">
        <v>2.0000000000000001E-4</v>
      </c>
      <c r="U2318">
        <v>2.0000000000000001E-4</v>
      </c>
      <c r="V2318">
        <v>2.0000000000000001E-4</v>
      </c>
      <c r="W2318">
        <v>2.0000000000000001E-4</v>
      </c>
      <c r="X2318">
        <v>2.0000000000000001E-4</v>
      </c>
      <c r="Y2318">
        <v>2.0000000000000001E-4</v>
      </c>
    </row>
    <row r="2319" spans="1:25" hidden="1">
      <c r="A2319" t="s">
        <v>18811</v>
      </c>
      <c r="B2319" t="s">
        <v>818</v>
      </c>
      <c r="C2319" t="s">
        <v>804</v>
      </c>
      <c r="D2319" t="s">
        <v>753</v>
      </c>
      <c r="E2319" t="s">
        <v>597</v>
      </c>
      <c r="F2319" t="s">
        <v>598</v>
      </c>
      <c r="G2319" t="s">
        <v>599</v>
      </c>
      <c r="H2319" t="s">
        <v>600</v>
      </c>
      <c r="I2319" t="s">
        <v>601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5" hidden="1">
      <c r="A2320" t="s">
        <v>18811</v>
      </c>
      <c r="B2320" t="s">
        <v>820</v>
      </c>
      <c r="C2320" t="s">
        <v>804</v>
      </c>
      <c r="D2320" t="s">
        <v>621</v>
      </c>
      <c r="E2320" t="s">
        <v>597</v>
      </c>
      <c r="F2320" t="s">
        <v>598</v>
      </c>
      <c r="G2320" t="s">
        <v>599</v>
      </c>
      <c r="H2320" t="s">
        <v>600</v>
      </c>
      <c r="I2320" t="s">
        <v>601</v>
      </c>
      <c r="J2320">
        <v>8.0000000000000004E-4</v>
      </c>
      <c r="K2320">
        <v>8.0000000000000004E-4</v>
      </c>
      <c r="L2320">
        <v>8.0000000000000004E-4</v>
      </c>
      <c r="M2320">
        <v>8.0000000000000004E-4</v>
      </c>
      <c r="N2320">
        <v>8.0000000000000004E-4</v>
      </c>
      <c r="O2320">
        <v>8.0000000000000004E-4</v>
      </c>
      <c r="P2320">
        <v>8.0000000000000004E-4</v>
      </c>
      <c r="Q2320">
        <v>8.0000000000000004E-4</v>
      </c>
      <c r="R2320">
        <v>8.0000000000000004E-4</v>
      </c>
      <c r="S2320">
        <v>8.0000000000000004E-4</v>
      </c>
      <c r="T2320">
        <v>8.0000000000000004E-4</v>
      </c>
      <c r="U2320">
        <v>8.0000000000000004E-4</v>
      </c>
      <c r="V2320">
        <v>8.0000000000000004E-4</v>
      </c>
      <c r="W2320">
        <v>8.0000000000000004E-4</v>
      </c>
      <c r="X2320">
        <v>8.0000000000000004E-4</v>
      </c>
      <c r="Y2320">
        <v>8.0000000000000004E-4</v>
      </c>
    </row>
    <row r="2321" spans="1:25" hidden="1">
      <c r="A2321" t="s">
        <v>18811</v>
      </c>
      <c r="B2321" t="s">
        <v>822</v>
      </c>
      <c r="C2321" t="s">
        <v>804</v>
      </c>
      <c r="D2321" t="s">
        <v>621</v>
      </c>
      <c r="E2321" t="s">
        <v>603</v>
      </c>
      <c r="F2321" t="s">
        <v>598</v>
      </c>
      <c r="G2321" t="s">
        <v>599</v>
      </c>
      <c r="H2321" t="s">
        <v>600</v>
      </c>
      <c r="I2321" t="s">
        <v>601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</row>
    <row r="2322" spans="1:25" hidden="1">
      <c r="A2322" t="s">
        <v>18811</v>
      </c>
      <c r="B2322" t="s">
        <v>823</v>
      </c>
      <c r="C2322" t="s">
        <v>804</v>
      </c>
      <c r="D2322" t="s">
        <v>621</v>
      </c>
      <c r="E2322" t="s">
        <v>768</v>
      </c>
      <c r="F2322" t="s">
        <v>598</v>
      </c>
      <c r="G2322" t="s">
        <v>599</v>
      </c>
      <c r="H2322" t="s">
        <v>600</v>
      </c>
      <c r="I2322" t="s">
        <v>601</v>
      </c>
      <c r="J2322">
        <v>6.9999999999999999E-4</v>
      </c>
      <c r="K2322">
        <v>6.9999999999999999E-4</v>
      </c>
      <c r="L2322">
        <v>6.9999999999999999E-4</v>
      </c>
      <c r="M2322">
        <v>6.9999999999999999E-4</v>
      </c>
      <c r="N2322">
        <v>6.9999999999999999E-4</v>
      </c>
      <c r="O2322">
        <v>6.9999999999999999E-4</v>
      </c>
      <c r="P2322">
        <v>6.9999999999999999E-4</v>
      </c>
      <c r="Q2322">
        <v>6.9999999999999999E-4</v>
      </c>
      <c r="R2322">
        <v>6.9999999999999999E-4</v>
      </c>
      <c r="S2322">
        <v>6.9999999999999999E-4</v>
      </c>
      <c r="T2322">
        <v>6.9999999999999999E-4</v>
      </c>
      <c r="U2322">
        <v>6.9999999999999999E-4</v>
      </c>
      <c r="V2322">
        <v>6.9999999999999999E-4</v>
      </c>
      <c r="W2322">
        <v>6.9999999999999999E-4</v>
      </c>
      <c r="X2322">
        <v>6.9999999999999999E-4</v>
      </c>
      <c r="Y2322">
        <v>6.9999999999999999E-4</v>
      </c>
    </row>
    <row r="2323" spans="1:25" hidden="1">
      <c r="A2323" t="s">
        <v>18811</v>
      </c>
      <c r="B2323" t="s">
        <v>825</v>
      </c>
      <c r="C2323" t="s">
        <v>804</v>
      </c>
      <c r="D2323" t="s">
        <v>621</v>
      </c>
      <c r="E2323" t="s">
        <v>628</v>
      </c>
      <c r="F2323" t="s">
        <v>598</v>
      </c>
      <c r="G2323" t="s">
        <v>599</v>
      </c>
      <c r="H2323" t="s">
        <v>600</v>
      </c>
      <c r="I2323" t="s">
        <v>601</v>
      </c>
      <c r="J2323">
        <v>2.0000000000000001E-4</v>
      </c>
      <c r="K2323">
        <v>2.0000000000000001E-4</v>
      </c>
      <c r="L2323">
        <v>2.0000000000000001E-4</v>
      </c>
      <c r="M2323">
        <v>2.0000000000000001E-4</v>
      </c>
      <c r="N2323">
        <v>2.0000000000000001E-4</v>
      </c>
      <c r="O2323">
        <v>2.0000000000000001E-4</v>
      </c>
      <c r="P2323">
        <v>2.0000000000000001E-4</v>
      </c>
      <c r="Q2323">
        <v>2.0000000000000001E-4</v>
      </c>
      <c r="R2323">
        <v>2.0000000000000001E-4</v>
      </c>
      <c r="S2323">
        <v>2.0000000000000001E-4</v>
      </c>
      <c r="T2323">
        <v>2.0000000000000001E-4</v>
      </c>
      <c r="U2323">
        <v>2.0000000000000001E-4</v>
      </c>
      <c r="V2323">
        <v>2.0000000000000001E-4</v>
      </c>
      <c r="W2323">
        <v>2.0000000000000001E-4</v>
      </c>
      <c r="X2323">
        <v>2.0000000000000001E-4</v>
      </c>
      <c r="Y2323">
        <v>2.0000000000000001E-4</v>
      </c>
    </row>
    <row r="2324" spans="1:25" hidden="1">
      <c r="A2324" t="s">
        <v>18811</v>
      </c>
      <c r="B2324" t="s">
        <v>827</v>
      </c>
      <c r="C2324" t="s">
        <v>804</v>
      </c>
      <c r="D2324" t="s">
        <v>828</v>
      </c>
      <c r="E2324" t="s">
        <v>597</v>
      </c>
      <c r="F2324" t="s">
        <v>598</v>
      </c>
      <c r="G2324" t="s">
        <v>599</v>
      </c>
      <c r="H2324" t="s">
        <v>600</v>
      </c>
      <c r="I2324" t="s">
        <v>601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hidden="1">
      <c r="A2325" t="s">
        <v>18811</v>
      </c>
      <c r="B2325" t="s">
        <v>829</v>
      </c>
      <c r="C2325" t="s">
        <v>804</v>
      </c>
      <c r="D2325" t="s">
        <v>828</v>
      </c>
      <c r="E2325" t="s">
        <v>628</v>
      </c>
      <c r="F2325" t="s">
        <v>598</v>
      </c>
      <c r="G2325" t="s">
        <v>599</v>
      </c>
      <c r="H2325" t="s">
        <v>600</v>
      </c>
      <c r="I2325" t="s">
        <v>601</v>
      </c>
      <c r="J2325">
        <v>2.9999999999999997E-4</v>
      </c>
      <c r="K2325">
        <v>2.9999999999999997E-4</v>
      </c>
      <c r="L2325">
        <v>2.9999999999999997E-4</v>
      </c>
      <c r="M2325">
        <v>2.9999999999999997E-4</v>
      </c>
      <c r="N2325">
        <v>2.9999999999999997E-4</v>
      </c>
      <c r="O2325">
        <v>2.9999999999999997E-4</v>
      </c>
      <c r="P2325">
        <v>2.9999999999999997E-4</v>
      </c>
      <c r="Q2325">
        <v>2.9999999999999997E-4</v>
      </c>
      <c r="R2325">
        <v>2.9999999999999997E-4</v>
      </c>
      <c r="S2325">
        <v>2.9999999999999997E-4</v>
      </c>
      <c r="T2325">
        <v>2.9999999999999997E-4</v>
      </c>
      <c r="U2325">
        <v>2.9999999999999997E-4</v>
      </c>
      <c r="V2325">
        <v>2.9999999999999997E-4</v>
      </c>
      <c r="W2325">
        <v>2.9999999999999997E-4</v>
      </c>
      <c r="X2325">
        <v>2.9999999999999997E-4</v>
      </c>
      <c r="Y2325">
        <v>2.9999999999999997E-4</v>
      </c>
    </row>
    <row r="2326" spans="1:25" hidden="1">
      <c r="A2326" t="s">
        <v>18811</v>
      </c>
      <c r="B2326" t="s">
        <v>830</v>
      </c>
      <c r="C2326" t="s">
        <v>804</v>
      </c>
      <c r="D2326" t="s">
        <v>828</v>
      </c>
      <c r="E2326" t="s">
        <v>628</v>
      </c>
      <c r="F2326" t="s">
        <v>831</v>
      </c>
      <c r="G2326" t="s">
        <v>599</v>
      </c>
      <c r="H2326" t="s">
        <v>600</v>
      </c>
      <c r="I2326" t="s">
        <v>601</v>
      </c>
      <c r="J2326">
        <v>0.1467</v>
      </c>
      <c r="K2326">
        <v>5.7500000000000002E-2</v>
      </c>
      <c r="L2326">
        <v>5.2299999999999999E-2</v>
      </c>
      <c r="M2326">
        <v>5.0200000000000002E-2</v>
      </c>
      <c r="N2326">
        <v>0.05</v>
      </c>
      <c r="O2326">
        <v>0.05</v>
      </c>
      <c r="P2326">
        <v>0.05</v>
      </c>
      <c r="Q2326">
        <v>4.9799999999999997E-2</v>
      </c>
      <c r="R2326">
        <v>4.9299999999999997E-2</v>
      </c>
      <c r="S2326">
        <v>4.8800000000000003E-2</v>
      </c>
      <c r="T2326">
        <v>4.8099999999999997E-2</v>
      </c>
      <c r="U2326">
        <v>4.7E-2</v>
      </c>
      <c r="V2326">
        <v>4.5999999999999999E-2</v>
      </c>
      <c r="W2326">
        <v>4.4299999999999999E-2</v>
      </c>
      <c r="X2326">
        <v>4.2299999999999997E-2</v>
      </c>
      <c r="Y2326">
        <v>4.0399999999999998E-2</v>
      </c>
    </row>
    <row r="2327" spans="1:25" hidden="1">
      <c r="A2327" t="s">
        <v>18811</v>
      </c>
      <c r="B2327" t="s">
        <v>832</v>
      </c>
      <c r="C2327" t="s">
        <v>804</v>
      </c>
      <c r="D2327" t="s">
        <v>828</v>
      </c>
      <c r="E2327" t="s">
        <v>628</v>
      </c>
      <c r="F2327" t="s">
        <v>833</v>
      </c>
      <c r="G2327" t="s">
        <v>599</v>
      </c>
      <c r="H2327" t="s">
        <v>600</v>
      </c>
      <c r="I2327" t="s">
        <v>601</v>
      </c>
      <c r="J2327">
        <v>0.14560000000000001</v>
      </c>
      <c r="K2327">
        <v>0.13819999999999999</v>
      </c>
      <c r="L2327">
        <v>0.13100000000000001</v>
      </c>
      <c r="M2327">
        <v>0.1235</v>
      </c>
      <c r="N2327">
        <v>0.11550000000000001</v>
      </c>
      <c r="O2327">
        <v>0.10680000000000001</v>
      </c>
      <c r="P2327">
        <v>9.7699999999999995E-2</v>
      </c>
      <c r="Q2327">
        <v>8.8700000000000001E-2</v>
      </c>
      <c r="R2327">
        <v>8.0399999999999999E-2</v>
      </c>
      <c r="S2327">
        <v>7.2900000000000006E-2</v>
      </c>
      <c r="T2327">
        <v>6.6199999999999995E-2</v>
      </c>
      <c r="U2327">
        <v>5.9900000000000002E-2</v>
      </c>
      <c r="V2327">
        <v>5.3900000000000003E-2</v>
      </c>
      <c r="W2327">
        <v>4.8500000000000001E-2</v>
      </c>
      <c r="X2327">
        <v>4.3200000000000002E-2</v>
      </c>
      <c r="Y2327">
        <v>3.8300000000000001E-2</v>
      </c>
    </row>
    <row r="2328" spans="1:25" hidden="1">
      <c r="A2328" t="s">
        <v>18811</v>
      </c>
      <c r="B2328" t="s">
        <v>834</v>
      </c>
      <c r="C2328" t="s">
        <v>804</v>
      </c>
      <c r="D2328" t="s">
        <v>632</v>
      </c>
      <c r="E2328" t="s">
        <v>597</v>
      </c>
      <c r="F2328" t="s">
        <v>598</v>
      </c>
      <c r="G2328" t="s">
        <v>599</v>
      </c>
      <c r="H2328" t="s">
        <v>600</v>
      </c>
      <c r="I2328" t="s">
        <v>601</v>
      </c>
      <c r="J2328">
        <v>2.8999999999999998E-3</v>
      </c>
      <c r="K2328">
        <v>2.8999999999999998E-3</v>
      </c>
      <c r="L2328">
        <v>2.8E-3</v>
      </c>
      <c r="M2328">
        <v>2.8E-3</v>
      </c>
      <c r="N2328">
        <v>2.8E-3</v>
      </c>
      <c r="O2328">
        <v>2.8E-3</v>
      </c>
      <c r="P2328">
        <v>2.7000000000000001E-3</v>
      </c>
      <c r="Q2328">
        <v>2.7000000000000001E-3</v>
      </c>
      <c r="R2328">
        <v>2.7000000000000001E-3</v>
      </c>
      <c r="S2328">
        <v>2.5999999999999999E-3</v>
      </c>
      <c r="T2328">
        <v>2.5999999999999999E-3</v>
      </c>
      <c r="U2328">
        <v>2.5999999999999999E-3</v>
      </c>
      <c r="V2328">
        <v>2.5999999999999999E-3</v>
      </c>
      <c r="W2328">
        <v>2.5999999999999999E-3</v>
      </c>
      <c r="X2328">
        <v>2.5000000000000001E-3</v>
      </c>
      <c r="Y2328">
        <v>2.5000000000000001E-3</v>
      </c>
    </row>
    <row r="2329" spans="1:25" hidden="1">
      <c r="A2329" t="s">
        <v>18811</v>
      </c>
      <c r="B2329" t="s">
        <v>835</v>
      </c>
      <c r="C2329" t="s">
        <v>804</v>
      </c>
      <c r="D2329" t="s">
        <v>632</v>
      </c>
      <c r="E2329" t="s">
        <v>768</v>
      </c>
      <c r="F2329" t="s">
        <v>598</v>
      </c>
      <c r="G2329" t="s">
        <v>599</v>
      </c>
      <c r="H2329" t="s">
        <v>600</v>
      </c>
      <c r="I2329" t="s">
        <v>601</v>
      </c>
      <c r="J2329">
        <v>1E-4</v>
      </c>
      <c r="K2329">
        <v>1E-4</v>
      </c>
      <c r="L2329">
        <v>1E-4</v>
      </c>
      <c r="M2329">
        <v>1E-4</v>
      </c>
      <c r="N2329">
        <v>1E-4</v>
      </c>
      <c r="O2329">
        <v>1E-4</v>
      </c>
      <c r="P2329">
        <v>1E-4</v>
      </c>
      <c r="Q2329">
        <v>1E-4</v>
      </c>
      <c r="R2329">
        <v>1E-4</v>
      </c>
      <c r="S2329">
        <v>1E-4</v>
      </c>
      <c r="T2329">
        <v>1E-4</v>
      </c>
      <c r="U2329">
        <v>1E-4</v>
      </c>
      <c r="V2329">
        <v>1E-4</v>
      </c>
      <c r="W2329">
        <v>1E-4</v>
      </c>
      <c r="X2329">
        <v>1E-4</v>
      </c>
      <c r="Y2329">
        <v>1E-4</v>
      </c>
    </row>
    <row r="2330" spans="1:25" hidden="1">
      <c r="A2330" t="s">
        <v>18811</v>
      </c>
      <c r="B2330" t="s">
        <v>836</v>
      </c>
      <c r="C2330" t="s">
        <v>804</v>
      </c>
      <c r="D2330" t="s">
        <v>640</v>
      </c>
      <c r="E2330" t="s">
        <v>597</v>
      </c>
      <c r="F2330" t="s">
        <v>598</v>
      </c>
      <c r="G2330" t="s">
        <v>599</v>
      </c>
      <c r="H2330" t="s">
        <v>600</v>
      </c>
      <c r="I2330" t="s">
        <v>601</v>
      </c>
      <c r="J2330">
        <v>1E-3</v>
      </c>
      <c r="K2330">
        <v>1E-3</v>
      </c>
      <c r="L2330">
        <v>1E-3</v>
      </c>
      <c r="M2330">
        <v>1E-3</v>
      </c>
      <c r="N2330">
        <v>1E-3</v>
      </c>
      <c r="O2330">
        <v>1E-3</v>
      </c>
      <c r="P2330">
        <v>1E-3</v>
      </c>
      <c r="Q2330">
        <v>1E-3</v>
      </c>
      <c r="R2330">
        <v>8.9999999999999998E-4</v>
      </c>
      <c r="S2330">
        <v>8.9999999999999998E-4</v>
      </c>
      <c r="T2330">
        <v>8.9999999999999998E-4</v>
      </c>
      <c r="U2330">
        <v>8.9999999999999998E-4</v>
      </c>
      <c r="V2330">
        <v>8.9999999999999998E-4</v>
      </c>
      <c r="W2330">
        <v>8.9999999999999998E-4</v>
      </c>
      <c r="X2330">
        <v>8.9999999999999998E-4</v>
      </c>
      <c r="Y2330">
        <v>8.9999999999999998E-4</v>
      </c>
    </row>
    <row r="2331" spans="1:25" hidden="1">
      <c r="A2331" t="s">
        <v>18811</v>
      </c>
      <c r="B2331" t="s">
        <v>839</v>
      </c>
      <c r="C2331" t="s">
        <v>804</v>
      </c>
      <c r="D2331" t="s">
        <v>648</v>
      </c>
      <c r="E2331" t="s">
        <v>688</v>
      </c>
      <c r="F2331" t="s">
        <v>598</v>
      </c>
      <c r="G2331" t="s">
        <v>599</v>
      </c>
      <c r="H2331" t="s">
        <v>600</v>
      </c>
      <c r="I2331" t="s">
        <v>601</v>
      </c>
      <c r="J2331">
        <v>2.0000000000000001E-4</v>
      </c>
      <c r="K2331">
        <v>2.0000000000000001E-4</v>
      </c>
      <c r="L2331">
        <v>2.0000000000000001E-4</v>
      </c>
      <c r="M2331">
        <v>2.0000000000000001E-4</v>
      </c>
      <c r="N2331">
        <v>2.0000000000000001E-4</v>
      </c>
      <c r="O2331">
        <v>2.0000000000000001E-4</v>
      </c>
      <c r="P2331">
        <v>2.0000000000000001E-4</v>
      </c>
      <c r="Q2331">
        <v>2.0000000000000001E-4</v>
      </c>
      <c r="R2331">
        <v>2.0000000000000001E-4</v>
      </c>
      <c r="S2331">
        <v>2.0000000000000001E-4</v>
      </c>
      <c r="T2331">
        <v>2.0000000000000001E-4</v>
      </c>
      <c r="U2331">
        <v>2.0000000000000001E-4</v>
      </c>
      <c r="V2331">
        <v>2.0000000000000001E-4</v>
      </c>
      <c r="W2331">
        <v>2.0000000000000001E-4</v>
      </c>
      <c r="X2331">
        <v>2.0000000000000001E-4</v>
      </c>
      <c r="Y2331">
        <v>2.0000000000000001E-4</v>
      </c>
    </row>
    <row r="2332" spans="1:25" hidden="1">
      <c r="A2332" t="s">
        <v>18811</v>
      </c>
      <c r="B2332" t="s">
        <v>842</v>
      </c>
      <c r="C2332" t="s">
        <v>841</v>
      </c>
      <c r="D2332" t="s">
        <v>596</v>
      </c>
      <c r="E2332" t="s">
        <v>597</v>
      </c>
      <c r="F2332" t="s">
        <v>598</v>
      </c>
      <c r="G2332" t="s">
        <v>599</v>
      </c>
      <c r="H2332" t="s">
        <v>600</v>
      </c>
      <c r="I2332" t="s">
        <v>601</v>
      </c>
      <c r="J2332">
        <v>5.6099999999999997E-2</v>
      </c>
      <c r="K2332">
        <v>5.6800000000000003E-2</v>
      </c>
      <c r="L2332">
        <v>5.79E-2</v>
      </c>
      <c r="M2332">
        <v>6.0499999999999998E-2</v>
      </c>
      <c r="N2332">
        <v>6.13E-2</v>
      </c>
      <c r="O2332">
        <v>6.2E-2</v>
      </c>
      <c r="P2332">
        <v>6.2700000000000006E-2</v>
      </c>
      <c r="Q2332">
        <v>6.3399999999999998E-2</v>
      </c>
      <c r="R2332">
        <v>6.3899999999999998E-2</v>
      </c>
      <c r="S2332">
        <v>6.4199999999999993E-2</v>
      </c>
      <c r="T2332">
        <v>6.4100000000000004E-2</v>
      </c>
      <c r="U2332">
        <v>6.4100000000000004E-2</v>
      </c>
      <c r="V2332">
        <v>6.4399999999999999E-2</v>
      </c>
      <c r="W2332">
        <v>6.5000000000000002E-2</v>
      </c>
      <c r="X2332">
        <v>6.54E-2</v>
      </c>
      <c r="Y2332">
        <v>6.5699999999999995E-2</v>
      </c>
    </row>
    <row r="2333" spans="1:25" hidden="1">
      <c r="A2333" t="s">
        <v>18811</v>
      </c>
      <c r="B2333" t="s">
        <v>844</v>
      </c>
      <c r="C2333" t="s">
        <v>841</v>
      </c>
      <c r="D2333" t="s">
        <v>596</v>
      </c>
      <c r="E2333" t="s">
        <v>603</v>
      </c>
      <c r="F2333" t="s">
        <v>598</v>
      </c>
      <c r="G2333" t="s">
        <v>599</v>
      </c>
      <c r="H2333" t="s">
        <v>600</v>
      </c>
      <c r="I2333" t="s">
        <v>601</v>
      </c>
      <c r="J2333">
        <v>4.0000000000000002E-4</v>
      </c>
      <c r="K2333">
        <v>4.0000000000000002E-4</v>
      </c>
      <c r="L2333">
        <v>4.0000000000000002E-4</v>
      </c>
      <c r="M2333">
        <v>4.0000000000000002E-4</v>
      </c>
      <c r="N2333">
        <v>4.0000000000000002E-4</v>
      </c>
      <c r="O2333">
        <v>4.0000000000000002E-4</v>
      </c>
      <c r="P2333">
        <v>4.0000000000000002E-4</v>
      </c>
      <c r="Q2333">
        <v>4.0000000000000002E-4</v>
      </c>
      <c r="R2333">
        <v>4.0000000000000002E-4</v>
      </c>
      <c r="S2333">
        <v>4.0000000000000002E-4</v>
      </c>
      <c r="T2333">
        <v>4.0000000000000002E-4</v>
      </c>
      <c r="U2333">
        <v>4.0000000000000002E-4</v>
      </c>
      <c r="V2333">
        <v>4.0000000000000002E-4</v>
      </c>
      <c r="W2333">
        <v>4.0000000000000002E-4</v>
      </c>
      <c r="X2333">
        <v>4.0000000000000002E-4</v>
      </c>
      <c r="Y2333">
        <v>4.0000000000000002E-4</v>
      </c>
    </row>
    <row r="2334" spans="1:25" hidden="1">
      <c r="A2334" t="s">
        <v>18811</v>
      </c>
      <c r="B2334" t="s">
        <v>845</v>
      </c>
      <c r="C2334" t="s">
        <v>841</v>
      </c>
      <c r="D2334" t="s">
        <v>596</v>
      </c>
      <c r="E2334" t="s">
        <v>605</v>
      </c>
      <c r="F2334" t="s">
        <v>598</v>
      </c>
      <c r="G2334" t="s">
        <v>599</v>
      </c>
      <c r="H2334" t="s">
        <v>600</v>
      </c>
      <c r="I2334" t="s">
        <v>601</v>
      </c>
      <c r="J2334">
        <v>1E-4</v>
      </c>
      <c r="K2334">
        <v>1E-4</v>
      </c>
      <c r="L2334">
        <v>1E-4</v>
      </c>
      <c r="M2334">
        <v>1E-4</v>
      </c>
      <c r="N2334">
        <v>1E-4</v>
      </c>
      <c r="O2334">
        <v>1E-4</v>
      </c>
      <c r="P2334">
        <v>1E-4</v>
      </c>
      <c r="Q2334">
        <v>1E-4</v>
      </c>
      <c r="R2334">
        <v>1E-4</v>
      </c>
      <c r="S2334">
        <v>1E-4</v>
      </c>
      <c r="T2334">
        <v>1E-4</v>
      </c>
      <c r="U2334">
        <v>1E-4</v>
      </c>
      <c r="V2334">
        <v>1E-4</v>
      </c>
      <c r="W2334">
        <v>1E-4</v>
      </c>
      <c r="X2334">
        <v>1E-4</v>
      </c>
      <c r="Y2334">
        <v>1E-4</v>
      </c>
    </row>
    <row r="2335" spans="1:25" hidden="1">
      <c r="A2335" t="s">
        <v>18811</v>
      </c>
      <c r="B2335" t="s">
        <v>847</v>
      </c>
      <c r="C2335" t="s">
        <v>841</v>
      </c>
      <c r="D2335" t="s">
        <v>596</v>
      </c>
      <c r="E2335" t="s">
        <v>808</v>
      </c>
      <c r="F2335" t="s">
        <v>598</v>
      </c>
      <c r="G2335" t="s">
        <v>599</v>
      </c>
      <c r="H2335" t="s">
        <v>600</v>
      </c>
      <c r="I2335" t="s">
        <v>601</v>
      </c>
      <c r="J2335">
        <v>4.0000000000000002E-4</v>
      </c>
      <c r="K2335">
        <v>4.0000000000000002E-4</v>
      </c>
      <c r="L2335">
        <v>4.0000000000000002E-4</v>
      </c>
      <c r="M2335">
        <v>4.0000000000000002E-4</v>
      </c>
      <c r="N2335">
        <v>4.0000000000000002E-4</v>
      </c>
      <c r="O2335">
        <v>4.0000000000000002E-4</v>
      </c>
      <c r="P2335">
        <v>4.0000000000000002E-4</v>
      </c>
      <c r="Q2335">
        <v>4.0000000000000002E-4</v>
      </c>
      <c r="R2335">
        <v>4.0000000000000002E-4</v>
      </c>
      <c r="S2335">
        <v>4.0000000000000002E-4</v>
      </c>
      <c r="T2335">
        <v>4.0000000000000002E-4</v>
      </c>
      <c r="U2335">
        <v>4.0000000000000002E-4</v>
      </c>
      <c r="V2335">
        <v>4.0000000000000002E-4</v>
      </c>
      <c r="W2335">
        <v>4.0000000000000002E-4</v>
      </c>
      <c r="X2335">
        <v>4.0000000000000002E-4</v>
      </c>
      <c r="Y2335">
        <v>4.0000000000000002E-4</v>
      </c>
    </row>
    <row r="2336" spans="1:25" hidden="1">
      <c r="A2336" t="s">
        <v>18811</v>
      </c>
      <c r="B2336" t="s">
        <v>850</v>
      </c>
      <c r="C2336" t="s">
        <v>841</v>
      </c>
      <c r="D2336" t="s">
        <v>596</v>
      </c>
      <c r="E2336" t="s">
        <v>613</v>
      </c>
      <c r="F2336" t="s">
        <v>598</v>
      </c>
      <c r="G2336" t="s">
        <v>599</v>
      </c>
      <c r="H2336" t="s">
        <v>600</v>
      </c>
      <c r="I2336" t="s">
        <v>601</v>
      </c>
      <c r="J2336">
        <v>5.0000000000000001E-4</v>
      </c>
      <c r="K2336">
        <v>5.0000000000000001E-4</v>
      </c>
      <c r="L2336">
        <v>5.0000000000000001E-4</v>
      </c>
      <c r="M2336">
        <v>5.0000000000000001E-4</v>
      </c>
      <c r="N2336">
        <v>5.0000000000000001E-4</v>
      </c>
      <c r="O2336">
        <v>5.0000000000000001E-4</v>
      </c>
      <c r="P2336">
        <v>5.0000000000000001E-4</v>
      </c>
      <c r="Q2336">
        <v>5.0000000000000001E-4</v>
      </c>
      <c r="R2336">
        <v>5.0000000000000001E-4</v>
      </c>
      <c r="S2336">
        <v>5.0000000000000001E-4</v>
      </c>
      <c r="T2336">
        <v>5.0000000000000001E-4</v>
      </c>
      <c r="U2336">
        <v>5.0000000000000001E-4</v>
      </c>
      <c r="V2336">
        <v>5.0000000000000001E-4</v>
      </c>
      <c r="W2336">
        <v>5.0000000000000001E-4</v>
      </c>
      <c r="X2336">
        <v>5.0000000000000001E-4</v>
      </c>
      <c r="Y2336">
        <v>5.0000000000000001E-4</v>
      </c>
    </row>
    <row r="2337" spans="1:25" hidden="1">
      <c r="A2337" t="s">
        <v>18811</v>
      </c>
      <c r="B2337" t="s">
        <v>851</v>
      </c>
      <c r="C2337" t="s">
        <v>841</v>
      </c>
      <c r="D2337" t="s">
        <v>596</v>
      </c>
      <c r="E2337" t="s">
        <v>615</v>
      </c>
      <c r="F2337" t="s">
        <v>598</v>
      </c>
      <c r="G2337" t="s">
        <v>599</v>
      </c>
      <c r="H2337" t="s">
        <v>600</v>
      </c>
      <c r="I2337" t="s">
        <v>601</v>
      </c>
      <c r="J2337">
        <v>7.2099999999999997E-2</v>
      </c>
      <c r="K2337">
        <v>7.2099999999999997E-2</v>
      </c>
      <c r="L2337">
        <v>7.2099999999999997E-2</v>
      </c>
      <c r="M2337">
        <v>7.2099999999999997E-2</v>
      </c>
      <c r="N2337">
        <v>7.2099999999999997E-2</v>
      </c>
      <c r="O2337">
        <v>7.2099999999999997E-2</v>
      </c>
      <c r="P2337">
        <v>7.2099999999999997E-2</v>
      </c>
      <c r="Q2337">
        <v>7.2099999999999997E-2</v>
      </c>
      <c r="R2337">
        <v>7.2099999999999997E-2</v>
      </c>
      <c r="S2337">
        <v>7.2099999999999997E-2</v>
      </c>
      <c r="T2337">
        <v>7.2099999999999997E-2</v>
      </c>
      <c r="U2337">
        <v>7.2099999999999997E-2</v>
      </c>
      <c r="V2337">
        <v>7.2099999999999997E-2</v>
      </c>
      <c r="W2337">
        <v>7.2099999999999997E-2</v>
      </c>
      <c r="X2337">
        <v>7.2099999999999997E-2</v>
      </c>
      <c r="Y2337">
        <v>7.2099999999999997E-2</v>
      </c>
    </row>
    <row r="2338" spans="1:25" hidden="1">
      <c r="A2338" t="s">
        <v>18811</v>
      </c>
      <c r="B2338" t="s">
        <v>852</v>
      </c>
      <c r="C2338" t="s">
        <v>841</v>
      </c>
      <c r="D2338" t="s">
        <v>596</v>
      </c>
      <c r="E2338" t="s">
        <v>619</v>
      </c>
      <c r="F2338" t="s">
        <v>598</v>
      </c>
      <c r="G2338" t="s">
        <v>599</v>
      </c>
      <c r="H2338" t="s">
        <v>600</v>
      </c>
      <c r="I2338" t="s">
        <v>601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 hidden="1">
      <c r="A2339" t="s">
        <v>18811</v>
      </c>
      <c r="B2339" t="s">
        <v>855</v>
      </c>
      <c r="C2339" t="s">
        <v>841</v>
      </c>
      <c r="D2339" t="s">
        <v>671</v>
      </c>
      <c r="E2339" t="s">
        <v>597</v>
      </c>
      <c r="F2339" t="s">
        <v>598</v>
      </c>
      <c r="G2339" t="s">
        <v>599</v>
      </c>
      <c r="H2339" t="s">
        <v>600</v>
      </c>
      <c r="I2339" t="s">
        <v>601</v>
      </c>
      <c r="J2339">
        <v>1.0500000000000001E-2</v>
      </c>
      <c r="K2339">
        <v>1.06E-2</v>
      </c>
      <c r="L2339">
        <v>1.09E-2</v>
      </c>
      <c r="M2339">
        <v>1.1299999999999999E-2</v>
      </c>
      <c r="N2339">
        <v>1.15E-2</v>
      </c>
      <c r="O2339">
        <v>1.1599999999999999E-2</v>
      </c>
      <c r="P2339">
        <v>1.17E-2</v>
      </c>
      <c r="Q2339">
        <v>1.1900000000000001E-2</v>
      </c>
      <c r="R2339">
        <v>1.2E-2</v>
      </c>
      <c r="S2339">
        <v>1.2E-2</v>
      </c>
      <c r="T2339">
        <v>1.2E-2</v>
      </c>
      <c r="U2339">
        <v>1.2E-2</v>
      </c>
      <c r="V2339">
        <v>1.21E-2</v>
      </c>
      <c r="W2339">
        <v>1.23E-2</v>
      </c>
      <c r="X2339">
        <v>1.24E-2</v>
      </c>
      <c r="Y2339">
        <v>1.24E-2</v>
      </c>
    </row>
    <row r="2340" spans="1:25" hidden="1">
      <c r="A2340" t="s">
        <v>18811</v>
      </c>
      <c r="B2340" t="s">
        <v>856</v>
      </c>
      <c r="C2340" t="s">
        <v>841</v>
      </c>
      <c r="D2340" t="s">
        <v>671</v>
      </c>
      <c r="E2340" t="s">
        <v>642</v>
      </c>
      <c r="F2340" t="s">
        <v>598</v>
      </c>
      <c r="G2340" t="s">
        <v>599</v>
      </c>
      <c r="H2340" t="s">
        <v>600</v>
      </c>
      <c r="I2340" t="s">
        <v>601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hidden="1">
      <c r="A2341" t="s">
        <v>18811</v>
      </c>
      <c r="B2341" t="s">
        <v>857</v>
      </c>
      <c r="C2341" t="s">
        <v>841</v>
      </c>
      <c r="D2341" t="s">
        <v>671</v>
      </c>
      <c r="E2341" t="s">
        <v>605</v>
      </c>
      <c r="F2341" t="s">
        <v>598</v>
      </c>
      <c r="G2341" t="s">
        <v>599</v>
      </c>
      <c r="H2341" t="s">
        <v>600</v>
      </c>
      <c r="I2341" t="s">
        <v>601</v>
      </c>
      <c r="J2341">
        <v>2.2000000000000001E-3</v>
      </c>
      <c r="K2341">
        <v>2.2000000000000001E-3</v>
      </c>
      <c r="L2341">
        <v>2.2000000000000001E-3</v>
      </c>
      <c r="M2341">
        <v>2.2000000000000001E-3</v>
      </c>
      <c r="N2341">
        <v>2.2000000000000001E-3</v>
      </c>
      <c r="O2341">
        <v>2.2000000000000001E-3</v>
      </c>
      <c r="P2341">
        <v>2.2000000000000001E-3</v>
      </c>
      <c r="Q2341">
        <v>2.2000000000000001E-3</v>
      </c>
      <c r="R2341">
        <v>2.2000000000000001E-3</v>
      </c>
      <c r="S2341">
        <v>2.2000000000000001E-3</v>
      </c>
      <c r="T2341">
        <v>2.2000000000000001E-3</v>
      </c>
      <c r="U2341">
        <v>2.2000000000000001E-3</v>
      </c>
      <c r="V2341">
        <v>2.2000000000000001E-3</v>
      </c>
      <c r="W2341">
        <v>2.2000000000000001E-3</v>
      </c>
      <c r="X2341">
        <v>2.2000000000000001E-3</v>
      </c>
      <c r="Y2341">
        <v>2.2000000000000001E-3</v>
      </c>
    </row>
    <row r="2342" spans="1:25" hidden="1">
      <c r="A2342" t="s">
        <v>18811</v>
      </c>
      <c r="B2342" t="s">
        <v>858</v>
      </c>
      <c r="C2342" t="s">
        <v>841</v>
      </c>
      <c r="D2342" t="s">
        <v>671</v>
      </c>
      <c r="E2342" t="s">
        <v>624</v>
      </c>
      <c r="F2342" t="s">
        <v>598</v>
      </c>
      <c r="G2342" t="s">
        <v>599</v>
      </c>
      <c r="H2342" t="s">
        <v>600</v>
      </c>
      <c r="I2342" t="s">
        <v>601</v>
      </c>
      <c r="J2342">
        <v>4.4999999999999997E-3</v>
      </c>
      <c r="K2342">
        <v>4.4999999999999997E-3</v>
      </c>
      <c r="L2342">
        <v>4.4999999999999997E-3</v>
      </c>
      <c r="M2342">
        <v>4.4999999999999997E-3</v>
      </c>
      <c r="N2342">
        <v>4.4999999999999997E-3</v>
      </c>
      <c r="O2342">
        <v>4.4999999999999997E-3</v>
      </c>
      <c r="P2342">
        <v>4.4999999999999997E-3</v>
      </c>
      <c r="Q2342">
        <v>4.4999999999999997E-3</v>
      </c>
      <c r="R2342">
        <v>4.4999999999999997E-3</v>
      </c>
      <c r="S2342">
        <v>4.4999999999999997E-3</v>
      </c>
      <c r="T2342">
        <v>4.4999999999999997E-3</v>
      </c>
      <c r="U2342">
        <v>4.4999999999999997E-3</v>
      </c>
      <c r="V2342">
        <v>4.4999999999999997E-3</v>
      </c>
      <c r="W2342">
        <v>4.4999999999999997E-3</v>
      </c>
      <c r="X2342">
        <v>4.4999999999999997E-3</v>
      </c>
      <c r="Y2342">
        <v>4.4999999999999997E-3</v>
      </c>
    </row>
    <row r="2343" spans="1:25" hidden="1">
      <c r="A2343" t="s">
        <v>18811</v>
      </c>
      <c r="B2343" t="s">
        <v>860</v>
      </c>
      <c r="C2343" t="s">
        <v>841</v>
      </c>
      <c r="D2343" t="s">
        <v>753</v>
      </c>
      <c r="E2343" t="s">
        <v>597</v>
      </c>
      <c r="F2343" t="s">
        <v>598</v>
      </c>
      <c r="G2343" t="s">
        <v>599</v>
      </c>
      <c r="H2343" t="s">
        <v>600</v>
      </c>
      <c r="I2343" t="s">
        <v>601</v>
      </c>
      <c r="J2343">
        <v>1.4E-3</v>
      </c>
      <c r="K2343">
        <v>1.4E-3</v>
      </c>
      <c r="L2343">
        <v>1.4E-3</v>
      </c>
      <c r="M2343">
        <v>1.4E-3</v>
      </c>
      <c r="N2343">
        <v>1.4E-3</v>
      </c>
      <c r="O2343">
        <v>1.4E-3</v>
      </c>
      <c r="P2343">
        <v>1.4E-3</v>
      </c>
      <c r="Q2343">
        <v>1.4E-3</v>
      </c>
      <c r="R2343">
        <v>1.4E-3</v>
      </c>
      <c r="S2343">
        <v>1.4E-3</v>
      </c>
      <c r="T2343">
        <v>1.4E-3</v>
      </c>
      <c r="U2343">
        <v>1.4E-3</v>
      </c>
      <c r="V2343">
        <v>1.4E-3</v>
      </c>
      <c r="W2343">
        <v>1.4E-3</v>
      </c>
      <c r="X2343">
        <v>1.4E-3</v>
      </c>
      <c r="Y2343">
        <v>1.4E-3</v>
      </c>
    </row>
    <row r="2344" spans="1:25" hidden="1">
      <c r="A2344" t="s">
        <v>18811</v>
      </c>
      <c r="B2344" t="s">
        <v>861</v>
      </c>
      <c r="C2344" t="s">
        <v>841</v>
      </c>
      <c r="D2344" t="s">
        <v>753</v>
      </c>
      <c r="E2344" t="s">
        <v>642</v>
      </c>
      <c r="F2344" t="s">
        <v>598</v>
      </c>
      <c r="G2344" t="s">
        <v>599</v>
      </c>
      <c r="H2344" t="s">
        <v>600</v>
      </c>
      <c r="I2344" t="s">
        <v>601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hidden="1">
      <c r="A2345" t="s">
        <v>18811</v>
      </c>
      <c r="B2345" t="s">
        <v>862</v>
      </c>
      <c r="C2345" t="s">
        <v>841</v>
      </c>
      <c r="D2345" t="s">
        <v>756</v>
      </c>
      <c r="E2345" t="s">
        <v>597</v>
      </c>
      <c r="F2345" t="s">
        <v>598</v>
      </c>
      <c r="G2345" t="s">
        <v>599</v>
      </c>
      <c r="H2345" t="s">
        <v>600</v>
      </c>
      <c r="I2345" t="s">
        <v>601</v>
      </c>
      <c r="J2345">
        <v>8.8200000000000001E-2</v>
      </c>
      <c r="K2345">
        <v>8.9599999999999999E-2</v>
      </c>
      <c r="L2345">
        <v>9.1200000000000003E-2</v>
      </c>
      <c r="M2345">
        <v>9.3700000000000006E-2</v>
      </c>
      <c r="N2345">
        <v>9.5100000000000004E-2</v>
      </c>
      <c r="O2345">
        <v>9.6299999999999997E-2</v>
      </c>
      <c r="P2345">
        <v>9.7199999999999995E-2</v>
      </c>
      <c r="Q2345">
        <v>9.7900000000000001E-2</v>
      </c>
      <c r="R2345">
        <v>9.8799999999999999E-2</v>
      </c>
      <c r="S2345">
        <v>9.9099999999999994E-2</v>
      </c>
      <c r="T2345">
        <v>9.9000000000000005E-2</v>
      </c>
      <c r="U2345">
        <v>9.9000000000000005E-2</v>
      </c>
      <c r="V2345">
        <v>9.9299999999999999E-2</v>
      </c>
      <c r="W2345">
        <v>9.9900000000000003E-2</v>
      </c>
      <c r="X2345">
        <v>0.1008</v>
      </c>
      <c r="Y2345">
        <v>0.1018</v>
      </c>
    </row>
    <row r="2346" spans="1:25" hidden="1">
      <c r="A2346" t="s">
        <v>18811</v>
      </c>
      <c r="B2346" t="s">
        <v>863</v>
      </c>
      <c r="C2346" t="s">
        <v>841</v>
      </c>
      <c r="D2346" t="s">
        <v>756</v>
      </c>
      <c r="E2346" t="s">
        <v>642</v>
      </c>
      <c r="F2346" t="s">
        <v>598</v>
      </c>
      <c r="G2346" t="s">
        <v>599</v>
      </c>
      <c r="H2346" t="s">
        <v>600</v>
      </c>
      <c r="I2346" t="s">
        <v>601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hidden="1">
      <c r="A2347" t="s">
        <v>18811</v>
      </c>
      <c r="B2347" t="s">
        <v>864</v>
      </c>
      <c r="C2347" t="s">
        <v>841</v>
      </c>
      <c r="D2347" t="s">
        <v>756</v>
      </c>
      <c r="E2347" t="s">
        <v>619</v>
      </c>
      <c r="F2347" t="s">
        <v>598</v>
      </c>
      <c r="G2347" t="s">
        <v>599</v>
      </c>
      <c r="H2347" t="s">
        <v>600</v>
      </c>
      <c r="I2347" t="s">
        <v>601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hidden="1">
      <c r="A2348" t="s">
        <v>18811</v>
      </c>
      <c r="B2348" t="s">
        <v>865</v>
      </c>
      <c r="C2348" t="s">
        <v>841</v>
      </c>
      <c r="D2348" t="s">
        <v>866</v>
      </c>
      <c r="E2348" t="s">
        <v>597</v>
      </c>
      <c r="F2348" t="s">
        <v>598</v>
      </c>
      <c r="G2348" t="s">
        <v>599</v>
      </c>
      <c r="H2348" t="s">
        <v>600</v>
      </c>
      <c r="I2348" t="s">
        <v>601</v>
      </c>
      <c r="J2348">
        <v>5.5E-2</v>
      </c>
      <c r="K2348">
        <v>5.6000000000000001E-2</v>
      </c>
      <c r="L2348">
        <v>5.6899999999999999E-2</v>
      </c>
      <c r="M2348">
        <v>5.8500000000000003E-2</v>
      </c>
      <c r="N2348">
        <v>5.9299999999999999E-2</v>
      </c>
      <c r="O2348">
        <v>6.0199999999999997E-2</v>
      </c>
      <c r="P2348">
        <v>6.08E-2</v>
      </c>
      <c r="Q2348">
        <v>6.1199999999999997E-2</v>
      </c>
      <c r="R2348">
        <v>6.1600000000000002E-2</v>
      </c>
      <c r="S2348">
        <v>6.1800000000000001E-2</v>
      </c>
      <c r="T2348">
        <v>6.1800000000000001E-2</v>
      </c>
      <c r="U2348">
        <v>6.1699999999999998E-2</v>
      </c>
      <c r="V2348">
        <v>6.2E-2</v>
      </c>
      <c r="W2348">
        <v>6.25E-2</v>
      </c>
      <c r="X2348">
        <v>6.3E-2</v>
      </c>
      <c r="Y2348">
        <v>6.3600000000000004E-2</v>
      </c>
    </row>
    <row r="2349" spans="1:25" hidden="1">
      <c r="A2349" t="s">
        <v>18811</v>
      </c>
      <c r="B2349" t="s">
        <v>868</v>
      </c>
      <c r="C2349" t="s">
        <v>841</v>
      </c>
      <c r="D2349" t="s">
        <v>621</v>
      </c>
      <c r="E2349" t="s">
        <v>597</v>
      </c>
      <c r="F2349" t="s">
        <v>598</v>
      </c>
      <c r="G2349" t="s">
        <v>599</v>
      </c>
      <c r="H2349" t="s">
        <v>600</v>
      </c>
      <c r="I2349" t="s">
        <v>601</v>
      </c>
      <c r="J2349">
        <v>4.5199999999999997E-2</v>
      </c>
      <c r="K2349">
        <v>4.5999999999999999E-2</v>
      </c>
      <c r="L2349">
        <v>4.6600000000000003E-2</v>
      </c>
      <c r="M2349">
        <v>4.87E-2</v>
      </c>
      <c r="N2349">
        <v>4.9500000000000002E-2</v>
      </c>
      <c r="O2349">
        <v>0.05</v>
      </c>
      <c r="P2349">
        <v>5.0700000000000002E-2</v>
      </c>
      <c r="Q2349">
        <v>5.1299999999999998E-2</v>
      </c>
      <c r="R2349">
        <v>5.1700000000000003E-2</v>
      </c>
      <c r="S2349">
        <v>5.1999999999999998E-2</v>
      </c>
      <c r="T2349">
        <v>5.1999999999999998E-2</v>
      </c>
      <c r="U2349">
        <v>5.1999999999999998E-2</v>
      </c>
      <c r="V2349">
        <v>5.2200000000000003E-2</v>
      </c>
      <c r="W2349">
        <v>5.2600000000000001E-2</v>
      </c>
      <c r="X2349">
        <v>5.3100000000000001E-2</v>
      </c>
      <c r="Y2349">
        <v>5.3400000000000003E-2</v>
      </c>
    </row>
    <row r="2350" spans="1:25" hidden="1">
      <c r="A2350" t="s">
        <v>18811</v>
      </c>
      <c r="B2350" t="s">
        <v>870</v>
      </c>
      <c r="C2350" t="s">
        <v>841</v>
      </c>
      <c r="D2350" t="s">
        <v>621</v>
      </c>
      <c r="E2350" t="s">
        <v>603</v>
      </c>
      <c r="F2350" t="s">
        <v>598</v>
      </c>
      <c r="G2350" t="s">
        <v>599</v>
      </c>
      <c r="H2350" t="s">
        <v>600</v>
      </c>
      <c r="I2350" t="s">
        <v>601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hidden="1">
      <c r="A2351" t="s">
        <v>18811</v>
      </c>
      <c r="B2351" t="s">
        <v>871</v>
      </c>
      <c r="C2351" t="s">
        <v>841</v>
      </c>
      <c r="D2351" t="s">
        <v>621</v>
      </c>
      <c r="E2351" t="s">
        <v>605</v>
      </c>
      <c r="F2351" t="s">
        <v>598</v>
      </c>
      <c r="G2351" t="s">
        <v>599</v>
      </c>
      <c r="H2351" t="s">
        <v>600</v>
      </c>
      <c r="I2351" t="s">
        <v>601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</row>
    <row r="2352" spans="1:25" hidden="1">
      <c r="A2352" t="s">
        <v>18811</v>
      </c>
      <c r="B2352" t="s">
        <v>873</v>
      </c>
      <c r="C2352" t="s">
        <v>841</v>
      </c>
      <c r="D2352" t="s">
        <v>621</v>
      </c>
      <c r="E2352" t="s">
        <v>768</v>
      </c>
      <c r="F2352" t="s">
        <v>598</v>
      </c>
      <c r="G2352" t="s">
        <v>599</v>
      </c>
      <c r="H2352" t="s">
        <v>600</v>
      </c>
      <c r="I2352" t="s">
        <v>601</v>
      </c>
      <c r="J2352">
        <v>1.9E-3</v>
      </c>
      <c r="K2352">
        <v>1.9E-3</v>
      </c>
      <c r="L2352">
        <v>1.9E-3</v>
      </c>
      <c r="M2352">
        <v>1.9E-3</v>
      </c>
      <c r="N2352">
        <v>1.9E-3</v>
      </c>
      <c r="O2352">
        <v>1.9E-3</v>
      </c>
      <c r="P2352">
        <v>1.9E-3</v>
      </c>
      <c r="Q2352">
        <v>1.9E-3</v>
      </c>
      <c r="R2352">
        <v>1.9E-3</v>
      </c>
      <c r="S2352">
        <v>1.9E-3</v>
      </c>
      <c r="T2352">
        <v>1.9E-3</v>
      </c>
      <c r="U2352">
        <v>1.9E-3</v>
      </c>
      <c r="V2352">
        <v>1.9E-3</v>
      </c>
      <c r="W2352">
        <v>1.9E-3</v>
      </c>
      <c r="X2352">
        <v>1.9E-3</v>
      </c>
      <c r="Y2352">
        <v>1.9E-3</v>
      </c>
    </row>
    <row r="2353" spans="1:25" hidden="1">
      <c r="A2353" t="s">
        <v>18811</v>
      </c>
      <c r="B2353" t="s">
        <v>875</v>
      </c>
      <c r="C2353" t="s">
        <v>841</v>
      </c>
      <c r="D2353" t="s">
        <v>621</v>
      </c>
      <c r="E2353" t="s">
        <v>626</v>
      </c>
      <c r="F2353" t="s">
        <v>598</v>
      </c>
      <c r="G2353" t="s">
        <v>599</v>
      </c>
      <c r="H2353" t="s">
        <v>600</v>
      </c>
      <c r="I2353" t="s">
        <v>601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 hidden="1">
      <c r="A2354" t="s">
        <v>18811</v>
      </c>
      <c r="B2354" t="s">
        <v>876</v>
      </c>
      <c r="C2354" t="s">
        <v>841</v>
      </c>
      <c r="D2354" t="s">
        <v>621</v>
      </c>
      <c r="E2354" t="s">
        <v>628</v>
      </c>
      <c r="F2354" t="s">
        <v>598</v>
      </c>
      <c r="G2354" t="s">
        <v>599</v>
      </c>
      <c r="H2354" t="s">
        <v>600</v>
      </c>
      <c r="I2354" t="s">
        <v>601</v>
      </c>
      <c r="J2354">
        <v>1.2E-2</v>
      </c>
      <c r="K2354">
        <v>1.2E-2</v>
      </c>
      <c r="L2354">
        <v>1.2E-2</v>
      </c>
      <c r="M2354">
        <v>1.2E-2</v>
      </c>
      <c r="N2354">
        <v>1.2E-2</v>
      </c>
      <c r="O2354">
        <v>1.2E-2</v>
      </c>
      <c r="P2354">
        <v>1.2E-2</v>
      </c>
      <c r="Q2354">
        <v>7.9000000000000008E-3</v>
      </c>
      <c r="R2354">
        <v>7.9000000000000008E-3</v>
      </c>
      <c r="S2354">
        <v>7.9000000000000008E-3</v>
      </c>
      <c r="T2354">
        <v>7.9000000000000008E-3</v>
      </c>
      <c r="U2354">
        <v>7.9000000000000008E-3</v>
      </c>
      <c r="V2354">
        <v>7.9000000000000008E-3</v>
      </c>
      <c r="W2354">
        <v>7.9000000000000008E-3</v>
      </c>
      <c r="X2354">
        <v>7.9000000000000008E-3</v>
      </c>
      <c r="Y2354">
        <v>7.9000000000000008E-3</v>
      </c>
    </row>
    <row r="2355" spans="1:25" hidden="1">
      <c r="A2355" t="s">
        <v>18811</v>
      </c>
      <c r="B2355" t="s">
        <v>877</v>
      </c>
      <c r="C2355" t="s">
        <v>841</v>
      </c>
      <c r="D2355" t="s">
        <v>621</v>
      </c>
      <c r="E2355" t="s">
        <v>692</v>
      </c>
      <c r="F2355" t="s">
        <v>598</v>
      </c>
      <c r="G2355" t="s">
        <v>599</v>
      </c>
      <c r="H2355" t="s">
        <v>600</v>
      </c>
      <c r="I2355" t="s">
        <v>601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hidden="1">
      <c r="A2356" t="s">
        <v>18811</v>
      </c>
      <c r="B2356" t="s">
        <v>882</v>
      </c>
      <c r="C2356" t="s">
        <v>841</v>
      </c>
      <c r="D2356" t="s">
        <v>632</v>
      </c>
      <c r="E2356" t="s">
        <v>597</v>
      </c>
      <c r="F2356" t="s">
        <v>598</v>
      </c>
      <c r="G2356" t="s">
        <v>599</v>
      </c>
      <c r="H2356" t="s">
        <v>600</v>
      </c>
      <c r="I2356" t="s">
        <v>601</v>
      </c>
      <c r="J2356">
        <v>1.5900000000000001E-2</v>
      </c>
      <c r="K2356">
        <v>1.6199999999999999E-2</v>
      </c>
      <c r="L2356">
        <v>1.6500000000000001E-2</v>
      </c>
      <c r="M2356">
        <v>1.72E-2</v>
      </c>
      <c r="N2356">
        <v>1.7399999999999999E-2</v>
      </c>
      <c r="O2356">
        <v>1.7899999999999999E-2</v>
      </c>
      <c r="P2356">
        <v>1.8100000000000002E-2</v>
      </c>
      <c r="Q2356">
        <v>1.83E-2</v>
      </c>
      <c r="R2356">
        <v>1.8499999999999999E-2</v>
      </c>
      <c r="S2356">
        <v>1.8599999999999998E-2</v>
      </c>
      <c r="T2356">
        <v>1.8599999999999998E-2</v>
      </c>
      <c r="U2356">
        <v>1.8599999999999998E-2</v>
      </c>
      <c r="V2356">
        <v>1.8599999999999998E-2</v>
      </c>
      <c r="W2356">
        <v>1.8700000000000001E-2</v>
      </c>
      <c r="X2356">
        <v>1.89E-2</v>
      </c>
      <c r="Y2356">
        <v>1.9099999999999999E-2</v>
      </c>
    </row>
    <row r="2357" spans="1:25" hidden="1">
      <c r="A2357" t="s">
        <v>18811</v>
      </c>
      <c r="B2357" t="s">
        <v>884</v>
      </c>
      <c r="C2357" t="s">
        <v>841</v>
      </c>
      <c r="D2357" t="s">
        <v>632</v>
      </c>
      <c r="E2357" t="s">
        <v>768</v>
      </c>
      <c r="F2357" t="s">
        <v>598</v>
      </c>
      <c r="G2357" t="s">
        <v>599</v>
      </c>
      <c r="H2357" t="s">
        <v>600</v>
      </c>
      <c r="I2357" t="s">
        <v>601</v>
      </c>
      <c r="J2357">
        <v>1.2999999999999999E-3</v>
      </c>
      <c r="K2357">
        <v>1.2999999999999999E-3</v>
      </c>
      <c r="L2357">
        <v>1.2999999999999999E-3</v>
      </c>
      <c r="M2357">
        <v>1.2999999999999999E-3</v>
      </c>
      <c r="N2357">
        <v>1.2999999999999999E-3</v>
      </c>
      <c r="O2357">
        <v>1.2999999999999999E-3</v>
      </c>
      <c r="P2357">
        <v>1.2999999999999999E-3</v>
      </c>
      <c r="Q2357">
        <v>1.2999999999999999E-3</v>
      </c>
      <c r="R2357">
        <v>1.2999999999999999E-3</v>
      </c>
      <c r="S2357">
        <v>1.2999999999999999E-3</v>
      </c>
      <c r="T2357">
        <v>1.2999999999999999E-3</v>
      </c>
      <c r="U2357">
        <v>1.2999999999999999E-3</v>
      </c>
      <c r="V2357">
        <v>1.2999999999999999E-3</v>
      </c>
      <c r="W2357">
        <v>1.2999999999999999E-3</v>
      </c>
      <c r="X2357">
        <v>1.2999999999999999E-3</v>
      </c>
      <c r="Y2357">
        <v>1.2999999999999999E-3</v>
      </c>
    </row>
    <row r="2358" spans="1:25" hidden="1">
      <c r="A2358" t="s">
        <v>18811</v>
      </c>
      <c r="B2358" t="s">
        <v>890</v>
      </c>
      <c r="C2358" t="s">
        <v>841</v>
      </c>
      <c r="D2358" t="s">
        <v>632</v>
      </c>
      <c r="E2358" t="s">
        <v>638</v>
      </c>
      <c r="F2358" t="s">
        <v>598</v>
      </c>
      <c r="G2358" t="s">
        <v>599</v>
      </c>
      <c r="H2358" t="s">
        <v>600</v>
      </c>
      <c r="I2358" t="s">
        <v>601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</row>
    <row r="2359" spans="1:25" hidden="1">
      <c r="A2359" t="s">
        <v>18811</v>
      </c>
      <c r="B2359" t="s">
        <v>891</v>
      </c>
      <c r="C2359" t="s">
        <v>841</v>
      </c>
      <c r="D2359" t="s">
        <v>632</v>
      </c>
      <c r="E2359" t="s">
        <v>892</v>
      </c>
      <c r="F2359" t="s">
        <v>598</v>
      </c>
      <c r="G2359" t="s">
        <v>599</v>
      </c>
      <c r="H2359" t="s">
        <v>600</v>
      </c>
      <c r="I2359" t="s">
        <v>601</v>
      </c>
      <c r="J2359">
        <v>5.91E-2</v>
      </c>
      <c r="K2359">
        <v>4.7300000000000002E-2</v>
      </c>
      <c r="L2359">
        <v>4.7300000000000002E-2</v>
      </c>
      <c r="M2359">
        <v>4.7300000000000002E-2</v>
      </c>
      <c r="N2359">
        <v>4.7300000000000002E-2</v>
      </c>
      <c r="O2359">
        <v>4.7300000000000002E-2</v>
      </c>
      <c r="P2359">
        <v>4.7300000000000002E-2</v>
      </c>
      <c r="Q2359">
        <v>4.7300000000000002E-2</v>
      </c>
      <c r="R2359">
        <v>4.7300000000000002E-2</v>
      </c>
      <c r="S2359">
        <v>4.7300000000000002E-2</v>
      </c>
      <c r="T2359">
        <v>4.7300000000000002E-2</v>
      </c>
      <c r="U2359">
        <v>4.7300000000000002E-2</v>
      </c>
      <c r="V2359">
        <v>4.7300000000000002E-2</v>
      </c>
      <c r="W2359">
        <v>4.7300000000000002E-2</v>
      </c>
      <c r="X2359">
        <v>4.7300000000000002E-2</v>
      </c>
      <c r="Y2359">
        <v>4.7300000000000002E-2</v>
      </c>
    </row>
    <row r="2360" spans="1:25" hidden="1">
      <c r="A2360" t="s">
        <v>18811</v>
      </c>
      <c r="B2360" t="s">
        <v>895</v>
      </c>
      <c r="C2360" t="s">
        <v>841</v>
      </c>
      <c r="D2360" t="s">
        <v>632</v>
      </c>
      <c r="E2360" t="s">
        <v>784</v>
      </c>
      <c r="F2360" t="s">
        <v>598</v>
      </c>
      <c r="G2360" t="s">
        <v>599</v>
      </c>
      <c r="H2360" t="s">
        <v>600</v>
      </c>
      <c r="I2360" t="s">
        <v>601</v>
      </c>
      <c r="J2360">
        <v>2.0000000000000001E-4</v>
      </c>
      <c r="K2360">
        <v>2.0000000000000001E-4</v>
      </c>
      <c r="L2360">
        <v>2.0000000000000001E-4</v>
      </c>
      <c r="M2360">
        <v>2.0000000000000001E-4</v>
      </c>
      <c r="N2360">
        <v>2.0000000000000001E-4</v>
      </c>
      <c r="O2360">
        <v>2.0000000000000001E-4</v>
      </c>
      <c r="P2360">
        <v>2.0000000000000001E-4</v>
      </c>
      <c r="Q2360">
        <v>2.0000000000000001E-4</v>
      </c>
      <c r="R2360">
        <v>2.0000000000000001E-4</v>
      </c>
      <c r="S2360">
        <v>2.0000000000000001E-4</v>
      </c>
      <c r="T2360">
        <v>2.0000000000000001E-4</v>
      </c>
      <c r="U2360">
        <v>2.0000000000000001E-4</v>
      </c>
      <c r="V2360">
        <v>2.0000000000000001E-4</v>
      </c>
      <c r="W2360">
        <v>2.0000000000000001E-4</v>
      </c>
      <c r="X2360">
        <v>2.0000000000000001E-4</v>
      </c>
      <c r="Y2360">
        <v>2.0000000000000001E-4</v>
      </c>
    </row>
    <row r="2361" spans="1:25" hidden="1">
      <c r="A2361" t="s">
        <v>18811</v>
      </c>
      <c r="B2361" t="s">
        <v>897</v>
      </c>
      <c r="C2361" t="s">
        <v>841</v>
      </c>
      <c r="D2361" t="s">
        <v>640</v>
      </c>
      <c r="E2361" t="s">
        <v>642</v>
      </c>
      <c r="F2361" t="s">
        <v>598</v>
      </c>
      <c r="G2361" t="s">
        <v>599</v>
      </c>
      <c r="H2361" t="s">
        <v>600</v>
      </c>
      <c r="I2361" t="s">
        <v>601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hidden="1">
      <c r="A2362" t="s">
        <v>18811</v>
      </c>
      <c r="B2362" t="s">
        <v>902</v>
      </c>
      <c r="C2362" t="s">
        <v>841</v>
      </c>
      <c r="D2362" t="s">
        <v>648</v>
      </c>
      <c r="E2362" t="s">
        <v>597</v>
      </c>
      <c r="F2362" t="s">
        <v>598</v>
      </c>
      <c r="G2362" t="s">
        <v>599</v>
      </c>
      <c r="H2362" t="s">
        <v>600</v>
      </c>
      <c r="I2362" t="s">
        <v>601</v>
      </c>
      <c r="J2362">
        <v>3.7600000000000001E-2</v>
      </c>
      <c r="K2362">
        <v>3.8100000000000002E-2</v>
      </c>
      <c r="L2362">
        <v>3.8399999999999997E-2</v>
      </c>
      <c r="M2362">
        <v>3.8899999999999997E-2</v>
      </c>
      <c r="N2362">
        <v>3.9100000000000003E-2</v>
      </c>
      <c r="O2362">
        <v>3.9300000000000002E-2</v>
      </c>
      <c r="P2362">
        <v>3.9800000000000002E-2</v>
      </c>
      <c r="Q2362">
        <v>4.0099999999999997E-2</v>
      </c>
      <c r="R2362">
        <v>4.02E-2</v>
      </c>
      <c r="S2362">
        <v>4.02E-2</v>
      </c>
      <c r="T2362">
        <v>4.0300000000000002E-2</v>
      </c>
      <c r="U2362">
        <v>4.07E-2</v>
      </c>
      <c r="V2362">
        <v>4.07E-2</v>
      </c>
      <c r="W2362">
        <v>4.0899999999999999E-2</v>
      </c>
      <c r="X2362">
        <v>4.1200000000000001E-2</v>
      </c>
      <c r="Y2362">
        <v>4.1500000000000002E-2</v>
      </c>
    </row>
    <row r="2363" spans="1:25" hidden="1">
      <c r="A2363" t="s">
        <v>18811</v>
      </c>
      <c r="B2363" t="s">
        <v>909</v>
      </c>
      <c r="C2363" t="s">
        <v>841</v>
      </c>
      <c r="D2363" t="s">
        <v>648</v>
      </c>
      <c r="E2363" t="s">
        <v>642</v>
      </c>
      <c r="F2363" t="s">
        <v>598</v>
      </c>
      <c r="G2363" t="s">
        <v>599</v>
      </c>
      <c r="H2363" t="s">
        <v>600</v>
      </c>
      <c r="I2363" t="s">
        <v>601</v>
      </c>
      <c r="J2363">
        <v>1.2999999999999999E-3</v>
      </c>
      <c r="K2363">
        <v>1.2999999999999999E-3</v>
      </c>
      <c r="L2363">
        <v>1.2999999999999999E-3</v>
      </c>
      <c r="M2363">
        <v>1.2999999999999999E-3</v>
      </c>
      <c r="N2363">
        <v>1.2999999999999999E-3</v>
      </c>
      <c r="O2363">
        <v>1.2999999999999999E-3</v>
      </c>
      <c r="P2363">
        <v>1.2999999999999999E-3</v>
      </c>
      <c r="Q2363">
        <v>1.2999999999999999E-3</v>
      </c>
      <c r="R2363">
        <v>1.2999999999999999E-3</v>
      </c>
      <c r="S2363">
        <v>1.2999999999999999E-3</v>
      </c>
      <c r="T2363">
        <v>1.2999999999999999E-3</v>
      </c>
      <c r="U2363">
        <v>1.2999999999999999E-3</v>
      </c>
      <c r="V2363">
        <v>1.2999999999999999E-3</v>
      </c>
      <c r="W2363">
        <v>2.5999999999999999E-3</v>
      </c>
      <c r="X2363">
        <v>2.5999999999999999E-3</v>
      </c>
      <c r="Y2363">
        <v>2.5999999999999999E-3</v>
      </c>
    </row>
    <row r="2364" spans="1:25" hidden="1">
      <c r="A2364" t="s">
        <v>18811</v>
      </c>
      <c r="B2364" t="s">
        <v>911</v>
      </c>
      <c r="C2364" t="s">
        <v>841</v>
      </c>
      <c r="D2364" t="s">
        <v>648</v>
      </c>
      <c r="E2364" t="s">
        <v>619</v>
      </c>
      <c r="F2364" t="s">
        <v>598</v>
      </c>
      <c r="G2364" t="s">
        <v>599</v>
      </c>
      <c r="H2364" t="s">
        <v>600</v>
      </c>
      <c r="I2364" t="s">
        <v>601</v>
      </c>
      <c r="J2364">
        <v>9.1000000000000004E-3</v>
      </c>
      <c r="K2364">
        <v>9.1000000000000004E-3</v>
      </c>
      <c r="L2364">
        <v>9.1000000000000004E-3</v>
      </c>
      <c r="M2364">
        <v>9.1000000000000004E-3</v>
      </c>
      <c r="N2364">
        <v>9.1000000000000004E-3</v>
      </c>
      <c r="O2364">
        <v>9.1000000000000004E-3</v>
      </c>
      <c r="P2364">
        <v>9.1000000000000004E-3</v>
      </c>
      <c r="Q2364">
        <v>9.1000000000000004E-3</v>
      </c>
      <c r="R2364">
        <v>9.1000000000000004E-3</v>
      </c>
      <c r="S2364">
        <v>9.1000000000000004E-3</v>
      </c>
      <c r="T2364">
        <v>9.1000000000000004E-3</v>
      </c>
      <c r="U2364">
        <v>9.1000000000000004E-3</v>
      </c>
      <c r="V2364">
        <v>9.1000000000000004E-3</v>
      </c>
      <c r="W2364">
        <v>9.1000000000000004E-3</v>
      </c>
      <c r="X2364">
        <v>9.1000000000000004E-3</v>
      </c>
      <c r="Y2364">
        <v>9.1000000000000004E-3</v>
      </c>
    </row>
    <row r="2365" spans="1:25" hidden="1">
      <c r="A2365" t="s">
        <v>18811</v>
      </c>
      <c r="B2365" t="s">
        <v>915</v>
      </c>
      <c r="C2365" t="s">
        <v>914</v>
      </c>
      <c r="D2365" t="s">
        <v>671</v>
      </c>
      <c r="E2365" t="s">
        <v>642</v>
      </c>
      <c r="F2365" t="s">
        <v>598</v>
      </c>
      <c r="G2365" t="s">
        <v>599</v>
      </c>
      <c r="H2365" t="s">
        <v>600</v>
      </c>
      <c r="I2365" t="s">
        <v>601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hidden="1">
      <c r="A2366" t="s">
        <v>18811</v>
      </c>
      <c r="B2366" t="s">
        <v>916</v>
      </c>
      <c r="C2366" t="s">
        <v>914</v>
      </c>
      <c r="D2366" t="s">
        <v>621</v>
      </c>
      <c r="E2366" t="s">
        <v>628</v>
      </c>
      <c r="F2366" t="s">
        <v>598</v>
      </c>
      <c r="G2366" t="s">
        <v>599</v>
      </c>
      <c r="H2366" t="s">
        <v>600</v>
      </c>
      <c r="I2366" t="s">
        <v>601</v>
      </c>
      <c r="J2366">
        <v>1.0779820000000001E-2</v>
      </c>
      <c r="K2366">
        <v>1.0779820000000001E-2</v>
      </c>
      <c r="L2366">
        <v>1.082816E-2</v>
      </c>
      <c r="M2366">
        <v>1.0876500000000001E-2</v>
      </c>
      <c r="N2366">
        <v>1.0876500000000001E-2</v>
      </c>
      <c r="O2366">
        <v>7.5410399999999997E-3</v>
      </c>
      <c r="P2366">
        <v>7.5410399999999997E-3</v>
      </c>
      <c r="Q2366">
        <v>7.5893799999999997E-3</v>
      </c>
      <c r="R2366">
        <v>7.5893799999999997E-3</v>
      </c>
      <c r="S2366">
        <v>7.5893799999999997E-3</v>
      </c>
      <c r="T2366">
        <v>7.5893799999999997E-3</v>
      </c>
      <c r="U2366">
        <v>7.5893799999999997E-3</v>
      </c>
      <c r="V2366">
        <v>7.6377199999999998E-3</v>
      </c>
      <c r="W2366">
        <v>7.6860599999999998E-3</v>
      </c>
      <c r="X2366">
        <v>7.6860599999999998E-3</v>
      </c>
      <c r="Y2366">
        <v>7.6860599999999998E-3</v>
      </c>
    </row>
    <row r="2367" spans="1:25" hidden="1">
      <c r="A2367" t="s">
        <v>18811</v>
      </c>
      <c r="B2367" t="s">
        <v>919</v>
      </c>
      <c r="C2367" t="s">
        <v>914</v>
      </c>
      <c r="D2367" t="s">
        <v>648</v>
      </c>
      <c r="E2367" t="s">
        <v>920</v>
      </c>
      <c r="F2367" t="s">
        <v>598</v>
      </c>
      <c r="G2367" t="s">
        <v>599</v>
      </c>
      <c r="H2367" t="s">
        <v>600</v>
      </c>
      <c r="I2367" t="s">
        <v>601</v>
      </c>
      <c r="J2367">
        <v>1.2999999999999999E-3</v>
      </c>
      <c r="K2367">
        <v>1.4E-3</v>
      </c>
      <c r="L2367">
        <v>1.4E-3</v>
      </c>
      <c r="M2367">
        <v>1.4E-3</v>
      </c>
      <c r="N2367">
        <v>1.4E-3</v>
      </c>
      <c r="O2367">
        <v>1.4E-3</v>
      </c>
      <c r="P2367">
        <v>1.4E-3</v>
      </c>
      <c r="Q2367">
        <v>1.4E-3</v>
      </c>
      <c r="R2367">
        <v>1.4E-3</v>
      </c>
      <c r="S2367">
        <v>1.4E-3</v>
      </c>
      <c r="T2367">
        <v>1.4E-3</v>
      </c>
      <c r="U2367">
        <v>1.4E-3</v>
      </c>
      <c r="V2367">
        <v>1.4E-3</v>
      </c>
      <c r="W2367">
        <v>1.4E-3</v>
      </c>
      <c r="X2367">
        <v>1.4E-3</v>
      </c>
      <c r="Y2367">
        <v>1.4E-3</v>
      </c>
    </row>
    <row r="2368" spans="1:25" hidden="1">
      <c r="A2368" t="s">
        <v>18811</v>
      </c>
      <c r="B2368" t="s">
        <v>922</v>
      </c>
      <c r="C2368" t="s">
        <v>914</v>
      </c>
      <c r="D2368" t="s">
        <v>648</v>
      </c>
      <c r="E2368" t="s">
        <v>888</v>
      </c>
      <c r="F2368" t="s">
        <v>598</v>
      </c>
      <c r="G2368" t="s">
        <v>599</v>
      </c>
      <c r="H2368" t="s">
        <v>600</v>
      </c>
      <c r="I2368" t="s">
        <v>601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hidden="1">
      <c r="A2369" t="s">
        <v>18811</v>
      </c>
      <c r="B2369" t="s">
        <v>924</v>
      </c>
      <c r="C2369" t="s">
        <v>925</v>
      </c>
      <c r="D2369" t="s">
        <v>926</v>
      </c>
      <c r="E2369" t="s">
        <v>927</v>
      </c>
      <c r="F2369" t="s">
        <v>598</v>
      </c>
      <c r="G2369" t="s">
        <v>599</v>
      </c>
      <c r="H2369" t="s">
        <v>600</v>
      </c>
      <c r="I2369" t="s">
        <v>601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hidden="1">
      <c r="A2370" t="s">
        <v>18811</v>
      </c>
      <c r="B2370" t="s">
        <v>935</v>
      </c>
      <c r="C2370" t="s">
        <v>925</v>
      </c>
      <c r="D2370" t="s">
        <v>934</v>
      </c>
      <c r="E2370" t="s">
        <v>605</v>
      </c>
      <c r="F2370" t="s">
        <v>598</v>
      </c>
      <c r="G2370" t="s">
        <v>599</v>
      </c>
      <c r="H2370" t="s">
        <v>600</v>
      </c>
      <c r="I2370" t="s">
        <v>601</v>
      </c>
      <c r="J2370">
        <v>2.8999999999999998E-3</v>
      </c>
      <c r="K2370">
        <v>3.0000000000000001E-3</v>
      </c>
      <c r="L2370">
        <v>3.0000000000000001E-3</v>
      </c>
      <c r="M2370">
        <v>3.0000000000000001E-3</v>
      </c>
      <c r="N2370">
        <v>3.0000000000000001E-3</v>
      </c>
      <c r="O2370">
        <v>3.0999999999999999E-3</v>
      </c>
      <c r="P2370">
        <v>3.0999999999999999E-3</v>
      </c>
      <c r="Q2370">
        <v>3.0999999999999999E-3</v>
      </c>
      <c r="R2370">
        <v>3.2000000000000002E-3</v>
      </c>
      <c r="S2370">
        <v>3.3E-3</v>
      </c>
      <c r="T2370">
        <v>3.3E-3</v>
      </c>
      <c r="U2370">
        <v>3.3999999999999998E-3</v>
      </c>
      <c r="V2370">
        <v>3.5000000000000001E-3</v>
      </c>
      <c r="W2370">
        <v>3.5000000000000001E-3</v>
      </c>
      <c r="X2370">
        <v>3.5999999999999999E-3</v>
      </c>
      <c r="Y2370">
        <v>3.5999999999999999E-3</v>
      </c>
    </row>
    <row r="2371" spans="1:25" hidden="1">
      <c r="A2371" t="s">
        <v>18811</v>
      </c>
      <c r="B2371" t="s">
        <v>938</v>
      </c>
      <c r="C2371" t="s">
        <v>925</v>
      </c>
      <c r="D2371" t="s">
        <v>934</v>
      </c>
      <c r="E2371" t="s">
        <v>768</v>
      </c>
      <c r="F2371" t="s">
        <v>598</v>
      </c>
      <c r="G2371" t="s">
        <v>599</v>
      </c>
      <c r="H2371" t="s">
        <v>600</v>
      </c>
      <c r="I2371" t="s">
        <v>601</v>
      </c>
      <c r="J2371">
        <v>3.7000000000000002E-3</v>
      </c>
      <c r="K2371">
        <v>3.7000000000000002E-3</v>
      </c>
      <c r="L2371">
        <v>3.7000000000000002E-3</v>
      </c>
      <c r="M2371">
        <v>3.8E-3</v>
      </c>
      <c r="N2371">
        <v>3.8E-3</v>
      </c>
      <c r="O2371">
        <v>3.8999999999999998E-3</v>
      </c>
      <c r="P2371">
        <v>3.8999999999999998E-3</v>
      </c>
      <c r="Q2371">
        <v>3.8999999999999998E-3</v>
      </c>
      <c r="R2371">
        <v>4.0000000000000001E-3</v>
      </c>
      <c r="S2371">
        <v>4.1999999999999997E-3</v>
      </c>
      <c r="T2371">
        <v>4.3E-3</v>
      </c>
      <c r="U2371">
        <v>4.3E-3</v>
      </c>
      <c r="V2371">
        <v>4.4000000000000003E-3</v>
      </c>
      <c r="W2371">
        <v>4.4000000000000003E-3</v>
      </c>
      <c r="X2371">
        <v>4.4999999999999997E-3</v>
      </c>
      <c r="Y2371">
        <v>4.4999999999999997E-3</v>
      </c>
    </row>
    <row r="2372" spans="1:25" hidden="1">
      <c r="A2372" t="s">
        <v>18811</v>
      </c>
      <c r="B2372" t="s">
        <v>942</v>
      </c>
      <c r="C2372" t="s">
        <v>943</v>
      </c>
      <c r="D2372" t="s">
        <v>944</v>
      </c>
      <c r="E2372" t="s">
        <v>613</v>
      </c>
      <c r="F2372" t="s">
        <v>598</v>
      </c>
      <c r="G2372" t="s">
        <v>599</v>
      </c>
      <c r="H2372" t="s">
        <v>600</v>
      </c>
      <c r="I2372" t="s">
        <v>601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 hidden="1">
      <c r="A2373" t="s">
        <v>18811</v>
      </c>
      <c r="B2373" t="s">
        <v>945</v>
      </c>
      <c r="C2373" t="s">
        <v>943</v>
      </c>
      <c r="D2373" t="s">
        <v>946</v>
      </c>
      <c r="E2373" t="s">
        <v>613</v>
      </c>
      <c r="F2373" t="s">
        <v>598</v>
      </c>
      <c r="G2373" t="s">
        <v>599</v>
      </c>
      <c r="H2373" t="s">
        <v>600</v>
      </c>
      <c r="I2373" t="s">
        <v>601</v>
      </c>
      <c r="J2373">
        <v>9.1000000000000004E-3</v>
      </c>
      <c r="K2373">
        <v>9.2999999999999992E-3</v>
      </c>
      <c r="L2373">
        <v>9.4000000000000004E-3</v>
      </c>
      <c r="M2373">
        <v>9.4999999999999998E-3</v>
      </c>
      <c r="N2373">
        <v>9.7000000000000003E-3</v>
      </c>
      <c r="O2373">
        <v>9.7999999999999997E-3</v>
      </c>
      <c r="P2373">
        <v>9.9000000000000008E-3</v>
      </c>
      <c r="Q2373">
        <v>1.01E-2</v>
      </c>
      <c r="R2373">
        <v>1.0200000000000001E-2</v>
      </c>
      <c r="S2373">
        <v>1.04E-2</v>
      </c>
      <c r="T2373">
        <v>1.0500000000000001E-2</v>
      </c>
      <c r="U2373">
        <v>1.06E-2</v>
      </c>
      <c r="V2373">
        <v>1.0800000000000001E-2</v>
      </c>
      <c r="W2373">
        <v>1.09E-2</v>
      </c>
      <c r="X2373">
        <v>1.0999999999999999E-2</v>
      </c>
      <c r="Y2373">
        <v>1.12E-2</v>
      </c>
    </row>
    <row r="2374" spans="1:25" hidden="1">
      <c r="A2374" t="s">
        <v>18811</v>
      </c>
      <c r="B2374" t="s">
        <v>947</v>
      </c>
      <c r="C2374" t="s">
        <v>943</v>
      </c>
      <c r="D2374" t="s">
        <v>946</v>
      </c>
      <c r="E2374" t="s">
        <v>948</v>
      </c>
      <c r="F2374" t="s">
        <v>598</v>
      </c>
      <c r="G2374" t="s">
        <v>599</v>
      </c>
      <c r="H2374" t="s">
        <v>600</v>
      </c>
      <c r="I2374" t="s">
        <v>601</v>
      </c>
      <c r="J2374">
        <v>1E-4</v>
      </c>
      <c r="K2374">
        <v>1E-4</v>
      </c>
      <c r="L2374">
        <v>1E-4</v>
      </c>
      <c r="M2374">
        <v>1E-4</v>
      </c>
      <c r="N2374">
        <v>1E-4</v>
      </c>
      <c r="O2374">
        <v>1E-4</v>
      </c>
      <c r="P2374">
        <v>1E-4</v>
      </c>
      <c r="Q2374">
        <v>1E-4</v>
      </c>
      <c r="R2374">
        <v>1E-4</v>
      </c>
      <c r="S2374">
        <v>1E-4</v>
      </c>
      <c r="T2374">
        <v>1E-4</v>
      </c>
      <c r="U2374">
        <v>1E-4</v>
      </c>
      <c r="V2374">
        <v>1E-4</v>
      </c>
      <c r="W2374">
        <v>1E-4</v>
      </c>
      <c r="X2374">
        <v>1E-4</v>
      </c>
      <c r="Y2374">
        <v>1E-4</v>
      </c>
    </row>
    <row r="2375" spans="1:25" hidden="1">
      <c r="A2375" t="s">
        <v>18811</v>
      </c>
      <c r="B2375" t="s">
        <v>951</v>
      </c>
      <c r="C2375" t="s">
        <v>943</v>
      </c>
      <c r="D2375" t="s">
        <v>934</v>
      </c>
      <c r="E2375" t="s">
        <v>937</v>
      </c>
      <c r="F2375" t="s">
        <v>598</v>
      </c>
      <c r="G2375" t="s">
        <v>599</v>
      </c>
      <c r="H2375" t="s">
        <v>600</v>
      </c>
      <c r="I2375" t="s">
        <v>601</v>
      </c>
      <c r="J2375">
        <v>0.1057</v>
      </c>
      <c r="K2375">
        <v>0.10730000000000001</v>
      </c>
      <c r="L2375">
        <v>0.10879999999999999</v>
      </c>
      <c r="M2375">
        <v>0.1103</v>
      </c>
      <c r="N2375">
        <v>0.1115</v>
      </c>
      <c r="O2375">
        <v>0.11310000000000001</v>
      </c>
      <c r="P2375">
        <v>0.1147</v>
      </c>
      <c r="Q2375">
        <v>0.1164</v>
      </c>
      <c r="R2375">
        <v>0.11799999999999999</v>
      </c>
      <c r="S2375">
        <v>0.1197</v>
      </c>
      <c r="T2375">
        <v>0.1217</v>
      </c>
      <c r="U2375">
        <v>0.1235</v>
      </c>
      <c r="V2375">
        <v>0.1255</v>
      </c>
      <c r="W2375">
        <v>0.12759999999999999</v>
      </c>
      <c r="X2375">
        <v>0.12939999999999999</v>
      </c>
      <c r="Y2375">
        <v>0.1313</v>
      </c>
    </row>
    <row r="2376" spans="1:25" hidden="1">
      <c r="A2376" t="s">
        <v>18811</v>
      </c>
      <c r="B2376" t="s">
        <v>955</v>
      </c>
      <c r="C2376" t="s">
        <v>956</v>
      </c>
      <c r="D2376" t="s">
        <v>931</v>
      </c>
      <c r="E2376" t="s">
        <v>597</v>
      </c>
      <c r="F2376" t="s">
        <v>598</v>
      </c>
      <c r="G2376" t="s">
        <v>599</v>
      </c>
      <c r="H2376" t="s">
        <v>600</v>
      </c>
      <c r="I2376" t="s">
        <v>601</v>
      </c>
      <c r="J2376">
        <v>2.7000000000000001E-3</v>
      </c>
      <c r="K2376">
        <v>2.8E-3</v>
      </c>
      <c r="L2376">
        <v>2.8999999999999998E-3</v>
      </c>
      <c r="M2376">
        <v>2.8999999999999998E-3</v>
      </c>
      <c r="N2376">
        <v>2.8999999999999998E-3</v>
      </c>
      <c r="O2376">
        <v>2.8999999999999998E-3</v>
      </c>
      <c r="P2376">
        <v>3.0000000000000001E-3</v>
      </c>
      <c r="Q2376">
        <v>3.0000000000000001E-3</v>
      </c>
      <c r="R2376">
        <v>3.0000000000000001E-3</v>
      </c>
      <c r="S2376">
        <v>3.0999999999999999E-3</v>
      </c>
      <c r="T2376">
        <v>3.0999999999999999E-3</v>
      </c>
      <c r="U2376">
        <v>3.0999999999999999E-3</v>
      </c>
      <c r="V2376">
        <v>3.0999999999999999E-3</v>
      </c>
      <c r="W2376">
        <v>3.0999999999999999E-3</v>
      </c>
      <c r="X2376">
        <v>3.3E-3</v>
      </c>
      <c r="Y2376">
        <v>3.3E-3</v>
      </c>
    </row>
    <row r="2377" spans="1:25" hidden="1">
      <c r="A2377" t="s">
        <v>18811</v>
      </c>
      <c r="B2377" t="s">
        <v>959</v>
      </c>
      <c r="C2377" t="s">
        <v>956</v>
      </c>
      <c r="D2377" t="s">
        <v>931</v>
      </c>
      <c r="E2377" t="s">
        <v>613</v>
      </c>
      <c r="F2377" t="s">
        <v>598</v>
      </c>
      <c r="G2377" t="s">
        <v>599</v>
      </c>
      <c r="H2377" t="s">
        <v>600</v>
      </c>
      <c r="I2377" t="s">
        <v>601</v>
      </c>
      <c r="J2377">
        <v>4.8999999999999998E-3</v>
      </c>
      <c r="K2377">
        <v>5.0000000000000001E-3</v>
      </c>
      <c r="L2377">
        <v>5.1999999999999998E-3</v>
      </c>
      <c r="M2377">
        <v>5.3E-3</v>
      </c>
      <c r="N2377">
        <v>5.3E-3</v>
      </c>
      <c r="O2377">
        <v>5.3E-3</v>
      </c>
      <c r="P2377">
        <v>5.4999999999999997E-3</v>
      </c>
      <c r="Q2377">
        <v>5.4999999999999997E-3</v>
      </c>
      <c r="R2377">
        <v>5.4999999999999997E-3</v>
      </c>
      <c r="S2377">
        <v>5.4999999999999997E-3</v>
      </c>
      <c r="T2377">
        <v>5.4999999999999997E-3</v>
      </c>
      <c r="U2377">
        <v>5.7000000000000002E-3</v>
      </c>
      <c r="V2377">
        <v>5.7999999999999996E-3</v>
      </c>
      <c r="W2377">
        <v>5.7999999999999996E-3</v>
      </c>
      <c r="X2377">
        <v>5.8999999999999999E-3</v>
      </c>
      <c r="Y2377">
        <v>6.0000000000000001E-3</v>
      </c>
    </row>
    <row r="2378" spans="1:25" hidden="1">
      <c r="A2378" t="s">
        <v>18811</v>
      </c>
      <c r="B2378" t="s">
        <v>960</v>
      </c>
      <c r="C2378" t="s">
        <v>956</v>
      </c>
      <c r="D2378" t="s">
        <v>931</v>
      </c>
      <c r="E2378" t="s">
        <v>961</v>
      </c>
      <c r="F2378" t="s">
        <v>598</v>
      </c>
      <c r="G2378" t="s">
        <v>599</v>
      </c>
      <c r="H2378" t="s">
        <v>600</v>
      </c>
      <c r="I2378" t="s">
        <v>601</v>
      </c>
      <c r="J2378">
        <v>1.8E-3</v>
      </c>
      <c r="K2378">
        <v>1.8E-3</v>
      </c>
      <c r="L2378">
        <v>1.8E-3</v>
      </c>
      <c r="M2378">
        <v>1.9E-3</v>
      </c>
      <c r="N2378">
        <v>1.9E-3</v>
      </c>
      <c r="O2378">
        <v>1.9E-3</v>
      </c>
      <c r="P2378">
        <v>1.9E-3</v>
      </c>
      <c r="Q2378">
        <v>1.9E-3</v>
      </c>
      <c r="R2378">
        <v>1.9E-3</v>
      </c>
      <c r="S2378">
        <v>1.9E-3</v>
      </c>
      <c r="T2378">
        <v>2E-3</v>
      </c>
      <c r="U2378">
        <v>2.0999999999999999E-3</v>
      </c>
      <c r="V2378">
        <v>2.0999999999999999E-3</v>
      </c>
      <c r="W2378">
        <v>2.2000000000000001E-3</v>
      </c>
      <c r="X2378">
        <v>2.3E-3</v>
      </c>
      <c r="Y2378">
        <v>2.3E-3</v>
      </c>
    </row>
    <row r="2379" spans="1:25" hidden="1">
      <c r="A2379" t="s">
        <v>18811</v>
      </c>
      <c r="B2379" t="s">
        <v>962</v>
      </c>
      <c r="C2379" t="s">
        <v>956</v>
      </c>
      <c r="D2379" t="s">
        <v>931</v>
      </c>
      <c r="E2379" t="s">
        <v>676</v>
      </c>
      <c r="F2379" t="s">
        <v>598</v>
      </c>
      <c r="G2379" t="s">
        <v>599</v>
      </c>
      <c r="H2379" t="s">
        <v>600</v>
      </c>
      <c r="I2379" t="s">
        <v>601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 hidden="1">
      <c r="A2380" t="s">
        <v>18811</v>
      </c>
      <c r="B2380" t="s">
        <v>963</v>
      </c>
      <c r="C2380" t="s">
        <v>956</v>
      </c>
      <c r="D2380" t="s">
        <v>934</v>
      </c>
      <c r="E2380" t="s">
        <v>597</v>
      </c>
      <c r="F2380" t="s">
        <v>598</v>
      </c>
      <c r="G2380" t="s">
        <v>599</v>
      </c>
      <c r="H2380" t="s">
        <v>600</v>
      </c>
      <c r="I2380" t="s">
        <v>601</v>
      </c>
      <c r="J2380">
        <v>2.0000000000000001E-4</v>
      </c>
      <c r="K2380">
        <v>2.0000000000000001E-4</v>
      </c>
      <c r="L2380">
        <v>2.0000000000000001E-4</v>
      </c>
      <c r="M2380">
        <v>2.0000000000000001E-4</v>
      </c>
      <c r="N2380">
        <v>2.0000000000000001E-4</v>
      </c>
      <c r="O2380">
        <v>2.0000000000000001E-4</v>
      </c>
      <c r="P2380">
        <v>2.0000000000000001E-4</v>
      </c>
      <c r="Q2380">
        <v>2.0000000000000001E-4</v>
      </c>
      <c r="R2380">
        <v>2.0000000000000001E-4</v>
      </c>
      <c r="S2380">
        <v>2.9999999999999997E-4</v>
      </c>
      <c r="T2380">
        <v>2.9999999999999997E-4</v>
      </c>
      <c r="U2380">
        <v>2.9999999999999997E-4</v>
      </c>
      <c r="V2380">
        <v>2.9999999999999997E-4</v>
      </c>
      <c r="W2380">
        <v>2.9999999999999997E-4</v>
      </c>
      <c r="X2380">
        <v>2.9999999999999997E-4</v>
      </c>
      <c r="Y2380">
        <v>2.9999999999999997E-4</v>
      </c>
    </row>
    <row r="2381" spans="1:25" hidden="1">
      <c r="A2381" t="s">
        <v>18811</v>
      </c>
      <c r="B2381" t="s">
        <v>964</v>
      </c>
      <c r="C2381" t="s">
        <v>956</v>
      </c>
      <c r="D2381" t="s">
        <v>934</v>
      </c>
      <c r="E2381" t="s">
        <v>605</v>
      </c>
      <c r="F2381" t="s">
        <v>598</v>
      </c>
      <c r="G2381" t="s">
        <v>599</v>
      </c>
      <c r="H2381" t="s">
        <v>600</v>
      </c>
      <c r="I2381" t="s">
        <v>601</v>
      </c>
      <c r="J2381">
        <v>8.9999999999999998E-4</v>
      </c>
      <c r="K2381">
        <v>8.9999999999999998E-4</v>
      </c>
      <c r="L2381">
        <v>8.9999999999999998E-4</v>
      </c>
      <c r="M2381">
        <v>8.9999999999999998E-4</v>
      </c>
      <c r="N2381">
        <v>8.9999999999999998E-4</v>
      </c>
      <c r="O2381">
        <v>8.9999999999999998E-4</v>
      </c>
      <c r="P2381">
        <v>8.9999999999999998E-4</v>
      </c>
      <c r="Q2381">
        <v>8.9999999999999998E-4</v>
      </c>
      <c r="R2381">
        <v>8.9999999999999998E-4</v>
      </c>
      <c r="S2381">
        <v>8.9999999999999998E-4</v>
      </c>
      <c r="T2381">
        <v>8.9999999999999998E-4</v>
      </c>
      <c r="U2381">
        <v>8.9999999999999998E-4</v>
      </c>
      <c r="V2381">
        <v>8.9999999999999998E-4</v>
      </c>
      <c r="W2381">
        <v>8.9999999999999998E-4</v>
      </c>
      <c r="X2381">
        <v>8.9999999999999998E-4</v>
      </c>
      <c r="Y2381">
        <v>8.9999999999999998E-4</v>
      </c>
    </row>
    <row r="2382" spans="1:25" hidden="1">
      <c r="A2382" t="s">
        <v>18811</v>
      </c>
      <c r="B2382" t="s">
        <v>965</v>
      </c>
      <c r="C2382" t="s">
        <v>956</v>
      </c>
      <c r="D2382" t="s">
        <v>934</v>
      </c>
      <c r="E2382" t="s">
        <v>937</v>
      </c>
      <c r="F2382" t="s">
        <v>598</v>
      </c>
      <c r="G2382" t="s">
        <v>599</v>
      </c>
      <c r="H2382" t="s">
        <v>600</v>
      </c>
      <c r="I2382" t="s">
        <v>601</v>
      </c>
      <c r="J2382">
        <v>2.2000000000000001E-3</v>
      </c>
      <c r="K2382">
        <v>2.3E-3</v>
      </c>
      <c r="L2382">
        <v>2.3E-3</v>
      </c>
      <c r="M2382">
        <v>2.3E-3</v>
      </c>
      <c r="N2382">
        <v>2.3E-3</v>
      </c>
      <c r="O2382">
        <v>2.3999999999999998E-3</v>
      </c>
      <c r="P2382">
        <v>2.3999999999999998E-3</v>
      </c>
      <c r="Q2382">
        <v>2.3999999999999998E-3</v>
      </c>
      <c r="R2382">
        <v>2.5000000000000001E-3</v>
      </c>
      <c r="S2382">
        <v>2.5000000000000001E-3</v>
      </c>
      <c r="T2382">
        <v>2.5000000000000001E-3</v>
      </c>
      <c r="U2382">
        <v>2.5999999999999999E-3</v>
      </c>
      <c r="V2382">
        <v>2.5999999999999999E-3</v>
      </c>
      <c r="W2382">
        <v>2.7000000000000001E-3</v>
      </c>
      <c r="X2382">
        <v>2.7000000000000001E-3</v>
      </c>
      <c r="Y2382">
        <v>2.7000000000000001E-3</v>
      </c>
    </row>
    <row r="2383" spans="1:25" hidden="1">
      <c r="A2383" t="s">
        <v>18811</v>
      </c>
      <c r="B2383" t="s">
        <v>974</v>
      </c>
      <c r="C2383" t="s">
        <v>971</v>
      </c>
      <c r="D2383" t="s">
        <v>648</v>
      </c>
      <c r="E2383" t="s">
        <v>973</v>
      </c>
      <c r="F2383" t="s">
        <v>598</v>
      </c>
      <c r="G2383" t="s">
        <v>599</v>
      </c>
      <c r="H2383" t="s">
        <v>600</v>
      </c>
      <c r="I2383" t="s">
        <v>601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hidden="1">
      <c r="A2384" t="s">
        <v>18811</v>
      </c>
      <c r="B2384" t="s">
        <v>975</v>
      </c>
      <c r="C2384" t="s">
        <v>971</v>
      </c>
      <c r="D2384" t="s">
        <v>648</v>
      </c>
      <c r="E2384" t="s">
        <v>597</v>
      </c>
      <c r="F2384" t="s">
        <v>598</v>
      </c>
      <c r="G2384" t="s">
        <v>599</v>
      </c>
      <c r="H2384" t="s">
        <v>600</v>
      </c>
      <c r="I2384" t="s">
        <v>601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1E-4</v>
      </c>
      <c r="Q2384">
        <v>1E-4</v>
      </c>
      <c r="R2384">
        <v>1E-4</v>
      </c>
      <c r="S2384">
        <v>1E-4</v>
      </c>
      <c r="T2384">
        <v>1E-4</v>
      </c>
      <c r="U2384">
        <v>1E-4</v>
      </c>
      <c r="V2384">
        <v>1E-4</v>
      </c>
      <c r="W2384">
        <v>1E-4</v>
      </c>
      <c r="X2384">
        <v>1E-4</v>
      </c>
      <c r="Y2384">
        <v>1E-4</v>
      </c>
    </row>
    <row r="2385" spans="1:25" hidden="1">
      <c r="A2385" t="s">
        <v>18811</v>
      </c>
      <c r="B2385" t="s">
        <v>976</v>
      </c>
      <c r="C2385" t="s">
        <v>971</v>
      </c>
      <c r="D2385" t="s">
        <v>648</v>
      </c>
      <c r="E2385" t="s">
        <v>642</v>
      </c>
      <c r="F2385" t="s">
        <v>598</v>
      </c>
      <c r="G2385" t="s">
        <v>599</v>
      </c>
      <c r="H2385" t="s">
        <v>600</v>
      </c>
      <c r="I2385" t="s">
        <v>601</v>
      </c>
      <c r="J2385">
        <v>1E-4</v>
      </c>
      <c r="K2385">
        <v>1E-4</v>
      </c>
      <c r="L2385">
        <v>1E-4</v>
      </c>
      <c r="M2385">
        <v>1E-4</v>
      </c>
      <c r="N2385">
        <v>1E-4</v>
      </c>
      <c r="O2385">
        <v>1E-4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</row>
    <row r="2386" spans="1:25" hidden="1">
      <c r="A2386" t="s">
        <v>18811</v>
      </c>
      <c r="B2386" t="s">
        <v>977</v>
      </c>
      <c r="C2386" t="s">
        <v>971</v>
      </c>
      <c r="D2386" t="s">
        <v>648</v>
      </c>
      <c r="E2386" t="s">
        <v>613</v>
      </c>
      <c r="F2386" t="s">
        <v>598</v>
      </c>
      <c r="G2386" t="s">
        <v>599</v>
      </c>
      <c r="H2386" t="s">
        <v>600</v>
      </c>
      <c r="I2386" t="s">
        <v>601</v>
      </c>
      <c r="J2386">
        <v>6.9999999999999999E-4</v>
      </c>
      <c r="K2386">
        <v>6.9999999999999999E-4</v>
      </c>
      <c r="L2386">
        <v>6.9999999999999999E-4</v>
      </c>
      <c r="M2386">
        <v>6.9999999999999999E-4</v>
      </c>
      <c r="N2386">
        <v>6.9999999999999999E-4</v>
      </c>
      <c r="O2386">
        <v>6.9999999999999999E-4</v>
      </c>
      <c r="P2386">
        <v>6.9999999999999999E-4</v>
      </c>
      <c r="Q2386">
        <v>6.9999999999999999E-4</v>
      </c>
      <c r="R2386">
        <v>6.9999999999999999E-4</v>
      </c>
      <c r="S2386">
        <v>6.9999999999999999E-4</v>
      </c>
      <c r="T2386">
        <v>6.9999999999999999E-4</v>
      </c>
      <c r="U2386">
        <v>6.9999999999999999E-4</v>
      </c>
      <c r="V2386">
        <v>6.9999999999999999E-4</v>
      </c>
      <c r="W2386">
        <v>6.9999999999999999E-4</v>
      </c>
      <c r="X2386">
        <v>6.9999999999999999E-4</v>
      </c>
      <c r="Y2386">
        <v>6.9999999999999999E-4</v>
      </c>
    </row>
    <row r="2387" spans="1:25" hidden="1">
      <c r="A2387" t="s">
        <v>18811</v>
      </c>
      <c r="B2387" t="s">
        <v>981</v>
      </c>
      <c r="C2387" t="s">
        <v>980</v>
      </c>
      <c r="D2387" t="s">
        <v>982</v>
      </c>
      <c r="E2387" t="s">
        <v>613</v>
      </c>
      <c r="F2387" t="s">
        <v>598</v>
      </c>
      <c r="G2387" t="s">
        <v>599</v>
      </c>
      <c r="H2387" t="s">
        <v>600</v>
      </c>
      <c r="I2387" t="s">
        <v>601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 hidden="1">
      <c r="A2388" t="s">
        <v>18811</v>
      </c>
      <c r="B2388" t="s">
        <v>983</v>
      </c>
      <c r="C2388" t="s">
        <v>980</v>
      </c>
      <c r="D2388" t="s">
        <v>982</v>
      </c>
      <c r="E2388" t="s">
        <v>984</v>
      </c>
      <c r="F2388" t="s">
        <v>598</v>
      </c>
      <c r="G2388" t="s">
        <v>599</v>
      </c>
      <c r="H2388" t="s">
        <v>600</v>
      </c>
      <c r="I2388" t="s">
        <v>601</v>
      </c>
      <c r="J2388">
        <v>4.3E-3</v>
      </c>
      <c r="K2388">
        <v>4.3E-3</v>
      </c>
      <c r="L2388">
        <v>4.3E-3</v>
      </c>
      <c r="M2388">
        <v>4.4999999999999997E-3</v>
      </c>
      <c r="N2388">
        <v>4.4999999999999997E-3</v>
      </c>
      <c r="O2388">
        <v>4.4999999999999997E-3</v>
      </c>
      <c r="P2388">
        <v>4.4999999999999997E-3</v>
      </c>
      <c r="Q2388">
        <v>4.4999999999999997E-3</v>
      </c>
      <c r="R2388">
        <v>4.7000000000000002E-3</v>
      </c>
      <c r="S2388">
        <v>4.7999999999999996E-3</v>
      </c>
      <c r="T2388">
        <v>4.7999999999999996E-3</v>
      </c>
      <c r="U2388">
        <v>4.7999999999999996E-3</v>
      </c>
      <c r="V2388">
        <v>4.8999999999999998E-3</v>
      </c>
      <c r="W2388">
        <v>5.0000000000000001E-3</v>
      </c>
      <c r="X2388">
        <v>5.1000000000000004E-3</v>
      </c>
      <c r="Y2388">
        <v>5.1000000000000004E-3</v>
      </c>
    </row>
    <row r="2389" spans="1:25" hidden="1">
      <c r="A2389" t="s">
        <v>18811</v>
      </c>
      <c r="B2389" t="s">
        <v>985</v>
      </c>
      <c r="C2389" t="s">
        <v>980</v>
      </c>
      <c r="D2389" t="s">
        <v>986</v>
      </c>
      <c r="E2389" t="s">
        <v>973</v>
      </c>
      <c r="F2389" t="s">
        <v>598</v>
      </c>
      <c r="G2389" t="s">
        <v>599</v>
      </c>
      <c r="H2389" t="s">
        <v>600</v>
      </c>
      <c r="I2389" t="s">
        <v>601</v>
      </c>
      <c r="J2389">
        <v>1.1999999999999999E-3</v>
      </c>
      <c r="K2389">
        <v>1.1999999999999999E-3</v>
      </c>
      <c r="L2389">
        <v>1.1999999999999999E-3</v>
      </c>
      <c r="M2389">
        <v>1.1999999999999999E-3</v>
      </c>
      <c r="N2389">
        <v>1.1999999999999999E-3</v>
      </c>
      <c r="O2389">
        <v>1.1999999999999999E-3</v>
      </c>
      <c r="P2389">
        <v>1.1999999999999999E-3</v>
      </c>
      <c r="Q2389">
        <v>1.1999999999999999E-3</v>
      </c>
      <c r="R2389">
        <v>1.2999999999999999E-3</v>
      </c>
      <c r="S2389">
        <v>1.2999999999999999E-3</v>
      </c>
      <c r="T2389">
        <v>1.2999999999999999E-3</v>
      </c>
      <c r="U2389">
        <v>1.2999999999999999E-3</v>
      </c>
      <c r="V2389">
        <v>1.4E-3</v>
      </c>
      <c r="W2389">
        <v>1.4E-3</v>
      </c>
      <c r="X2389">
        <v>1.4E-3</v>
      </c>
      <c r="Y2389">
        <v>1.4E-3</v>
      </c>
    </row>
    <row r="2390" spans="1:25" hidden="1">
      <c r="A2390" t="s">
        <v>18811</v>
      </c>
      <c r="B2390" t="s">
        <v>987</v>
      </c>
      <c r="C2390" t="s">
        <v>980</v>
      </c>
      <c r="D2390" t="s">
        <v>986</v>
      </c>
      <c r="E2390" t="s">
        <v>927</v>
      </c>
      <c r="F2390" t="s">
        <v>598</v>
      </c>
      <c r="G2390" t="s">
        <v>599</v>
      </c>
      <c r="H2390" t="s">
        <v>600</v>
      </c>
      <c r="I2390" t="s">
        <v>601</v>
      </c>
      <c r="J2390">
        <v>6.9999999999999999E-4</v>
      </c>
      <c r="K2390">
        <v>6.9999999999999999E-4</v>
      </c>
      <c r="L2390">
        <v>6.9999999999999999E-4</v>
      </c>
      <c r="M2390">
        <v>6.9999999999999999E-4</v>
      </c>
      <c r="N2390">
        <v>6.9999999999999999E-4</v>
      </c>
      <c r="O2390">
        <v>6.9999999999999999E-4</v>
      </c>
      <c r="P2390">
        <v>6.9999999999999999E-4</v>
      </c>
      <c r="Q2390">
        <v>6.9999999999999999E-4</v>
      </c>
      <c r="R2390">
        <v>6.9999999999999999E-4</v>
      </c>
      <c r="S2390">
        <v>6.9999999999999999E-4</v>
      </c>
      <c r="T2390">
        <v>6.9999999999999999E-4</v>
      </c>
      <c r="U2390">
        <v>6.9999999999999999E-4</v>
      </c>
      <c r="V2390">
        <v>6.9999999999999999E-4</v>
      </c>
      <c r="W2390">
        <v>6.9999999999999999E-4</v>
      </c>
      <c r="X2390">
        <v>6.9999999999999999E-4</v>
      </c>
      <c r="Y2390">
        <v>6.9999999999999999E-4</v>
      </c>
    </row>
    <row r="2391" spans="1:25" hidden="1">
      <c r="A2391" t="s">
        <v>18811</v>
      </c>
      <c r="B2391" t="s">
        <v>988</v>
      </c>
      <c r="C2391" t="s">
        <v>980</v>
      </c>
      <c r="D2391" t="s">
        <v>648</v>
      </c>
      <c r="E2391" t="s">
        <v>920</v>
      </c>
      <c r="F2391" t="s">
        <v>598</v>
      </c>
      <c r="G2391" t="s">
        <v>599</v>
      </c>
      <c r="H2391" t="s">
        <v>600</v>
      </c>
      <c r="I2391" t="s">
        <v>601</v>
      </c>
      <c r="J2391">
        <v>2.0000000000000001E-4</v>
      </c>
      <c r="K2391">
        <v>2.0000000000000001E-4</v>
      </c>
      <c r="L2391">
        <v>2.0000000000000001E-4</v>
      </c>
      <c r="M2391">
        <v>2.0000000000000001E-4</v>
      </c>
      <c r="N2391">
        <v>2.0000000000000001E-4</v>
      </c>
      <c r="O2391">
        <v>2.0000000000000001E-4</v>
      </c>
      <c r="P2391">
        <v>2.0000000000000001E-4</v>
      </c>
      <c r="Q2391">
        <v>2.0000000000000001E-4</v>
      </c>
      <c r="R2391">
        <v>2.0000000000000001E-4</v>
      </c>
      <c r="S2391">
        <v>2.0000000000000001E-4</v>
      </c>
      <c r="T2391">
        <v>2.0000000000000001E-4</v>
      </c>
      <c r="U2391">
        <v>2.0000000000000001E-4</v>
      </c>
      <c r="V2391">
        <v>2.0000000000000001E-4</v>
      </c>
      <c r="W2391">
        <v>2.0000000000000001E-4</v>
      </c>
      <c r="X2391">
        <v>2.0000000000000001E-4</v>
      </c>
      <c r="Y2391">
        <v>2.0000000000000001E-4</v>
      </c>
    </row>
    <row r="2392" spans="1:25" hidden="1">
      <c r="A2392" t="s">
        <v>18811</v>
      </c>
      <c r="B2392" t="s">
        <v>989</v>
      </c>
      <c r="C2392" t="s">
        <v>980</v>
      </c>
      <c r="D2392" t="s">
        <v>648</v>
      </c>
      <c r="E2392" t="s">
        <v>613</v>
      </c>
      <c r="F2392" t="s">
        <v>598</v>
      </c>
      <c r="G2392" t="s">
        <v>599</v>
      </c>
      <c r="H2392" t="s">
        <v>600</v>
      </c>
      <c r="I2392" t="s">
        <v>601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 hidden="1">
      <c r="A2393" t="s">
        <v>18811</v>
      </c>
      <c r="B2393" t="s">
        <v>990</v>
      </c>
      <c r="C2393" t="s">
        <v>980</v>
      </c>
      <c r="D2393" t="s">
        <v>648</v>
      </c>
      <c r="E2393" t="s">
        <v>984</v>
      </c>
      <c r="F2393" t="s">
        <v>598</v>
      </c>
      <c r="G2393" t="s">
        <v>599</v>
      </c>
      <c r="H2393" t="s">
        <v>600</v>
      </c>
      <c r="I2393" t="s">
        <v>601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hidden="1">
      <c r="A2394" t="s">
        <v>18811</v>
      </c>
      <c r="B2394" t="s">
        <v>991</v>
      </c>
      <c r="C2394" t="s">
        <v>980</v>
      </c>
      <c r="D2394" t="s">
        <v>648</v>
      </c>
      <c r="E2394" t="s">
        <v>927</v>
      </c>
      <c r="F2394" t="s">
        <v>598</v>
      </c>
      <c r="G2394" t="s">
        <v>599</v>
      </c>
      <c r="H2394" t="s">
        <v>600</v>
      </c>
      <c r="I2394" t="s">
        <v>601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hidden="1">
      <c r="A2395" t="s">
        <v>18811</v>
      </c>
      <c r="B2395" t="s">
        <v>992</v>
      </c>
      <c r="C2395" t="s">
        <v>980</v>
      </c>
      <c r="D2395" t="s">
        <v>648</v>
      </c>
      <c r="E2395" t="s">
        <v>929</v>
      </c>
      <c r="F2395" t="s">
        <v>598</v>
      </c>
      <c r="G2395" t="s">
        <v>599</v>
      </c>
      <c r="H2395" t="s">
        <v>600</v>
      </c>
      <c r="I2395" t="s">
        <v>601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hidden="1">
      <c r="A2396" t="s">
        <v>18811</v>
      </c>
      <c r="B2396" t="s">
        <v>997</v>
      </c>
      <c r="C2396" t="s">
        <v>998</v>
      </c>
      <c r="D2396" t="s">
        <v>999</v>
      </c>
      <c r="E2396" t="s">
        <v>1000</v>
      </c>
      <c r="F2396" t="s">
        <v>598</v>
      </c>
      <c r="G2396" t="s">
        <v>599</v>
      </c>
      <c r="H2396" t="s">
        <v>600</v>
      </c>
      <c r="I2396" t="s">
        <v>601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hidden="1">
      <c r="A2397" t="s">
        <v>18811</v>
      </c>
      <c r="B2397" t="s">
        <v>1001</v>
      </c>
      <c r="C2397" t="s">
        <v>998</v>
      </c>
      <c r="D2397" t="s">
        <v>999</v>
      </c>
      <c r="E2397" t="s">
        <v>1002</v>
      </c>
      <c r="F2397" t="s">
        <v>598</v>
      </c>
      <c r="G2397" t="s">
        <v>599</v>
      </c>
      <c r="H2397" t="s">
        <v>600</v>
      </c>
      <c r="I2397" t="s">
        <v>601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hidden="1">
      <c r="A2398" t="s">
        <v>18811</v>
      </c>
      <c r="B2398" t="s">
        <v>1003</v>
      </c>
      <c r="C2398" t="s">
        <v>998</v>
      </c>
      <c r="D2398" t="s">
        <v>999</v>
      </c>
      <c r="E2398" t="s">
        <v>1004</v>
      </c>
      <c r="F2398" t="s">
        <v>598</v>
      </c>
      <c r="G2398" t="s">
        <v>599</v>
      </c>
      <c r="H2398" t="s">
        <v>600</v>
      </c>
      <c r="I2398" t="s">
        <v>601</v>
      </c>
      <c r="J2398">
        <v>1.2999999999999999E-3</v>
      </c>
      <c r="K2398">
        <v>1.4E-3</v>
      </c>
      <c r="L2398">
        <v>1.4E-3</v>
      </c>
      <c r="M2398">
        <v>1.4E-3</v>
      </c>
      <c r="N2398">
        <v>1.5E-3</v>
      </c>
      <c r="O2398">
        <v>1.5E-3</v>
      </c>
      <c r="P2398">
        <v>1.5E-3</v>
      </c>
      <c r="Q2398">
        <v>1.5E-3</v>
      </c>
      <c r="R2398">
        <v>1.6000000000000001E-3</v>
      </c>
      <c r="S2398">
        <v>1.6000000000000001E-3</v>
      </c>
      <c r="T2398">
        <v>1.6000000000000001E-3</v>
      </c>
      <c r="U2398">
        <v>1.6999999999999999E-3</v>
      </c>
      <c r="V2398">
        <v>1.6999999999999999E-3</v>
      </c>
      <c r="W2398">
        <v>1.6999999999999999E-3</v>
      </c>
      <c r="X2398">
        <v>1.8E-3</v>
      </c>
      <c r="Y2398">
        <v>1.8E-3</v>
      </c>
    </row>
    <row r="2399" spans="1:25" hidden="1">
      <c r="A2399" t="s">
        <v>18811</v>
      </c>
      <c r="B2399" t="s">
        <v>1009</v>
      </c>
      <c r="C2399" t="s">
        <v>998</v>
      </c>
      <c r="D2399" t="s">
        <v>999</v>
      </c>
      <c r="E2399" t="s">
        <v>1010</v>
      </c>
      <c r="F2399" t="s">
        <v>598</v>
      </c>
      <c r="G2399" t="s">
        <v>599</v>
      </c>
      <c r="H2399" t="s">
        <v>600</v>
      </c>
      <c r="I2399" t="s">
        <v>601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hidden="1">
      <c r="A2400" t="s">
        <v>18811</v>
      </c>
      <c r="B2400" t="s">
        <v>1015</v>
      </c>
      <c r="C2400" t="s">
        <v>1016</v>
      </c>
      <c r="D2400" t="s">
        <v>1017</v>
      </c>
      <c r="E2400" t="s">
        <v>1018</v>
      </c>
      <c r="F2400" t="s">
        <v>598</v>
      </c>
      <c r="G2400" t="s">
        <v>599</v>
      </c>
      <c r="H2400" t="s">
        <v>600</v>
      </c>
      <c r="I2400" t="s">
        <v>601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hidden="1">
      <c r="A2401" t="s">
        <v>18811</v>
      </c>
      <c r="B2401" t="s">
        <v>1021</v>
      </c>
      <c r="C2401" t="s">
        <v>1016</v>
      </c>
      <c r="D2401" t="s">
        <v>1017</v>
      </c>
      <c r="E2401" t="s">
        <v>1022</v>
      </c>
      <c r="F2401" t="s">
        <v>598</v>
      </c>
      <c r="G2401" t="s">
        <v>599</v>
      </c>
      <c r="H2401" t="s">
        <v>600</v>
      </c>
      <c r="I2401" t="s">
        <v>601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hidden="1">
      <c r="A2402" t="s">
        <v>18811</v>
      </c>
      <c r="B2402" t="s">
        <v>1023</v>
      </c>
      <c r="C2402" t="s">
        <v>1016</v>
      </c>
      <c r="D2402" t="s">
        <v>1017</v>
      </c>
      <c r="E2402" t="s">
        <v>1024</v>
      </c>
      <c r="F2402" t="s">
        <v>598</v>
      </c>
      <c r="G2402" t="s">
        <v>599</v>
      </c>
      <c r="H2402" t="s">
        <v>600</v>
      </c>
      <c r="I2402" t="s">
        <v>601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hidden="1">
      <c r="A2403" t="s">
        <v>18811</v>
      </c>
      <c r="B2403" t="s">
        <v>1025</v>
      </c>
      <c r="C2403" t="s">
        <v>1016</v>
      </c>
      <c r="D2403" t="s">
        <v>1017</v>
      </c>
      <c r="E2403" t="s">
        <v>1026</v>
      </c>
      <c r="F2403" t="s">
        <v>598</v>
      </c>
      <c r="G2403" t="s">
        <v>599</v>
      </c>
      <c r="H2403" t="s">
        <v>600</v>
      </c>
      <c r="I2403" t="s">
        <v>601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hidden="1">
      <c r="A2404" t="s">
        <v>18811</v>
      </c>
      <c r="B2404" t="s">
        <v>1029</v>
      </c>
      <c r="C2404" t="s">
        <v>1016</v>
      </c>
      <c r="D2404" t="s">
        <v>1017</v>
      </c>
      <c r="E2404" t="s">
        <v>1030</v>
      </c>
      <c r="F2404" t="s">
        <v>598</v>
      </c>
      <c r="G2404" t="s">
        <v>599</v>
      </c>
      <c r="H2404" t="s">
        <v>600</v>
      </c>
      <c r="I2404" t="s">
        <v>601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hidden="1">
      <c r="A2405" t="s">
        <v>18811</v>
      </c>
      <c r="B2405" t="s">
        <v>1034</v>
      </c>
      <c r="C2405" t="s">
        <v>1016</v>
      </c>
      <c r="D2405" t="s">
        <v>1017</v>
      </c>
      <c r="E2405" t="s">
        <v>1035</v>
      </c>
      <c r="F2405" t="s">
        <v>598</v>
      </c>
      <c r="G2405" t="s">
        <v>599</v>
      </c>
      <c r="H2405" t="s">
        <v>600</v>
      </c>
      <c r="I2405" t="s">
        <v>601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hidden="1">
      <c r="A2406" t="s">
        <v>18811</v>
      </c>
      <c r="B2406" t="s">
        <v>1037</v>
      </c>
      <c r="C2406" t="s">
        <v>1016</v>
      </c>
      <c r="D2406" t="s">
        <v>1017</v>
      </c>
      <c r="E2406" t="s">
        <v>1038</v>
      </c>
      <c r="F2406" t="s">
        <v>598</v>
      </c>
      <c r="G2406" t="s">
        <v>599</v>
      </c>
      <c r="H2406" t="s">
        <v>600</v>
      </c>
      <c r="I2406" t="s">
        <v>601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hidden="1">
      <c r="A2407" t="s">
        <v>18811</v>
      </c>
      <c r="B2407" t="s">
        <v>1039</v>
      </c>
      <c r="C2407" t="s">
        <v>1016</v>
      </c>
      <c r="D2407" t="s">
        <v>1017</v>
      </c>
      <c r="E2407" t="s">
        <v>1040</v>
      </c>
      <c r="F2407" t="s">
        <v>598</v>
      </c>
      <c r="G2407" t="s">
        <v>599</v>
      </c>
      <c r="H2407" t="s">
        <v>600</v>
      </c>
      <c r="I2407" t="s">
        <v>601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25" hidden="1">
      <c r="A2408" t="s">
        <v>18811</v>
      </c>
      <c r="B2408" t="s">
        <v>1041</v>
      </c>
      <c r="C2408" t="s">
        <v>1016</v>
      </c>
      <c r="D2408" t="s">
        <v>1017</v>
      </c>
      <c r="E2408" t="s">
        <v>1042</v>
      </c>
      <c r="F2408" t="s">
        <v>598</v>
      </c>
      <c r="G2408" t="s">
        <v>599</v>
      </c>
      <c r="H2408" t="s">
        <v>600</v>
      </c>
      <c r="I2408" t="s">
        <v>601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hidden="1">
      <c r="A2409" t="s">
        <v>18811</v>
      </c>
      <c r="B2409" t="s">
        <v>1045</v>
      </c>
      <c r="C2409" t="s">
        <v>1016</v>
      </c>
      <c r="D2409" t="s">
        <v>1017</v>
      </c>
      <c r="E2409" t="s">
        <v>1046</v>
      </c>
      <c r="F2409" t="s">
        <v>598</v>
      </c>
      <c r="G2409" t="s">
        <v>599</v>
      </c>
      <c r="H2409" t="s">
        <v>600</v>
      </c>
      <c r="I2409" t="s">
        <v>601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hidden="1">
      <c r="A2410" t="s">
        <v>18811</v>
      </c>
      <c r="B2410" t="s">
        <v>1047</v>
      </c>
      <c r="C2410" t="s">
        <v>1016</v>
      </c>
      <c r="D2410" t="s">
        <v>1017</v>
      </c>
      <c r="E2410" t="s">
        <v>1048</v>
      </c>
      <c r="F2410" t="s">
        <v>598</v>
      </c>
      <c r="G2410" t="s">
        <v>599</v>
      </c>
      <c r="H2410" t="s">
        <v>600</v>
      </c>
      <c r="I2410" t="s">
        <v>601</v>
      </c>
      <c r="J2410">
        <v>2.69E-2</v>
      </c>
      <c r="K2410">
        <v>2.8000000000000001E-2</v>
      </c>
      <c r="L2410">
        <v>2.86E-2</v>
      </c>
      <c r="M2410">
        <v>2.92E-2</v>
      </c>
      <c r="N2410">
        <v>3.0099999999999998E-2</v>
      </c>
      <c r="O2410">
        <v>3.1E-2</v>
      </c>
      <c r="P2410">
        <v>3.2099999999999997E-2</v>
      </c>
      <c r="Q2410">
        <v>3.3300000000000003E-2</v>
      </c>
      <c r="R2410">
        <v>3.4200000000000001E-2</v>
      </c>
      <c r="S2410">
        <v>3.5000000000000003E-2</v>
      </c>
      <c r="T2410">
        <v>3.5900000000000001E-2</v>
      </c>
      <c r="U2410">
        <v>3.6600000000000001E-2</v>
      </c>
      <c r="V2410">
        <v>3.7400000000000003E-2</v>
      </c>
      <c r="W2410">
        <v>3.8199999999999998E-2</v>
      </c>
      <c r="X2410">
        <v>3.9100000000000003E-2</v>
      </c>
      <c r="Y2410">
        <v>3.9800000000000002E-2</v>
      </c>
    </row>
    <row r="2411" spans="1:25" hidden="1">
      <c r="A2411" t="s">
        <v>18811</v>
      </c>
      <c r="B2411" t="s">
        <v>1049</v>
      </c>
      <c r="C2411" t="s">
        <v>1016</v>
      </c>
      <c r="D2411" t="s">
        <v>1050</v>
      </c>
      <c r="E2411" t="s">
        <v>1024</v>
      </c>
      <c r="F2411" t="s">
        <v>598</v>
      </c>
      <c r="G2411" t="s">
        <v>599</v>
      </c>
      <c r="H2411" t="s">
        <v>600</v>
      </c>
      <c r="I2411" t="s">
        <v>601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hidden="1">
      <c r="A2412" t="s">
        <v>18811</v>
      </c>
      <c r="B2412" t="s">
        <v>1051</v>
      </c>
      <c r="C2412" t="s">
        <v>1016</v>
      </c>
      <c r="D2412" t="s">
        <v>1050</v>
      </c>
      <c r="E2412" t="s">
        <v>1052</v>
      </c>
      <c r="F2412" t="s">
        <v>598</v>
      </c>
      <c r="G2412" t="s">
        <v>599</v>
      </c>
      <c r="H2412" t="s">
        <v>600</v>
      </c>
      <c r="I2412" t="s">
        <v>601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hidden="1">
      <c r="A2413" t="s">
        <v>18811</v>
      </c>
      <c r="B2413" t="s">
        <v>1053</v>
      </c>
      <c r="C2413" t="s">
        <v>1016</v>
      </c>
      <c r="D2413" t="s">
        <v>1050</v>
      </c>
      <c r="E2413" t="s">
        <v>1000</v>
      </c>
      <c r="F2413" t="s">
        <v>598</v>
      </c>
      <c r="G2413" t="s">
        <v>599</v>
      </c>
      <c r="H2413" t="s">
        <v>600</v>
      </c>
      <c r="I2413" t="s">
        <v>601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hidden="1">
      <c r="A2414" t="s">
        <v>18811</v>
      </c>
      <c r="B2414" t="s">
        <v>1054</v>
      </c>
      <c r="C2414" t="s">
        <v>1016</v>
      </c>
      <c r="D2414" t="s">
        <v>1050</v>
      </c>
      <c r="E2414" t="s">
        <v>1055</v>
      </c>
      <c r="F2414" t="s">
        <v>598</v>
      </c>
      <c r="G2414" t="s">
        <v>599</v>
      </c>
      <c r="H2414" t="s">
        <v>600</v>
      </c>
      <c r="I2414" t="s">
        <v>601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hidden="1">
      <c r="A2415" t="s">
        <v>18811</v>
      </c>
      <c r="B2415" t="s">
        <v>1056</v>
      </c>
      <c r="C2415" t="s">
        <v>1016</v>
      </c>
      <c r="D2415" t="s">
        <v>1050</v>
      </c>
      <c r="E2415" t="s">
        <v>1002</v>
      </c>
      <c r="F2415" t="s">
        <v>598</v>
      </c>
      <c r="G2415" t="s">
        <v>599</v>
      </c>
      <c r="H2415" t="s">
        <v>600</v>
      </c>
      <c r="I2415" t="s">
        <v>601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hidden="1">
      <c r="A2416" t="s">
        <v>18811</v>
      </c>
      <c r="B2416" t="s">
        <v>1059</v>
      </c>
      <c r="C2416" t="s">
        <v>1016</v>
      </c>
      <c r="D2416" t="s">
        <v>1050</v>
      </c>
      <c r="E2416" t="s">
        <v>1042</v>
      </c>
      <c r="F2416" t="s">
        <v>598</v>
      </c>
      <c r="G2416" t="s">
        <v>599</v>
      </c>
      <c r="H2416" t="s">
        <v>600</v>
      </c>
      <c r="I2416" t="s">
        <v>601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hidden="1">
      <c r="A2417" t="s">
        <v>18811</v>
      </c>
      <c r="B2417" t="s">
        <v>1060</v>
      </c>
      <c r="C2417" t="s">
        <v>1016</v>
      </c>
      <c r="D2417" t="s">
        <v>1050</v>
      </c>
      <c r="E2417" t="s">
        <v>1044</v>
      </c>
      <c r="F2417" t="s">
        <v>598</v>
      </c>
      <c r="G2417" t="s">
        <v>599</v>
      </c>
      <c r="H2417" t="s">
        <v>600</v>
      </c>
      <c r="I2417" t="s">
        <v>601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hidden="1">
      <c r="A2418" t="s">
        <v>18811</v>
      </c>
      <c r="B2418" t="s">
        <v>1061</v>
      </c>
      <c r="C2418" t="s">
        <v>1016</v>
      </c>
      <c r="D2418" t="s">
        <v>1050</v>
      </c>
      <c r="E2418" t="s">
        <v>1048</v>
      </c>
      <c r="F2418" t="s">
        <v>598</v>
      </c>
      <c r="G2418" t="s">
        <v>599</v>
      </c>
      <c r="H2418" t="s">
        <v>600</v>
      </c>
      <c r="I2418" t="s">
        <v>601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hidden="1">
      <c r="A2419" t="s">
        <v>18811</v>
      </c>
      <c r="B2419" t="s">
        <v>1062</v>
      </c>
      <c r="C2419" t="s">
        <v>1016</v>
      </c>
      <c r="D2419" t="s">
        <v>1063</v>
      </c>
      <c r="E2419" t="s">
        <v>1018</v>
      </c>
      <c r="F2419" t="s">
        <v>598</v>
      </c>
      <c r="G2419" t="s">
        <v>599</v>
      </c>
      <c r="H2419" t="s">
        <v>600</v>
      </c>
      <c r="I2419" t="s">
        <v>601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hidden="1">
      <c r="A2420" t="s">
        <v>18811</v>
      </c>
      <c r="B2420" t="s">
        <v>1064</v>
      </c>
      <c r="C2420" t="s">
        <v>1016</v>
      </c>
      <c r="D2420" t="s">
        <v>1063</v>
      </c>
      <c r="E2420" t="s">
        <v>1022</v>
      </c>
      <c r="F2420" t="s">
        <v>598</v>
      </c>
      <c r="G2420" t="s">
        <v>599</v>
      </c>
      <c r="H2420" t="s">
        <v>600</v>
      </c>
      <c r="I2420" t="s">
        <v>601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hidden="1">
      <c r="A2421" t="s">
        <v>18811</v>
      </c>
      <c r="B2421" t="s">
        <v>1065</v>
      </c>
      <c r="C2421" t="s">
        <v>1016</v>
      </c>
      <c r="D2421" t="s">
        <v>1063</v>
      </c>
      <c r="E2421" t="s">
        <v>1024</v>
      </c>
      <c r="F2421" t="s">
        <v>598</v>
      </c>
      <c r="G2421" t="s">
        <v>599</v>
      </c>
      <c r="H2421" t="s">
        <v>600</v>
      </c>
      <c r="I2421" t="s">
        <v>601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hidden="1">
      <c r="A2422" t="s">
        <v>18811</v>
      </c>
      <c r="B2422" t="s">
        <v>1067</v>
      </c>
      <c r="C2422" t="s">
        <v>1016</v>
      </c>
      <c r="D2422" t="s">
        <v>1063</v>
      </c>
      <c r="E2422" t="s">
        <v>1026</v>
      </c>
      <c r="F2422" t="s">
        <v>598</v>
      </c>
      <c r="G2422" t="s">
        <v>599</v>
      </c>
      <c r="H2422" t="s">
        <v>600</v>
      </c>
      <c r="I2422" t="s">
        <v>601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hidden="1">
      <c r="A2423" t="s">
        <v>18811</v>
      </c>
      <c r="B2423" t="s">
        <v>1068</v>
      </c>
      <c r="C2423" t="s">
        <v>1016</v>
      </c>
      <c r="D2423" t="s">
        <v>1063</v>
      </c>
      <c r="E2423" t="s">
        <v>1030</v>
      </c>
      <c r="F2423" t="s">
        <v>598</v>
      </c>
      <c r="G2423" t="s">
        <v>599</v>
      </c>
      <c r="H2423" t="s">
        <v>600</v>
      </c>
      <c r="I2423" t="s">
        <v>601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hidden="1">
      <c r="A2424" t="s">
        <v>18811</v>
      </c>
      <c r="B2424" t="s">
        <v>1069</v>
      </c>
      <c r="C2424" t="s">
        <v>1016</v>
      </c>
      <c r="D2424" t="s">
        <v>1063</v>
      </c>
      <c r="E2424" t="s">
        <v>1035</v>
      </c>
      <c r="F2424" t="s">
        <v>598</v>
      </c>
      <c r="G2424" t="s">
        <v>599</v>
      </c>
      <c r="H2424" t="s">
        <v>600</v>
      </c>
      <c r="I2424" t="s">
        <v>601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hidden="1">
      <c r="A2425" t="s">
        <v>18811</v>
      </c>
      <c r="B2425" t="s">
        <v>1071</v>
      </c>
      <c r="C2425" t="s">
        <v>1016</v>
      </c>
      <c r="D2425" t="s">
        <v>1063</v>
      </c>
      <c r="E2425" t="s">
        <v>1038</v>
      </c>
      <c r="F2425" t="s">
        <v>598</v>
      </c>
      <c r="G2425" t="s">
        <v>599</v>
      </c>
      <c r="H2425" t="s">
        <v>600</v>
      </c>
      <c r="I2425" t="s">
        <v>601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hidden="1">
      <c r="A2426" t="s">
        <v>18811</v>
      </c>
      <c r="B2426" t="s">
        <v>1072</v>
      </c>
      <c r="C2426" t="s">
        <v>1016</v>
      </c>
      <c r="D2426" t="s">
        <v>1063</v>
      </c>
      <c r="E2426" t="s">
        <v>1040</v>
      </c>
      <c r="F2426" t="s">
        <v>598</v>
      </c>
      <c r="G2426" t="s">
        <v>599</v>
      </c>
      <c r="H2426" t="s">
        <v>600</v>
      </c>
      <c r="I2426" t="s">
        <v>601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hidden="1">
      <c r="A2427" t="s">
        <v>18811</v>
      </c>
      <c r="B2427" t="s">
        <v>1073</v>
      </c>
      <c r="C2427" t="s">
        <v>1016</v>
      </c>
      <c r="D2427" t="s">
        <v>1063</v>
      </c>
      <c r="E2427" t="s">
        <v>1042</v>
      </c>
      <c r="F2427" t="s">
        <v>598</v>
      </c>
      <c r="G2427" t="s">
        <v>599</v>
      </c>
      <c r="H2427" t="s">
        <v>600</v>
      </c>
      <c r="I2427" t="s">
        <v>601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hidden="1">
      <c r="A2428" t="s">
        <v>18811</v>
      </c>
      <c r="B2428" t="s">
        <v>1074</v>
      </c>
      <c r="C2428" t="s">
        <v>1016</v>
      </c>
      <c r="D2428" t="s">
        <v>1063</v>
      </c>
      <c r="E2428" t="s">
        <v>1044</v>
      </c>
      <c r="F2428" t="s">
        <v>598</v>
      </c>
      <c r="G2428" t="s">
        <v>599</v>
      </c>
      <c r="H2428" t="s">
        <v>600</v>
      </c>
      <c r="I2428" t="s">
        <v>601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hidden="1">
      <c r="A2429" t="s">
        <v>18811</v>
      </c>
      <c r="B2429" t="s">
        <v>1075</v>
      </c>
      <c r="C2429" t="s">
        <v>1016</v>
      </c>
      <c r="D2429" t="s">
        <v>1063</v>
      </c>
      <c r="E2429" t="s">
        <v>1046</v>
      </c>
      <c r="F2429" t="s">
        <v>598</v>
      </c>
      <c r="G2429" t="s">
        <v>599</v>
      </c>
      <c r="H2429" t="s">
        <v>600</v>
      </c>
      <c r="I2429" t="s">
        <v>601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hidden="1">
      <c r="A2430" t="s">
        <v>18811</v>
      </c>
      <c r="B2430" t="s">
        <v>1076</v>
      </c>
      <c r="C2430" t="s">
        <v>1016</v>
      </c>
      <c r="D2430" t="s">
        <v>1063</v>
      </c>
      <c r="E2430" t="s">
        <v>1048</v>
      </c>
      <c r="F2430" t="s">
        <v>598</v>
      </c>
      <c r="G2430" t="s">
        <v>599</v>
      </c>
      <c r="H2430" t="s">
        <v>600</v>
      </c>
      <c r="I2430" t="s">
        <v>601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hidden="1">
      <c r="A2431" t="s">
        <v>18811</v>
      </c>
      <c r="B2431" t="s">
        <v>1087</v>
      </c>
      <c r="C2431" t="s">
        <v>1079</v>
      </c>
      <c r="D2431" t="s">
        <v>1086</v>
      </c>
      <c r="E2431" t="s">
        <v>1081</v>
      </c>
      <c r="F2431" t="s">
        <v>598</v>
      </c>
      <c r="G2431" t="s">
        <v>599</v>
      </c>
      <c r="H2431" t="s">
        <v>600</v>
      </c>
      <c r="I2431" t="s">
        <v>601</v>
      </c>
      <c r="J2431">
        <v>2.5999999999999999E-3</v>
      </c>
      <c r="K2431">
        <v>2.5999999999999999E-3</v>
      </c>
      <c r="L2431">
        <v>2.5999999999999999E-3</v>
      </c>
      <c r="M2431">
        <v>2.5999999999999999E-3</v>
      </c>
      <c r="N2431">
        <v>2.5999999999999999E-3</v>
      </c>
      <c r="O2431">
        <v>2.5999999999999999E-3</v>
      </c>
      <c r="P2431">
        <v>2.7000000000000001E-3</v>
      </c>
      <c r="Q2431">
        <v>2.8E-3</v>
      </c>
      <c r="R2431">
        <v>2.8999999999999998E-3</v>
      </c>
      <c r="S2431">
        <v>2.8999999999999998E-3</v>
      </c>
      <c r="T2431">
        <v>3.0000000000000001E-3</v>
      </c>
      <c r="U2431">
        <v>3.0000000000000001E-3</v>
      </c>
      <c r="V2431">
        <v>3.0999999999999999E-3</v>
      </c>
      <c r="W2431">
        <v>3.0999999999999999E-3</v>
      </c>
      <c r="X2431">
        <v>3.0999999999999999E-3</v>
      </c>
      <c r="Y2431">
        <v>3.2000000000000002E-3</v>
      </c>
    </row>
    <row r="2432" spans="1:25" hidden="1">
      <c r="A2432" t="s">
        <v>18811</v>
      </c>
      <c r="B2432" t="s">
        <v>1088</v>
      </c>
      <c r="C2432" t="s">
        <v>1079</v>
      </c>
      <c r="D2432" t="s">
        <v>1086</v>
      </c>
      <c r="E2432" t="s">
        <v>1089</v>
      </c>
      <c r="F2432" t="s">
        <v>598</v>
      </c>
      <c r="G2432" t="s">
        <v>599</v>
      </c>
      <c r="H2432" t="s">
        <v>600</v>
      </c>
      <c r="I2432" t="s">
        <v>601</v>
      </c>
      <c r="J2432">
        <v>1E-4</v>
      </c>
      <c r="K2432">
        <v>1E-4</v>
      </c>
      <c r="L2432">
        <v>1E-4</v>
      </c>
      <c r="M2432">
        <v>1E-4</v>
      </c>
      <c r="N2432">
        <v>1E-4</v>
      </c>
      <c r="O2432">
        <v>1E-4</v>
      </c>
      <c r="P2432">
        <v>1E-4</v>
      </c>
      <c r="Q2432">
        <v>1E-4</v>
      </c>
      <c r="R2432">
        <v>1E-4</v>
      </c>
      <c r="S2432">
        <v>1E-4</v>
      </c>
      <c r="T2432">
        <v>1E-4</v>
      </c>
      <c r="U2432">
        <v>1E-4</v>
      </c>
      <c r="V2432">
        <v>1E-4</v>
      </c>
      <c r="W2432">
        <v>1E-4</v>
      </c>
      <c r="X2432">
        <v>1E-4</v>
      </c>
      <c r="Y2432">
        <v>1E-4</v>
      </c>
    </row>
    <row r="2433" spans="1:25" hidden="1">
      <c r="A2433" t="s">
        <v>18811</v>
      </c>
      <c r="B2433" t="s">
        <v>1090</v>
      </c>
      <c r="C2433" t="s">
        <v>1079</v>
      </c>
      <c r="D2433" t="s">
        <v>1086</v>
      </c>
      <c r="E2433" t="s">
        <v>1091</v>
      </c>
      <c r="F2433" t="s">
        <v>598</v>
      </c>
      <c r="G2433" t="s">
        <v>599</v>
      </c>
      <c r="H2433" t="s">
        <v>600</v>
      </c>
      <c r="I2433" t="s">
        <v>601</v>
      </c>
      <c r="J2433">
        <v>3.8E-3</v>
      </c>
      <c r="K2433">
        <v>3.8E-3</v>
      </c>
      <c r="L2433">
        <v>3.8E-3</v>
      </c>
      <c r="M2433">
        <v>3.8E-3</v>
      </c>
      <c r="N2433">
        <v>3.8999999999999998E-3</v>
      </c>
      <c r="O2433">
        <v>4.0000000000000001E-3</v>
      </c>
      <c r="P2433">
        <v>4.0000000000000001E-3</v>
      </c>
      <c r="Q2433">
        <v>4.1000000000000003E-3</v>
      </c>
      <c r="R2433">
        <v>4.3E-3</v>
      </c>
      <c r="S2433">
        <v>4.4999999999999997E-3</v>
      </c>
      <c r="T2433">
        <v>4.4999999999999997E-3</v>
      </c>
      <c r="U2433">
        <v>4.4999999999999997E-3</v>
      </c>
      <c r="V2433">
        <v>4.7000000000000002E-3</v>
      </c>
      <c r="W2433">
        <v>4.7000000000000002E-3</v>
      </c>
      <c r="X2433">
        <v>4.7999999999999996E-3</v>
      </c>
      <c r="Y2433">
        <v>5.0000000000000001E-3</v>
      </c>
    </row>
    <row r="2434" spans="1:25" hidden="1">
      <c r="A2434" t="s">
        <v>18811</v>
      </c>
      <c r="B2434" t="s">
        <v>1096</v>
      </c>
      <c r="C2434" t="s">
        <v>1079</v>
      </c>
      <c r="D2434" t="s">
        <v>1086</v>
      </c>
      <c r="E2434" t="s">
        <v>1097</v>
      </c>
      <c r="F2434" t="s">
        <v>598</v>
      </c>
      <c r="G2434" t="s">
        <v>599</v>
      </c>
      <c r="H2434" t="s">
        <v>600</v>
      </c>
      <c r="I2434" t="s">
        <v>601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hidden="1">
      <c r="A2435" t="s">
        <v>18811</v>
      </c>
      <c r="B2435" t="s">
        <v>1098</v>
      </c>
      <c r="C2435" t="s">
        <v>1079</v>
      </c>
      <c r="D2435" t="s">
        <v>1086</v>
      </c>
      <c r="E2435" t="s">
        <v>1099</v>
      </c>
      <c r="F2435" t="s">
        <v>598</v>
      </c>
      <c r="G2435" t="s">
        <v>599</v>
      </c>
      <c r="H2435" t="s">
        <v>600</v>
      </c>
      <c r="I2435" t="s">
        <v>601</v>
      </c>
      <c r="J2435">
        <v>1E-4</v>
      </c>
      <c r="K2435">
        <v>1E-4</v>
      </c>
      <c r="L2435">
        <v>1E-4</v>
      </c>
      <c r="M2435">
        <v>1E-4</v>
      </c>
      <c r="N2435">
        <v>1E-4</v>
      </c>
      <c r="O2435">
        <v>1E-4</v>
      </c>
      <c r="P2435">
        <v>1E-4</v>
      </c>
      <c r="Q2435">
        <v>1E-4</v>
      </c>
      <c r="R2435">
        <v>1E-4</v>
      </c>
      <c r="S2435">
        <v>1E-4</v>
      </c>
      <c r="T2435">
        <v>1E-4</v>
      </c>
      <c r="U2435">
        <v>1E-4</v>
      </c>
      <c r="V2435">
        <v>1E-4</v>
      </c>
      <c r="W2435">
        <v>1E-4</v>
      </c>
      <c r="X2435">
        <v>1E-4</v>
      </c>
      <c r="Y2435">
        <v>1E-4</v>
      </c>
    </row>
    <row r="2436" spans="1:25" hidden="1">
      <c r="A2436" t="s">
        <v>18811</v>
      </c>
      <c r="B2436" t="s">
        <v>1100</v>
      </c>
      <c r="C2436" t="s">
        <v>1079</v>
      </c>
      <c r="D2436" t="s">
        <v>1086</v>
      </c>
      <c r="E2436" t="s">
        <v>1101</v>
      </c>
      <c r="F2436" t="s">
        <v>598</v>
      </c>
      <c r="G2436" t="s">
        <v>599</v>
      </c>
      <c r="H2436" t="s">
        <v>600</v>
      </c>
      <c r="I2436" t="s">
        <v>601</v>
      </c>
      <c r="J2436">
        <v>3.73E-2</v>
      </c>
      <c r="K2436">
        <v>3.7900000000000003E-2</v>
      </c>
      <c r="L2436">
        <v>3.8100000000000002E-2</v>
      </c>
      <c r="M2436">
        <v>3.8699999999999998E-2</v>
      </c>
      <c r="N2436">
        <v>3.9399999999999998E-2</v>
      </c>
      <c r="O2436">
        <v>0.04</v>
      </c>
      <c r="P2436">
        <v>4.07E-2</v>
      </c>
      <c r="Q2436">
        <v>4.1599999999999998E-2</v>
      </c>
      <c r="R2436">
        <v>4.2599999999999999E-2</v>
      </c>
      <c r="S2436">
        <v>4.3499999999999997E-2</v>
      </c>
      <c r="T2436">
        <v>4.4499999999999998E-2</v>
      </c>
      <c r="U2436">
        <v>4.5600000000000002E-2</v>
      </c>
      <c r="V2436">
        <v>4.65E-2</v>
      </c>
      <c r="W2436">
        <v>4.8000000000000001E-2</v>
      </c>
      <c r="X2436">
        <v>4.9000000000000002E-2</v>
      </c>
      <c r="Y2436">
        <v>5.0099999999999999E-2</v>
      </c>
    </row>
    <row r="2437" spans="1:25" hidden="1">
      <c r="A2437" t="s">
        <v>18811</v>
      </c>
      <c r="B2437" t="s">
        <v>1102</v>
      </c>
      <c r="C2437" t="s">
        <v>1079</v>
      </c>
      <c r="D2437" t="s">
        <v>1086</v>
      </c>
      <c r="E2437" t="s">
        <v>1103</v>
      </c>
      <c r="F2437" t="s">
        <v>598</v>
      </c>
      <c r="G2437" t="s">
        <v>599</v>
      </c>
      <c r="H2437" t="s">
        <v>600</v>
      </c>
      <c r="I2437" t="s">
        <v>601</v>
      </c>
      <c r="J2437">
        <v>4.0000000000000001E-3</v>
      </c>
      <c r="K2437">
        <v>4.0000000000000001E-3</v>
      </c>
      <c r="L2437">
        <v>4.1000000000000003E-3</v>
      </c>
      <c r="M2437">
        <v>4.1000000000000003E-3</v>
      </c>
      <c r="N2437">
        <v>4.1999999999999997E-3</v>
      </c>
      <c r="O2437">
        <v>4.1999999999999997E-3</v>
      </c>
      <c r="P2437">
        <v>4.1999999999999997E-3</v>
      </c>
      <c r="Q2437">
        <v>4.4000000000000003E-3</v>
      </c>
      <c r="R2437">
        <v>4.4000000000000003E-3</v>
      </c>
      <c r="S2437">
        <v>4.4000000000000003E-3</v>
      </c>
      <c r="T2437">
        <v>4.4999999999999997E-3</v>
      </c>
      <c r="U2437">
        <v>4.5999999999999999E-3</v>
      </c>
      <c r="V2437">
        <v>4.7000000000000002E-3</v>
      </c>
      <c r="W2437">
        <v>4.8999999999999998E-3</v>
      </c>
      <c r="X2437">
        <v>5.0000000000000001E-3</v>
      </c>
      <c r="Y2437">
        <v>5.0000000000000001E-3</v>
      </c>
    </row>
    <row r="2438" spans="1:25" hidden="1">
      <c r="A2438" t="s">
        <v>18811</v>
      </c>
      <c r="B2438" t="s">
        <v>1107</v>
      </c>
      <c r="C2438" t="s">
        <v>1079</v>
      </c>
      <c r="D2438" t="s">
        <v>1108</v>
      </c>
      <c r="E2438" t="s">
        <v>1081</v>
      </c>
      <c r="F2438" t="s">
        <v>598</v>
      </c>
      <c r="G2438" t="s">
        <v>599</v>
      </c>
      <c r="H2438" t="s">
        <v>600</v>
      </c>
      <c r="I2438" t="s">
        <v>601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hidden="1">
      <c r="A2439" t="s">
        <v>18811</v>
      </c>
      <c r="B2439" t="s">
        <v>1109</v>
      </c>
      <c r="C2439" t="s">
        <v>1079</v>
      </c>
      <c r="D2439" t="s">
        <v>1108</v>
      </c>
      <c r="E2439" t="s">
        <v>1091</v>
      </c>
      <c r="F2439" t="s">
        <v>598</v>
      </c>
      <c r="G2439" t="s">
        <v>599</v>
      </c>
      <c r="H2439" t="s">
        <v>600</v>
      </c>
      <c r="I2439" t="s">
        <v>601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hidden="1">
      <c r="A2440" t="s">
        <v>18811</v>
      </c>
      <c r="B2440" t="s">
        <v>1110</v>
      </c>
      <c r="C2440" t="s">
        <v>1079</v>
      </c>
      <c r="D2440" t="s">
        <v>1108</v>
      </c>
      <c r="E2440" t="s">
        <v>1093</v>
      </c>
      <c r="F2440" t="s">
        <v>598</v>
      </c>
      <c r="G2440" t="s">
        <v>599</v>
      </c>
      <c r="H2440" t="s">
        <v>600</v>
      </c>
      <c r="I2440" t="s">
        <v>601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hidden="1">
      <c r="A2441" t="s">
        <v>18811</v>
      </c>
      <c r="B2441" t="s">
        <v>1112</v>
      </c>
      <c r="C2441" t="s">
        <v>1079</v>
      </c>
      <c r="D2441" t="s">
        <v>1108</v>
      </c>
      <c r="E2441" t="s">
        <v>1097</v>
      </c>
      <c r="F2441" t="s">
        <v>598</v>
      </c>
      <c r="G2441" t="s">
        <v>599</v>
      </c>
      <c r="H2441" t="s">
        <v>600</v>
      </c>
      <c r="I2441" t="s">
        <v>601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hidden="1">
      <c r="A2442" t="s">
        <v>18811</v>
      </c>
      <c r="B2442" t="s">
        <v>1113</v>
      </c>
      <c r="C2442" t="s">
        <v>1079</v>
      </c>
      <c r="D2442" t="s">
        <v>1108</v>
      </c>
      <c r="E2442" t="s">
        <v>1101</v>
      </c>
      <c r="F2442" t="s">
        <v>598</v>
      </c>
      <c r="G2442" t="s">
        <v>599</v>
      </c>
      <c r="H2442" t="s">
        <v>600</v>
      </c>
      <c r="I2442" t="s">
        <v>601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1E-4</v>
      </c>
    </row>
    <row r="2443" spans="1:25" hidden="1">
      <c r="A2443" t="s">
        <v>18811</v>
      </c>
      <c r="B2443" t="s">
        <v>1114</v>
      </c>
      <c r="C2443" t="s">
        <v>1079</v>
      </c>
      <c r="D2443" t="s">
        <v>1115</v>
      </c>
      <c r="E2443" t="s">
        <v>1081</v>
      </c>
      <c r="F2443" t="s">
        <v>598</v>
      </c>
      <c r="G2443" t="s">
        <v>599</v>
      </c>
      <c r="H2443" t="s">
        <v>600</v>
      </c>
      <c r="I2443" t="s">
        <v>601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hidden="1">
      <c r="A2444" t="s">
        <v>18811</v>
      </c>
      <c r="B2444" t="s">
        <v>1117</v>
      </c>
      <c r="C2444" t="s">
        <v>1079</v>
      </c>
      <c r="D2444" t="s">
        <v>1115</v>
      </c>
      <c r="E2444" t="s">
        <v>1093</v>
      </c>
      <c r="F2444" t="s">
        <v>598</v>
      </c>
      <c r="G2444" t="s">
        <v>599</v>
      </c>
      <c r="H2444" t="s">
        <v>600</v>
      </c>
      <c r="I2444" t="s">
        <v>601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25" hidden="1">
      <c r="A2445" t="s">
        <v>18811</v>
      </c>
      <c r="B2445" t="s">
        <v>1119</v>
      </c>
      <c r="C2445" t="s">
        <v>1079</v>
      </c>
      <c r="D2445" t="s">
        <v>1115</v>
      </c>
      <c r="E2445" t="s">
        <v>1101</v>
      </c>
      <c r="F2445" t="s">
        <v>598</v>
      </c>
      <c r="G2445" t="s">
        <v>599</v>
      </c>
      <c r="H2445" t="s">
        <v>600</v>
      </c>
      <c r="I2445" t="s">
        <v>601</v>
      </c>
      <c r="J2445">
        <v>4.8999999999999998E-3</v>
      </c>
      <c r="K2445">
        <v>5.0000000000000001E-3</v>
      </c>
      <c r="L2445">
        <v>5.0000000000000001E-3</v>
      </c>
      <c r="M2445">
        <v>5.1000000000000004E-3</v>
      </c>
      <c r="N2445">
        <v>5.1999999999999998E-3</v>
      </c>
      <c r="O2445">
        <v>5.1999999999999998E-3</v>
      </c>
      <c r="P2445">
        <v>5.3E-3</v>
      </c>
      <c r="Q2445">
        <v>5.4000000000000003E-3</v>
      </c>
      <c r="R2445">
        <v>5.4000000000000003E-3</v>
      </c>
      <c r="S2445">
        <v>5.4999999999999997E-3</v>
      </c>
      <c r="T2445">
        <v>5.4999999999999997E-3</v>
      </c>
      <c r="U2445">
        <v>5.5999999999999999E-3</v>
      </c>
      <c r="V2445">
        <v>5.5999999999999999E-3</v>
      </c>
      <c r="W2445">
        <v>5.7000000000000002E-3</v>
      </c>
      <c r="X2445">
        <v>5.7999999999999996E-3</v>
      </c>
      <c r="Y2445">
        <v>5.7999999999999996E-3</v>
      </c>
    </row>
    <row r="2446" spans="1:25" hidden="1">
      <c r="A2446" t="s">
        <v>18811</v>
      </c>
      <c r="B2446" t="s">
        <v>1124</v>
      </c>
      <c r="C2446" t="s">
        <v>1079</v>
      </c>
      <c r="D2446" t="s">
        <v>1121</v>
      </c>
      <c r="E2446" t="s">
        <v>1103</v>
      </c>
      <c r="F2446" t="s">
        <v>598</v>
      </c>
      <c r="G2446" t="s">
        <v>599</v>
      </c>
      <c r="H2446" t="s">
        <v>600</v>
      </c>
      <c r="I2446" t="s">
        <v>601</v>
      </c>
      <c r="J2446">
        <v>8.9999999999999998E-4</v>
      </c>
      <c r="K2446">
        <v>8.9999999999999998E-4</v>
      </c>
      <c r="L2446">
        <v>8.0000000000000004E-4</v>
      </c>
      <c r="M2446">
        <v>8.0000000000000004E-4</v>
      </c>
      <c r="N2446">
        <v>8.0000000000000004E-4</v>
      </c>
      <c r="O2446">
        <v>8.0000000000000004E-4</v>
      </c>
      <c r="P2446">
        <v>8.0000000000000004E-4</v>
      </c>
      <c r="Q2446">
        <v>8.0000000000000004E-4</v>
      </c>
      <c r="R2446">
        <v>8.0000000000000004E-4</v>
      </c>
      <c r="S2446">
        <v>8.0000000000000004E-4</v>
      </c>
      <c r="T2446">
        <v>8.0000000000000004E-4</v>
      </c>
      <c r="U2446">
        <v>8.0000000000000004E-4</v>
      </c>
      <c r="V2446">
        <v>8.0000000000000004E-4</v>
      </c>
      <c r="W2446">
        <v>8.0000000000000004E-4</v>
      </c>
      <c r="X2446">
        <v>8.0000000000000004E-4</v>
      </c>
      <c r="Y2446">
        <v>8.0000000000000004E-4</v>
      </c>
    </row>
    <row r="2447" spans="1:25" hidden="1">
      <c r="A2447" t="s">
        <v>18811</v>
      </c>
      <c r="B2447" t="s">
        <v>1125</v>
      </c>
      <c r="C2447" t="s">
        <v>1079</v>
      </c>
      <c r="D2447" t="s">
        <v>1126</v>
      </c>
      <c r="E2447" t="s">
        <v>1081</v>
      </c>
      <c r="F2447" t="s">
        <v>598</v>
      </c>
      <c r="G2447" t="s">
        <v>599</v>
      </c>
      <c r="H2447" t="s">
        <v>600</v>
      </c>
      <c r="I2447" t="s">
        <v>601</v>
      </c>
      <c r="J2447">
        <v>4.0000000000000002E-4</v>
      </c>
      <c r="K2447">
        <v>4.0000000000000002E-4</v>
      </c>
      <c r="L2447">
        <v>4.0000000000000002E-4</v>
      </c>
      <c r="M2447">
        <v>4.0000000000000002E-4</v>
      </c>
      <c r="N2447">
        <v>4.0000000000000002E-4</v>
      </c>
      <c r="O2447">
        <v>4.0000000000000002E-4</v>
      </c>
      <c r="P2447">
        <v>4.0000000000000002E-4</v>
      </c>
      <c r="Q2447">
        <v>4.0000000000000002E-4</v>
      </c>
      <c r="R2447">
        <v>4.0000000000000002E-4</v>
      </c>
      <c r="S2447">
        <v>5.0000000000000001E-4</v>
      </c>
      <c r="T2447">
        <v>5.9999999999999995E-4</v>
      </c>
      <c r="U2447">
        <v>5.9999999999999995E-4</v>
      </c>
      <c r="V2447">
        <v>5.9999999999999995E-4</v>
      </c>
      <c r="W2447">
        <v>5.9999999999999995E-4</v>
      </c>
      <c r="X2447">
        <v>5.9999999999999995E-4</v>
      </c>
      <c r="Y2447">
        <v>5.9999999999999995E-4</v>
      </c>
    </row>
    <row r="2448" spans="1:25" hidden="1">
      <c r="A2448" t="s">
        <v>18811</v>
      </c>
      <c r="B2448" t="s">
        <v>1132</v>
      </c>
      <c r="C2448" t="s">
        <v>1079</v>
      </c>
      <c r="D2448" t="s">
        <v>1126</v>
      </c>
      <c r="E2448" t="s">
        <v>1103</v>
      </c>
      <c r="F2448" t="s">
        <v>598</v>
      </c>
      <c r="G2448" t="s">
        <v>599</v>
      </c>
      <c r="H2448" t="s">
        <v>600</v>
      </c>
      <c r="I2448" t="s">
        <v>601</v>
      </c>
      <c r="J2448">
        <v>4.7000000000000002E-3</v>
      </c>
      <c r="K2448">
        <v>4.8999999999999998E-3</v>
      </c>
      <c r="L2448">
        <v>5.0000000000000001E-3</v>
      </c>
      <c r="M2448">
        <v>5.0000000000000001E-3</v>
      </c>
      <c r="N2448">
        <v>5.1000000000000004E-3</v>
      </c>
      <c r="O2448">
        <v>5.3E-3</v>
      </c>
      <c r="P2448">
        <v>5.4000000000000003E-3</v>
      </c>
      <c r="Q2448">
        <v>5.4999999999999997E-3</v>
      </c>
      <c r="R2448">
        <v>5.7000000000000002E-3</v>
      </c>
      <c r="S2448">
        <v>5.7000000000000002E-3</v>
      </c>
      <c r="T2448">
        <v>5.8999999999999999E-3</v>
      </c>
      <c r="U2448">
        <v>6.1000000000000004E-3</v>
      </c>
      <c r="V2448">
        <v>6.1999999999999998E-3</v>
      </c>
      <c r="W2448">
        <v>6.3E-3</v>
      </c>
      <c r="X2448">
        <v>6.4999999999999997E-3</v>
      </c>
      <c r="Y2448">
        <v>6.7999999999999996E-3</v>
      </c>
    </row>
    <row r="2449" spans="1:25" hidden="1">
      <c r="A2449" t="s">
        <v>18811</v>
      </c>
      <c r="B2449" t="s">
        <v>1133</v>
      </c>
      <c r="C2449" t="s">
        <v>1079</v>
      </c>
      <c r="D2449" t="s">
        <v>1134</v>
      </c>
      <c r="E2449" t="s">
        <v>1081</v>
      </c>
      <c r="F2449" t="s">
        <v>598</v>
      </c>
      <c r="G2449" t="s">
        <v>599</v>
      </c>
      <c r="H2449" t="s">
        <v>600</v>
      </c>
      <c r="I2449" t="s">
        <v>601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hidden="1">
      <c r="A2450" t="s">
        <v>18811</v>
      </c>
      <c r="B2450" t="s">
        <v>1135</v>
      </c>
      <c r="C2450" t="s">
        <v>1079</v>
      </c>
      <c r="D2450" t="s">
        <v>1134</v>
      </c>
      <c r="E2450" t="s">
        <v>1091</v>
      </c>
      <c r="F2450" t="s">
        <v>598</v>
      </c>
      <c r="G2450" t="s">
        <v>599</v>
      </c>
      <c r="H2450" t="s">
        <v>600</v>
      </c>
      <c r="I2450" t="s">
        <v>601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hidden="1">
      <c r="A2451" t="s">
        <v>18811</v>
      </c>
      <c r="B2451" t="s">
        <v>1139</v>
      </c>
      <c r="C2451" t="s">
        <v>1079</v>
      </c>
      <c r="D2451" t="s">
        <v>1134</v>
      </c>
      <c r="E2451" t="s">
        <v>1099</v>
      </c>
      <c r="F2451" t="s">
        <v>598</v>
      </c>
      <c r="G2451" t="s">
        <v>599</v>
      </c>
      <c r="H2451" t="s">
        <v>600</v>
      </c>
      <c r="I2451" t="s">
        <v>601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hidden="1">
      <c r="A2452" t="s">
        <v>18811</v>
      </c>
      <c r="B2452" t="s">
        <v>1140</v>
      </c>
      <c r="C2452" t="s">
        <v>1079</v>
      </c>
      <c r="D2452" t="s">
        <v>1134</v>
      </c>
      <c r="E2452" t="s">
        <v>1141</v>
      </c>
      <c r="F2452" t="s">
        <v>598</v>
      </c>
      <c r="G2452" t="s">
        <v>599</v>
      </c>
      <c r="H2452" t="s">
        <v>600</v>
      </c>
      <c r="I2452" t="s">
        <v>601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hidden="1">
      <c r="A2453" t="s">
        <v>18811</v>
      </c>
      <c r="B2453" t="s">
        <v>1142</v>
      </c>
      <c r="C2453" t="s">
        <v>1079</v>
      </c>
      <c r="D2453" t="s">
        <v>1134</v>
      </c>
      <c r="E2453" t="s">
        <v>1101</v>
      </c>
      <c r="F2453" t="s">
        <v>598</v>
      </c>
      <c r="G2453" t="s">
        <v>599</v>
      </c>
      <c r="H2453" t="s">
        <v>600</v>
      </c>
      <c r="I2453" t="s">
        <v>601</v>
      </c>
      <c r="J2453">
        <v>4.5999999999999999E-3</v>
      </c>
      <c r="K2453">
        <v>4.7000000000000002E-3</v>
      </c>
      <c r="L2453">
        <v>4.7999999999999996E-3</v>
      </c>
      <c r="M2453">
        <v>4.8999999999999998E-3</v>
      </c>
      <c r="N2453">
        <v>5.0000000000000001E-3</v>
      </c>
      <c r="O2453">
        <v>5.1000000000000004E-3</v>
      </c>
      <c r="P2453">
        <v>5.1000000000000004E-3</v>
      </c>
      <c r="Q2453">
        <v>5.3E-3</v>
      </c>
      <c r="R2453">
        <v>5.4000000000000003E-3</v>
      </c>
      <c r="S2453">
        <v>5.4999999999999997E-3</v>
      </c>
      <c r="T2453">
        <v>5.5999999999999999E-3</v>
      </c>
      <c r="U2453">
        <v>5.7999999999999996E-3</v>
      </c>
      <c r="V2453">
        <v>5.8999999999999999E-3</v>
      </c>
      <c r="W2453">
        <v>6.0000000000000001E-3</v>
      </c>
      <c r="X2453">
        <v>6.1000000000000004E-3</v>
      </c>
      <c r="Y2453">
        <v>6.3E-3</v>
      </c>
    </row>
    <row r="2454" spans="1:25" hidden="1">
      <c r="A2454" t="s">
        <v>18811</v>
      </c>
      <c r="B2454" t="s">
        <v>1143</v>
      </c>
      <c r="C2454" t="s">
        <v>1079</v>
      </c>
      <c r="D2454" t="s">
        <v>1134</v>
      </c>
      <c r="E2454" t="s">
        <v>1103</v>
      </c>
      <c r="F2454" t="s">
        <v>598</v>
      </c>
      <c r="G2454" t="s">
        <v>599</v>
      </c>
      <c r="H2454" t="s">
        <v>600</v>
      </c>
      <c r="I2454" t="s">
        <v>601</v>
      </c>
      <c r="J2454">
        <v>1E-4</v>
      </c>
      <c r="K2454">
        <v>1E-4</v>
      </c>
      <c r="L2454">
        <v>1E-4</v>
      </c>
      <c r="M2454">
        <v>1E-4</v>
      </c>
      <c r="N2454">
        <v>1E-4</v>
      </c>
      <c r="O2454">
        <v>1E-4</v>
      </c>
      <c r="P2454">
        <v>1E-4</v>
      </c>
      <c r="Q2454">
        <v>1E-4</v>
      </c>
      <c r="R2454">
        <v>1E-4</v>
      </c>
      <c r="S2454">
        <v>1E-4</v>
      </c>
      <c r="T2454">
        <v>1E-4</v>
      </c>
      <c r="U2454">
        <v>1E-4</v>
      </c>
      <c r="V2454">
        <v>1E-4</v>
      </c>
      <c r="W2454">
        <v>1E-4</v>
      </c>
      <c r="X2454">
        <v>1E-4</v>
      </c>
      <c r="Y2454">
        <v>1E-4</v>
      </c>
    </row>
    <row r="2455" spans="1:25" hidden="1">
      <c r="A2455" t="s">
        <v>18811</v>
      </c>
      <c r="B2455" t="s">
        <v>1144</v>
      </c>
      <c r="C2455" t="s">
        <v>1079</v>
      </c>
      <c r="D2455" t="s">
        <v>1145</v>
      </c>
      <c r="E2455" t="s">
        <v>1081</v>
      </c>
      <c r="F2455" t="s">
        <v>598</v>
      </c>
      <c r="G2455" t="s">
        <v>599</v>
      </c>
      <c r="H2455" t="s">
        <v>600</v>
      </c>
      <c r="I2455" t="s">
        <v>601</v>
      </c>
      <c r="J2455">
        <v>1.1999999999999999E-3</v>
      </c>
      <c r="K2455">
        <v>1.1999999999999999E-3</v>
      </c>
      <c r="L2455">
        <v>1.1999999999999999E-3</v>
      </c>
      <c r="M2455">
        <v>1.1999999999999999E-3</v>
      </c>
      <c r="N2455">
        <v>1.1999999999999999E-3</v>
      </c>
      <c r="O2455">
        <v>1.1999999999999999E-3</v>
      </c>
      <c r="P2455">
        <v>1.1999999999999999E-3</v>
      </c>
      <c r="Q2455">
        <v>1.2999999999999999E-3</v>
      </c>
      <c r="R2455">
        <v>1.2999999999999999E-3</v>
      </c>
      <c r="S2455">
        <v>1.5E-3</v>
      </c>
      <c r="T2455">
        <v>1.5E-3</v>
      </c>
      <c r="U2455">
        <v>1.5E-3</v>
      </c>
      <c r="V2455">
        <v>1.5E-3</v>
      </c>
      <c r="W2455">
        <v>1.6000000000000001E-3</v>
      </c>
      <c r="X2455">
        <v>1.6999999999999999E-3</v>
      </c>
      <c r="Y2455">
        <v>1.6999999999999999E-3</v>
      </c>
    </row>
    <row r="2456" spans="1:25" hidden="1">
      <c r="A2456" t="s">
        <v>18811</v>
      </c>
      <c r="B2456" t="s">
        <v>1146</v>
      </c>
      <c r="C2456" t="s">
        <v>1079</v>
      </c>
      <c r="D2456" t="s">
        <v>1145</v>
      </c>
      <c r="E2456" t="s">
        <v>1091</v>
      </c>
      <c r="F2456" t="s">
        <v>598</v>
      </c>
      <c r="G2456" t="s">
        <v>599</v>
      </c>
      <c r="H2456" t="s">
        <v>600</v>
      </c>
      <c r="I2456" t="s">
        <v>601</v>
      </c>
      <c r="J2456">
        <v>2.3800000000000002E-2</v>
      </c>
      <c r="K2456">
        <v>2.41E-2</v>
      </c>
      <c r="L2456">
        <v>2.47E-2</v>
      </c>
      <c r="M2456">
        <v>2.4799999999999999E-2</v>
      </c>
      <c r="N2456">
        <v>2.53E-2</v>
      </c>
      <c r="O2456">
        <v>2.5600000000000001E-2</v>
      </c>
      <c r="P2456">
        <v>2.6200000000000001E-2</v>
      </c>
      <c r="Q2456">
        <v>2.7E-2</v>
      </c>
      <c r="R2456">
        <v>2.75E-2</v>
      </c>
      <c r="S2456">
        <v>2.81E-2</v>
      </c>
      <c r="T2456">
        <v>2.8899999999999999E-2</v>
      </c>
      <c r="U2456">
        <v>2.9700000000000001E-2</v>
      </c>
      <c r="V2456">
        <v>3.0499999999999999E-2</v>
      </c>
      <c r="W2456">
        <v>3.1199999999999999E-2</v>
      </c>
      <c r="X2456">
        <v>3.2099999999999997E-2</v>
      </c>
      <c r="Y2456">
        <v>3.3099999999999997E-2</v>
      </c>
    </row>
    <row r="2457" spans="1:25" hidden="1">
      <c r="A2457" t="s">
        <v>18811</v>
      </c>
      <c r="B2457" t="s">
        <v>1147</v>
      </c>
      <c r="C2457" t="s">
        <v>1079</v>
      </c>
      <c r="D2457" t="s">
        <v>1145</v>
      </c>
      <c r="E2457" t="s">
        <v>1093</v>
      </c>
      <c r="F2457" t="s">
        <v>598</v>
      </c>
      <c r="G2457" t="s">
        <v>599</v>
      </c>
      <c r="H2457" t="s">
        <v>600</v>
      </c>
      <c r="I2457" t="s">
        <v>601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hidden="1">
      <c r="A2458" t="s">
        <v>18811</v>
      </c>
      <c r="B2458" t="s">
        <v>1148</v>
      </c>
      <c r="C2458" t="s">
        <v>1079</v>
      </c>
      <c r="D2458" t="s">
        <v>1145</v>
      </c>
      <c r="E2458" t="s">
        <v>1095</v>
      </c>
      <c r="F2458" t="s">
        <v>598</v>
      </c>
      <c r="G2458" t="s">
        <v>599</v>
      </c>
      <c r="H2458" t="s">
        <v>600</v>
      </c>
      <c r="I2458" t="s">
        <v>601</v>
      </c>
      <c r="J2458">
        <v>1.9E-3</v>
      </c>
      <c r="K2458">
        <v>1.9E-3</v>
      </c>
      <c r="L2458">
        <v>2E-3</v>
      </c>
      <c r="M2458">
        <v>2E-3</v>
      </c>
      <c r="N2458">
        <v>2E-3</v>
      </c>
      <c r="O2458">
        <v>2E-3</v>
      </c>
      <c r="P2458">
        <v>2.0999999999999999E-3</v>
      </c>
      <c r="Q2458">
        <v>2.2000000000000001E-3</v>
      </c>
      <c r="R2458">
        <v>2.2000000000000001E-3</v>
      </c>
      <c r="S2458">
        <v>2.2000000000000001E-3</v>
      </c>
      <c r="T2458">
        <v>2.2000000000000001E-3</v>
      </c>
      <c r="U2458">
        <v>2.3999999999999998E-3</v>
      </c>
      <c r="V2458">
        <v>2.5000000000000001E-3</v>
      </c>
      <c r="W2458">
        <v>2.5000000000000001E-3</v>
      </c>
      <c r="X2458">
        <v>2.5999999999999999E-3</v>
      </c>
      <c r="Y2458">
        <v>2.5999999999999999E-3</v>
      </c>
    </row>
    <row r="2459" spans="1:25" hidden="1">
      <c r="A2459" t="s">
        <v>18811</v>
      </c>
      <c r="B2459" t="s">
        <v>1149</v>
      </c>
      <c r="C2459" t="s">
        <v>1079</v>
      </c>
      <c r="D2459" t="s">
        <v>1145</v>
      </c>
      <c r="E2459" t="s">
        <v>1097</v>
      </c>
      <c r="F2459" t="s">
        <v>598</v>
      </c>
      <c r="G2459" t="s">
        <v>599</v>
      </c>
      <c r="H2459" t="s">
        <v>600</v>
      </c>
      <c r="I2459" t="s">
        <v>601</v>
      </c>
      <c r="J2459">
        <v>1E-4</v>
      </c>
      <c r="K2459">
        <v>1E-4</v>
      </c>
      <c r="L2459">
        <v>1E-4</v>
      </c>
      <c r="M2459">
        <v>1E-4</v>
      </c>
      <c r="N2459">
        <v>1E-4</v>
      </c>
      <c r="O2459">
        <v>1E-4</v>
      </c>
      <c r="P2459">
        <v>1E-4</v>
      </c>
      <c r="Q2459">
        <v>1E-4</v>
      </c>
      <c r="R2459">
        <v>1E-4</v>
      </c>
      <c r="S2459">
        <v>1E-4</v>
      </c>
      <c r="T2459">
        <v>1E-4</v>
      </c>
      <c r="U2459">
        <v>1E-4</v>
      </c>
      <c r="V2459">
        <v>1E-4</v>
      </c>
      <c r="W2459">
        <v>1E-4</v>
      </c>
      <c r="X2459">
        <v>1E-4</v>
      </c>
      <c r="Y2459">
        <v>1E-4</v>
      </c>
    </row>
    <row r="2460" spans="1:25" hidden="1">
      <c r="A2460" t="s">
        <v>18811</v>
      </c>
      <c r="B2460" t="s">
        <v>1151</v>
      </c>
      <c r="C2460" t="s">
        <v>1079</v>
      </c>
      <c r="D2460" t="s">
        <v>1145</v>
      </c>
      <c r="E2460" t="s">
        <v>1101</v>
      </c>
      <c r="F2460" t="s">
        <v>598</v>
      </c>
      <c r="G2460" t="s">
        <v>599</v>
      </c>
      <c r="H2460" t="s">
        <v>600</v>
      </c>
      <c r="I2460" t="s">
        <v>601</v>
      </c>
      <c r="J2460">
        <v>9.4E-2</v>
      </c>
      <c r="K2460">
        <v>9.5299999999999996E-2</v>
      </c>
      <c r="L2460">
        <v>9.6199999999999994E-2</v>
      </c>
      <c r="M2460">
        <v>9.7500000000000003E-2</v>
      </c>
      <c r="N2460">
        <v>9.8900000000000002E-2</v>
      </c>
      <c r="O2460">
        <v>0.10059999999999999</v>
      </c>
      <c r="P2460">
        <v>0.1023</v>
      </c>
      <c r="Q2460">
        <v>0.105</v>
      </c>
      <c r="R2460">
        <v>0.1069</v>
      </c>
      <c r="S2460">
        <v>0.1096</v>
      </c>
      <c r="T2460">
        <v>0.11269999999999999</v>
      </c>
      <c r="U2460">
        <v>0.1154</v>
      </c>
      <c r="V2460">
        <v>0.1181</v>
      </c>
      <c r="W2460">
        <v>0.1216</v>
      </c>
      <c r="X2460">
        <v>0.12540000000000001</v>
      </c>
      <c r="Y2460">
        <v>0.12870000000000001</v>
      </c>
    </row>
    <row r="2461" spans="1:25" hidden="1">
      <c r="A2461" t="s">
        <v>18811</v>
      </c>
      <c r="B2461" t="s">
        <v>1154</v>
      </c>
      <c r="C2461" t="s">
        <v>1079</v>
      </c>
      <c r="D2461" t="s">
        <v>1145</v>
      </c>
      <c r="E2461" t="s">
        <v>1103</v>
      </c>
      <c r="F2461" t="s">
        <v>598</v>
      </c>
      <c r="G2461" t="s">
        <v>599</v>
      </c>
      <c r="H2461" t="s">
        <v>600</v>
      </c>
      <c r="I2461" t="s">
        <v>601</v>
      </c>
      <c r="J2461">
        <v>5.8999999999999999E-3</v>
      </c>
      <c r="K2461">
        <v>6.0000000000000001E-3</v>
      </c>
      <c r="L2461">
        <v>6.0000000000000001E-3</v>
      </c>
      <c r="M2461">
        <v>6.0000000000000001E-3</v>
      </c>
      <c r="N2461">
        <v>6.0000000000000001E-3</v>
      </c>
      <c r="O2461">
        <v>6.0000000000000001E-3</v>
      </c>
      <c r="P2461">
        <v>6.1000000000000004E-3</v>
      </c>
      <c r="Q2461">
        <v>6.4999999999999997E-3</v>
      </c>
      <c r="R2461">
        <v>6.4999999999999997E-3</v>
      </c>
      <c r="S2461">
        <v>6.6E-3</v>
      </c>
      <c r="T2461">
        <v>6.7999999999999996E-3</v>
      </c>
      <c r="U2461">
        <v>7.0000000000000001E-3</v>
      </c>
      <c r="V2461">
        <v>7.1999999999999998E-3</v>
      </c>
      <c r="W2461">
        <v>7.3000000000000001E-3</v>
      </c>
      <c r="X2461">
        <v>7.6E-3</v>
      </c>
      <c r="Y2461">
        <v>7.7999999999999996E-3</v>
      </c>
    </row>
    <row r="2462" spans="1:25" hidden="1">
      <c r="A2462" t="s">
        <v>18811</v>
      </c>
      <c r="B2462" t="s">
        <v>1155</v>
      </c>
      <c r="C2462" t="s">
        <v>1079</v>
      </c>
      <c r="D2462" t="s">
        <v>1156</v>
      </c>
      <c r="E2462" t="s">
        <v>1081</v>
      </c>
      <c r="F2462" t="s">
        <v>598</v>
      </c>
      <c r="G2462" t="s">
        <v>599</v>
      </c>
      <c r="H2462" t="s">
        <v>600</v>
      </c>
      <c r="I2462" t="s">
        <v>601</v>
      </c>
      <c r="J2462">
        <v>1E-4</v>
      </c>
      <c r="K2462">
        <v>1E-4</v>
      </c>
      <c r="L2462">
        <v>1E-4</v>
      </c>
      <c r="M2462">
        <v>1E-4</v>
      </c>
      <c r="N2462">
        <v>1E-4</v>
      </c>
      <c r="O2462">
        <v>1E-4</v>
      </c>
      <c r="P2462">
        <v>1E-4</v>
      </c>
      <c r="Q2462">
        <v>1E-4</v>
      </c>
      <c r="R2462">
        <v>1E-4</v>
      </c>
      <c r="S2462">
        <v>1E-4</v>
      </c>
      <c r="T2462">
        <v>1E-4</v>
      </c>
      <c r="U2462">
        <v>1E-4</v>
      </c>
      <c r="V2462">
        <v>1E-4</v>
      </c>
      <c r="W2462">
        <v>1E-4</v>
      </c>
      <c r="X2462">
        <v>1E-4</v>
      </c>
      <c r="Y2462">
        <v>1E-4</v>
      </c>
    </row>
    <row r="2463" spans="1:25" hidden="1">
      <c r="A2463" t="s">
        <v>18811</v>
      </c>
      <c r="B2463" t="s">
        <v>1157</v>
      </c>
      <c r="C2463" t="s">
        <v>1079</v>
      </c>
      <c r="D2463" t="s">
        <v>1156</v>
      </c>
      <c r="E2463" t="s">
        <v>1091</v>
      </c>
      <c r="F2463" t="s">
        <v>598</v>
      </c>
      <c r="G2463" t="s">
        <v>599</v>
      </c>
      <c r="H2463" t="s">
        <v>600</v>
      </c>
      <c r="I2463" t="s">
        <v>601</v>
      </c>
      <c r="J2463">
        <v>1E-4</v>
      </c>
      <c r="K2463">
        <v>1E-4</v>
      </c>
      <c r="L2463">
        <v>1E-4</v>
      </c>
      <c r="M2463">
        <v>1E-4</v>
      </c>
      <c r="N2463">
        <v>1E-4</v>
      </c>
      <c r="O2463">
        <v>1E-4</v>
      </c>
      <c r="P2463">
        <v>1E-4</v>
      </c>
      <c r="Q2463">
        <v>1E-4</v>
      </c>
      <c r="R2463">
        <v>1E-4</v>
      </c>
      <c r="S2463">
        <v>1E-4</v>
      </c>
      <c r="T2463">
        <v>1E-4</v>
      </c>
      <c r="U2463">
        <v>1E-4</v>
      </c>
      <c r="V2463">
        <v>1E-4</v>
      </c>
      <c r="W2463">
        <v>1E-4</v>
      </c>
      <c r="X2463">
        <v>1E-4</v>
      </c>
      <c r="Y2463">
        <v>1E-4</v>
      </c>
    </row>
    <row r="2464" spans="1:25" hidden="1">
      <c r="A2464" t="s">
        <v>18811</v>
      </c>
      <c r="B2464" t="s">
        <v>1158</v>
      </c>
      <c r="C2464" t="s">
        <v>1079</v>
      </c>
      <c r="D2464" t="s">
        <v>1156</v>
      </c>
      <c r="E2464" t="s">
        <v>1093</v>
      </c>
      <c r="F2464" t="s">
        <v>598</v>
      </c>
      <c r="G2464" t="s">
        <v>599</v>
      </c>
      <c r="H2464" t="s">
        <v>600</v>
      </c>
      <c r="I2464" t="s">
        <v>601</v>
      </c>
      <c r="J2464">
        <v>1E-4</v>
      </c>
      <c r="K2464">
        <v>1E-4</v>
      </c>
      <c r="L2464">
        <v>1E-4</v>
      </c>
      <c r="M2464">
        <v>1E-4</v>
      </c>
      <c r="N2464">
        <v>1E-4</v>
      </c>
      <c r="O2464">
        <v>1E-4</v>
      </c>
      <c r="P2464">
        <v>1E-4</v>
      </c>
      <c r="Q2464">
        <v>1E-4</v>
      </c>
      <c r="R2464">
        <v>1E-4</v>
      </c>
      <c r="S2464">
        <v>1E-4</v>
      </c>
      <c r="T2464">
        <v>1E-4</v>
      </c>
      <c r="U2464">
        <v>1E-4</v>
      </c>
      <c r="V2464">
        <v>1E-4</v>
      </c>
      <c r="W2464">
        <v>1E-4</v>
      </c>
      <c r="X2464">
        <v>1E-4</v>
      </c>
      <c r="Y2464">
        <v>1E-4</v>
      </c>
    </row>
    <row r="2465" spans="1:25" hidden="1">
      <c r="A2465" t="s">
        <v>18811</v>
      </c>
      <c r="B2465" t="s">
        <v>1159</v>
      </c>
      <c r="C2465" t="s">
        <v>1079</v>
      </c>
      <c r="D2465" t="s">
        <v>1156</v>
      </c>
      <c r="E2465" t="s">
        <v>1097</v>
      </c>
      <c r="F2465" t="s">
        <v>598</v>
      </c>
      <c r="G2465" t="s">
        <v>599</v>
      </c>
      <c r="H2465" t="s">
        <v>600</v>
      </c>
      <c r="I2465" t="s">
        <v>601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hidden="1">
      <c r="A2466" t="s">
        <v>18811</v>
      </c>
      <c r="B2466" t="s">
        <v>1160</v>
      </c>
      <c r="C2466" t="s">
        <v>1079</v>
      </c>
      <c r="D2466" t="s">
        <v>1156</v>
      </c>
      <c r="E2466" t="s">
        <v>1099</v>
      </c>
      <c r="F2466" t="s">
        <v>598</v>
      </c>
      <c r="G2466" t="s">
        <v>599</v>
      </c>
      <c r="H2466" t="s">
        <v>600</v>
      </c>
      <c r="I2466" t="s">
        <v>601</v>
      </c>
      <c r="J2466">
        <v>2.0000000000000001E-4</v>
      </c>
      <c r="K2466">
        <v>2.0000000000000001E-4</v>
      </c>
      <c r="L2466">
        <v>2.0000000000000001E-4</v>
      </c>
      <c r="M2466">
        <v>2.0000000000000001E-4</v>
      </c>
      <c r="N2466">
        <v>2.0000000000000001E-4</v>
      </c>
      <c r="O2466">
        <v>2.0000000000000001E-4</v>
      </c>
      <c r="P2466">
        <v>2.0000000000000001E-4</v>
      </c>
      <c r="Q2466">
        <v>2.0000000000000001E-4</v>
      </c>
      <c r="R2466">
        <v>2.0000000000000001E-4</v>
      </c>
      <c r="S2466">
        <v>2.0000000000000001E-4</v>
      </c>
      <c r="T2466">
        <v>2.0000000000000001E-4</v>
      </c>
      <c r="U2466">
        <v>2.0000000000000001E-4</v>
      </c>
      <c r="V2466">
        <v>2.0000000000000001E-4</v>
      </c>
      <c r="W2466">
        <v>2.0000000000000001E-4</v>
      </c>
      <c r="X2466">
        <v>2.0000000000000001E-4</v>
      </c>
      <c r="Y2466">
        <v>2.0000000000000001E-4</v>
      </c>
    </row>
    <row r="2467" spans="1:25" hidden="1">
      <c r="A2467" t="s">
        <v>18811</v>
      </c>
      <c r="B2467" t="s">
        <v>1161</v>
      </c>
      <c r="C2467" t="s">
        <v>1079</v>
      </c>
      <c r="D2467" t="s">
        <v>1156</v>
      </c>
      <c r="E2467" t="s">
        <v>1101</v>
      </c>
      <c r="F2467" t="s">
        <v>598</v>
      </c>
      <c r="G2467" t="s">
        <v>599</v>
      </c>
      <c r="H2467" t="s">
        <v>600</v>
      </c>
      <c r="I2467" t="s">
        <v>601</v>
      </c>
      <c r="J2467">
        <v>1.54E-2</v>
      </c>
      <c r="K2467">
        <v>1.6199999999999999E-2</v>
      </c>
      <c r="L2467">
        <v>1.7000000000000001E-2</v>
      </c>
      <c r="M2467">
        <v>1.77E-2</v>
      </c>
      <c r="N2467">
        <v>1.84E-2</v>
      </c>
      <c r="O2467">
        <v>1.89E-2</v>
      </c>
      <c r="P2467">
        <v>1.9599999999999999E-2</v>
      </c>
      <c r="Q2467">
        <v>2.0299999999999999E-2</v>
      </c>
      <c r="R2467">
        <v>2.0899999999999998E-2</v>
      </c>
      <c r="S2467">
        <v>2.1499999999999998E-2</v>
      </c>
      <c r="T2467">
        <v>2.2100000000000002E-2</v>
      </c>
      <c r="U2467">
        <v>2.2800000000000001E-2</v>
      </c>
      <c r="V2467">
        <v>2.35E-2</v>
      </c>
      <c r="W2467">
        <v>2.4199999999999999E-2</v>
      </c>
      <c r="X2467">
        <v>2.5000000000000001E-2</v>
      </c>
      <c r="Y2467">
        <v>2.5700000000000001E-2</v>
      </c>
    </row>
    <row r="2468" spans="1:25" hidden="1">
      <c r="A2468" t="s">
        <v>18811</v>
      </c>
      <c r="B2468" t="s">
        <v>1162</v>
      </c>
      <c r="C2468" t="s">
        <v>1079</v>
      </c>
      <c r="D2468" t="s">
        <v>1156</v>
      </c>
      <c r="E2468" t="s">
        <v>1103</v>
      </c>
      <c r="F2468" t="s">
        <v>598</v>
      </c>
      <c r="G2468" t="s">
        <v>599</v>
      </c>
      <c r="H2468" t="s">
        <v>600</v>
      </c>
      <c r="I2468" t="s">
        <v>601</v>
      </c>
      <c r="J2468">
        <v>6.9999999999999999E-4</v>
      </c>
      <c r="K2468">
        <v>8.0000000000000004E-4</v>
      </c>
      <c r="L2468">
        <v>8.0000000000000004E-4</v>
      </c>
      <c r="M2468">
        <v>8.0000000000000004E-4</v>
      </c>
      <c r="N2468">
        <v>8.9999999999999998E-4</v>
      </c>
      <c r="O2468">
        <v>8.9999999999999998E-4</v>
      </c>
      <c r="P2468">
        <v>8.9999999999999998E-4</v>
      </c>
      <c r="Q2468">
        <v>8.9999999999999998E-4</v>
      </c>
      <c r="R2468">
        <v>1E-3</v>
      </c>
      <c r="S2468">
        <v>1E-3</v>
      </c>
      <c r="T2468">
        <v>1E-3</v>
      </c>
      <c r="U2468">
        <v>1E-3</v>
      </c>
      <c r="V2468">
        <v>1.1000000000000001E-3</v>
      </c>
      <c r="W2468">
        <v>1.1000000000000001E-3</v>
      </c>
      <c r="X2468">
        <v>1.1999999999999999E-3</v>
      </c>
      <c r="Y2468">
        <v>1.2999999999999999E-3</v>
      </c>
    </row>
    <row r="2469" spans="1:25" hidden="1">
      <c r="A2469" t="s">
        <v>18811</v>
      </c>
      <c r="B2469" t="s">
        <v>1171</v>
      </c>
      <c r="C2469" t="s">
        <v>1079</v>
      </c>
      <c r="D2469" t="s">
        <v>1172</v>
      </c>
      <c r="E2469" t="s">
        <v>1081</v>
      </c>
      <c r="F2469" t="s">
        <v>598</v>
      </c>
      <c r="G2469" t="s">
        <v>599</v>
      </c>
      <c r="H2469" t="s">
        <v>600</v>
      </c>
      <c r="I2469" t="s">
        <v>601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hidden="1">
      <c r="A2470" t="s">
        <v>18811</v>
      </c>
      <c r="B2470" t="s">
        <v>1175</v>
      </c>
      <c r="C2470" t="s">
        <v>1079</v>
      </c>
      <c r="D2470" t="s">
        <v>1172</v>
      </c>
      <c r="E2470" t="s">
        <v>1101</v>
      </c>
      <c r="F2470" t="s">
        <v>598</v>
      </c>
      <c r="G2470" t="s">
        <v>599</v>
      </c>
      <c r="H2470" t="s">
        <v>600</v>
      </c>
      <c r="I2470" t="s">
        <v>601</v>
      </c>
      <c r="J2470">
        <v>1.6999999999999999E-3</v>
      </c>
      <c r="K2470">
        <v>1.6999999999999999E-3</v>
      </c>
      <c r="L2470">
        <v>1.6999999999999999E-3</v>
      </c>
      <c r="M2470">
        <v>1.6999999999999999E-3</v>
      </c>
      <c r="N2470">
        <v>1.6999999999999999E-3</v>
      </c>
      <c r="O2470">
        <v>1.8E-3</v>
      </c>
      <c r="P2470">
        <v>1.8E-3</v>
      </c>
      <c r="Q2470">
        <v>1.8E-3</v>
      </c>
      <c r="R2470">
        <v>1.9E-3</v>
      </c>
      <c r="S2470">
        <v>1.9E-3</v>
      </c>
      <c r="T2470">
        <v>2E-3</v>
      </c>
      <c r="U2470">
        <v>2E-3</v>
      </c>
      <c r="V2470">
        <v>2E-3</v>
      </c>
      <c r="W2470">
        <v>2E-3</v>
      </c>
      <c r="X2470">
        <v>2E-3</v>
      </c>
      <c r="Y2470">
        <v>2.0999999999999999E-3</v>
      </c>
    </row>
    <row r="2471" spans="1:25" hidden="1">
      <c r="A2471" t="s">
        <v>18811</v>
      </c>
      <c r="B2471" t="s">
        <v>1179</v>
      </c>
      <c r="C2471" t="s">
        <v>1079</v>
      </c>
      <c r="D2471" t="s">
        <v>1180</v>
      </c>
      <c r="E2471" t="s">
        <v>1081</v>
      </c>
      <c r="F2471" t="s">
        <v>598</v>
      </c>
      <c r="G2471" t="s">
        <v>599</v>
      </c>
      <c r="H2471" t="s">
        <v>600</v>
      </c>
      <c r="I2471" t="s">
        <v>601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hidden="1">
      <c r="A2472" t="s">
        <v>18811</v>
      </c>
      <c r="B2472" t="s">
        <v>1181</v>
      </c>
      <c r="C2472" t="s">
        <v>1079</v>
      </c>
      <c r="D2472" t="s">
        <v>1180</v>
      </c>
      <c r="E2472" t="s">
        <v>1091</v>
      </c>
      <c r="F2472" t="s">
        <v>598</v>
      </c>
      <c r="G2472" t="s">
        <v>599</v>
      </c>
      <c r="H2472" t="s">
        <v>600</v>
      </c>
      <c r="I2472" t="s">
        <v>601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hidden="1">
      <c r="A2473" t="s">
        <v>18811</v>
      </c>
      <c r="B2473" t="s">
        <v>1185</v>
      </c>
      <c r="C2473" t="s">
        <v>1079</v>
      </c>
      <c r="D2473" t="s">
        <v>1180</v>
      </c>
      <c r="E2473" t="s">
        <v>1101</v>
      </c>
      <c r="F2473" t="s">
        <v>598</v>
      </c>
      <c r="G2473" t="s">
        <v>599</v>
      </c>
      <c r="H2473" t="s">
        <v>600</v>
      </c>
      <c r="I2473" t="s">
        <v>601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hidden="1">
      <c r="A2474" t="s">
        <v>18811</v>
      </c>
      <c r="B2474" t="s">
        <v>1186</v>
      </c>
      <c r="C2474" t="s">
        <v>1079</v>
      </c>
      <c r="D2474" t="s">
        <v>1180</v>
      </c>
      <c r="E2474" t="s">
        <v>1103</v>
      </c>
      <c r="F2474" t="s">
        <v>598</v>
      </c>
      <c r="G2474" t="s">
        <v>599</v>
      </c>
      <c r="H2474" t="s">
        <v>600</v>
      </c>
      <c r="I2474" t="s">
        <v>601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hidden="1">
      <c r="A2475" t="s">
        <v>18811</v>
      </c>
      <c r="B2475" t="s">
        <v>1190</v>
      </c>
      <c r="C2475" t="s">
        <v>1079</v>
      </c>
      <c r="D2475" t="s">
        <v>1188</v>
      </c>
      <c r="E2475" t="s">
        <v>1020</v>
      </c>
      <c r="F2475" t="s">
        <v>598</v>
      </c>
      <c r="G2475" t="s">
        <v>599</v>
      </c>
      <c r="H2475" t="s">
        <v>600</v>
      </c>
      <c r="I2475" t="s">
        <v>601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hidden="1">
      <c r="A2476" t="s">
        <v>18811</v>
      </c>
      <c r="B2476" t="s">
        <v>1203</v>
      </c>
      <c r="C2476" t="s">
        <v>1079</v>
      </c>
      <c r="D2476" t="s">
        <v>1188</v>
      </c>
      <c r="E2476" t="s">
        <v>1028</v>
      </c>
      <c r="F2476" t="s">
        <v>598</v>
      </c>
      <c r="G2476" t="s">
        <v>599</v>
      </c>
      <c r="H2476" t="s">
        <v>600</v>
      </c>
      <c r="I2476" t="s">
        <v>601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hidden="1">
      <c r="A2477" t="s">
        <v>18811</v>
      </c>
      <c r="B2477" t="s">
        <v>1215</v>
      </c>
      <c r="C2477" t="s">
        <v>1079</v>
      </c>
      <c r="D2477" t="s">
        <v>1188</v>
      </c>
      <c r="E2477" t="s">
        <v>1216</v>
      </c>
      <c r="F2477" t="s">
        <v>598</v>
      </c>
      <c r="G2477" t="s">
        <v>599</v>
      </c>
      <c r="H2477" t="s">
        <v>600</v>
      </c>
      <c r="I2477" t="s">
        <v>601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hidden="1">
      <c r="A2478" t="s">
        <v>18811</v>
      </c>
      <c r="B2478" t="s">
        <v>1217</v>
      </c>
      <c r="C2478" t="s">
        <v>1079</v>
      </c>
      <c r="D2478" t="s">
        <v>1188</v>
      </c>
      <c r="E2478" t="s">
        <v>1106</v>
      </c>
      <c r="F2478" t="s">
        <v>598</v>
      </c>
      <c r="G2478" t="s">
        <v>599</v>
      </c>
      <c r="H2478" t="s">
        <v>600</v>
      </c>
      <c r="I2478" t="s">
        <v>601</v>
      </c>
      <c r="J2478">
        <v>4.0000000000000002E-4</v>
      </c>
      <c r="K2478">
        <v>5.0000000000000001E-4</v>
      </c>
      <c r="L2478">
        <v>5.0000000000000001E-4</v>
      </c>
      <c r="M2478">
        <v>5.0000000000000001E-4</v>
      </c>
      <c r="N2478">
        <v>5.0000000000000001E-4</v>
      </c>
      <c r="O2478">
        <v>5.0000000000000001E-4</v>
      </c>
      <c r="P2478">
        <v>5.0000000000000001E-4</v>
      </c>
      <c r="Q2478">
        <v>5.0000000000000001E-4</v>
      </c>
      <c r="R2478">
        <v>5.0000000000000001E-4</v>
      </c>
      <c r="S2478">
        <v>5.9999999999999995E-4</v>
      </c>
      <c r="T2478">
        <v>5.9999999999999995E-4</v>
      </c>
      <c r="U2478">
        <v>6.9999999999999999E-4</v>
      </c>
      <c r="V2478">
        <v>6.9999999999999999E-4</v>
      </c>
      <c r="W2478">
        <v>6.9999999999999999E-4</v>
      </c>
      <c r="X2478">
        <v>6.9999999999999999E-4</v>
      </c>
      <c r="Y2478">
        <v>6.9999999999999999E-4</v>
      </c>
    </row>
    <row r="2479" spans="1:25" hidden="1">
      <c r="A2479" t="s">
        <v>18811</v>
      </c>
      <c r="B2479" t="s">
        <v>1218</v>
      </c>
      <c r="C2479" t="s">
        <v>1079</v>
      </c>
      <c r="D2479" t="s">
        <v>1188</v>
      </c>
      <c r="E2479" t="s">
        <v>1219</v>
      </c>
      <c r="F2479" t="s">
        <v>598</v>
      </c>
      <c r="G2479" t="s">
        <v>599</v>
      </c>
      <c r="H2479" t="s">
        <v>600</v>
      </c>
      <c r="I2479" t="s">
        <v>601</v>
      </c>
      <c r="J2479">
        <v>1E-4</v>
      </c>
      <c r="K2479">
        <v>1E-4</v>
      </c>
      <c r="L2479">
        <v>1E-4</v>
      </c>
      <c r="M2479">
        <v>1E-4</v>
      </c>
      <c r="N2479">
        <v>1E-4</v>
      </c>
      <c r="O2479">
        <v>1E-4</v>
      </c>
      <c r="P2479">
        <v>1E-4</v>
      </c>
      <c r="Q2479">
        <v>1E-4</v>
      </c>
      <c r="R2479">
        <v>2.0000000000000001E-4</v>
      </c>
      <c r="S2479">
        <v>2.0000000000000001E-4</v>
      </c>
      <c r="T2479">
        <v>2.0000000000000001E-4</v>
      </c>
      <c r="U2479">
        <v>2.0000000000000001E-4</v>
      </c>
      <c r="V2479">
        <v>2.0000000000000001E-4</v>
      </c>
      <c r="W2479">
        <v>2.0000000000000001E-4</v>
      </c>
      <c r="X2479">
        <v>2.0000000000000001E-4</v>
      </c>
      <c r="Y2479">
        <v>2.0000000000000001E-4</v>
      </c>
    </row>
    <row r="2480" spans="1:25" hidden="1">
      <c r="A2480" t="s">
        <v>18811</v>
      </c>
      <c r="B2480" t="s">
        <v>1220</v>
      </c>
      <c r="C2480" t="s">
        <v>1079</v>
      </c>
      <c r="D2480" t="s">
        <v>1188</v>
      </c>
      <c r="E2480" t="s">
        <v>1084</v>
      </c>
      <c r="F2480" t="s">
        <v>598</v>
      </c>
      <c r="G2480" t="s">
        <v>599</v>
      </c>
      <c r="H2480" t="s">
        <v>600</v>
      </c>
      <c r="I2480" t="s">
        <v>601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1E-4</v>
      </c>
      <c r="S2480">
        <v>1E-4</v>
      </c>
      <c r="T2480">
        <v>1E-4</v>
      </c>
      <c r="U2480">
        <v>1E-4</v>
      </c>
      <c r="V2480">
        <v>1E-4</v>
      </c>
      <c r="W2480">
        <v>1E-4</v>
      </c>
      <c r="X2480">
        <v>1E-4</v>
      </c>
      <c r="Y2480">
        <v>1E-4</v>
      </c>
    </row>
    <row r="2481" spans="1:25" hidden="1">
      <c r="A2481" t="s">
        <v>18811</v>
      </c>
      <c r="B2481" t="s">
        <v>1221</v>
      </c>
      <c r="C2481" t="s">
        <v>1079</v>
      </c>
      <c r="D2481" t="s">
        <v>648</v>
      </c>
      <c r="E2481" t="s">
        <v>1081</v>
      </c>
      <c r="F2481" t="s">
        <v>598</v>
      </c>
      <c r="G2481" t="s">
        <v>599</v>
      </c>
      <c r="H2481" t="s">
        <v>600</v>
      </c>
      <c r="I2481" t="s">
        <v>601</v>
      </c>
      <c r="J2481">
        <v>5.8999999999999999E-3</v>
      </c>
      <c r="K2481">
        <v>6.0000000000000001E-3</v>
      </c>
      <c r="L2481">
        <v>6.1000000000000004E-3</v>
      </c>
      <c r="M2481">
        <v>6.1000000000000004E-3</v>
      </c>
      <c r="N2481">
        <v>6.1000000000000004E-3</v>
      </c>
      <c r="O2481">
        <v>6.1000000000000004E-3</v>
      </c>
      <c r="P2481">
        <v>6.1999999999999998E-3</v>
      </c>
      <c r="Q2481">
        <v>6.1999999999999998E-3</v>
      </c>
      <c r="R2481">
        <v>6.3E-3</v>
      </c>
      <c r="S2481">
        <v>6.4000000000000003E-3</v>
      </c>
      <c r="T2481">
        <v>6.4999999999999997E-3</v>
      </c>
      <c r="U2481">
        <v>6.4999999999999997E-3</v>
      </c>
      <c r="V2481">
        <v>6.4999999999999997E-3</v>
      </c>
      <c r="W2481">
        <v>6.7000000000000002E-3</v>
      </c>
      <c r="X2481">
        <v>6.7999999999999996E-3</v>
      </c>
      <c r="Y2481">
        <v>6.8999999999999999E-3</v>
      </c>
    </row>
    <row r="2482" spans="1:25" hidden="1">
      <c r="A2482" t="s">
        <v>18811</v>
      </c>
      <c r="B2482" t="s">
        <v>1222</v>
      </c>
      <c r="C2482" t="s">
        <v>1079</v>
      </c>
      <c r="D2482" t="s">
        <v>648</v>
      </c>
      <c r="E2482" t="s">
        <v>1091</v>
      </c>
      <c r="F2482" t="s">
        <v>598</v>
      </c>
      <c r="G2482" t="s">
        <v>599</v>
      </c>
      <c r="H2482" t="s">
        <v>600</v>
      </c>
      <c r="I2482" t="s">
        <v>601</v>
      </c>
      <c r="J2482">
        <v>2E-3</v>
      </c>
      <c r="K2482">
        <v>2E-3</v>
      </c>
      <c r="L2482">
        <v>2E-3</v>
      </c>
      <c r="M2482">
        <v>2.0999999999999999E-3</v>
      </c>
      <c r="N2482">
        <v>2.0999999999999999E-3</v>
      </c>
      <c r="O2482">
        <v>2.0999999999999999E-3</v>
      </c>
      <c r="P2482">
        <v>2.0999999999999999E-3</v>
      </c>
      <c r="Q2482">
        <v>2.2000000000000001E-3</v>
      </c>
      <c r="R2482">
        <v>2.3E-3</v>
      </c>
      <c r="S2482">
        <v>2.3999999999999998E-3</v>
      </c>
      <c r="T2482">
        <v>2.3999999999999998E-3</v>
      </c>
      <c r="U2482">
        <v>2.3999999999999998E-3</v>
      </c>
      <c r="V2482">
        <v>2.3999999999999998E-3</v>
      </c>
      <c r="W2482">
        <v>2.3999999999999998E-3</v>
      </c>
      <c r="X2482">
        <v>2.5000000000000001E-3</v>
      </c>
      <c r="Y2482">
        <v>2.5999999999999999E-3</v>
      </c>
    </row>
    <row r="2483" spans="1:25" hidden="1">
      <c r="A2483" t="s">
        <v>18811</v>
      </c>
      <c r="B2483" t="s">
        <v>1223</v>
      </c>
      <c r="C2483" t="s">
        <v>1079</v>
      </c>
      <c r="D2483" t="s">
        <v>648</v>
      </c>
      <c r="E2483" t="s">
        <v>1093</v>
      </c>
      <c r="F2483" t="s">
        <v>598</v>
      </c>
      <c r="G2483" t="s">
        <v>599</v>
      </c>
      <c r="H2483" t="s">
        <v>600</v>
      </c>
      <c r="I2483" t="s">
        <v>601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hidden="1">
      <c r="A2484" t="s">
        <v>18811</v>
      </c>
      <c r="B2484" t="s">
        <v>1224</v>
      </c>
      <c r="C2484" t="s">
        <v>1079</v>
      </c>
      <c r="D2484" t="s">
        <v>648</v>
      </c>
      <c r="E2484" t="s">
        <v>1095</v>
      </c>
      <c r="F2484" t="s">
        <v>598</v>
      </c>
      <c r="G2484" t="s">
        <v>599</v>
      </c>
      <c r="H2484" t="s">
        <v>600</v>
      </c>
      <c r="I2484" t="s">
        <v>601</v>
      </c>
      <c r="J2484">
        <v>5.9999999999999995E-4</v>
      </c>
      <c r="K2484">
        <v>5.9999999999999995E-4</v>
      </c>
      <c r="L2484">
        <v>5.9999999999999995E-4</v>
      </c>
      <c r="M2484">
        <v>5.9999999999999995E-4</v>
      </c>
      <c r="N2484">
        <v>5.9999999999999995E-4</v>
      </c>
      <c r="O2484">
        <v>5.9999999999999995E-4</v>
      </c>
      <c r="P2484">
        <v>5.9999999999999995E-4</v>
      </c>
      <c r="Q2484">
        <v>6.9999999999999999E-4</v>
      </c>
      <c r="R2484">
        <v>6.9999999999999999E-4</v>
      </c>
      <c r="S2484">
        <v>6.9999999999999999E-4</v>
      </c>
      <c r="T2484">
        <v>6.9999999999999999E-4</v>
      </c>
      <c r="U2484">
        <v>6.9999999999999999E-4</v>
      </c>
      <c r="V2484">
        <v>6.9999999999999999E-4</v>
      </c>
      <c r="W2484">
        <v>6.9999999999999999E-4</v>
      </c>
      <c r="X2484">
        <v>6.9999999999999999E-4</v>
      </c>
      <c r="Y2484">
        <v>8.9999999999999998E-4</v>
      </c>
    </row>
    <row r="2485" spans="1:25" hidden="1">
      <c r="A2485" t="s">
        <v>18811</v>
      </c>
      <c r="B2485" t="s">
        <v>1225</v>
      </c>
      <c r="C2485" t="s">
        <v>1079</v>
      </c>
      <c r="D2485" t="s">
        <v>648</v>
      </c>
      <c r="E2485" t="s">
        <v>1097</v>
      </c>
      <c r="F2485" t="s">
        <v>598</v>
      </c>
      <c r="G2485" t="s">
        <v>599</v>
      </c>
      <c r="H2485" t="s">
        <v>600</v>
      </c>
      <c r="I2485" t="s">
        <v>601</v>
      </c>
      <c r="J2485">
        <v>5.0000000000000001E-4</v>
      </c>
      <c r="K2485">
        <v>5.0000000000000001E-4</v>
      </c>
      <c r="L2485">
        <v>5.0000000000000001E-4</v>
      </c>
      <c r="M2485">
        <v>5.0000000000000001E-4</v>
      </c>
      <c r="N2485">
        <v>5.0000000000000001E-4</v>
      </c>
      <c r="O2485">
        <v>5.0000000000000001E-4</v>
      </c>
      <c r="P2485">
        <v>5.0000000000000001E-4</v>
      </c>
      <c r="Q2485">
        <v>5.0000000000000001E-4</v>
      </c>
      <c r="R2485">
        <v>5.0000000000000001E-4</v>
      </c>
      <c r="S2485">
        <v>5.0000000000000001E-4</v>
      </c>
      <c r="T2485">
        <v>5.0000000000000001E-4</v>
      </c>
      <c r="U2485">
        <v>5.0000000000000001E-4</v>
      </c>
      <c r="V2485">
        <v>5.0000000000000001E-4</v>
      </c>
      <c r="W2485">
        <v>5.0000000000000001E-4</v>
      </c>
      <c r="X2485">
        <v>5.0000000000000001E-4</v>
      </c>
      <c r="Y2485">
        <v>5.0000000000000001E-4</v>
      </c>
    </row>
    <row r="2486" spans="1:25" hidden="1">
      <c r="A2486" t="s">
        <v>18811</v>
      </c>
      <c r="B2486" t="s">
        <v>1226</v>
      </c>
      <c r="C2486" t="s">
        <v>1079</v>
      </c>
      <c r="D2486" t="s">
        <v>648</v>
      </c>
      <c r="E2486" t="s">
        <v>1099</v>
      </c>
      <c r="F2486" t="s">
        <v>598</v>
      </c>
      <c r="G2486" t="s">
        <v>599</v>
      </c>
      <c r="H2486" t="s">
        <v>600</v>
      </c>
      <c r="I2486" t="s">
        <v>601</v>
      </c>
      <c r="J2486">
        <v>1.1000000000000001E-3</v>
      </c>
      <c r="K2486">
        <v>1.1000000000000001E-3</v>
      </c>
      <c r="L2486">
        <v>1.1000000000000001E-3</v>
      </c>
      <c r="M2486">
        <v>1.1000000000000001E-3</v>
      </c>
      <c r="N2486">
        <v>1.1999999999999999E-3</v>
      </c>
      <c r="O2486">
        <v>1.1999999999999999E-3</v>
      </c>
      <c r="P2486">
        <v>1.1999999999999999E-3</v>
      </c>
      <c r="Q2486">
        <v>1.1999999999999999E-3</v>
      </c>
      <c r="R2486">
        <v>1.1999999999999999E-3</v>
      </c>
      <c r="S2486">
        <v>1.1999999999999999E-3</v>
      </c>
      <c r="T2486">
        <v>1.2999999999999999E-3</v>
      </c>
      <c r="U2486">
        <v>1.2999999999999999E-3</v>
      </c>
      <c r="V2486">
        <v>1.2999999999999999E-3</v>
      </c>
      <c r="W2486">
        <v>1.2999999999999999E-3</v>
      </c>
      <c r="X2486">
        <v>1.2999999999999999E-3</v>
      </c>
      <c r="Y2486">
        <v>1.2999999999999999E-3</v>
      </c>
    </row>
    <row r="2487" spans="1:25" hidden="1">
      <c r="A2487" t="s">
        <v>18811</v>
      </c>
      <c r="B2487" t="s">
        <v>1227</v>
      </c>
      <c r="C2487" t="s">
        <v>1079</v>
      </c>
      <c r="D2487" t="s">
        <v>648</v>
      </c>
      <c r="E2487" t="s">
        <v>1101</v>
      </c>
      <c r="F2487" t="s">
        <v>598</v>
      </c>
      <c r="G2487" t="s">
        <v>599</v>
      </c>
      <c r="H2487" t="s">
        <v>600</v>
      </c>
      <c r="I2487" t="s">
        <v>601</v>
      </c>
      <c r="J2487">
        <v>1.09E-2</v>
      </c>
      <c r="K2487">
        <v>1.12E-2</v>
      </c>
      <c r="L2487">
        <v>1.14E-2</v>
      </c>
      <c r="M2487">
        <v>1.14E-2</v>
      </c>
      <c r="N2487">
        <v>1.15E-2</v>
      </c>
      <c r="O2487">
        <v>1.17E-2</v>
      </c>
      <c r="P2487">
        <v>1.1900000000000001E-2</v>
      </c>
      <c r="Q2487">
        <v>1.21E-2</v>
      </c>
      <c r="R2487">
        <v>1.23E-2</v>
      </c>
      <c r="S2487">
        <v>1.24E-2</v>
      </c>
      <c r="T2487">
        <v>1.2800000000000001E-2</v>
      </c>
      <c r="U2487">
        <v>1.29E-2</v>
      </c>
      <c r="V2487">
        <v>1.3100000000000001E-2</v>
      </c>
      <c r="W2487">
        <v>1.3599999999999999E-2</v>
      </c>
      <c r="X2487">
        <v>1.38E-2</v>
      </c>
      <c r="Y2487">
        <v>1.4E-2</v>
      </c>
    </row>
    <row r="2488" spans="1:25" hidden="1">
      <c r="A2488" t="s">
        <v>18811</v>
      </c>
      <c r="B2488" t="s">
        <v>1228</v>
      </c>
      <c r="C2488" t="s">
        <v>1079</v>
      </c>
      <c r="D2488" t="s">
        <v>648</v>
      </c>
      <c r="E2488" t="s">
        <v>1103</v>
      </c>
      <c r="F2488" t="s">
        <v>598</v>
      </c>
      <c r="G2488" t="s">
        <v>599</v>
      </c>
      <c r="H2488" t="s">
        <v>600</v>
      </c>
      <c r="I2488" t="s">
        <v>601</v>
      </c>
      <c r="J2488">
        <v>3.8E-3</v>
      </c>
      <c r="K2488">
        <v>3.8999999999999998E-3</v>
      </c>
      <c r="L2488">
        <v>3.8999999999999998E-3</v>
      </c>
      <c r="M2488">
        <v>4.0000000000000001E-3</v>
      </c>
      <c r="N2488">
        <v>4.0000000000000001E-3</v>
      </c>
      <c r="O2488">
        <v>4.1999999999999997E-3</v>
      </c>
      <c r="P2488">
        <v>4.1999999999999997E-3</v>
      </c>
      <c r="Q2488">
        <v>4.3E-3</v>
      </c>
      <c r="R2488">
        <v>4.4000000000000003E-3</v>
      </c>
      <c r="S2488">
        <v>4.4999999999999997E-3</v>
      </c>
      <c r="T2488">
        <v>4.5999999999999999E-3</v>
      </c>
      <c r="U2488">
        <v>4.5999999999999999E-3</v>
      </c>
      <c r="V2488">
        <v>4.5999999999999999E-3</v>
      </c>
      <c r="W2488">
        <v>4.7999999999999996E-3</v>
      </c>
      <c r="X2488">
        <v>5.0000000000000001E-3</v>
      </c>
      <c r="Y2488">
        <v>5.0000000000000001E-3</v>
      </c>
    </row>
    <row r="2489" spans="1:25" hidden="1">
      <c r="A2489" t="s">
        <v>18811</v>
      </c>
      <c r="B2489" t="s">
        <v>1232</v>
      </c>
      <c r="C2489" t="s">
        <v>1230</v>
      </c>
      <c r="D2489" t="s">
        <v>1188</v>
      </c>
      <c r="E2489" t="s">
        <v>1233</v>
      </c>
      <c r="F2489" t="s">
        <v>598</v>
      </c>
      <c r="G2489" t="s">
        <v>599</v>
      </c>
      <c r="H2489" t="s">
        <v>600</v>
      </c>
      <c r="I2489" t="s">
        <v>601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hidden="1">
      <c r="A2490" t="s">
        <v>18811</v>
      </c>
      <c r="B2490" t="s">
        <v>1235</v>
      </c>
      <c r="C2490" t="s">
        <v>1230</v>
      </c>
      <c r="D2490" t="s">
        <v>1188</v>
      </c>
      <c r="E2490" t="s">
        <v>1219</v>
      </c>
      <c r="F2490" t="s">
        <v>598</v>
      </c>
      <c r="G2490" t="s">
        <v>599</v>
      </c>
      <c r="H2490" t="s">
        <v>600</v>
      </c>
      <c r="I2490" t="s">
        <v>601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hidden="1">
      <c r="A2491" t="s">
        <v>18811</v>
      </c>
      <c r="B2491" t="s">
        <v>1237</v>
      </c>
      <c r="C2491" t="s">
        <v>1230</v>
      </c>
      <c r="D2491" t="s">
        <v>1238</v>
      </c>
      <c r="E2491" t="s">
        <v>1239</v>
      </c>
      <c r="F2491" t="s">
        <v>598</v>
      </c>
      <c r="G2491" t="s">
        <v>599</v>
      </c>
      <c r="H2491" t="s">
        <v>600</v>
      </c>
      <c r="I2491" t="s">
        <v>601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hidden="1">
      <c r="A2492" t="s">
        <v>18811</v>
      </c>
      <c r="B2492" t="s">
        <v>1240</v>
      </c>
      <c r="C2492" t="s">
        <v>1230</v>
      </c>
      <c r="D2492" t="s">
        <v>1241</v>
      </c>
      <c r="E2492" t="s">
        <v>1239</v>
      </c>
      <c r="F2492" t="s">
        <v>598</v>
      </c>
      <c r="G2492" t="s">
        <v>599</v>
      </c>
      <c r="H2492" t="s">
        <v>600</v>
      </c>
      <c r="I2492" t="s">
        <v>601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</row>
    <row r="2493" spans="1:25" hidden="1">
      <c r="A2493" t="s">
        <v>18811</v>
      </c>
      <c r="B2493" t="s">
        <v>1244</v>
      </c>
      <c r="C2493" t="s">
        <v>1230</v>
      </c>
      <c r="D2493" t="s">
        <v>1243</v>
      </c>
      <c r="E2493" t="s">
        <v>1239</v>
      </c>
      <c r="F2493" t="s">
        <v>598</v>
      </c>
      <c r="G2493" t="s">
        <v>599</v>
      </c>
      <c r="H2493" t="s">
        <v>600</v>
      </c>
      <c r="I2493" t="s">
        <v>601</v>
      </c>
      <c r="J2493">
        <v>7.1999999999999998E-3</v>
      </c>
      <c r="K2493">
        <v>7.6E-3</v>
      </c>
      <c r="L2493">
        <v>7.9000000000000008E-3</v>
      </c>
      <c r="M2493">
        <v>8.2000000000000007E-3</v>
      </c>
      <c r="N2493">
        <v>8.6E-3</v>
      </c>
      <c r="O2493">
        <v>8.8999999999999999E-3</v>
      </c>
      <c r="P2493">
        <v>9.1999999999999998E-3</v>
      </c>
      <c r="Q2493">
        <v>9.4999999999999998E-3</v>
      </c>
      <c r="R2493">
        <v>9.7999999999999997E-3</v>
      </c>
      <c r="S2493">
        <v>1.01E-2</v>
      </c>
      <c r="T2493">
        <v>1.04E-2</v>
      </c>
      <c r="U2493">
        <v>1.0699999999999999E-2</v>
      </c>
      <c r="V2493">
        <v>1.0999999999999999E-2</v>
      </c>
      <c r="W2493">
        <v>1.14E-2</v>
      </c>
      <c r="X2493">
        <v>1.17E-2</v>
      </c>
      <c r="Y2493">
        <v>1.2E-2</v>
      </c>
    </row>
    <row r="2494" spans="1:25" hidden="1">
      <c r="A2494" t="s">
        <v>18811</v>
      </c>
      <c r="B2494" t="s">
        <v>1245</v>
      </c>
      <c r="C2494" t="s">
        <v>1230</v>
      </c>
      <c r="D2494" t="s">
        <v>1246</v>
      </c>
      <c r="E2494" t="s">
        <v>1084</v>
      </c>
      <c r="F2494" t="s">
        <v>598</v>
      </c>
      <c r="G2494" t="s">
        <v>599</v>
      </c>
      <c r="H2494" t="s">
        <v>600</v>
      </c>
      <c r="I2494" t="s">
        <v>601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hidden="1">
      <c r="A2495" t="s">
        <v>18811</v>
      </c>
      <c r="B2495" t="s">
        <v>1247</v>
      </c>
      <c r="C2495" t="s">
        <v>1230</v>
      </c>
      <c r="D2495" t="s">
        <v>1246</v>
      </c>
      <c r="E2495" t="s">
        <v>1239</v>
      </c>
      <c r="F2495" t="s">
        <v>598</v>
      </c>
      <c r="G2495" t="s">
        <v>599</v>
      </c>
      <c r="H2495" t="s">
        <v>600</v>
      </c>
      <c r="I2495" t="s">
        <v>601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hidden="1">
      <c r="A2496" t="s">
        <v>18811</v>
      </c>
      <c r="B2496" t="s">
        <v>1248</v>
      </c>
      <c r="C2496" t="s">
        <v>1230</v>
      </c>
      <c r="D2496" t="s">
        <v>1249</v>
      </c>
      <c r="E2496" t="s">
        <v>1239</v>
      </c>
      <c r="F2496" t="s">
        <v>598</v>
      </c>
      <c r="G2496" t="s">
        <v>599</v>
      </c>
      <c r="H2496" t="s">
        <v>600</v>
      </c>
      <c r="I2496" t="s">
        <v>601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hidden="1">
      <c r="A2497" t="s">
        <v>18811</v>
      </c>
      <c r="B2497" t="s">
        <v>1250</v>
      </c>
      <c r="C2497" t="s">
        <v>1230</v>
      </c>
      <c r="D2497" t="s">
        <v>648</v>
      </c>
      <c r="E2497" t="s">
        <v>1004</v>
      </c>
      <c r="F2497" t="s">
        <v>598</v>
      </c>
      <c r="G2497" t="s">
        <v>599</v>
      </c>
      <c r="H2497" t="s">
        <v>600</v>
      </c>
      <c r="I2497" t="s">
        <v>601</v>
      </c>
      <c r="J2497">
        <v>2.9999999999999997E-4</v>
      </c>
      <c r="K2497">
        <v>2.9999999999999997E-4</v>
      </c>
      <c r="L2497">
        <v>2.9999999999999997E-4</v>
      </c>
      <c r="M2497">
        <v>2.9999999999999997E-4</v>
      </c>
      <c r="N2497">
        <v>2.9999999999999997E-4</v>
      </c>
      <c r="O2497">
        <v>2.9999999999999997E-4</v>
      </c>
      <c r="P2497">
        <v>2.9999999999999997E-4</v>
      </c>
      <c r="Q2497">
        <v>2.9999999999999997E-4</v>
      </c>
      <c r="R2497">
        <v>2.9999999999999997E-4</v>
      </c>
      <c r="S2497">
        <v>2.9999999999999997E-4</v>
      </c>
      <c r="T2497">
        <v>2.9999999999999997E-4</v>
      </c>
      <c r="U2497">
        <v>2.9999999999999997E-4</v>
      </c>
      <c r="V2497">
        <v>2.9999999999999997E-4</v>
      </c>
      <c r="W2497">
        <v>2.9999999999999997E-4</v>
      </c>
      <c r="X2497">
        <v>2.9999999999999997E-4</v>
      </c>
      <c r="Y2497">
        <v>2.9999999999999997E-4</v>
      </c>
    </row>
    <row r="2498" spans="1:25" hidden="1">
      <c r="A2498" t="s">
        <v>18811</v>
      </c>
      <c r="B2498" t="s">
        <v>1251</v>
      </c>
      <c r="C2498" t="s">
        <v>1230</v>
      </c>
      <c r="D2498" t="s">
        <v>648</v>
      </c>
      <c r="E2498" t="s">
        <v>1239</v>
      </c>
      <c r="F2498" t="s">
        <v>598</v>
      </c>
      <c r="G2498" t="s">
        <v>599</v>
      </c>
      <c r="H2498" t="s">
        <v>600</v>
      </c>
      <c r="I2498" t="s">
        <v>601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hidden="1">
      <c r="A2499" t="s">
        <v>18811</v>
      </c>
      <c r="B2499" t="s">
        <v>1252</v>
      </c>
      <c r="C2499" t="s">
        <v>1253</v>
      </c>
      <c r="D2499" t="s">
        <v>1254</v>
      </c>
      <c r="E2499" t="s">
        <v>1255</v>
      </c>
      <c r="F2499" t="s">
        <v>598</v>
      </c>
      <c r="G2499" t="s">
        <v>599</v>
      </c>
      <c r="H2499" t="s">
        <v>600</v>
      </c>
      <c r="I2499" t="s">
        <v>601</v>
      </c>
      <c r="J2499">
        <v>1E-4</v>
      </c>
      <c r="K2499">
        <v>1E-4</v>
      </c>
      <c r="L2499">
        <v>2.0000000000000001E-4</v>
      </c>
      <c r="M2499">
        <v>2.0000000000000001E-4</v>
      </c>
      <c r="N2499">
        <v>2.0000000000000001E-4</v>
      </c>
      <c r="O2499">
        <v>2.0000000000000001E-4</v>
      </c>
      <c r="P2499">
        <v>2.0000000000000001E-4</v>
      </c>
      <c r="Q2499">
        <v>2.9999999999999997E-4</v>
      </c>
      <c r="R2499">
        <v>2.9999999999999997E-4</v>
      </c>
      <c r="S2499">
        <v>2.9999999999999997E-4</v>
      </c>
      <c r="T2499">
        <v>2.9999999999999997E-4</v>
      </c>
      <c r="U2499">
        <v>2.9999999999999997E-4</v>
      </c>
      <c r="V2499">
        <v>2.9999999999999997E-4</v>
      </c>
      <c r="W2499">
        <v>2.9999999999999997E-4</v>
      </c>
      <c r="X2499">
        <v>2.9999999999999997E-4</v>
      </c>
      <c r="Y2499">
        <v>2.9999999999999997E-4</v>
      </c>
    </row>
    <row r="2500" spans="1:25" hidden="1">
      <c r="A2500" t="s">
        <v>18811</v>
      </c>
      <c r="B2500" t="s">
        <v>1256</v>
      </c>
      <c r="C2500" t="s">
        <v>1253</v>
      </c>
      <c r="D2500" t="s">
        <v>1254</v>
      </c>
      <c r="E2500" t="s">
        <v>1257</v>
      </c>
      <c r="F2500" t="s">
        <v>598</v>
      </c>
      <c r="G2500" t="s">
        <v>599</v>
      </c>
      <c r="H2500" t="s">
        <v>600</v>
      </c>
      <c r="I2500" t="s">
        <v>601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hidden="1">
      <c r="A2501" t="s">
        <v>18811</v>
      </c>
      <c r="B2501" t="s">
        <v>1258</v>
      </c>
      <c r="C2501" t="s">
        <v>1253</v>
      </c>
      <c r="D2501" t="s">
        <v>1254</v>
      </c>
      <c r="E2501" t="s">
        <v>1259</v>
      </c>
      <c r="F2501" t="s">
        <v>598</v>
      </c>
      <c r="G2501" t="s">
        <v>599</v>
      </c>
      <c r="H2501" t="s">
        <v>600</v>
      </c>
      <c r="I2501" t="s">
        <v>601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hidden="1">
      <c r="A2502" t="s">
        <v>18811</v>
      </c>
      <c r="B2502" t="s">
        <v>1260</v>
      </c>
      <c r="C2502" t="s">
        <v>1261</v>
      </c>
      <c r="D2502" t="s">
        <v>648</v>
      </c>
      <c r="E2502" t="s">
        <v>920</v>
      </c>
      <c r="F2502" t="s">
        <v>598</v>
      </c>
      <c r="G2502" t="s">
        <v>599</v>
      </c>
      <c r="H2502" t="s">
        <v>600</v>
      </c>
      <c r="I2502" t="s">
        <v>601</v>
      </c>
      <c r="J2502">
        <v>8.2000000000000007E-3</v>
      </c>
      <c r="K2502">
        <v>8.2000000000000007E-3</v>
      </c>
      <c r="L2502">
        <v>8.3999999999999995E-3</v>
      </c>
      <c r="M2502">
        <v>8.5000000000000006E-3</v>
      </c>
      <c r="N2502">
        <v>8.3999999999999995E-3</v>
      </c>
      <c r="O2502">
        <v>8.5000000000000006E-3</v>
      </c>
      <c r="P2502">
        <v>8.6999999999999994E-3</v>
      </c>
      <c r="Q2502">
        <v>8.8999999999999999E-3</v>
      </c>
      <c r="R2502">
        <v>8.9999999999999993E-3</v>
      </c>
      <c r="S2502">
        <v>9.1999999999999998E-3</v>
      </c>
      <c r="T2502">
        <v>9.4000000000000004E-3</v>
      </c>
      <c r="U2502">
        <v>9.4999999999999998E-3</v>
      </c>
      <c r="V2502">
        <v>9.7999999999999997E-3</v>
      </c>
      <c r="W2502">
        <v>9.9000000000000008E-3</v>
      </c>
      <c r="X2502">
        <v>1.01E-2</v>
      </c>
      <c r="Y2502">
        <v>1.03E-2</v>
      </c>
    </row>
    <row r="2503" spans="1:25" hidden="1">
      <c r="A2503" t="s">
        <v>18811</v>
      </c>
      <c r="B2503" t="s">
        <v>1263</v>
      </c>
      <c r="C2503" t="s">
        <v>1261</v>
      </c>
      <c r="D2503" t="s">
        <v>648</v>
      </c>
      <c r="E2503" t="s">
        <v>1264</v>
      </c>
      <c r="F2503" t="s">
        <v>598</v>
      </c>
      <c r="G2503" t="s">
        <v>599</v>
      </c>
      <c r="H2503" t="s">
        <v>600</v>
      </c>
      <c r="I2503" t="s">
        <v>601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hidden="1">
      <c r="A2504" t="s">
        <v>18811</v>
      </c>
      <c r="B2504" t="s">
        <v>1265</v>
      </c>
      <c r="C2504" t="s">
        <v>1261</v>
      </c>
      <c r="D2504" t="s">
        <v>648</v>
      </c>
      <c r="E2504" t="s">
        <v>1004</v>
      </c>
      <c r="F2504" t="s">
        <v>598</v>
      </c>
      <c r="G2504" t="s">
        <v>599</v>
      </c>
      <c r="H2504" t="s">
        <v>600</v>
      </c>
      <c r="I2504" t="s">
        <v>601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hidden="1">
      <c r="A2505" t="s">
        <v>18811</v>
      </c>
      <c r="B2505" t="s">
        <v>1266</v>
      </c>
      <c r="C2505" t="s">
        <v>1267</v>
      </c>
      <c r="D2505" t="s">
        <v>1268</v>
      </c>
      <c r="E2505" t="s">
        <v>597</v>
      </c>
      <c r="F2505" t="s">
        <v>598</v>
      </c>
      <c r="G2505" t="s">
        <v>599</v>
      </c>
      <c r="H2505" t="s">
        <v>600</v>
      </c>
      <c r="I2505" t="s">
        <v>601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hidden="1">
      <c r="A2506" t="s">
        <v>18811</v>
      </c>
      <c r="B2506" t="s">
        <v>1269</v>
      </c>
      <c r="C2506" t="s">
        <v>1267</v>
      </c>
      <c r="D2506" t="s">
        <v>1268</v>
      </c>
      <c r="E2506" t="s">
        <v>678</v>
      </c>
      <c r="F2506" t="s">
        <v>598</v>
      </c>
      <c r="G2506" t="s">
        <v>599</v>
      </c>
      <c r="H2506" t="s">
        <v>600</v>
      </c>
      <c r="I2506" t="s">
        <v>601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hidden="1">
      <c r="A2507" t="s">
        <v>18811</v>
      </c>
      <c r="B2507" t="s">
        <v>1270</v>
      </c>
      <c r="C2507" t="s">
        <v>1267</v>
      </c>
      <c r="D2507" t="s">
        <v>1271</v>
      </c>
      <c r="E2507" t="s">
        <v>672</v>
      </c>
      <c r="F2507" t="s">
        <v>598</v>
      </c>
      <c r="G2507" t="s">
        <v>599</v>
      </c>
      <c r="H2507" t="s">
        <v>600</v>
      </c>
      <c r="I2507" t="s">
        <v>601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hidden="1">
      <c r="A2508" t="s">
        <v>18811</v>
      </c>
      <c r="B2508" t="s">
        <v>1272</v>
      </c>
      <c r="C2508" t="s">
        <v>1267</v>
      </c>
      <c r="D2508" t="s">
        <v>1271</v>
      </c>
      <c r="E2508" t="s">
        <v>678</v>
      </c>
      <c r="F2508" t="s">
        <v>598</v>
      </c>
      <c r="G2508" t="s">
        <v>599</v>
      </c>
      <c r="H2508" t="s">
        <v>600</v>
      </c>
      <c r="I2508" t="s">
        <v>601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hidden="1">
      <c r="A2509" t="s">
        <v>18811</v>
      </c>
      <c r="B2509" t="s">
        <v>1273</v>
      </c>
      <c r="C2509" t="s">
        <v>1267</v>
      </c>
      <c r="D2509" t="s">
        <v>1274</v>
      </c>
      <c r="E2509" t="s">
        <v>672</v>
      </c>
      <c r="F2509" t="s">
        <v>598</v>
      </c>
      <c r="G2509" t="s">
        <v>599</v>
      </c>
      <c r="H2509" t="s">
        <v>600</v>
      </c>
      <c r="I2509" t="s">
        <v>601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hidden="1">
      <c r="A2510" t="s">
        <v>18811</v>
      </c>
      <c r="B2510" t="s">
        <v>1275</v>
      </c>
      <c r="C2510" t="s">
        <v>1267</v>
      </c>
      <c r="D2510" t="s">
        <v>1274</v>
      </c>
      <c r="E2510" t="s">
        <v>597</v>
      </c>
      <c r="F2510" t="s">
        <v>598</v>
      </c>
      <c r="G2510" t="s">
        <v>599</v>
      </c>
      <c r="H2510" t="s">
        <v>600</v>
      </c>
      <c r="I2510" t="s">
        <v>601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hidden="1">
      <c r="A2511" t="s">
        <v>18811</v>
      </c>
      <c r="B2511" t="s">
        <v>1276</v>
      </c>
      <c r="C2511" t="s">
        <v>1267</v>
      </c>
      <c r="D2511" t="s">
        <v>1274</v>
      </c>
      <c r="E2511" t="s">
        <v>678</v>
      </c>
      <c r="F2511" t="s">
        <v>598</v>
      </c>
      <c r="G2511" t="s">
        <v>599</v>
      </c>
      <c r="H2511" t="s">
        <v>600</v>
      </c>
      <c r="I2511" t="s">
        <v>601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hidden="1">
      <c r="A2512" t="s">
        <v>18811</v>
      </c>
      <c r="B2512" t="s">
        <v>1277</v>
      </c>
      <c r="C2512" t="s">
        <v>1267</v>
      </c>
      <c r="D2512" t="s">
        <v>1278</v>
      </c>
      <c r="E2512" t="s">
        <v>672</v>
      </c>
      <c r="F2512" t="s">
        <v>598</v>
      </c>
      <c r="G2512" t="s">
        <v>599</v>
      </c>
      <c r="H2512" t="s">
        <v>600</v>
      </c>
      <c r="I2512" t="s">
        <v>601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hidden="1">
      <c r="A2513" t="s">
        <v>18811</v>
      </c>
      <c r="B2513" t="s">
        <v>1279</v>
      </c>
      <c r="C2513" t="s">
        <v>1267</v>
      </c>
      <c r="D2513" t="s">
        <v>1278</v>
      </c>
      <c r="E2513" t="s">
        <v>678</v>
      </c>
      <c r="F2513" t="s">
        <v>598</v>
      </c>
      <c r="G2513" t="s">
        <v>599</v>
      </c>
      <c r="H2513" t="s">
        <v>600</v>
      </c>
      <c r="I2513" t="s">
        <v>601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hidden="1">
      <c r="A2514" t="s">
        <v>18811</v>
      </c>
      <c r="B2514" t="s">
        <v>1280</v>
      </c>
      <c r="C2514" t="s">
        <v>1267</v>
      </c>
      <c r="D2514" t="s">
        <v>1281</v>
      </c>
      <c r="E2514" t="s">
        <v>672</v>
      </c>
      <c r="F2514" t="s">
        <v>598</v>
      </c>
      <c r="G2514" t="s">
        <v>599</v>
      </c>
      <c r="H2514" t="s">
        <v>600</v>
      </c>
      <c r="I2514" t="s">
        <v>601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hidden="1">
      <c r="A2515" t="s">
        <v>18811</v>
      </c>
      <c r="B2515" t="s">
        <v>1283</v>
      </c>
      <c r="C2515" t="s">
        <v>1267</v>
      </c>
      <c r="D2515" t="s">
        <v>1281</v>
      </c>
      <c r="E2515" t="s">
        <v>678</v>
      </c>
      <c r="F2515" t="s">
        <v>598</v>
      </c>
      <c r="G2515" t="s">
        <v>599</v>
      </c>
      <c r="H2515" t="s">
        <v>600</v>
      </c>
      <c r="I2515" t="s">
        <v>601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hidden="1">
      <c r="A2516" t="s">
        <v>18811</v>
      </c>
      <c r="B2516" t="s">
        <v>1284</v>
      </c>
      <c r="C2516" t="s">
        <v>1267</v>
      </c>
      <c r="D2516" t="s">
        <v>1285</v>
      </c>
      <c r="E2516" t="s">
        <v>678</v>
      </c>
      <c r="F2516" t="s">
        <v>598</v>
      </c>
      <c r="G2516" t="s">
        <v>599</v>
      </c>
      <c r="H2516" t="s">
        <v>600</v>
      </c>
      <c r="I2516" t="s">
        <v>601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hidden="1">
      <c r="A2517" t="s">
        <v>18811</v>
      </c>
      <c r="B2517" t="s">
        <v>1286</v>
      </c>
      <c r="C2517" t="s">
        <v>1267</v>
      </c>
      <c r="D2517" t="s">
        <v>1287</v>
      </c>
      <c r="E2517" t="s">
        <v>597</v>
      </c>
      <c r="F2517" t="s">
        <v>598</v>
      </c>
      <c r="G2517" t="s">
        <v>599</v>
      </c>
      <c r="H2517" t="s">
        <v>600</v>
      </c>
      <c r="I2517" t="s">
        <v>601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hidden="1">
      <c r="A2518" t="s">
        <v>18811</v>
      </c>
      <c r="B2518" t="s">
        <v>1288</v>
      </c>
      <c r="C2518" t="s">
        <v>1267</v>
      </c>
      <c r="D2518" t="s">
        <v>1287</v>
      </c>
      <c r="E2518" t="s">
        <v>678</v>
      </c>
      <c r="F2518" t="s">
        <v>598</v>
      </c>
      <c r="G2518" t="s">
        <v>599</v>
      </c>
      <c r="H2518" t="s">
        <v>600</v>
      </c>
      <c r="I2518" t="s">
        <v>601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hidden="1">
      <c r="A2519" t="s">
        <v>18811</v>
      </c>
      <c r="B2519" t="s">
        <v>1291</v>
      </c>
      <c r="C2519" t="s">
        <v>1267</v>
      </c>
      <c r="D2519" t="s">
        <v>1290</v>
      </c>
      <c r="E2519" t="s">
        <v>678</v>
      </c>
      <c r="F2519" t="s">
        <v>598</v>
      </c>
      <c r="G2519" t="s">
        <v>599</v>
      </c>
      <c r="H2519" t="s">
        <v>600</v>
      </c>
      <c r="I2519" t="s">
        <v>601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hidden="1">
      <c r="A2520" t="s">
        <v>18811</v>
      </c>
      <c r="B2520" t="s">
        <v>1292</v>
      </c>
      <c r="C2520" t="s">
        <v>1267</v>
      </c>
      <c r="D2520" t="s">
        <v>1293</v>
      </c>
      <c r="E2520" t="s">
        <v>672</v>
      </c>
      <c r="F2520" t="s">
        <v>598</v>
      </c>
      <c r="G2520" t="s">
        <v>599</v>
      </c>
      <c r="H2520" t="s">
        <v>600</v>
      </c>
      <c r="I2520" t="s">
        <v>601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hidden="1">
      <c r="A2521" t="s">
        <v>18811</v>
      </c>
      <c r="B2521" t="s">
        <v>1294</v>
      </c>
      <c r="C2521" t="s">
        <v>1267</v>
      </c>
      <c r="D2521" t="s">
        <v>1293</v>
      </c>
      <c r="E2521" t="s">
        <v>678</v>
      </c>
      <c r="F2521" t="s">
        <v>598</v>
      </c>
      <c r="G2521" t="s">
        <v>599</v>
      </c>
      <c r="H2521" t="s">
        <v>600</v>
      </c>
      <c r="I2521" t="s">
        <v>601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hidden="1">
      <c r="A2522" t="s">
        <v>18811</v>
      </c>
      <c r="B2522" t="s">
        <v>1295</v>
      </c>
      <c r="C2522" t="s">
        <v>1267</v>
      </c>
      <c r="D2522" t="s">
        <v>1296</v>
      </c>
      <c r="E2522" t="s">
        <v>678</v>
      </c>
      <c r="F2522" t="s">
        <v>598</v>
      </c>
      <c r="G2522" t="s">
        <v>599</v>
      </c>
      <c r="H2522" t="s">
        <v>600</v>
      </c>
      <c r="I2522" t="s">
        <v>601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hidden="1">
      <c r="A2523" t="s">
        <v>18811</v>
      </c>
      <c r="B2523" t="s">
        <v>1297</v>
      </c>
      <c r="C2523" t="s">
        <v>1267</v>
      </c>
      <c r="D2523" t="s">
        <v>1298</v>
      </c>
      <c r="E2523" t="s">
        <v>672</v>
      </c>
      <c r="F2523" t="s">
        <v>598</v>
      </c>
      <c r="G2523" t="s">
        <v>599</v>
      </c>
      <c r="H2523" t="s">
        <v>600</v>
      </c>
      <c r="I2523" t="s">
        <v>601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hidden="1">
      <c r="A2524" t="s">
        <v>18811</v>
      </c>
      <c r="B2524" t="s">
        <v>1301</v>
      </c>
      <c r="C2524" t="s">
        <v>1267</v>
      </c>
      <c r="D2524" t="s">
        <v>1302</v>
      </c>
      <c r="E2524" t="s">
        <v>672</v>
      </c>
      <c r="F2524" t="s">
        <v>598</v>
      </c>
      <c r="G2524" t="s">
        <v>599</v>
      </c>
      <c r="H2524" t="s">
        <v>600</v>
      </c>
      <c r="I2524" t="s">
        <v>601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hidden="1">
      <c r="A2525" t="s">
        <v>18811</v>
      </c>
      <c r="B2525" t="s">
        <v>1303</v>
      </c>
      <c r="C2525" t="s">
        <v>1267</v>
      </c>
      <c r="D2525" t="s">
        <v>1302</v>
      </c>
      <c r="E2525" t="s">
        <v>678</v>
      </c>
      <c r="F2525" t="s">
        <v>598</v>
      </c>
      <c r="G2525" t="s">
        <v>599</v>
      </c>
      <c r="H2525" t="s">
        <v>600</v>
      </c>
      <c r="I2525" t="s">
        <v>601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hidden="1">
      <c r="A2526" t="s">
        <v>18811</v>
      </c>
      <c r="B2526" t="s">
        <v>1304</v>
      </c>
      <c r="C2526" t="s">
        <v>1267</v>
      </c>
      <c r="D2526" t="s">
        <v>1305</v>
      </c>
      <c r="E2526" t="s">
        <v>672</v>
      </c>
      <c r="F2526" t="s">
        <v>598</v>
      </c>
      <c r="G2526" t="s">
        <v>599</v>
      </c>
      <c r="H2526" t="s">
        <v>600</v>
      </c>
      <c r="I2526" t="s">
        <v>601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hidden="1">
      <c r="A2527" t="s">
        <v>18811</v>
      </c>
      <c r="B2527" t="s">
        <v>1306</v>
      </c>
      <c r="C2527" t="s">
        <v>1267</v>
      </c>
      <c r="D2527" t="s">
        <v>1305</v>
      </c>
      <c r="E2527" t="s">
        <v>597</v>
      </c>
      <c r="F2527" t="s">
        <v>598</v>
      </c>
      <c r="G2527" t="s">
        <v>599</v>
      </c>
      <c r="H2527" t="s">
        <v>600</v>
      </c>
      <c r="I2527" t="s">
        <v>601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hidden="1">
      <c r="A2528" t="s">
        <v>18811</v>
      </c>
      <c r="B2528" t="s">
        <v>1307</v>
      </c>
      <c r="C2528" t="s">
        <v>1267</v>
      </c>
      <c r="D2528" t="s">
        <v>1305</v>
      </c>
      <c r="E2528" t="s">
        <v>678</v>
      </c>
      <c r="F2528" t="s">
        <v>598</v>
      </c>
      <c r="G2528" t="s">
        <v>599</v>
      </c>
      <c r="H2528" t="s">
        <v>600</v>
      </c>
      <c r="I2528" t="s">
        <v>601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hidden="1">
      <c r="A2529" t="s">
        <v>18811</v>
      </c>
      <c r="B2529" t="s">
        <v>1308</v>
      </c>
      <c r="C2529" t="s">
        <v>1267</v>
      </c>
      <c r="D2529" t="s">
        <v>1309</v>
      </c>
      <c r="E2529" t="s">
        <v>672</v>
      </c>
      <c r="F2529" t="s">
        <v>598</v>
      </c>
      <c r="G2529" t="s">
        <v>599</v>
      </c>
      <c r="H2529" t="s">
        <v>600</v>
      </c>
      <c r="I2529" t="s">
        <v>601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hidden="1">
      <c r="A2530" t="s">
        <v>18811</v>
      </c>
      <c r="B2530" t="s">
        <v>1310</v>
      </c>
      <c r="C2530" t="s">
        <v>1267</v>
      </c>
      <c r="D2530" t="s">
        <v>1311</v>
      </c>
      <c r="E2530" t="s">
        <v>597</v>
      </c>
      <c r="F2530" t="s">
        <v>598</v>
      </c>
      <c r="G2530" t="s">
        <v>599</v>
      </c>
      <c r="H2530" t="s">
        <v>600</v>
      </c>
      <c r="I2530" t="s">
        <v>601</v>
      </c>
      <c r="J2530">
        <v>2.1700000000000001E-2</v>
      </c>
      <c r="K2530">
        <v>2.12E-2</v>
      </c>
      <c r="L2530">
        <v>2.06E-2</v>
      </c>
      <c r="M2530">
        <v>2.01E-2</v>
      </c>
      <c r="N2530">
        <v>1.9800000000000002E-2</v>
      </c>
      <c r="O2530">
        <v>1.9400000000000001E-2</v>
      </c>
      <c r="P2530">
        <v>1.89E-2</v>
      </c>
      <c r="Q2530">
        <v>1.8599999999999998E-2</v>
      </c>
      <c r="R2530">
        <v>1.8100000000000002E-2</v>
      </c>
      <c r="S2530">
        <v>1.77E-2</v>
      </c>
      <c r="T2530">
        <v>1.7299999999999999E-2</v>
      </c>
      <c r="U2530">
        <v>1.6899999999999998E-2</v>
      </c>
      <c r="V2530">
        <v>1.6500000000000001E-2</v>
      </c>
      <c r="W2530">
        <v>1.6199999999999999E-2</v>
      </c>
      <c r="X2530">
        <v>1.5900000000000001E-2</v>
      </c>
      <c r="Y2530">
        <v>1.55E-2</v>
      </c>
    </row>
    <row r="2531" spans="1:25" hidden="1">
      <c r="A2531" t="s">
        <v>18811</v>
      </c>
      <c r="B2531" t="s">
        <v>1312</v>
      </c>
      <c r="C2531" t="s">
        <v>1267</v>
      </c>
      <c r="D2531" t="s">
        <v>1311</v>
      </c>
      <c r="E2531" t="s">
        <v>642</v>
      </c>
      <c r="F2531" t="s">
        <v>598</v>
      </c>
      <c r="G2531" t="s">
        <v>599</v>
      </c>
      <c r="H2531" t="s">
        <v>600</v>
      </c>
      <c r="I2531" t="s">
        <v>601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</row>
    <row r="2532" spans="1:25" hidden="1">
      <c r="A2532" t="s">
        <v>18811</v>
      </c>
      <c r="B2532" t="s">
        <v>1313</v>
      </c>
      <c r="C2532" t="s">
        <v>1267</v>
      </c>
      <c r="D2532" t="s">
        <v>1311</v>
      </c>
      <c r="E2532" t="s">
        <v>605</v>
      </c>
      <c r="F2532" t="s">
        <v>598</v>
      </c>
      <c r="G2532" t="s">
        <v>599</v>
      </c>
      <c r="H2532" t="s">
        <v>600</v>
      </c>
      <c r="I2532" t="s">
        <v>601</v>
      </c>
      <c r="J2532">
        <v>1.8800000000000001E-2</v>
      </c>
      <c r="K2532">
        <v>1.84E-2</v>
      </c>
      <c r="L2532">
        <v>1.7999999999999999E-2</v>
      </c>
      <c r="M2532">
        <v>1.7600000000000001E-2</v>
      </c>
      <c r="N2532">
        <v>1.72E-2</v>
      </c>
      <c r="O2532">
        <v>1.6899999999999998E-2</v>
      </c>
      <c r="P2532">
        <v>1.6400000000000001E-2</v>
      </c>
      <c r="Q2532">
        <v>1.61E-2</v>
      </c>
      <c r="R2532">
        <v>1.5699999999999999E-2</v>
      </c>
      <c r="S2532">
        <v>1.5299999999999999E-2</v>
      </c>
      <c r="T2532">
        <v>1.4999999999999999E-2</v>
      </c>
      <c r="U2532">
        <v>1.47E-2</v>
      </c>
      <c r="V2532">
        <v>1.44E-2</v>
      </c>
      <c r="W2532">
        <v>1.4E-2</v>
      </c>
      <c r="X2532">
        <v>1.38E-2</v>
      </c>
      <c r="Y2532">
        <v>1.34E-2</v>
      </c>
    </row>
    <row r="2533" spans="1:25" hidden="1">
      <c r="A2533" t="s">
        <v>18811</v>
      </c>
      <c r="B2533" t="s">
        <v>1314</v>
      </c>
      <c r="C2533" t="s">
        <v>1267</v>
      </c>
      <c r="D2533" t="s">
        <v>1311</v>
      </c>
      <c r="E2533" t="s">
        <v>678</v>
      </c>
      <c r="F2533" t="s">
        <v>598</v>
      </c>
      <c r="G2533" t="s">
        <v>599</v>
      </c>
      <c r="H2533" t="s">
        <v>600</v>
      </c>
      <c r="I2533" t="s">
        <v>601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hidden="1">
      <c r="A2534" t="s">
        <v>18811</v>
      </c>
      <c r="B2534" t="s">
        <v>1315</v>
      </c>
      <c r="C2534" t="s">
        <v>1267</v>
      </c>
      <c r="D2534" t="s">
        <v>1316</v>
      </c>
      <c r="E2534" t="s">
        <v>678</v>
      </c>
      <c r="F2534" t="s">
        <v>598</v>
      </c>
      <c r="G2534" t="s">
        <v>599</v>
      </c>
      <c r="H2534" t="s">
        <v>600</v>
      </c>
      <c r="I2534" t="s">
        <v>601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hidden="1">
      <c r="A2535" t="s">
        <v>18811</v>
      </c>
      <c r="B2535" t="s">
        <v>1319</v>
      </c>
      <c r="C2535" t="s">
        <v>1267</v>
      </c>
      <c r="D2535" t="s">
        <v>1320</v>
      </c>
      <c r="E2535" t="s">
        <v>678</v>
      </c>
      <c r="F2535" t="s">
        <v>598</v>
      </c>
      <c r="G2535" t="s">
        <v>599</v>
      </c>
      <c r="H2535" t="s">
        <v>600</v>
      </c>
      <c r="I2535" t="s">
        <v>601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hidden="1">
      <c r="A2536" t="s">
        <v>18811</v>
      </c>
      <c r="B2536" t="s">
        <v>1321</v>
      </c>
      <c r="C2536" t="s">
        <v>1267</v>
      </c>
      <c r="D2536" t="s">
        <v>1322</v>
      </c>
      <c r="E2536" t="s">
        <v>672</v>
      </c>
      <c r="F2536" t="s">
        <v>598</v>
      </c>
      <c r="G2536" t="s">
        <v>599</v>
      </c>
      <c r="H2536" t="s">
        <v>600</v>
      </c>
      <c r="I2536" t="s">
        <v>601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hidden="1">
      <c r="A2537" t="s">
        <v>18811</v>
      </c>
      <c r="B2537" t="s">
        <v>1327</v>
      </c>
      <c r="C2537" t="s">
        <v>1267</v>
      </c>
      <c r="D2537" t="s">
        <v>1324</v>
      </c>
      <c r="E2537" t="s">
        <v>892</v>
      </c>
      <c r="F2537" t="s">
        <v>598</v>
      </c>
      <c r="G2537" t="s">
        <v>599</v>
      </c>
      <c r="H2537" t="s">
        <v>600</v>
      </c>
      <c r="I2537" t="s">
        <v>601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hidden="1">
      <c r="A2538" t="s">
        <v>18811</v>
      </c>
      <c r="B2538" t="s">
        <v>1328</v>
      </c>
      <c r="C2538" t="s">
        <v>1267</v>
      </c>
      <c r="D2538" t="s">
        <v>1324</v>
      </c>
      <c r="E2538" t="s">
        <v>678</v>
      </c>
      <c r="F2538" t="s">
        <v>598</v>
      </c>
      <c r="G2538" t="s">
        <v>599</v>
      </c>
      <c r="H2538" t="s">
        <v>600</v>
      </c>
      <c r="I2538" t="s">
        <v>601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hidden="1">
      <c r="A2539" t="s">
        <v>18811</v>
      </c>
      <c r="B2539" t="s">
        <v>1329</v>
      </c>
      <c r="C2539" t="s">
        <v>1267</v>
      </c>
      <c r="D2539" t="s">
        <v>1324</v>
      </c>
      <c r="E2539" t="s">
        <v>1318</v>
      </c>
      <c r="F2539" t="s">
        <v>598</v>
      </c>
      <c r="G2539" t="s">
        <v>599</v>
      </c>
      <c r="H2539" t="s">
        <v>600</v>
      </c>
      <c r="I2539" t="s">
        <v>601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hidden="1">
      <c r="A2540" t="s">
        <v>18811</v>
      </c>
      <c r="B2540" t="s">
        <v>1331</v>
      </c>
      <c r="C2540" t="s">
        <v>1267</v>
      </c>
      <c r="D2540" t="s">
        <v>1332</v>
      </c>
      <c r="E2540" t="s">
        <v>688</v>
      </c>
      <c r="F2540" t="s">
        <v>598</v>
      </c>
      <c r="G2540" t="s">
        <v>599</v>
      </c>
      <c r="H2540" t="s">
        <v>600</v>
      </c>
      <c r="I2540" t="s">
        <v>601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hidden="1">
      <c r="A2541" t="s">
        <v>18811</v>
      </c>
      <c r="B2541" t="s">
        <v>1333</v>
      </c>
      <c r="C2541" t="s">
        <v>1267</v>
      </c>
      <c r="D2541" t="s">
        <v>1332</v>
      </c>
      <c r="E2541" t="s">
        <v>1334</v>
      </c>
      <c r="F2541" t="s">
        <v>598</v>
      </c>
      <c r="G2541" t="s">
        <v>599</v>
      </c>
      <c r="H2541" t="s">
        <v>600</v>
      </c>
      <c r="I2541" t="s">
        <v>601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hidden="1">
      <c r="A2542" t="s">
        <v>18811</v>
      </c>
      <c r="B2542" t="s">
        <v>1336</v>
      </c>
      <c r="C2542" t="s">
        <v>1267</v>
      </c>
      <c r="D2542" t="s">
        <v>1332</v>
      </c>
      <c r="E2542" t="s">
        <v>892</v>
      </c>
      <c r="F2542" t="s">
        <v>598</v>
      </c>
      <c r="G2542" t="s">
        <v>599</v>
      </c>
      <c r="H2542" t="s">
        <v>600</v>
      </c>
      <c r="I2542" t="s">
        <v>601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hidden="1">
      <c r="A2543" t="s">
        <v>18811</v>
      </c>
      <c r="B2543" t="s">
        <v>1337</v>
      </c>
      <c r="C2543" t="s">
        <v>1267</v>
      </c>
      <c r="D2543" t="s">
        <v>1332</v>
      </c>
      <c r="E2543" t="s">
        <v>678</v>
      </c>
      <c r="F2543" t="s">
        <v>598</v>
      </c>
      <c r="G2543" t="s">
        <v>599</v>
      </c>
      <c r="H2543" t="s">
        <v>600</v>
      </c>
      <c r="I2543" t="s">
        <v>601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hidden="1">
      <c r="A2544" t="s">
        <v>18811</v>
      </c>
      <c r="B2544" t="s">
        <v>1338</v>
      </c>
      <c r="C2544" t="s">
        <v>1267</v>
      </c>
      <c r="D2544" t="s">
        <v>1332</v>
      </c>
      <c r="E2544" t="s">
        <v>1318</v>
      </c>
      <c r="F2544" t="s">
        <v>598</v>
      </c>
      <c r="G2544" t="s">
        <v>599</v>
      </c>
      <c r="H2544" t="s">
        <v>600</v>
      </c>
      <c r="I2544" t="s">
        <v>601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hidden="1">
      <c r="A2545" t="s">
        <v>18811</v>
      </c>
      <c r="B2545" t="s">
        <v>1339</v>
      </c>
      <c r="C2545" t="s">
        <v>1267</v>
      </c>
      <c r="D2545" t="s">
        <v>1332</v>
      </c>
      <c r="E2545" t="s">
        <v>1340</v>
      </c>
      <c r="F2545" t="s">
        <v>598</v>
      </c>
      <c r="G2545" t="s">
        <v>599</v>
      </c>
      <c r="H2545" t="s">
        <v>600</v>
      </c>
      <c r="I2545" t="s">
        <v>601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hidden="1">
      <c r="A2546" t="s">
        <v>18811</v>
      </c>
      <c r="B2546" t="s">
        <v>1342</v>
      </c>
      <c r="C2546" t="s">
        <v>1267</v>
      </c>
      <c r="D2546" t="s">
        <v>1332</v>
      </c>
      <c r="E2546" t="s">
        <v>1343</v>
      </c>
      <c r="F2546" t="s">
        <v>598</v>
      </c>
      <c r="G2546" t="s">
        <v>599</v>
      </c>
      <c r="H2546" t="s">
        <v>600</v>
      </c>
      <c r="I2546" t="s">
        <v>601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hidden="1">
      <c r="A2547" t="s">
        <v>18811</v>
      </c>
      <c r="B2547" t="s">
        <v>1344</v>
      </c>
      <c r="C2547" t="s">
        <v>1267</v>
      </c>
      <c r="D2547" t="s">
        <v>1332</v>
      </c>
      <c r="E2547" t="s">
        <v>1216</v>
      </c>
      <c r="F2547" t="s">
        <v>598</v>
      </c>
      <c r="G2547" t="s">
        <v>599</v>
      </c>
      <c r="H2547" t="s">
        <v>600</v>
      </c>
      <c r="I2547" t="s">
        <v>601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hidden="1">
      <c r="A2548" t="s">
        <v>18811</v>
      </c>
      <c r="B2548" t="s">
        <v>1345</v>
      </c>
      <c r="C2548" t="s">
        <v>1267</v>
      </c>
      <c r="D2548" t="s">
        <v>1332</v>
      </c>
      <c r="E2548" t="s">
        <v>1346</v>
      </c>
      <c r="F2548" t="s">
        <v>598</v>
      </c>
      <c r="G2548" t="s">
        <v>599</v>
      </c>
      <c r="H2548" t="s">
        <v>600</v>
      </c>
      <c r="I2548" t="s">
        <v>601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hidden="1">
      <c r="A2549" t="s">
        <v>18811</v>
      </c>
      <c r="B2549" t="s">
        <v>1349</v>
      </c>
      <c r="C2549" t="s">
        <v>1267</v>
      </c>
      <c r="D2549" t="s">
        <v>1350</v>
      </c>
      <c r="E2549" t="s">
        <v>603</v>
      </c>
      <c r="F2549" t="s">
        <v>598</v>
      </c>
      <c r="G2549" t="s">
        <v>599</v>
      </c>
      <c r="H2549" t="s">
        <v>600</v>
      </c>
      <c r="I2549" t="s">
        <v>601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hidden="1">
      <c r="A2550" t="s">
        <v>18811</v>
      </c>
      <c r="B2550" t="s">
        <v>1351</v>
      </c>
      <c r="C2550" t="s">
        <v>1267</v>
      </c>
      <c r="D2550" t="s">
        <v>1352</v>
      </c>
      <c r="E2550" t="s">
        <v>672</v>
      </c>
      <c r="F2550" t="s">
        <v>598</v>
      </c>
      <c r="G2550" t="s">
        <v>599</v>
      </c>
      <c r="H2550" t="s">
        <v>600</v>
      </c>
      <c r="I2550" t="s">
        <v>601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hidden="1">
      <c r="A2551" t="s">
        <v>18811</v>
      </c>
      <c r="B2551" t="s">
        <v>1360</v>
      </c>
      <c r="C2551" t="s">
        <v>1267</v>
      </c>
      <c r="D2551" t="s">
        <v>1361</v>
      </c>
      <c r="E2551" t="s">
        <v>672</v>
      </c>
      <c r="F2551" t="s">
        <v>598</v>
      </c>
      <c r="G2551" t="s">
        <v>599</v>
      </c>
      <c r="H2551" t="s">
        <v>600</v>
      </c>
      <c r="I2551" t="s">
        <v>601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hidden="1">
      <c r="A2552" t="s">
        <v>18811</v>
      </c>
      <c r="B2552" t="s">
        <v>1362</v>
      </c>
      <c r="C2552" t="s">
        <v>1267</v>
      </c>
      <c r="D2552" t="s">
        <v>1363</v>
      </c>
      <c r="E2552" t="s">
        <v>597</v>
      </c>
      <c r="F2552" t="s">
        <v>598</v>
      </c>
      <c r="G2552" t="s">
        <v>599</v>
      </c>
      <c r="H2552" t="s">
        <v>600</v>
      </c>
      <c r="I2552" t="s">
        <v>601</v>
      </c>
      <c r="J2552">
        <v>2.0000000000000001E-4</v>
      </c>
      <c r="K2552">
        <v>2.0000000000000001E-4</v>
      </c>
      <c r="L2552">
        <v>2.0000000000000001E-4</v>
      </c>
      <c r="M2552">
        <v>2.0000000000000001E-4</v>
      </c>
      <c r="N2552">
        <v>2.0000000000000001E-4</v>
      </c>
      <c r="O2552">
        <v>2.0000000000000001E-4</v>
      </c>
      <c r="P2552">
        <v>2.0000000000000001E-4</v>
      </c>
      <c r="Q2552">
        <v>2.0000000000000001E-4</v>
      </c>
      <c r="R2552">
        <v>2.0000000000000001E-4</v>
      </c>
      <c r="S2552">
        <v>2.0000000000000001E-4</v>
      </c>
      <c r="T2552">
        <v>2.0000000000000001E-4</v>
      </c>
      <c r="U2552">
        <v>2.0000000000000001E-4</v>
      </c>
      <c r="V2552">
        <v>2.0000000000000001E-4</v>
      </c>
      <c r="W2552">
        <v>2.0000000000000001E-4</v>
      </c>
      <c r="X2552">
        <v>2.0000000000000001E-4</v>
      </c>
      <c r="Y2552">
        <v>2.0000000000000001E-4</v>
      </c>
    </row>
    <row r="2553" spans="1:25" hidden="1">
      <c r="A2553" t="s">
        <v>18811</v>
      </c>
      <c r="B2553" t="s">
        <v>1368</v>
      </c>
      <c r="C2553" t="s">
        <v>1267</v>
      </c>
      <c r="D2553" t="s">
        <v>1365</v>
      </c>
      <c r="E2553" t="s">
        <v>678</v>
      </c>
      <c r="F2553" t="s">
        <v>598</v>
      </c>
      <c r="G2553" t="s">
        <v>599</v>
      </c>
      <c r="H2553" t="s">
        <v>600</v>
      </c>
      <c r="I2553" t="s">
        <v>601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 hidden="1">
      <c r="A2554" t="s">
        <v>18811</v>
      </c>
      <c r="B2554" t="s">
        <v>1369</v>
      </c>
      <c r="C2554" t="s">
        <v>1267</v>
      </c>
      <c r="D2554" t="s">
        <v>1370</v>
      </c>
      <c r="E2554" t="s">
        <v>672</v>
      </c>
      <c r="F2554" t="s">
        <v>598</v>
      </c>
      <c r="G2554" t="s">
        <v>599</v>
      </c>
      <c r="H2554" t="s">
        <v>600</v>
      </c>
      <c r="I2554" t="s">
        <v>601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hidden="1">
      <c r="A2555" t="s">
        <v>18811</v>
      </c>
      <c r="B2555" t="s">
        <v>1371</v>
      </c>
      <c r="C2555" t="s">
        <v>1267</v>
      </c>
      <c r="D2555" t="s">
        <v>1370</v>
      </c>
      <c r="E2555" t="s">
        <v>678</v>
      </c>
      <c r="F2555" t="s">
        <v>598</v>
      </c>
      <c r="G2555" t="s">
        <v>599</v>
      </c>
      <c r="H2555" t="s">
        <v>600</v>
      </c>
      <c r="I2555" t="s">
        <v>601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hidden="1">
      <c r="A2556" t="s">
        <v>18811</v>
      </c>
      <c r="B2556" t="s">
        <v>1372</v>
      </c>
      <c r="C2556" t="s">
        <v>1267</v>
      </c>
      <c r="D2556" t="s">
        <v>648</v>
      </c>
      <c r="E2556" t="s">
        <v>920</v>
      </c>
      <c r="F2556" t="s">
        <v>598</v>
      </c>
      <c r="G2556" t="s">
        <v>599</v>
      </c>
      <c r="H2556" t="s">
        <v>600</v>
      </c>
      <c r="I2556" t="s">
        <v>601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hidden="1">
      <c r="A2557" t="s">
        <v>18811</v>
      </c>
      <c r="B2557" t="s">
        <v>1374</v>
      </c>
      <c r="C2557" t="s">
        <v>1267</v>
      </c>
      <c r="D2557" t="s">
        <v>648</v>
      </c>
      <c r="E2557" t="s">
        <v>597</v>
      </c>
      <c r="F2557" t="s">
        <v>598</v>
      </c>
      <c r="G2557" t="s">
        <v>599</v>
      </c>
      <c r="H2557" t="s">
        <v>600</v>
      </c>
      <c r="I2557" t="s">
        <v>601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hidden="1">
      <c r="A2558" t="s">
        <v>18811</v>
      </c>
      <c r="B2558" t="s">
        <v>1376</v>
      </c>
      <c r="C2558" t="s">
        <v>1267</v>
      </c>
      <c r="D2558" t="s">
        <v>648</v>
      </c>
      <c r="E2558" t="s">
        <v>678</v>
      </c>
      <c r="F2558" t="s">
        <v>598</v>
      </c>
      <c r="G2558" t="s">
        <v>599</v>
      </c>
      <c r="H2558" t="s">
        <v>600</v>
      </c>
      <c r="I2558" t="s">
        <v>601</v>
      </c>
      <c r="J2558">
        <v>1E-4</v>
      </c>
      <c r="K2558">
        <v>1E-4</v>
      </c>
      <c r="L2558">
        <v>1E-4</v>
      </c>
      <c r="M2558">
        <v>1E-4</v>
      </c>
      <c r="N2558">
        <v>1E-4</v>
      </c>
      <c r="O2558">
        <v>1E-4</v>
      </c>
      <c r="P2558">
        <v>1E-4</v>
      </c>
      <c r="Q2558">
        <v>1E-4</v>
      </c>
      <c r="R2558">
        <v>1E-4</v>
      </c>
      <c r="S2558">
        <v>1E-4</v>
      </c>
      <c r="T2558">
        <v>1E-4</v>
      </c>
      <c r="U2558">
        <v>1E-4</v>
      </c>
      <c r="V2558">
        <v>1E-4</v>
      </c>
      <c r="W2558">
        <v>1E-4</v>
      </c>
      <c r="X2558">
        <v>1E-4</v>
      </c>
      <c r="Y2558">
        <v>1E-4</v>
      </c>
    </row>
    <row r="2559" spans="1:25" hidden="1">
      <c r="A2559" t="s">
        <v>18811</v>
      </c>
      <c r="B2559" t="s">
        <v>1377</v>
      </c>
      <c r="C2559" t="s">
        <v>1267</v>
      </c>
      <c r="D2559" t="s">
        <v>648</v>
      </c>
      <c r="E2559" t="s">
        <v>1378</v>
      </c>
      <c r="F2559" t="s">
        <v>598</v>
      </c>
      <c r="G2559" t="s">
        <v>599</v>
      </c>
      <c r="H2559" t="s">
        <v>600</v>
      </c>
      <c r="I2559" t="s">
        <v>601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hidden="1">
      <c r="A2560" t="s">
        <v>18811</v>
      </c>
      <c r="B2560" t="s">
        <v>1381</v>
      </c>
      <c r="C2560" t="s">
        <v>1382</v>
      </c>
      <c r="D2560" t="s">
        <v>1274</v>
      </c>
      <c r="E2560" t="s">
        <v>973</v>
      </c>
      <c r="F2560" t="s">
        <v>598</v>
      </c>
      <c r="G2560" t="s">
        <v>599</v>
      </c>
      <c r="H2560" t="s">
        <v>600</v>
      </c>
      <c r="I2560" t="s">
        <v>601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hidden="1">
      <c r="A2561" t="s">
        <v>18811</v>
      </c>
      <c r="B2561" t="s">
        <v>1383</v>
      </c>
      <c r="C2561" t="s">
        <v>1382</v>
      </c>
      <c r="D2561" t="s">
        <v>1281</v>
      </c>
      <c r="E2561" t="s">
        <v>973</v>
      </c>
      <c r="F2561" t="s">
        <v>598</v>
      </c>
      <c r="G2561" t="s">
        <v>599</v>
      </c>
      <c r="H2561" t="s">
        <v>600</v>
      </c>
      <c r="I2561" t="s">
        <v>601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hidden="1">
      <c r="A2562" t="s">
        <v>18811</v>
      </c>
      <c r="B2562" t="s">
        <v>1384</v>
      </c>
      <c r="C2562" t="s">
        <v>1382</v>
      </c>
      <c r="D2562" t="s">
        <v>1285</v>
      </c>
      <c r="E2562" t="s">
        <v>973</v>
      </c>
      <c r="F2562" t="s">
        <v>598</v>
      </c>
      <c r="G2562" t="s">
        <v>599</v>
      </c>
      <c r="H2562" t="s">
        <v>600</v>
      </c>
      <c r="I2562" t="s">
        <v>601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hidden="1">
      <c r="A2563" t="s">
        <v>18811</v>
      </c>
      <c r="B2563" t="s">
        <v>1385</v>
      </c>
      <c r="C2563" t="s">
        <v>1382</v>
      </c>
      <c r="D2563" t="s">
        <v>1287</v>
      </c>
      <c r="E2563" t="s">
        <v>973</v>
      </c>
      <c r="F2563" t="s">
        <v>598</v>
      </c>
      <c r="G2563" t="s">
        <v>599</v>
      </c>
      <c r="H2563" t="s">
        <v>600</v>
      </c>
      <c r="I2563" t="s">
        <v>601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hidden="1">
      <c r="A2564" t="s">
        <v>18811</v>
      </c>
      <c r="B2564" t="s">
        <v>1386</v>
      </c>
      <c r="C2564" t="s">
        <v>1382</v>
      </c>
      <c r="D2564" t="s">
        <v>1305</v>
      </c>
      <c r="E2564" t="s">
        <v>973</v>
      </c>
      <c r="F2564" t="s">
        <v>598</v>
      </c>
      <c r="G2564" t="s">
        <v>599</v>
      </c>
      <c r="H2564" t="s">
        <v>600</v>
      </c>
      <c r="I2564" t="s">
        <v>601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hidden="1">
      <c r="A2565" t="s">
        <v>18811</v>
      </c>
      <c r="B2565" t="s">
        <v>1387</v>
      </c>
      <c r="C2565" t="s">
        <v>1382</v>
      </c>
      <c r="D2565" t="s">
        <v>1311</v>
      </c>
      <c r="E2565" t="s">
        <v>973</v>
      </c>
      <c r="F2565" t="s">
        <v>598</v>
      </c>
      <c r="G2565" t="s">
        <v>599</v>
      </c>
      <c r="H2565" t="s">
        <v>600</v>
      </c>
      <c r="I2565" t="s">
        <v>601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hidden="1">
      <c r="A2566" t="s">
        <v>18811</v>
      </c>
      <c r="B2566" t="s">
        <v>1388</v>
      </c>
      <c r="C2566" t="s">
        <v>1382</v>
      </c>
      <c r="D2566" t="s">
        <v>1311</v>
      </c>
      <c r="E2566" t="s">
        <v>597</v>
      </c>
      <c r="F2566" t="s">
        <v>598</v>
      </c>
      <c r="G2566" t="s">
        <v>599</v>
      </c>
      <c r="H2566" t="s">
        <v>600</v>
      </c>
      <c r="I2566" t="s">
        <v>601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hidden="1">
      <c r="A2567" t="s">
        <v>18811</v>
      </c>
      <c r="B2567" t="s">
        <v>1389</v>
      </c>
      <c r="C2567" t="s">
        <v>1382</v>
      </c>
      <c r="D2567" t="s">
        <v>1311</v>
      </c>
      <c r="E2567" t="s">
        <v>642</v>
      </c>
      <c r="F2567" t="s">
        <v>598</v>
      </c>
      <c r="G2567" t="s">
        <v>599</v>
      </c>
      <c r="H2567" t="s">
        <v>600</v>
      </c>
      <c r="I2567" t="s">
        <v>601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hidden="1">
      <c r="A2568" t="s">
        <v>18811</v>
      </c>
      <c r="B2568" t="s">
        <v>1390</v>
      </c>
      <c r="C2568" t="s">
        <v>1382</v>
      </c>
      <c r="D2568" t="s">
        <v>1311</v>
      </c>
      <c r="E2568" t="s">
        <v>605</v>
      </c>
      <c r="F2568" t="s">
        <v>598</v>
      </c>
      <c r="G2568" t="s">
        <v>599</v>
      </c>
      <c r="H2568" t="s">
        <v>600</v>
      </c>
      <c r="I2568" t="s">
        <v>601</v>
      </c>
      <c r="J2568">
        <v>2.5999999999999999E-3</v>
      </c>
      <c r="K2568">
        <v>2.5999999999999999E-3</v>
      </c>
      <c r="L2568">
        <v>2.5999999999999999E-3</v>
      </c>
      <c r="M2568">
        <v>2.5999999999999999E-3</v>
      </c>
      <c r="N2568">
        <v>2.5999999999999999E-3</v>
      </c>
      <c r="O2568">
        <v>2.5999999999999999E-3</v>
      </c>
      <c r="P2568">
        <v>2.5999999999999999E-3</v>
      </c>
      <c r="Q2568">
        <v>2.5999999999999999E-3</v>
      </c>
      <c r="R2568">
        <v>2.5999999999999999E-3</v>
      </c>
      <c r="S2568">
        <v>2.5999999999999999E-3</v>
      </c>
      <c r="T2568">
        <v>2.5999999999999999E-3</v>
      </c>
      <c r="U2568">
        <v>2.5999999999999999E-3</v>
      </c>
      <c r="V2568">
        <v>2.5999999999999999E-3</v>
      </c>
      <c r="W2568">
        <v>2.5999999999999999E-3</v>
      </c>
      <c r="X2568">
        <v>2.5999999999999999E-3</v>
      </c>
      <c r="Y2568">
        <v>2.5999999999999999E-3</v>
      </c>
    </row>
    <row r="2569" spans="1:25" hidden="1">
      <c r="A2569" t="s">
        <v>18811</v>
      </c>
      <c r="B2569" t="s">
        <v>1395</v>
      </c>
      <c r="C2569" t="s">
        <v>1382</v>
      </c>
      <c r="D2569" t="s">
        <v>1316</v>
      </c>
      <c r="E2569" t="s">
        <v>688</v>
      </c>
      <c r="F2569" t="s">
        <v>598</v>
      </c>
      <c r="G2569" t="s">
        <v>599</v>
      </c>
      <c r="H2569" t="s">
        <v>600</v>
      </c>
      <c r="I2569" t="s">
        <v>601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</row>
    <row r="2570" spans="1:25" hidden="1">
      <c r="A2570" t="s">
        <v>18811</v>
      </c>
      <c r="B2570" t="s">
        <v>1400</v>
      </c>
      <c r="C2570" t="s">
        <v>1382</v>
      </c>
      <c r="D2570" t="s">
        <v>1316</v>
      </c>
      <c r="E2570" t="s">
        <v>1326</v>
      </c>
      <c r="F2570" t="s">
        <v>598</v>
      </c>
      <c r="G2570" t="s">
        <v>599</v>
      </c>
      <c r="H2570" t="s">
        <v>600</v>
      </c>
      <c r="I2570" t="s">
        <v>601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hidden="1">
      <c r="A2571" t="s">
        <v>18811</v>
      </c>
      <c r="B2571" t="s">
        <v>1404</v>
      </c>
      <c r="C2571" t="s">
        <v>1382</v>
      </c>
      <c r="D2571" t="s">
        <v>1316</v>
      </c>
      <c r="E2571" t="s">
        <v>1318</v>
      </c>
      <c r="F2571" t="s">
        <v>598</v>
      </c>
      <c r="G2571" t="s">
        <v>599</v>
      </c>
      <c r="H2571" t="s">
        <v>600</v>
      </c>
      <c r="I2571" t="s">
        <v>601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hidden="1">
      <c r="A2572" t="s">
        <v>18811</v>
      </c>
      <c r="B2572" t="s">
        <v>1406</v>
      </c>
      <c r="C2572" t="s">
        <v>1382</v>
      </c>
      <c r="D2572" t="s">
        <v>1320</v>
      </c>
      <c r="E2572" t="s">
        <v>688</v>
      </c>
      <c r="F2572" t="s">
        <v>598</v>
      </c>
      <c r="G2572" t="s">
        <v>599</v>
      </c>
      <c r="H2572" t="s">
        <v>600</v>
      </c>
      <c r="I2572" t="s">
        <v>601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hidden="1">
      <c r="A2573" t="s">
        <v>18811</v>
      </c>
      <c r="B2573" t="s">
        <v>1408</v>
      </c>
      <c r="C2573" t="s">
        <v>1382</v>
      </c>
      <c r="D2573" t="s">
        <v>1320</v>
      </c>
      <c r="E2573" t="s">
        <v>1334</v>
      </c>
      <c r="F2573" t="s">
        <v>598</v>
      </c>
      <c r="G2573" t="s">
        <v>599</v>
      </c>
      <c r="H2573" t="s">
        <v>600</v>
      </c>
      <c r="I2573" t="s">
        <v>601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hidden="1">
      <c r="A2574" t="s">
        <v>18811</v>
      </c>
      <c r="B2574" t="s">
        <v>1412</v>
      </c>
      <c r="C2574" t="s">
        <v>1382</v>
      </c>
      <c r="D2574" t="s">
        <v>1320</v>
      </c>
      <c r="E2574" t="s">
        <v>678</v>
      </c>
      <c r="F2574" t="s">
        <v>598</v>
      </c>
      <c r="G2574" t="s">
        <v>599</v>
      </c>
      <c r="H2574" t="s">
        <v>600</v>
      </c>
      <c r="I2574" t="s">
        <v>601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hidden="1">
      <c r="A2575" t="s">
        <v>18811</v>
      </c>
      <c r="B2575" t="s">
        <v>1414</v>
      </c>
      <c r="C2575" t="s">
        <v>1382</v>
      </c>
      <c r="D2575" t="s">
        <v>1324</v>
      </c>
      <c r="E2575" t="s">
        <v>688</v>
      </c>
      <c r="F2575" t="s">
        <v>598</v>
      </c>
      <c r="G2575" t="s">
        <v>599</v>
      </c>
      <c r="H2575" t="s">
        <v>600</v>
      </c>
      <c r="I2575" t="s">
        <v>601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hidden="1">
      <c r="A2576" t="s">
        <v>18811</v>
      </c>
      <c r="B2576" t="s">
        <v>1415</v>
      </c>
      <c r="C2576" t="s">
        <v>1382</v>
      </c>
      <c r="D2576" t="s">
        <v>1324</v>
      </c>
      <c r="E2576" t="s">
        <v>1334</v>
      </c>
      <c r="F2576" t="s">
        <v>598</v>
      </c>
      <c r="G2576" t="s">
        <v>599</v>
      </c>
      <c r="H2576" t="s">
        <v>600</v>
      </c>
      <c r="I2576" t="s">
        <v>601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hidden="1">
      <c r="A2577" t="s">
        <v>18811</v>
      </c>
      <c r="B2577" t="s">
        <v>1416</v>
      </c>
      <c r="C2577" t="s">
        <v>1382</v>
      </c>
      <c r="D2577" t="s">
        <v>1324</v>
      </c>
      <c r="E2577" t="s">
        <v>1417</v>
      </c>
      <c r="F2577" t="s">
        <v>598</v>
      </c>
      <c r="G2577" t="s">
        <v>599</v>
      </c>
      <c r="H2577" t="s">
        <v>600</v>
      </c>
      <c r="I2577" t="s">
        <v>601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hidden="1">
      <c r="A2578" t="s">
        <v>18811</v>
      </c>
      <c r="B2578" t="s">
        <v>1418</v>
      </c>
      <c r="C2578" t="s">
        <v>1382</v>
      </c>
      <c r="D2578" t="s">
        <v>1324</v>
      </c>
      <c r="E2578" t="s">
        <v>1326</v>
      </c>
      <c r="F2578" t="s">
        <v>598</v>
      </c>
      <c r="G2578" t="s">
        <v>599</v>
      </c>
      <c r="H2578" t="s">
        <v>600</v>
      </c>
      <c r="I2578" t="s">
        <v>601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hidden="1">
      <c r="A2579" t="s">
        <v>18811</v>
      </c>
      <c r="B2579" t="s">
        <v>1419</v>
      </c>
      <c r="C2579" t="s">
        <v>1382</v>
      </c>
      <c r="D2579" t="s">
        <v>1324</v>
      </c>
      <c r="E2579" t="s">
        <v>1402</v>
      </c>
      <c r="F2579" t="s">
        <v>598</v>
      </c>
      <c r="G2579" t="s">
        <v>599</v>
      </c>
      <c r="H2579" t="s">
        <v>600</v>
      </c>
      <c r="I2579" t="s">
        <v>601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hidden="1">
      <c r="A2580" t="s">
        <v>18811</v>
      </c>
      <c r="B2580" t="s">
        <v>1421</v>
      </c>
      <c r="C2580" t="s">
        <v>1382</v>
      </c>
      <c r="D2580" t="s">
        <v>1324</v>
      </c>
      <c r="E2580" t="s">
        <v>1318</v>
      </c>
      <c r="F2580" t="s">
        <v>598</v>
      </c>
      <c r="G2580" t="s">
        <v>599</v>
      </c>
      <c r="H2580" t="s">
        <v>600</v>
      </c>
      <c r="I2580" t="s">
        <v>601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hidden="1">
      <c r="A2581" t="s">
        <v>18811</v>
      </c>
      <c r="B2581" t="s">
        <v>1424</v>
      </c>
      <c r="C2581" t="s">
        <v>1382</v>
      </c>
      <c r="D2581" t="s">
        <v>1332</v>
      </c>
      <c r="E2581" t="s">
        <v>688</v>
      </c>
      <c r="F2581" t="s">
        <v>598</v>
      </c>
      <c r="G2581" t="s">
        <v>599</v>
      </c>
      <c r="H2581" t="s">
        <v>600</v>
      </c>
      <c r="I2581" t="s">
        <v>601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hidden="1">
      <c r="A2582" t="s">
        <v>18811</v>
      </c>
      <c r="B2582" t="s">
        <v>1425</v>
      </c>
      <c r="C2582" t="s">
        <v>1382</v>
      </c>
      <c r="D2582" t="s">
        <v>1332</v>
      </c>
      <c r="E2582" t="s">
        <v>1334</v>
      </c>
      <c r="F2582" t="s">
        <v>598</v>
      </c>
      <c r="G2582" t="s">
        <v>599</v>
      </c>
      <c r="H2582" t="s">
        <v>600</v>
      </c>
      <c r="I2582" t="s">
        <v>601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hidden="1">
      <c r="A2583" t="s">
        <v>18811</v>
      </c>
      <c r="B2583" t="s">
        <v>1426</v>
      </c>
      <c r="C2583" t="s">
        <v>1382</v>
      </c>
      <c r="D2583" t="s">
        <v>1332</v>
      </c>
      <c r="E2583" t="s">
        <v>1417</v>
      </c>
      <c r="F2583" t="s">
        <v>598</v>
      </c>
      <c r="G2583" t="s">
        <v>599</v>
      </c>
      <c r="H2583" t="s">
        <v>600</v>
      </c>
      <c r="I2583" t="s">
        <v>601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hidden="1">
      <c r="A2584" t="s">
        <v>18811</v>
      </c>
      <c r="B2584" t="s">
        <v>1427</v>
      </c>
      <c r="C2584" t="s">
        <v>1382</v>
      </c>
      <c r="D2584" t="s">
        <v>1332</v>
      </c>
      <c r="E2584" t="s">
        <v>1326</v>
      </c>
      <c r="F2584" t="s">
        <v>598</v>
      </c>
      <c r="G2584" t="s">
        <v>599</v>
      </c>
      <c r="H2584" t="s">
        <v>600</v>
      </c>
      <c r="I2584" t="s">
        <v>601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hidden="1">
      <c r="A2585" t="s">
        <v>18811</v>
      </c>
      <c r="B2585" t="s">
        <v>1428</v>
      </c>
      <c r="C2585" t="s">
        <v>1382</v>
      </c>
      <c r="D2585" t="s">
        <v>1332</v>
      </c>
      <c r="E2585" t="s">
        <v>1402</v>
      </c>
      <c r="F2585" t="s">
        <v>598</v>
      </c>
      <c r="G2585" t="s">
        <v>599</v>
      </c>
      <c r="H2585" t="s">
        <v>600</v>
      </c>
      <c r="I2585" t="s">
        <v>601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hidden="1">
      <c r="A2586" t="s">
        <v>18811</v>
      </c>
      <c r="B2586" t="s">
        <v>1430</v>
      </c>
      <c r="C2586" t="s">
        <v>1382</v>
      </c>
      <c r="D2586" t="s">
        <v>1332</v>
      </c>
      <c r="E2586" t="s">
        <v>1318</v>
      </c>
      <c r="F2586" t="s">
        <v>598</v>
      </c>
      <c r="G2586" t="s">
        <v>599</v>
      </c>
      <c r="H2586" t="s">
        <v>600</v>
      </c>
      <c r="I2586" t="s">
        <v>601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hidden="1">
      <c r="A2587" t="s">
        <v>18811</v>
      </c>
      <c r="B2587" t="s">
        <v>1431</v>
      </c>
      <c r="C2587" t="s">
        <v>1382</v>
      </c>
      <c r="D2587" t="s">
        <v>1332</v>
      </c>
      <c r="E2587" t="s">
        <v>1028</v>
      </c>
      <c r="F2587" t="s">
        <v>598</v>
      </c>
      <c r="G2587" t="s">
        <v>599</v>
      </c>
      <c r="H2587" t="s">
        <v>600</v>
      </c>
      <c r="I2587" t="s">
        <v>601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hidden="1">
      <c r="A2588" t="s">
        <v>18811</v>
      </c>
      <c r="B2588" t="s">
        <v>1433</v>
      </c>
      <c r="C2588" t="s">
        <v>1382</v>
      </c>
      <c r="D2588" t="s">
        <v>1350</v>
      </c>
      <c r="E2588" t="s">
        <v>672</v>
      </c>
      <c r="F2588" t="s">
        <v>598</v>
      </c>
      <c r="G2588" t="s">
        <v>599</v>
      </c>
      <c r="H2588" t="s">
        <v>600</v>
      </c>
      <c r="I2588" t="s">
        <v>601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hidden="1">
      <c r="A2589" t="s">
        <v>18811</v>
      </c>
      <c r="B2589" t="s">
        <v>1434</v>
      </c>
      <c r="C2589" t="s">
        <v>1382</v>
      </c>
      <c r="D2589" t="s">
        <v>1435</v>
      </c>
      <c r="E2589" t="s">
        <v>973</v>
      </c>
      <c r="F2589" t="s">
        <v>598</v>
      </c>
      <c r="G2589" t="s">
        <v>599</v>
      </c>
      <c r="H2589" t="s">
        <v>600</v>
      </c>
      <c r="I2589" t="s">
        <v>601</v>
      </c>
      <c r="J2589">
        <v>7.7100000000000002E-2</v>
      </c>
      <c r="K2589">
        <v>7.7100000000000002E-2</v>
      </c>
      <c r="L2589">
        <v>7.7100000000000002E-2</v>
      </c>
      <c r="M2589">
        <v>7.7100000000000002E-2</v>
      </c>
      <c r="N2589">
        <v>7.7100000000000002E-2</v>
      </c>
      <c r="O2589">
        <v>7.7100000000000002E-2</v>
      </c>
      <c r="P2589">
        <v>7.7100000000000002E-2</v>
      </c>
      <c r="Q2589">
        <v>7.7100000000000002E-2</v>
      </c>
      <c r="R2589">
        <v>7.7100000000000002E-2</v>
      </c>
      <c r="S2589">
        <v>7.7100000000000002E-2</v>
      </c>
      <c r="T2589">
        <v>7.7100000000000002E-2</v>
      </c>
      <c r="U2589">
        <v>7.7100000000000002E-2</v>
      </c>
      <c r="V2589">
        <v>7.7100000000000002E-2</v>
      </c>
      <c r="W2589">
        <v>7.7100000000000002E-2</v>
      </c>
      <c r="X2589">
        <v>7.7100000000000002E-2</v>
      </c>
      <c r="Y2589">
        <v>7.7100000000000002E-2</v>
      </c>
    </row>
    <row r="2590" spans="1:25" hidden="1">
      <c r="A2590" t="s">
        <v>18811</v>
      </c>
      <c r="B2590" t="s">
        <v>1436</v>
      </c>
      <c r="C2590" t="s">
        <v>1382</v>
      </c>
      <c r="D2590" t="s">
        <v>1354</v>
      </c>
      <c r="E2590" t="s">
        <v>973</v>
      </c>
      <c r="F2590" t="s">
        <v>598</v>
      </c>
      <c r="G2590" t="s">
        <v>599</v>
      </c>
      <c r="H2590" t="s">
        <v>600</v>
      </c>
      <c r="I2590" t="s">
        <v>601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hidden="1">
      <c r="A2591" t="s">
        <v>18811</v>
      </c>
      <c r="B2591" t="s">
        <v>1451</v>
      </c>
      <c r="C2591" t="s">
        <v>1382</v>
      </c>
      <c r="D2591" t="s">
        <v>1365</v>
      </c>
      <c r="E2591" t="s">
        <v>973</v>
      </c>
      <c r="F2591" t="s">
        <v>598</v>
      </c>
      <c r="G2591" t="s">
        <v>599</v>
      </c>
      <c r="H2591" t="s">
        <v>600</v>
      </c>
      <c r="I2591" t="s">
        <v>601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hidden="1">
      <c r="A2592" t="s">
        <v>18811</v>
      </c>
      <c r="B2592" t="s">
        <v>1459</v>
      </c>
      <c r="C2592" t="s">
        <v>1382</v>
      </c>
      <c r="D2592" t="s">
        <v>648</v>
      </c>
      <c r="E2592" t="s">
        <v>920</v>
      </c>
      <c r="F2592" t="s">
        <v>598</v>
      </c>
      <c r="G2592" t="s">
        <v>599</v>
      </c>
      <c r="H2592" t="s">
        <v>600</v>
      </c>
      <c r="I2592" t="s">
        <v>601</v>
      </c>
      <c r="J2592">
        <v>6.4999999999999997E-3</v>
      </c>
      <c r="K2592">
        <v>6.4999999999999997E-3</v>
      </c>
      <c r="L2592">
        <v>6.4999999999999997E-3</v>
      </c>
      <c r="M2592">
        <v>6.4999999999999997E-3</v>
      </c>
      <c r="N2592">
        <v>6.4999999999999997E-3</v>
      </c>
      <c r="O2592">
        <v>6.4999999999999997E-3</v>
      </c>
      <c r="P2592">
        <v>6.4999999999999997E-3</v>
      </c>
      <c r="Q2592">
        <v>6.4999999999999997E-3</v>
      </c>
      <c r="R2592">
        <v>6.4999999999999997E-3</v>
      </c>
      <c r="S2592">
        <v>6.4999999999999997E-3</v>
      </c>
      <c r="T2592">
        <v>6.4999999999999997E-3</v>
      </c>
      <c r="U2592">
        <v>6.4999999999999997E-3</v>
      </c>
      <c r="V2592">
        <v>6.4999999999999997E-3</v>
      </c>
      <c r="W2592">
        <v>6.4999999999999997E-3</v>
      </c>
      <c r="X2592">
        <v>6.4999999999999997E-3</v>
      </c>
      <c r="Y2592">
        <v>6.4999999999999997E-3</v>
      </c>
    </row>
    <row r="2593" spans="1:25" hidden="1">
      <c r="A2593" t="s">
        <v>18811</v>
      </c>
      <c r="B2593" t="s">
        <v>1460</v>
      </c>
      <c r="C2593" t="s">
        <v>1382</v>
      </c>
      <c r="D2593" t="s">
        <v>648</v>
      </c>
      <c r="E2593" t="s">
        <v>973</v>
      </c>
      <c r="F2593" t="s">
        <v>598</v>
      </c>
      <c r="G2593" t="s">
        <v>599</v>
      </c>
      <c r="H2593" t="s">
        <v>600</v>
      </c>
      <c r="I2593" t="s">
        <v>601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hidden="1">
      <c r="A2594" t="s">
        <v>18811</v>
      </c>
      <c r="B2594" t="s">
        <v>1461</v>
      </c>
      <c r="C2594" t="s">
        <v>1382</v>
      </c>
      <c r="D2594" t="s">
        <v>648</v>
      </c>
      <c r="E2594" t="s">
        <v>642</v>
      </c>
      <c r="F2594" t="s">
        <v>598</v>
      </c>
      <c r="G2594" t="s">
        <v>599</v>
      </c>
      <c r="H2594" t="s">
        <v>600</v>
      </c>
      <c r="I2594" t="s">
        <v>601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hidden="1">
      <c r="A2595" t="s">
        <v>18811</v>
      </c>
      <c r="B2595" t="s">
        <v>1463</v>
      </c>
      <c r="C2595" t="s">
        <v>1382</v>
      </c>
      <c r="D2595" t="s">
        <v>648</v>
      </c>
      <c r="E2595" t="s">
        <v>1464</v>
      </c>
      <c r="F2595" t="s">
        <v>598</v>
      </c>
      <c r="G2595" t="s">
        <v>599</v>
      </c>
      <c r="H2595" t="s">
        <v>600</v>
      </c>
      <c r="I2595" t="s">
        <v>601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hidden="1">
      <c r="A2596" t="s">
        <v>18811</v>
      </c>
      <c r="B2596" t="s">
        <v>1466</v>
      </c>
      <c r="C2596" t="s">
        <v>1382</v>
      </c>
      <c r="D2596" t="s">
        <v>648</v>
      </c>
      <c r="E2596" t="s">
        <v>1467</v>
      </c>
      <c r="F2596" t="s">
        <v>598</v>
      </c>
      <c r="G2596" t="s">
        <v>599</v>
      </c>
      <c r="H2596" t="s">
        <v>600</v>
      </c>
      <c r="I2596" t="s">
        <v>601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hidden="1">
      <c r="A2597" t="s">
        <v>18811</v>
      </c>
      <c r="B2597" t="s">
        <v>1471</v>
      </c>
      <c r="C2597" t="s">
        <v>1472</v>
      </c>
      <c r="D2597" t="s">
        <v>1274</v>
      </c>
      <c r="E2597" t="s">
        <v>973</v>
      </c>
      <c r="F2597" t="s">
        <v>598</v>
      </c>
      <c r="G2597" t="s">
        <v>599</v>
      </c>
      <c r="H2597" t="s">
        <v>600</v>
      </c>
      <c r="I2597" t="s">
        <v>601</v>
      </c>
      <c r="J2597">
        <v>2.9999999999999997E-4</v>
      </c>
      <c r="K2597">
        <v>2.9999999999999997E-4</v>
      </c>
      <c r="L2597">
        <v>2.9999999999999997E-4</v>
      </c>
      <c r="M2597">
        <v>2.9999999999999997E-4</v>
      </c>
      <c r="N2597">
        <v>2.9999999999999997E-4</v>
      </c>
      <c r="O2597">
        <v>2.9999999999999997E-4</v>
      </c>
      <c r="P2597">
        <v>2.9999999999999997E-4</v>
      </c>
      <c r="Q2597">
        <v>2.9999999999999997E-4</v>
      </c>
      <c r="R2597">
        <v>2.0000000000000001E-4</v>
      </c>
      <c r="S2597">
        <v>2.0000000000000001E-4</v>
      </c>
      <c r="T2597">
        <v>2.0000000000000001E-4</v>
      </c>
      <c r="U2597">
        <v>2.0000000000000001E-4</v>
      </c>
      <c r="V2597">
        <v>2.0000000000000001E-4</v>
      </c>
      <c r="W2597">
        <v>2.0000000000000001E-4</v>
      </c>
      <c r="X2597">
        <v>2.0000000000000001E-4</v>
      </c>
      <c r="Y2597">
        <v>2.0000000000000001E-4</v>
      </c>
    </row>
    <row r="2598" spans="1:25" hidden="1">
      <c r="A2598" t="s">
        <v>18811</v>
      </c>
      <c r="B2598" t="s">
        <v>1474</v>
      </c>
      <c r="C2598" t="s">
        <v>1472</v>
      </c>
      <c r="D2598" t="s">
        <v>1274</v>
      </c>
      <c r="E2598" t="s">
        <v>678</v>
      </c>
      <c r="F2598" t="s">
        <v>598</v>
      </c>
      <c r="G2598" t="s">
        <v>599</v>
      </c>
      <c r="H2598" t="s">
        <v>600</v>
      </c>
      <c r="I2598" t="s">
        <v>601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</row>
    <row r="2599" spans="1:25" hidden="1">
      <c r="A2599" t="s">
        <v>18811</v>
      </c>
      <c r="B2599" t="s">
        <v>1475</v>
      </c>
      <c r="C2599" t="s">
        <v>1472</v>
      </c>
      <c r="D2599" t="s">
        <v>1281</v>
      </c>
      <c r="E2599" t="s">
        <v>678</v>
      </c>
      <c r="F2599" t="s">
        <v>598</v>
      </c>
      <c r="G2599" t="s">
        <v>599</v>
      </c>
      <c r="H2599" t="s">
        <v>600</v>
      </c>
      <c r="I2599" t="s">
        <v>601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hidden="1">
      <c r="A2600" t="s">
        <v>18811</v>
      </c>
      <c r="B2600" t="s">
        <v>1476</v>
      </c>
      <c r="C2600" t="s">
        <v>1472</v>
      </c>
      <c r="D2600" t="s">
        <v>1285</v>
      </c>
      <c r="E2600" t="s">
        <v>678</v>
      </c>
      <c r="F2600" t="s">
        <v>598</v>
      </c>
      <c r="G2600" t="s">
        <v>599</v>
      </c>
      <c r="H2600" t="s">
        <v>600</v>
      </c>
      <c r="I2600" t="s">
        <v>601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hidden="1">
      <c r="A2601" t="s">
        <v>18811</v>
      </c>
      <c r="B2601" t="s">
        <v>1478</v>
      </c>
      <c r="C2601" t="s">
        <v>1472</v>
      </c>
      <c r="D2601" t="s">
        <v>1305</v>
      </c>
      <c r="E2601" t="s">
        <v>973</v>
      </c>
      <c r="F2601" t="s">
        <v>598</v>
      </c>
      <c r="G2601" t="s">
        <v>599</v>
      </c>
      <c r="H2601" t="s">
        <v>600</v>
      </c>
      <c r="I2601" t="s">
        <v>601</v>
      </c>
      <c r="J2601">
        <v>1.5E-3</v>
      </c>
      <c r="K2601">
        <v>1.5E-3</v>
      </c>
      <c r="L2601">
        <v>1.5E-3</v>
      </c>
      <c r="M2601">
        <v>1.5E-3</v>
      </c>
      <c r="N2601">
        <v>1.5E-3</v>
      </c>
      <c r="O2601">
        <v>1.5E-3</v>
      </c>
      <c r="P2601">
        <v>1.5E-3</v>
      </c>
      <c r="Q2601">
        <v>1.5E-3</v>
      </c>
      <c r="R2601">
        <v>1.5E-3</v>
      </c>
      <c r="S2601">
        <v>1.5E-3</v>
      </c>
      <c r="T2601">
        <v>1.4E-3</v>
      </c>
      <c r="U2601">
        <v>1.4E-3</v>
      </c>
      <c r="V2601">
        <v>1.4E-3</v>
      </c>
      <c r="W2601">
        <v>1.4E-3</v>
      </c>
      <c r="X2601">
        <v>1.4E-3</v>
      </c>
      <c r="Y2601">
        <v>1.4E-3</v>
      </c>
    </row>
    <row r="2602" spans="1:25" hidden="1">
      <c r="A2602" t="s">
        <v>18811</v>
      </c>
      <c r="B2602" t="s">
        <v>1480</v>
      </c>
      <c r="C2602" t="s">
        <v>1472</v>
      </c>
      <c r="D2602" t="s">
        <v>1305</v>
      </c>
      <c r="E2602" t="s">
        <v>678</v>
      </c>
      <c r="F2602" t="s">
        <v>598</v>
      </c>
      <c r="G2602" t="s">
        <v>599</v>
      </c>
      <c r="H2602" t="s">
        <v>600</v>
      </c>
      <c r="I2602" t="s">
        <v>601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hidden="1">
      <c r="A2603" t="s">
        <v>18811</v>
      </c>
      <c r="B2603" t="s">
        <v>1482</v>
      </c>
      <c r="C2603" t="s">
        <v>1472</v>
      </c>
      <c r="D2603" t="s">
        <v>1483</v>
      </c>
      <c r="E2603" t="s">
        <v>597</v>
      </c>
      <c r="F2603" t="s">
        <v>598</v>
      </c>
      <c r="G2603" t="s">
        <v>599</v>
      </c>
      <c r="H2603" t="s">
        <v>600</v>
      </c>
      <c r="I2603" t="s">
        <v>601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hidden="1">
      <c r="A2604" t="s">
        <v>18811</v>
      </c>
      <c r="B2604" t="s">
        <v>1486</v>
      </c>
      <c r="C2604" t="s">
        <v>1472</v>
      </c>
      <c r="D2604" t="s">
        <v>1311</v>
      </c>
      <c r="E2604" t="s">
        <v>973</v>
      </c>
      <c r="F2604" t="s">
        <v>598</v>
      </c>
      <c r="G2604" t="s">
        <v>599</v>
      </c>
      <c r="H2604" t="s">
        <v>600</v>
      </c>
      <c r="I2604" t="s">
        <v>601</v>
      </c>
      <c r="J2604">
        <v>4.0000000000000002E-4</v>
      </c>
      <c r="K2604">
        <v>4.0000000000000002E-4</v>
      </c>
      <c r="L2604">
        <v>4.0000000000000002E-4</v>
      </c>
      <c r="M2604">
        <v>4.0000000000000002E-4</v>
      </c>
      <c r="N2604">
        <v>4.0000000000000002E-4</v>
      </c>
      <c r="O2604">
        <v>4.0000000000000002E-4</v>
      </c>
      <c r="P2604">
        <v>4.0000000000000002E-4</v>
      </c>
      <c r="Q2604">
        <v>4.0000000000000002E-4</v>
      </c>
      <c r="R2604">
        <v>4.0000000000000002E-4</v>
      </c>
      <c r="S2604">
        <v>4.0000000000000002E-4</v>
      </c>
      <c r="T2604">
        <v>4.0000000000000002E-4</v>
      </c>
      <c r="U2604">
        <v>4.0000000000000002E-4</v>
      </c>
      <c r="V2604">
        <v>4.0000000000000002E-4</v>
      </c>
      <c r="W2604">
        <v>4.0000000000000002E-4</v>
      </c>
      <c r="X2604">
        <v>4.0000000000000002E-4</v>
      </c>
      <c r="Y2604">
        <v>4.0000000000000002E-4</v>
      </c>
    </row>
    <row r="2605" spans="1:25" hidden="1">
      <c r="A2605" t="s">
        <v>18811</v>
      </c>
      <c r="B2605" t="s">
        <v>1489</v>
      </c>
      <c r="C2605" t="s">
        <v>1472</v>
      </c>
      <c r="D2605" t="s">
        <v>1392</v>
      </c>
      <c r="E2605" t="s">
        <v>1402</v>
      </c>
      <c r="F2605" t="s">
        <v>598</v>
      </c>
      <c r="G2605" t="s">
        <v>599</v>
      </c>
      <c r="H2605" t="s">
        <v>600</v>
      </c>
      <c r="I2605" t="s">
        <v>601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</row>
    <row r="2606" spans="1:25" hidden="1">
      <c r="A2606" t="s">
        <v>18811</v>
      </c>
      <c r="B2606" t="s">
        <v>1499</v>
      </c>
      <c r="C2606" t="s">
        <v>1472</v>
      </c>
      <c r="D2606" t="s">
        <v>1316</v>
      </c>
      <c r="E2606" t="s">
        <v>892</v>
      </c>
      <c r="F2606" t="s">
        <v>598</v>
      </c>
      <c r="G2606" t="s">
        <v>599</v>
      </c>
      <c r="H2606" t="s">
        <v>600</v>
      </c>
      <c r="I2606" t="s">
        <v>601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hidden="1">
      <c r="A2607" t="s">
        <v>18811</v>
      </c>
      <c r="B2607" t="s">
        <v>1500</v>
      </c>
      <c r="C2607" t="s">
        <v>1472</v>
      </c>
      <c r="D2607" t="s">
        <v>1316</v>
      </c>
      <c r="E2607" t="s">
        <v>678</v>
      </c>
      <c r="F2607" t="s">
        <v>598</v>
      </c>
      <c r="G2607" t="s">
        <v>599</v>
      </c>
      <c r="H2607" t="s">
        <v>600</v>
      </c>
      <c r="I2607" t="s">
        <v>601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hidden="1">
      <c r="A2608" t="s">
        <v>18811</v>
      </c>
      <c r="B2608" t="s">
        <v>1501</v>
      </c>
      <c r="C2608" t="s">
        <v>1472</v>
      </c>
      <c r="D2608" t="s">
        <v>1316</v>
      </c>
      <c r="E2608" t="s">
        <v>1318</v>
      </c>
      <c r="F2608" t="s">
        <v>598</v>
      </c>
      <c r="G2608" t="s">
        <v>599</v>
      </c>
      <c r="H2608" t="s">
        <v>600</v>
      </c>
      <c r="I2608" t="s">
        <v>601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hidden="1">
      <c r="A2609" t="s">
        <v>18811</v>
      </c>
      <c r="B2609" t="s">
        <v>1503</v>
      </c>
      <c r="C2609" t="s">
        <v>1472</v>
      </c>
      <c r="D2609" t="s">
        <v>1320</v>
      </c>
      <c r="E2609" t="s">
        <v>688</v>
      </c>
      <c r="F2609" t="s">
        <v>598</v>
      </c>
      <c r="G2609" t="s">
        <v>599</v>
      </c>
      <c r="H2609" t="s">
        <v>600</v>
      </c>
      <c r="I2609" t="s">
        <v>601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hidden="1">
      <c r="A2610" t="s">
        <v>18811</v>
      </c>
      <c r="B2610" t="s">
        <v>1507</v>
      </c>
      <c r="C2610" t="s">
        <v>1472</v>
      </c>
      <c r="D2610" t="s">
        <v>1320</v>
      </c>
      <c r="E2610" t="s">
        <v>892</v>
      </c>
      <c r="F2610" t="s">
        <v>598</v>
      </c>
      <c r="G2610" t="s">
        <v>599</v>
      </c>
      <c r="H2610" t="s">
        <v>600</v>
      </c>
      <c r="I2610" t="s">
        <v>601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hidden="1">
      <c r="A2611" t="s">
        <v>18811</v>
      </c>
      <c r="B2611" t="s">
        <v>1509</v>
      </c>
      <c r="C2611" t="s">
        <v>1472</v>
      </c>
      <c r="D2611" t="s">
        <v>1320</v>
      </c>
      <c r="E2611" t="s">
        <v>678</v>
      </c>
      <c r="F2611" t="s">
        <v>598</v>
      </c>
      <c r="G2611" t="s">
        <v>599</v>
      </c>
      <c r="H2611" t="s">
        <v>600</v>
      </c>
      <c r="I2611" t="s">
        <v>601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hidden="1">
      <c r="A2612" t="s">
        <v>18811</v>
      </c>
      <c r="B2612" t="s">
        <v>1513</v>
      </c>
      <c r="C2612" t="s">
        <v>1472</v>
      </c>
      <c r="D2612" t="s">
        <v>1324</v>
      </c>
      <c r="E2612" t="s">
        <v>688</v>
      </c>
      <c r="F2612" t="s">
        <v>598</v>
      </c>
      <c r="G2612" t="s">
        <v>599</v>
      </c>
      <c r="H2612" t="s">
        <v>600</v>
      </c>
      <c r="I2612" t="s">
        <v>601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hidden="1">
      <c r="A2613" t="s">
        <v>18811</v>
      </c>
      <c r="B2613" t="s">
        <v>1514</v>
      </c>
      <c r="C2613" t="s">
        <v>1472</v>
      </c>
      <c r="D2613" t="s">
        <v>1324</v>
      </c>
      <c r="E2613" t="s">
        <v>1334</v>
      </c>
      <c r="F2613" t="s">
        <v>598</v>
      </c>
      <c r="G2613" t="s">
        <v>599</v>
      </c>
      <c r="H2613" t="s">
        <v>600</v>
      </c>
      <c r="I2613" t="s">
        <v>601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hidden="1">
      <c r="A2614" t="s">
        <v>18811</v>
      </c>
      <c r="B2614" t="s">
        <v>1516</v>
      </c>
      <c r="C2614" t="s">
        <v>1472</v>
      </c>
      <c r="D2614" t="s">
        <v>1324</v>
      </c>
      <c r="E2614" t="s">
        <v>1417</v>
      </c>
      <c r="F2614" t="s">
        <v>598</v>
      </c>
      <c r="G2614" t="s">
        <v>599</v>
      </c>
      <c r="H2614" t="s">
        <v>600</v>
      </c>
      <c r="I2614" t="s">
        <v>601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hidden="1">
      <c r="A2615" t="s">
        <v>18811</v>
      </c>
      <c r="B2615" t="s">
        <v>1520</v>
      </c>
      <c r="C2615" t="s">
        <v>1472</v>
      </c>
      <c r="D2615" t="s">
        <v>1324</v>
      </c>
      <c r="E2615" t="s">
        <v>1402</v>
      </c>
      <c r="F2615" t="s">
        <v>598</v>
      </c>
      <c r="G2615" t="s">
        <v>599</v>
      </c>
      <c r="H2615" t="s">
        <v>600</v>
      </c>
      <c r="I2615" t="s">
        <v>601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hidden="1">
      <c r="A2616" t="s">
        <v>18811</v>
      </c>
      <c r="B2616" t="s">
        <v>1521</v>
      </c>
      <c r="C2616" t="s">
        <v>1472</v>
      </c>
      <c r="D2616" t="s">
        <v>1324</v>
      </c>
      <c r="E2616" t="s">
        <v>892</v>
      </c>
      <c r="F2616" t="s">
        <v>598</v>
      </c>
      <c r="G2616" t="s">
        <v>599</v>
      </c>
      <c r="H2616" t="s">
        <v>600</v>
      </c>
      <c r="I2616" t="s">
        <v>601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hidden="1">
      <c r="A2617" t="s">
        <v>18811</v>
      </c>
      <c r="B2617" t="s">
        <v>1523</v>
      </c>
      <c r="C2617" t="s">
        <v>1472</v>
      </c>
      <c r="D2617" t="s">
        <v>1324</v>
      </c>
      <c r="E2617" t="s">
        <v>678</v>
      </c>
      <c r="F2617" t="s">
        <v>598</v>
      </c>
      <c r="G2617" t="s">
        <v>599</v>
      </c>
      <c r="H2617" t="s">
        <v>600</v>
      </c>
      <c r="I2617" t="s">
        <v>601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hidden="1">
      <c r="A2618" t="s">
        <v>18811</v>
      </c>
      <c r="B2618" t="s">
        <v>1525</v>
      </c>
      <c r="C2618" t="s">
        <v>1472</v>
      </c>
      <c r="D2618" t="s">
        <v>1324</v>
      </c>
      <c r="E2618" t="s">
        <v>954</v>
      </c>
      <c r="F2618" t="s">
        <v>598</v>
      </c>
      <c r="G2618" t="s">
        <v>599</v>
      </c>
      <c r="H2618" t="s">
        <v>600</v>
      </c>
      <c r="I2618" t="s">
        <v>601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hidden="1">
      <c r="A2619" t="s">
        <v>18811</v>
      </c>
      <c r="B2619" t="s">
        <v>1526</v>
      </c>
      <c r="C2619" t="s">
        <v>1472</v>
      </c>
      <c r="D2619" t="s">
        <v>1332</v>
      </c>
      <c r="E2619" t="s">
        <v>688</v>
      </c>
      <c r="F2619" t="s">
        <v>598</v>
      </c>
      <c r="G2619" t="s">
        <v>599</v>
      </c>
      <c r="H2619" t="s">
        <v>600</v>
      </c>
      <c r="I2619" t="s">
        <v>601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hidden="1">
      <c r="A2620" t="s">
        <v>18811</v>
      </c>
      <c r="B2620" t="s">
        <v>1527</v>
      </c>
      <c r="C2620" t="s">
        <v>1472</v>
      </c>
      <c r="D2620" t="s">
        <v>1332</v>
      </c>
      <c r="E2620" t="s">
        <v>1334</v>
      </c>
      <c r="F2620" t="s">
        <v>598</v>
      </c>
      <c r="G2620" t="s">
        <v>599</v>
      </c>
      <c r="H2620" t="s">
        <v>600</v>
      </c>
      <c r="I2620" t="s">
        <v>601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hidden="1">
      <c r="A2621" t="s">
        <v>18811</v>
      </c>
      <c r="B2621" t="s">
        <v>1534</v>
      </c>
      <c r="C2621" t="s">
        <v>1472</v>
      </c>
      <c r="D2621" t="s">
        <v>1332</v>
      </c>
      <c r="E2621" t="s">
        <v>1402</v>
      </c>
      <c r="F2621" t="s">
        <v>598</v>
      </c>
      <c r="G2621" t="s">
        <v>599</v>
      </c>
      <c r="H2621" t="s">
        <v>600</v>
      </c>
      <c r="I2621" t="s">
        <v>601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hidden="1">
      <c r="A2622" t="s">
        <v>18811</v>
      </c>
      <c r="B2622" t="s">
        <v>1537</v>
      </c>
      <c r="C2622" t="s">
        <v>1472</v>
      </c>
      <c r="D2622" t="s">
        <v>1332</v>
      </c>
      <c r="E2622" t="s">
        <v>678</v>
      </c>
      <c r="F2622" t="s">
        <v>598</v>
      </c>
      <c r="G2622" t="s">
        <v>599</v>
      </c>
      <c r="H2622" t="s">
        <v>600</v>
      </c>
      <c r="I2622" t="s">
        <v>601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hidden="1">
      <c r="A2623" t="s">
        <v>18811</v>
      </c>
      <c r="B2623" t="s">
        <v>1538</v>
      </c>
      <c r="C2623" t="s">
        <v>1472</v>
      </c>
      <c r="D2623" t="s">
        <v>1332</v>
      </c>
      <c r="E2623" t="s">
        <v>1318</v>
      </c>
      <c r="F2623" t="s">
        <v>598</v>
      </c>
      <c r="G2623" t="s">
        <v>599</v>
      </c>
      <c r="H2623" t="s">
        <v>600</v>
      </c>
      <c r="I2623" t="s">
        <v>601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hidden="1">
      <c r="A2624" t="s">
        <v>18811</v>
      </c>
      <c r="B2624" t="s">
        <v>1539</v>
      </c>
      <c r="C2624" t="s">
        <v>1472</v>
      </c>
      <c r="D2624" t="s">
        <v>1348</v>
      </c>
      <c r="E2624" t="s">
        <v>688</v>
      </c>
      <c r="F2624" t="s">
        <v>598</v>
      </c>
      <c r="G2624" t="s">
        <v>599</v>
      </c>
      <c r="H2624" t="s">
        <v>600</v>
      </c>
      <c r="I2624" t="s">
        <v>601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hidden="1">
      <c r="A2625" t="s">
        <v>18811</v>
      </c>
      <c r="B2625" t="s">
        <v>1540</v>
      </c>
      <c r="C2625" t="s">
        <v>1472</v>
      </c>
      <c r="D2625" t="s">
        <v>1348</v>
      </c>
      <c r="E2625" t="s">
        <v>1334</v>
      </c>
      <c r="F2625" t="s">
        <v>598</v>
      </c>
      <c r="G2625" t="s">
        <v>599</v>
      </c>
      <c r="H2625" t="s">
        <v>600</v>
      </c>
      <c r="I2625" t="s">
        <v>601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hidden="1">
      <c r="A2626" t="s">
        <v>18811</v>
      </c>
      <c r="B2626" t="s">
        <v>1566</v>
      </c>
      <c r="C2626" t="s">
        <v>1472</v>
      </c>
      <c r="D2626" t="s">
        <v>1567</v>
      </c>
      <c r="E2626" t="s">
        <v>626</v>
      </c>
      <c r="F2626" t="s">
        <v>598</v>
      </c>
      <c r="G2626" t="s">
        <v>599</v>
      </c>
      <c r="H2626" t="s">
        <v>600</v>
      </c>
      <c r="I2626" t="s">
        <v>601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hidden="1">
      <c r="A2627" t="s">
        <v>18811</v>
      </c>
      <c r="B2627" t="s">
        <v>1568</v>
      </c>
      <c r="C2627" t="s">
        <v>1472</v>
      </c>
      <c r="D2627" t="s">
        <v>1569</v>
      </c>
      <c r="E2627" t="s">
        <v>626</v>
      </c>
      <c r="F2627" t="s">
        <v>598</v>
      </c>
      <c r="G2627" t="s">
        <v>599</v>
      </c>
      <c r="H2627" t="s">
        <v>600</v>
      </c>
      <c r="I2627" t="s">
        <v>601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hidden="1">
      <c r="A2628" t="s">
        <v>18811</v>
      </c>
      <c r="B2628" t="s">
        <v>1570</v>
      </c>
      <c r="C2628" t="s">
        <v>1472</v>
      </c>
      <c r="D2628" t="s">
        <v>1571</v>
      </c>
      <c r="E2628" t="s">
        <v>626</v>
      </c>
      <c r="F2628" t="s">
        <v>598</v>
      </c>
      <c r="G2628" t="s">
        <v>599</v>
      </c>
      <c r="H2628" t="s">
        <v>600</v>
      </c>
      <c r="I2628" t="s">
        <v>601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hidden="1">
      <c r="A2629" t="s">
        <v>18811</v>
      </c>
      <c r="B2629" t="s">
        <v>1573</v>
      </c>
      <c r="C2629" t="s">
        <v>1472</v>
      </c>
      <c r="D2629" t="s">
        <v>1574</v>
      </c>
      <c r="E2629" t="s">
        <v>626</v>
      </c>
      <c r="F2629" t="s">
        <v>598</v>
      </c>
      <c r="G2629" t="s">
        <v>599</v>
      </c>
      <c r="H2629" t="s">
        <v>600</v>
      </c>
      <c r="I2629" t="s">
        <v>601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hidden="1">
      <c r="A2630" t="s">
        <v>18811</v>
      </c>
      <c r="B2630" t="s">
        <v>1575</v>
      </c>
      <c r="C2630" t="s">
        <v>1472</v>
      </c>
      <c r="D2630" t="s">
        <v>1576</v>
      </c>
      <c r="E2630" t="s">
        <v>626</v>
      </c>
      <c r="F2630" t="s">
        <v>598</v>
      </c>
      <c r="G2630" t="s">
        <v>599</v>
      </c>
      <c r="H2630" t="s">
        <v>600</v>
      </c>
      <c r="I2630" t="s">
        <v>601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</row>
    <row r="2631" spans="1:25" hidden="1">
      <c r="A2631" t="s">
        <v>18811</v>
      </c>
      <c r="B2631" t="s">
        <v>1577</v>
      </c>
      <c r="C2631" t="s">
        <v>1472</v>
      </c>
      <c r="D2631" t="s">
        <v>1578</v>
      </c>
      <c r="E2631" t="s">
        <v>626</v>
      </c>
      <c r="F2631" t="s">
        <v>598</v>
      </c>
      <c r="G2631" t="s">
        <v>599</v>
      </c>
      <c r="H2631" t="s">
        <v>600</v>
      </c>
      <c r="I2631" t="s">
        <v>601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hidden="1">
      <c r="A2632" t="s">
        <v>18811</v>
      </c>
      <c r="B2632" t="s">
        <v>1579</v>
      </c>
      <c r="C2632" t="s">
        <v>1472</v>
      </c>
      <c r="D2632" t="s">
        <v>1578</v>
      </c>
      <c r="E2632" t="s">
        <v>1334</v>
      </c>
      <c r="F2632" t="s">
        <v>598</v>
      </c>
      <c r="G2632" t="s">
        <v>599</v>
      </c>
      <c r="H2632" t="s">
        <v>600</v>
      </c>
      <c r="I2632" t="s">
        <v>601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hidden="1">
      <c r="A2633" t="s">
        <v>18811</v>
      </c>
      <c r="B2633" t="s">
        <v>1580</v>
      </c>
      <c r="C2633" t="s">
        <v>1472</v>
      </c>
      <c r="D2633" t="s">
        <v>1578</v>
      </c>
      <c r="E2633" t="s">
        <v>1399</v>
      </c>
      <c r="F2633" t="s">
        <v>598</v>
      </c>
      <c r="G2633" t="s">
        <v>599</v>
      </c>
      <c r="H2633" t="s">
        <v>600</v>
      </c>
      <c r="I2633" t="s">
        <v>601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hidden="1">
      <c r="A2634" t="s">
        <v>18811</v>
      </c>
      <c r="B2634" t="s">
        <v>1582</v>
      </c>
      <c r="C2634" t="s">
        <v>1472</v>
      </c>
      <c r="D2634" t="s">
        <v>1583</v>
      </c>
      <c r="E2634" t="s">
        <v>626</v>
      </c>
      <c r="F2634" t="s">
        <v>598</v>
      </c>
      <c r="G2634" t="s">
        <v>599</v>
      </c>
      <c r="H2634" t="s">
        <v>600</v>
      </c>
      <c r="I2634" t="s">
        <v>601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hidden="1">
      <c r="A2635" t="s">
        <v>18811</v>
      </c>
      <c r="B2635" t="s">
        <v>1584</v>
      </c>
      <c r="C2635" t="s">
        <v>1472</v>
      </c>
      <c r="D2635" t="s">
        <v>1583</v>
      </c>
      <c r="E2635" t="s">
        <v>1334</v>
      </c>
      <c r="F2635" t="s">
        <v>598</v>
      </c>
      <c r="G2635" t="s">
        <v>599</v>
      </c>
      <c r="H2635" t="s">
        <v>600</v>
      </c>
      <c r="I2635" t="s">
        <v>601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hidden="1">
      <c r="A2636" t="s">
        <v>18811</v>
      </c>
      <c r="B2636" t="s">
        <v>1585</v>
      </c>
      <c r="C2636" t="s">
        <v>1472</v>
      </c>
      <c r="D2636" t="s">
        <v>1583</v>
      </c>
      <c r="E2636" t="s">
        <v>1399</v>
      </c>
      <c r="F2636" t="s">
        <v>598</v>
      </c>
      <c r="G2636" t="s">
        <v>599</v>
      </c>
      <c r="H2636" t="s">
        <v>600</v>
      </c>
      <c r="I2636" t="s">
        <v>601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hidden="1">
      <c r="A2637" t="s">
        <v>18811</v>
      </c>
      <c r="B2637" t="s">
        <v>1589</v>
      </c>
      <c r="C2637" t="s">
        <v>1472</v>
      </c>
      <c r="D2637" t="s">
        <v>1365</v>
      </c>
      <c r="E2637" t="s">
        <v>973</v>
      </c>
      <c r="F2637" t="s">
        <v>598</v>
      </c>
      <c r="G2637" t="s">
        <v>599</v>
      </c>
      <c r="H2637" t="s">
        <v>600</v>
      </c>
      <c r="I2637" t="s">
        <v>601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hidden="1">
      <c r="A2638" t="s">
        <v>18811</v>
      </c>
      <c r="B2638" t="s">
        <v>1590</v>
      </c>
      <c r="C2638" t="s">
        <v>1472</v>
      </c>
      <c r="D2638" t="s">
        <v>1365</v>
      </c>
      <c r="E2638" t="s">
        <v>626</v>
      </c>
      <c r="F2638" t="s">
        <v>598</v>
      </c>
      <c r="G2638" t="s">
        <v>599</v>
      </c>
      <c r="H2638" t="s">
        <v>600</v>
      </c>
      <c r="I2638" t="s">
        <v>601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hidden="1">
      <c r="A2639" t="s">
        <v>18811</v>
      </c>
      <c r="B2639" t="s">
        <v>1593</v>
      </c>
      <c r="C2639" t="s">
        <v>1472</v>
      </c>
      <c r="D2639" t="s">
        <v>1365</v>
      </c>
      <c r="E2639" t="s">
        <v>781</v>
      </c>
      <c r="F2639" t="s">
        <v>598</v>
      </c>
      <c r="G2639" t="s">
        <v>599</v>
      </c>
      <c r="H2639" t="s">
        <v>600</v>
      </c>
      <c r="I2639" t="s">
        <v>601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hidden="1">
      <c r="A2640" t="s">
        <v>18811</v>
      </c>
      <c r="B2640" t="s">
        <v>1594</v>
      </c>
      <c r="C2640" t="s">
        <v>1472</v>
      </c>
      <c r="D2640" t="s">
        <v>1365</v>
      </c>
      <c r="E2640" t="s">
        <v>678</v>
      </c>
      <c r="F2640" t="s">
        <v>598</v>
      </c>
      <c r="G2640" t="s">
        <v>599</v>
      </c>
      <c r="H2640" t="s">
        <v>600</v>
      </c>
      <c r="I2640" t="s">
        <v>601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hidden="1">
      <c r="A2641" t="s">
        <v>18811</v>
      </c>
      <c r="B2641" t="s">
        <v>1600</v>
      </c>
      <c r="C2641" t="s">
        <v>1472</v>
      </c>
      <c r="D2641" t="s">
        <v>1601</v>
      </c>
      <c r="E2641" t="s">
        <v>626</v>
      </c>
      <c r="F2641" t="s">
        <v>598</v>
      </c>
      <c r="G2641" t="s">
        <v>599</v>
      </c>
      <c r="H2641" t="s">
        <v>600</v>
      </c>
      <c r="I2641" t="s">
        <v>601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hidden="1">
      <c r="A2642" t="s">
        <v>18811</v>
      </c>
      <c r="B2642" t="s">
        <v>1602</v>
      </c>
      <c r="C2642" t="s">
        <v>1472</v>
      </c>
      <c r="D2642" t="s">
        <v>1603</v>
      </c>
      <c r="E2642" t="s">
        <v>626</v>
      </c>
      <c r="F2642" t="s">
        <v>598</v>
      </c>
      <c r="G2642" t="s">
        <v>599</v>
      </c>
      <c r="H2642" t="s">
        <v>600</v>
      </c>
      <c r="I2642" t="s">
        <v>601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hidden="1">
      <c r="A2643" t="s">
        <v>18811</v>
      </c>
      <c r="B2643" t="s">
        <v>1604</v>
      </c>
      <c r="C2643" t="s">
        <v>1472</v>
      </c>
      <c r="D2643" t="s">
        <v>1605</v>
      </c>
      <c r="E2643" t="s">
        <v>626</v>
      </c>
      <c r="F2643" t="s">
        <v>598</v>
      </c>
      <c r="G2643" t="s">
        <v>599</v>
      </c>
      <c r="H2643" t="s">
        <v>600</v>
      </c>
      <c r="I2643" t="s">
        <v>601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hidden="1">
      <c r="A2644" t="s">
        <v>18811</v>
      </c>
      <c r="B2644" t="s">
        <v>1606</v>
      </c>
      <c r="C2644" t="s">
        <v>1472</v>
      </c>
      <c r="D2644" t="s">
        <v>648</v>
      </c>
      <c r="E2644" t="s">
        <v>973</v>
      </c>
      <c r="F2644" t="s">
        <v>598</v>
      </c>
      <c r="G2644" t="s">
        <v>599</v>
      </c>
      <c r="H2644" t="s">
        <v>600</v>
      </c>
      <c r="I2644" t="s">
        <v>601</v>
      </c>
      <c r="J2644">
        <v>8.9999999999999998E-4</v>
      </c>
      <c r="K2644">
        <v>8.9999999999999998E-4</v>
      </c>
      <c r="L2644">
        <v>1E-3</v>
      </c>
      <c r="M2644">
        <v>1E-3</v>
      </c>
      <c r="N2644">
        <v>1.1000000000000001E-3</v>
      </c>
      <c r="O2644">
        <v>1.1000000000000001E-3</v>
      </c>
      <c r="P2644">
        <v>1.1000000000000001E-3</v>
      </c>
      <c r="Q2644">
        <v>1.1999999999999999E-3</v>
      </c>
      <c r="R2644">
        <v>1.1999999999999999E-3</v>
      </c>
      <c r="S2644">
        <v>1.1999999999999999E-3</v>
      </c>
      <c r="T2644">
        <v>1.2999999999999999E-3</v>
      </c>
      <c r="U2644">
        <v>1.2999999999999999E-3</v>
      </c>
      <c r="V2644">
        <v>1.4E-3</v>
      </c>
      <c r="W2644">
        <v>1.4E-3</v>
      </c>
      <c r="X2644">
        <v>1.4E-3</v>
      </c>
      <c r="Y2644">
        <v>1.5E-3</v>
      </c>
    </row>
    <row r="2645" spans="1:25" hidden="1">
      <c r="A2645" t="s">
        <v>18811</v>
      </c>
      <c r="B2645" t="s">
        <v>1609</v>
      </c>
      <c r="C2645" t="s">
        <v>1472</v>
      </c>
      <c r="D2645" t="s">
        <v>648</v>
      </c>
      <c r="E2645" t="s">
        <v>626</v>
      </c>
      <c r="F2645" t="s">
        <v>598</v>
      </c>
      <c r="G2645" t="s">
        <v>599</v>
      </c>
      <c r="H2645" t="s">
        <v>600</v>
      </c>
      <c r="I2645" t="s">
        <v>601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hidden="1">
      <c r="A2646" t="s">
        <v>18811</v>
      </c>
      <c r="B2646" t="s">
        <v>1610</v>
      </c>
      <c r="C2646" t="s">
        <v>1611</v>
      </c>
      <c r="D2646" t="s">
        <v>648</v>
      </c>
      <c r="E2646" t="s">
        <v>920</v>
      </c>
      <c r="F2646" t="s">
        <v>598</v>
      </c>
      <c r="G2646" t="s">
        <v>599</v>
      </c>
      <c r="H2646" t="s">
        <v>600</v>
      </c>
      <c r="I2646" t="s">
        <v>601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hidden="1">
      <c r="A2647" t="s">
        <v>18811</v>
      </c>
      <c r="B2647" t="s">
        <v>1612</v>
      </c>
      <c r="C2647" t="s">
        <v>1611</v>
      </c>
      <c r="D2647" t="s">
        <v>648</v>
      </c>
      <c r="E2647" t="s">
        <v>973</v>
      </c>
      <c r="F2647" t="s">
        <v>598</v>
      </c>
      <c r="G2647" t="s">
        <v>599</v>
      </c>
      <c r="H2647" t="s">
        <v>600</v>
      </c>
      <c r="I2647" t="s">
        <v>601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hidden="1">
      <c r="A2648" t="s">
        <v>18811</v>
      </c>
      <c r="B2648" t="s">
        <v>1613</v>
      </c>
      <c r="C2648" t="s">
        <v>1614</v>
      </c>
      <c r="D2648" t="s">
        <v>1392</v>
      </c>
      <c r="E2648" t="s">
        <v>1615</v>
      </c>
      <c r="F2648" t="s">
        <v>598</v>
      </c>
      <c r="G2648" t="s">
        <v>599</v>
      </c>
      <c r="H2648" t="s">
        <v>600</v>
      </c>
      <c r="I2648" t="s">
        <v>601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hidden="1">
      <c r="A2649" t="s">
        <v>18811</v>
      </c>
      <c r="B2649" t="s">
        <v>1616</v>
      </c>
      <c r="C2649" t="s">
        <v>1614</v>
      </c>
      <c r="D2649" t="s">
        <v>1392</v>
      </c>
      <c r="E2649" t="s">
        <v>1393</v>
      </c>
      <c r="F2649" t="s">
        <v>598</v>
      </c>
      <c r="G2649" t="s">
        <v>599</v>
      </c>
      <c r="H2649" t="s">
        <v>600</v>
      </c>
      <c r="I2649" t="s">
        <v>601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hidden="1">
      <c r="A2650" t="s">
        <v>18811</v>
      </c>
      <c r="B2650" t="s">
        <v>1622</v>
      </c>
      <c r="C2650" t="s">
        <v>1614</v>
      </c>
      <c r="D2650" t="s">
        <v>1320</v>
      </c>
      <c r="E2650" t="s">
        <v>1198</v>
      </c>
      <c r="F2650" t="s">
        <v>598</v>
      </c>
      <c r="G2650" t="s">
        <v>599</v>
      </c>
      <c r="H2650" t="s">
        <v>600</v>
      </c>
      <c r="I2650" t="s">
        <v>601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hidden="1">
      <c r="A2651" t="s">
        <v>18811</v>
      </c>
      <c r="B2651" t="s">
        <v>1624</v>
      </c>
      <c r="C2651" t="s">
        <v>1614</v>
      </c>
      <c r="D2651" t="s">
        <v>1324</v>
      </c>
      <c r="E2651" t="s">
        <v>1018</v>
      </c>
      <c r="F2651" t="s">
        <v>598</v>
      </c>
      <c r="G2651" t="s">
        <v>599</v>
      </c>
      <c r="H2651" t="s">
        <v>600</v>
      </c>
      <c r="I2651" t="s">
        <v>601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hidden="1">
      <c r="A2652" t="s">
        <v>18811</v>
      </c>
      <c r="B2652" t="s">
        <v>1625</v>
      </c>
      <c r="C2652" t="s">
        <v>1614</v>
      </c>
      <c r="D2652" t="s">
        <v>1324</v>
      </c>
      <c r="E2652" t="s">
        <v>678</v>
      </c>
      <c r="F2652" t="s">
        <v>598</v>
      </c>
      <c r="G2652" t="s">
        <v>599</v>
      </c>
      <c r="H2652" t="s">
        <v>600</v>
      </c>
      <c r="I2652" t="s">
        <v>601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hidden="1">
      <c r="A2653" t="s">
        <v>18811</v>
      </c>
      <c r="B2653" t="s">
        <v>1626</v>
      </c>
      <c r="C2653" t="s">
        <v>1614</v>
      </c>
      <c r="D2653" t="s">
        <v>1324</v>
      </c>
      <c r="E2653" t="s">
        <v>1340</v>
      </c>
      <c r="F2653" t="s">
        <v>598</v>
      </c>
      <c r="G2653" t="s">
        <v>599</v>
      </c>
      <c r="H2653" t="s">
        <v>600</v>
      </c>
      <c r="I2653" t="s">
        <v>601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hidden="1">
      <c r="A2654" t="s">
        <v>18811</v>
      </c>
      <c r="B2654" t="s">
        <v>1643</v>
      </c>
      <c r="C2654" t="s">
        <v>1614</v>
      </c>
      <c r="D2654" t="s">
        <v>1324</v>
      </c>
      <c r="E2654" t="s">
        <v>1198</v>
      </c>
      <c r="F2654" t="s">
        <v>598</v>
      </c>
      <c r="G2654" t="s">
        <v>599</v>
      </c>
      <c r="H2654" t="s">
        <v>600</v>
      </c>
      <c r="I2654" t="s">
        <v>601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hidden="1">
      <c r="A2655" t="s">
        <v>18811</v>
      </c>
      <c r="B2655" t="s">
        <v>1682</v>
      </c>
      <c r="C2655" t="s">
        <v>1614</v>
      </c>
      <c r="D2655" t="s">
        <v>1332</v>
      </c>
      <c r="E2655" t="s">
        <v>1018</v>
      </c>
      <c r="F2655" t="s">
        <v>598</v>
      </c>
      <c r="G2655" t="s">
        <v>599</v>
      </c>
      <c r="H2655" t="s">
        <v>600</v>
      </c>
      <c r="I2655" t="s">
        <v>601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hidden="1">
      <c r="A2656" t="s">
        <v>18811</v>
      </c>
      <c r="B2656" t="s">
        <v>1686</v>
      </c>
      <c r="C2656" t="s">
        <v>1614</v>
      </c>
      <c r="D2656" t="s">
        <v>1332</v>
      </c>
      <c r="E2656" t="s">
        <v>1687</v>
      </c>
      <c r="F2656" t="s">
        <v>598</v>
      </c>
      <c r="G2656" t="s">
        <v>599</v>
      </c>
      <c r="H2656" t="s">
        <v>600</v>
      </c>
      <c r="I2656" t="s">
        <v>601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hidden="1">
      <c r="A2657" t="s">
        <v>18811</v>
      </c>
      <c r="B2657" t="s">
        <v>1688</v>
      </c>
      <c r="C2657" t="s">
        <v>1614</v>
      </c>
      <c r="D2657" t="s">
        <v>1332</v>
      </c>
      <c r="E2657" t="s">
        <v>1423</v>
      </c>
      <c r="F2657" t="s">
        <v>598</v>
      </c>
      <c r="G2657" t="s">
        <v>599</v>
      </c>
      <c r="H2657" t="s">
        <v>600</v>
      </c>
      <c r="I2657" t="s">
        <v>601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hidden="1">
      <c r="A2658" t="s">
        <v>18811</v>
      </c>
      <c r="B2658" t="s">
        <v>1691</v>
      </c>
      <c r="C2658" t="s">
        <v>1614</v>
      </c>
      <c r="D2658" t="s">
        <v>1332</v>
      </c>
      <c r="E2658" t="s">
        <v>1198</v>
      </c>
      <c r="F2658" t="s">
        <v>598</v>
      </c>
      <c r="G2658" t="s">
        <v>599</v>
      </c>
      <c r="H2658" t="s">
        <v>600</v>
      </c>
      <c r="I2658" t="s">
        <v>601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hidden="1">
      <c r="A2659" t="s">
        <v>18811</v>
      </c>
      <c r="B2659" t="s">
        <v>1694</v>
      </c>
      <c r="C2659" t="s">
        <v>1614</v>
      </c>
      <c r="D2659" t="s">
        <v>1332</v>
      </c>
      <c r="E2659" t="s">
        <v>1649</v>
      </c>
      <c r="F2659" t="s">
        <v>598</v>
      </c>
      <c r="G2659" t="s">
        <v>599</v>
      </c>
      <c r="H2659" t="s">
        <v>600</v>
      </c>
      <c r="I2659" t="s">
        <v>601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hidden="1">
      <c r="A2660" t="s">
        <v>18811</v>
      </c>
      <c r="B2660" t="s">
        <v>1697</v>
      </c>
      <c r="C2660" t="s">
        <v>1614</v>
      </c>
      <c r="D2660" t="s">
        <v>1332</v>
      </c>
      <c r="E2660" t="s">
        <v>630</v>
      </c>
      <c r="F2660" t="s">
        <v>598</v>
      </c>
      <c r="G2660" t="s">
        <v>599</v>
      </c>
      <c r="H2660" t="s">
        <v>600</v>
      </c>
      <c r="I2660" t="s">
        <v>601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hidden="1">
      <c r="A2661" t="s">
        <v>18811</v>
      </c>
      <c r="B2661" t="s">
        <v>1706</v>
      </c>
      <c r="C2661" t="s">
        <v>1614</v>
      </c>
      <c r="D2661" t="s">
        <v>1332</v>
      </c>
      <c r="E2661" t="s">
        <v>1058</v>
      </c>
      <c r="F2661" t="s">
        <v>598</v>
      </c>
      <c r="G2661" t="s">
        <v>599</v>
      </c>
      <c r="H2661" t="s">
        <v>600</v>
      </c>
      <c r="I2661" t="s">
        <v>601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hidden="1">
      <c r="A2662" t="s">
        <v>18811</v>
      </c>
      <c r="B2662" t="s">
        <v>1708</v>
      </c>
      <c r="C2662" t="s">
        <v>1614</v>
      </c>
      <c r="D2662" t="s">
        <v>1332</v>
      </c>
      <c r="E2662" t="s">
        <v>1216</v>
      </c>
      <c r="F2662" t="s">
        <v>598</v>
      </c>
      <c r="G2662" t="s">
        <v>599</v>
      </c>
      <c r="H2662" t="s">
        <v>600</v>
      </c>
      <c r="I2662" t="s">
        <v>601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hidden="1">
      <c r="A2663" t="s">
        <v>18811</v>
      </c>
      <c r="B2663" t="s">
        <v>1710</v>
      </c>
      <c r="C2663" t="s">
        <v>1614</v>
      </c>
      <c r="D2663" t="s">
        <v>1332</v>
      </c>
      <c r="E2663" t="s">
        <v>1393</v>
      </c>
      <c r="F2663" t="s">
        <v>598</v>
      </c>
      <c r="G2663" t="s">
        <v>599</v>
      </c>
      <c r="H2663" t="s">
        <v>600</v>
      </c>
      <c r="I2663" t="s">
        <v>601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hidden="1">
      <c r="A2664" t="s">
        <v>18811</v>
      </c>
      <c r="B2664" t="s">
        <v>1711</v>
      </c>
      <c r="C2664" t="s">
        <v>1614</v>
      </c>
      <c r="D2664" t="s">
        <v>1350</v>
      </c>
      <c r="E2664" t="s">
        <v>597</v>
      </c>
      <c r="F2664" t="s">
        <v>598</v>
      </c>
      <c r="G2664" t="s">
        <v>599</v>
      </c>
      <c r="H2664" t="s">
        <v>600</v>
      </c>
      <c r="I2664" t="s">
        <v>601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hidden="1">
      <c r="A2665" t="s">
        <v>18811</v>
      </c>
      <c r="B2665" t="s">
        <v>1712</v>
      </c>
      <c r="C2665" t="s">
        <v>1614</v>
      </c>
      <c r="D2665" t="s">
        <v>1350</v>
      </c>
      <c r="E2665" t="s">
        <v>1340</v>
      </c>
      <c r="F2665" t="s">
        <v>598</v>
      </c>
      <c r="G2665" t="s">
        <v>599</v>
      </c>
      <c r="H2665" t="s">
        <v>600</v>
      </c>
      <c r="I2665" t="s">
        <v>601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hidden="1">
      <c r="A2666" t="s">
        <v>18811</v>
      </c>
      <c r="B2666" t="s">
        <v>1713</v>
      </c>
      <c r="C2666" t="s">
        <v>1614</v>
      </c>
      <c r="D2666" t="s">
        <v>1435</v>
      </c>
      <c r="E2666" t="s">
        <v>973</v>
      </c>
      <c r="F2666" t="s">
        <v>598</v>
      </c>
      <c r="G2666" t="s">
        <v>599</v>
      </c>
      <c r="H2666" t="s">
        <v>600</v>
      </c>
      <c r="I2666" t="s">
        <v>601</v>
      </c>
      <c r="J2666">
        <v>2.9999999999999997E-4</v>
      </c>
      <c r="K2666">
        <v>2.9999999999999997E-4</v>
      </c>
      <c r="L2666">
        <v>2.9999999999999997E-4</v>
      </c>
      <c r="M2666">
        <v>2.9999999999999997E-4</v>
      </c>
      <c r="N2666">
        <v>2.9999999999999997E-4</v>
      </c>
      <c r="O2666">
        <v>2.9999999999999997E-4</v>
      </c>
      <c r="P2666">
        <v>2.9999999999999997E-4</v>
      </c>
      <c r="Q2666">
        <v>2.9999999999999997E-4</v>
      </c>
      <c r="R2666">
        <v>2.9999999999999997E-4</v>
      </c>
      <c r="S2666">
        <v>2.9999999999999997E-4</v>
      </c>
      <c r="T2666">
        <v>2.9999999999999997E-4</v>
      </c>
      <c r="U2666">
        <v>2.9999999999999997E-4</v>
      </c>
      <c r="V2666">
        <v>2.9999999999999997E-4</v>
      </c>
      <c r="W2666">
        <v>4.0000000000000002E-4</v>
      </c>
      <c r="X2666">
        <v>4.0000000000000002E-4</v>
      </c>
      <c r="Y2666">
        <v>4.0000000000000002E-4</v>
      </c>
    </row>
    <row r="2667" spans="1:25" hidden="1">
      <c r="A2667" t="s">
        <v>18811</v>
      </c>
      <c r="B2667" t="s">
        <v>1714</v>
      </c>
      <c r="C2667" t="s">
        <v>1614</v>
      </c>
      <c r="D2667" t="s">
        <v>1354</v>
      </c>
      <c r="E2667" t="s">
        <v>954</v>
      </c>
      <c r="F2667" t="s">
        <v>598</v>
      </c>
      <c r="G2667" t="s">
        <v>599</v>
      </c>
      <c r="H2667" t="s">
        <v>600</v>
      </c>
      <c r="I2667" t="s">
        <v>601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hidden="1">
      <c r="A2668" t="s">
        <v>18811</v>
      </c>
      <c r="B2668" t="s">
        <v>1717</v>
      </c>
      <c r="C2668" t="s">
        <v>1614</v>
      </c>
      <c r="D2668" t="s">
        <v>1354</v>
      </c>
      <c r="E2668" t="s">
        <v>1718</v>
      </c>
      <c r="F2668" t="s">
        <v>598</v>
      </c>
      <c r="G2668" t="s">
        <v>599</v>
      </c>
      <c r="H2668" t="s">
        <v>600</v>
      </c>
      <c r="I2668" t="s">
        <v>601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hidden="1">
      <c r="A2669" t="s">
        <v>18811</v>
      </c>
      <c r="B2669" t="s">
        <v>1720</v>
      </c>
      <c r="C2669" t="s">
        <v>1614</v>
      </c>
      <c r="D2669" t="s">
        <v>1365</v>
      </c>
      <c r="E2669" t="s">
        <v>1393</v>
      </c>
      <c r="F2669" t="s">
        <v>598</v>
      </c>
      <c r="G2669" t="s">
        <v>599</v>
      </c>
      <c r="H2669" t="s">
        <v>600</v>
      </c>
      <c r="I2669" t="s">
        <v>601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hidden="1">
      <c r="A2670" t="s">
        <v>18811</v>
      </c>
      <c r="B2670" t="s">
        <v>1723</v>
      </c>
      <c r="C2670" t="s">
        <v>1614</v>
      </c>
      <c r="D2670" t="s">
        <v>1722</v>
      </c>
      <c r="E2670" t="s">
        <v>937</v>
      </c>
      <c r="F2670" t="s">
        <v>598</v>
      </c>
      <c r="G2670" t="s">
        <v>599</v>
      </c>
      <c r="H2670" t="s">
        <v>600</v>
      </c>
      <c r="I2670" t="s">
        <v>601</v>
      </c>
      <c r="J2670">
        <v>2.0000000000000001E-4</v>
      </c>
      <c r="K2670">
        <v>2.0000000000000001E-4</v>
      </c>
      <c r="L2670">
        <v>2.0000000000000001E-4</v>
      </c>
      <c r="M2670">
        <v>2.0000000000000001E-4</v>
      </c>
      <c r="N2670">
        <v>2.0000000000000001E-4</v>
      </c>
      <c r="O2670">
        <v>2.0000000000000001E-4</v>
      </c>
      <c r="P2670">
        <v>2.0000000000000001E-4</v>
      </c>
      <c r="Q2670">
        <v>2.0000000000000001E-4</v>
      </c>
      <c r="R2670">
        <v>2.0000000000000001E-4</v>
      </c>
      <c r="S2670">
        <v>2.0000000000000001E-4</v>
      </c>
      <c r="T2670">
        <v>2.0000000000000001E-4</v>
      </c>
      <c r="U2670">
        <v>2.0000000000000001E-4</v>
      </c>
      <c r="V2670">
        <v>2.0000000000000001E-4</v>
      </c>
      <c r="W2670">
        <v>2.0000000000000001E-4</v>
      </c>
      <c r="X2670">
        <v>2.0000000000000001E-4</v>
      </c>
      <c r="Y2670">
        <v>2.0000000000000001E-4</v>
      </c>
    </row>
    <row r="2671" spans="1:25" hidden="1">
      <c r="A2671" t="s">
        <v>18811</v>
      </c>
      <c r="B2671" t="s">
        <v>1724</v>
      </c>
      <c r="C2671" t="s">
        <v>1614</v>
      </c>
      <c r="D2671" t="s">
        <v>1722</v>
      </c>
      <c r="E2671" t="s">
        <v>1340</v>
      </c>
      <c r="F2671" t="s">
        <v>598</v>
      </c>
      <c r="G2671" t="s">
        <v>599</v>
      </c>
      <c r="H2671" t="s">
        <v>600</v>
      </c>
      <c r="I2671" t="s">
        <v>601</v>
      </c>
      <c r="J2671">
        <v>2.0000000000000001E-4</v>
      </c>
      <c r="K2671">
        <v>2.0000000000000001E-4</v>
      </c>
      <c r="L2671">
        <v>2.0000000000000001E-4</v>
      </c>
      <c r="M2671">
        <v>2.0000000000000001E-4</v>
      </c>
      <c r="N2671">
        <v>2.0000000000000001E-4</v>
      </c>
      <c r="O2671">
        <v>2.0000000000000001E-4</v>
      </c>
      <c r="P2671">
        <v>2.0000000000000001E-4</v>
      </c>
      <c r="Q2671">
        <v>2.0000000000000001E-4</v>
      </c>
      <c r="R2671">
        <v>2.0000000000000001E-4</v>
      </c>
      <c r="S2671">
        <v>2.0000000000000001E-4</v>
      </c>
      <c r="T2671">
        <v>2.0000000000000001E-4</v>
      </c>
      <c r="U2671">
        <v>2.0000000000000001E-4</v>
      </c>
      <c r="V2671">
        <v>2.0000000000000001E-4</v>
      </c>
      <c r="W2671">
        <v>2.9999999999999997E-4</v>
      </c>
      <c r="X2671">
        <v>2.9999999999999997E-4</v>
      </c>
      <c r="Y2671">
        <v>2.9999999999999997E-4</v>
      </c>
    </row>
    <row r="2672" spans="1:25" hidden="1">
      <c r="A2672" t="s">
        <v>18811</v>
      </c>
      <c r="B2672" t="s">
        <v>1725</v>
      </c>
      <c r="C2672" t="s">
        <v>1614</v>
      </c>
      <c r="D2672" t="s">
        <v>1722</v>
      </c>
      <c r="E2672" t="s">
        <v>1684</v>
      </c>
      <c r="F2672" t="s">
        <v>598</v>
      </c>
      <c r="G2672" t="s">
        <v>599</v>
      </c>
      <c r="H2672" t="s">
        <v>600</v>
      </c>
      <c r="I2672" t="s">
        <v>601</v>
      </c>
      <c r="J2672">
        <v>8.9999999999999998E-4</v>
      </c>
      <c r="K2672">
        <v>8.9999999999999998E-4</v>
      </c>
      <c r="L2672">
        <v>8.9999999999999998E-4</v>
      </c>
      <c r="M2672">
        <v>8.9999999999999998E-4</v>
      </c>
      <c r="N2672">
        <v>8.9999999999999998E-4</v>
      </c>
      <c r="O2672">
        <v>8.9999999999999998E-4</v>
      </c>
      <c r="P2672">
        <v>1E-3</v>
      </c>
      <c r="Q2672">
        <v>1E-3</v>
      </c>
      <c r="R2672">
        <v>1E-3</v>
      </c>
      <c r="S2672">
        <v>1E-3</v>
      </c>
      <c r="T2672">
        <v>1E-3</v>
      </c>
      <c r="U2672">
        <v>1.1000000000000001E-3</v>
      </c>
      <c r="V2672">
        <v>1.1000000000000001E-3</v>
      </c>
      <c r="W2672">
        <v>1.1000000000000001E-3</v>
      </c>
      <c r="X2672">
        <v>1.1000000000000001E-3</v>
      </c>
      <c r="Y2672">
        <v>1.1999999999999999E-3</v>
      </c>
    </row>
    <row r="2673" spans="1:25" hidden="1">
      <c r="A2673" t="s">
        <v>18811</v>
      </c>
      <c r="B2673" t="s">
        <v>1726</v>
      </c>
      <c r="C2673" t="s">
        <v>1614</v>
      </c>
      <c r="D2673" t="s">
        <v>1722</v>
      </c>
      <c r="E2673" t="s">
        <v>1727</v>
      </c>
      <c r="F2673" t="s">
        <v>598</v>
      </c>
      <c r="G2673" t="s">
        <v>599</v>
      </c>
      <c r="H2673" t="s">
        <v>600</v>
      </c>
      <c r="I2673" t="s">
        <v>601</v>
      </c>
      <c r="J2673">
        <v>1.3100000000000001E-2</v>
      </c>
      <c r="K2673">
        <v>1.3299999999999999E-2</v>
      </c>
      <c r="L2673">
        <v>1.35E-2</v>
      </c>
      <c r="M2673">
        <v>1.3599999999999999E-2</v>
      </c>
      <c r="N2673">
        <v>1.3899999999999999E-2</v>
      </c>
      <c r="O2673">
        <v>1.4200000000000001E-2</v>
      </c>
      <c r="P2673">
        <v>1.4500000000000001E-2</v>
      </c>
      <c r="Q2673">
        <v>1.4800000000000001E-2</v>
      </c>
      <c r="R2673">
        <v>1.52E-2</v>
      </c>
      <c r="S2673">
        <v>1.55E-2</v>
      </c>
      <c r="T2673">
        <v>1.5900000000000001E-2</v>
      </c>
      <c r="U2673">
        <v>1.6199999999999999E-2</v>
      </c>
      <c r="V2673">
        <v>1.67E-2</v>
      </c>
      <c r="W2673">
        <v>1.7100000000000001E-2</v>
      </c>
      <c r="X2673">
        <v>1.7600000000000001E-2</v>
      </c>
      <c r="Y2673">
        <v>1.7899999999999999E-2</v>
      </c>
    </row>
    <row r="2674" spans="1:25" hidden="1">
      <c r="A2674" t="s">
        <v>18811</v>
      </c>
      <c r="B2674" t="s">
        <v>1728</v>
      </c>
      <c r="C2674" t="s">
        <v>1614</v>
      </c>
      <c r="D2674" t="s">
        <v>1722</v>
      </c>
      <c r="E2674" t="s">
        <v>1729</v>
      </c>
      <c r="F2674" t="s">
        <v>598</v>
      </c>
      <c r="G2674" t="s">
        <v>599</v>
      </c>
      <c r="H2674" t="s">
        <v>600</v>
      </c>
      <c r="I2674" t="s">
        <v>601</v>
      </c>
      <c r="J2674">
        <v>4.7999999999999996E-3</v>
      </c>
      <c r="K2674">
        <v>4.8999999999999998E-3</v>
      </c>
      <c r="L2674">
        <v>4.8999999999999998E-3</v>
      </c>
      <c r="M2674">
        <v>4.8999999999999998E-3</v>
      </c>
      <c r="N2674">
        <v>5.1999999999999998E-3</v>
      </c>
      <c r="O2674">
        <v>5.3E-3</v>
      </c>
      <c r="P2674">
        <v>5.4000000000000003E-3</v>
      </c>
      <c r="Q2674">
        <v>5.4000000000000003E-3</v>
      </c>
      <c r="R2674">
        <v>5.7000000000000002E-3</v>
      </c>
      <c r="S2674">
        <v>5.7000000000000002E-3</v>
      </c>
      <c r="T2674">
        <v>5.7999999999999996E-3</v>
      </c>
      <c r="U2674">
        <v>6.0000000000000001E-3</v>
      </c>
      <c r="V2674">
        <v>6.1000000000000004E-3</v>
      </c>
      <c r="W2674">
        <v>6.1999999999999998E-3</v>
      </c>
      <c r="X2674">
        <v>6.4000000000000003E-3</v>
      </c>
      <c r="Y2674">
        <v>6.7000000000000002E-3</v>
      </c>
    </row>
    <row r="2675" spans="1:25" hidden="1">
      <c r="A2675" t="s">
        <v>18811</v>
      </c>
      <c r="B2675" t="s">
        <v>1730</v>
      </c>
      <c r="C2675" t="s">
        <v>1614</v>
      </c>
      <c r="D2675" t="s">
        <v>1722</v>
      </c>
      <c r="E2675" t="s">
        <v>1731</v>
      </c>
      <c r="F2675" t="s">
        <v>598</v>
      </c>
      <c r="G2675" t="s">
        <v>599</v>
      </c>
      <c r="H2675" t="s">
        <v>600</v>
      </c>
      <c r="I2675" t="s">
        <v>601</v>
      </c>
      <c r="J2675">
        <v>4.4000000000000003E-3</v>
      </c>
      <c r="K2675">
        <v>4.4000000000000003E-3</v>
      </c>
      <c r="L2675">
        <v>4.4000000000000003E-3</v>
      </c>
      <c r="M2675">
        <v>4.5999999999999999E-3</v>
      </c>
      <c r="N2675">
        <v>4.5999999999999999E-3</v>
      </c>
      <c r="O2675">
        <v>4.7000000000000002E-3</v>
      </c>
      <c r="P2675">
        <v>4.8999999999999998E-3</v>
      </c>
      <c r="Q2675">
        <v>4.8999999999999998E-3</v>
      </c>
      <c r="R2675">
        <v>5.1000000000000004E-3</v>
      </c>
      <c r="S2675">
        <v>5.1999999999999998E-3</v>
      </c>
      <c r="T2675">
        <v>5.1999999999999998E-3</v>
      </c>
      <c r="U2675">
        <v>5.4000000000000003E-3</v>
      </c>
      <c r="V2675">
        <v>5.4999999999999997E-3</v>
      </c>
      <c r="W2675">
        <v>5.7000000000000002E-3</v>
      </c>
      <c r="X2675">
        <v>5.8999999999999999E-3</v>
      </c>
      <c r="Y2675">
        <v>6.1000000000000004E-3</v>
      </c>
    </row>
    <row r="2676" spans="1:25" hidden="1">
      <c r="A2676" t="s">
        <v>18811</v>
      </c>
      <c r="B2676" t="s">
        <v>1736</v>
      </c>
      <c r="C2676" t="s">
        <v>1614</v>
      </c>
      <c r="D2676" t="s">
        <v>1722</v>
      </c>
      <c r="E2676" t="s">
        <v>1737</v>
      </c>
      <c r="F2676" t="s">
        <v>598</v>
      </c>
      <c r="G2676" t="s">
        <v>599</v>
      </c>
      <c r="H2676" t="s">
        <v>600</v>
      </c>
      <c r="I2676" t="s">
        <v>601</v>
      </c>
      <c r="J2676">
        <v>5.8999999999999999E-3</v>
      </c>
      <c r="K2676">
        <v>6.0000000000000001E-3</v>
      </c>
      <c r="L2676">
        <v>6.0000000000000001E-3</v>
      </c>
      <c r="M2676">
        <v>6.1000000000000004E-3</v>
      </c>
      <c r="N2676">
        <v>6.1999999999999998E-3</v>
      </c>
      <c r="O2676">
        <v>6.4000000000000003E-3</v>
      </c>
      <c r="P2676">
        <v>6.4999999999999997E-3</v>
      </c>
      <c r="Q2676">
        <v>6.7000000000000002E-3</v>
      </c>
      <c r="R2676">
        <v>6.7999999999999996E-3</v>
      </c>
      <c r="S2676">
        <v>7.0000000000000001E-3</v>
      </c>
      <c r="T2676">
        <v>7.1000000000000004E-3</v>
      </c>
      <c r="U2676">
        <v>7.3000000000000001E-3</v>
      </c>
      <c r="V2676">
        <v>7.4999999999999997E-3</v>
      </c>
      <c r="W2676">
        <v>7.7000000000000002E-3</v>
      </c>
      <c r="X2676">
        <v>7.9000000000000008E-3</v>
      </c>
      <c r="Y2676">
        <v>8.0999999999999996E-3</v>
      </c>
    </row>
    <row r="2677" spans="1:25" hidden="1">
      <c r="A2677" t="s">
        <v>18811</v>
      </c>
      <c r="B2677" t="s">
        <v>1738</v>
      </c>
      <c r="C2677" t="s">
        <v>1614</v>
      </c>
      <c r="D2677" t="s">
        <v>1722</v>
      </c>
      <c r="E2677" t="s">
        <v>1739</v>
      </c>
      <c r="F2677" t="s">
        <v>598</v>
      </c>
      <c r="G2677" t="s">
        <v>599</v>
      </c>
      <c r="H2677" t="s">
        <v>600</v>
      </c>
      <c r="I2677" t="s">
        <v>601</v>
      </c>
      <c r="J2677">
        <v>1E-4</v>
      </c>
      <c r="K2677">
        <v>1E-4</v>
      </c>
      <c r="L2677">
        <v>1E-4</v>
      </c>
      <c r="M2677">
        <v>1E-4</v>
      </c>
      <c r="N2677">
        <v>1E-4</v>
      </c>
      <c r="O2677">
        <v>1E-4</v>
      </c>
      <c r="P2677">
        <v>1E-4</v>
      </c>
      <c r="Q2677">
        <v>1E-4</v>
      </c>
      <c r="R2677">
        <v>1E-4</v>
      </c>
      <c r="S2677">
        <v>1E-4</v>
      </c>
      <c r="T2677">
        <v>1E-4</v>
      </c>
      <c r="U2677">
        <v>1E-4</v>
      </c>
      <c r="V2677">
        <v>1E-4</v>
      </c>
      <c r="W2677">
        <v>1E-4</v>
      </c>
      <c r="X2677">
        <v>1E-4</v>
      </c>
      <c r="Y2677">
        <v>1E-4</v>
      </c>
    </row>
    <row r="2678" spans="1:25" hidden="1">
      <c r="A2678" t="s">
        <v>18811</v>
      </c>
      <c r="B2678" t="s">
        <v>1744</v>
      </c>
      <c r="C2678" t="s">
        <v>1614</v>
      </c>
      <c r="D2678" t="s">
        <v>1722</v>
      </c>
      <c r="E2678" t="s">
        <v>1450</v>
      </c>
      <c r="F2678" t="s">
        <v>598</v>
      </c>
      <c r="G2678" t="s">
        <v>599</v>
      </c>
      <c r="H2678" t="s">
        <v>600</v>
      </c>
      <c r="I2678" t="s">
        <v>601</v>
      </c>
      <c r="J2678">
        <v>2.3E-3</v>
      </c>
      <c r="K2678">
        <v>2.3999999999999998E-3</v>
      </c>
      <c r="L2678">
        <v>2.3999999999999998E-3</v>
      </c>
      <c r="M2678">
        <v>2.3999999999999998E-3</v>
      </c>
      <c r="N2678">
        <v>2.3999999999999998E-3</v>
      </c>
      <c r="O2678">
        <v>2.3999999999999998E-3</v>
      </c>
      <c r="P2678">
        <v>2.5000000000000001E-3</v>
      </c>
      <c r="Q2678">
        <v>2.5999999999999999E-3</v>
      </c>
      <c r="R2678">
        <v>2.7000000000000001E-3</v>
      </c>
      <c r="S2678">
        <v>2.7000000000000001E-3</v>
      </c>
      <c r="T2678">
        <v>2.8E-3</v>
      </c>
      <c r="U2678">
        <v>2.8E-3</v>
      </c>
      <c r="V2678">
        <v>2.8999999999999998E-3</v>
      </c>
      <c r="W2678">
        <v>2.8999999999999998E-3</v>
      </c>
      <c r="X2678">
        <v>3.0000000000000001E-3</v>
      </c>
      <c r="Y2678">
        <v>3.3E-3</v>
      </c>
    </row>
    <row r="2679" spans="1:25" hidden="1">
      <c r="A2679" t="s">
        <v>18811</v>
      </c>
      <c r="B2679" t="s">
        <v>1745</v>
      </c>
      <c r="C2679" t="s">
        <v>1614</v>
      </c>
      <c r="D2679" t="s">
        <v>1722</v>
      </c>
      <c r="E2679" t="s">
        <v>1615</v>
      </c>
      <c r="F2679" t="s">
        <v>598</v>
      </c>
      <c r="G2679" t="s">
        <v>599</v>
      </c>
      <c r="H2679" t="s">
        <v>600</v>
      </c>
      <c r="I2679" t="s">
        <v>601</v>
      </c>
      <c r="J2679">
        <v>2.9999999999999997E-4</v>
      </c>
      <c r="K2679">
        <v>2.9999999999999997E-4</v>
      </c>
      <c r="L2679">
        <v>2.9999999999999997E-4</v>
      </c>
      <c r="M2679">
        <v>4.0000000000000002E-4</v>
      </c>
      <c r="N2679">
        <v>4.0000000000000002E-4</v>
      </c>
      <c r="O2679">
        <v>4.0000000000000002E-4</v>
      </c>
      <c r="P2679">
        <v>4.0000000000000002E-4</v>
      </c>
      <c r="Q2679">
        <v>4.0000000000000002E-4</v>
      </c>
      <c r="R2679">
        <v>4.0000000000000002E-4</v>
      </c>
      <c r="S2679">
        <v>4.0000000000000002E-4</v>
      </c>
      <c r="T2679">
        <v>4.0000000000000002E-4</v>
      </c>
      <c r="U2679">
        <v>4.0000000000000002E-4</v>
      </c>
      <c r="V2679">
        <v>4.0000000000000002E-4</v>
      </c>
      <c r="W2679">
        <v>4.0000000000000002E-4</v>
      </c>
      <c r="X2679">
        <v>5.0000000000000001E-4</v>
      </c>
      <c r="Y2679">
        <v>5.0000000000000001E-4</v>
      </c>
    </row>
    <row r="2680" spans="1:25" hidden="1">
      <c r="A2680" t="s">
        <v>18811</v>
      </c>
      <c r="B2680" t="s">
        <v>1746</v>
      </c>
      <c r="C2680" t="s">
        <v>1614</v>
      </c>
      <c r="D2680" t="s">
        <v>1722</v>
      </c>
      <c r="E2680" t="s">
        <v>954</v>
      </c>
      <c r="F2680" t="s">
        <v>598</v>
      </c>
      <c r="G2680" t="s">
        <v>599</v>
      </c>
      <c r="H2680" t="s">
        <v>600</v>
      </c>
      <c r="I2680" t="s">
        <v>601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hidden="1">
      <c r="A2681" t="s">
        <v>18811</v>
      </c>
      <c r="B2681" t="s">
        <v>1747</v>
      </c>
      <c r="C2681" t="s">
        <v>1614</v>
      </c>
      <c r="D2681" t="s">
        <v>1722</v>
      </c>
      <c r="E2681" t="s">
        <v>1748</v>
      </c>
      <c r="F2681" t="s">
        <v>598</v>
      </c>
      <c r="G2681" t="s">
        <v>599</v>
      </c>
      <c r="H2681" t="s">
        <v>600</v>
      </c>
      <c r="I2681" t="s">
        <v>601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hidden="1">
      <c r="A2682" t="s">
        <v>18811</v>
      </c>
      <c r="B2682" t="s">
        <v>1749</v>
      </c>
      <c r="C2682" t="s">
        <v>1614</v>
      </c>
      <c r="D2682" t="s">
        <v>1722</v>
      </c>
      <c r="E2682" t="s">
        <v>1750</v>
      </c>
      <c r="F2682" t="s">
        <v>598</v>
      </c>
      <c r="G2682" t="s">
        <v>599</v>
      </c>
      <c r="H2682" t="s">
        <v>600</v>
      </c>
      <c r="I2682" t="s">
        <v>601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hidden="1">
      <c r="A2683" t="s">
        <v>18811</v>
      </c>
      <c r="B2683" t="s">
        <v>1751</v>
      </c>
      <c r="C2683" t="s">
        <v>1614</v>
      </c>
      <c r="D2683" t="s">
        <v>1722</v>
      </c>
      <c r="E2683" t="s">
        <v>1022</v>
      </c>
      <c r="F2683" t="s">
        <v>598</v>
      </c>
      <c r="G2683" t="s">
        <v>599</v>
      </c>
      <c r="H2683" t="s">
        <v>600</v>
      </c>
      <c r="I2683" t="s">
        <v>601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hidden="1">
      <c r="A2684" t="s">
        <v>18811</v>
      </c>
      <c r="B2684" t="s">
        <v>1752</v>
      </c>
      <c r="C2684" t="s">
        <v>1614</v>
      </c>
      <c r="D2684" t="s">
        <v>1722</v>
      </c>
      <c r="E2684" t="s">
        <v>1198</v>
      </c>
      <c r="F2684" t="s">
        <v>598</v>
      </c>
      <c r="G2684" t="s">
        <v>599</v>
      </c>
      <c r="H2684" t="s">
        <v>600</v>
      </c>
      <c r="I2684" t="s">
        <v>601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hidden="1">
      <c r="A2685" t="s">
        <v>18811</v>
      </c>
      <c r="B2685" t="s">
        <v>1753</v>
      </c>
      <c r="C2685" t="s">
        <v>1614</v>
      </c>
      <c r="D2685" t="s">
        <v>1722</v>
      </c>
      <c r="E2685" t="s">
        <v>1754</v>
      </c>
      <c r="F2685" t="s">
        <v>598</v>
      </c>
      <c r="G2685" t="s">
        <v>599</v>
      </c>
      <c r="H2685" t="s">
        <v>600</v>
      </c>
      <c r="I2685" t="s">
        <v>601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hidden="1">
      <c r="A2686" t="s">
        <v>18811</v>
      </c>
      <c r="B2686" t="s">
        <v>1757</v>
      </c>
      <c r="C2686" t="s">
        <v>1614</v>
      </c>
      <c r="D2686" t="s">
        <v>1722</v>
      </c>
      <c r="E2686" t="s">
        <v>1393</v>
      </c>
      <c r="F2686" t="s">
        <v>598</v>
      </c>
      <c r="G2686" t="s">
        <v>599</v>
      </c>
      <c r="H2686" t="s">
        <v>600</v>
      </c>
      <c r="I2686" t="s">
        <v>601</v>
      </c>
      <c r="J2686">
        <v>1E-4</v>
      </c>
      <c r="K2686">
        <v>1E-4</v>
      </c>
      <c r="L2686">
        <v>1E-4</v>
      </c>
      <c r="M2686">
        <v>1E-4</v>
      </c>
      <c r="N2686">
        <v>1E-4</v>
      </c>
      <c r="O2686">
        <v>1E-4</v>
      </c>
      <c r="P2686">
        <v>1E-4</v>
      </c>
      <c r="Q2686">
        <v>1E-4</v>
      </c>
      <c r="R2686">
        <v>1E-4</v>
      </c>
      <c r="S2686">
        <v>1E-4</v>
      </c>
      <c r="T2686">
        <v>1E-4</v>
      </c>
      <c r="U2686">
        <v>1E-4</v>
      </c>
      <c r="V2686">
        <v>1E-4</v>
      </c>
      <c r="W2686">
        <v>1E-4</v>
      </c>
      <c r="X2686">
        <v>1E-4</v>
      </c>
      <c r="Y2686">
        <v>1E-4</v>
      </c>
    </row>
    <row r="2687" spans="1:25" hidden="1">
      <c r="A2687" t="s">
        <v>18811</v>
      </c>
      <c r="B2687" t="s">
        <v>1760</v>
      </c>
      <c r="C2687" t="s">
        <v>1614</v>
      </c>
      <c r="D2687" t="s">
        <v>1722</v>
      </c>
      <c r="E2687" t="s">
        <v>1761</v>
      </c>
      <c r="F2687" t="s">
        <v>598</v>
      </c>
      <c r="G2687" t="s">
        <v>599</v>
      </c>
      <c r="H2687" t="s">
        <v>600</v>
      </c>
      <c r="I2687" t="s">
        <v>601</v>
      </c>
      <c r="J2687">
        <v>5.4000000000000003E-3</v>
      </c>
      <c r="K2687">
        <v>5.4000000000000003E-3</v>
      </c>
      <c r="L2687">
        <v>5.4999999999999997E-3</v>
      </c>
      <c r="M2687">
        <v>5.5999999999999999E-3</v>
      </c>
      <c r="N2687">
        <v>5.7000000000000002E-3</v>
      </c>
      <c r="O2687">
        <v>5.8999999999999999E-3</v>
      </c>
      <c r="P2687">
        <v>6.0000000000000001E-3</v>
      </c>
      <c r="Q2687">
        <v>6.1999999999999998E-3</v>
      </c>
      <c r="R2687">
        <v>6.3E-3</v>
      </c>
      <c r="S2687">
        <v>6.4000000000000003E-3</v>
      </c>
      <c r="T2687">
        <v>6.6E-3</v>
      </c>
      <c r="U2687">
        <v>6.7000000000000002E-3</v>
      </c>
      <c r="V2687">
        <v>6.8999999999999999E-3</v>
      </c>
      <c r="W2687">
        <v>7.1000000000000004E-3</v>
      </c>
      <c r="X2687">
        <v>7.1999999999999998E-3</v>
      </c>
      <c r="Y2687">
        <v>7.4000000000000003E-3</v>
      </c>
    </row>
    <row r="2688" spans="1:25" hidden="1">
      <c r="A2688" t="s">
        <v>18811</v>
      </c>
      <c r="B2688" t="s">
        <v>1762</v>
      </c>
      <c r="C2688" t="s">
        <v>1614</v>
      </c>
      <c r="D2688" t="s">
        <v>1722</v>
      </c>
      <c r="E2688" t="s">
        <v>1763</v>
      </c>
      <c r="F2688" t="s">
        <v>598</v>
      </c>
      <c r="G2688" t="s">
        <v>599</v>
      </c>
      <c r="H2688" t="s">
        <v>600</v>
      </c>
      <c r="I2688" t="s">
        <v>601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hidden="1">
      <c r="A2689" t="s">
        <v>18811</v>
      </c>
      <c r="B2689" t="s">
        <v>1764</v>
      </c>
      <c r="C2689" t="s">
        <v>1614</v>
      </c>
      <c r="D2689" t="s">
        <v>1722</v>
      </c>
      <c r="E2689" t="s">
        <v>1765</v>
      </c>
      <c r="F2689" t="s">
        <v>598</v>
      </c>
      <c r="G2689" t="s">
        <v>599</v>
      </c>
      <c r="H2689" t="s">
        <v>600</v>
      </c>
      <c r="I2689" t="s">
        <v>601</v>
      </c>
      <c r="J2689">
        <v>5.45E-2</v>
      </c>
      <c r="K2689">
        <v>5.5100000000000003E-2</v>
      </c>
      <c r="L2689">
        <v>5.57E-2</v>
      </c>
      <c r="M2689">
        <v>5.6599999999999998E-2</v>
      </c>
      <c r="N2689">
        <v>5.7799999999999997E-2</v>
      </c>
      <c r="O2689">
        <v>5.91E-2</v>
      </c>
      <c r="P2689">
        <v>6.0400000000000002E-2</v>
      </c>
      <c r="Q2689">
        <v>6.1699999999999998E-2</v>
      </c>
      <c r="R2689">
        <v>6.3100000000000003E-2</v>
      </c>
      <c r="S2689">
        <v>6.4600000000000005E-2</v>
      </c>
      <c r="T2689">
        <v>6.6000000000000003E-2</v>
      </c>
      <c r="U2689">
        <v>6.7599999999999993E-2</v>
      </c>
      <c r="V2689">
        <v>6.9400000000000003E-2</v>
      </c>
      <c r="W2689">
        <v>7.1099999999999997E-2</v>
      </c>
      <c r="X2689">
        <v>7.2800000000000004E-2</v>
      </c>
      <c r="Y2689">
        <v>7.4499999999999997E-2</v>
      </c>
    </row>
    <row r="2690" spans="1:25" hidden="1">
      <c r="A2690" t="s">
        <v>18811</v>
      </c>
      <c r="B2690" t="s">
        <v>1766</v>
      </c>
      <c r="C2690" t="s">
        <v>1614</v>
      </c>
      <c r="D2690" t="s">
        <v>1722</v>
      </c>
      <c r="E2690" t="s">
        <v>1378</v>
      </c>
      <c r="F2690" t="s">
        <v>598</v>
      </c>
      <c r="G2690" t="s">
        <v>599</v>
      </c>
      <c r="H2690" t="s">
        <v>600</v>
      </c>
      <c r="I2690" t="s">
        <v>601</v>
      </c>
      <c r="J2690">
        <v>1E-4</v>
      </c>
      <c r="K2690">
        <v>1E-4</v>
      </c>
      <c r="L2690">
        <v>1E-4</v>
      </c>
      <c r="M2690">
        <v>1E-4</v>
      </c>
      <c r="N2690">
        <v>1E-4</v>
      </c>
      <c r="O2690">
        <v>1E-4</v>
      </c>
      <c r="P2690">
        <v>1E-4</v>
      </c>
      <c r="Q2690">
        <v>1E-4</v>
      </c>
      <c r="R2690">
        <v>1E-4</v>
      </c>
      <c r="S2690">
        <v>1E-4</v>
      </c>
      <c r="T2690">
        <v>1E-4</v>
      </c>
      <c r="U2690">
        <v>1E-4</v>
      </c>
      <c r="V2690">
        <v>1E-4</v>
      </c>
      <c r="W2690">
        <v>1E-4</v>
      </c>
      <c r="X2690">
        <v>1E-4</v>
      </c>
      <c r="Y2690">
        <v>1E-4</v>
      </c>
    </row>
    <row r="2691" spans="1:25" hidden="1">
      <c r="A2691" t="s">
        <v>18811</v>
      </c>
      <c r="B2691" t="s">
        <v>1767</v>
      </c>
      <c r="C2691" t="s">
        <v>1614</v>
      </c>
      <c r="D2691" t="s">
        <v>1768</v>
      </c>
      <c r="E2691" t="s">
        <v>973</v>
      </c>
      <c r="F2691" t="s">
        <v>598</v>
      </c>
      <c r="G2691" t="s">
        <v>599</v>
      </c>
      <c r="H2691" t="s">
        <v>600</v>
      </c>
      <c r="I2691" t="s">
        <v>601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hidden="1">
      <c r="A2692" t="s">
        <v>18811</v>
      </c>
      <c r="B2692" t="s">
        <v>1769</v>
      </c>
      <c r="C2692" t="s">
        <v>1614</v>
      </c>
      <c r="D2692" t="s">
        <v>1768</v>
      </c>
      <c r="E2692" t="s">
        <v>1770</v>
      </c>
      <c r="F2692" t="s">
        <v>598</v>
      </c>
      <c r="G2692" t="s">
        <v>599</v>
      </c>
      <c r="H2692" t="s">
        <v>600</v>
      </c>
      <c r="I2692" t="s">
        <v>601</v>
      </c>
      <c r="J2692">
        <v>2.7000000000000001E-3</v>
      </c>
      <c r="K2692">
        <v>2.7000000000000001E-3</v>
      </c>
      <c r="L2692">
        <v>2.7000000000000001E-3</v>
      </c>
      <c r="M2692">
        <v>2.8E-3</v>
      </c>
      <c r="N2692">
        <v>2.8999999999999998E-3</v>
      </c>
      <c r="O2692">
        <v>2.8999999999999998E-3</v>
      </c>
      <c r="P2692">
        <v>2.8999999999999998E-3</v>
      </c>
      <c r="Q2692">
        <v>3.0000000000000001E-3</v>
      </c>
      <c r="R2692">
        <v>3.0999999999999999E-3</v>
      </c>
      <c r="S2692">
        <v>3.2000000000000002E-3</v>
      </c>
      <c r="T2692">
        <v>3.3E-3</v>
      </c>
      <c r="U2692">
        <v>3.3999999999999998E-3</v>
      </c>
      <c r="V2692">
        <v>3.5000000000000001E-3</v>
      </c>
      <c r="W2692">
        <v>3.5000000000000001E-3</v>
      </c>
      <c r="X2692">
        <v>3.5999999999999999E-3</v>
      </c>
      <c r="Y2692">
        <v>3.7000000000000002E-3</v>
      </c>
    </row>
    <row r="2693" spans="1:25" hidden="1">
      <c r="A2693" t="s">
        <v>18811</v>
      </c>
      <c r="B2693" t="s">
        <v>1771</v>
      </c>
      <c r="C2693" t="s">
        <v>1614</v>
      </c>
      <c r="D2693" t="s">
        <v>1768</v>
      </c>
      <c r="E2693" t="s">
        <v>1772</v>
      </c>
      <c r="F2693" t="s">
        <v>598</v>
      </c>
      <c r="G2693" t="s">
        <v>599</v>
      </c>
      <c r="H2693" t="s">
        <v>600</v>
      </c>
      <c r="I2693" t="s">
        <v>601</v>
      </c>
      <c r="J2693">
        <v>1.52E-2</v>
      </c>
      <c r="K2693">
        <v>1.54E-2</v>
      </c>
      <c r="L2693">
        <v>1.5599999999999999E-2</v>
      </c>
      <c r="M2693">
        <v>1.5699999999999999E-2</v>
      </c>
      <c r="N2693">
        <v>1.6E-2</v>
      </c>
      <c r="O2693">
        <v>1.6500000000000001E-2</v>
      </c>
      <c r="P2693">
        <v>1.6799999999999999E-2</v>
      </c>
      <c r="Q2693">
        <v>1.72E-2</v>
      </c>
      <c r="R2693">
        <v>1.7500000000000002E-2</v>
      </c>
      <c r="S2693">
        <v>1.7999999999999999E-2</v>
      </c>
      <c r="T2693">
        <v>1.83E-2</v>
      </c>
      <c r="U2693">
        <v>1.8700000000000001E-2</v>
      </c>
      <c r="V2693">
        <v>1.9300000000000001E-2</v>
      </c>
      <c r="W2693">
        <v>1.9800000000000002E-2</v>
      </c>
      <c r="X2693">
        <v>2.0199999999999999E-2</v>
      </c>
      <c r="Y2693">
        <v>2.07E-2</v>
      </c>
    </row>
    <row r="2694" spans="1:25" hidden="1">
      <c r="A2694" t="s">
        <v>18811</v>
      </c>
      <c r="B2694" t="s">
        <v>1775</v>
      </c>
      <c r="C2694" t="s">
        <v>1614</v>
      </c>
      <c r="D2694" t="s">
        <v>1776</v>
      </c>
      <c r="E2694" t="s">
        <v>1777</v>
      </c>
      <c r="F2694" t="s">
        <v>598</v>
      </c>
      <c r="G2694" t="s">
        <v>599</v>
      </c>
      <c r="H2694" t="s">
        <v>600</v>
      </c>
      <c r="I2694" t="s">
        <v>601</v>
      </c>
      <c r="J2694">
        <v>4.1999999999999997E-3</v>
      </c>
      <c r="K2694">
        <v>4.3E-3</v>
      </c>
      <c r="L2694">
        <v>4.3E-3</v>
      </c>
      <c r="M2694">
        <v>4.4000000000000003E-3</v>
      </c>
      <c r="N2694">
        <v>4.4000000000000003E-3</v>
      </c>
      <c r="O2694">
        <v>4.4999999999999997E-3</v>
      </c>
      <c r="P2694">
        <v>4.5999999999999999E-3</v>
      </c>
      <c r="Q2694">
        <v>4.7999999999999996E-3</v>
      </c>
      <c r="R2694">
        <v>4.8999999999999998E-3</v>
      </c>
      <c r="S2694">
        <v>5.1000000000000004E-3</v>
      </c>
      <c r="T2694">
        <v>5.1999999999999998E-3</v>
      </c>
      <c r="U2694">
        <v>5.3E-3</v>
      </c>
      <c r="V2694">
        <v>5.4999999999999997E-3</v>
      </c>
      <c r="W2694">
        <v>5.5999999999999999E-3</v>
      </c>
      <c r="X2694">
        <v>5.7999999999999996E-3</v>
      </c>
      <c r="Y2694">
        <v>5.7999999999999996E-3</v>
      </c>
    </row>
    <row r="2695" spans="1:25" hidden="1">
      <c r="A2695" t="s">
        <v>18811</v>
      </c>
      <c r="B2695" t="s">
        <v>1778</v>
      </c>
      <c r="C2695" t="s">
        <v>1614</v>
      </c>
      <c r="D2695" t="s">
        <v>1776</v>
      </c>
      <c r="E2695" t="s">
        <v>1777</v>
      </c>
      <c r="F2695" t="s">
        <v>1779</v>
      </c>
      <c r="G2695" t="s">
        <v>599</v>
      </c>
      <c r="H2695" t="s">
        <v>600</v>
      </c>
      <c r="I2695" t="s">
        <v>601</v>
      </c>
      <c r="J2695">
        <v>1.4500000000000001E-2</v>
      </c>
      <c r="K2695">
        <v>1.47E-2</v>
      </c>
      <c r="L2695">
        <v>1.49E-2</v>
      </c>
      <c r="M2695">
        <v>1.4999999999999999E-2</v>
      </c>
      <c r="N2695">
        <v>1.54E-2</v>
      </c>
      <c r="O2695">
        <v>1.5800000000000002E-2</v>
      </c>
      <c r="P2695">
        <v>1.6E-2</v>
      </c>
      <c r="Q2695">
        <v>1.6400000000000001E-2</v>
      </c>
      <c r="R2695">
        <v>1.6799999999999999E-2</v>
      </c>
      <c r="S2695">
        <v>1.72E-2</v>
      </c>
      <c r="T2695">
        <v>1.7600000000000001E-2</v>
      </c>
      <c r="U2695">
        <v>1.7999999999999999E-2</v>
      </c>
      <c r="V2695">
        <v>1.84E-2</v>
      </c>
      <c r="W2695">
        <v>1.89E-2</v>
      </c>
      <c r="X2695">
        <v>1.9300000000000001E-2</v>
      </c>
      <c r="Y2695">
        <v>1.9800000000000002E-2</v>
      </c>
    </row>
    <row r="2696" spans="1:25" hidden="1">
      <c r="A2696" t="s">
        <v>18811</v>
      </c>
      <c r="B2696" t="s">
        <v>1780</v>
      </c>
      <c r="C2696" t="s">
        <v>1614</v>
      </c>
      <c r="D2696" t="s">
        <v>1781</v>
      </c>
      <c r="E2696" t="s">
        <v>1716</v>
      </c>
      <c r="F2696" t="s">
        <v>598</v>
      </c>
      <c r="G2696" t="s">
        <v>599</v>
      </c>
      <c r="H2696" t="s">
        <v>600</v>
      </c>
      <c r="I2696" t="s">
        <v>601</v>
      </c>
      <c r="J2696">
        <v>2.7E-2</v>
      </c>
      <c r="K2696">
        <v>2.7300000000000001E-2</v>
      </c>
      <c r="L2696">
        <v>2.7699999999999999E-2</v>
      </c>
      <c r="M2696">
        <v>2.8000000000000001E-2</v>
      </c>
      <c r="N2696">
        <v>2.86E-2</v>
      </c>
      <c r="O2696">
        <v>2.92E-2</v>
      </c>
      <c r="P2696">
        <v>2.9899999999999999E-2</v>
      </c>
      <c r="Q2696">
        <v>3.0599999999999999E-2</v>
      </c>
      <c r="R2696">
        <v>3.1300000000000001E-2</v>
      </c>
      <c r="S2696">
        <v>3.2000000000000001E-2</v>
      </c>
      <c r="T2696">
        <v>3.2800000000000003E-2</v>
      </c>
      <c r="U2696">
        <v>3.3500000000000002E-2</v>
      </c>
      <c r="V2696">
        <v>3.44E-2</v>
      </c>
      <c r="W2696">
        <v>3.5400000000000001E-2</v>
      </c>
      <c r="X2696">
        <v>3.6200000000000003E-2</v>
      </c>
      <c r="Y2696">
        <v>3.6999999999999998E-2</v>
      </c>
    </row>
    <row r="2697" spans="1:25" hidden="1">
      <c r="A2697" t="s">
        <v>18811</v>
      </c>
      <c r="B2697" t="s">
        <v>1784</v>
      </c>
      <c r="C2697" t="s">
        <v>1614</v>
      </c>
      <c r="D2697" t="s">
        <v>1781</v>
      </c>
      <c r="E2697" t="s">
        <v>1785</v>
      </c>
      <c r="F2697" t="s">
        <v>598</v>
      </c>
      <c r="G2697" t="s">
        <v>599</v>
      </c>
      <c r="H2697" t="s">
        <v>600</v>
      </c>
      <c r="I2697" t="s">
        <v>601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hidden="1">
      <c r="A2698" t="s">
        <v>18811</v>
      </c>
      <c r="B2698" t="s">
        <v>1786</v>
      </c>
      <c r="C2698" t="s">
        <v>1614</v>
      </c>
      <c r="D2698" t="s">
        <v>1781</v>
      </c>
      <c r="E2698" t="s">
        <v>1787</v>
      </c>
      <c r="F2698" t="s">
        <v>598</v>
      </c>
      <c r="G2698" t="s">
        <v>599</v>
      </c>
      <c r="H2698" t="s">
        <v>600</v>
      </c>
      <c r="I2698" t="s">
        <v>601</v>
      </c>
      <c r="J2698">
        <v>1.4E-3</v>
      </c>
      <c r="K2698">
        <v>1.5E-3</v>
      </c>
      <c r="L2698">
        <v>1.5E-3</v>
      </c>
      <c r="M2698">
        <v>1.5E-3</v>
      </c>
      <c r="N2698">
        <v>1.5E-3</v>
      </c>
      <c r="O2698">
        <v>1.6000000000000001E-3</v>
      </c>
      <c r="P2698">
        <v>1.6000000000000001E-3</v>
      </c>
      <c r="Q2698">
        <v>1.6000000000000001E-3</v>
      </c>
      <c r="R2698">
        <v>1.6999999999999999E-3</v>
      </c>
      <c r="S2698">
        <v>1.6999999999999999E-3</v>
      </c>
      <c r="T2698">
        <v>1.6999999999999999E-3</v>
      </c>
      <c r="U2698">
        <v>1.8E-3</v>
      </c>
      <c r="V2698">
        <v>1.8E-3</v>
      </c>
      <c r="W2698">
        <v>1.9E-3</v>
      </c>
      <c r="X2698">
        <v>1.9E-3</v>
      </c>
      <c r="Y2698">
        <v>1.9E-3</v>
      </c>
    </row>
    <row r="2699" spans="1:25" hidden="1">
      <c r="A2699" t="s">
        <v>18811</v>
      </c>
      <c r="B2699" t="s">
        <v>1788</v>
      </c>
      <c r="C2699" t="s">
        <v>1614</v>
      </c>
      <c r="D2699" t="s">
        <v>1781</v>
      </c>
      <c r="E2699" t="s">
        <v>1789</v>
      </c>
      <c r="F2699" t="s">
        <v>598</v>
      </c>
      <c r="G2699" t="s">
        <v>599</v>
      </c>
      <c r="H2699" t="s">
        <v>600</v>
      </c>
      <c r="I2699" t="s">
        <v>601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hidden="1">
      <c r="A2700" t="s">
        <v>18811</v>
      </c>
      <c r="B2700" t="s">
        <v>1792</v>
      </c>
      <c r="C2700" t="s">
        <v>1614</v>
      </c>
      <c r="D2700" t="s">
        <v>1781</v>
      </c>
      <c r="E2700" t="s">
        <v>1793</v>
      </c>
      <c r="F2700" t="s">
        <v>598</v>
      </c>
      <c r="G2700" t="s">
        <v>599</v>
      </c>
      <c r="H2700" t="s">
        <v>600</v>
      </c>
      <c r="I2700" t="s">
        <v>601</v>
      </c>
      <c r="J2700">
        <v>7.0000000000000001E-3</v>
      </c>
      <c r="K2700">
        <v>7.1999999999999998E-3</v>
      </c>
      <c r="L2700">
        <v>7.1999999999999998E-3</v>
      </c>
      <c r="M2700">
        <v>7.4000000000000003E-3</v>
      </c>
      <c r="N2700">
        <v>7.7000000000000002E-3</v>
      </c>
      <c r="O2700">
        <v>7.9000000000000008E-3</v>
      </c>
      <c r="P2700">
        <v>8.0999999999999996E-3</v>
      </c>
      <c r="Q2700">
        <v>8.2000000000000007E-3</v>
      </c>
      <c r="R2700">
        <v>8.3000000000000001E-3</v>
      </c>
      <c r="S2700">
        <v>8.6E-3</v>
      </c>
      <c r="T2700">
        <v>8.6999999999999994E-3</v>
      </c>
      <c r="U2700">
        <v>8.9999999999999993E-3</v>
      </c>
      <c r="V2700">
        <v>9.1999999999999998E-3</v>
      </c>
      <c r="W2700">
        <v>9.4000000000000004E-3</v>
      </c>
      <c r="X2700">
        <v>9.4999999999999998E-3</v>
      </c>
      <c r="Y2700">
        <v>9.7999999999999997E-3</v>
      </c>
    </row>
    <row r="2701" spans="1:25" hidden="1">
      <c r="A2701" t="s">
        <v>18811</v>
      </c>
      <c r="B2701" t="s">
        <v>1794</v>
      </c>
      <c r="C2701" t="s">
        <v>1614</v>
      </c>
      <c r="D2701" t="s">
        <v>1781</v>
      </c>
      <c r="E2701" t="s">
        <v>1795</v>
      </c>
      <c r="F2701" t="s">
        <v>598</v>
      </c>
      <c r="G2701" t="s">
        <v>599</v>
      </c>
      <c r="H2701" t="s">
        <v>600</v>
      </c>
      <c r="I2701" t="s">
        <v>601</v>
      </c>
      <c r="J2701">
        <v>2.8999999999999998E-3</v>
      </c>
      <c r="K2701">
        <v>2.8999999999999998E-3</v>
      </c>
      <c r="L2701">
        <v>2.8999999999999998E-3</v>
      </c>
      <c r="M2701">
        <v>3.0000000000000001E-3</v>
      </c>
      <c r="N2701">
        <v>3.0999999999999999E-3</v>
      </c>
      <c r="O2701">
        <v>3.2000000000000002E-3</v>
      </c>
      <c r="P2701">
        <v>3.2000000000000002E-3</v>
      </c>
      <c r="Q2701">
        <v>3.3E-3</v>
      </c>
      <c r="R2701">
        <v>3.3999999999999998E-3</v>
      </c>
      <c r="S2701">
        <v>3.3999999999999998E-3</v>
      </c>
      <c r="T2701">
        <v>3.5000000000000001E-3</v>
      </c>
      <c r="U2701">
        <v>3.7000000000000002E-3</v>
      </c>
      <c r="V2701">
        <v>3.7000000000000002E-3</v>
      </c>
      <c r="W2701">
        <v>3.7000000000000002E-3</v>
      </c>
      <c r="X2701">
        <v>3.8999999999999998E-3</v>
      </c>
      <c r="Y2701">
        <v>4.0000000000000001E-3</v>
      </c>
    </row>
    <row r="2702" spans="1:25" hidden="1">
      <c r="A2702" t="s">
        <v>18811</v>
      </c>
      <c r="B2702" t="s">
        <v>1796</v>
      </c>
      <c r="C2702" t="s">
        <v>1614</v>
      </c>
      <c r="D2702" t="s">
        <v>1781</v>
      </c>
      <c r="E2702" t="s">
        <v>1797</v>
      </c>
      <c r="F2702" t="s">
        <v>598</v>
      </c>
      <c r="G2702" t="s">
        <v>599</v>
      </c>
      <c r="H2702" t="s">
        <v>600</v>
      </c>
      <c r="I2702" t="s">
        <v>601</v>
      </c>
      <c r="J2702">
        <v>5.5999999999999999E-3</v>
      </c>
      <c r="K2702">
        <v>5.7000000000000002E-3</v>
      </c>
      <c r="L2702">
        <v>5.7999999999999996E-3</v>
      </c>
      <c r="M2702">
        <v>5.7999999999999996E-3</v>
      </c>
      <c r="N2702">
        <v>6.0000000000000001E-3</v>
      </c>
      <c r="O2702">
        <v>6.1000000000000004E-3</v>
      </c>
      <c r="P2702">
        <v>6.1999999999999998E-3</v>
      </c>
      <c r="Q2702">
        <v>6.3E-3</v>
      </c>
      <c r="R2702">
        <v>6.4999999999999997E-3</v>
      </c>
      <c r="S2702">
        <v>6.6E-3</v>
      </c>
      <c r="T2702">
        <v>6.8999999999999999E-3</v>
      </c>
      <c r="U2702">
        <v>7.0000000000000001E-3</v>
      </c>
      <c r="V2702">
        <v>7.3000000000000001E-3</v>
      </c>
      <c r="W2702">
        <v>7.4999999999999997E-3</v>
      </c>
      <c r="X2702">
        <v>7.6E-3</v>
      </c>
      <c r="Y2702">
        <v>7.7999999999999996E-3</v>
      </c>
    </row>
    <row r="2703" spans="1:25" hidden="1">
      <c r="A2703" t="s">
        <v>18811</v>
      </c>
      <c r="B2703" t="s">
        <v>1800</v>
      </c>
      <c r="C2703" t="s">
        <v>1614</v>
      </c>
      <c r="D2703" t="s">
        <v>1781</v>
      </c>
      <c r="E2703" t="s">
        <v>1801</v>
      </c>
      <c r="F2703" t="s">
        <v>598</v>
      </c>
      <c r="G2703" t="s">
        <v>599</v>
      </c>
      <c r="H2703" t="s">
        <v>600</v>
      </c>
      <c r="I2703" t="s">
        <v>601</v>
      </c>
      <c r="J2703">
        <v>5.0000000000000001E-4</v>
      </c>
      <c r="K2703">
        <v>5.0000000000000001E-4</v>
      </c>
      <c r="L2703">
        <v>5.0000000000000001E-4</v>
      </c>
      <c r="M2703">
        <v>5.0000000000000001E-4</v>
      </c>
      <c r="N2703">
        <v>5.0000000000000001E-4</v>
      </c>
      <c r="O2703">
        <v>5.0000000000000001E-4</v>
      </c>
      <c r="P2703">
        <v>5.0000000000000001E-4</v>
      </c>
      <c r="Q2703">
        <v>5.0000000000000001E-4</v>
      </c>
      <c r="R2703">
        <v>5.0000000000000001E-4</v>
      </c>
      <c r="S2703">
        <v>5.0000000000000001E-4</v>
      </c>
      <c r="T2703">
        <v>5.0000000000000001E-4</v>
      </c>
      <c r="U2703">
        <v>6.9999999999999999E-4</v>
      </c>
      <c r="V2703">
        <v>6.9999999999999999E-4</v>
      </c>
      <c r="W2703">
        <v>6.9999999999999999E-4</v>
      </c>
      <c r="X2703">
        <v>6.9999999999999999E-4</v>
      </c>
      <c r="Y2703">
        <v>6.9999999999999999E-4</v>
      </c>
    </row>
    <row r="2704" spans="1:25" hidden="1">
      <c r="A2704" t="s">
        <v>18811</v>
      </c>
      <c r="B2704" t="s">
        <v>1802</v>
      </c>
      <c r="C2704" t="s">
        <v>1614</v>
      </c>
      <c r="D2704" t="s">
        <v>1781</v>
      </c>
      <c r="E2704" t="s">
        <v>1803</v>
      </c>
      <c r="F2704" t="s">
        <v>598</v>
      </c>
      <c r="G2704" t="s">
        <v>599</v>
      </c>
      <c r="H2704" t="s">
        <v>600</v>
      </c>
      <c r="I2704" t="s">
        <v>601</v>
      </c>
      <c r="J2704">
        <v>8.9999999999999998E-4</v>
      </c>
      <c r="K2704">
        <v>1E-3</v>
      </c>
      <c r="L2704">
        <v>1E-3</v>
      </c>
      <c r="M2704">
        <v>1E-3</v>
      </c>
      <c r="N2704">
        <v>1E-3</v>
      </c>
      <c r="O2704">
        <v>1E-3</v>
      </c>
      <c r="P2704">
        <v>1.1000000000000001E-3</v>
      </c>
      <c r="Q2704">
        <v>1.1000000000000001E-3</v>
      </c>
      <c r="R2704">
        <v>1.1000000000000001E-3</v>
      </c>
      <c r="S2704">
        <v>1.1000000000000001E-3</v>
      </c>
      <c r="T2704">
        <v>1.1000000000000001E-3</v>
      </c>
      <c r="U2704">
        <v>1.1999999999999999E-3</v>
      </c>
      <c r="V2704">
        <v>1.1999999999999999E-3</v>
      </c>
      <c r="W2704">
        <v>1.1999999999999999E-3</v>
      </c>
      <c r="X2704">
        <v>1.1999999999999999E-3</v>
      </c>
      <c r="Y2704">
        <v>1.1999999999999999E-3</v>
      </c>
    </row>
    <row r="2705" spans="1:25" hidden="1">
      <c r="A2705" t="s">
        <v>18811</v>
      </c>
      <c r="B2705" t="s">
        <v>1804</v>
      </c>
      <c r="C2705" t="s">
        <v>1614</v>
      </c>
      <c r="D2705" t="s">
        <v>1781</v>
      </c>
      <c r="E2705" t="s">
        <v>1805</v>
      </c>
      <c r="F2705" t="s">
        <v>598</v>
      </c>
      <c r="G2705" t="s">
        <v>599</v>
      </c>
      <c r="H2705" t="s">
        <v>600</v>
      </c>
      <c r="I2705" t="s">
        <v>601</v>
      </c>
      <c r="J2705">
        <v>1.7500000000000002E-2</v>
      </c>
      <c r="K2705">
        <v>1.7899999999999999E-2</v>
      </c>
      <c r="L2705">
        <v>1.8200000000000001E-2</v>
      </c>
      <c r="M2705">
        <v>1.83E-2</v>
      </c>
      <c r="N2705">
        <v>1.8700000000000001E-2</v>
      </c>
      <c r="O2705">
        <v>1.9E-2</v>
      </c>
      <c r="P2705">
        <v>1.9400000000000001E-2</v>
      </c>
      <c r="Q2705">
        <v>1.9900000000000001E-2</v>
      </c>
      <c r="R2705">
        <v>2.0299999999999999E-2</v>
      </c>
      <c r="S2705">
        <v>2.07E-2</v>
      </c>
      <c r="T2705">
        <v>2.1299999999999999E-2</v>
      </c>
      <c r="U2705">
        <v>2.1899999999999999E-2</v>
      </c>
      <c r="V2705">
        <v>2.24E-2</v>
      </c>
      <c r="W2705">
        <v>2.29E-2</v>
      </c>
      <c r="X2705">
        <v>2.35E-2</v>
      </c>
      <c r="Y2705">
        <v>2.3900000000000001E-2</v>
      </c>
    </row>
    <row r="2706" spans="1:25" hidden="1">
      <c r="A2706" t="s">
        <v>18811</v>
      </c>
      <c r="B2706" t="s">
        <v>1808</v>
      </c>
      <c r="C2706" t="s">
        <v>1614</v>
      </c>
      <c r="D2706" t="s">
        <v>1781</v>
      </c>
      <c r="E2706" t="s">
        <v>1809</v>
      </c>
      <c r="F2706" t="s">
        <v>598</v>
      </c>
      <c r="G2706" t="s">
        <v>599</v>
      </c>
      <c r="H2706" t="s">
        <v>600</v>
      </c>
      <c r="I2706" t="s">
        <v>601</v>
      </c>
      <c r="J2706">
        <v>1E-4</v>
      </c>
      <c r="K2706">
        <v>1E-4</v>
      </c>
      <c r="L2706">
        <v>1E-4</v>
      </c>
      <c r="M2706">
        <v>1E-4</v>
      </c>
      <c r="N2706">
        <v>1E-4</v>
      </c>
      <c r="O2706">
        <v>1E-4</v>
      </c>
      <c r="P2706">
        <v>1E-4</v>
      </c>
      <c r="Q2706">
        <v>1E-4</v>
      </c>
      <c r="R2706">
        <v>1E-4</v>
      </c>
      <c r="S2706">
        <v>1E-4</v>
      </c>
      <c r="T2706">
        <v>1E-4</v>
      </c>
      <c r="U2706">
        <v>1E-4</v>
      </c>
      <c r="V2706">
        <v>1E-4</v>
      </c>
      <c r="W2706">
        <v>1E-4</v>
      </c>
      <c r="X2706">
        <v>1E-4</v>
      </c>
      <c r="Y2706">
        <v>1E-4</v>
      </c>
    </row>
    <row r="2707" spans="1:25" hidden="1">
      <c r="A2707" t="s">
        <v>18811</v>
      </c>
      <c r="B2707" t="s">
        <v>1814</v>
      </c>
      <c r="C2707" t="s">
        <v>1614</v>
      </c>
      <c r="D2707" t="s">
        <v>1812</v>
      </c>
      <c r="E2707" t="s">
        <v>1081</v>
      </c>
      <c r="F2707" t="s">
        <v>598</v>
      </c>
      <c r="G2707" t="s">
        <v>599</v>
      </c>
      <c r="H2707" t="s">
        <v>600</v>
      </c>
      <c r="I2707" t="s">
        <v>601</v>
      </c>
      <c r="J2707">
        <v>5.3E-3</v>
      </c>
      <c r="K2707">
        <v>5.4000000000000003E-3</v>
      </c>
      <c r="L2707">
        <v>5.4000000000000003E-3</v>
      </c>
      <c r="M2707">
        <v>5.4999999999999997E-3</v>
      </c>
      <c r="N2707">
        <v>5.5999999999999999E-3</v>
      </c>
      <c r="O2707">
        <v>5.7000000000000002E-3</v>
      </c>
      <c r="P2707">
        <v>5.8999999999999999E-3</v>
      </c>
      <c r="Q2707">
        <v>6.0000000000000001E-3</v>
      </c>
      <c r="R2707">
        <v>6.1000000000000004E-3</v>
      </c>
      <c r="S2707">
        <v>6.1999999999999998E-3</v>
      </c>
      <c r="T2707">
        <v>6.4000000000000003E-3</v>
      </c>
      <c r="U2707">
        <v>6.4999999999999997E-3</v>
      </c>
      <c r="V2707">
        <v>6.7000000000000002E-3</v>
      </c>
      <c r="W2707">
        <v>6.8999999999999999E-3</v>
      </c>
      <c r="X2707">
        <v>7.0000000000000001E-3</v>
      </c>
      <c r="Y2707">
        <v>7.1999999999999998E-3</v>
      </c>
    </row>
    <row r="2708" spans="1:25" hidden="1">
      <c r="A2708" t="s">
        <v>18811</v>
      </c>
      <c r="B2708" t="s">
        <v>1816</v>
      </c>
      <c r="C2708" t="s">
        <v>1614</v>
      </c>
      <c r="D2708" t="s">
        <v>1817</v>
      </c>
      <c r="E2708" t="s">
        <v>1765</v>
      </c>
      <c r="F2708" t="s">
        <v>598</v>
      </c>
      <c r="G2708" t="s">
        <v>599</v>
      </c>
      <c r="H2708" t="s">
        <v>600</v>
      </c>
      <c r="I2708" t="s">
        <v>601</v>
      </c>
      <c r="J2708">
        <v>1E-4</v>
      </c>
      <c r="K2708">
        <v>1E-4</v>
      </c>
      <c r="L2708">
        <v>1E-4</v>
      </c>
      <c r="M2708">
        <v>1E-4</v>
      </c>
      <c r="N2708">
        <v>1E-4</v>
      </c>
      <c r="O2708">
        <v>1E-4</v>
      </c>
      <c r="P2708">
        <v>1E-4</v>
      </c>
      <c r="Q2708">
        <v>1E-4</v>
      </c>
      <c r="R2708">
        <v>1E-4</v>
      </c>
      <c r="S2708">
        <v>1E-4</v>
      </c>
      <c r="T2708">
        <v>1E-4</v>
      </c>
      <c r="U2708">
        <v>1E-4</v>
      </c>
      <c r="V2708">
        <v>1E-4</v>
      </c>
      <c r="W2708">
        <v>1E-4</v>
      </c>
      <c r="X2708">
        <v>1E-4</v>
      </c>
      <c r="Y2708">
        <v>2.0000000000000001E-4</v>
      </c>
    </row>
    <row r="2709" spans="1:25" hidden="1">
      <c r="A2709" t="s">
        <v>18811</v>
      </c>
      <c r="B2709" t="s">
        <v>1819</v>
      </c>
      <c r="C2709" t="s">
        <v>1614</v>
      </c>
      <c r="D2709" t="s">
        <v>648</v>
      </c>
      <c r="E2709" t="s">
        <v>1340</v>
      </c>
      <c r="F2709" t="s">
        <v>598</v>
      </c>
      <c r="G2709" t="s">
        <v>599</v>
      </c>
      <c r="H2709" t="s">
        <v>600</v>
      </c>
      <c r="I2709" t="s">
        <v>601</v>
      </c>
      <c r="J2709">
        <v>8.8999999999999999E-3</v>
      </c>
      <c r="K2709">
        <v>8.9999999999999993E-3</v>
      </c>
      <c r="L2709">
        <v>8.9999999999999993E-3</v>
      </c>
      <c r="M2709">
        <v>9.2999999999999992E-3</v>
      </c>
      <c r="N2709">
        <v>9.4999999999999998E-3</v>
      </c>
      <c r="O2709">
        <v>9.5999999999999992E-3</v>
      </c>
      <c r="P2709">
        <v>9.9000000000000008E-3</v>
      </c>
      <c r="Q2709">
        <v>1.01E-2</v>
      </c>
      <c r="R2709">
        <v>1.03E-2</v>
      </c>
      <c r="S2709">
        <v>1.0500000000000001E-2</v>
      </c>
      <c r="T2709">
        <v>1.0699999999999999E-2</v>
      </c>
      <c r="U2709">
        <v>1.11E-2</v>
      </c>
      <c r="V2709">
        <v>1.14E-2</v>
      </c>
      <c r="W2709">
        <v>1.17E-2</v>
      </c>
      <c r="X2709">
        <v>1.1900000000000001E-2</v>
      </c>
      <c r="Y2709">
        <v>1.2200000000000001E-2</v>
      </c>
    </row>
    <row r="2710" spans="1:25" hidden="1">
      <c r="A2710" t="s">
        <v>18811</v>
      </c>
      <c r="B2710" t="s">
        <v>1820</v>
      </c>
      <c r="C2710" t="s">
        <v>1614</v>
      </c>
      <c r="D2710" t="s">
        <v>648</v>
      </c>
      <c r="E2710" t="s">
        <v>1731</v>
      </c>
      <c r="F2710" t="s">
        <v>598</v>
      </c>
      <c r="G2710" t="s">
        <v>599</v>
      </c>
      <c r="H2710" t="s">
        <v>600</v>
      </c>
      <c r="I2710" t="s">
        <v>601</v>
      </c>
      <c r="J2710">
        <v>3.0000000000000001E-3</v>
      </c>
      <c r="K2710">
        <v>3.0000000000000001E-3</v>
      </c>
      <c r="L2710">
        <v>3.0000000000000001E-3</v>
      </c>
      <c r="M2710">
        <v>3.0999999999999999E-3</v>
      </c>
      <c r="N2710">
        <v>3.0999999999999999E-3</v>
      </c>
      <c r="O2710">
        <v>3.2000000000000002E-3</v>
      </c>
      <c r="P2710">
        <v>3.3E-3</v>
      </c>
      <c r="Q2710">
        <v>3.3E-3</v>
      </c>
      <c r="R2710">
        <v>3.3999999999999998E-3</v>
      </c>
      <c r="S2710">
        <v>3.5000000000000001E-3</v>
      </c>
      <c r="T2710">
        <v>3.5999999999999999E-3</v>
      </c>
      <c r="U2710">
        <v>3.7000000000000002E-3</v>
      </c>
      <c r="V2710">
        <v>3.8E-3</v>
      </c>
      <c r="W2710">
        <v>3.8999999999999998E-3</v>
      </c>
      <c r="X2710">
        <v>4.0000000000000001E-3</v>
      </c>
      <c r="Y2710">
        <v>4.0000000000000001E-3</v>
      </c>
    </row>
    <row r="2711" spans="1:25" hidden="1">
      <c r="A2711" t="s">
        <v>18811</v>
      </c>
      <c r="B2711" t="s">
        <v>1825</v>
      </c>
      <c r="C2711" t="s">
        <v>1614</v>
      </c>
      <c r="D2711" t="s">
        <v>648</v>
      </c>
      <c r="E2711" t="s">
        <v>954</v>
      </c>
      <c r="F2711" t="s">
        <v>598</v>
      </c>
      <c r="G2711" t="s">
        <v>599</v>
      </c>
      <c r="H2711" t="s">
        <v>600</v>
      </c>
      <c r="I2711" t="s">
        <v>601</v>
      </c>
      <c r="J2711">
        <v>7.4999999999999997E-3</v>
      </c>
      <c r="K2711">
        <v>7.6E-3</v>
      </c>
      <c r="L2711">
        <v>7.6E-3</v>
      </c>
      <c r="M2711">
        <v>7.7999999999999996E-3</v>
      </c>
      <c r="N2711">
        <v>8.0000000000000002E-3</v>
      </c>
      <c r="O2711">
        <v>8.0999999999999996E-3</v>
      </c>
      <c r="P2711">
        <v>8.2000000000000007E-3</v>
      </c>
      <c r="Q2711">
        <v>8.3999999999999995E-3</v>
      </c>
      <c r="R2711">
        <v>8.6E-3</v>
      </c>
      <c r="S2711">
        <v>8.8000000000000005E-3</v>
      </c>
      <c r="T2711">
        <v>8.8999999999999999E-3</v>
      </c>
      <c r="U2711">
        <v>9.1999999999999998E-3</v>
      </c>
      <c r="V2711">
        <v>9.2999999999999992E-3</v>
      </c>
      <c r="W2711">
        <v>9.5999999999999992E-3</v>
      </c>
      <c r="X2711">
        <v>0.01</v>
      </c>
      <c r="Y2711">
        <v>1.0200000000000001E-2</v>
      </c>
    </row>
    <row r="2712" spans="1:25" hidden="1">
      <c r="A2712" t="s">
        <v>18811</v>
      </c>
      <c r="B2712" t="s">
        <v>1830</v>
      </c>
      <c r="C2712" t="s">
        <v>1614</v>
      </c>
      <c r="D2712" t="s">
        <v>648</v>
      </c>
      <c r="E2712" t="s">
        <v>1831</v>
      </c>
      <c r="F2712" t="s">
        <v>598</v>
      </c>
      <c r="G2712" t="s">
        <v>599</v>
      </c>
      <c r="H2712" t="s">
        <v>600</v>
      </c>
      <c r="I2712" t="s">
        <v>601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hidden="1">
      <c r="A2713" t="s">
        <v>18811</v>
      </c>
      <c r="B2713" t="s">
        <v>1834</v>
      </c>
      <c r="C2713" t="s">
        <v>1614</v>
      </c>
      <c r="D2713" t="s">
        <v>648</v>
      </c>
      <c r="E2713" t="s">
        <v>1835</v>
      </c>
      <c r="F2713" t="s">
        <v>598</v>
      </c>
      <c r="G2713" t="s">
        <v>599</v>
      </c>
      <c r="H2713" t="s">
        <v>600</v>
      </c>
      <c r="I2713" t="s">
        <v>601</v>
      </c>
      <c r="J2713">
        <v>2.0000000000000001E-4</v>
      </c>
      <c r="K2713">
        <v>2.0000000000000001E-4</v>
      </c>
      <c r="L2713">
        <v>2.0000000000000001E-4</v>
      </c>
      <c r="M2713">
        <v>2.9999999999999997E-4</v>
      </c>
      <c r="N2713">
        <v>2.9999999999999997E-4</v>
      </c>
      <c r="O2713">
        <v>2.9999999999999997E-4</v>
      </c>
      <c r="P2713">
        <v>2.9999999999999997E-4</v>
      </c>
      <c r="Q2713">
        <v>2.9999999999999997E-4</v>
      </c>
      <c r="R2713">
        <v>2.9999999999999997E-4</v>
      </c>
      <c r="S2713">
        <v>2.9999999999999997E-4</v>
      </c>
      <c r="T2713">
        <v>2.9999999999999997E-4</v>
      </c>
      <c r="U2713">
        <v>2.9999999999999997E-4</v>
      </c>
      <c r="V2713">
        <v>2.9999999999999997E-4</v>
      </c>
      <c r="W2713">
        <v>2.9999999999999997E-4</v>
      </c>
      <c r="X2713">
        <v>2.9999999999999997E-4</v>
      </c>
      <c r="Y2713">
        <v>2.9999999999999997E-4</v>
      </c>
    </row>
    <row r="2714" spans="1:25" hidden="1">
      <c r="A2714" t="s">
        <v>18811</v>
      </c>
      <c r="B2714" t="s">
        <v>1838</v>
      </c>
      <c r="C2714" t="s">
        <v>1614</v>
      </c>
      <c r="D2714" t="s">
        <v>648</v>
      </c>
      <c r="E2714" t="s">
        <v>1718</v>
      </c>
      <c r="F2714" t="s">
        <v>598</v>
      </c>
      <c r="G2714" t="s">
        <v>599</v>
      </c>
      <c r="H2714" t="s">
        <v>600</v>
      </c>
      <c r="I2714" t="s">
        <v>601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hidden="1">
      <c r="A2715" t="s">
        <v>18811</v>
      </c>
      <c r="B2715" t="s">
        <v>1839</v>
      </c>
      <c r="C2715" t="s">
        <v>1614</v>
      </c>
      <c r="D2715" t="s">
        <v>648</v>
      </c>
      <c r="E2715" t="s">
        <v>1765</v>
      </c>
      <c r="F2715" t="s">
        <v>598</v>
      </c>
      <c r="G2715" t="s">
        <v>599</v>
      </c>
      <c r="H2715" t="s">
        <v>600</v>
      </c>
      <c r="I2715" t="s">
        <v>601</v>
      </c>
      <c r="J2715">
        <v>5.4999999999999997E-3</v>
      </c>
      <c r="K2715">
        <v>5.5999999999999999E-3</v>
      </c>
      <c r="L2715">
        <v>5.5999999999999999E-3</v>
      </c>
      <c r="M2715">
        <v>5.5999999999999999E-3</v>
      </c>
      <c r="N2715">
        <v>5.7000000000000002E-3</v>
      </c>
      <c r="O2715">
        <v>5.7000000000000002E-3</v>
      </c>
      <c r="P2715">
        <v>6.0000000000000001E-3</v>
      </c>
      <c r="Q2715">
        <v>6.3E-3</v>
      </c>
      <c r="R2715">
        <v>6.3E-3</v>
      </c>
      <c r="S2715">
        <v>6.6E-3</v>
      </c>
      <c r="T2715">
        <v>6.7999999999999996E-3</v>
      </c>
      <c r="U2715">
        <v>7.0000000000000001E-3</v>
      </c>
      <c r="V2715">
        <v>7.1999999999999998E-3</v>
      </c>
      <c r="W2715">
        <v>7.3000000000000001E-3</v>
      </c>
      <c r="X2715">
        <v>7.4999999999999997E-3</v>
      </c>
      <c r="Y2715">
        <v>7.6E-3</v>
      </c>
    </row>
    <row r="2716" spans="1:25" hidden="1">
      <c r="A2716" t="s">
        <v>18811</v>
      </c>
      <c r="B2716" t="s">
        <v>1842</v>
      </c>
      <c r="C2716" t="s">
        <v>1614</v>
      </c>
      <c r="D2716" t="s">
        <v>648</v>
      </c>
      <c r="E2716" t="s">
        <v>1239</v>
      </c>
      <c r="F2716" t="s">
        <v>598</v>
      </c>
      <c r="G2716" t="s">
        <v>599</v>
      </c>
      <c r="H2716" t="s">
        <v>600</v>
      </c>
      <c r="I2716" t="s">
        <v>601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hidden="1">
      <c r="A2717" t="s">
        <v>18811</v>
      </c>
      <c r="B2717" t="s">
        <v>1847</v>
      </c>
      <c r="C2717" t="s">
        <v>1845</v>
      </c>
      <c r="D2717" t="s">
        <v>1324</v>
      </c>
      <c r="E2717" t="s">
        <v>1340</v>
      </c>
      <c r="F2717" t="s">
        <v>598</v>
      </c>
      <c r="G2717" t="s">
        <v>599</v>
      </c>
      <c r="H2717" t="s">
        <v>600</v>
      </c>
      <c r="I2717" t="s">
        <v>601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hidden="1">
      <c r="A2718" t="s">
        <v>18811</v>
      </c>
      <c r="B2718" t="s">
        <v>1850</v>
      </c>
      <c r="C2718" t="s">
        <v>1845</v>
      </c>
      <c r="D2718" t="s">
        <v>1324</v>
      </c>
      <c r="E2718" t="s">
        <v>1851</v>
      </c>
      <c r="F2718" t="s">
        <v>598</v>
      </c>
      <c r="G2718" t="s">
        <v>599</v>
      </c>
      <c r="H2718" t="s">
        <v>600</v>
      </c>
      <c r="I2718" t="s">
        <v>601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hidden="1">
      <c r="A2719" t="s">
        <v>18811</v>
      </c>
      <c r="B2719" t="s">
        <v>1852</v>
      </c>
      <c r="C2719" t="s">
        <v>1845</v>
      </c>
      <c r="D2719" t="s">
        <v>1332</v>
      </c>
      <c r="E2719" t="s">
        <v>1340</v>
      </c>
      <c r="F2719" t="s">
        <v>598</v>
      </c>
      <c r="G2719" t="s">
        <v>599</v>
      </c>
      <c r="H2719" t="s">
        <v>600</v>
      </c>
      <c r="I2719" t="s">
        <v>601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hidden="1">
      <c r="A2720" t="s">
        <v>18811</v>
      </c>
      <c r="B2720" t="s">
        <v>1853</v>
      </c>
      <c r="C2720" t="s">
        <v>1845</v>
      </c>
      <c r="D2720" t="s">
        <v>1332</v>
      </c>
      <c r="E2720" t="s">
        <v>1733</v>
      </c>
      <c r="F2720" t="s">
        <v>598</v>
      </c>
      <c r="G2720" t="s">
        <v>599</v>
      </c>
      <c r="H2720" t="s">
        <v>600</v>
      </c>
      <c r="I2720" t="s">
        <v>601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hidden="1">
      <c r="A2721" t="s">
        <v>18811</v>
      </c>
      <c r="B2721" t="s">
        <v>1855</v>
      </c>
      <c r="C2721" t="s">
        <v>1845</v>
      </c>
      <c r="D2721" t="s">
        <v>1350</v>
      </c>
      <c r="E2721" t="s">
        <v>1684</v>
      </c>
      <c r="F2721" t="s">
        <v>598</v>
      </c>
      <c r="G2721" t="s">
        <v>599</v>
      </c>
      <c r="H2721" t="s">
        <v>600</v>
      </c>
      <c r="I2721" t="s">
        <v>601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hidden="1">
      <c r="A2722" t="s">
        <v>18811</v>
      </c>
      <c r="B2722" t="s">
        <v>1858</v>
      </c>
      <c r="C2722" t="s">
        <v>1845</v>
      </c>
      <c r="D2722" t="s">
        <v>1859</v>
      </c>
      <c r="E2722" t="s">
        <v>1860</v>
      </c>
      <c r="F2722" t="s">
        <v>598</v>
      </c>
      <c r="G2722" t="s">
        <v>599</v>
      </c>
      <c r="H2722" t="s">
        <v>600</v>
      </c>
      <c r="I2722" t="s">
        <v>601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hidden="1">
      <c r="A2723" t="s">
        <v>18811</v>
      </c>
      <c r="B2723" t="s">
        <v>1861</v>
      </c>
      <c r="C2723" t="s">
        <v>1845</v>
      </c>
      <c r="D2723" t="s">
        <v>1862</v>
      </c>
      <c r="E2723" t="s">
        <v>1860</v>
      </c>
      <c r="F2723" t="s">
        <v>598</v>
      </c>
      <c r="G2723" t="s">
        <v>599</v>
      </c>
      <c r="H2723" t="s">
        <v>600</v>
      </c>
      <c r="I2723" t="s">
        <v>601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hidden="1">
      <c r="A2724" t="s">
        <v>18811</v>
      </c>
      <c r="B2724" t="s">
        <v>1863</v>
      </c>
      <c r="C2724" t="s">
        <v>1845</v>
      </c>
      <c r="D2724" t="s">
        <v>1864</v>
      </c>
      <c r="E2724" t="s">
        <v>1865</v>
      </c>
      <c r="F2724" t="s">
        <v>598</v>
      </c>
      <c r="G2724" t="s">
        <v>599</v>
      </c>
      <c r="H2724" t="s">
        <v>600</v>
      </c>
      <c r="I2724" t="s">
        <v>601</v>
      </c>
      <c r="J2724">
        <v>1E-3</v>
      </c>
      <c r="K2724">
        <v>1.1000000000000001E-3</v>
      </c>
      <c r="L2724">
        <v>1.1000000000000001E-3</v>
      </c>
      <c r="M2724">
        <v>1.1000000000000001E-3</v>
      </c>
      <c r="N2724">
        <v>1.1000000000000001E-3</v>
      </c>
      <c r="O2724">
        <v>1.1000000000000001E-3</v>
      </c>
      <c r="P2724">
        <v>1.1999999999999999E-3</v>
      </c>
      <c r="Q2724">
        <v>1.1999999999999999E-3</v>
      </c>
      <c r="R2724">
        <v>1.1999999999999999E-3</v>
      </c>
      <c r="S2724">
        <v>1.1999999999999999E-3</v>
      </c>
      <c r="T2724">
        <v>1.1999999999999999E-3</v>
      </c>
      <c r="U2724">
        <v>1.1999999999999999E-3</v>
      </c>
      <c r="V2724">
        <v>1.2999999999999999E-3</v>
      </c>
      <c r="W2724">
        <v>1.2999999999999999E-3</v>
      </c>
      <c r="X2724">
        <v>1.2999999999999999E-3</v>
      </c>
      <c r="Y2724">
        <v>1.2999999999999999E-3</v>
      </c>
    </row>
    <row r="2725" spans="1:25" hidden="1">
      <c r="A2725" t="s">
        <v>18811</v>
      </c>
      <c r="B2725" t="s">
        <v>1866</v>
      </c>
      <c r="C2725" t="s">
        <v>1845</v>
      </c>
      <c r="D2725" t="s">
        <v>1864</v>
      </c>
      <c r="E2725" t="s">
        <v>1867</v>
      </c>
      <c r="F2725" t="s">
        <v>598</v>
      </c>
      <c r="G2725" t="s">
        <v>599</v>
      </c>
      <c r="H2725" t="s">
        <v>600</v>
      </c>
      <c r="I2725" t="s">
        <v>601</v>
      </c>
      <c r="J2725">
        <v>1E-4</v>
      </c>
      <c r="K2725">
        <v>1E-4</v>
      </c>
      <c r="L2725">
        <v>1E-4</v>
      </c>
      <c r="M2725">
        <v>1E-4</v>
      </c>
      <c r="N2725">
        <v>1E-4</v>
      </c>
      <c r="O2725">
        <v>1E-4</v>
      </c>
      <c r="P2725">
        <v>1E-4</v>
      </c>
      <c r="Q2725">
        <v>1E-4</v>
      </c>
      <c r="R2725">
        <v>1E-4</v>
      </c>
      <c r="S2725">
        <v>1E-4</v>
      </c>
      <c r="T2725">
        <v>1E-4</v>
      </c>
      <c r="U2725">
        <v>1E-4</v>
      </c>
      <c r="V2725">
        <v>1E-4</v>
      </c>
      <c r="W2725">
        <v>2.0000000000000001E-4</v>
      </c>
      <c r="X2725">
        <v>2.0000000000000001E-4</v>
      </c>
      <c r="Y2725">
        <v>2.0000000000000001E-4</v>
      </c>
    </row>
    <row r="2726" spans="1:25" hidden="1">
      <c r="A2726" t="s">
        <v>18811</v>
      </c>
      <c r="B2726" t="s">
        <v>1868</v>
      </c>
      <c r="C2726" t="s">
        <v>1845</v>
      </c>
      <c r="D2726" t="s">
        <v>1864</v>
      </c>
      <c r="E2726" t="s">
        <v>1869</v>
      </c>
      <c r="F2726" t="s">
        <v>598</v>
      </c>
      <c r="G2726" t="s">
        <v>599</v>
      </c>
      <c r="H2726" t="s">
        <v>600</v>
      </c>
      <c r="I2726" t="s">
        <v>601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hidden="1">
      <c r="A2727" t="s">
        <v>18811</v>
      </c>
      <c r="B2727" t="s">
        <v>1870</v>
      </c>
      <c r="C2727" t="s">
        <v>1845</v>
      </c>
      <c r="D2727" t="s">
        <v>1871</v>
      </c>
      <c r="E2727" t="s">
        <v>1872</v>
      </c>
      <c r="F2727" t="s">
        <v>598</v>
      </c>
      <c r="G2727" t="s">
        <v>599</v>
      </c>
      <c r="H2727" t="s">
        <v>600</v>
      </c>
      <c r="I2727" t="s">
        <v>601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hidden="1">
      <c r="A2728" t="s">
        <v>18811</v>
      </c>
      <c r="B2728" t="s">
        <v>1875</v>
      </c>
      <c r="C2728" t="s">
        <v>1845</v>
      </c>
      <c r="D2728" t="s">
        <v>1876</v>
      </c>
      <c r="E2728" t="s">
        <v>1872</v>
      </c>
      <c r="F2728" t="s">
        <v>598</v>
      </c>
      <c r="G2728" t="s">
        <v>599</v>
      </c>
      <c r="H2728" t="s">
        <v>600</v>
      </c>
      <c r="I2728" t="s">
        <v>601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hidden="1">
      <c r="A2729" t="s">
        <v>18811</v>
      </c>
      <c r="B2729" t="s">
        <v>1877</v>
      </c>
      <c r="C2729" t="s">
        <v>1845</v>
      </c>
      <c r="D2729" t="s">
        <v>1878</v>
      </c>
      <c r="E2729" t="s">
        <v>1872</v>
      </c>
      <c r="F2729" t="s">
        <v>598</v>
      </c>
      <c r="G2729" t="s">
        <v>599</v>
      </c>
      <c r="H2729" t="s">
        <v>600</v>
      </c>
      <c r="I2729" t="s">
        <v>601</v>
      </c>
      <c r="J2729">
        <v>7.7000000000000002E-3</v>
      </c>
      <c r="K2729">
        <v>8.0000000000000002E-3</v>
      </c>
      <c r="L2729">
        <v>8.2000000000000007E-3</v>
      </c>
      <c r="M2729">
        <v>8.2000000000000007E-3</v>
      </c>
      <c r="N2729">
        <v>8.6E-3</v>
      </c>
      <c r="O2729">
        <v>8.6E-3</v>
      </c>
      <c r="P2729">
        <v>8.6E-3</v>
      </c>
      <c r="Q2729">
        <v>8.6999999999999994E-3</v>
      </c>
      <c r="R2729">
        <v>8.8000000000000005E-3</v>
      </c>
      <c r="S2729">
        <v>9.1000000000000004E-3</v>
      </c>
      <c r="T2729">
        <v>9.1000000000000004E-3</v>
      </c>
      <c r="U2729">
        <v>9.1999999999999998E-3</v>
      </c>
      <c r="V2729">
        <v>9.2999999999999992E-3</v>
      </c>
      <c r="W2729">
        <v>9.4999999999999998E-3</v>
      </c>
      <c r="X2729">
        <v>9.5999999999999992E-3</v>
      </c>
      <c r="Y2729">
        <v>9.5999999999999992E-3</v>
      </c>
    </row>
    <row r="2730" spans="1:25" hidden="1">
      <c r="A2730" t="s">
        <v>18811</v>
      </c>
      <c r="B2730" t="s">
        <v>1879</v>
      </c>
      <c r="C2730" t="s">
        <v>1845</v>
      </c>
      <c r="D2730" t="s">
        <v>1878</v>
      </c>
      <c r="E2730" t="s">
        <v>1880</v>
      </c>
      <c r="F2730" t="s">
        <v>598</v>
      </c>
      <c r="G2730" t="s">
        <v>599</v>
      </c>
      <c r="H2730" t="s">
        <v>600</v>
      </c>
      <c r="I2730" t="s">
        <v>601</v>
      </c>
      <c r="J2730">
        <v>0.40260000000000001</v>
      </c>
      <c r="K2730">
        <v>0.40989999999999999</v>
      </c>
      <c r="L2730">
        <v>0.41670000000000001</v>
      </c>
      <c r="M2730">
        <v>0.42399999999999999</v>
      </c>
      <c r="N2730">
        <v>0.43230000000000002</v>
      </c>
      <c r="O2730">
        <v>0.43859999999999999</v>
      </c>
      <c r="P2730">
        <v>0.44500000000000001</v>
      </c>
      <c r="Q2730">
        <v>0.45129999999999998</v>
      </c>
      <c r="R2730">
        <v>0.45739999999999997</v>
      </c>
      <c r="S2730">
        <v>0.46339999999999998</v>
      </c>
      <c r="T2730">
        <v>0.46960000000000002</v>
      </c>
      <c r="U2730">
        <v>0.47549999999999998</v>
      </c>
      <c r="V2730">
        <v>0.48220000000000002</v>
      </c>
      <c r="W2730">
        <v>0.4884</v>
      </c>
      <c r="X2730">
        <v>0.49559999999999998</v>
      </c>
      <c r="Y2730">
        <v>0.50270000000000004</v>
      </c>
    </row>
    <row r="2731" spans="1:25" hidden="1">
      <c r="A2731" t="s">
        <v>18811</v>
      </c>
      <c r="B2731" t="s">
        <v>1881</v>
      </c>
      <c r="C2731" t="s">
        <v>1845</v>
      </c>
      <c r="D2731" t="s">
        <v>1878</v>
      </c>
      <c r="E2731" t="s">
        <v>1882</v>
      </c>
      <c r="F2731" t="s">
        <v>598</v>
      </c>
      <c r="G2731" t="s">
        <v>599</v>
      </c>
      <c r="H2731" t="s">
        <v>600</v>
      </c>
      <c r="I2731" t="s">
        <v>601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hidden="1">
      <c r="A2732" t="s">
        <v>18811</v>
      </c>
      <c r="B2732" t="s">
        <v>1883</v>
      </c>
      <c r="C2732" t="s">
        <v>1845</v>
      </c>
      <c r="D2732" t="s">
        <v>1878</v>
      </c>
      <c r="E2732" t="s">
        <v>1884</v>
      </c>
      <c r="F2732" t="s">
        <v>598</v>
      </c>
      <c r="G2732" t="s">
        <v>599</v>
      </c>
      <c r="H2732" t="s">
        <v>600</v>
      </c>
      <c r="I2732" t="s">
        <v>601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hidden="1">
      <c r="A2733" t="s">
        <v>18811</v>
      </c>
      <c r="B2733" t="s">
        <v>1885</v>
      </c>
      <c r="C2733" t="s">
        <v>1845</v>
      </c>
      <c r="D2733" t="s">
        <v>1878</v>
      </c>
      <c r="E2733" t="s">
        <v>1886</v>
      </c>
      <c r="F2733" t="s">
        <v>598</v>
      </c>
      <c r="G2733" t="s">
        <v>599</v>
      </c>
      <c r="H2733" t="s">
        <v>600</v>
      </c>
      <c r="I2733" t="s">
        <v>601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hidden="1">
      <c r="A2734" t="s">
        <v>18811</v>
      </c>
      <c r="B2734" t="s">
        <v>1887</v>
      </c>
      <c r="C2734" t="s">
        <v>1845</v>
      </c>
      <c r="D2734" t="s">
        <v>1878</v>
      </c>
      <c r="E2734" t="s">
        <v>1888</v>
      </c>
      <c r="F2734" t="s">
        <v>598</v>
      </c>
      <c r="G2734" t="s">
        <v>599</v>
      </c>
      <c r="H2734" t="s">
        <v>600</v>
      </c>
      <c r="I2734" t="s">
        <v>601</v>
      </c>
      <c r="J2734">
        <v>4.4999999999999997E-3</v>
      </c>
      <c r="K2734">
        <v>4.7999999999999996E-3</v>
      </c>
      <c r="L2734">
        <v>4.8999999999999998E-3</v>
      </c>
      <c r="M2734">
        <v>5.0000000000000001E-3</v>
      </c>
      <c r="N2734">
        <v>5.1999999999999998E-3</v>
      </c>
      <c r="O2734">
        <v>5.3E-3</v>
      </c>
      <c r="P2734">
        <v>5.4000000000000003E-3</v>
      </c>
      <c r="Q2734">
        <v>5.4999999999999997E-3</v>
      </c>
      <c r="R2734">
        <v>5.5999999999999999E-3</v>
      </c>
      <c r="S2734">
        <v>5.7000000000000002E-3</v>
      </c>
      <c r="T2734">
        <v>5.7999999999999996E-3</v>
      </c>
      <c r="U2734">
        <v>5.7999999999999996E-3</v>
      </c>
      <c r="V2734">
        <v>5.8999999999999999E-3</v>
      </c>
      <c r="W2734">
        <v>6.0000000000000001E-3</v>
      </c>
      <c r="X2734">
        <v>6.1000000000000004E-3</v>
      </c>
      <c r="Y2734">
        <v>6.3E-3</v>
      </c>
    </row>
    <row r="2735" spans="1:25" hidden="1">
      <c r="A2735" t="s">
        <v>18811</v>
      </c>
      <c r="B2735" t="s">
        <v>1889</v>
      </c>
      <c r="C2735" t="s">
        <v>1845</v>
      </c>
      <c r="D2735" t="s">
        <v>1878</v>
      </c>
      <c r="E2735" t="s">
        <v>1890</v>
      </c>
      <c r="F2735" t="s">
        <v>598</v>
      </c>
      <c r="G2735" t="s">
        <v>599</v>
      </c>
      <c r="H2735" t="s">
        <v>600</v>
      </c>
      <c r="I2735" t="s">
        <v>601</v>
      </c>
      <c r="J2735">
        <v>7.1000000000000004E-3</v>
      </c>
      <c r="K2735">
        <v>7.3000000000000001E-3</v>
      </c>
      <c r="L2735">
        <v>7.4999999999999997E-3</v>
      </c>
      <c r="M2735">
        <v>7.7000000000000002E-3</v>
      </c>
      <c r="N2735">
        <v>7.9000000000000008E-3</v>
      </c>
      <c r="O2735">
        <v>8.0000000000000002E-3</v>
      </c>
      <c r="P2735">
        <v>8.0999999999999996E-3</v>
      </c>
      <c r="Q2735">
        <v>8.3000000000000001E-3</v>
      </c>
      <c r="R2735">
        <v>8.3999999999999995E-3</v>
      </c>
      <c r="S2735">
        <v>8.5000000000000006E-3</v>
      </c>
      <c r="T2735">
        <v>8.6E-3</v>
      </c>
      <c r="U2735">
        <v>8.8000000000000005E-3</v>
      </c>
      <c r="V2735">
        <v>8.9999999999999993E-3</v>
      </c>
      <c r="W2735">
        <v>9.1000000000000004E-3</v>
      </c>
      <c r="X2735">
        <v>9.1999999999999998E-3</v>
      </c>
      <c r="Y2735">
        <v>9.2999999999999992E-3</v>
      </c>
    </row>
    <row r="2736" spans="1:25" hidden="1">
      <c r="A2736" t="s">
        <v>18811</v>
      </c>
      <c r="B2736" t="s">
        <v>1891</v>
      </c>
      <c r="C2736" t="s">
        <v>1845</v>
      </c>
      <c r="D2736" t="s">
        <v>1878</v>
      </c>
      <c r="E2736" t="s">
        <v>1892</v>
      </c>
      <c r="F2736" t="s">
        <v>598</v>
      </c>
      <c r="G2736" t="s">
        <v>599</v>
      </c>
      <c r="H2736" t="s">
        <v>600</v>
      </c>
      <c r="I2736" t="s">
        <v>601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hidden="1">
      <c r="A2737" t="s">
        <v>18811</v>
      </c>
      <c r="B2737" t="s">
        <v>1893</v>
      </c>
      <c r="C2737" t="s">
        <v>1845</v>
      </c>
      <c r="D2737" t="s">
        <v>1878</v>
      </c>
      <c r="E2737" t="s">
        <v>1894</v>
      </c>
      <c r="F2737" t="s">
        <v>598</v>
      </c>
      <c r="G2737" t="s">
        <v>599</v>
      </c>
      <c r="H2737" t="s">
        <v>600</v>
      </c>
      <c r="I2737" t="s">
        <v>601</v>
      </c>
      <c r="J2737">
        <v>1E-4</v>
      </c>
      <c r="K2737">
        <v>1E-4</v>
      </c>
      <c r="L2737">
        <v>1E-4</v>
      </c>
      <c r="M2737">
        <v>1E-4</v>
      </c>
      <c r="N2737">
        <v>1E-4</v>
      </c>
      <c r="O2737">
        <v>1E-4</v>
      </c>
      <c r="P2737">
        <v>1E-4</v>
      </c>
      <c r="Q2737">
        <v>1E-4</v>
      </c>
      <c r="R2737">
        <v>1E-4</v>
      </c>
      <c r="S2737">
        <v>1E-4</v>
      </c>
      <c r="T2737">
        <v>1E-4</v>
      </c>
      <c r="U2737">
        <v>1E-4</v>
      </c>
      <c r="V2737">
        <v>1E-4</v>
      </c>
      <c r="W2737">
        <v>1E-4</v>
      </c>
      <c r="X2737">
        <v>1E-4</v>
      </c>
      <c r="Y2737">
        <v>1E-4</v>
      </c>
    </row>
    <row r="2738" spans="1:25" hidden="1">
      <c r="A2738" t="s">
        <v>18811</v>
      </c>
      <c r="B2738" t="s">
        <v>1895</v>
      </c>
      <c r="C2738" t="s">
        <v>1845</v>
      </c>
      <c r="D2738" t="s">
        <v>1878</v>
      </c>
      <c r="E2738" t="s">
        <v>1896</v>
      </c>
      <c r="F2738" t="s">
        <v>598</v>
      </c>
      <c r="G2738" t="s">
        <v>599</v>
      </c>
      <c r="H2738" t="s">
        <v>600</v>
      </c>
      <c r="I2738" t="s">
        <v>601</v>
      </c>
      <c r="J2738">
        <v>1.5E-3</v>
      </c>
      <c r="K2738">
        <v>1.5E-3</v>
      </c>
      <c r="L2738">
        <v>1.5E-3</v>
      </c>
      <c r="M2738">
        <v>1.5E-3</v>
      </c>
      <c r="N2738">
        <v>1.5E-3</v>
      </c>
      <c r="O2738">
        <v>1.5E-3</v>
      </c>
      <c r="P2738">
        <v>1.5E-3</v>
      </c>
      <c r="Q2738">
        <v>1.6000000000000001E-3</v>
      </c>
      <c r="R2738">
        <v>1.6000000000000001E-3</v>
      </c>
      <c r="S2738">
        <v>1.6000000000000001E-3</v>
      </c>
      <c r="T2738">
        <v>1.6000000000000001E-3</v>
      </c>
      <c r="U2738">
        <v>1.6999999999999999E-3</v>
      </c>
      <c r="V2738">
        <v>1.6999999999999999E-3</v>
      </c>
      <c r="W2738">
        <v>1.6999999999999999E-3</v>
      </c>
      <c r="X2738">
        <v>1.6999999999999999E-3</v>
      </c>
      <c r="Y2738">
        <v>1.8E-3</v>
      </c>
    </row>
    <row r="2739" spans="1:25" hidden="1">
      <c r="A2739" t="s">
        <v>18811</v>
      </c>
      <c r="B2739" t="s">
        <v>1897</v>
      </c>
      <c r="C2739" t="s">
        <v>1845</v>
      </c>
      <c r="D2739" t="s">
        <v>1878</v>
      </c>
      <c r="E2739" t="s">
        <v>1898</v>
      </c>
      <c r="F2739" t="s">
        <v>598</v>
      </c>
      <c r="G2739" t="s">
        <v>599</v>
      </c>
      <c r="H2739" t="s">
        <v>600</v>
      </c>
      <c r="I2739" t="s">
        <v>601</v>
      </c>
      <c r="J2739">
        <v>0.10970000000000001</v>
      </c>
      <c r="K2739">
        <v>0.1116</v>
      </c>
      <c r="L2739">
        <v>0.1133</v>
      </c>
      <c r="M2739">
        <v>0.1148</v>
      </c>
      <c r="N2739">
        <v>0.1168</v>
      </c>
      <c r="O2739">
        <v>0.1187</v>
      </c>
      <c r="P2739">
        <v>0.1202</v>
      </c>
      <c r="Q2739">
        <v>0.1217</v>
      </c>
      <c r="R2739">
        <v>0.1234</v>
      </c>
      <c r="S2739">
        <v>0.12509999999999999</v>
      </c>
      <c r="T2739">
        <v>0.12640000000000001</v>
      </c>
      <c r="U2739">
        <v>0.1278</v>
      </c>
      <c r="V2739">
        <v>0.12939999999999999</v>
      </c>
      <c r="W2739">
        <v>0.1313</v>
      </c>
      <c r="X2739">
        <v>0.1331</v>
      </c>
      <c r="Y2739">
        <v>0.13489999999999999</v>
      </c>
    </row>
    <row r="2740" spans="1:25" hidden="1">
      <c r="A2740" t="s">
        <v>18811</v>
      </c>
      <c r="B2740" t="s">
        <v>1899</v>
      </c>
      <c r="C2740" t="s">
        <v>1845</v>
      </c>
      <c r="D2740" t="s">
        <v>1878</v>
      </c>
      <c r="E2740" t="s">
        <v>1900</v>
      </c>
      <c r="F2740" t="s">
        <v>598</v>
      </c>
      <c r="G2740" t="s">
        <v>599</v>
      </c>
      <c r="H2740" t="s">
        <v>600</v>
      </c>
      <c r="I2740" t="s">
        <v>601</v>
      </c>
      <c r="J2740">
        <v>4.5999999999999999E-3</v>
      </c>
      <c r="K2740">
        <v>4.7000000000000002E-3</v>
      </c>
      <c r="L2740">
        <v>4.7000000000000002E-3</v>
      </c>
      <c r="M2740">
        <v>4.8999999999999998E-3</v>
      </c>
      <c r="N2740">
        <v>5.0000000000000001E-3</v>
      </c>
      <c r="O2740">
        <v>5.0000000000000001E-3</v>
      </c>
      <c r="P2740">
        <v>5.1000000000000004E-3</v>
      </c>
      <c r="Q2740">
        <v>5.1999999999999998E-3</v>
      </c>
      <c r="R2740">
        <v>5.3E-3</v>
      </c>
      <c r="S2740">
        <v>5.3E-3</v>
      </c>
      <c r="T2740">
        <v>5.4000000000000003E-3</v>
      </c>
      <c r="U2740">
        <v>5.4000000000000003E-3</v>
      </c>
      <c r="V2740">
        <v>5.5999999999999999E-3</v>
      </c>
      <c r="W2740">
        <v>5.5999999999999999E-3</v>
      </c>
      <c r="X2740">
        <v>5.7000000000000002E-3</v>
      </c>
      <c r="Y2740">
        <v>5.7999999999999996E-3</v>
      </c>
    </row>
    <row r="2741" spans="1:25" hidden="1">
      <c r="A2741" t="s">
        <v>18811</v>
      </c>
      <c r="B2741" t="s">
        <v>1901</v>
      </c>
      <c r="C2741" t="s">
        <v>1845</v>
      </c>
      <c r="D2741" t="s">
        <v>1878</v>
      </c>
      <c r="E2741" t="s">
        <v>1902</v>
      </c>
      <c r="F2741" t="s">
        <v>598</v>
      </c>
      <c r="G2741" t="s">
        <v>599</v>
      </c>
      <c r="H2741" t="s">
        <v>600</v>
      </c>
      <c r="I2741" t="s">
        <v>601</v>
      </c>
      <c r="J2741">
        <v>1.2800000000000001E-2</v>
      </c>
      <c r="K2741">
        <v>1.3100000000000001E-2</v>
      </c>
      <c r="L2741">
        <v>1.3299999999999999E-2</v>
      </c>
      <c r="M2741">
        <v>1.35E-2</v>
      </c>
      <c r="N2741">
        <v>1.38E-2</v>
      </c>
      <c r="O2741">
        <v>1.4E-2</v>
      </c>
      <c r="P2741">
        <v>1.43E-2</v>
      </c>
      <c r="Q2741">
        <v>1.44E-2</v>
      </c>
      <c r="R2741">
        <v>1.46E-2</v>
      </c>
      <c r="S2741">
        <v>1.49E-2</v>
      </c>
      <c r="T2741">
        <v>1.4999999999999999E-2</v>
      </c>
      <c r="U2741">
        <v>1.52E-2</v>
      </c>
      <c r="V2741">
        <v>1.55E-2</v>
      </c>
      <c r="W2741">
        <v>1.5599999999999999E-2</v>
      </c>
      <c r="X2741">
        <v>1.5900000000000001E-2</v>
      </c>
      <c r="Y2741">
        <v>1.61E-2</v>
      </c>
    </row>
    <row r="2742" spans="1:25" hidden="1">
      <c r="A2742" t="s">
        <v>18811</v>
      </c>
      <c r="B2742" t="s">
        <v>1903</v>
      </c>
      <c r="C2742" t="s">
        <v>1845</v>
      </c>
      <c r="D2742" t="s">
        <v>1878</v>
      </c>
      <c r="E2742" t="s">
        <v>1904</v>
      </c>
      <c r="F2742" t="s">
        <v>598</v>
      </c>
      <c r="G2742" t="s">
        <v>599</v>
      </c>
      <c r="H2742" t="s">
        <v>600</v>
      </c>
      <c r="I2742" t="s">
        <v>601</v>
      </c>
      <c r="J2742">
        <v>3.0000000000000001E-3</v>
      </c>
      <c r="K2742">
        <v>3.0000000000000001E-3</v>
      </c>
      <c r="L2742">
        <v>3.0999999999999999E-3</v>
      </c>
      <c r="M2742">
        <v>3.0999999999999999E-3</v>
      </c>
      <c r="N2742">
        <v>3.2000000000000002E-3</v>
      </c>
      <c r="O2742">
        <v>3.2000000000000002E-3</v>
      </c>
      <c r="P2742">
        <v>3.3E-3</v>
      </c>
      <c r="Q2742">
        <v>3.3E-3</v>
      </c>
      <c r="R2742">
        <v>3.3E-3</v>
      </c>
      <c r="S2742">
        <v>3.3999999999999998E-3</v>
      </c>
      <c r="T2742">
        <v>3.3999999999999998E-3</v>
      </c>
      <c r="U2742">
        <v>3.5000000000000001E-3</v>
      </c>
      <c r="V2742">
        <v>3.5000000000000001E-3</v>
      </c>
      <c r="W2742">
        <v>3.5999999999999999E-3</v>
      </c>
      <c r="X2742">
        <v>3.5999999999999999E-3</v>
      </c>
      <c r="Y2742">
        <v>3.7000000000000002E-3</v>
      </c>
    </row>
    <row r="2743" spans="1:25" hidden="1">
      <c r="A2743" t="s">
        <v>18811</v>
      </c>
      <c r="B2743" t="s">
        <v>1905</v>
      </c>
      <c r="C2743" t="s">
        <v>1845</v>
      </c>
      <c r="D2743" t="s">
        <v>1878</v>
      </c>
      <c r="E2743" t="s">
        <v>1906</v>
      </c>
      <c r="F2743" t="s">
        <v>598</v>
      </c>
      <c r="G2743" t="s">
        <v>599</v>
      </c>
      <c r="H2743" t="s">
        <v>600</v>
      </c>
      <c r="I2743" t="s">
        <v>601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hidden="1">
      <c r="A2744" t="s">
        <v>18811</v>
      </c>
      <c r="B2744" t="s">
        <v>1907</v>
      </c>
      <c r="C2744" t="s">
        <v>1845</v>
      </c>
      <c r="D2744" t="s">
        <v>1878</v>
      </c>
      <c r="E2744" t="s">
        <v>1908</v>
      </c>
      <c r="F2744" t="s">
        <v>598</v>
      </c>
      <c r="G2744" t="s">
        <v>599</v>
      </c>
      <c r="H2744" t="s">
        <v>600</v>
      </c>
      <c r="I2744" t="s">
        <v>601</v>
      </c>
      <c r="J2744">
        <v>5.8999999999999999E-3</v>
      </c>
      <c r="K2744">
        <v>5.8999999999999999E-3</v>
      </c>
      <c r="L2744">
        <v>6.0000000000000001E-3</v>
      </c>
      <c r="M2744">
        <v>6.1000000000000004E-3</v>
      </c>
      <c r="N2744">
        <v>6.3E-3</v>
      </c>
      <c r="O2744">
        <v>6.3E-3</v>
      </c>
      <c r="P2744">
        <v>6.4000000000000003E-3</v>
      </c>
      <c r="Q2744">
        <v>6.4999999999999997E-3</v>
      </c>
      <c r="R2744">
        <v>6.6E-3</v>
      </c>
      <c r="S2744">
        <v>6.7000000000000002E-3</v>
      </c>
      <c r="T2744">
        <v>6.7000000000000002E-3</v>
      </c>
      <c r="U2744">
        <v>6.8999999999999999E-3</v>
      </c>
      <c r="V2744">
        <v>7.0000000000000001E-3</v>
      </c>
      <c r="W2744">
        <v>7.1000000000000004E-3</v>
      </c>
      <c r="X2744">
        <v>7.1999999999999998E-3</v>
      </c>
      <c r="Y2744">
        <v>7.3000000000000001E-3</v>
      </c>
    </row>
    <row r="2745" spans="1:25" hidden="1">
      <c r="A2745" t="s">
        <v>18811</v>
      </c>
      <c r="B2745" t="s">
        <v>1909</v>
      </c>
      <c r="C2745" t="s">
        <v>1845</v>
      </c>
      <c r="D2745" t="s">
        <v>1878</v>
      </c>
      <c r="E2745" t="s">
        <v>1910</v>
      </c>
      <c r="F2745" t="s">
        <v>598</v>
      </c>
      <c r="G2745" t="s">
        <v>599</v>
      </c>
      <c r="H2745" t="s">
        <v>600</v>
      </c>
      <c r="I2745" t="s">
        <v>601</v>
      </c>
      <c r="J2745">
        <v>3.7000000000000002E-3</v>
      </c>
      <c r="K2745">
        <v>3.7000000000000002E-3</v>
      </c>
      <c r="L2745">
        <v>3.8999999999999998E-3</v>
      </c>
      <c r="M2745">
        <v>3.8999999999999998E-3</v>
      </c>
      <c r="N2745">
        <v>4.0000000000000001E-3</v>
      </c>
      <c r="O2745">
        <v>4.0000000000000001E-3</v>
      </c>
      <c r="P2745">
        <v>4.1000000000000003E-3</v>
      </c>
      <c r="Q2745">
        <v>4.1000000000000003E-3</v>
      </c>
      <c r="R2745">
        <v>4.3E-3</v>
      </c>
      <c r="S2745">
        <v>4.3E-3</v>
      </c>
      <c r="T2745">
        <v>4.3E-3</v>
      </c>
      <c r="U2745">
        <v>4.4000000000000003E-3</v>
      </c>
      <c r="V2745">
        <v>4.4000000000000003E-3</v>
      </c>
      <c r="W2745">
        <v>4.4999999999999997E-3</v>
      </c>
      <c r="X2745">
        <v>4.5999999999999999E-3</v>
      </c>
      <c r="Y2745">
        <v>4.7000000000000002E-3</v>
      </c>
    </row>
    <row r="2746" spans="1:25" hidden="1">
      <c r="A2746" t="s">
        <v>18811</v>
      </c>
      <c r="B2746" t="s">
        <v>1911</v>
      </c>
      <c r="C2746" t="s">
        <v>1845</v>
      </c>
      <c r="D2746" t="s">
        <v>1878</v>
      </c>
      <c r="E2746" t="s">
        <v>1912</v>
      </c>
      <c r="F2746" t="s">
        <v>598</v>
      </c>
      <c r="G2746" t="s">
        <v>599</v>
      </c>
      <c r="H2746" t="s">
        <v>600</v>
      </c>
      <c r="I2746" t="s">
        <v>601</v>
      </c>
      <c r="J2746">
        <v>2.2000000000000001E-3</v>
      </c>
      <c r="K2746">
        <v>2.2000000000000001E-3</v>
      </c>
      <c r="L2746">
        <v>2.3999999999999998E-3</v>
      </c>
      <c r="M2746">
        <v>2.3999999999999998E-3</v>
      </c>
      <c r="N2746">
        <v>2.5000000000000001E-3</v>
      </c>
      <c r="O2746">
        <v>2.5000000000000001E-3</v>
      </c>
      <c r="P2746">
        <v>2.5999999999999999E-3</v>
      </c>
      <c r="Q2746">
        <v>2.5999999999999999E-3</v>
      </c>
      <c r="R2746">
        <v>2.5999999999999999E-3</v>
      </c>
      <c r="S2746">
        <v>2.7000000000000001E-3</v>
      </c>
      <c r="T2746">
        <v>2.7000000000000001E-3</v>
      </c>
      <c r="U2746">
        <v>2.7000000000000001E-3</v>
      </c>
      <c r="V2746">
        <v>2.8E-3</v>
      </c>
      <c r="W2746">
        <v>2.8E-3</v>
      </c>
      <c r="X2746">
        <v>2.8E-3</v>
      </c>
      <c r="Y2746">
        <v>2.8999999999999998E-3</v>
      </c>
    </row>
    <row r="2747" spans="1:25" hidden="1">
      <c r="A2747" t="s">
        <v>18811</v>
      </c>
      <c r="B2747" t="s">
        <v>1916</v>
      </c>
      <c r="C2747" t="s">
        <v>1845</v>
      </c>
      <c r="D2747" t="s">
        <v>1878</v>
      </c>
      <c r="E2747" t="s">
        <v>1869</v>
      </c>
      <c r="F2747" t="s">
        <v>598</v>
      </c>
      <c r="G2747" t="s">
        <v>599</v>
      </c>
      <c r="H2747" t="s">
        <v>600</v>
      </c>
      <c r="I2747" t="s">
        <v>601</v>
      </c>
      <c r="J2747">
        <v>1.6000000000000001E-3</v>
      </c>
      <c r="K2747">
        <v>1.6000000000000001E-3</v>
      </c>
      <c r="L2747">
        <v>1.6000000000000001E-3</v>
      </c>
      <c r="M2747">
        <v>1.6000000000000001E-3</v>
      </c>
      <c r="N2747">
        <v>1.6999999999999999E-3</v>
      </c>
      <c r="O2747">
        <v>1.6999999999999999E-3</v>
      </c>
      <c r="P2747">
        <v>1.6999999999999999E-3</v>
      </c>
      <c r="Q2747">
        <v>1.8E-3</v>
      </c>
      <c r="R2747">
        <v>1.8E-3</v>
      </c>
      <c r="S2747">
        <v>1.8E-3</v>
      </c>
      <c r="T2747">
        <v>1.9E-3</v>
      </c>
      <c r="U2747">
        <v>1.9E-3</v>
      </c>
      <c r="V2747">
        <v>1.9E-3</v>
      </c>
      <c r="W2747">
        <v>1.9E-3</v>
      </c>
      <c r="X2747">
        <v>1.9E-3</v>
      </c>
      <c r="Y2747">
        <v>1.9E-3</v>
      </c>
    </row>
    <row r="2748" spans="1:25" hidden="1">
      <c r="A2748" t="s">
        <v>18811</v>
      </c>
      <c r="B2748" t="s">
        <v>1917</v>
      </c>
      <c r="C2748" t="s">
        <v>1845</v>
      </c>
      <c r="D2748" t="s">
        <v>1918</v>
      </c>
      <c r="E2748" t="s">
        <v>1872</v>
      </c>
      <c r="F2748" t="s">
        <v>598</v>
      </c>
      <c r="G2748" t="s">
        <v>599</v>
      </c>
      <c r="H2748" t="s">
        <v>600</v>
      </c>
      <c r="I2748" t="s">
        <v>601</v>
      </c>
      <c r="J2748">
        <v>3.3999999999999998E-3</v>
      </c>
      <c r="K2748">
        <v>3.5000000000000001E-3</v>
      </c>
      <c r="L2748">
        <v>3.5999999999999999E-3</v>
      </c>
      <c r="M2748">
        <v>3.5999999999999999E-3</v>
      </c>
      <c r="N2748">
        <v>3.7000000000000002E-3</v>
      </c>
      <c r="O2748">
        <v>3.7000000000000002E-3</v>
      </c>
      <c r="P2748">
        <v>3.8999999999999998E-3</v>
      </c>
      <c r="Q2748">
        <v>4.0000000000000001E-3</v>
      </c>
      <c r="R2748">
        <v>4.1999999999999997E-3</v>
      </c>
      <c r="S2748">
        <v>4.1999999999999997E-3</v>
      </c>
      <c r="T2748">
        <v>4.1999999999999997E-3</v>
      </c>
      <c r="U2748">
        <v>4.3E-3</v>
      </c>
      <c r="V2748">
        <v>4.4999999999999997E-3</v>
      </c>
      <c r="W2748">
        <v>4.5999999999999999E-3</v>
      </c>
      <c r="X2748">
        <v>4.5999999999999999E-3</v>
      </c>
      <c r="Y2748">
        <v>4.5999999999999999E-3</v>
      </c>
    </row>
    <row r="2749" spans="1:25" hidden="1">
      <c r="A2749" t="s">
        <v>18811</v>
      </c>
      <c r="B2749" t="s">
        <v>1919</v>
      </c>
      <c r="C2749" t="s">
        <v>1845</v>
      </c>
      <c r="D2749" t="s">
        <v>1918</v>
      </c>
      <c r="E2749" t="s">
        <v>1920</v>
      </c>
      <c r="F2749" t="s">
        <v>598</v>
      </c>
      <c r="G2749" t="s">
        <v>599</v>
      </c>
      <c r="H2749" t="s">
        <v>600</v>
      </c>
      <c r="I2749" t="s">
        <v>601</v>
      </c>
      <c r="J2749">
        <v>8.0000000000000004E-4</v>
      </c>
      <c r="K2749">
        <v>8.0000000000000004E-4</v>
      </c>
      <c r="L2749">
        <v>8.0000000000000004E-4</v>
      </c>
      <c r="M2749">
        <v>8.0000000000000004E-4</v>
      </c>
      <c r="N2749">
        <v>8.9999999999999998E-4</v>
      </c>
      <c r="O2749">
        <v>8.9999999999999998E-4</v>
      </c>
      <c r="P2749">
        <v>8.9999999999999998E-4</v>
      </c>
      <c r="Q2749">
        <v>8.9999999999999998E-4</v>
      </c>
      <c r="R2749">
        <v>8.9999999999999998E-4</v>
      </c>
      <c r="S2749">
        <v>8.9999999999999998E-4</v>
      </c>
      <c r="T2749">
        <v>8.9999999999999998E-4</v>
      </c>
      <c r="U2749">
        <v>1E-3</v>
      </c>
      <c r="V2749">
        <v>1E-3</v>
      </c>
      <c r="W2749">
        <v>1E-3</v>
      </c>
      <c r="X2749">
        <v>1E-3</v>
      </c>
      <c r="Y2749">
        <v>1E-3</v>
      </c>
    </row>
    <row r="2750" spans="1:25" hidden="1">
      <c r="A2750" t="s">
        <v>18811</v>
      </c>
      <c r="B2750" t="s">
        <v>1921</v>
      </c>
      <c r="C2750" t="s">
        <v>1845</v>
      </c>
      <c r="D2750" t="s">
        <v>1918</v>
      </c>
      <c r="E2750" t="s">
        <v>1880</v>
      </c>
      <c r="F2750" t="s">
        <v>598</v>
      </c>
      <c r="G2750" t="s">
        <v>599</v>
      </c>
      <c r="H2750" t="s">
        <v>600</v>
      </c>
      <c r="I2750" t="s">
        <v>601</v>
      </c>
      <c r="J2750">
        <v>5.9999999999999995E-4</v>
      </c>
      <c r="K2750">
        <v>5.9999999999999995E-4</v>
      </c>
      <c r="L2750">
        <v>6.9999999999999999E-4</v>
      </c>
      <c r="M2750">
        <v>6.9999999999999999E-4</v>
      </c>
      <c r="N2750">
        <v>6.9999999999999999E-4</v>
      </c>
      <c r="O2750">
        <v>6.9999999999999999E-4</v>
      </c>
      <c r="P2750">
        <v>6.9999999999999999E-4</v>
      </c>
      <c r="Q2750">
        <v>6.9999999999999999E-4</v>
      </c>
      <c r="R2750">
        <v>6.9999999999999999E-4</v>
      </c>
      <c r="S2750">
        <v>6.9999999999999999E-4</v>
      </c>
      <c r="T2750">
        <v>6.9999999999999999E-4</v>
      </c>
      <c r="U2750">
        <v>8.0000000000000004E-4</v>
      </c>
      <c r="V2750">
        <v>8.0000000000000004E-4</v>
      </c>
      <c r="W2750">
        <v>8.0000000000000004E-4</v>
      </c>
      <c r="X2750">
        <v>8.0000000000000004E-4</v>
      </c>
      <c r="Y2750">
        <v>8.0000000000000004E-4</v>
      </c>
    </row>
    <row r="2751" spans="1:25" hidden="1">
      <c r="A2751" t="s">
        <v>18811</v>
      </c>
      <c r="B2751" t="s">
        <v>1922</v>
      </c>
      <c r="C2751" t="s">
        <v>1845</v>
      </c>
      <c r="D2751" t="s">
        <v>1918</v>
      </c>
      <c r="E2751" t="s">
        <v>1923</v>
      </c>
      <c r="F2751" t="s">
        <v>598</v>
      </c>
      <c r="G2751" t="s">
        <v>599</v>
      </c>
      <c r="H2751" t="s">
        <v>600</v>
      </c>
      <c r="I2751" t="s">
        <v>601</v>
      </c>
      <c r="J2751">
        <v>5.0000000000000001E-4</v>
      </c>
      <c r="K2751">
        <v>5.0000000000000001E-4</v>
      </c>
      <c r="L2751">
        <v>5.0000000000000001E-4</v>
      </c>
      <c r="M2751">
        <v>5.0000000000000001E-4</v>
      </c>
      <c r="N2751">
        <v>5.0000000000000001E-4</v>
      </c>
      <c r="O2751">
        <v>5.0000000000000001E-4</v>
      </c>
      <c r="P2751">
        <v>5.0000000000000001E-4</v>
      </c>
      <c r="Q2751">
        <v>5.0000000000000001E-4</v>
      </c>
      <c r="R2751">
        <v>5.0000000000000001E-4</v>
      </c>
      <c r="S2751">
        <v>5.0000000000000001E-4</v>
      </c>
      <c r="T2751">
        <v>5.0000000000000001E-4</v>
      </c>
      <c r="U2751">
        <v>5.0000000000000001E-4</v>
      </c>
      <c r="V2751">
        <v>5.0000000000000001E-4</v>
      </c>
      <c r="W2751">
        <v>5.0000000000000001E-4</v>
      </c>
      <c r="X2751">
        <v>5.0000000000000001E-4</v>
      </c>
      <c r="Y2751">
        <v>5.0000000000000001E-4</v>
      </c>
    </row>
    <row r="2752" spans="1:25" hidden="1">
      <c r="A2752" t="s">
        <v>18811</v>
      </c>
      <c r="B2752" t="s">
        <v>1925</v>
      </c>
      <c r="C2752" t="s">
        <v>1845</v>
      </c>
      <c r="D2752" t="s">
        <v>1918</v>
      </c>
      <c r="E2752" t="s">
        <v>1888</v>
      </c>
      <c r="F2752" t="s">
        <v>598</v>
      </c>
      <c r="G2752" t="s">
        <v>599</v>
      </c>
      <c r="H2752" t="s">
        <v>600</v>
      </c>
      <c r="I2752" t="s">
        <v>601</v>
      </c>
      <c r="J2752">
        <v>2.3E-3</v>
      </c>
      <c r="K2752">
        <v>2.3E-3</v>
      </c>
      <c r="L2752">
        <v>2.3999999999999998E-3</v>
      </c>
      <c r="M2752">
        <v>2.5000000000000001E-3</v>
      </c>
      <c r="N2752">
        <v>2.5999999999999999E-3</v>
      </c>
      <c r="O2752">
        <v>2.5999999999999999E-3</v>
      </c>
      <c r="P2752">
        <v>2.7000000000000001E-3</v>
      </c>
      <c r="Q2752">
        <v>2.8E-3</v>
      </c>
      <c r="R2752">
        <v>2.8999999999999998E-3</v>
      </c>
      <c r="S2752">
        <v>2.8999999999999998E-3</v>
      </c>
      <c r="T2752">
        <v>2.8999999999999998E-3</v>
      </c>
      <c r="U2752">
        <v>3.0000000000000001E-3</v>
      </c>
      <c r="V2752">
        <v>3.0000000000000001E-3</v>
      </c>
      <c r="W2752">
        <v>3.0999999999999999E-3</v>
      </c>
      <c r="X2752">
        <v>3.2000000000000002E-3</v>
      </c>
      <c r="Y2752">
        <v>3.2000000000000002E-3</v>
      </c>
    </row>
    <row r="2753" spans="1:25" hidden="1">
      <c r="A2753" t="s">
        <v>18811</v>
      </c>
      <c r="B2753" t="s">
        <v>1926</v>
      </c>
      <c r="C2753" t="s">
        <v>1845</v>
      </c>
      <c r="D2753" t="s">
        <v>1918</v>
      </c>
      <c r="E2753" t="s">
        <v>1890</v>
      </c>
      <c r="F2753" t="s">
        <v>598</v>
      </c>
      <c r="G2753" t="s">
        <v>599</v>
      </c>
      <c r="H2753" t="s">
        <v>600</v>
      </c>
      <c r="I2753" t="s">
        <v>601</v>
      </c>
      <c r="J2753">
        <v>2.5999999999999999E-3</v>
      </c>
      <c r="K2753">
        <v>2.5999999999999999E-3</v>
      </c>
      <c r="L2753">
        <v>2.7000000000000001E-3</v>
      </c>
      <c r="M2753">
        <v>2.7000000000000001E-3</v>
      </c>
      <c r="N2753">
        <v>2.8E-3</v>
      </c>
      <c r="O2753">
        <v>2.8E-3</v>
      </c>
      <c r="P2753">
        <v>2.8999999999999998E-3</v>
      </c>
      <c r="Q2753">
        <v>2.8999999999999998E-3</v>
      </c>
      <c r="R2753">
        <v>2.8999999999999998E-3</v>
      </c>
      <c r="S2753">
        <v>2.8999999999999998E-3</v>
      </c>
      <c r="T2753">
        <v>2.8999999999999998E-3</v>
      </c>
      <c r="U2753">
        <v>3.0999999999999999E-3</v>
      </c>
      <c r="V2753">
        <v>3.0999999999999999E-3</v>
      </c>
      <c r="W2753">
        <v>3.0999999999999999E-3</v>
      </c>
      <c r="X2753">
        <v>3.0999999999999999E-3</v>
      </c>
      <c r="Y2753">
        <v>3.3E-3</v>
      </c>
    </row>
    <row r="2754" spans="1:25" hidden="1">
      <c r="A2754" t="s">
        <v>18811</v>
      </c>
      <c r="B2754" t="s">
        <v>1927</v>
      </c>
      <c r="C2754" t="s">
        <v>1845</v>
      </c>
      <c r="D2754" t="s">
        <v>1918</v>
      </c>
      <c r="E2754" t="s">
        <v>1892</v>
      </c>
      <c r="F2754" t="s">
        <v>598</v>
      </c>
      <c r="G2754" t="s">
        <v>599</v>
      </c>
      <c r="H2754" t="s">
        <v>600</v>
      </c>
      <c r="I2754" t="s">
        <v>601</v>
      </c>
      <c r="J2754">
        <v>0.22009999999999999</v>
      </c>
      <c r="K2754">
        <v>0.22370000000000001</v>
      </c>
      <c r="L2754">
        <v>0.22750000000000001</v>
      </c>
      <c r="M2754">
        <v>0.23119999999999999</v>
      </c>
      <c r="N2754">
        <v>0.2354</v>
      </c>
      <c r="O2754">
        <v>0.23880000000000001</v>
      </c>
      <c r="P2754">
        <v>0.2422</v>
      </c>
      <c r="Q2754">
        <v>0.2455</v>
      </c>
      <c r="R2754">
        <v>0.24859999999999999</v>
      </c>
      <c r="S2754">
        <v>0.25180000000000002</v>
      </c>
      <c r="T2754">
        <v>0.255</v>
      </c>
      <c r="U2754">
        <v>0.25790000000000002</v>
      </c>
      <c r="V2754">
        <v>0.2616</v>
      </c>
      <c r="W2754">
        <v>0.2651</v>
      </c>
      <c r="X2754">
        <v>0.26879999999999998</v>
      </c>
      <c r="Y2754">
        <v>0.2727</v>
      </c>
    </row>
    <row r="2755" spans="1:25" hidden="1">
      <c r="A2755" t="s">
        <v>18811</v>
      </c>
      <c r="B2755" t="s">
        <v>1928</v>
      </c>
      <c r="C2755" t="s">
        <v>1845</v>
      </c>
      <c r="D2755" t="s">
        <v>1918</v>
      </c>
      <c r="E2755" t="s">
        <v>1929</v>
      </c>
      <c r="F2755" t="s">
        <v>598</v>
      </c>
      <c r="G2755" t="s">
        <v>599</v>
      </c>
      <c r="H2755" t="s">
        <v>600</v>
      </c>
      <c r="I2755" t="s">
        <v>601</v>
      </c>
      <c r="J2755">
        <v>8.0000000000000004E-4</v>
      </c>
      <c r="K2755">
        <v>8.9999999999999998E-4</v>
      </c>
      <c r="L2755">
        <v>8.9999999999999998E-4</v>
      </c>
      <c r="M2755">
        <v>8.9999999999999998E-4</v>
      </c>
      <c r="N2755">
        <v>8.9999999999999998E-4</v>
      </c>
      <c r="O2755">
        <v>8.9999999999999998E-4</v>
      </c>
      <c r="P2755">
        <v>8.9999999999999998E-4</v>
      </c>
      <c r="Q2755">
        <v>8.9999999999999998E-4</v>
      </c>
      <c r="R2755">
        <v>8.9999999999999998E-4</v>
      </c>
      <c r="S2755">
        <v>1E-3</v>
      </c>
      <c r="T2755">
        <v>1E-3</v>
      </c>
      <c r="U2755">
        <v>1E-3</v>
      </c>
      <c r="V2755">
        <v>1E-3</v>
      </c>
      <c r="W2755">
        <v>1E-3</v>
      </c>
      <c r="X2755">
        <v>1E-3</v>
      </c>
      <c r="Y2755">
        <v>1.1000000000000001E-3</v>
      </c>
    </row>
    <row r="2756" spans="1:25" hidden="1">
      <c r="A2756" t="s">
        <v>18811</v>
      </c>
      <c r="B2756" t="s">
        <v>1930</v>
      </c>
      <c r="C2756" t="s">
        <v>1845</v>
      </c>
      <c r="D2756" t="s">
        <v>1918</v>
      </c>
      <c r="E2756" t="s">
        <v>1894</v>
      </c>
      <c r="F2756" t="s">
        <v>598</v>
      </c>
      <c r="G2756" t="s">
        <v>599</v>
      </c>
      <c r="H2756" t="s">
        <v>600</v>
      </c>
      <c r="I2756" t="s">
        <v>601</v>
      </c>
      <c r="J2756">
        <v>2.5999999999999999E-3</v>
      </c>
      <c r="K2756">
        <v>2.5999999999999999E-3</v>
      </c>
      <c r="L2756">
        <v>2.7000000000000001E-3</v>
      </c>
      <c r="M2756">
        <v>2.8E-3</v>
      </c>
      <c r="N2756">
        <v>2.8999999999999998E-3</v>
      </c>
      <c r="O2756">
        <v>2.8999999999999998E-3</v>
      </c>
      <c r="P2756">
        <v>3.0000000000000001E-3</v>
      </c>
      <c r="Q2756">
        <v>3.0000000000000001E-3</v>
      </c>
      <c r="R2756">
        <v>3.0000000000000001E-3</v>
      </c>
      <c r="S2756">
        <v>3.0000000000000001E-3</v>
      </c>
      <c r="T2756">
        <v>3.3E-3</v>
      </c>
      <c r="U2756">
        <v>3.3999999999999998E-3</v>
      </c>
      <c r="V2756">
        <v>3.3999999999999998E-3</v>
      </c>
      <c r="W2756">
        <v>3.3999999999999998E-3</v>
      </c>
      <c r="X2756">
        <v>3.5000000000000001E-3</v>
      </c>
      <c r="Y2756">
        <v>3.7000000000000002E-3</v>
      </c>
    </row>
    <row r="2757" spans="1:25" hidden="1">
      <c r="A2757" t="s">
        <v>18811</v>
      </c>
      <c r="B2757" t="s">
        <v>1931</v>
      </c>
      <c r="C2757" t="s">
        <v>1845</v>
      </c>
      <c r="D2757" t="s">
        <v>1918</v>
      </c>
      <c r="E2757" t="s">
        <v>1896</v>
      </c>
      <c r="F2757" t="s">
        <v>598</v>
      </c>
      <c r="G2757" t="s">
        <v>599</v>
      </c>
      <c r="H2757" t="s">
        <v>600</v>
      </c>
      <c r="I2757" t="s">
        <v>601</v>
      </c>
      <c r="J2757">
        <v>2.1700000000000001E-2</v>
      </c>
      <c r="K2757">
        <v>2.23E-2</v>
      </c>
      <c r="L2757">
        <v>2.29E-2</v>
      </c>
      <c r="M2757">
        <v>2.3199999999999998E-2</v>
      </c>
      <c r="N2757">
        <v>2.3599999999999999E-2</v>
      </c>
      <c r="O2757">
        <v>2.4E-2</v>
      </c>
      <c r="P2757">
        <v>2.4299999999999999E-2</v>
      </c>
      <c r="Q2757">
        <v>2.4799999999999999E-2</v>
      </c>
      <c r="R2757">
        <v>2.5100000000000001E-2</v>
      </c>
      <c r="S2757">
        <v>2.53E-2</v>
      </c>
      <c r="T2757">
        <v>2.5499999999999998E-2</v>
      </c>
      <c r="U2757">
        <v>2.5899999999999999E-2</v>
      </c>
      <c r="V2757">
        <v>2.6200000000000001E-2</v>
      </c>
      <c r="W2757">
        <v>2.6700000000000002E-2</v>
      </c>
      <c r="X2757">
        <v>2.69E-2</v>
      </c>
      <c r="Y2757">
        <v>2.7099999999999999E-2</v>
      </c>
    </row>
    <row r="2758" spans="1:25" hidden="1">
      <c r="A2758" t="s">
        <v>18811</v>
      </c>
      <c r="B2758" t="s">
        <v>1934</v>
      </c>
      <c r="C2758" t="s">
        <v>1845</v>
      </c>
      <c r="D2758" t="s">
        <v>1918</v>
      </c>
      <c r="E2758" t="s">
        <v>1900</v>
      </c>
      <c r="F2758" t="s">
        <v>598</v>
      </c>
      <c r="G2758" t="s">
        <v>599</v>
      </c>
      <c r="H2758" t="s">
        <v>600</v>
      </c>
      <c r="I2758" t="s">
        <v>601</v>
      </c>
      <c r="J2758">
        <v>1E-3</v>
      </c>
      <c r="K2758">
        <v>1E-3</v>
      </c>
      <c r="L2758">
        <v>1E-3</v>
      </c>
      <c r="M2758">
        <v>1.1000000000000001E-3</v>
      </c>
      <c r="N2758">
        <v>1.1000000000000001E-3</v>
      </c>
      <c r="O2758">
        <v>1.1000000000000001E-3</v>
      </c>
      <c r="P2758">
        <v>1.1999999999999999E-3</v>
      </c>
      <c r="Q2758">
        <v>1.1999999999999999E-3</v>
      </c>
      <c r="R2758">
        <v>1.1999999999999999E-3</v>
      </c>
      <c r="S2758">
        <v>1.1999999999999999E-3</v>
      </c>
      <c r="T2758">
        <v>1.1999999999999999E-3</v>
      </c>
      <c r="U2758">
        <v>1.2999999999999999E-3</v>
      </c>
      <c r="V2758">
        <v>1.2999999999999999E-3</v>
      </c>
      <c r="W2758">
        <v>1.2999999999999999E-3</v>
      </c>
      <c r="X2758">
        <v>1.2999999999999999E-3</v>
      </c>
      <c r="Y2758">
        <v>1.2999999999999999E-3</v>
      </c>
    </row>
    <row r="2759" spans="1:25" hidden="1">
      <c r="A2759" t="s">
        <v>18811</v>
      </c>
      <c r="B2759" t="s">
        <v>1935</v>
      </c>
      <c r="C2759" t="s">
        <v>1845</v>
      </c>
      <c r="D2759" t="s">
        <v>1918</v>
      </c>
      <c r="E2759" t="s">
        <v>1936</v>
      </c>
      <c r="F2759" t="s">
        <v>598</v>
      </c>
      <c r="G2759" t="s">
        <v>599</v>
      </c>
      <c r="H2759" t="s">
        <v>600</v>
      </c>
      <c r="I2759" t="s">
        <v>601</v>
      </c>
      <c r="J2759">
        <v>1.2999999999999999E-3</v>
      </c>
      <c r="K2759">
        <v>1.2999999999999999E-3</v>
      </c>
      <c r="L2759">
        <v>1.2999999999999999E-3</v>
      </c>
      <c r="M2759">
        <v>1.2999999999999999E-3</v>
      </c>
      <c r="N2759">
        <v>1.4E-3</v>
      </c>
      <c r="O2759">
        <v>1.4E-3</v>
      </c>
      <c r="P2759">
        <v>1.4E-3</v>
      </c>
      <c r="Q2759">
        <v>1.4E-3</v>
      </c>
      <c r="R2759">
        <v>1.4E-3</v>
      </c>
      <c r="S2759">
        <v>1.4E-3</v>
      </c>
      <c r="T2759">
        <v>1.5E-3</v>
      </c>
      <c r="U2759">
        <v>1.5E-3</v>
      </c>
      <c r="V2759">
        <v>1.5E-3</v>
      </c>
      <c r="W2759">
        <v>1.5E-3</v>
      </c>
      <c r="X2759">
        <v>1.5E-3</v>
      </c>
      <c r="Y2759">
        <v>1.6000000000000001E-3</v>
      </c>
    </row>
    <row r="2760" spans="1:25" hidden="1">
      <c r="A2760" t="s">
        <v>18811</v>
      </c>
      <c r="B2760" t="s">
        <v>1937</v>
      </c>
      <c r="C2760" t="s">
        <v>1845</v>
      </c>
      <c r="D2760" t="s">
        <v>1918</v>
      </c>
      <c r="E2760" t="s">
        <v>1904</v>
      </c>
      <c r="F2760" t="s">
        <v>598</v>
      </c>
      <c r="G2760" t="s">
        <v>599</v>
      </c>
      <c r="H2760" t="s">
        <v>600</v>
      </c>
      <c r="I2760" t="s">
        <v>601</v>
      </c>
      <c r="J2760">
        <v>1E-3</v>
      </c>
      <c r="K2760">
        <v>1E-3</v>
      </c>
      <c r="L2760">
        <v>1E-3</v>
      </c>
      <c r="M2760">
        <v>1E-3</v>
      </c>
      <c r="N2760">
        <v>1E-3</v>
      </c>
      <c r="O2760">
        <v>1E-3</v>
      </c>
      <c r="P2760">
        <v>1E-3</v>
      </c>
      <c r="Q2760">
        <v>1E-3</v>
      </c>
      <c r="R2760">
        <v>1.1000000000000001E-3</v>
      </c>
      <c r="S2760">
        <v>1.1000000000000001E-3</v>
      </c>
      <c r="T2760">
        <v>1.1000000000000001E-3</v>
      </c>
      <c r="U2760">
        <v>1.1000000000000001E-3</v>
      </c>
      <c r="V2760">
        <v>1.1000000000000001E-3</v>
      </c>
      <c r="W2760">
        <v>1.1000000000000001E-3</v>
      </c>
      <c r="X2760">
        <v>1.1999999999999999E-3</v>
      </c>
      <c r="Y2760">
        <v>1.1999999999999999E-3</v>
      </c>
    </row>
    <row r="2761" spans="1:25" hidden="1">
      <c r="A2761" t="s">
        <v>18811</v>
      </c>
      <c r="B2761" t="s">
        <v>1938</v>
      </c>
      <c r="C2761" t="s">
        <v>1845</v>
      </c>
      <c r="D2761" t="s">
        <v>1918</v>
      </c>
      <c r="E2761" t="s">
        <v>1939</v>
      </c>
      <c r="F2761" t="s">
        <v>598</v>
      </c>
      <c r="G2761" t="s">
        <v>599</v>
      </c>
      <c r="H2761" t="s">
        <v>600</v>
      </c>
      <c r="I2761" t="s">
        <v>601</v>
      </c>
      <c r="J2761">
        <v>2.9999999999999997E-4</v>
      </c>
      <c r="K2761">
        <v>2.9999999999999997E-4</v>
      </c>
      <c r="L2761">
        <v>2.9999999999999997E-4</v>
      </c>
      <c r="M2761">
        <v>2.9999999999999997E-4</v>
      </c>
      <c r="N2761">
        <v>2.9999999999999997E-4</v>
      </c>
      <c r="O2761">
        <v>2.9999999999999997E-4</v>
      </c>
      <c r="P2761">
        <v>2.9999999999999997E-4</v>
      </c>
      <c r="Q2761">
        <v>4.0000000000000002E-4</v>
      </c>
      <c r="R2761">
        <v>4.0000000000000002E-4</v>
      </c>
      <c r="S2761">
        <v>4.0000000000000002E-4</v>
      </c>
      <c r="T2761">
        <v>4.0000000000000002E-4</v>
      </c>
      <c r="U2761">
        <v>4.0000000000000002E-4</v>
      </c>
      <c r="V2761">
        <v>4.0000000000000002E-4</v>
      </c>
      <c r="W2761">
        <v>4.0000000000000002E-4</v>
      </c>
      <c r="X2761">
        <v>4.0000000000000002E-4</v>
      </c>
      <c r="Y2761">
        <v>4.0000000000000002E-4</v>
      </c>
    </row>
    <row r="2762" spans="1:25" hidden="1">
      <c r="A2762" t="s">
        <v>18811</v>
      </c>
      <c r="B2762" t="s">
        <v>1940</v>
      </c>
      <c r="C2762" t="s">
        <v>1845</v>
      </c>
      <c r="D2762" t="s">
        <v>1918</v>
      </c>
      <c r="E2762" t="s">
        <v>1910</v>
      </c>
      <c r="F2762" t="s">
        <v>598</v>
      </c>
      <c r="G2762" t="s">
        <v>599</v>
      </c>
      <c r="H2762" t="s">
        <v>600</v>
      </c>
      <c r="I2762" t="s">
        <v>601</v>
      </c>
      <c r="J2762">
        <v>8.9999999999999998E-4</v>
      </c>
      <c r="K2762">
        <v>8.9999999999999998E-4</v>
      </c>
      <c r="L2762">
        <v>8.9999999999999998E-4</v>
      </c>
      <c r="M2762">
        <v>8.9999999999999998E-4</v>
      </c>
      <c r="N2762">
        <v>8.9999999999999998E-4</v>
      </c>
      <c r="O2762">
        <v>8.9999999999999998E-4</v>
      </c>
      <c r="P2762">
        <v>8.9999999999999998E-4</v>
      </c>
      <c r="Q2762">
        <v>1E-3</v>
      </c>
      <c r="R2762">
        <v>1E-3</v>
      </c>
      <c r="S2762">
        <v>1E-3</v>
      </c>
      <c r="T2762">
        <v>1E-3</v>
      </c>
      <c r="U2762">
        <v>1E-3</v>
      </c>
      <c r="V2762">
        <v>1E-3</v>
      </c>
      <c r="W2762">
        <v>1E-3</v>
      </c>
      <c r="X2762">
        <v>1E-3</v>
      </c>
      <c r="Y2762">
        <v>1.1000000000000001E-3</v>
      </c>
    </row>
    <row r="2763" spans="1:25" hidden="1">
      <c r="A2763" t="s">
        <v>18811</v>
      </c>
      <c r="B2763" t="s">
        <v>1942</v>
      </c>
      <c r="C2763" t="s">
        <v>1845</v>
      </c>
      <c r="D2763" t="s">
        <v>1918</v>
      </c>
      <c r="E2763" t="s">
        <v>1914</v>
      </c>
      <c r="F2763" t="s">
        <v>598</v>
      </c>
      <c r="G2763" t="s">
        <v>599</v>
      </c>
      <c r="H2763" t="s">
        <v>600</v>
      </c>
      <c r="I2763" t="s">
        <v>601</v>
      </c>
      <c r="J2763">
        <v>1E-4</v>
      </c>
      <c r="K2763">
        <v>1E-4</v>
      </c>
      <c r="L2763">
        <v>1E-4</v>
      </c>
      <c r="M2763">
        <v>1E-4</v>
      </c>
      <c r="N2763">
        <v>1E-4</v>
      </c>
      <c r="O2763">
        <v>1E-4</v>
      </c>
      <c r="P2763">
        <v>1E-4</v>
      </c>
      <c r="Q2763">
        <v>1E-4</v>
      </c>
      <c r="R2763">
        <v>1E-4</v>
      </c>
      <c r="S2763">
        <v>1E-4</v>
      </c>
      <c r="T2763">
        <v>1E-4</v>
      </c>
      <c r="U2763">
        <v>1E-4</v>
      </c>
      <c r="V2763">
        <v>1E-4</v>
      </c>
      <c r="W2763">
        <v>1E-4</v>
      </c>
      <c r="X2763">
        <v>1E-4</v>
      </c>
      <c r="Y2763">
        <v>1E-4</v>
      </c>
    </row>
    <row r="2764" spans="1:25" hidden="1">
      <c r="A2764" t="s">
        <v>18811</v>
      </c>
      <c r="B2764" t="s">
        <v>1943</v>
      </c>
      <c r="C2764" t="s">
        <v>1845</v>
      </c>
      <c r="D2764" t="s">
        <v>1918</v>
      </c>
      <c r="E2764" t="s">
        <v>1846</v>
      </c>
      <c r="F2764" t="s">
        <v>598</v>
      </c>
      <c r="G2764" t="s">
        <v>599</v>
      </c>
      <c r="H2764" t="s">
        <v>600</v>
      </c>
      <c r="I2764" t="s">
        <v>601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hidden="1">
      <c r="A2765" t="s">
        <v>18811</v>
      </c>
      <c r="B2765" t="s">
        <v>1944</v>
      </c>
      <c r="C2765" t="s">
        <v>1845</v>
      </c>
      <c r="D2765" t="s">
        <v>1918</v>
      </c>
      <c r="E2765" t="s">
        <v>1945</v>
      </c>
      <c r="F2765" t="s">
        <v>598</v>
      </c>
      <c r="G2765" t="s">
        <v>599</v>
      </c>
      <c r="H2765" t="s">
        <v>600</v>
      </c>
      <c r="I2765" t="s">
        <v>601</v>
      </c>
      <c r="J2765">
        <v>8.0000000000000004E-4</v>
      </c>
      <c r="K2765">
        <v>8.0000000000000004E-4</v>
      </c>
      <c r="L2765">
        <v>8.0000000000000004E-4</v>
      </c>
      <c r="M2765">
        <v>8.0000000000000004E-4</v>
      </c>
      <c r="N2765">
        <v>8.0000000000000004E-4</v>
      </c>
      <c r="O2765">
        <v>8.0000000000000004E-4</v>
      </c>
      <c r="P2765">
        <v>8.0000000000000004E-4</v>
      </c>
      <c r="Q2765">
        <v>8.9999999999999998E-4</v>
      </c>
      <c r="R2765">
        <v>8.9999999999999998E-4</v>
      </c>
      <c r="S2765">
        <v>8.9999999999999998E-4</v>
      </c>
      <c r="T2765">
        <v>8.9999999999999998E-4</v>
      </c>
      <c r="U2765">
        <v>8.9999999999999998E-4</v>
      </c>
      <c r="V2765">
        <v>8.9999999999999998E-4</v>
      </c>
      <c r="W2765">
        <v>8.9999999999999998E-4</v>
      </c>
      <c r="X2765">
        <v>8.9999999999999998E-4</v>
      </c>
      <c r="Y2765">
        <v>8.9999999999999998E-4</v>
      </c>
    </row>
    <row r="2766" spans="1:25" hidden="1">
      <c r="A2766" t="s">
        <v>18811</v>
      </c>
      <c r="B2766" t="s">
        <v>1946</v>
      </c>
      <c r="C2766" t="s">
        <v>1845</v>
      </c>
      <c r="D2766" t="s">
        <v>1918</v>
      </c>
      <c r="E2766" t="s">
        <v>1869</v>
      </c>
      <c r="F2766" t="s">
        <v>598</v>
      </c>
      <c r="G2766" t="s">
        <v>599</v>
      </c>
      <c r="H2766" t="s">
        <v>600</v>
      </c>
      <c r="I2766" t="s">
        <v>601</v>
      </c>
      <c r="J2766">
        <v>1E-4</v>
      </c>
      <c r="K2766">
        <v>1E-4</v>
      </c>
      <c r="L2766">
        <v>1E-4</v>
      </c>
      <c r="M2766">
        <v>1E-4</v>
      </c>
      <c r="N2766">
        <v>1E-4</v>
      </c>
      <c r="O2766">
        <v>1E-4</v>
      </c>
      <c r="P2766">
        <v>1E-4</v>
      </c>
      <c r="Q2766">
        <v>1E-4</v>
      </c>
      <c r="R2766">
        <v>1E-4</v>
      </c>
      <c r="S2766">
        <v>1E-4</v>
      </c>
      <c r="T2766">
        <v>1E-4</v>
      </c>
      <c r="U2766">
        <v>1E-4</v>
      </c>
      <c r="V2766">
        <v>1E-4</v>
      </c>
      <c r="W2766">
        <v>1E-4</v>
      </c>
      <c r="X2766">
        <v>1E-4</v>
      </c>
      <c r="Y2766">
        <v>1E-4</v>
      </c>
    </row>
    <row r="2767" spans="1:25" hidden="1">
      <c r="A2767" t="s">
        <v>18811</v>
      </c>
      <c r="B2767" t="s">
        <v>1947</v>
      </c>
      <c r="C2767" t="s">
        <v>1845</v>
      </c>
      <c r="D2767" t="s">
        <v>648</v>
      </c>
      <c r="E2767" t="s">
        <v>1684</v>
      </c>
      <c r="F2767" t="s">
        <v>598</v>
      </c>
      <c r="G2767" t="s">
        <v>599</v>
      </c>
      <c r="H2767" t="s">
        <v>600</v>
      </c>
      <c r="I2767" t="s">
        <v>601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hidden="1">
      <c r="A2768" t="s">
        <v>18811</v>
      </c>
      <c r="B2768" t="s">
        <v>1948</v>
      </c>
      <c r="C2768" t="s">
        <v>1845</v>
      </c>
      <c r="D2768" t="s">
        <v>648</v>
      </c>
      <c r="E2768" t="s">
        <v>1393</v>
      </c>
      <c r="F2768" t="s">
        <v>598</v>
      </c>
      <c r="G2768" t="s">
        <v>599</v>
      </c>
      <c r="H2768" t="s">
        <v>600</v>
      </c>
      <c r="I2768" t="s">
        <v>601</v>
      </c>
      <c r="J2768">
        <v>4.0000000000000002E-4</v>
      </c>
      <c r="K2768">
        <v>4.0000000000000002E-4</v>
      </c>
      <c r="L2768">
        <v>4.0000000000000002E-4</v>
      </c>
      <c r="M2768">
        <v>4.0000000000000002E-4</v>
      </c>
      <c r="N2768">
        <v>4.0000000000000002E-4</v>
      </c>
      <c r="O2768">
        <v>4.0000000000000002E-4</v>
      </c>
      <c r="P2768">
        <v>4.0000000000000002E-4</v>
      </c>
      <c r="Q2768">
        <v>4.0000000000000002E-4</v>
      </c>
      <c r="R2768">
        <v>4.0000000000000002E-4</v>
      </c>
      <c r="S2768">
        <v>5.0000000000000001E-4</v>
      </c>
      <c r="T2768">
        <v>5.0000000000000001E-4</v>
      </c>
      <c r="U2768">
        <v>5.0000000000000001E-4</v>
      </c>
      <c r="V2768">
        <v>5.0000000000000001E-4</v>
      </c>
      <c r="W2768">
        <v>5.0000000000000001E-4</v>
      </c>
      <c r="X2768">
        <v>5.0000000000000001E-4</v>
      </c>
      <c r="Y2768">
        <v>5.0000000000000001E-4</v>
      </c>
    </row>
    <row r="2769" spans="1:25" hidden="1">
      <c r="A2769" t="s">
        <v>18811</v>
      </c>
      <c r="B2769" t="s">
        <v>1949</v>
      </c>
      <c r="C2769" t="s">
        <v>1845</v>
      </c>
      <c r="D2769" t="s">
        <v>648</v>
      </c>
      <c r="E2769" t="s">
        <v>1872</v>
      </c>
      <c r="F2769" t="s">
        <v>598</v>
      </c>
      <c r="G2769" t="s">
        <v>599</v>
      </c>
      <c r="H2769" t="s">
        <v>600</v>
      </c>
      <c r="I2769" t="s">
        <v>601</v>
      </c>
      <c r="J2769">
        <v>3.7000000000000002E-3</v>
      </c>
      <c r="K2769">
        <v>3.8E-3</v>
      </c>
      <c r="L2769">
        <v>3.8E-3</v>
      </c>
      <c r="M2769">
        <v>3.8E-3</v>
      </c>
      <c r="N2769">
        <v>4.0000000000000001E-3</v>
      </c>
      <c r="O2769">
        <v>4.1000000000000003E-3</v>
      </c>
      <c r="P2769">
        <v>4.1000000000000003E-3</v>
      </c>
      <c r="Q2769">
        <v>4.1000000000000003E-3</v>
      </c>
      <c r="R2769">
        <v>4.1999999999999997E-3</v>
      </c>
      <c r="S2769">
        <v>4.1999999999999997E-3</v>
      </c>
      <c r="T2769">
        <v>4.3E-3</v>
      </c>
      <c r="U2769">
        <v>4.3E-3</v>
      </c>
      <c r="V2769">
        <v>4.4000000000000003E-3</v>
      </c>
      <c r="W2769">
        <v>4.4000000000000003E-3</v>
      </c>
      <c r="X2769">
        <v>4.4000000000000003E-3</v>
      </c>
      <c r="Y2769">
        <v>4.4000000000000003E-3</v>
      </c>
    </row>
    <row r="2770" spans="1:25" hidden="1">
      <c r="A2770" t="s">
        <v>18811</v>
      </c>
      <c r="B2770" t="s">
        <v>1950</v>
      </c>
      <c r="C2770" t="s">
        <v>1845</v>
      </c>
      <c r="D2770" t="s">
        <v>648</v>
      </c>
      <c r="E2770" t="s">
        <v>1951</v>
      </c>
      <c r="F2770" t="s">
        <v>598</v>
      </c>
      <c r="G2770" t="s">
        <v>599</v>
      </c>
      <c r="H2770" t="s">
        <v>600</v>
      </c>
      <c r="I2770" t="s">
        <v>601</v>
      </c>
      <c r="J2770">
        <v>2.8400000000000002E-2</v>
      </c>
      <c r="K2770">
        <v>2.87E-2</v>
      </c>
      <c r="L2770">
        <v>2.9100000000000001E-2</v>
      </c>
      <c r="M2770">
        <v>2.9600000000000001E-2</v>
      </c>
      <c r="N2770">
        <v>3.0099999999999998E-2</v>
      </c>
      <c r="O2770">
        <v>3.04E-2</v>
      </c>
      <c r="P2770">
        <v>3.09E-2</v>
      </c>
      <c r="Q2770">
        <v>3.1300000000000001E-2</v>
      </c>
      <c r="R2770">
        <v>3.1699999999999999E-2</v>
      </c>
      <c r="S2770">
        <v>3.2000000000000001E-2</v>
      </c>
      <c r="T2770">
        <v>3.2399999999999998E-2</v>
      </c>
      <c r="U2770">
        <v>3.27E-2</v>
      </c>
      <c r="V2770">
        <v>3.32E-2</v>
      </c>
      <c r="W2770">
        <v>3.3599999999999998E-2</v>
      </c>
      <c r="X2770">
        <v>3.4000000000000002E-2</v>
      </c>
      <c r="Y2770">
        <v>3.4500000000000003E-2</v>
      </c>
    </row>
    <row r="2771" spans="1:25" hidden="1">
      <c r="A2771" t="s">
        <v>18811</v>
      </c>
      <c r="B2771" t="s">
        <v>1952</v>
      </c>
      <c r="C2771" t="s">
        <v>1845</v>
      </c>
      <c r="D2771" t="s">
        <v>648</v>
      </c>
      <c r="E2771" t="s">
        <v>1953</v>
      </c>
      <c r="F2771" t="s">
        <v>598</v>
      </c>
      <c r="G2771" t="s">
        <v>599</v>
      </c>
      <c r="H2771" t="s">
        <v>600</v>
      </c>
      <c r="I2771" t="s">
        <v>601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hidden="1">
      <c r="A2772" t="s">
        <v>18811</v>
      </c>
      <c r="B2772" t="s">
        <v>1956</v>
      </c>
      <c r="C2772" t="s">
        <v>1845</v>
      </c>
      <c r="D2772" t="s">
        <v>648</v>
      </c>
      <c r="E2772" t="s">
        <v>1957</v>
      </c>
      <c r="F2772" t="s">
        <v>598</v>
      </c>
      <c r="G2772" t="s">
        <v>599</v>
      </c>
      <c r="H2772" t="s">
        <v>600</v>
      </c>
      <c r="I2772" t="s">
        <v>601</v>
      </c>
      <c r="J2772">
        <v>2.3E-3</v>
      </c>
      <c r="K2772">
        <v>2.3E-3</v>
      </c>
      <c r="L2772">
        <v>2.3999999999999998E-3</v>
      </c>
      <c r="M2772">
        <v>2.3999999999999998E-3</v>
      </c>
      <c r="N2772">
        <v>2.5000000000000001E-3</v>
      </c>
      <c r="O2772">
        <v>2.5000000000000001E-3</v>
      </c>
      <c r="P2772">
        <v>2.5000000000000001E-3</v>
      </c>
      <c r="Q2772">
        <v>2.5999999999999999E-3</v>
      </c>
      <c r="R2772">
        <v>2.5999999999999999E-3</v>
      </c>
      <c r="S2772">
        <v>2.5999999999999999E-3</v>
      </c>
      <c r="T2772">
        <v>2.7000000000000001E-3</v>
      </c>
      <c r="U2772">
        <v>2.7000000000000001E-3</v>
      </c>
      <c r="V2772">
        <v>2.7000000000000001E-3</v>
      </c>
      <c r="W2772">
        <v>2.8E-3</v>
      </c>
      <c r="X2772">
        <v>2.8E-3</v>
      </c>
      <c r="Y2772">
        <v>2.8E-3</v>
      </c>
    </row>
    <row r="2773" spans="1:25" hidden="1">
      <c r="A2773" t="s">
        <v>18811</v>
      </c>
      <c r="B2773" t="s">
        <v>1961</v>
      </c>
      <c r="C2773" t="s">
        <v>1959</v>
      </c>
      <c r="D2773" t="s">
        <v>1332</v>
      </c>
      <c r="E2773" t="s">
        <v>1962</v>
      </c>
      <c r="F2773" t="s">
        <v>598</v>
      </c>
      <c r="G2773" t="s">
        <v>599</v>
      </c>
      <c r="H2773" t="s">
        <v>600</v>
      </c>
      <c r="I2773" t="s">
        <v>601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hidden="1">
      <c r="A2774" t="s">
        <v>18811</v>
      </c>
      <c r="B2774" t="s">
        <v>1964</v>
      </c>
      <c r="C2774" t="s">
        <v>1959</v>
      </c>
      <c r="D2774" t="s">
        <v>1965</v>
      </c>
      <c r="E2774" t="s">
        <v>1966</v>
      </c>
      <c r="F2774" t="s">
        <v>598</v>
      </c>
      <c r="G2774" t="s">
        <v>599</v>
      </c>
      <c r="H2774" t="s">
        <v>600</v>
      </c>
      <c r="I2774" t="s">
        <v>601</v>
      </c>
      <c r="J2774">
        <v>9.7299999999999998E-2</v>
      </c>
      <c r="K2774">
        <v>0.1003</v>
      </c>
      <c r="L2774">
        <v>0.10299999999999999</v>
      </c>
      <c r="M2774">
        <v>0.10630000000000001</v>
      </c>
      <c r="N2774">
        <v>0.1084</v>
      </c>
      <c r="O2774">
        <v>0.1101</v>
      </c>
      <c r="P2774">
        <v>0.11219999999999999</v>
      </c>
      <c r="Q2774">
        <v>0.114</v>
      </c>
      <c r="R2774">
        <v>0.11600000000000001</v>
      </c>
      <c r="S2774">
        <v>0.1179</v>
      </c>
      <c r="T2774">
        <v>0.1201</v>
      </c>
      <c r="U2774">
        <v>0.1226</v>
      </c>
      <c r="V2774">
        <v>0.1255</v>
      </c>
      <c r="W2774">
        <v>0.12839999999999999</v>
      </c>
      <c r="X2774">
        <v>0.13070000000000001</v>
      </c>
      <c r="Y2774">
        <v>0.13320000000000001</v>
      </c>
    </row>
    <row r="2775" spans="1:25" hidden="1">
      <c r="A2775" t="s">
        <v>18811</v>
      </c>
      <c r="B2775" t="s">
        <v>1967</v>
      </c>
      <c r="C2775" t="s">
        <v>1959</v>
      </c>
      <c r="D2775" t="s">
        <v>1968</v>
      </c>
      <c r="E2775" t="s">
        <v>1962</v>
      </c>
      <c r="F2775" t="s">
        <v>598</v>
      </c>
      <c r="G2775" t="s">
        <v>599</v>
      </c>
      <c r="H2775" t="s">
        <v>600</v>
      </c>
      <c r="I2775" t="s">
        <v>601</v>
      </c>
      <c r="J2775">
        <v>0.61770000000000003</v>
      </c>
      <c r="K2775">
        <v>0.63570000000000004</v>
      </c>
      <c r="L2775">
        <v>0.6542</v>
      </c>
      <c r="M2775">
        <v>0.67369999999999997</v>
      </c>
      <c r="N2775">
        <v>0.6865</v>
      </c>
      <c r="O2775">
        <v>0.69869999999999999</v>
      </c>
      <c r="P2775">
        <v>0.71050000000000002</v>
      </c>
      <c r="Q2775">
        <v>0.72319999999999995</v>
      </c>
      <c r="R2775">
        <v>0.73609999999999998</v>
      </c>
      <c r="S2775">
        <v>0.74939999999999996</v>
      </c>
      <c r="T2775">
        <v>0.76390000000000002</v>
      </c>
      <c r="U2775">
        <v>0.77859999999999996</v>
      </c>
      <c r="V2775">
        <v>0.79600000000000004</v>
      </c>
      <c r="W2775">
        <v>0.81279999999999997</v>
      </c>
      <c r="X2775">
        <v>0.82789999999999997</v>
      </c>
      <c r="Y2775">
        <v>0.84409999999999996</v>
      </c>
    </row>
    <row r="2776" spans="1:25" hidden="1">
      <c r="A2776" t="s">
        <v>18811</v>
      </c>
      <c r="B2776" t="s">
        <v>1969</v>
      </c>
      <c r="C2776" t="s">
        <v>1959</v>
      </c>
      <c r="D2776" t="s">
        <v>1968</v>
      </c>
      <c r="E2776" t="s">
        <v>1970</v>
      </c>
      <c r="F2776" t="s">
        <v>598</v>
      </c>
      <c r="G2776" t="s">
        <v>599</v>
      </c>
      <c r="H2776" t="s">
        <v>600</v>
      </c>
      <c r="I2776" t="s">
        <v>601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hidden="1">
      <c r="A2777" t="s">
        <v>18811</v>
      </c>
      <c r="B2777" t="s">
        <v>1971</v>
      </c>
      <c r="C2777" t="s">
        <v>1959</v>
      </c>
      <c r="D2777" t="s">
        <v>1972</v>
      </c>
      <c r="E2777" t="s">
        <v>1973</v>
      </c>
      <c r="F2777" t="s">
        <v>598</v>
      </c>
      <c r="G2777" t="s">
        <v>599</v>
      </c>
      <c r="H2777" t="s">
        <v>600</v>
      </c>
      <c r="I2777" t="s">
        <v>601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hidden="1">
      <c r="A2778" t="s">
        <v>18811</v>
      </c>
      <c r="B2778" t="s">
        <v>1977</v>
      </c>
      <c r="C2778" t="s">
        <v>1959</v>
      </c>
      <c r="D2778" t="s">
        <v>1972</v>
      </c>
      <c r="E2778" t="s">
        <v>1966</v>
      </c>
      <c r="F2778" t="s">
        <v>598</v>
      </c>
      <c r="G2778" t="s">
        <v>599</v>
      </c>
      <c r="H2778" t="s">
        <v>600</v>
      </c>
      <c r="I2778" t="s">
        <v>601</v>
      </c>
      <c r="J2778">
        <v>1E-4</v>
      </c>
      <c r="K2778">
        <v>1E-4</v>
      </c>
      <c r="L2778">
        <v>1E-4</v>
      </c>
      <c r="M2778">
        <v>1E-4</v>
      </c>
      <c r="N2778">
        <v>1E-4</v>
      </c>
      <c r="O2778">
        <v>1E-4</v>
      </c>
      <c r="P2778">
        <v>1E-4</v>
      </c>
      <c r="Q2778">
        <v>1E-4</v>
      </c>
      <c r="R2778">
        <v>1E-4</v>
      </c>
      <c r="S2778">
        <v>1E-4</v>
      </c>
      <c r="T2778">
        <v>1E-4</v>
      </c>
      <c r="U2778">
        <v>1E-4</v>
      </c>
      <c r="V2778">
        <v>1E-4</v>
      </c>
      <c r="W2778">
        <v>1E-4</v>
      </c>
      <c r="X2778">
        <v>1E-4</v>
      </c>
      <c r="Y2778">
        <v>1E-4</v>
      </c>
    </row>
    <row r="2779" spans="1:25" hidden="1">
      <c r="A2779" t="s">
        <v>18811</v>
      </c>
      <c r="B2779" t="s">
        <v>1978</v>
      </c>
      <c r="C2779" t="s">
        <v>1959</v>
      </c>
      <c r="D2779" t="s">
        <v>1972</v>
      </c>
      <c r="E2779" t="s">
        <v>1979</v>
      </c>
      <c r="F2779" t="s">
        <v>598</v>
      </c>
      <c r="G2779" t="s">
        <v>599</v>
      </c>
      <c r="H2779" t="s">
        <v>600</v>
      </c>
      <c r="I2779" t="s">
        <v>601</v>
      </c>
      <c r="J2779">
        <v>5.0000000000000001E-4</v>
      </c>
      <c r="K2779">
        <v>6.9999999999999999E-4</v>
      </c>
      <c r="L2779">
        <v>6.9999999999999999E-4</v>
      </c>
      <c r="M2779">
        <v>6.9999999999999999E-4</v>
      </c>
      <c r="N2779">
        <v>6.9999999999999999E-4</v>
      </c>
      <c r="O2779">
        <v>6.9999999999999999E-4</v>
      </c>
      <c r="P2779">
        <v>6.9999999999999999E-4</v>
      </c>
      <c r="Q2779">
        <v>6.9999999999999999E-4</v>
      </c>
      <c r="R2779">
        <v>6.9999999999999999E-4</v>
      </c>
      <c r="S2779">
        <v>6.9999999999999999E-4</v>
      </c>
      <c r="T2779">
        <v>6.9999999999999999E-4</v>
      </c>
      <c r="U2779">
        <v>6.9999999999999999E-4</v>
      </c>
      <c r="V2779">
        <v>6.9999999999999999E-4</v>
      </c>
      <c r="W2779">
        <v>8.0000000000000004E-4</v>
      </c>
      <c r="X2779">
        <v>8.0000000000000004E-4</v>
      </c>
      <c r="Y2779">
        <v>8.0000000000000004E-4</v>
      </c>
    </row>
    <row r="2780" spans="1:25" hidden="1">
      <c r="A2780" t="s">
        <v>18811</v>
      </c>
      <c r="B2780" t="s">
        <v>1982</v>
      </c>
      <c r="C2780" t="s">
        <v>1959</v>
      </c>
      <c r="D2780" t="s">
        <v>1983</v>
      </c>
      <c r="E2780" t="s">
        <v>1984</v>
      </c>
      <c r="F2780" t="s">
        <v>598</v>
      </c>
      <c r="G2780" t="s">
        <v>599</v>
      </c>
      <c r="H2780" t="s">
        <v>600</v>
      </c>
      <c r="I2780" t="s">
        <v>601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hidden="1">
      <c r="A2781" t="s">
        <v>18811</v>
      </c>
      <c r="B2781" t="s">
        <v>1985</v>
      </c>
      <c r="C2781" t="s">
        <v>1959</v>
      </c>
      <c r="D2781" t="s">
        <v>1983</v>
      </c>
      <c r="E2781" t="s">
        <v>1378</v>
      </c>
      <c r="F2781" t="s">
        <v>598</v>
      </c>
      <c r="G2781" t="s">
        <v>599</v>
      </c>
      <c r="H2781" t="s">
        <v>600</v>
      </c>
      <c r="I2781" t="s">
        <v>601</v>
      </c>
      <c r="J2781">
        <v>0.15909999999999999</v>
      </c>
      <c r="K2781">
        <v>0.16370000000000001</v>
      </c>
      <c r="L2781">
        <v>0.16839999999999999</v>
      </c>
      <c r="M2781">
        <v>0.17349999999999999</v>
      </c>
      <c r="N2781">
        <v>0.1769</v>
      </c>
      <c r="O2781">
        <v>0.18</v>
      </c>
      <c r="P2781">
        <v>0.18329999999999999</v>
      </c>
      <c r="Q2781">
        <v>0.1865</v>
      </c>
      <c r="R2781">
        <v>0.19</v>
      </c>
      <c r="S2781">
        <v>0.19339999999999999</v>
      </c>
      <c r="T2781">
        <v>0.19719999999999999</v>
      </c>
      <c r="U2781">
        <v>0.2009</v>
      </c>
      <c r="V2781">
        <v>0.20530000000000001</v>
      </c>
      <c r="W2781">
        <v>0.20960000000000001</v>
      </c>
      <c r="X2781">
        <v>0.21379999999999999</v>
      </c>
      <c r="Y2781">
        <v>0.21779999999999999</v>
      </c>
    </row>
    <row r="2782" spans="1:25" hidden="1">
      <c r="A2782" t="s">
        <v>18811</v>
      </c>
      <c r="B2782" t="s">
        <v>1986</v>
      </c>
      <c r="C2782" t="s">
        <v>1959</v>
      </c>
      <c r="D2782" t="s">
        <v>1983</v>
      </c>
      <c r="E2782" t="s">
        <v>1987</v>
      </c>
      <c r="F2782" t="s">
        <v>598</v>
      </c>
      <c r="G2782" t="s">
        <v>599</v>
      </c>
      <c r="H2782" t="s">
        <v>600</v>
      </c>
      <c r="I2782" t="s">
        <v>601</v>
      </c>
      <c r="J2782">
        <v>4.1999999999999997E-3</v>
      </c>
      <c r="K2782">
        <v>4.3E-3</v>
      </c>
      <c r="L2782">
        <v>4.4000000000000003E-3</v>
      </c>
      <c r="M2782">
        <v>4.5999999999999999E-3</v>
      </c>
      <c r="N2782">
        <v>4.7000000000000002E-3</v>
      </c>
      <c r="O2782">
        <v>4.8999999999999998E-3</v>
      </c>
      <c r="P2782">
        <v>5.0000000000000001E-3</v>
      </c>
      <c r="Q2782">
        <v>5.1000000000000004E-3</v>
      </c>
      <c r="R2782">
        <v>5.1999999999999998E-3</v>
      </c>
      <c r="S2782">
        <v>5.3E-3</v>
      </c>
      <c r="T2782">
        <v>5.3E-3</v>
      </c>
      <c r="U2782">
        <v>5.4000000000000003E-3</v>
      </c>
      <c r="V2782">
        <v>5.4999999999999997E-3</v>
      </c>
      <c r="W2782">
        <v>5.5999999999999999E-3</v>
      </c>
      <c r="X2782">
        <v>5.7999999999999996E-3</v>
      </c>
      <c r="Y2782">
        <v>5.7999999999999996E-3</v>
      </c>
    </row>
    <row r="2783" spans="1:25" hidden="1">
      <c r="A2783" t="s">
        <v>18811</v>
      </c>
      <c r="B2783" t="s">
        <v>1988</v>
      </c>
      <c r="C2783" t="s">
        <v>1959</v>
      </c>
      <c r="D2783" t="s">
        <v>1983</v>
      </c>
      <c r="E2783" t="s">
        <v>1966</v>
      </c>
      <c r="F2783" t="s">
        <v>598</v>
      </c>
      <c r="G2783" t="s">
        <v>599</v>
      </c>
      <c r="H2783" t="s">
        <v>600</v>
      </c>
      <c r="I2783" t="s">
        <v>601</v>
      </c>
      <c r="J2783">
        <v>0.17630000000000001</v>
      </c>
      <c r="K2783">
        <v>0.18129999999999999</v>
      </c>
      <c r="L2783">
        <v>0.1867</v>
      </c>
      <c r="M2783">
        <v>0.1925</v>
      </c>
      <c r="N2783">
        <v>0.19600000000000001</v>
      </c>
      <c r="O2783">
        <v>0.19950000000000001</v>
      </c>
      <c r="P2783">
        <v>0.2026</v>
      </c>
      <c r="Q2783">
        <v>0.2064</v>
      </c>
      <c r="R2783">
        <v>0.21029999999999999</v>
      </c>
      <c r="S2783">
        <v>0.214</v>
      </c>
      <c r="T2783">
        <v>0.21820000000000001</v>
      </c>
      <c r="U2783">
        <v>0.2223</v>
      </c>
      <c r="V2783">
        <v>0.22720000000000001</v>
      </c>
      <c r="W2783">
        <v>0.23180000000000001</v>
      </c>
      <c r="X2783">
        <v>0.2364</v>
      </c>
      <c r="Y2783">
        <v>0.2407</v>
      </c>
    </row>
    <row r="2784" spans="1:25" hidden="1">
      <c r="A2784" t="s">
        <v>18811</v>
      </c>
      <c r="B2784" t="s">
        <v>1989</v>
      </c>
      <c r="C2784" t="s">
        <v>1959</v>
      </c>
      <c r="D2784" t="s">
        <v>1983</v>
      </c>
      <c r="E2784" t="s">
        <v>1990</v>
      </c>
      <c r="F2784" t="s">
        <v>598</v>
      </c>
      <c r="G2784" t="s">
        <v>599</v>
      </c>
      <c r="H2784" t="s">
        <v>600</v>
      </c>
      <c r="I2784" t="s">
        <v>601</v>
      </c>
      <c r="J2784">
        <v>1.1299999999999999E-2</v>
      </c>
      <c r="K2784">
        <v>1.17E-2</v>
      </c>
      <c r="L2784">
        <v>1.2E-2</v>
      </c>
      <c r="M2784">
        <v>1.23E-2</v>
      </c>
      <c r="N2784">
        <v>1.2500000000000001E-2</v>
      </c>
      <c r="O2784">
        <v>1.2699999999999999E-2</v>
      </c>
      <c r="P2784">
        <v>1.2999999999999999E-2</v>
      </c>
      <c r="Q2784">
        <v>1.32E-2</v>
      </c>
      <c r="R2784">
        <v>1.35E-2</v>
      </c>
      <c r="S2784">
        <v>1.37E-2</v>
      </c>
      <c r="T2784">
        <v>1.4E-2</v>
      </c>
      <c r="U2784">
        <v>1.4200000000000001E-2</v>
      </c>
      <c r="V2784">
        <v>1.46E-2</v>
      </c>
      <c r="W2784">
        <v>1.49E-2</v>
      </c>
      <c r="X2784">
        <v>1.52E-2</v>
      </c>
      <c r="Y2784">
        <v>1.55E-2</v>
      </c>
    </row>
    <row r="2785" spans="1:25" hidden="1">
      <c r="A2785" t="s">
        <v>18811</v>
      </c>
      <c r="B2785" t="s">
        <v>1991</v>
      </c>
      <c r="C2785" t="s">
        <v>1959</v>
      </c>
      <c r="D2785" t="s">
        <v>1983</v>
      </c>
      <c r="E2785" t="s">
        <v>1992</v>
      </c>
      <c r="F2785" t="s">
        <v>598</v>
      </c>
      <c r="G2785" t="s">
        <v>599</v>
      </c>
      <c r="H2785" t="s">
        <v>600</v>
      </c>
      <c r="I2785" t="s">
        <v>601</v>
      </c>
      <c r="J2785">
        <v>3.2000000000000002E-3</v>
      </c>
      <c r="K2785">
        <v>3.3E-3</v>
      </c>
      <c r="L2785">
        <v>3.3999999999999998E-3</v>
      </c>
      <c r="M2785">
        <v>3.5999999999999999E-3</v>
      </c>
      <c r="N2785">
        <v>3.5999999999999999E-3</v>
      </c>
      <c r="O2785">
        <v>3.7000000000000002E-3</v>
      </c>
      <c r="P2785">
        <v>3.8E-3</v>
      </c>
      <c r="Q2785">
        <v>3.8E-3</v>
      </c>
      <c r="R2785">
        <v>3.8999999999999998E-3</v>
      </c>
      <c r="S2785">
        <v>3.8999999999999998E-3</v>
      </c>
      <c r="T2785">
        <v>4.0000000000000001E-3</v>
      </c>
      <c r="U2785">
        <v>4.0000000000000001E-3</v>
      </c>
      <c r="V2785">
        <v>4.1999999999999997E-3</v>
      </c>
      <c r="W2785">
        <v>4.1999999999999997E-3</v>
      </c>
      <c r="X2785">
        <v>4.3E-3</v>
      </c>
      <c r="Y2785">
        <v>4.4000000000000003E-3</v>
      </c>
    </row>
    <row r="2786" spans="1:25" hidden="1">
      <c r="A2786" t="s">
        <v>18811</v>
      </c>
      <c r="B2786" t="s">
        <v>1993</v>
      </c>
      <c r="C2786" t="s">
        <v>1959</v>
      </c>
      <c r="D2786" t="s">
        <v>1983</v>
      </c>
      <c r="E2786" t="s">
        <v>1994</v>
      </c>
      <c r="F2786" t="s">
        <v>598</v>
      </c>
      <c r="G2786" t="s">
        <v>599</v>
      </c>
      <c r="H2786" t="s">
        <v>600</v>
      </c>
      <c r="I2786" t="s">
        <v>601</v>
      </c>
      <c r="J2786">
        <v>1.2999999999999999E-3</v>
      </c>
      <c r="K2786">
        <v>1.4E-3</v>
      </c>
      <c r="L2786">
        <v>1.4E-3</v>
      </c>
      <c r="M2786">
        <v>1.4E-3</v>
      </c>
      <c r="N2786">
        <v>1.4E-3</v>
      </c>
      <c r="O2786">
        <v>1.5E-3</v>
      </c>
      <c r="P2786">
        <v>1.5E-3</v>
      </c>
      <c r="Q2786">
        <v>1.5E-3</v>
      </c>
      <c r="R2786">
        <v>1.6000000000000001E-3</v>
      </c>
      <c r="S2786">
        <v>1.6000000000000001E-3</v>
      </c>
      <c r="T2786">
        <v>1.6000000000000001E-3</v>
      </c>
      <c r="U2786">
        <v>1.6999999999999999E-3</v>
      </c>
      <c r="V2786">
        <v>1.6999999999999999E-3</v>
      </c>
      <c r="W2786">
        <v>1.6999999999999999E-3</v>
      </c>
      <c r="X2786">
        <v>1.6999999999999999E-3</v>
      </c>
      <c r="Y2786">
        <v>1.8E-3</v>
      </c>
    </row>
    <row r="2787" spans="1:25" hidden="1">
      <c r="A2787" t="s">
        <v>18811</v>
      </c>
      <c r="B2787" t="s">
        <v>1995</v>
      </c>
      <c r="C2787" t="s">
        <v>1959</v>
      </c>
      <c r="D2787" t="s">
        <v>1996</v>
      </c>
      <c r="E2787" t="s">
        <v>1973</v>
      </c>
      <c r="F2787" t="s">
        <v>598</v>
      </c>
      <c r="G2787" t="s">
        <v>599</v>
      </c>
      <c r="H2787" t="s">
        <v>600</v>
      </c>
      <c r="I2787" t="s">
        <v>601</v>
      </c>
      <c r="J2787">
        <v>1E-4</v>
      </c>
      <c r="K2787">
        <v>1E-4</v>
      </c>
      <c r="L2787">
        <v>1E-4</v>
      </c>
      <c r="M2787">
        <v>1E-4</v>
      </c>
      <c r="N2787">
        <v>1E-4</v>
      </c>
      <c r="O2787">
        <v>1E-4</v>
      </c>
      <c r="P2787">
        <v>1E-4</v>
      </c>
      <c r="Q2787">
        <v>1E-4</v>
      </c>
      <c r="R2787">
        <v>1E-4</v>
      </c>
      <c r="S2787">
        <v>1E-4</v>
      </c>
      <c r="T2787">
        <v>1E-4</v>
      </c>
      <c r="U2787">
        <v>1E-4</v>
      </c>
      <c r="V2787">
        <v>1E-4</v>
      </c>
      <c r="W2787">
        <v>1E-4</v>
      </c>
      <c r="X2787">
        <v>1E-4</v>
      </c>
      <c r="Y2787">
        <v>1E-4</v>
      </c>
    </row>
    <row r="2788" spans="1:25" hidden="1">
      <c r="A2788" t="s">
        <v>18811</v>
      </c>
      <c r="B2788" t="s">
        <v>1997</v>
      </c>
      <c r="C2788" t="s">
        <v>1959</v>
      </c>
      <c r="D2788" t="s">
        <v>1996</v>
      </c>
      <c r="E2788" t="s">
        <v>1380</v>
      </c>
      <c r="F2788" t="s">
        <v>598</v>
      </c>
      <c r="G2788" t="s">
        <v>599</v>
      </c>
      <c r="H2788" t="s">
        <v>600</v>
      </c>
      <c r="I2788" t="s">
        <v>601</v>
      </c>
      <c r="J2788">
        <v>4.0000000000000001E-3</v>
      </c>
      <c r="K2788">
        <v>4.1000000000000003E-3</v>
      </c>
      <c r="L2788">
        <v>4.3E-3</v>
      </c>
      <c r="M2788">
        <v>4.4000000000000003E-3</v>
      </c>
      <c r="N2788">
        <v>4.4000000000000003E-3</v>
      </c>
      <c r="O2788">
        <v>4.4999999999999997E-3</v>
      </c>
      <c r="P2788">
        <v>4.4999999999999997E-3</v>
      </c>
      <c r="Q2788">
        <v>4.5999999999999999E-3</v>
      </c>
      <c r="R2788">
        <v>4.5999999999999999E-3</v>
      </c>
      <c r="S2788">
        <v>4.7000000000000002E-3</v>
      </c>
      <c r="T2788">
        <v>4.7999999999999996E-3</v>
      </c>
      <c r="U2788">
        <v>4.7999999999999996E-3</v>
      </c>
      <c r="V2788">
        <v>4.8999999999999998E-3</v>
      </c>
      <c r="W2788">
        <v>5.0000000000000001E-3</v>
      </c>
      <c r="X2788">
        <v>5.0000000000000001E-3</v>
      </c>
      <c r="Y2788">
        <v>5.1000000000000004E-3</v>
      </c>
    </row>
    <row r="2789" spans="1:25" hidden="1">
      <c r="A2789" t="s">
        <v>18811</v>
      </c>
      <c r="B2789" t="s">
        <v>2000</v>
      </c>
      <c r="C2789" t="s">
        <v>1959</v>
      </c>
      <c r="D2789" t="s">
        <v>2001</v>
      </c>
      <c r="E2789" t="s">
        <v>1731</v>
      </c>
      <c r="F2789" t="s">
        <v>598</v>
      </c>
      <c r="G2789" t="s">
        <v>599</v>
      </c>
      <c r="H2789" t="s">
        <v>600</v>
      </c>
      <c r="I2789" t="s">
        <v>601</v>
      </c>
      <c r="J2789">
        <v>1.5E-3</v>
      </c>
      <c r="K2789">
        <v>1.5E-3</v>
      </c>
      <c r="L2789">
        <v>1.5E-3</v>
      </c>
      <c r="M2789">
        <v>1.6000000000000001E-3</v>
      </c>
      <c r="N2789">
        <v>1.6000000000000001E-3</v>
      </c>
      <c r="O2789">
        <v>1.6000000000000001E-3</v>
      </c>
      <c r="P2789">
        <v>1.6999999999999999E-3</v>
      </c>
      <c r="Q2789">
        <v>1.6999999999999999E-3</v>
      </c>
      <c r="R2789">
        <v>1.6999999999999999E-3</v>
      </c>
      <c r="S2789">
        <v>1.8E-3</v>
      </c>
      <c r="T2789">
        <v>1.8E-3</v>
      </c>
      <c r="U2789">
        <v>1.8E-3</v>
      </c>
      <c r="V2789">
        <v>1.9E-3</v>
      </c>
      <c r="W2789">
        <v>1.9E-3</v>
      </c>
      <c r="X2789">
        <v>1.9E-3</v>
      </c>
      <c r="Y2789">
        <v>2E-3</v>
      </c>
    </row>
    <row r="2790" spans="1:25" hidden="1">
      <c r="A2790" t="s">
        <v>18811</v>
      </c>
      <c r="B2790" t="s">
        <v>2004</v>
      </c>
      <c r="C2790" t="s">
        <v>1959</v>
      </c>
      <c r="D2790" t="s">
        <v>2001</v>
      </c>
      <c r="E2790" t="s">
        <v>1380</v>
      </c>
      <c r="F2790" t="s">
        <v>598</v>
      </c>
      <c r="G2790" t="s">
        <v>599</v>
      </c>
      <c r="H2790" t="s">
        <v>600</v>
      </c>
      <c r="I2790" t="s">
        <v>601</v>
      </c>
      <c r="J2790">
        <v>5.0000000000000001E-4</v>
      </c>
      <c r="K2790">
        <v>5.0000000000000001E-4</v>
      </c>
      <c r="L2790">
        <v>5.0000000000000001E-4</v>
      </c>
      <c r="M2790">
        <v>5.0000000000000001E-4</v>
      </c>
      <c r="N2790">
        <v>5.0000000000000001E-4</v>
      </c>
      <c r="O2790">
        <v>5.0000000000000001E-4</v>
      </c>
      <c r="P2790">
        <v>5.0000000000000001E-4</v>
      </c>
      <c r="Q2790">
        <v>5.0000000000000001E-4</v>
      </c>
      <c r="R2790">
        <v>5.9999999999999995E-4</v>
      </c>
      <c r="S2790">
        <v>5.9999999999999995E-4</v>
      </c>
      <c r="T2790">
        <v>5.9999999999999995E-4</v>
      </c>
      <c r="U2790">
        <v>5.9999999999999995E-4</v>
      </c>
      <c r="V2790">
        <v>5.9999999999999995E-4</v>
      </c>
      <c r="W2790">
        <v>5.9999999999999995E-4</v>
      </c>
      <c r="X2790">
        <v>5.9999999999999995E-4</v>
      </c>
      <c r="Y2790">
        <v>5.9999999999999995E-4</v>
      </c>
    </row>
    <row r="2791" spans="1:25" hidden="1">
      <c r="A2791" t="s">
        <v>18811</v>
      </c>
      <c r="B2791" t="s">
        <v>2005</v>
      </c>
      <c r="C2791" t="s">
        <v>1959</v>
      </c>
      <c r="D2791" t="s">
        <v>2001</v>
      </c>
      <c r="E2791" t="s">
        <v>1976</v>
      </c>
      <c r="F2791" t="s">
        <v>598</v>
      </c>
      <c r="G2791" t="s">
        <v>599</v>
      </c>
      <c r="H2791" t="s">
        <v>600</v>
      </c>
      <c r="I2791" t="s">
        <v>601</v>
      </c>
      <c r="J2791">
        <v>0.19500000000000001</v>
      </c>
      <c r="K2791">
        <v>0.2014</v>
      </c>
      <c r="L2791">
        <v>0.20799999999999999</v>
      </c>
      <c r="M2791">
        <v>0.215</v>
      </c>
      <c r="N2791">
        <v>0.2195</v>
      </c>
      <c r="O2791">
        <v>0.224</v>
      </c>
      <c r="P2791">
        <v>0.22819999999999999</v>
      </c>
      <c r="Q2791">
        <v>0.23330000000000001</v>
      </c>
      <c r="R2791">
        <v>0.2382</v>
      </c>
      <c r="S2791">
        <v>0.24310000000000001</v>
      </c>
      <c r="T2791">
        <v>0.2482</v>
      </c>
      <c r="U2791">
        <v>0.25340000000000001</v>
      </c>
      <c r="V2791">
        <v>0.25969999999999999</v>
      </c>
      <c r="W2791">
        <v>0.26550000000000001</v>
      </c>
      <c r="X2791">
        <v>0.2707</v>
      </c>
      <c r="Y2791">
        <v>0.27579999999999999</v>
      </c>
    </row>
    <row r="2792" spans="1:25" hidden="1">
      <c r="A2792" t="s">
        <v>18811</v>
      </c>
      <c r="B2792" t="s">
        <v>2006</v>
      </c>
      <c r="C2792" t="s">
        <v>1959</v>
      </c>
      <c r="D2792" t="s">
        <v>2001</v>
      </c>
      <c r="E2792" t="s">
        <v>1970</v>
      </c>
      <c r="F2792" t="s">
        <v>598</v>
      </c>
      <c r="G2792" t="s">
        <v>599</v>
      </c>
      <c r="H2792" t="s">
        <v>600</v>
      </c>
      <c r="I2792" t="s">
        <v>601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hidden="1">
      <c r="A2793" t="s">
        <v>18811</v>
      </c>
      <c r="B2793" t="s">
        <v>2007</v>
      </c>
      <c r="C2793" t="s">
        <v>1959</v>
      </c>
      <c r="D2793" t="s">
        <v>2001</v>
      </c>
      <c r="E2793" t="s">
        <v>1966</v>
      </c>
      <c r="F2793" t="s">
        <v>598</v>
      </c>
      <c r="G2793" t="s">
        <v>599</v>
      </c>
      <c r="H2793" t="s">
        <v>600</v>
      </c>
      <c r="I2793" t="s">
        <v>601</v>
      </c>
      <c r="J2793">
        <v>1E-4</v>
      </c>
      <c r="K2793">
        <v>1E-4</v>
      </c>
      <c r="L2793">
        <v>1E-4</v>
      </c>
      <c r="M2793">
        <v>1E-4</v>
      </c>
      <c r="N2793">
        <v>1E-4</v>
      </c>
      <c r="O2793">
        <v>1E-4</v>
      </c>
      <c r="P2793">
        <v>1E-4</v>
      </c>
      <c r="Q2793">
        <v>1E-4</v>
      </c>
      <c r="R2793">
        <v>1E-4</v>
      </c>
      <c r="S2793">
        <v>1E-4</v>
      </c>
      <c r="T2793">
        <v>1E-4</v>
      </c>
      <c r="U2793">
        <v>1E-4</v>
      </c>
      <c r="V2793">
        <v>1E-4</v>
      </c>
      <c r="W2793">
        <v>1E-4</v>
      </c>
      <c r="X2793">
        <v>1E-4</v>
      </c>
      <c r="Y2793">
        <v>1E-4</v>
      </c>
    </row>
    <row r="2794" spans="1:25" hidden="1">
      <c r="A2794" t="s">
        <v>18811</v>
      </c>
      <c r="B2794" t="s">
        <v>2014</v>
      </c>
      <c r="C2794" t="s">
        <v>1959</v>
      </c>
      <c r="D2794" t="s">
        <v>2012</v>
      </c>
      <c r="E2794" t="s">
        <v>1970</v>
      </c>
      <c r="F2794" t="s">
        <v>598</v>
      </c>
      <c r="G2794" t="s">
        <v>599</v>
      </c>
      <c r="H2794" t="s">
        <v>600</v>
      </c>
      <c r="I2794" t="s">
        <v>601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hidden="1">
      <c r="A2795" t="s">
        <v>18811</v>
      </c>
      <c r="B2795" t="s">
        <v>2017</v>
      </c>
      <c r="C2795" t="s">
        <v>1959</v>
      </c>
      <c r="D2795" t="s">
        <v>1817</v>
      </c>
      <c r="E2795" t="s">
        <v>1962</v>
      </c>
      <c r="F2795" t="s">
        <v>598</v>
      </c>
      <c r="G2795" t="s">
        <v>599</v>
      </c>
      <c r="H2795" t="s">
        <v>600</v>
      </c>
      <c r="I2795" t="s">
        <v>601</v>
      </c>
      <c r="J2795">
        <v>5.4999999999999997E-3</v>
      </c>
      <c r="K2795">
        <v>5.5999999999999999E-3</v>
      </c>
      <c r="L2795">
        <v>5.8999999999999999E-3</v>
      </c>
      <c r="M2795">
        <v>6.1000000000000004E-3</v>
      </c>
      <c r="N2795">
        <v>6.1000000000000004E-3</v>
      </c>
      <c r="O2795">
        <v>6.3E-3</v>
      </c>
      <c r="P2795">
        <v>6.3E-3</v>
      </c>
      <c r="Q2795">
        <v>6.4999999999999997E-3</v>
      </c>
      <c r="R2795">
        <v>6.6E-3</v>
      </c>
      <c r="S2795">
        <v>6.7999999999999996E-3</v>
      </c>
      <c r="T2795">
        <v>6.7999999999999996E-3</v>
      </c>
      <c r="U2795">
        <v>7.0000000000000001E-3</v>
      </c>
      <c r="V2795">
        <v>7.1000000000000004E-3</v>
      </c>
      <c r="W2795">
        <v>7.1999999999999998E-3</v>
      </c>
      <c r="X2795">
        <v>7.4000000000000003E-3</v>
      </c>
      <c r="Y2795">
        <v>7.4999999999999997E-3</v>
      </c>
    </row>
    <row r="2796" spans="1:25" hidden="1">
      <c r="A2796" t="s">
        <v>18811</v>
      </c>
      <c r="B2796" t="s">
        <v>2018</v>
      </c>
      <c r="C2796" t="s">
        <v>1959</v>
      </c>
      <c r="D2796" t="s">
        <v>1817</v>
      </c>
      <c r="E2796" t="s">
        <v>1380</v>
      </c>
      <c r="F2796" t="s">
        <v>598</v>
      </c>
      <c r="G2796" t="s">
        <v>599</v>
      </c>
      <c r="H2796" t="s">
        <v>600</v>
      </c>
      <c r="I2796" t="s">
        <v>601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hidden="1">
      <c r="A2797" t="s">
        <v>18811</v>
      </c>
      <c r="B2797" t="s">
        <v>2019</v>
      </c>
      <c r="C2797" t="s">
        <v>1959</v>
      </c>
      <c r="D2797" t="s">
        <v>1817</v>
      </c>
      <c r="E2797" t="s">
        <v>1976</v>
      </c>
      <c r="F2797" t="s">
        <v>598</v>
      </c>
      <c r="G2797" t="s">
        <v>599</v>
      </c>
      <c r="H2797" t="s">
        <v>600</v>
      </c>
      <c r="I2797" t="s">
        <v>601</v>
      </c>
      <c r="J2797">
        <v>1E-4</v>
      </c>
      <c r="K2797">
        <v>1E-4</v>
      </c>
      <c r="L2797">
        <v>1E-4</v>
      </c>
      <c r="M2797">
        <v>1E-4</v>
      </c>
      <c r="N2797">
        <v>1E-4</v>
      </c>
      <c r="O2797">
        <v>1E-4</v>
      </c>
      <c r="P2797">
        <v>1E-4</v>
      </c>
      <c r="Q2797">
        <v>1E-4</v>
      </c>
      <c r="R2797">
        <v>1E-4</v>
      </c>
      <c r="S2797">
        <v>1E-4</v>
      </c>
      <c r="T2797">
        <v>2.0000000000000001E-4</v>
      </c>
      <c r="U2797">
        <v>2.0000000000000001E-4</v>
      </c>
      <c r="V2797">
        <v>2.0000000000000001E-4</v>
      </c>
      <c r="W2797">
        <v>2.0000000000000001E-4</v>
      </c>
      <c r="X2797">
        <v>2.0000000000000001E-4</v>
      </c>
      <c r="Y2797">
        <v>2.0000000000000001E-4</v>
      </c>
    </row>
    <row r="2798" spans="1:25" hidden="1">
      <c r="A2798" t="s">
        <v>18811</v>
      </c>
      <c r="B2798" t="s">
        <v>2028</v>
      </c>
      <c r="C2798" t="s">
        <v>1959</v>
      </c>
      <c r="D2798" t="s">
        <v>1817</v>
      </c>
      <c r="E2798" t="s">
        <v>1966</v>
      </c>
      <c r="F2798" t="s">
        <v>598</v>
      </c>
      <c r="G2798" t="s">
        <v>599</v>
      </c>
      <c r="H2798" t="s">
        <v>600</v>
      </c>
      <c r="I2798" t="s">
        <v>601</v>
      </c>
      <c r="J2798">
        <v>2E-3</v>
      </c>
      <c r="K2798">
        <v>2E-3</v>
      </c>
      <c r="L2798">
        <v>2.2000000000000001E-3</v>
      </c>
      <c r="M2798">
        <v>2.2000000000000001E-3</v>
      </c>
      <c r="N2798">
        <v>2.2000000000000001E-3</v>
      </c>
      <c r="O2798">
        <v>2.3E-3</v>
      </c>
      <c r="P2798">
        <v>2.3E-3</v>
      </c>
      <c r="Q2798">
        <v>2.3E-3</v>
      </c>
      <c r="R2798">
        <v>2.3999999999999998E-3</v>
      </c>
      <c r="S2798">
        <v>2.5000000000000001E-3</v>
      </c>
      <c r="T2798">
        <v>2.5000000000000001E-3</v>
      </c>
      <c r="U2798">
        <v>2.5000000000000001E-3</v>
      </c>
      <c r="V2798">
        <v>2.7000000000000001E-3</v>
      </c>
      <c r="W2798">
        <v>2.7000000000000001E-3</v>
      </c>
      <c r="X2798">
        <v>2.7000000000000001E-3</v>
      </c>
      <c r="Y2798">
        <v>2.8E-3</v>
      </c>
    </row>
    <row r="2799" spans="1:25" hidden="1">
      <c r="A2799" t="s">
        <v>18811</v>
      </c>
      <c r="B2799" t="s">
        <v>2033</v>
      </c>
      <c r="C2799" t="s">
        <v>1959</v>
      </c>
      <c r="D2799" t="s">
        <v>648</v>
      </c>
      <c r="E2799" t="s">
        <v>973</v>
      </c>
      <c r="F2799" t="s">
        <v>598</v>
      </c>
      <c r="G2799" t="s">
        <v>599</v>
      </c>
      <c r="H2799" t="s">
        <v>600</v>
      </c>
      <c r="I2799" t="s">
        <v>601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hidden="1">
      <c r="A2800" t="s">
        <v>18811</v>
      </c>
      <c r="B2800" t="s">
        <v>2034</v>
      </c>
      <c r="C2800" t="s">
        <v>1959</v>
      </c>
      <c r="D2800" t="s">
        <v>648</v>
      </c>
      <c r="E2800" t="s">
        <v>1973</v>
      </c>
      <c r="F2800" t="s">
        <v>598</v>
      </c>
      <c r="G2800" t="s">
        <v>599</v>
      </c>
      <c r="H2800" t="s">
        <v>600</v>
      </c>
      <c r="I2800" t="s">
        <v>601</v>
      </c>
      <c r="J2800">
        <v>1E-4</v>
      </c>
      <c r="K2800">
        <v>1E-4</v>
      </c>
      <c r="L2800">
        <v>1E-4</v>
      </c>
      <c r="M2800">
        <v>1E-4</v>
      </c>
      <c r="N2800">
        <v>1E-4</v>
      </c>
      <c r="O2800">
        <v>1E-4</v>
      </c>
      <c r="P2800">
        <v>1E-4</v>
      </c>
      <c r="Q2800">
        <v>1E-4</v>
      </c>
      <c r="R2800">
        <v>1E-4</v>
      </c>
      <c r="S2800">
        <v>1E-4</v>
      </c>
      <c r="T2800">
        <v>1E-4</v>
      </c>
      <c r="U2800">
        <v>1E-4</v>
      </c>
      <c r="V2800">
        <v>1E-4</v>
      </c>
      <c r="W2800">
        <v>1E-4</v>
      </c>
      <c r="X2800">
        <v>1E-4</v>
      </c>
      <c r="Y2800">
        <v>1E-4</v>
      </c>
    </row>
    <row r="2801" spans="1:25" hidden="1">
      <c r="A2801" t="s">
        <v>18811</v>
      </c>
      <c r="B2801" t="s">
        <v>2035</v>
      </c>
      <c r="C2801" t="s">
        <v>1959</v>
      </c>
      <c r="D2801" t="s">
        <v>648</v>
      </c>
      <c r="E2801" t="s">
        <v>607</v>
      </c>
      <c r="F2801" t="s">
        <v>598</v>
      </c>
      <c r="G2801" t="s">
        <v>599</v>
      </c>
      <c r="H2801" t="s">
        <v>600</v>
      </c>
      <c r="I2801" t="s">
        <v>601</v>
      </c>
      <c r="J2801">
        <v>1E-4</v>
      </c>
      <c r="K2801">
        <v>1E-4</v>
      </c>
      <c r="L2801">
        <v>1E-4</v>
      </c>
      <c r="M2801">
        <v>1E-4</v>
      </c>
      <c r="N2801">
        <v>1E-4</v>
      </c>
      <c r="O2801">
        <v>1E-4</v>
      </c>
      <c r="P2801">
        <v>1E-4</v>
      </c>
      <c r="Q2801">
        <v>1E-4</v>
      </c>
      <c r="R2801">
        <v>1E-4</v>
      </c>
      <c r="S2801">
        <v>1E-4</v>
      </c>
      <c r="T2801">
        <v>1E-4</v>
      </c>
      <c r="U2801">
        <v>1E-4</v>
      </c>
      <c r="V2801">
        <v>1E-4</v>
      </c>
      <c r="W2801">
        <v>1E-4</v>
      </c>
      <c r="X2801">
        <v>1E-4</v>
      </c>
      <c r="Y2801">
        <v>1E-4</v>
      </c>
    </row>
    <row r="2802" spans="1:25" hidden="1">
      <c r="A2802" t="s">
        <v>18811</v>
      </c>
      <c r="B2802" t="s">
        <v>2036</v>
      </c>
      <c r="C2802" t="s">
        <v>1959</v>
      </c>
      <c r="D2802" t="s">
        <v>648</v>
      </c>
      <c r="E2802" t="s">
        <v>611</v>
      </c>
      <c r="F2802" t="s">
        <v>598</v>
      </c>
      <c r="G2802" t="s">
        <v>599</v>
      </c>
      <c r="H2802" t="s">
        <v>600</v>
      </c>
      <c r="I2802" t="s">
        <v>601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hidden="1">
      <c r="A2803" t="s">
        <v>18811</v>
      </c>
      <c r="B2803" t="s">
        <v>2038</v>
      </c>
      <c r="C2803" t="s">
        <v>1959</v>
      </c>
      <c r="D2803" t="s">
        <v>648</v>
      </c>
      <c r="E2803" t="s">
        <v>1765</v>
      </c>
      <c r="F2803" t="s">
        <v>598</v>
      </c>
      <c r="G2803" t="s">
        <v>599</v>
      </c>
      <c r="H2803" t="s">
        <v>600</v>
      </c>
      <c r="I2803" t="s">
        <v>601</v>
      </c>
      <c r="J2803">
        <v>4.0000000000000002E-4</v>
      </c>
      <c r="K2803">
        <v>4.0000000000000002E-4</v>
      </c>
      <c r="L2803">
        <v>4.0000000000000002E-4</v>
      </c>
      <c r="M2803">
        <v>4.0000000000000002E-4</v>
      </c>
      <c r="N2803">
        <v>4.0000000000000002E-4</v>
      </c>
      <c r="O2803">
        <v>4.0000000000000002E-4</v>
      </c>
      <c r="P2803">
        <v>5.0000000000000001E-4</v>
      </c>
      <c r="Q2803">
        <v>5.0000000000000001E-4</v>
      </c>
      <c r="R2803">
        <v>5.0000000000000001E-4</v>
      </c>
      <c r="S2803">
        <v>5.0000000000000001E-4</v>
      </c>
      <c r="T2803">
        <v>5.0000000000000001E-4</v>
      </c>
      <c r="U2803">
        <v>5.0000000000000001E-4</v>
      </c>
      <c r="V2803">
        <v>5.0000000000000001E-4</v>
      </c>
      <c r="W2803">
        <v>5.0000000000000001E-4</v>
      </c>
      <c r="X2803">
        <v>5.0000000000000001E-4</v>
      </c>
      <c r="Y2803">
        <v>5.0000000000000001E-4</v>
      </c>
    </row>
    <row r="2804" spans="1:25" hidden="1">
      <c r="A2804" t="s">
        <v>18811</v>
      </c>
      <c r="B2804" t="s">
        <v>2039</v>
      </c>
      <c r="C2804" t="s">
        <v>1959</v>
      </c>
      <c r="D2804" t="s">
        <v>648</v>
      </c>
      <c r="E2804" t="s">
        <v>1378</v>
      </c>
      <c r="F2804" t="s">
        <v>598</v>
      </c>
      <c r="G2804" t="s">
        <v>599</v>
      </c>
      <c r="H2804" t="s">
        <v>600</v>
      </c>
      <c r="I2804" t="s">
        <v>601</v>
      </c>
      <c r="J2804">
        <v>2.01E-2</v>
      </c>
      <c r="K2804">
        <v>2.06E-2</v>
      </c>
      <c r="L2804">
        <v>2.1299999999999999E-2</v>
      </c>
      <c r="M2804">
        <v>2.1899999999999999E-2</v>
      </c>
      <c r="N2804">
        <v>2.23E-2</v>
      </c>
      <c r="O2804">
        <v>2.2599999999999999E-2</v>
      </c>
      <c r="P2804">
        <v>2.3E-2</v>
      </c>
      <c r="Q2804">
        <v>2.3400000000000001E-2</v>
      </c>
      <c r="R2804">
        <v>2.3800000000000002E-2</v>
      </c>
      <c r="S2804">
        <v>2.4199999999999999E-2</v>
      </c>
      <c r="T2804">
        <v>2.46E-2</v>
      </c>
      <c r="U2804">
        <v>2.52E-2</v>
      </c>
      <c r="V2804">
        <v>2.5700000000000001E-2</v>
      </c>
      <c r="W2804">
        <v>2.6100000000000002E-2</v>
      </c>
      <c r="X2804">
        <v>2.6700000000000002E-2</v>
      </c>
      <c r="Y2804">
        <v>2.7400000000000001E-2</v>
      </c>
    </row>
    <row r="2805" spans="1:25" hidden="1">
      <c r="A2805" t="s">
        <v>18811</v>
      </c>
      <c r="B2805" t="s">
        <v>2040</v>
      </c>
      <c r="C2805" t="s">
        <v>1959</v>
      </c>
      <c r="D2805" t="s">
        <v>648</v>
      </c>
      <c r="E2805" t="s">
        <v>1962</v>
      </c>
      <c r="F2805" t="s">
        <v>598</v>
      </c>
      <c r="G2805" t="s">
        <v>599</v>
      </c>
      <c r="H2805" t="s">
        <v>600</v>
      </c>
      <c r="I2805" t="s">
        <v>601</v>
      </c>
      <c r="J2805">
        <v>4.3799999999999999E-2</v>
      </c>
      <c r="K2805">
        <v>4.5100000000000001E-2</v>
      </c>
      <c r="L2805">
        <v>4.6399999999999997E-2</v>
      </c>
      <c r="M2805">
        <v>4.7800000000000002E-2</v>
      </c>
      <c r="N2805">
        <v>4.87E-2</v>
      </c>
      <c r="O2805">
        <v>4.9599999999999998E-2</v>
      </c>
      <c r="P2805">
        <v>5.0500000000000003E-2</v>
      </c>
      <c r="Q2805">
        <v>5.1400000000000001E-2</v>
      </c>
      <c r="R2805">
        <v>5.2299999999999999E-2</v>
      </c>
      <c r="S2805">
        <v>5.3199999999999997E-2</v>
      </c>
      <c r="T2805">
        <v>5.4100000000000002E-2</v>
      </c>
      <c r="U2805">
        <v>5.5199999999999999E-2</v>
      </c>
      <c r="V2805">
        <v>5.6500000000000002E-2</v>
      </c>
      <c r="W2805">
        <v>5.7700000000000001E-2</v>
      </c>
      <c r="X2805">
        <v>5.8700000000000002E-2</v>
      </c>
      <c r="Y2805">
        <v>5.9900000000000002E-2</v>
      </c>
    </row>
    <row r="2806" spans="1:25" hidden="1">
      <c r="A2806" t="s">
        <v>18811</v>
      </c>
      <c r="B2806" t="s">
        <v>2042</v>
      </c>
      <c r="C2806" t="s">
        <v>1959</v>
      </c>
      <c r="D2806" t="s">
        <v>648</v>
      </c>
      <c r="E2806" t="s">
        <v>1380</v>
      </c>
      <c r="F2806" t="s">
        <v>598</v>
      </c>
      <c r="G2806" t="s">
        <v>599</v>
      </c>
      <c r="H2806" t="s">
        <v>600</v>
      </c>
      <c r="I2806" t="s">
        <v>601</v>
      </c>
      <c r="J2806">
        <v>1E-4</v>
      </c>
      <c r="K2806">
        <v>1E-4</v>
      </c>
      <c r="L2806">
        <v>1E-4</v>
      </c>
      <c r="M2806">
        <v>1E-4</v>
      </c>
      <c r="N2806">
        <v>1E-4</v>
      </c>
      <c r="O2806">
        <v>1E-4</v>
      </c>
      <c r="P2806">
        <v>1E-4</v>
      </c>
      <c r="Q2806">
        <v>1E-4</v>
      </c>
      <c r="R2806">
        <v>1E-4</v>
      </c>
      <c r="S2806">
        <v>1E-4</v>
      </c>
      <c r="T2806">
        <v>1E-4</v>
      </c>
      <c r="U2806">
        <v>1E-4</v>
      </c>
      <c r="V2806">
        <v>1E-4</v>
      </c>
      <c r="W2806">
        <v>1E-4</v>
      </c>
      <c r="X2806">
        <v>1E-4</v>
      </c>
      <c r="Y2806">
        <v>2.0000000000000001E-4</v>
      </c>
    </row>
    <row r="2807" spans="1:25" hidden="1">
      <c r="A2807" t="s">
        <v>18811</v>
      </c>
      <c r="B2807" t="s">
        <v>2043</v>
      </c>
      <c r="C2807" t="s">
        <v>1959</v>
      </c>
      <c r="D2807" t="s">
        <v>648</v>
      </c>
      <c r="E2807" t="s">
        <v>1976</v>
      </c>
      <c r="F2807" t="s">
        <v>598</v>
      </c>
      <c r="G2807" t="s">
        <v>599</v>
      </c>
      <c r="H2807" t="s">
        <v>600</v>
      </c>
      <c r="I2807" t="s">
        <v>601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1E-4</v>
      </c>
      <c r="V2807">
        <v>1E-4</v>
      </c>
      <c r="W2807">
        <v>1E-4</v>
      </c>
      <c r="X2807">
        <v>1E-4</v>
      </c>
      <c r="Y2807">
        <v>1E-4</v>
      </c>
    </row>
    <row r="2808" spans="1:25" hidden="1">
      <c r="A2808" t="s">
        <v>18811</v>
      </c>
      <c r="B2808" t="s">
        <v>2044</v>
      </c>
      <c r="C2808" t="s">
        <v>1959</v>
      </c>
      <c r="D2808" t="s">
        <v>648</v>
      </c>
      <c r="E2808" t="s">
        <v>2045</v>
      </c>
      <c r="F2808" t="s">
        <v>598</v>
      </c>
      <c r="G2808" t="s">
        <v>599</v>
      </c>
      <c r="H2808" t="s">
        <v>600</v>
      </c>
      <c r="I2808" t="s">
        <v>601</v>
      </c>
      <c r="J2808">
        <v>2.8400000000000002E-2</v>
      </c>
      <c r="K2808">
        <v>2.92E-2</v>
      </c>
      <c r="L2808">
        <v>2.9899999999999999E-2</v>
      </c>
      <c r="M2808">
        <v>3.09E-2</v>
      </c>
      <c r="N2808">
        <v>3.15E-2</v>
      </c>
      <c r="O2808">
        <v>3.2199999999999999E-2</v>
      </c>
      <c r="P2808">
        <v>3.27E-2</v>
      </c>
      <c r="Q2808">
        <v>3.3300000000000003E-2</v>
      </c>
      <c r="R2808">
        <v>3.39E-2</v>
      </c>
      <c r="S2808">
        <v>3.4500000000000003E-2</v>
      </c>
      <c r="T2808">
        <v>3.5099999999999999E-2</v>
      </c>
      <c r="U2808">
        <v>3.5799999999999998E-2</v>
      </c>
      <c r="V2808">
        <v>3.6600000000000001E-2</v>
      </c>
      <c r="W2808">
        <v>3.7400000000000003E-2</v>
      </c>
      <c r="X2808">
        <v>3.7999999999999999E-2</v>
      </c>
      <c r="Y2808">
        <v>3.8800000000000001E-2</v>
      </c>
    </row>
    <row r="2809" spans="1:25" hidden="1">
      <c r="A2809" t="s">
        <v>18811</v>
      </c>
      <c r="B2809" t="s">
        <v>2046</v>
      </c>
      <c r="C2809" t="s">
        <v>1959</v>
      </c>
      <c r="D2809" t="s">
        <v>648</v>
      </c>
      <c r="E2809" t="s">
        <v>2047</v>
      </c>
      <c r="F2809" t="s">
        <v>598</v>
      </c>
      <c r="G2809" t="s">
        <v>599</v>
      </c>
      <c r="H2809" t="s">
        <v>600</v>
      </c>
      <c r="I2809" t="s">
        <v>601</v>
      </c>
      <c r="J2809">
        <v>9.1000000000000004E-3</v>
      </c>
      <c r="K2809">
        <v>9.4000000000000004E-3</v>
      </c>
      <c r="L2809">
        <v>9.5999999999999992E-3</v>
      </c>
      <c r="M2809">
        <v>0.01</v>
      </c>
      <c r="N2809">
        <v>1.01E-2</v>
      </c>
      <c r="O2809">
        <v>1.03E-2</v>
      </c>
      <c r="P2809">
        <v>1.04E-2</v>
      </c>
      <c r="Q2809">
        <v>1.0699999999999999E-2</v>
      </c>
      <c r="R2809">
        <v>1.0800000000000001E-2</v>
      </c>
      <c r="S2809">
        <v>1.0999999999999999E-2</v>
      </c>
      <c r="T2809">
        <v>1.1299999999999999E-2</v>
      </c>
      <c r="U2809">
        <v>1.15E-2</v>
      </c>
      <c r="V2809">
        <v>1.17E-2</v>
      </c>
      <c r="W2809">
        <v>1.2E-2</v>
      </c>
      <c r="X2809">
        <v>1.23E-2</v>
      </c>
      <c r="Y2809">
        <v>1.2500000000000001E-2</v>
      </c>
    </row>
    <row r="2810" spans="1:25" hidden="1">
      <c r="A2810" t="s">
        <v>18811</v>
      </c>
      <c r="B2810" t="s">
        <v>2048</v>
      </c>
      <c r="C2810" t="s">
        <v>1959</v>
      </c>
      <c r="D2810" t="s">
        <v>648</v>
      </c>
      <c r="E2810" t="s">
        <v>2049</v>
      </c>
      <c r="F2810" t="s">
        <v>598</v>
      </c>
      <c r="G2810" t="s">
        <v>599</v>
      </c>
      <c r="H2810" t="s">
        <v>600</v>
      </c>
      <c r="I2810" t="s">
        <v>601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hidden="1">
      <c r="A2811" t="s">
        <v>18811</v>
      </c>
      <c r="B2811" t="s">
        <v>2054</v>
      </c>
      <c r="C2811" t="s">
        <v>1959</v>
      </c>
      <c r="D2811" t="s">
        <v>648</v>
      </c>
      <c r="E2811" t="s">
        <v>2013</v>
      </c>
      <c r="F2811" t="s">
        <v>598</v>
      </c>
      <c r="G2811" t="s">
        <v>599</v>
      </c>
      <c r="H2811" t="s">
        <v>600</v>
      </c>
      <c r="I2811" t="s">
        <v>601</v>
      </c>
      <c r="J2811">
        <v>2.3E-3</v>
      </c>
      <c r="K2811">
        <v>2.3E-3</v>
      </c>
      <c r="L2811">
        <v>2.3999999999999998E-3</v>
      </c>
      <c r="M2811">
        <v>2.5000000000000001E-3</v>
      </c>
      <c r="N2811">
        <v>2.5000000000000001E-3</v>
      </c>
      <c r="O2811">
        <v>2.5999999999999999E-3</v>
      </c>
      <c r="P2811">
        <v>2.5999999999999999E-3</v>
      </c>
      <c r="Q2811">
        <v>2.7000000000000001E-3</v>
      </c>
      <c r="R2811">
        <v>2.7000000000000001E-3</v>
      </c>
      <c r="S2811">
        <v>2.8E-3</v>
      </c>
      <c r="T2811">
        <v>2.8E-3</v>
      </c>
      <c r="U2811">
        <v>2.8999999999999998E-3</v>
      </c>
      <c r="V2811">
        <v>2.8999999999999998E-3</v>
      </c>
      <c r="W2811">
        <v>3.0000000000000001E-3</v>
      </c>
      <c r="X2811">
        <v>3.0000000000000001E-3</v>
      </c>
      <c r="Y2811">
        <v>3.0999999999999999E-3</v>
      </c>
    </row>
    <row r="2812" spans="1:25" hidden="1">
      <c r="A2812" t="s">
        <v>18811</v>
      </c>
      <c r="B2812" t="s">
        <v>2055</v>
      </c>
      <c r="C2812" t="s">
        <v>1959</v>
      </c>
      <c r="D2812" t="s">
        <v>648</v>
      </c>
      <c r="E2812" t="s">
        <v>1970</v>
      </c>
      <c r="F2812" t="s">
        <v>598</v>
      </c>
      <c r="G2812" t="s">
        <v>599</v>
      </c>
      <c r="H2812" t="s">
        <v>600</v>
      </c>
      <c r="I2812" t="s">
        <v>601</v>
      </c>
      <c r="J2812">
        <v>1.5E-3</v>
      </c>
      <c r="K2812">
        <v>1.5E-3</v>
      </c>
      <c r="L2812">
        <v>1.6000000000000001E-3</v>
      </c>
      <c r="M2812">
        <v>1.6000000000000001E-3</v>
      </c>
      <c r="N2812">
        <v>1.8E-3</v>
      </c>
      <c r="O2812">
        <v>1.8E-3</v>
      </c>
      <c r="P2812">
        <v>1.8E-3</v>
      </c>
      <c r="Q2812">
        <v>1.8E-3</v>
      </c>
      <c r="R2812">
        <v>1.9E-3</v>
      </c>
      <c r="S2812">
        <v>1.9E-3</v>
      </c>
      <c r="T2812">
        <v>1.9E-3</v>
      </c>
      <c r="U2812">
        <v>1.9E-3</v>
      </c>
      <c r="V2812">
        <v>2E-3</v>
      </c>
      <c r="W2812">
        <v>2E-3</v>
      </c>
      <c r="X2812">
        <v>2.0999999999999999E-3</v>
      </c>
      <c r="Y2812">
        <v>2.0999999999999999E-3</v>
      </c>
    </row>
    <row r="2813" spans="1:25" hidden="1">
      <c r="A2813" t="s">
        <v>18811</v>
      </c>
      <c r="B2813" t="s">
        <v>2056</v>
      </c>
      <c r="C2813" t="s">
        <v>1959</v>
      </c>
      <c r="D2813" t="s">
        <v>648</v>
      </c>
      <c r="E2813" t="s">
        <v>2057</v>
      </c>
      <c r="F2813" t="s">
        <v>598</v>
      </c>
      <c r="G2813" t="s">
        <v>599</v>
      </c>
      <c r="H2813" t="s">
        <v>600</v>
      </c>
      <c r="I2813" t="s">
        <v>601</v>
      </c>
      <c r="J2813">
        <v>2.8400000000000002E-2</v>
      </c>
      <c r="K2813">
        <v>2.92E-2</v>
      </c>
      <c r="L2813">
        <v>3.0099999999999998E-2</v>
      </c>
      <c r="M2813">
        <v>3.1099999999999999E-2</v>
      </c>
      <c r="N2813">
        <v>3.1699999999999999E-2</v>
      </c>
      <c r="O2813">
        <v>3.2199999999999999E-2</v>
      </c>
      <c r="P2813">
        <v>3.2800000000000003E-2</v>
      </c>
      <c r="Q2813">
        <v>3.3399999999999999E-2</v>
      </c>
      <c r="R2813">
        <v>3.4000000000000002E-2</v>
      </c>
      <c r="S2813">
        <v>3.4599999999999999E-2</v>
      </c>
      <c r="T2813">
        <v>3.5299999999999998E-2</v>
      </c>
      <c r="U2813">
        <v>3.5999999999999997E-2</v>
      </c>
      <c r="V2813">
        <v>3.6799999999999999E-2</v>
      </c>
      <c r="W2813">
        <v>3.7499999999999999E-2</v>
      </c>
      <c r="X2813">
        <v>3.8199999999999998E-2</v>
      </c>
      <c r="Y2813">
        <v>3.9E-2</v>
      </c>
    </row>
    <row r="2814" spans="1:25" hidden="1">
      <c r="A2814" t="s">
        <v>18811</v>
      </c>
      <c r="B2814" t="s">
        <v>2058</v>
      </c>
      <c r="C2814" t="s">
        <v>1959</v>
      </c>
      <c r="D2814" t="s">
        <v>648</v>
      </c>
      <c r="E2814" t="s">
        <v>2025</v>
      </c>
      <c r="F2814" t="s">
        <v>598</v>
      </c>
      <c r="G2814" t="s">
        <v>599</v>
      </c>
      <c r="H2814" t="s">
        <v>600</v>
      </c>
      <c r="I2814" t="s">
        <v>601</v>
      </c>
      <c r="J2814">
        <v>0.04</v>
      </c>
      <c r="K2814">
        <v>4.1200000000000001E-2</v>
      </c>
      <c r="L2814">
        <v>4.24E-2</v>
      </c>
      <c r="M2814">
        <v>4.3700000000000003E-2</v>
      </c>
      <c r="N2814">
        <v>4.4499999999999998E-2</v>
      </c>
      <c r="O2814">
        <v>4.53E-2</v>
      </c>
      <c r="P2814">
        <v>4.5999999999999999E-2</v>
      </c>
      <c r="Q2814">
        <v>4.6899999999999997E-2</v>
      </c>
      <c r="R2814">
        <v>4.7699999999999999E-2</v>
      </c>
      <c r="S2814">
        <v>4.8500000000000001E-2</v>
      </c>
      <c r="T2814">
        <v>4.9500000000000002E-2</v>
      </c>
      <c r="U2814">
        <v>5.0500000000000003E-2</v>
      </c>
      <c r="V2814">
        <v>5.1700000000000003E-2</v>
      </c>
      <c r="W2814">
        <v>5.2699999999999997E-2</v>
      </c>
      <c r="X2814">
        <v>5.3699999999999998E-2</v>
      </c>
      <c r="Y2814">
        <v>5.4800000000000001E-2</v>
      </c>
    </row>
    <row r="2815" spans="1:25" hidden="1">
      <c r="A2815" t="s">
        <v>18811</v>
      </c>
      <c r="B2815" t="s">
        <v>2065</v>
      </c>
      <c r="C2815" t="s">
        <v>1959</v>
      </c>
      <c r="D2815" t="s">
        <v>648</v>
      </c>
      <c r="E2815" t="s">
        <v>2066</v>
      </c>
      <c r="F2815" t="s">
        <v>598</v>
      </c>
      <c r="G2815" t="s">
        <v>599</v>
      </c>
      <c r="H2815" t="s">
        <v>600</v>
      </c>
      <c r="I2815" t="s">
        <v>601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hidden="1">
      <c r="A2816" t="s">
        <v>18811</v>
      </c>
      <c r="B2816" t="s">
        <v>2067</v>
      </c>
      <c r="C2816" t="s">
        <v>1959</v>
      </c>
      <c r="D2816" t="s">
        <v>648</v>
      </c>
      <c r="E2816" t="s">
        <v>2027</v>
      </c>
      <c r="F2816" t="s">
        <v>598</v>
      </c>
      <c r="G2816" t="s">
        <v>599</v>
      </c>
      <c r="H2816" t="s">
        <v>600</v>
      </c>
      <c r="I2816" t="s">
        <v>601</v>
      </c>
      <c r="J2816">
        <v>1E-4</v>
      </c>
      <c r="K2816">
        <v>1E-4</v>
      </c>
      <c r="L2816">
        <v>1E-4</v>
      </c>
      <c r="M2816">
        <v>1E-4</v>
      </c>
      <c r="N2816">
        <v>1E-4</v>
      </c>
      <c r="O2816">
        <v>1E-4</v>
      </c>
      <c r="P2816">
        <v>1E-4</v>
      </c>
      <c r="Q2816">
        <v>1E-4</v>
      </c>
      <c r="R2816">
        <v>1E-4</v>
      </c>
      <c r="S2816">
        <v>1E-4</v>
      </c>
      <c r="T2816">
        <v>1E-4</v>
      </c>
      <c r="U2816">
        <v>1E-4</v>
      </c>
      <c r="V2816">
        <v>1E-4</v>
      </c>
      <c r="W2816">
        <v>1E-4</v>
      </c>
      <c r="X2816">
        <v>1E-4</v>
      </c>
      <c r="Y2816">
        <v>1E-4</v>
      </c>
    </row>
    <row r="2817" spans="1:25" hidden="1">
      <c r="A2817" t="s">
        <v>18811</v>
      </c>
      <c r="B2817" t="s">
        <v>2072</v>
      </c>
      <c r="C2817" t="s">
        <v>1959</v>
      </c>
      <c r="D2817" t="s">
        <v>648</v>
      </c>
      <c r="E2817" t="s">
        <v>1966</v>
      </c>
      <c r="F2817" t="s">
        <v>598</v>
      </c>
      <c r="G2817" t="s">
        <v>599</v>
      </c>
      <c r="H2817" t="s">
        <v>600</v>
      </c>
      <c r="I2817" t="s">
        <v>601</v>
      </c>
      <c r="J2817">
        <v>3.3999999999999998E-3</v>
      </c>
      <c r="K2817">
        <v>3.5000000000000001E-3</v>
      </c>
      <c r="L2817">
        <v>3.7000000000000002E-3</v>
      </c>
      <c r="M2817">
        <v>4.0000000000000001E-3</v>
      </c>
      <c r="N2817">
        <v>4.0000000000000001E-3</v>
      </c>
      <c r="O2817">
        <v>4.1000000000000003E-3</v>
      </c>
      <c r="P2817">
        <v>4.1000000000000003E-3</v>
      </c>
      <c r="Q2817">
        <v>4.3E-3</v>
      </c>
      <c r="R2817">
        <v>4.3E-3</v>
      </c>
      <c r="S2817">
        <v>4.4999999999999997E-3</v>
      </c>
      <c r="T2817">
        <v>4.5999999999999999E-3</v>
      </c>
      <c r="U2817">
        <v>4.5999999999999999E-3</v>
      </c>
      <c r="V2817">
        <v>4.7999999999999996E-3</v>
      </c>
      <c r="W2817">
        <v>4.7999999999999996E-3</v>
      </c>
      <c r="X2817">
        <v>4.8999999999999998E-3</v>
      </c>
      <c r="Y2817">
        <v>5.0000000000000001E-3</v>
      </c>
    </row>
    <row r="2818" spans="1:25" hidden="1">
      <c r="A2818" t="s">
        <v>18811</v>
      </c>
      <c r="B2818" t="s">
        <v>2078</v>
      </c>
      <c r="C2818" t="s">
        <v>2075</v>
      </c>
      <c r="D2818" t="s">
        <v>2079</v>
      </c>
      <c r="E2818" t="s">
        <v>1378</v>
      </c>
      <c r="F2818" t="s">
        <v>598</v>
      </c>
      <c r="G2818" t="s">
        <v>599</v>
      </c>
      <c r="H2818" t="s">
        <v>600</v>
      </c>
      <c r="I2818" t="s">
        <v>601</v>
      </c>
      <c r="J2818">
        <v>8.8000000000000005E-3</v>
      </c>
      <c r="K2818">
        <v>8.8000000000000005E-3</v>
      </c>
      <c r="L2818">
        <v>8.6999999999999994E-3</v>
      </c>
      <c r="M2818">
        <v>8.6E-3</v>
      </c>
      <c r="N2818">
        <v>8.5000000000000006E-3</v>
      </c>
      <c r="O2818">
        <v>8.5000000000000006E-3</v>
      </c>
      <c r="P2818">
        <v>8.5000000000000006E-3</v>
      </c>
      <c r="Q2818">
        <v>8.6E-3</v>
      </c>
      <c r="R2818">
        <v>8.6999999999999994E-3</v>
      </c>
      <c r="S2818">
        <v>8.8000000000000005E-3</v>
      </c>
      <c r="T2818">
        <v>8.9999999999999993E-3</v>
      </c>
      <c r="U2818">
        <v>8.9999999999999993E-3</v>
      </c>
      <c r="V2818">
        <v>9.1000000000000004E-3</v>
      </c>
      <c r="W2818">
        <v>9.1999999999999998E-3</v>
      </c>
      <c r="X2818">
        <v>9.2999999999999992E-3</v>
      </c>
      <c r="Y2818">
        <v>9.4000000000000004E-3</v>
      </c>
    </row>
    <row r="2819" spans="1:25" hidden="1">
      <c r="A2819" t="s">
        <v>18811</v>
      </c>
      <c r="B2819" t="s">
        <v>2080</v>
      </c>
      <c r="C2819" t="s">
        <v>2075</v>
      </c>
      <c r="D2819" t="s">
        <v>2079</v>
      </c>
      <c r="E2819" t="s">
        <v>2081</v>
      </c>
      <c r="F2819" t="s">
        <v>598</v>
      </c>
      <c r="G2819" t="s">
        <v>599</v>
      </c>
      <c r="H2819" t="s">
        <v>600</v>
      </c>
      <c r="I2819" t="s">
        <v>601</v>
      </c>
      <c r="J2819">
        <v>2.3E-3</v>
      </c>
      <c r="K2819">
        <v>2.3E-3</v>
      </c>
      <c r="L2819">
        <v>2.3E-3</v>
      </c>
      <c r="M2819">
        <v>2.3E-3</v>
      </c>
      <c r="N2819">
        <v>2.2000000000000001E-3</v>
      </c>
      <c r="O2819">
        <v>2.0999999999999999E-3</v>
      </c>
      <c r="P2819">
        <v>2.2000000000000001E-3</v>
      </c>
      <c r="Q2819">
        <v>2.2000000000000001E-3</v>
      </c>
      <c r="R2819">
        <v>2.2000000000000001E-3</v>
      </c>
      <c r="S2819">
        <v>2.2000000000000001E-3</v>
      </c>
      <c r="T2819">
        <v>2.2000000000000001E-3</v>
      </c>
      <c r="U2819">
        <v>2.3E-3</v>
      </c>
      <c r="V2819">
        <v>2.3999999999999998E-3</v>
      </c>
      <c r="W2819">
        <v>2.3999999999999998E-3</v>
      </c>
      <c r="X2819">
        <v>2.3999999999999998E-3</v>
      </c>
      <c r="Y2819">
        <v>2.3999999999999998E-3</v>
      </c>
    </row>
    <row r="2820" spans="1:25" hidden="1">
      <c r="A2820" t="s">
        <v>18811</v>
      </c>
      <c r="B2820" t="s">
        <v>2089</v>
      </c>
      <c r="C2820" t="s">
        <v>2075</v>
      </c>
      <c r="D2820" t="s">
        <v>2090</v>
      </c>
      <c r="E2820" t="s">
        <v>2091</v>
      </c>
      <c r="F2820" t="s">
        <v>598</v>
      </c>
      <c r="G2820" t="s">
        <v>599</v>
      </c>
      <c r="H2820" t="s">
        <v>600</v>
      </c>
      <c r="I2820" t="s">
        <v>601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</row>
    <row r="2821" spans="1:25" hidden="1">
      <c r="A2821" t="s">
        <v>18811</v>
      </c>
      <c r="B2821" t="s">
        <v>2092</v>
      </c>
      <c r="C2821" t="s">
        <v>2075</v>
      </c>
      <c r="D2821" t="s">
        <v>2090</v>
      </c>
      <c r="E2821" t="s">
        <v>1378</v>
      </c>
      <c r="F2821" t="s">
        <v>598</v>
      </c>
      <c r="G2821" t="s">
        <v>599</v>
      </c>
      <c r="H2821" t="s">
        <v>600</v>
      </c>
      <c r="I2821" t="s">
        <v>601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hidden="1">
      <c r="A2822" t="s">
        <v>18811</v>
      </c>
      <c r="B2822" t="s">
        <v>2101</v>
      </c>
      <c r="C2822" t="s">
        <v>2075</v>
      </c>
      <c r="D2822" t="s">
        <v>2090</v>
      </c>
      <c r="E2822" t="s">
        <v>2102</v>
      </c>
      <c r="F2822" t="s">
        <v>598</v>
      </c>
      <c r="G2822" t="s">
        <v>599</v>
      </c>
      <c r="H2822" t="s">
        <v>600</v>
      </c>
      <c r="I2822" t="s">
        <v>601</v>
      </c>
      <c r="J2822">
        <v>2.9999999999999997E-4</v>
      </c>
      <c r="K2822">
        <v>2.9999999999999997E-4</v>
      </c>
      <c r="L2822">
        <v>4.0000000000000002E-4</v>
      </c>
      <c r="M2822">
        <v>5.0000000000000001E-4</v>
      </c>
      <c r="N2822">
        <v>5.0000000000000001E-4</v>
      </c>
      <c r="O2822">
        <v>5.0000000000000001E-4</v>
      </c>
      <c r="P2822">
        <v>5.0000000000000001E-4</v>
      </c>
      <c r="Q2822">
        <v>5.0000000000000001E-4</v>
      </c>
      <c r="R2822">
        <v>5.0000000000000001E-4</v>
      </c>
      <c r="S2822">
        <v>5.9999999999999995E-4</v>
      </c>
      <c r="T2822">
        <v>5.9999999999999995E-4</v>
      </c>
      <c r="U2822">
        <v>5.9999999999999995E-4</v>
      </c>
      <c r="V2822">
        <v>5.9999999999999995E-4</v>
      </c>
      <c r="W2822">
        <v>5.9999999999999995E-4</v>
      </c>
      <c r="X2822">
        <v>5.9999999999999995E-4</v>
      </c>
      <c r="Y2822">
        <v>6.9999999999999999E-4</v>
      </c>
    </row>
    <row r="2823" spans="1:25" hidden="1">
      <c r="A2823" t="s">
        <v>18811</v>
      </c>
      <c r="B2823" t="s">
        <v>2106</v>
      </c>
      <c r="C2823" t="s">
        <v>2075</v>
      </c>
      <c r="D2823" t="s">
        <v>648</v>
      </c>
      <c r="E2823" t="s">
        <v>1378</v>
      </c>
      <c r="F2823" t="s">
        <v>598</v>
      </c>
      <c r="G2823" t="s">
        <v>599</v>
      </c>
      <c r="H2823" t="s">
        <v>600</v>
      </c>
      <c r="I2823" t="s">
        <v>601</v>
      </c>
      <c r="J2823">
        <v>3.5700000000000003E-2</v>
      </c>
      <c r="K2823">
        <v>3.6499999999999998E-2</v>
      </c>
      <c r="L2823">
        <v>3.7100000000000001E-2</v>
      </c>
      <c r="M2823">
        <v>3.78E-2</v>
      </c>
      <c r="N2823">
        <v>3.8399999999999997E-2</v>
      </c>
      <c r="O2823">
        <v>3.9199999999999999E-2</v>
      </c>
      <c r="P2823">
        <v>0.04</v>
      </c>
      <c r="Q2823">
        <v>4.1000000000000002E-2</v>
      </c>
      <c r="R2823">
        <v>4.2000000000000003E-2</v>
      </c>
      <c r="S2823">
        <v>4.3099999999999999E-2</v>
      </c>
      <c r="T2823">
        <v>4.4200000000000003E-2</v>
      </c>
      <c r="U2823">
        <v>4.53E-2</v>
      </c>
      <c r="V2823">
        <v>4.6699999999999998E-2</v>
      </c>
      <c r="W2823">
        <v>4.8000000000000001E-2</v>
      </c>
      <c r="X2823">
        <v>4.9399999999999999E-2</v>
      </c>
      <c r="Y2823">
        <v>5.0999999999999997E-2</v>
      </c>
    </row>
    <row r="2824" spans="1:25" hidden="1">
      <c r="A2824" t="s">
        <v>18811</v>
      </c>
      <c r="B2824" t="s">
        <v>2107</v>
      </c>
      <c r="C2824" t="s">
        <v>2075</v>
      </c>
      <c r="D2824" t="s">
        <v>648</v>
      </c>
      <c r="E2824" t="s">
        <v>2081</v>
      </c>
      <c r="F2824" t="s">
        <v>598</v>
      </c>
      <c r="G2824" t="s">
        <v>599</v>
      </c>
      <c r="H2824" t="s">
        <v>600</v>
      </c>
      <c r="I2824" t="s">
        <v>601</v>
      </c>
      <c r="J2824">
        <v>1.8E-3</v>
      </c>
      <c r="K2824">
        <v>1.8E-3</v>
      </c>
      <c r="L2824">
        <v>1.6999999999999999E-3</v>
      </c>
      <c r="M2824">
        <v>1.6999999999999999E-3</v>
      </c>
      <c r="N2824">
        <v>1.6999999999999999E-3</v>
      </c>
      <c r="O2824">
        <v>1.6999999999999999E-3</v>
      </c>
      <c r="P2824">
        <v>1.6999999999999999E-3</v>
      </c>
      <c r="Q2824">
        <v>1.6999999999999999E-3</v>
      </c>
      <c r="R2824">
        <v>1.6999999999999999E-3</v>
      </c>
      <c r="S2824">
        <v>1.6999999999999999E-3</v>
      </c>
      <c r="T2824">
        <v>1.6999999999999999E-3</v>
      </c>
      <c r="U2824">
        <v>1.8E-3</v>
      </c>
      <c r="V2824">
        <v>1.8E-3</v>
      </c>
      <c r="W2824">
        <v>1.8E-3</v>
      </c>
      <c r="X2824">
        <v>1.8E-3</v>
      </c>
      <c r="Y2824">
        <v>1.9E-3</v>
      </c>
    </row>
    <row r="2825" spans="1:25" hidden="1">
      <c r="A2825" t="s">
        <v>18811</v>
      </c>
      <c r="B2825" t="s">
        <v>2109</v>
      </c>
      <c r="C2825" t="s">
        <v>2075</v>
      </c>
      <c r="D2825" t="s">
        <v>648</v>
      </c>
      <c r="E2825" t="s">
        <v>2022</v>
      </c>
      <c r="F2825" t="s">
        <v>598</v>
      </c>
      <c r="G2825" t="s">
        <v>599</v>
      </c>
      <c r="H2825" t="s">
        <v>600</v>
      </c>
      <c r="I2825" t="s">
        <v>601</v>
      </c>
      <c r="J2825">
        <v>4.1999999999999997E-3</v>
      </c>
      <c r="K2825">
        <v>4.3E-3</v>
      </c>
      <c r="L2825">
        <v>4.3E-3</v>
      </c>
      <c r="M2825">
        <v>4.3E-3</v>
      </c>
      <c r="N2825">
        <v>4.3E-3</v>
      </c>
      <c r="O2825">
        <v>4.3E-3</v>
      </c>
      <c r="P2825">
        <v>4.3E-3</v>
      </c>
      <c r="Q2825">
        <v>4.3E-3</v>
      </c>
      <c r="R2825">
        <v>4.3E-3</v>
      </c>
      <c r="S2825">
        <v>4.3E-3</v>
      </c>
      <c r="T2825">
        <v>4.3E-3</v>
      </c>
      <c r="U2825">
        <v>4.4000000000000003E-3</v>
      </c>
      <c r="V2825">
        <v>4.4000000000000003E-3</v>
      </c>
      <c r="W2825">
        <v>4.4000000000000003E-3</v>
      </c>
      <c r="X2825">
        <v>4.4000000000000003E-3</v>
      </c>
      <c r="Y2825">
        <v>4.4000000000000003E-3</v>
      </c>
    </row>
    <row r="2826" spans="1:25" hidden="1">
      <c r="A2826" t="s">
        <v>18811</v>
      </c>
      <c r="B2826" t="s">
        <v>2111</v>
      </c>
      <c r="C2826" t="s">
        <v>2075</v>
      </c>
      <c r="D2826" t="s">
        <v>648</v>
      </c>
      <c r="E2826" t="s">
        <v>2099</v>
      </c>
      <c r="F2826" t="s">
        <v>598</v>
      </c>
      <c r="G2826" t="s">
        <v>599</v>
      </c>
      <c r="H2826" t="s">
        <v>600</v>
      </c>
      <c r="I2826" t="s">
        <v>601</v>
      </c>
      <c r="J2826">
        <v>5.1999999999999998E-3</v>
      </c>
      <c r="K2826">
        <v>5.1999999999999998E-3</v>
      </c>
      <c r="L2826">
        <v>5.1999999999999998E-3</v>
      </c>
      <c r="M2826">
        <v>5.1000000000000004E-3</v>
      </c>
      <c r="N2826">
        <v>5.1000000000000004E-3</v>
      </c>
      <c r="O2826">
        <v>5.1000000000000004E-3</v>
      </c>
      <c r="P2826">
        <v>5.1000000000000004E-3</v>
      </c>
      <c r="Q2826">
        <v>5.1000000000000004E-3</v>
      </c>
      <c r="R2826">
        <v>5.1000000000000004E-3</v>
      </c>
      <c r="S2826">
        <v>5.1000000000000004E-3</v>
      </c>
      <c r="T2826">
        <v>5.1000000000000004E-3</v>
      </c>
      <c r="U2826">
        <v>5.1000000000000004E-3</v>
      </c>
      <c r="V2826">
        <v>5.1000000000000004E-3</v>
      </c>
      <c r="W2826">
        <v>5.1999999999999998E-3</v>
      </c>
      <c r="X2826">
        <v>5.1999999999999998E-3</v>
      </c>
      <c r="Y2826">
        <v>5.1999999999999998E-3</v>
      </c>
    </row>
    <row r="2827" spans="1:25" hidden="1">
      <c r="A2827" t="s">
        <v>18811</v>
      </c>
      <c r="B2827" t="s">
        <v>2117</v>
      </c>
      <c r="C2827" t="s">
        <v>2116</v>
      </c>
      <c r="D2827" t="s">
        <v>2118</v>
      </c>
      <c r="E2827" t="s">
        <v>2119</v>
      </c>
      <c r="F2827" t="s">
        <v>598</v>
      </c>
      <c r="G2827" t="s">
        <v>599</v>
      </c>
      <c r="H2827" t="s">
        <v>600</v>
      </c>
      <c r="I2827" t="s">
        <v>601</v>
      </c>
      <c r="J2827">
        <v>5.7000000000000002E-3</v>
      </c>
      <c r="K2827">
        <v>5.7000000000000002E-3</v>
      </c>
      <c r="L2827">
        <v>5.7000000000000002E-3</v>
      </c>
      <c r="M2827">
        <v>5.7999999999999996E-3</v>
      </c>
      <c r="N2827">
        <v>5.7000000000000002E-3</v>
      </c>
      <c r="O2827">
        <v>5.7000000000000002E-3</v>
      </c>
      <c r="P2827">
        <v>5.7000000000000002E-3</v>
      </c>
      <c r="Q2827">
        <v>5.7000000000000002E-3</v>
      </c>
      <c r="R2827">
        <v>5.7000000000000002E-3</v>
      </c>
      <c r="S2827">
        <v>5.7000000000000002E-3</v>
      </c>
      <c r="T2827">
        <v>5.7000000000000002E-3</v>
      </c>
      <c r="U2827">
        <v>5.7000000000000002E-3</v>
      </c>
      <c r="V2827">
        <v>5.7000000000000002E-3</v>
      </c>
      <c r="W2827">
        <v>5.7999999999999996E-3</v>
      </c>
      <c r="X2827">
        <v>5.7999999999999996E-3</v>
      </c>
      <c r="Y2827">
        <v>5.7999999999999996E-3</v>
      </c>
    </row>
    <row r="2828" spans="1:25" hidden="1">
      <c r="A2828" t="s">
        <v>18811</v>
      </c>
      <c r="B2828" t="s">
        <v>2120</v>
      </c>
      <c r="C2828" t="s">
        <v>2116</v>
      </c>
      <c r="D2828" t="s">
        <v>2121</v>
      </c>
      <c r="E2828" t="s">
        <v>2119</v>
      </c>
      <c r="F2828" t="s">
        <v>598</v>
      </c>
      <c r="G2828" t="s">
        <v>599</v>
      </c>
      <c r="H2828" t="s">
        <v>600</v>
      </c>
      <c r="I2828" t="s">
        <v>601</v>
      </c>
      <c r="J2828">
        <v>7.1000000000000004E-3</v>
      </c>
      <c r="K2828">
        <v>7.1000000000000004E-3</v>
      </c>
      <c r="L2828">
        <v>7.1000000000000004E-3</v>
      </c>
      <c r="M2828">
        <v>7.1000000000000004E-3</v>
      </c>
      <c r="N2828">
        <v>7.1000000000000004E-3</v>
      </c>
      <c r="O2828">
        <v>7.1000000000000004E-3</v>
      </c>
      <c r="P2828">
        <v>7.1000000000000004E-3</v>
      </c>
      <c r="Q2828">
        <v>7.1000000000000004E-3</v>
      </c>
      <c r="R2828">
        <v>7.1000000000000004E-3</v>
      </c>
      <c r="S2828">
        <v>7.1000000000000004E-3</v>
      </c>
      <c r="T2828">
        <v>7.1000000000000004E-3</v>
      </c>
      <c r="U2828">
        <v>7.1000000000000004E-3</v>
      </c>
      <c r="V2828">
        <v>7.1000000000000004E-3</v>
      </c>
      <c r="W2828">
        <v>7.1000000000000004E-3</v>
      </c>
      <c r="X2828">
        <v>7.1999999999999998E-3</v>
      </c>
      <c r="Y2828">
        <v>7.1999999999999998E-3</v>
      </c>
    </row>
    <row r="2829" spans="1:25" hidden="1">
      <c r="A2829" t="s">
        <v>18811</v>
      </c>
      <c r="B2829" t="s">
        <v>2122</v>
      </c>
      <c r="C2829" t="s">
        <v>2116</v>
      </c>
      <c r="D2829" t="s">
        <v>2121</v>
      </c>
      <c r="E2829" t="s">
        <v>1910</v>
      </c>
      <c r="F2829" t="s">
        <v>598</v>
      </c>
      <c r="G2829" t="s">
        <v>599</v>
      </c>
      <c r="H2829" t="s">
        <v>600</v>
      </c>
      <c r="I2829" t="s">
        <v>601</v>
      </c>
      <c r="J2829">
        <v>2.0000000000000001E-4</v>
      </c>
      <c r="K2829">
        <v>2.0000000000000001E-4</v>
      </c>
      <c r="L2829">
        <v>2.0000000000000001E-4</v>
      </c>
      <c r="M2829">
        <v>2.0000000000000001E-4</v>
      </c>
      <c r="N2829">
        <v>2.0000000000000001E-4</v>
      </c>
      <c r="O2829">
        <v>2.0000000000000001E-4</v>
      </c>
      <c r="P2829">
        <v>2.0000000000000001E-4</v>
      </c>
      <c r="Q2829">
        <v>2.0000000000000001E-4</v>
      </c>
      <c r="R2829">
        <v>2.0000000000000001E-4</v>
      </c>
      <c r="S2829">
        <v>2.0000000000000001E-4</v>
      </c>
      <c r="T2829">
        <v>2.0000000000000001E-4</v>
      </c>
      <c r="U2829">
        <v>2.0000000000000001E-4</v>
      </c>
      <c r="V2829">
        <v>2.0000000000000001E-4</v>
      </c>
      <c r="W2829">
        <v>2.0000000000000001E-4</v>
      </c>
      <c r="X2829">
        <v>2.0000000000000001E-4</v>
      </c>
      <c r="Y2829">
        <v>2.0000000000000001E-4</v>
      </c>
    </row>
    <row r="2830" spans="1:25" hidden="1">
      <c r="A2830" t="s">
        <v>18811</v>
      </c>
      <c r="B2830" t="s">
        <v>2123</v>
      </c>
      <c r="C2830" t="s">
        <v>2116</v>
      </c>
      <c r="D2830" t="s">
        <v>2124</v>
      </c>
      <c r="E2830" t="s">
        <v>2125</v>
      </c>
      <c r="F2830" t="s">
        <v>598</v>
      </c>
      <c r="G2830" t="s">
        <v>599</v>
      </c>
      <c r="H2830" t="s">
        <v>600</v>
      </c>
      <c r="I2830" t="s">
        <v>601</v>
      </c>
      <c r="J2830">
        <v>7.4000000000000003E-3</v>
      </c>
      <c r="K2830">
        <v>7.4000000000000003E-3</v>
      </c>
      <c r="L2830">
        <v>7.4000000000000003E-3</v>
      </c>
      <c r="M2830">
        <v>7.4000000000000003E-3</v>
      </c>
      <c r="N2830">
        <v>7.4000000000000003E-3</v>
      </c>
      <c r="O2830">
        <v>7.4000000000000003E-3</v>
      </c>
      <c r="P2830">
        <v>7.4000000000000003E-3</v>
      </c>
      <c r="Q2830">
        <v>7.4000000000000003E-3</v>
      </c>
      <c r="R2830">
        <v>7.4000000000000003E-3</v>
      </c>
      <c r="S2830">
        <v>7.4000000000000003E-3</v>
      </c>
      <c r="T2830">
        <v>7.4000000000000003E-3</v>
      </c>
      <c r="U2830">
        <v>7.4000000000000003E-3</v>
      </c>
      <c r="V2830">
        <v>7.4000000000000003E-3</v>
      </c>
      <c r="W2830">
        <v>7.4000000000000003E-3</v>
      </c>
      <c r="X2830">
        <v>7.4999999999999997E-3</v>
      </c>
      <c r="Y2830">
        <v>7.4999999999999997E-3</v>
      </c>
    </row>
    <row r="2831" spans="1:25" hidden="1">
      <c r="A2831" t="s">
        <v>18811</v>
      </c>
      <c r="B2831" t="s">
        <v>2126</v>
      </c>
      <c r="C2831" t="s">
        <v>2116</v>
      </c>
      <c r="D2831" t="s">
        <v>2127</v>
      </c>
      <c r="E2831" t="s">
        <v>656</v>
      </c>
      <c r="F2831" t="s">
        <v>598</v>
      </c>
      <c r="G2831" t="s">
        <v>599</v>
      </c>
      <c r="H2831" t="s">
        <v>600</v>
      </c>
      <c r="I2831" t="s">
        <v>601</v>
      </c>
      <c r="J2831">
        <v>0.1666</v>
      </c>
      <c r="K2831">
        <v>0.16689999999999999</v>
      </c>
      <c r="L2831">
        <v>0.16689999999999999</v>
      </c>
      <c r="M2831">
        <v>0.1671</v>
      </c>
      <c r="N2831">
        <v>0.16689999999999999</v>
      </c>
      <c r="O2831">
        <v>0.16650000000000001</v>
      </c>
      <c r="P2831">
        <v>0.1653</v>
      </c>
      <c r="Q2831">
        <v>0.16520000000000001</v>
      </c>
      <c r="R2831">
        <v>0.16489999999999999</v>
      </c>
      <c r="S2831">
        <v>0.16489999999999999</v>
      </c>
      <c r="T2831">
        <v>0.16489999999999999</v>
      </c>
      <c r="U2831">
        <v>0.16520000000000001</v>
      </c>
      <c r="V2831">
        <v>0.1666</v>
      </c>
      <c r="W2831">
        <v>0.16719999999999999</v>
      </c>
      <c r="X2831">
        <v>0.16800000000000001</v>
      </c>
      <c r="Y2831">
        <v>0.16830000000000001</v>
      </c>
    </row>
    <row r="2832" spans="1:25" hidden="1">
      <c r="A2832" t="s">
        <v>18811</v>
      </c>
      <c r="B2832" t="s">
        <v>2128</v>
      </c>
      <c r="C2832" t="s">
        <v>2116</v>
      </c>
      <c r="D2832" t="s">
        <v>648</v>
      </c>
      <c r="E2832" t="s">
        <v>656</v>
      </c>
      <c r="F2832" t="s">
        <v>598</v>
      </c>
      <c r="G2832" t="s">
        <v>599</v>
      </c>
      <c r="H2832" t="s">
        <v>600</v>
      </c>
      <c r="I2832" t="s">
        <v>601</v>
      </c>
      <c r="J2832">
        <v>3.61E-2</v>
      </c>
      <c r="K2832">
        <v>3.6200000000000003E-2</v>
      </c>
      <c r="L2832">
        <v>3.6200000000000003E-2</v>
      </c>
      <c r="M2832">
        <v>3.6200000000000003E-2</v>
      </c>
      <c r="N2832">
        <v>3.6299999999999999E-2</v>
      </c>
      <c r="O2832">
        <v>3.61E-2</v>
      </c>
      <c r="P2832">
        <v>3.5999999999999997E-2</v>
      </c>
      <c r="Q2832">
        <v>3.5999999999999997E-2</v>
      </c>
      <c r="R2832">
        <v>3.5999999999999997E-2</v>
      </c>
      <c r="S2832">
        <v>3.5999999999999997E-2</v>
      </c>
      <c r="T2832">
        <v>3.5999999999999997E-2</v>
      </c>
      <c r="U2832">
        <v>3.5999999999999997E-2</v>
      </c>
      <c r="V2832">
        <v>3.6200000000000003E-2</v>
      </c>
      <c r="W2832">
        <v>3.6299999999999999E-2</v>
      </c>
      <c r="X2832">
        <v>3.6400000000000002E-2</v>
      </c>
      <c r="Y2832">
        <v>3.6700000000000003E-2</v>
      </c>
    </row>
    <row r="2833" spans="1:25" hidden="1">
      <c r="A2833" t="s">
        <v>18811</v>
      </c>
      <c r="B2833" t="s">
        <v>2129</v>
      </c>
      <c r="C2833" t="s">
        <v>2116</v>
      </c>
      <c r="D2833" t="s">
        <v>648</v>
      </c>
      <c r="E2833" t="s">
        <v>2119</v>
      </c>
      <c r="F2833" t="s">
        <v>598</v>
      </c>
      <c r="G2833" t="s">
        <v>599</v>
      </c>
      <c r="H2833" t="s">
        <v>600</v>
      </c>
      <c r="I2833" t="s">
        <v>601</v>
      </c>
      <c r="J2833">
        <v>4.1999999999999997E-3</v>
      </c>
      <c r="K2833">
        <v>4.1999999999999997E-3</v>
      </c>
      <c r="L2833">
        <v>4.1999999999999997E-3</v>
      </c>
      <c r="M2833">
        <v>4.1999999999999997E-3</v>
      </c>
      <c r="N2833">
        <v>4.1999999999999997E-3</v>
      </c>
      <c r="O2833">
        <v>4.1999999999999997E-3</v>
      </c>
      <c r="P2833">
        <v>4.1999999999999997E-3</v>
      </c>
      <c r="Q2833">
        <v>4.1000000000000003E-3</v>
      </c>
      <c r="R2833">
        <v>4.1000000000000003E-3</v>
      </c>
      <c r="S2833">
        <v>4.1000000000000003E-3</v>
      </c>
      <c r="T2833">
        <v>4.1000000000000003E-3</v>
      </c>
      <c r="U2833">
        <v>4.1000000000000003E-3</v>
      </c>
      <c r="V2833">
        <v>4.1999999999999997E-3</v>
      </c>
      <c r="W2833">
        <v>4.1999999999999997E-3</v>
      </c>
      <c r="X2833">
        <v>4.1999999999999997E-3</v>
      </c>
      <c r="Y2833">
        <v>4.1999999999999997E-3</v>
      </c>
    </row>
    <row r="2834" spans="1:25" hidden="1">
      <c r="A2834" t="s">
        <v>18811</v>
      </c>
      <c r="B2834" t="s">
        <v>2130</v>
      </c>
      <c r="C2834" t="s">
        <v>2131</v>
      </c>
      <c r="D2834" t="s">
        <v>1350</v>
      </c>
      <c r="E2834" t="s">
        <v>1684</v>
      </c>
      <c r="F2834" t="s">
        <v>598</v>
      </c>
      <c r="G2834" t="s">
        <v>599</v>
      </c>
      <c r="H2834" t="s">
        <v>600</v>
      </c>
      <c r="I2834" t="s">
        <v>601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hidden="1">
      <c r="A2835" t="s">
        <v>18811</v>
      </c>
      <c r="B2835" t="s">
        <v>2133</v>
      </c>
      <c r="C2835" t="s">
        <v>2131</v>
      </c>
      <c r="D2835" t="s">
        <v>2134</v>
      </c>
      <c r="E2835" t="s">
        <v>2135</v>
      </c>
      <c r="F2835" t="s">
        <v>598</v>
      </c>
      <c r="G2835" t="s">
        <v>599</v>
      </c>
      <c r="H2835" t="s">
        <v>600</v>
      </c>
      <c r="I2835" t="s">
        <v>601</v>
      </c>
      <c r="J2835">
        <v>8.9999999999999998E-4</v>
      </c>
      <c r="K2835">
        <v>8.9999999999999998E-4</v>
      </c>
      <c r="L2835">
        <v>8.9999999999999998E-4</v>
      </c>
      <c r="M2835">
        <v>8.9999999999999998E-4</v>
      </c>
      <c r="N2835">
        <v>8.9999999999999998E-4</v>
      </c>
      <c r="O2835">
        <v>8.9999999999999998E-4</v>
      </c>
      <c r="P2835">
        <v>8.9999999999999998E-4</v>
      </c>
      <c r="Q2835">
        <v>8.9999999999999998E-4</v>
      </c>
      <c r="R2835">
        <v>8.9999999999999998E-4</v>
      </c>
      <c r="S2835">
        <v>8.9999999999999998E-4</v>
      </c>
      <c r="T2835">
        <v>8.9999999999999998E-4</v>
      </c>
      <c r="U2835">
        <v>8.9999999999999998E-4</v>
      </c>
      <c r="V2835">
        <v>8.9999999999999998E-4</v>
      </c>
      <c r="W2835">
        <v>8.9999999999999998E-4</v>
      </c>
      <c r="X2835">
        <v>8.9999999999999998E-4</v>
      </c>
      <c r="Y2835">
        <v>8.9999999999999998E-4</v>
      </c>
    </row>
    <row r="2836" spans="1:25" hidden="1">
      <c r="A2836" t="s">
        <v>18811</v>
      </c>
      <c r="B2836" t="s">
        <v>2136</v>
      </c>
      <c r="C2836" t="s">
        <v>2131</v>
      </c>
      <c r="D2836" t="s">
        <v>2134</v>
      </c>
      <c r="E2836" t="s">
        <v>2137</v>
      </c>
      <c r="F2836" t="s">
        <v>598</v>
      </c>
      <c r="G2836" t="s">
        <v>599</v>
      </c>
      <c r="H2836" t="s">
        <v>600</v>
      </c>
      <c r="I2836" t="s">
        <v>601</v>
      </c>
      <c r="J2836">
        <v>7.2700000000000001E-2</v>
      </c>
      <c r="K2836">
        <v>7.2700000000000001E-2</v>
      </c>
      <c r="L2836">
        <v>7.2700000000000001E-2</v>
      </c>
      <c r="M2836">
        <v>7.2700000000000001E-2</v>
      </c>
      <c r="N2836">
        <v>7.2700000000000001E-2</v>
      </c>
      <c r="O2836">
        <v>7.2700000000000001E-2</v>
      </c>
      <c r="P2836">
        <v>7.2700000000000001E-2</v>
      </c>
      <c r="Q2836">
        <v>7.2700000000000001E-2</v>
      </c>
      <c r="R2836">
        <v>7.2700000000000001E-2</v>
      </c>
      <c r="S2836">
        <v>7.2700000000000001E-2</v>
      </c>
      <c r="T2836">
        <v>7.2700000000000001E-2</v>
      </c>
      <c r="U2836">
        <v>7.2700000000000001E-2</v>
      </c>
      <c r="V2836">
        <v>7.2700000000000001E-2</v>
      </c>
      <c r="W2836">
        <v>7.2700000000000001E-2</v>
      </c>
      <c r="X2836">
        <v>7.2700000000000001E-2</v>
      </c>
      <c r="Y2836">
        <v>7.2700000000000001E-2</v>
      </c>
    </row>
    <row r="2837" spans="1:25" hidden="1">
      <c r="A2837" t="s">
        <v>18811</v>
      </c>
      <c r="B2837" t="s">
        <v>2138</v>
      </c>
      <c r="C2837" t="s">
        <v>2131</v>
      </c>
      <c r="D2837" t="s">
        <v>2134</v>
      </c>
      <c r="E2837" t="s">
        <v>2139</v>
      </c>
      <c r="F2837" t="s">
        <v>598</v>
      </c>
      <c r="G2837" t="s">
        <v>599</v>
      </c>
      <c r="H2837" t="s">
        <v>600</v>
      </c>
      <c r="I2837" t="s">
        <v>601</v>
      </c>
      <c r="J2837">
        <v>4.3E-3</v>
      </c>
      <c r="K2837">
        <v>4.3E-3</v>
      </c>
      <c r="L2837">
        <v>4.3E-3</v>
      </c>
      <c r="M2837">
        <v>4.3E-3</v>
      </c>
      <c r="N2837">
        <v>4.3E-3</v>
      </c>
      <c r="O2837">
        <v>4.3E-3</v>
      </c>
      <c r="P2837">
        <v>4.3E-3</v>
      </c>
      <c r="Q2837">
        <v>4.3E-3</v>
      </c>
      <c r="R2837">
        <v>4.3E-3</v>
      </c>
      <c r="S2837">
        <v>4.3E-3</v>
      </c>
      <c r="T2837">
        <v>4.3E-3</v>
      </c>
      <c r="U2837">
        <v>4.3E-3</v>
      </c>
      <c r="V2837">
        <v>4.3E-3</v>
      </c>
      <c r="W2837">
        <v>4.3E-3</v>
      </c>
      <c r="X2837">
        <v>4.3E-3</v>
      </c>
      <c r="Y2837">
        <v>4.3E-3</v>
      </c>
    </row>
    <row r="2838" spans="1:25" hidden="1">
      <c r="A2838" t="s">
        <v>18811</v>
      </c>
      <c r="B2838" t="s">
        <v>2140</v>
      </c>
      <c r="C2838" t="s">
        <v>2131</v>
      </c>
      <c r="D2838" t="s">
        <v>2134</v>
      </c>
      <c r="E2838" t="s">
        <v>2141</v>
      </c>
      <c r="F2838" t="s">
        <v>598</v>
      </c>
      <c r="G2838" t="s">
        <v>599</v>
      </c>
      <c r="H2838" t="s">
        <v>600</v>
      </c>
      <c r="I2838" t="s">
        <v>601</v>
      </c>
      <c r="J2838">
        <v>9.3399999999999997E-2</v>
      </c>
      <c r="K2838">
        <v>9.7199999999999995E-2</v>
      </c>
      <c r="L2838">
        <v>0.1011</v>
      </c>
      <c r="M2838">
        <v>0.1027</v>
      </c>
      <c r="N2838">
        <v>0.1042</v>
      </c>
      <c r="O2838">
        <v>0.10580000000000001</v>
      </c>
      <c r="P2838">
        <v>0.11210000000000001</v>
      </c>
      <c r="Q2838">
        <v>0.1183</v>
      </c>
      <c r="R2838">
        <v>0.1183</v>
      </c>
      <c r="S2838">
        <v>0.1183</v>
      </c>
      <c r="T2838">
        <v>0.1183</v>
      </c>
      <c r="U2838">
        <v>0.1183</v>
      </c>
      <c r="V2838">
        <v>0.1183</v>
      </c>
      <c r="W2838">
        <v>0.1183</v>
      </c>
      <c r="X2838">
        <v>0.1183</v>
      </c>
      <c r="Y2838">
        <v>0.1183</v>
      </c>
    </row>
    <row r="2839" spans="1:25" hidden="1">
      <c r="A2839" t="s">
        <v>18811</v>
      </c>
      <c r="B2839" t="s">
        <v>2145</v>
      </c>
      <c r="C2839" t="s">
        <v>2144</v>
      </c>
      <c r="D2839" t="s">
        <v>1435</v>
      </c>
      <c r="E2839" t="s">
        <v>973</v>
      </c>
      <c r="F2839" t="s">
        <v>598</v>
      </c>
      <c r="G2839" t="s">
        <v>599</v>
      </c>
      <c r="H2839" t="s">
        <v>600</v>
      </c>
      <c r="I2839" t="s">
        <v>601</v>
      </c>
      <c r="J2839">
        <v>3.8999999999999998E-3</v>
      </c>
      <c r="K2839">
        <v>3.8E-3</v>
      </c>
      <c r="L2839">
        <v>3.8E-3</v>
      </c>
      <c r="M2839">
        <v>3.7000000000000002E-3</v>
      </c>
      <c r="N2839">
        <v>3.5999999999999999E-3</v>
      </c>
      <c r="O2839">
        <v>3.5999999999999999E-3</v>
      </c>
      <c r="P2839">
        <v>3.5000000000000001E-3</v>
      </c>
      <c r="Q2839">
        <v>3.5000000000000001E-3</v>
      </c>
      <c r="R2839">
        <v>3.3999999999999998E-3</v>
      </c>
      <c r="S2839">
        <v>3.3E-3</v>
      </c>
      <c r="T2839">
        <v>3.3E-3</v>
      </c>
      <c r="U2839">
        <v>3.0999999999999999E-3</v>
      </c>
      <c r="V2839">
        <v>3.0999999999999999E-3</v>
      </c>
      <c r="W2839">
        <v>3.0000000000000001E-3</v>
      </c>
      <c r="X2839">
        <v>3.0000000000000001E-3</v>
      </c>
      <c r="Y2839">
        <v>2.8999999999999998E-3</v>
      </c>
    </row>
    <row r="2840" spans="1:25" hidden="1">
      <c r="A2840" t="s">
        <v>18811</v>
      </c>
      <c r="B2840" t="s">
        <v>2150</v>
      </c>
      <c r="C2840" t="s">
        <v>2144</v>
      </c>
      <c r="D2840" t="s">
        <v>648</v>
      </c>
      <c r="E2840" t="s">
        <v>1393</v>
      </c>
      <c r="F2840" t="s">
        <v>598</v>
      </c>
      <c r="G2840" t="s">
        <v>599</v>
      </c>
      <c r="H2840" t="s">
        <v>600</v>
      </c>
      <c r="I2840" t="s">
        <v>601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hidden="1">
      <c r="A2841" t="s">
        <v>18811</v>
      </c>
      <c r="B2841" t="s">
        <v>2153</v>
      </c>
      <c r="C2841" t="s">
        <v>2154</v>
      </c>
      <c r="D2841" t="s">
        <v>1392</v>
      </c>
      <c r="E2841" t="s">
        <v>1393</v>
      </c>
      <c r="F2841" t="s">
        <v>598</v>
      </c>
      <c r="G2841" t="s">
        <v>599</v>
      </c>
      <c r="H2841" t="s">
        <v>600</v>
      </c>
      <c r="I2841" t="s">
        <v>601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</row>
    <row r="2842" spans="1:25" hidden="1">
      <c r="A2842" t="s">
        <v>18811</v>
      </c>
      <c r="B2842" t="s">
        <v>2157</v>
      </c>
      <c r="C2842" t="s">
        <v>2154</v>
      </c>
      <c r="D2842" t="s">
        <v>1320</v>
      </c>
      <c r="E2842" t="s">
        <v>688</v>
      </c>
      <c r="F2842" t="s">
        <v>598</v>
      </c>
      <c r="G2842" t="s">
        <v>599</v>
      </c>
      <c r="H2842" t="s">
        <v>600</v>
      </c>
      <c r="I2842" t="s">
        <v>601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hidden="1">
      <c r="A2843" t="s">
        <v>18811</v>
      </c>
      <c r="B2843" t="s">
        <v>2160</v>
      </c>
      <c r="C2843" t="s">
        <v>2154</v>
      </c>
      <c r="D2843" t="s">
        <v>1324</v>
      </c>
      <c r="E2843" t="s">
        <v>1340</v>
      </c>
      <c r="F2843" t="s">
        <v>598</v>
      </c>
      <c r="G2843" t="s">
        <v>599</v>
      </c>
      <c r="H2843" t="s">
        <v>600</v>
      </c>
      <c r="I2843" t="s">
        <v>601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hidden="1">
      <c r="A2844" t="s">
        <v>18811</v>
      </c>
      <c r="B2844" t="s">
        <v>2162</v>
      </c>
      <c r="C2844" t="s">
        <v>2154</v>
      </c>
      <c r="D2844" t="s">
        <v>1324</v>
      </c>
      <c r="E2844" t="s">
        <v>1733</v>
      </c>
      <c r="F2844" t="s">
        <v>598</v>
      </c>
      <c r="G2844" t="s">
        <v>599</v>
      </c>
      <c r="H2844" t="s">
        <v>600</v>
      </c>
      <c r="I2844" t="s">
        <v>601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hidden="1">
      <c r="A2845" t="s">
        <v>18811</v>
      </c>
      <c r="B2845" t="s">
        <v>2166</v>
      </c>
      <c r="C2845" t="s">
        <v>2154</v>
      </c>
      <c r="D2845" t="s">
        <v>1332</v>
      </c>
      <c r="E2845" t="s">
        <v>1340</v>
      </c>
      <c r="F2845" t="s">
        <v>598</v>
      </c>
      <c r="G2845" t="s">
        <v>599</v>
      </c>
      <c r="H2845" t="s">
        <v>600</v>
      </c>
      <c r="I2845" t="s">
        <v>601</v>
      </c>
      <c r="J2845">
        <v>2.0000000000000001E-4</v>
      </c>
      <c r="K2845">
        <v>2.0000000000000001E-4</v>
      </c>
      <c r="L2845">
        <v>2.0000000000000001E-4</v>
      </c>
      <c r="M2845">
        <v>2.0000000000000001E-4</v>
      </c>
      <c r="N2845">
        <v>2.0000000000000001E-4</v>
      </c>
      <c r="O2845">
        <v>2.0000000000000001E-4</v>
      </c>
      <c r="P2845">
        <v>2.0000000000000001E-4</v>
      </c>
      <c r="Q2845">
        <v>2.0000000000000001E-4</v>
      </c>
      <c r="R2845">
        <v>2.0000000000000001E-4</v>
      </c>
      <c r="S2845">
        <v>2.0000000000000001E-4</v>
      </c>
      <c r="T2845">
        <v>2.0000000000000001E-4</v>
      </c>
      <c r="U2845">
        <v>2.0000000000000001E-4</v>
      </c>
      <c r="V2845">
        <v>2.0000000000000001E-4</v>
      </c>
      <c r="W2845">
        <v>2.0000000000000001E-4</v>
      </c>
      <c r="X2845">
        <v>2.0000000000000001E-4</v>
      </c>
      <c r="Y2845">
        <v>2.0000000000000001E-4</v>
      </c>
    </row>
    <row r="2846" spans="1:25" hidden="1">
      <c r="A2846" t="s">
        <v>18811</v>
      </c>
      <c r="B2846" t="s">
        <v>2168</v>
      </c>
      <c r="C2846" t="s">
        <v>2154</v>
      </c>
      <c r="D2846" t="s">
        <v>1332</v>
      </c>
      <c r="E2846" t="s">
        <v>954</v>
      </c>
      <c r="F2846" t="s">
        <v>598</v>
      </c>
      <c r="G2846" t="s">
        <v>599</v>
      </c>
      <c r="H2846" t="s">
        <v>600</v>
      </c>
      <c r="I2846" t="s">
        <v>601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hidden="1">
      <c r="A2847" t="s">
        <v>18811</v>
      </c>
      <c r="B2847" t="s">
        <v>2171</v>
      </c>
      <c r="C2847" t="s">
        <v>2154</v>
      </c>
      <c r="D2847" t="s">
        <v>1350</v>
      </c>
      <c r="E2847" t="s">
        <v>1684</v>
      </c>
      <c r="F2847" t="s">
        <v>598</v>
      </c>
      <c r="G2847" t="s">
        <v>599</v>
      </c>
      <c r="H2847" t="s">
        <v>600</v>
      </c>
      <c r="I2847" t="s">
        <v>601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hidden="1">
      <c r="A2848" t="s">
        <v>18811</v>
      </c>
      <c r="B2848" t="s">
        <v>2172</v>
      </c>
      <c r="C2848" t="s">
        <v>2154</v>
      </c>
      <c r="D2848" t="s">
        <v>1435</v>
      </c>
      <c r="E2848" t="s">
        <v>973</v>
      </c>
      <c r="F2848" t="s">
        <v>598</v>
      </c>
      <c r="G2848" t="s">
        <v>599</v>
      </c>
      <c r="H2848" t="s">
        <v>600</v>
      </c>
      <c r="I2848" t="s">
        <v>601</v>
      </c>
      <c r="J2848">
        <v>3.3E-3</v>
      </c>
      <c r="K2848">
        <v>3.3999999999999998E-3</v>
      </c>
      <c r="L2848">
        <v>3.3999999999999998E-3</v>
      </c>
      <c r="M2848">
        <v>3.5000000000000001E-3</v>
      </c>
      <c r="N2848">
        <v>3.5999999999999999E-3</v>
      </c>
      <c r="O2848">
        <v>3.5999999999999999E-3</v>
      </c>
      <c r="P2848">
        <v>3.7000000000000002E-3</v>
      </c>
      <c r="Q2848">
        <v>3.7000000000000002E-3</v>
      </c>
      <c r="R2848">
        <v>3.8E-3</v>
      </c>
      <c r="S2848">
        <v>3.8E-3</v>
      </c>
      <c r="T2848">
        <v>3.8999999999999998E-3</v>
      </c>
      <c r="U2848">
        <v>4.0000000000000001E-3</v>
      </c>
      <c r="V2848">
        <v>4.1000000000000003E-3</v>
      </c>
      <c r="W2848">
        <v>4.1000000000000003E-3</v>
      </c>
      <c r="X2848">
        <v>4.1999999999999997E-3</v>
      </c>
      <c r="Y2848">
        <v>4.1999999999999997E-3</v>
      </c>
    </row>
    <row r="2849" spans="1:25" hidden="1">
      <c r="A2849" t="s">
        <v>18811</v>
      </c>
      <c r="B2849" t="s">
        <v>2173</v>
      </c>
      <c r="C2849" t="s">
        <v>2154</v>
      </c>
      <c r="D2849" t="s">
        <v>1354</v>
      </c>
      <c r="E2849" t="s">
        <v>973</v>
      </c>
      <c r="F2849" t="s">
        <v>598</v>
      </c>
      <c r="G2849" t="s">
        <v>599</v>
      </c>
      <c r="H2849" t="s">
        <v>600</v>
      </c>
      <c r="I2849" t="s">
        <v>601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hidden="1">
      <c r="A2850" t="s">
        <v>18811</v>
      </c>
      <c r="B2850" t="s">
        <v>2187</v>
      </c>
      <c r="C2850" t="s">
        <v>2154</v>
      </c>
      <c r="D2850" t="s">
        <v>648</v>
      </c>
      <c r="E2850" t="s">
        <v>920</v>
      </c>
      <c r="F2850" t="s">
        <v>598</v>
      </c>
      <c r="G2850" t="s">
        <v>599</v>
      </c>
      <c r="H2850" t="s">
        <v>600</v>
      </c>
      <c r="I2850" t="s">
        <v>601</v>
      </c>
      <c r="J2850">
        <v>0.1769</v>
      </c>
      <c r="K2850">
        <v>0.18099999999999999</v>
      </c>
      <c r="L2850">
        <v>0.18490000000000001</v>
      </c>
      <c r="M2850">
        <v>0.18909999999999999</v>
      </c>
      <c r="N2850">
        <v>0.193</v>
      </c>
      <c r="O2850">
        <v>0.19600000000000001</v>
      </c>
      <c r="P2850">
        <v>0.19889999999999999</v>
      </c>
      <c r="Q2850">
        <v>0.2021</v>
      </c>
      <c r="R2850">
        <v>0.20519999999999999</v>
      </c>
      <c r="S2850">
        <v>0.2087</v>
      </c>
      <c r="T2850">
        <v>0.2117</v>
      </c>
      <c r="U2850">
        <v>0.21490000000000001</v>
      </c>
      <c r="V2850">
        <v>0.21870000000000001</v>
      </c>
      <c r="W2850">
        <v>0.22239999999999999</v>
      </c>
      <c r="X2850">
        <v>0.22620000000000001</v>
      </c>
      <c r="Y2850">
        <v>0.2298</v>
      </c>
    </row>
    <row r="2851" spans="1:25" hidden="1">
      <c r="A2851" t="s">
        <v>18811</v>
      </c>
      <c r="B2851" t="s">
        <v>2188</v>
      </c>
      <c r="C2851" t="s">
        <v>2154</v>
      </c>
      <c r="D2851" t="s">
        <v>648</v>
      </c>
      <c r="E2851" t="s">
        <v>973</v>
      </c>
      <c r="F2851" t="s">
        <v>598</v>
      </c>
      <c r="G2851" t="s">
        <v>599</v>
      </c>
      <c r="H2851" t="s">
        <v>600</v>
      </c>
      <c r="I2851" t="s">
        <v>601</v>
      </c>
      <c r="J2851">
        <v>5.1799999999999999E-2</v>
      </c>
      <c r="K2851">
        <v>5.2900000000000003E-2</v>
      </c>
      <c r="L2851">
        <v>5.4100000000000002E-2</v>
      </c>
      <c r="M2851">
        <v>5.5399999999999998E-2</v>
      </c>
      <c r="N2851">
        <v>5.6399999999999999E-2</v>
      </c>
      <c r="O2851">
        <v>5.74E-2</v>
      </c>
      <c r="P2851">
        <v>5.8299999999999998E-2</v>
      </c>
      <c r="Q2851">
        <v>5.9200000000000003E-2</v>
      </c>
      <c r="R2851">
        <v>0.06</v>
      </c>
      <c r="S2851">
        <v>6.0999999999999999E-2</v>
      </c>
      <c r="T2851">
        <v>6.1899999999999997E-2</v>
      </c>
      <c r="U2851">
        <v>6.2899999999999998E-2</v>
      </c>
      <c r="V2851">
        <v>6.3899999999999998E-2</v>
      </c>
      <c r="W2851">
        <v>6.5000000000000002E-2</v>
      </c>
      <c r="X2851">
        <v>6.6000000000000003E-2</v>
      </c>
      <c r="Y2851">
        <v>6.7199999999999996E-2</v>
      </c>
    </row>
    <row r="2852" spans="1:25" hidden="1">
      <c r="A2852" t="s">
        <v>18811</v>
      </c>
      <c r="B2852" t="s">
        <v>2189</v>
      </c>
      <c r="C2852" t="s">
        <v>2154</v>
      </c>
      <c r="D2852" t="s">
        <v>648</v>
      </c>
      <c r="E2852" t="s">
        <v>611</v>
      </c>
      <c r="F2852" t="s">
        <v>598</v>
      </c>
      <c r="G2852" t="s">
        <v>599</v>
      </c>
      <c r="H2852" t="s">
        <v>600</v>
      </c>
      <c r="I2852" t="s">
        <v>601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hidden="1">
      <c r="A2853" t="s">
        <v>18811</v>
      </c>
      <c r="B2853" t="s">
        <v>2190</v>
      </c>
      <c r="C2853" t="s">
        <v>2154</v>
      </c>
      <c r="D2853" t="s">
        <v>648</v>
      </c>
      <c r="E2853" t="s">
        <v>656</v>
      </c>
      <c r="F2853" t="s">
        <v>598</v>
      </c>
      <c r="G2853" t="s">
        <v>599</v>
      </c>
      <c r="H2853" t="s">
        <v>600</v>
      </c>
      <c r="I2853" t="s">
        <v>601</v>
      </c>
      <c r="J2853">
        <v>1E-4</v>
      </c>
      <c r="K2853">
        <v>1E-4</v>
      </c>
      <c r="L2853">
        <v>1E-4</v>
      </c>
      <c r="M2853">
        <v>1E-4</v>
      </c>
      <c r="N2853">
        <v>1E-4</v>
      </c>
      <c r="O2853">
        <v>1E-4</v>
      </c>
      <c r="P2853">
        <v>1E-4</v>
      </c>
      <c r="Q2853">
        <v>1E-4</v>
      </c>
      <c r="R2853">
        <v>1E-4</v>
      </c>
      <c r="S2853">
        <v>1E-4</v>
      </c>
      <c r="T2853">
        <v>1E-4</v>
      </c>
      <c r="U2853">
        <v>1E-4</v>
      </c>
      <c r="V2853">
        <v>1E-4</v>
      </c>
      <c r="W2853">
        <v>1E-4</v>
      </c>
      <c r="X2853">
        <v>1E-4</v>
      </c>
      <c r="Y2853">
        <v>1E-4</v>
      </c>
    </row>
    <row r="2854" spans="1:25" hidden="1">
      <c r="A2854" t="s">
        <v>18811</v>
      </c>
      <c r="B2854" t="s">
        <v>2191</v>
      </c>
      <c r="C2854" t="s">
        <v>2154</v>
      </c>
      <c r="D2854" t="s">
        <v>648</v>
      </c>
      <c r="E2854" t="s">
        <v>1340</v>
      </c>
      <c r="F2854" t="s">
        <v>598</v>
      </c>
      <c r="G2854" t="s">
        <v>599</v>
      </c>
      <c r="H2854" t="s">
        <v>600</v>
      </c>
      <c r="I2854" t="s">
        <v>601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hidden="1">
      <c r="A2855" t="s">
        <v>18811</v>
      </c>
      <c r="B2855" t="s">
        <v>2196</v>
      </c>
      <c r="C2855" t="s">
        <v>2154</v>
      </c>
      <c r="D2855" t="s">
        <v>648</v>
      </c>
      <c r="E2855" t="s">
        <v>1393</v>
      </c>
      <c r="F2855" t="s">
        <v>598</v>
      </c>
      <c r="G2855" t="s">
        <v>599</v>
      </c>
      <c r="H2855" t="s">
        <v>600</v>
      </c>
      <c r="I2855" t="s">
        <v>601</v>
      </c>
      <c r="J2855">
        <v>5.1000000000000004E-3</v>
      </c>
      <c r="K2855">
        <v>5.1999999999999998E-3</v>
      </c>
      <c r="L2855">
        <v>5.3E-3</v>
      </c>
      <c r="M2855">
        <v>5.4999999999999997E-3</v>
      </c>
      <c r="N2855">
        <v>5.5999999999999999E-3</v>
      </c>
      <c r="O2855">
        <v>5.5999999999999999E-3</v>
      </c>
      <c r="P2855">
        <v>5.7000000000000002E-3</v>
      </c>
      <c r="Q2855">
        <v>5.8999999999999999E-3</v>
      </c>
      <c r="R2855">
        <v>5.8999999999999999E-3</v>
      </c>
      <c r="S2855">
        <v>6.0000000000000001E-3</v>
      </c>
      <c r="T2855">
        <v>6.1000000000000004E-3</v>
      </c>
      <c r="U2855">
        <v>6.1999999999999998E-3</v>
      </c>
      <c r="V2855">
        <v>6.3E-3</v>
      </c>
      <c r="W2855">
        <v>6.4000000000000003E-3</v>
      </c>
      <c r="X2855">
        <v>6.4999999999999997E-3</v>
      </c>
      <c r="Y2855">
        <v>6.6E-3</v>
      </c>
    </row>
    <row r="2856" spans="1:25" hidden="1">
      <c r="A2856" t="s">
        <v>18811</v>
      </c>
      <c r="B2856" t="s">
        <v>2199</v>
      </c>
      <c r="C2856" t="s">
        <v>2154</v>
      </c>
      <c r="D2856" t="s">
        <v>648</v>
      </c>
      <c r="E2856" t="s">
        <v>1014</v>
      </c>
      <c r="F2856" t="s">
        <v>598</v>
      </c>
      <c r="G2856" t="s">
        <v>599</v>
      </c>
      <c r="H2856" t="s">
        <v>600</v>
      </c>
      <c r="I2856" t="s">
        <v>601</v>
      </c>
      <c r="J2856">
        <v>9.2999999999999992E-3</v>
      </c>
      <c r="K2856">
        <v>9.4999999999999998E-3</v>
      </c>
      <c r="L2856">
        <v>9.7000000000000003E-3</v>
      </c>
      <c r="M2856">
        <v>9.9000000000000008E-3</v>
      </c>
      <c r="N2856">
        <v>1.01E-2</v>
      </c>
      <c r="O2856">
        <v>1.0200000000000001E-2</v>
      </c>
      <c r="P2856">
        <v>1.0500000000000001E-2</v>
      </c>
      <c r="Q2856">
        <v>1.06E-2</v>
      </c>
      <c r="R2856">
        <v>1.0800000000000001E-2</v>
      </c>
      <c r="S2856">
        <v>1.09E-2</v>
      </c>
      <c r="T2856">
        <v>1.11E-2</v>
      </c>
      <c r="U2856">
        <v>1.12E-2</v>
      </c>
      <c r="V2856">
        <v>1.15E-2</v>
      </c>
      <c r="W2856">
        <v>1.1599999999999999E-2</v>
      </c>
      <c r="X2856">
        <v>1.18E-2</v>
      </c>
      <c r="Y2856">
        <v>1.2E-2</v>
      </c>
    </row>
    <row r="2857" spans="1:25" hidden="1">
      <c r="A2857" t="s">
        <v>18811</v>
      </c>
      <c r="B2857" t="s">
        <v>2201</v>
      </c>
      <c r="C2857" t="s">
        <v>2154</v>
      </c>
      <c r="D2857" t="s">
        <v>648</v>
      </c>
      <c r="E2857" t="s">
        <v>1872</v>
      </c>
      <c r="F2857" t="s">
        <v>598</v>
      </c>
      <c r="G2857" t="s">
        <v>599</v>
      </c>
      <c r="H2857" t="s">
        <v>600</v>
      </c>
      <c r="I2857" t="s">
        <v>601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1E-4</v>
      </c>
      <c r="P2857">
        <v>1E-4</v>
      </c>
      <c r="Q2857">
        <v>1E-4</v>
      </c>
      <c r="R2857">
        <v>1E-4</v>
      </c>
      <c r="S2857">
        <v>1E-4</v>
      </c>
      <c r="T2857">
        <v>1E-4</v>
      </c>
      <c r="U2857">
        <v>1E-4</v>
      </c>
      <c r="V2857">
        <v>1E-4</v>
      </c>
      <c r="W2857">
        <v>1E-4</v>
      </c>
      <c r="X2857">
        <v>1E-4</v>
      </c>
      <c r="Y2857">
        <v>1E-4</v>
      </c>
    </row>
    <row r="2858" spans="1:25" hidden="1">
      <c r="A2858" t="s">
        <v>18811</v>
      </c>
      <c r="B2858" t="s">
        <v>2202</v>
      </c>
      <c r="C2858" t="s">
        <v>2154</v>
      </c>
      <c r="D2858" t="s">
        <v>648</v>
      </c>
      <c r="E2858" t="s">
        <v>1896</v>
      </c>
      <c r="F2858" t="s">
        <v>598</v>
      </c>
      <c r="G2858" t="s">
        <v>599</v>
      </c>
      <c r="H2858" t="s">
        <v>600</v>
      </c>
      <c r="I2858" t="s">
        <v>601</v>
      </c>
      <c r="J2858">
        <v>2.0000000000000001E-4</v>
      </c>
      <c r="K2858">
        <v>2.0000000000000001E-4</v>
      </c>
      <c r="L2858">
        <v>2.0000000000000001E-4</v>
      </c>
      <c r="M2858">
        <v>2.0000000000000001E-4</v>
      </c>
      <c r="N2858">
        <v>2.0000000000000001E-4</v>
      </c>
      <c r="O2858">
        <v>2.0000000000000001E-4</v>
      </c>
      <c r="P2858">
        <v>2.0000000000000001E-4</v>
      </c>
      <c r="Q2858">
        <v>2.0000000000000001E-4</v>
      </c>
      <c r="R2858">
        <v>2.9999999999999997E-4</v>
      </c>
      <c r="S2858">
        <v>2.9999999999999997E-4</v>
      </c>
      <c r="T2858">
        <v>2.9999999999999997E-4</v>
      </c>
      <c r="U2858">
        <v>2.9999999999999997E-4</v>
      </c>
      <c r="V2858">
        <v>2.9999999999999997E-4</v>
      </c>
      <c r="W2858">
        <v>2.9999999999999997E-4</v>
      </c>
      <c r="X2858">
        <v>2.9999999999999997E-4</v>
      </c>
      <c r="Y2858">
        <v>2.9999999999999997E-4</v>
      </c>
    </row>
    <row r="2859" spans="1:25" hidden="1">
      <c r="A2859" t="s">
        <v>18811</v>
      </c>
      <c r="B2859" t="s">
        <v>2207</v>
      </c>
      <c r="C2859" t="s">
        <v>2154</v>
      </c>
      <c r="D2859" t="s">
        <v>648</v>
      </c>
      <c r="E2859" t="s">
        <v>1378</v>
      </c>
      <c r="F2859" t="s">
        <v>598</v>
      </c>
      <c r="G2859" t="s">
        <v>599</v>
      </c>
      <c r="H2859" t="s">
        <v>600</v>
      </c>
      <c r="I2859" t="s">
        <v>601</v>
      </c>
      <c r="J2859">
        <v>5.0000000000000001E-4</v>
      </c>
      <c r="K2859">
        <v>5.0000000000000001E-4</v>
      </c>
      <c r="L2859">
        <v>5.0000000000000001E-4</v>
      </c>
      <c r="M2859">
        <v>5.9999999999999995E-4</v>
      </c>
      <c r="N2859">
        <v>5.9999999999999995E-4</v>
      </c>
      <c r="O2859">
        <v>5.9999999999999995E-4</v>
      </c>
      <c r="P2859">
        <v>5.9999999999999995E-4</v>
      </c>
      <c r="Q2859">
        <v>5.9999999999999995E-4</v>
      </c>
      <c r="R2859">
        <v>5.9999999999999995E-4</v>
      </c>
      <c r="S2859">
        <v>5.9999999999999995E-4</v>
      </c>
      <c r="T2859">
        <v>5.9999999999999995E-4</v>
      </c>
      <c r="U2859">
        <v>5.9999999999999995E-4</v>
      </c>
      <c r="V2859">
        <v>5.9999999999999995E-4</v>
      </c>
      <c r="W2859">
        <v>6.9999999999999999E-4</v>
      </c>
      <c r="X2859">
        <v>6.9999999999999999E-4</v>
      </c>
      <c r="Y2859">
        <v>6.9999999999999999E-4</v>
      </c>
    </row>
    <row r="2860" spans="1:25" hidden="1">
      <c r="A2860" t="s">
        <v>18811</v>
      </c>
      <c r="B2860" t="s">
        <v>2209</v>
      </c>
      <c r="C2860" t="s">
        <v>2154</v>
      </c>
      <c r="D2860" t="s">
        <v>648</v>
      </c>
      <c r="E2860" t="s">
        <v>1004</v>
      </c>
      <c r="F2860" t="s">
        <v>598</v>
      </c>
      <c r="G2860" t="s">
        <v>599</v>
      </c>
      <c r="H2860" t="s">
        <v>600</v>
      </c>
      <c r="I2860" t="s">
        <v>601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>
      <c r="J2861">
        <f>SUBTOTAL(109,Table116[2015])</f>
        <v>1.1658999999999999</v>
      </c>
      <c r="K2861">
        <f>SUBTOTAL(109,Table116[2016])</f>
        <v>1.2017</v>
      </c>
      <c r="L2861">
        <f>SUBTOTAL(109,Table116[2017])</f>
        <v>1.2262999999999999</v>
      </c>
      <c r="M2861">
        <f>SUBTOTAL(109,Table116[2018])</f>
        <v>1.2350000000000001</v>
      </c>
      <c r="N2861">
        <f>SUBTOTAL(109,Table116[2019])</f>
        <v>1.2402</v>
      </c>
      <c r="O2861">
        <f>SUBTOTAL(109,Table116[2020])</f>
        <v>1.2089000000000001</v>
      </c>
      <c r="P2861">
        <f>SUBTOTAL(109,Table116[2021])</f>
        <v>1.2133999999999998</v>
      </c>
      <c r="Q2861">
        <f>SUBTOTAL(109,Table116[2022])</f>
        <v>1.2232000000000001</v>
      </c>
      <c r="R2861">
        <f>SUBTOTAL(109,Table116[2023])</f>
        <v>1.2295999999999998</v>
      </c>
      <c r="S2861">
        <f>SUBTOTAL(109,Table116[2024])</f>
        <v>1.2449999999999999</v>
      </c>
      <c r="T2861">
        <f>SUBTOTAL(109,Table116[2025])</f>
        <v>1.262</v>
      </c>
      <c r="U2861">
        <f>SUBTOTAL(109,Table116[2026])</f>
        <v>1.2746</v>
      </c>
      <c r="V2861">
        <f>SUBTOTAL(109,Table116[2027])</f>
        <v>1.2806999999999999</v>
      </c>
      <c r="W2861">
        <f>SUBTOTAL(109,Table116[2028])</f>
        <v>1.2937999999999998</v>
      </c>
      <c r="X2861">
        <f>SUBTOTAL(109,Table116[2029])</f>
        <v>1.3082</v>
      </c>
      <c r="Y2861">
        <f>SUBTOTAL(109,Table116[2030])</f>
        <v>1.3171000000000002</v>
      </c>
    </row>
    <row r="2863" spans="1:25">
      <c r="A2863" t="s">
        <v>569</v>
      </c>
      <c r="B2863" t="s">
        <v>570</v>
      </c>
      <c r="C2863" t="s">
        <v>571</v>
      </c>
      <c r="D2863" t="s">
        <v>572</v>
      </c>
      <c r="E2863" t="s">
        <v>573</v>
      </c>
      <c r="F2863" t="s">
        <v>574</v>
      </c>
      <c r="G2863" t="s">
        <v>575</v>
      </c>
      <c r="H2863" t="s">
        <v>576</v>
      </c>
      <c r="I2863" t="s">
        <v>577</v>
      </c>
      <c r="J2863" t="s">
        <v>578</v>
      </c>
      <c r="K2863" t="s">
        <v>579</v>
      </c>
      <c r="L2863" t="s">
        <v>580</v>
      </c>
      <c r="M2863" t="s">
        <v>581</v>
      </c>
      <c r="N2863" t="s">
        <v>582</v>
      </c>
      <c r="O2863" t="s">
        <v>583</v>
      </c>
      <c r="P2863" t="s">
        <v>584</v>
      </c>
      <c r="Q2863" t="s">
        <v>585</v>
      </c>
      <c r="R2863" t="s">
        <v>586</v>
      </c>
      <c r="S2863" t="s">
        <v>587</v>
      </c>
      <c r="T2863" t="s">
        <v>588</v>
      </c>
      <c r="U2863" t="s">
        <v>589</v>
      </c>
      <c r="V2863" t="s">
        <v>590</v>
      </c>
      <c r="W2863" t="s">
        <v>591</v>
      </c>
      <c r="X2863" t="s">
        <v>592</v>
      </c>
      <c r="Y2863" t="s">
        <v>593</v>
      </c>
    </row>
    <row r="2864" spans="1:25">
      <c r="A2864" t="s">
        <v>18812</v>
      </c>
      <c r="B2864" t="s">
        <v>594</v>
      </c>
      <c r="C2864" t="s">
        <v>595</v>
      </c>
      <c r="D2864" t="s">
        <v>596</v>
      </c>
      <c r="E2864" t="s">
        <v>597</v>
      </c>
      <c r="F2864" t="s">
        <v>598</v>
      </c>
      <c r="G2864" t="s">
        <v>599</v>
      </c>
      <c r="H2864" t="s">
        <v>600</v>
      </c>
      <c r="I2864" t="s">
        <v>601</v>
      </c>
      <c r="J2864">
        <v>2.64E-2</v>
      </c>
      <c r="K2864">
        <v>2.7699999999999999E-2</v>
      </c>
      <c r="L2864">
        <v>2.7799999999999998E-2</v>
      </c>
      <c r="M2864">
        <v>2.7099999999999999E-2</v>
      </c>
      <c r="N2864">
        <v>2.81E-2</v>
      </c>
      <c r="O2864">
        <v>2.8000000000000001E-2</v>
      </c>
      <c r="P2864">
        <v>2.81E-2</v>
      </c>
      <c r="Q2864">
        <v>2.81E-2</v>
      </c>
      <c r="R2864">
        <v>2.81E-2</v>
      </c>
      <c r="S2864">
        <v>2.8299999999999999E-2</v>
      </c>
      <c r="T2864">
        <v>2.8299999999999999E-2</v>
      </c>
      <c r="U2864">
        <v>2.8299999999999999E-2</v>
      </c>
      <c r="V2864">
        <v>2.8299999999999999E-2</v>
      </c>
      <c r="W2864">
        <v>2.8400000000000002E-2</v>
      </c>
      <c r="X2864">
        <v>2.8500000000000001E-2</v>
      </c>
      <c r="Y2864">
        <v>2.8500000000000001E-2</v>
      </c>
    </row>
    <row r="2865" spans="1:25">
      <c r="A2865" t="s">
        <v>18812</v>
      </c>
      <c r="B2865" t="s">
        <v>608</v>
      </c>
      <c r="C2865" t="s">
        <v>595</v>
      </c>
      <c r="D2865" t="s">
        <v>596</v>
      </c>
      <c r="E2865" t="s">
        <v>609</v>
      </c>
      <c r="F2865" t="s">
        <v>598</v>
      </c>
      <c r="G2865" t="s">
        <v>599</v>
      </c>
      <c r="H2865" t="s">
        <v>600</v>
      </c>
      <c r="I2865" t="s">
        <v>601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</row>
    <row r="2866" spans="1:25">
      <c r="A2866" t="s">
        <v>18812</v>
      </c>
      <c r="B2866" t="s">
        <v>622</v>
      </c>
      <c r="C2866" t="s">
        <v>595</v>
      </c>
      <c r="D2866" t="s">
        <v>621</v>
      </c>
      <c r="E2866" t="s">
        <v>605</v>
      </c>
      <c r="F2866" t="s">
        <v>598</v>
      </c>
      <c r="G2866" t="s">
        <v>599</v>
      </c>
      <c r="H2866" t="s">
        <v>600</v>
      </c>
      <c r="I2866" t="s">
        <v>601</v>
      </c>
      <c r="J2866">
        <v>3.8E-3</v>
      </c>
      <c r="K2866">
        <v>3.8E-3</v>
      </c>
      <c r="L2866">
        <v>3.8999999999999998E-3</v>
      </c>
      <c r="M2866">
        <v>3.8999999999999998E-3</v>
      </c>
      <c r="N2866">
        <v>4.0000000000000001E-3</v>
      </c>
      <c r="O2866">
        <v>4.0000000000000001E-3</v>
      </c>
      <c r="P2866">
        <v>4.1000000000000003E-3</v>
      </c>
      <c r="Q2866">
        <v>4.1000000000000003E-3</v>
      </c>
      <c r="R2866">
        <v>4.1000000000000003E-3</v>
      </c>
      <c r="S2866">
        <v>4.1999999999999997E-3</v>
      </c>
      <c r="T2866">
        <v>4.1999999999999997E-3</v>
      </c>
      <c r="U2866">
        <v>4.1999999999999997E-3</v>
      </c>
      <c r="V2866">
        <v>4.1999999999999997E-3</v>
      </c>
      <c r="W2866">
        <v>4.3E-3</v>
      </c>
      <c r="X2866">
        <v>4.3E-3</v>
      </c>
      <c r="Y2866">
        <v>4.3E-3</v>
      </c>
    </row>
    <row r="2867" spans="1:25">
      <c r="A2867" t="s">
        <v>18812</v>
      </c>
      <c r="B2867" t="s">
        <v>623</v>
      </c>
      <c r="C2867" t="s">
        <v>595</v>
      </c>
      <c r="D2867" t="s">
        <v>621</v>
      </c>
      <c r="E2867" t="s">
        <v>624</v>
      </c>
      <c r="F2867" t="s">
        <v>598</v>
      </c>
      <c r="G2867" t="s">
        <v>599</v>
      </c>
      <c r="H2867" t="s">
        <v>600</v>
      </c>
      <c r="I2867" t="s">
        <v>601</v>
      </c>
      <c r="J2867">
        <v>1.2999999999999999E-3</v>
      </c>
      <c r="K2867">
        <v>1.2999999999999999E-3</v>
      </c>
      <c r="L2867">
        <v>1.2999999999999999E-3</v>
      </c>
      <c r="M2867">
        <v>1.4E-3</v>
      </c>
      <c r="N2867">
        <v>1.4E-3</v>
      </c>
      <c r="O2867">
        <v>1.4E-3</v>
      </c>
      <c r="P2867">
        <v>1.4E-3</v>
      </c>
      <c r="Q2867">
        <v>1.5E-3</v>
      </c>
      <c r="R2867">
        <v>1.5E-3</v>
      </c>
      <c r="S2867">
        <v>1.5E-3</v>
      </c>
      <c r="T2867">
        <v>1.6000000000000001E-3</v>
      </c>
      <c r="U2867">
        <v>1.6000000000000001E-3</v>
      </c>
      <c r="V2867">
        <v>1.6000000000000001E-3</v>
      </c>
      <c r="W2867">
        <v>1.6000000000000001E-3</v>
      </c>
      <c r="X2867">
        <v>1.6999999999999999E-3</v>
      </c>
      <c r="Y2867">
        <v>1.6999999999999999E-3</v>
      </c>
    </row>
    <row r="2868" spans="1:25">
      <c r="A2868" t="s">
        <v>18812</v>
      </c>
      <c r="B2868" t="s">
        <v>627</v>
      </c>
      <c r="C2868" t="s">
        <v>595</v>
      </c>
      <c r="D2868" t="s">
        <v>621</v>
      </c>
      <c r="E2868" t="s">
        <v>628</v>
      </c>
      <c r="F2868" t="s">
        <v>598</v>
      </c>
      <c r="G2868" t="s">
        <v>599</v>
      </c>
      <c r="H2868" t="s">
        <v>600</v>
      </c>
      <c r="I2868" t="s">
        <v>601</v>
      </c>
      <c r="J2868">
        <v>1E-4</v>
      </c>
      <c r="K2868">
        <v>1E-4</v>
      </c>
      <c r="L2868">
        <v>1E-4</v>
      </c>
      <c r="M2868">
        <v>1E-4</v>
      </c>
      <c r="N2868">
        <v>1E-4</v>
      </c>
      <c r="O2868">
        <v>1E-4</v>
      </c>
      <c r="P2868">
        <v>1E-4</v>
      </c>
      <c r="Q2868">
        <v>1E-4</v>
      </c>
      <c r="R2868">
        <v>1E-4</v>
      </c>
      <c r="S2868">
        <v>1E-4</v>
      </c>
      <c r="T2868">
        <v>1E-4</v>
      </c>
      <c r="U2868">
        <v>1E-4</v>
      </c>
      <c r="V2868">
        <v>1E-4</v>
      </c>
      <c r="W2868">
        <v>1E-4</v>
      </c>
      <c r="X2868">
        <v>1E-4</v>
      </c>
      <c r="Y2868">
        <v>1E-4</v>
      </c>
    </row>
    <row r="2869" spans="1:25">
      <c r="A2869" t="s">
        <v>18812</v>
      </c>
      <c r="B2869" t="s">
        <v>631</v>
      </c>
      <c r="C2869" t="s">
        <v>595</v>
      </c>
      <c r="D2869" t="s">
        <v>632</v>
      </c>
      <c r="E2869" t="s">
        <v>597</v>
      </c>
      <c r="F2869" t="s">
        <v>598</v>
      </c>
      <c r="G2869" t="s">
        <v>599</v>
      </c>
      <c r="H2869" t="s">
        <v>600</v>
      </c>
      <c r="I2869" t="s">
        <v>601</v>
      </c>
      <c r="J2869">
        <v>9.2200000000000004E-2</v>
      </c>
      <c r="K2869">
        <v>9.4299999999999995E-2</v>
      </c>
      <c r="L2869">
        <v>9.5500000000000002E-2</v>
      </c>
      <c r="M2869">
        <v>9.5899999999999999E-2</v>
      </c>
      <c r="N2869">
        <v>9.7799999999999998E-2</v>
      </c>
      <c r="O2869">
        <v>9.8699999999999996E-2</v>
      </c>
      <c r="P2869">
        <v>9.9299999999999999E-2</v>
      </c>
      <c r="Q2869">
        <v>9.98E-2</v>
      </c>
      <c r="R2869">
        <v>0.1002</v>
      </c>
      <c r="S2869">
        <v>0.1008</v>
      </c>
      <c r="T2869">
        <v>0.1013</v>
      </c>
      <c r="U2869">
        <v>0.1018</v>
      </c>
      <c r="V2869">
        <v>0.1023</v>
      </c>
      <c r="W2869">
        <v>0.1027</v>
      </c>
      <c r="X2869">
        <v>0.1033</v>
      </c>
      <c r="Y2869">
        <v>0.1038</v>
      </c>
    </row>
    <row r="2870" spans="1:25">
      <c r="A2870" t="s">
        <v>18812</v>
      </c>
      <c r="B2870" t="s">
        <v>636</v>
      </c>
      <c r="C2870" t="s">
        <v>595</v>
      </c>
      <c r="D2870" t="s">
        <v>632</v>
      </c>
      <c r="E2870" t="s">
        <v>628</v>
      </c>
      <c r="F2870" t="s">
        <v>598</v>
      </c>
      <c r="G2870" t="s">
        <v>599</v>
      </c>
      <c r="H2870" t="s">
        <v>600</v>
      </c>
      <c r="I2870" t="s">
        <v>601</v>
      </c>
      <c r="J2870">
        <v>8.9999999999999998E-4</v>
      </c>
      <c r="K2870">
        <v>8.9999999999999998E-4</v>
      </c>
      <c r="L2870">
        <v>8.9999999999999998E-4</v>
      </c>
      <c r="M2870">
        <v>8.9999999999999998E-4</v>
      </c>
      <c r="N2870">
        <v>8.9999999999999998E-4</v>
      </c>
      <c r="O2870">
        <v>8.9999999999999998E-4</v>
      </c>
      <c r="P2870">
        <v>8.9999999999999998E-4</v>
      </c>
      <c r="Q2870">
        <v>8.9999999999999998E-4</v>
      </c>
      <c r="R2870">
        <v>8.9999999999999998E-4</v>
      </c>
      <c r="S2870">
        <v>8.9999999999999998E-4</v>
      </c>
      <c r="T2870">
        <v>8.9999999999999998E-4</v>
      </c>
      <c r="U2870">
        <v>8.9999999999999998E-4</v>
      </c>
      <c r="V2870">
        <v>8.9999999999999998E-4</v>
      </c>
      <c r="W2870">
        <v>8.9999999999999998E-4</v>
      </c>
      <c r="X2870">
        <v>8.9999999999999998E-4</v>
      </c>
      <c r="Y2870">
        <v>8.9999999999999998E-4</v>
      </c>
    </row>
    <row r="2871" spans="1:25" hidden="1">
      <c r="A2871" t="s">
        <v>18812</v>
      </c>
      <c r="B2871" t="s">
        <v>657</v>
      </c>
      <c r="C2871" t="s">
        <v>651</v>
      </c>
      <c r="D2871" t="s">
        <v>621</v>
      </c>
      <c r="E2871" t="s">
        <v>597</v>
      </c>
      <c r="F2871" t="s">
        <v>598</v>
      </c>
      <c r="G2871" t="s">
        <v>599</v>
      </c>
      <c r="H2871" t="s">
        <v>600</v>
      </c>
      <c r="I2871" t="s">
        <v>601</v>
      </c>
      <c r="J2871">
        <v>1E-4</v>
      </c>
      <c r="K2871">
        <v>1E-4</v>
      </c>
      <c r="L2871">
        <v>1E-4</v>
      </c>
      <c r="M2871">
        <v>1E-4</v>
      </c>
      <c r="N2871">
        <v>1E-4</v>
      </c>
      <c r="O2871">
        <v>1E-4</v>
      </c>
      <c r="P2871">
        <v>1E-4</v>
      </c>
      <c r="Q2871">
        <v>1E-4</v>
      </c>
      <c r="R2871">
        <v>1E-4</v>
      </c>
      <c r="S2871">
        <v>1E-4</v>
      </c>
      <c r="T2871">
        <v>1E-4</v>
      </c>
      <c r="U2871">
        <v>1E-4</v>
      </c>
      <c r="V2871">
        <v>1E-4</v>
      </c>
      <c r="W2871">
        <v>1E-4</v>
      </c>
      <c r="X2871">
        <v>1E-4</v>
      </c>
      <c r="Y2871">
        <v>1E-4</v>
      </c>
    </row>
    <row r="2872" spans="1:25" hidden="1">
      <c r="A2872" t="s">
        <v>18812</v>
      </c>
      <c r="B2872" t="s">
        <v>659</v>
      </c>
      <c r="C2872" t="s">
        <v>651</v>
      </c>
      <c r="D2872" t="s">
        <v>621</v>
      </c>
      <c r="E2872" t="s">
        <v>628</v>
      </c>
      <c r="F2872" t="s">
        <v>598</v>
      </c>
      <c r="G2872" t="s">
        <v>599</v>
      </c>
      <c r="H2872" t="s">
        <v>600</v>
      </c>
      <c r="I2872" t="s">
        <v>601</v>
      </c>
      <c r="J2872">
        <v>4.1999999999999997E-3</v>
      </c>
      <c r="K2872">
        <v>4.1999999999999997E-3</v>
      </c>
      <c r="L2872">
        <v>4.1999999999999997E-3</v>
      </c>
      <c r="M2872">
        <v>4.1999999999999997E-3</v>
      </c>
      <c r="N2872">
        <v>4.1999999999999997E-3</v>
      </c>
      <c r="O2872">
        <v>4.1999999999999997E-3</v>
      </c>
      <c r="P2872">
        <v>4.1999999999999997E-3</v>
      </c>
      <c r="Q2872">
        <v>4.1999999999999997E-3</v>
      </c>
      <c r="R2872">
        <v>4.1999999999999997E-3</v>
      </c>
      <c r="S2872">
        <v>4.1999999999999997E-3</v>
      </c>
      <c r="T2872">
        <v>4.1999999999999997E-3</v>
      </c>
      <c r="U2872">
        <v>4.1999999999999997E-3</v>
      </c>
      <c r="V2872">
        <v>4.1999999999999997E-3</v>
      </c>
      <c r="W2872">
        <v>4.1999999999999997E-3</v>
      </c>
      <c r="X2872">
        <v>4.1999999999999997E-3</v>
      </c>
      <c r="Y2872">
        <v>4.1999999999999997E-3</v>
      </c>
    </row>
    <row r="2873" spans="1:25" hidden="1">
      <c r="A2873" t="s">
        <v>18812</v>
      </c>
      <c r="B2873" t="s">
        <v>660</v>
      </c>
      <c r="C2873" t="s">
        <v>651</v>
      </c>
      <c r="D2873" t="s">
        <v>632</v>
      </c>
      <c r="E2873" t="s">
        <v>597</v>
      </c>
      <c r="F2873" t="s">
        <v>598</v>
      </c>
      <c r="G2873" t="s">
        <v>599</v>
      </c>
      <c r="H2873" t="s">
        <v>600</v>
      </c>
      <c r="I2873" t="s">
        <v>601</v>
      </c>
      <c r="J2873">
        <v>8.5599999999999996E-2</v>
      </c>
      <c r="K2873">
        <v>8.6499999999999994E-2</v>
      </c>
      <c r="L2873">
        <v>8.7499999999999994E-2</v>
      </c>
      <c r="M2873">
        <v>8.8400000000000006E-2</v>
      </c>
      <c r="N2873">
        <v>8.9399999999999993E-2</v>
      </c>
      <c r="O2873">
        <v>9.0399999999999994E-2</v>
      </c>
      <c r="P2873">
        <v>9.1399999999999995E-2</v>
      </c>
      <c r="Q2873">
        <v>9.2399999999999996E-2</v>
      </c>
      <c r="R2873">
        <v>9.3399999999999997E-2</v>
      </c>
      <c r="S2873">
        <v>9.4399999999999998E-2</v>
      </c>
      <c r="T2873">
        <v>9.5500000000000002E-2</v>
      </c>
      <c r="U2873">
        <v>9.6500000000000002E-2</v>
      </c>
      <c r="V2873">
        <v>9.7600000000000006E-2</v>
      </c>
      <c r="W2873">
        <v>9.8699999999999996E-2</v>
      </c>
      <c r="X2873">
        <v>9.9699999999999997E-2</v>
      </c>
      <c r="Y2873">
        <v>0.1008</v>
      </c>
    </row>
    <row r="2874" spans="1:25" hidden="1">
      <c r="A2874" t="s">
        <v>18812</v>
      </c>
      <c r="B2874" t="s">
        <v>661</v>
      </c>
      <c r="C2874" t="s">
        <v>651</v>
      </c>
      <c r="D2874" t="s">
        <v>632</v>
      </c>
      <c r="E2874" t="s">
        <v>628</v>
      </c>
      <c r="F2874" t="s">
        <v>598</v>
      </c>
      <c r="G2874" t="s">
        <v>599</v>
      </c>
      <c r="H2874" t="s">
        <v>600</v>
      </c>
      <c r="I2874" t="s">
        <v>601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hidden="1">
      <c r="A2875" t="s">
        <v>18812</v>
      </c>
      <c r="B2875" t="s">
        <v>662</v>
      </c>
      <c r="C2875" t="s">
        <v>651</v>
      </c>
      <c r="D2875" t="s">
        <v>648</v>
      </c>
      <c r="E2875" t="s">
        <v>649</v>
      </c>
      <c r="F2875" t="s">
        <v>598</v>
      </c>
      <c r="G2875" t="s">
        <v>599</v>
      </c>
      <c r="H2875" t="s">
        <v>600</v>
      </c>
      <c r="I2875" t="s">
        <v>601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hidden="1">
      <c r="A2876" t="s">
        <v>18812</v>
      </c>
      <c r="B2876" t="s">
        <v>663</v>
      </c>
      <c r="C2876" t="s">
        <v>664</v>
      </c>
      <c r="D2876" t="s">
        <v>596</v>
      </c>
      <c r="E2876" t="s">
        <v>597</v>
      </c>
      <c r="F2876" t="s">
        <v>598</v>
      </c>
      <c r="G2876" t="s">
        <v>599</v>
      </c>
      <c r="H2876" t="s">
        <v>600</v>
      </c>
      <c r="I2876" t="s">
        <v>601</v>
      </c>
      <c r="J2876">
        <v>9.1000000000000004E-3</v>
      </c>
      <c r="K2876">
        <v>8.8999999999999999E-3</v>
      </c>
      <c r="L2876">
        <v>8.6E-3</v>
      </c>
      <c r="M2876">
        <v>8.5000000000000006E-3</v>
      </c>
      <c r="N2876">
        <v>8.3000000000000001E-3</v>
      </c>
      <c r="O2876">
        <v>8.2000000000000007E-3</v>
      </c>
      <c r="P2876">
        <v>8.0000000000000002E-3</v>
      </c>
      <c r="Q2876">
        <v>8.0000000000000002E-3</v>
      </c>
      <c r="R2876">
        <v>7.6E-3</v>
      </c>
      <c r="S2876">
        <v>7.4999999999999997E-3</v>
      </c>
      <c r="T2876">
        <v>7.3000000000000001E-3</v>
      </c>
      <c r="U2876">
        <v>7.1999999999999998E-3</v>
      </c>
      <c r="V2876">
        <v>7.1000000000000004E-3</v>
      </c>
      <c r="W2876">
        <v>7.0000000000000001E-3</v>
      </c>
      <c r="X2876">
        <v>6.7999999999999996E-3</v>
      </c>
      <c r="Y2876">
        <v>6.7000000000000002E-3</v>
      </c>
    </row>
    <row r="2877" spans="1:25" hidden="1">
      <c r="A2877" t="s">
        <v>18812</v>
      </c>
      <c r="B2877" t="s">
        <v>665</v>
      </c>
      <c r="C2877" t="s">
        <v>664</v>
      </c>
      <c r="D2877" t="s">
        <v>596</v>
      </c>
      <c r="E2877" t="s">
        <v>603</v>
      </c>
      <c r="F2877" t="s">
        <v>598</v>
      </c>
      <c r="G2877" t="s">
        <v>599</v>
      </c>
      <c r="H2877" t="s">
        <v>600</v>
      </c>
      <c r="I2877" t="s">
        <v>601</v>
      </c>
      <c r="J2877">
        <v>1E-4</v>
      </c>
      <c r="K2877">
        <v>1E-4</v>
      </c>
      <c r="L2877">
        <v>1E-4</v>
      </c>
      <c r="M2877">
        <v>1E-4</v>
      </c>
      <c r="N2877">
        <v>1E-4</v>
      </c>
      <c r="O2877">
        <v>1E-4</v>
      </c>
      <c r="P2877">
        <v>1E-4</v>
      </c>
      <c r="Q2877">
        <v>1E-4</v>
      </c>
      <c r="R2877">
        <v>1E-4</v>
      </c>
      <c r="S2877">
        <v>1E-4</v>
      </c>
      <c r="T2877">
        <v>1E-4</v>
      </c>
      <c r="U2877">
        <v>1E-4</v>
      </c>
      <c r="V2877">
        <v>1E-4</v>
      </c>
      <c r="W2877">
        <v>1E-4</v>
      </c>
      <c r="X2877">
        <v>1E-4</v>
      </c>
      <c r="Y2877">
        <v>1E-4</v>
      </c>
    </row>
    <row r="2878" spans="1:25" hidden="1">
      <c r="A2878" t="s">
        <v>18812</v>
      </c>
      <c r="B2878" t="s">
        <v>670</v>
      </c>
      <c r="C2878" t="s">
        <v>664</v>
      </c>
      <c r="D2878" t="s">
        <v>671</v>
      </c>
      <c r="E2878" t="s">
        <v>672</v>
      </c>
      <c r="F2878" t="s">
        <v>598</v>
      </c>
      <c r="G2878" t="s">
        <v>599</v>
      </c>
      <c r="H2878" t="s">
        <v>600</v>
      </c>
      <c r="I2878" t="s">
        <v>601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hidden="1">
      <c r="A2879" t="s">
        <v>18812</v>
      </c>
      <c r="B2879" t="s">
        <v>673</v>
      </c>
      <c r="C2879" t="s">
        <v>664</v>
      </c>
      <c r="D2879" t="s">
        <v>671</v>
      </c>
      <c r="E2879" t="s">
        <v>597</v>
      </c>
      <c r="F2879" t="s">
        <v>598</v>
      </c>
      <c r="G2879" t="s">
        <v>599</v>
      </c>
      <c r="H2879" t="s">
        <v>600</v>
      </c>
      <c r="I2879" t="s">
        <v>601</v>
      </c>
      <c r="J2879">
        <v>3.0000000000000001E-3</v>
      </c>
      <c r="K2879">
        <v>2.8999999999999998E-3</v>
      </c>
      <c r="L2879">
        <v>2.8E-3</v>
      </c>
      <c r="M2879">
        <v>2.8E-3</v>
      </c>
      <c r="N2879">
        <v>2.7000000000000001E-3</v>
      </c>
      <c r="O2879">
        <v>2.5999999999999999E-3</v>
      </c>
      <c r="P2879">
        <v>2.5999999999999999E-3</v>
      </c>
      <c r="Q2879">
        <v>2.5000000000000001E-3</v>
      </c>
      <c r="R2879">
        <v>2.5000000000000001E-3</v>
      </c>
      <c r="S2879">
        <v>2.5000000000000001E-3</v>
      </c>
      <c r="T2879">
        <v>2.5000000000000001E-3</v>
      </c>
      <c r="U2879">
        <v>2.3999999999999998E-3</v>
      </c>
      <c r="V2879">
        <v>2.3999999999999998E-3</v>
      </c>
      <c r="W2879">
        <v>2.3999999999999998E-3</v>
      </c>
      <c r="X2879">
        <v>2.3999999999999998E-3</v>
      </c>
      <c r="Y2879">
        <v>2.2000000000000001E-3</v>
      </c>
    </row>
    <row r="2880" spans="1:25" hidden="1">
      <c r="A2880" t="s">
        <v>18812</v>
      </c>
      <c r="B2880" t="s">
        <v>674</v>
      </c>
      <c r="C2880" t="s">
        <v>664</v>
      </c>
      <c r="D2880" t="s">
        <v>671</v>
      </c>
      <c r="E2880" t="s">
        <v>605</v>
      </c>
      <c r="F2880" t="s">
        <v>598</v>
      </c>
      <c r="G2880" t="s">
        <v>599</v>
      </c>
      <c r="H2880" t="s">
        <v>600</v>
      </c>
      <c r="I2880" t="s">
        <v>601</v>
      </c>
      <c r="J2880">
        <v>2.5999999999999999E-3</v>
      </c>
      <c r="K2880">
        <v>2.5000000000000001E-3</v>
      </c>
      <c r="L2880">
        <v>2.3999999999999998E-3</v>
      </c>
      <c r="M2880">
        <v>2.3999999999999998E-3</v>
      </c>
      <c r="N2880">
        <v>2.3E-3</v>
      </c>
      <c r="O2880">
        <v>2.3E-3</v>
      </c>
      <c r="P2880">
        <v>2.2000000000000001E-3</v>
      </c>
      <c r="Q2880">
        <v>2.2000000000000001E-3</v>
      </c>
      <c r="R2880">
        <v>2.0999999999999999E-3</v>
      </c>
      <c r="S2880">
        <v>2.0999999999999999E-3</v>
      </c>
      <c r="T2880">
        <v>2E-3</v>
      </c>
      <c r="U2880">
        <v>2E-3</v>
      </c>
      <c r="V2880">
        <v>2E-3</v>
      </c>
      <c r="W2880">
        <v>1.9E-3</v>
      </c>
      <c r="X2880">
        <v>1.9E-3</v>
      </c>
      <c r="Y2880">
        <v>1.8E-3</v>
      </c>
    </row>
    <row r="2881" spans="1:25" hidden="1">
      <c r="A2881" t="s">
        <v>18812</v>
      </c>
      <c r="B2881" t="s">
        <v>677</v>
      </c>
      <c r="C2881" t="s">
        <v>664</v>
      </c>
      <c r="D2881" t="s">
        <v>671</v>
      </c>
      <c r="E2881" t="s">
        <v>678</v>
      </c>
      <c r="F2881" t="s">
        <v>598</v>
      </c>
      <c r="G2881" t="s">
        <v>599</v>
      </c>
      <c r="H2881" t="s">
        <v>600</v>
      </c>
      <c r="I2881" t="s">
        <v>601</v>
      </c>
      <c r="J2881">
        <v>2.9999999999999997E-4</v>
      </c>
      <c r="K2881">
        <v>2.0000000000000001E-4</v>
      </c>
      <c r="L2881">
        <v>2.0000000000000001E-4</v>
      </c>
      <c r="M2881">
        <v>2.0000000000000001E-4</v>
      </c>
      <c r="N2881">
        <v>2.0000000000000001E-4</v>
      </c>
      <c r="O2881">
        <v>2.0000000000000001E-4</v>
      </c>
      <c r="P2881">
        <v>2.0000000000000001E-4</v>
      </c>
      <c r="Q2881">
        <v>2.0000000000000001E-4</v>
      </c>
      <c r="R2881">
        <v>2.0000000000000001E-4</v>
      </c>
      <c r="S2881">
        <v>2.0000000000000001E-4</v>
      </c>
      <c r="T2881">
        <v>2.0000000000000001E-4</v>
      </c>
      <c r="U2881">
        <v>2.0000000000000001E-4</v>
      </c>
      <c r="V2881">
        <v>2.0000000000000001E-4</v>
      </c>
      <c r="W2881">
        <v>2.0000000000000001E-4</v>
      </c>
      <c r="X2881">
        <v>2.0000000000000001E-4</v>
      </c>
      <c r="Y2881">
        <v>2.0000000000000001E-4</v>
      </c>
    </row>
    <row r="2882" spans="1:25" hidden="1">
      <c r="A2882" t="s">
        <v>18812</v>
      </c>
      <c r="B2882" t="s">
        <v>679</v>
      </c>
      <c r="C2882" t="s">
        <v>664</v>
      </c>
      <c r="D2882" t="s">
        <v>680</v>
      </c>
      <c r="E2882" t="s">
        <v>597</v>
      </c>
      <c r="F2882" t="s">
        <v>598</v>
      </c>
      <c r="G2882" t="s">
        <v>599</v>
      </c>
      <c r="H2882" t="s">
        <v>600</v>
      </c>
      <c r="I2882" t="s">
        <v>601</v>
      </c>
      <c r="J2882">
        <v>3.0999999999999999E-3</v>
      </c>
      <c r="K2882">
        <v>3.0000000000000001E-3</v>
      </c>
      <c r="L2882">
        <v>2.8999999999999998E-3</v>
      </c>
      <c r="M2882">
        <v>2.8999999999999998E-3</v>
      </c>
      <c r="N2882">
        <v>2.8E-3</v>
      </c>
      <c r="O2882">
        <v>2.8E-3</v>
      </c>
      <c r="P2882">
        <v>2.7000000000000001E-3</v>
      </c>
      <c r="Q2882">
        <v>2.5999999999999999E-3</v>
      </c>
      <c r="R2882">
        <v>2.5999999999999999E-3</v>
      </c>
      <c r="S2882">
        <v>2.5000000000000001E-3</v>
      </c>
      <c r="T2882">
        <v>2.5000000000000001E-3</v>
      </c>
      <c r="U2882">
        <v>2.3999999999999998E-3</v>
      </c>
      <c r="V2882">
        <v>2.3999999999999998E-3</v>
      </c>
      <c r="W2882">
        <v>2.3E-3</v>
      </c>
      <c r="X2882">
        <v>2.3E-3</v>
      </c>
      <c r="Y2882">
        <v>2.2000000000000001E-3</v>
      </c>
    </row>
    <row r="2883" spans="1:25" hidden="1">
      <c r="A2883" t="s">
        <v>18812</v>
      </c>
      <c r="B2883" t="s">
        <v>681</v>
      </c>
      <c r="C2883" t="s">
        <v>664</v>
      </c>
      <c r="D2883" t="s">
        <v>680</v>
      </c>
      <c r="E2883" t="s">
        <v>605</v>
      </c>
      <c r="F2883" t="s">
        <v>598</v>
      </c>
      <c r="G2883" t="s">
        <v>599</v>
      </c>
      <c r="H2883" t="s">
        <v>600</v>
      </c>
      <c r="I2883" t="s">
        <v>601</v>
      </c>
      <c r="J2883">
        <v>8.9999999999999998E-4</v>
      </c>
      <c r="K2883">
        <v>8.0000000000000004E-4</v>
      </c>
      <c r="L2883">
        <v>8.0000000000000004E-4</v>
      </c>
      <c r="M2883">
        <v>8.0000000000000004E-4</v>
      </c>
      <c r="N2883">
        <v>8.0000000000000004E-4</v>
      </c>
      <c r="O2883">
        <v>8.0000000000000004E-4</v>
      </c>
      <c r="P2883">
        <v>6.9999999999999999E-4</v>
      </c>
      <c r="Q2883">
        <v>6.9999999999999999E-4</v>
      </c>
      <c r="R2883">
        <v>6.9999999999999999E-4</v>
      </c>
      <c r="S2883">
        <v>6.9999999999999999E-4</v>
      </c>
      <c r="T2883">
        <v>6.9999999999999999E-4</v>
      </c>
      <c r="U2883">
        <v>6.9999999999999999E-4</v>
      </c>
      <c r="V2883">
        <v>6.9999999999999999E-4</v>
      </c>
      <c r="W2883">
        <v>5.9999999999999995E-4</v>
      </c>
      <c r="X2883">
        <v>5.9999999999999995E-4</v>
      </c>
      <c r="Y2883">
        <v>5.9999999999999995E-4</v>
      </c>
    </row>
    <row r="2884" spans="1:25" hidden="1">
      <c r="A2884" t="s">
        <v>18812</v>
      </c>
      <c r="B2884" t="s">
        <v>682</v>
      </c>
      <c r="C2884" t="s">
        <v>664</v>
      </c>
      <c r="D2884" t="s">
        <v>680</v>
      </c>
      <c r="E2884" t="s">
        <v>619</v>
      </c>
      <c r="F2884" t="s">
        <v>598</v>
      </c>
      <c r="G2884" t="s">
        <v>599</v>
      </c>
      <c r="H2884" t="s">
        <v>600</v>
      </c>
      <c r="I2884" t="s">
        <v>601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 hidden="1">
      <c r="A2885" t="s">
        <v>18812</v>
      </c>
      <c r="B2885" t="s">
        <v>683</v>
      </c>
      <c r="C2885" t="s">
        <v>664</v>
      </c>
      <c r="D2885" t="s">
        <v>621</v>
      </c>
      <c r="E2885" t="s">
        <v>672</v>
      </c>
      <c r="F2885" t="s">
        <v>598</v>
      </c>
      <c r="G2885" t="s">
        <v>599</v>
      </c>
      <c r="H2885" t="s">
        <v>600</v>
      </c>
      <c r="I2885" t="s">
        <v>601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hidden="1">
      <c r="A2886" t="s">
        <v>18812</v>
      </c>
      <c r="B2886" t="s">
        <v>684</v>
      </c>
      <c r="C2886" t="s">
        <v>664</v>
      </c>
      <c r="D2886" t="s">
        <v>621</v>
      </c>
      <c r="E2886" t="s">
        <v>597</v>
      </c>
      <c r="F2886" t="s">
        <v>598</v>
      </c>
      <c r="G2886" t="s">
        <v>599</v>
      </c>
      <c r="H2886" t="s">
        <v>600</v>
      </c>
      <c r="I2886" t="s">
        <v>601</v>
      </c>
      <c r="J2886">
        <v>1.0500000000000001E-2</v>
      </c>
      <c r="K2886">
        <v>1.03E-2</v>
      </c>
      <c r="L2886">
        <v>1.01E-2</v>
      </c>
      <c r="M2886">
        <v>9.7999999999999997E-3</v>
      </c>
      <c r="N2886">
        <v>9.5999999999999992E-3</v>
      </c>
      <c r="O2886">
        <v>9.2999999999999992E-3</v>
      </c>
      <c r="P2886">
        <v>9.1999999999999998E-3</v>
      </c>
      <c r="Q2886">
        <v>9.1000000000000004E-3</v>
      </c>
      <c r="R2886">
        <v>8.8999999999999999E-3</v>
      </c>
      <c r="S2886">
        <v>8.6999999999999994E-3</v>
      </c>
      <c r="T2886">
        <v>8.5000000000000006E-3</v>
      </c>
      <c r="U2886">
        <v>8.3999999999999995E-3</v>
      </c>
      <c r="V2886">
        <v>8.3000000000000001E-3</v>
      </c>
      <c r="W2886">
        <v>8.2000000000000007E-3</v>
      </c>
      <c r="X2886">
        <v>7.9000000000000008E-3</v>
      </c>
      <c r="Y2886">
        <v>7.7999999999999996E-3</v>
      </c>
    </row>
    <row r="2887" spans="1:25" hidden="1">
      <c r="A2887" t="s">
        <v>18812</v>
      </c>
      <c r="B2887" t="s">
        <v>686</v>
      </c>
      <c r="C2887" t="s">
        <v>664</v>
      </c>
      <c r="D2887" t="s">
        <v>621</v>
      </c>
      <c r="E2887" t="s">
        <v>605</v>
      </c>
      <c r="F2887" t="s">
        <v>598</v>
      </c>
      <c r="G2887" t="s">
        <v>599</v>
      </c>
      <c r="H2887" t="s">
        <v>600</v>
      </c>
      <c r="I2887" t="s">
        <v>601</v>
      </c>
      <c r="J2887">
        <v>2.9999999999999997E-4</v>
      </c>
      <c r="K2887">
        <v>2.0000000000000001E-4</v>
      </c>
      <c r="L2887">
        <v>2.0000000000000001E-4</v>
      </c>
      <c r="M2887">
        <v>2.0000000000000001E-4</v>
      </c>
      <c r="N2887">
        <v>2.0000000000000001E-4</v>
      </c>
      <c r="O2887">
        <v>2.0000000000000001E-4</v>
      </c>
      <c r="P2887">
        <v>2.0000000000000001E-4</v>
      </c>
      <c r="Q2887">
        <v>2.0000000000000001E-4</v>
      </c>
      <c r="R2887">
        <v>2.0000000000000001E-4</v>
      </c>
      <c r="S2887">
        <v>2.0000000000000001E-4</v>
      </c>
      <c r="T2887">
        <v>2.0000000000000001E-4</v>
      </c>
      <c r="U2887">
        <v>2.0000000000000001E-4</v>
      </c>
      <c r="V2887">
        <v>2.0000000000000001E-4</v>
      </c>
      <c r="W2887">
        <v>2.0000000000000001E-4</v>
      </c>
      <c r="X2887">
        <v>2.0000000000000001E-4</v>
      </c>
      <c r="Y2887">
        <v>2.0000000000000001E-4</v>
      </c>
    </row>
    <row r="2888" spans="1:25" hidden="1">
      <c r="A2888" t="s">
        <v>18812</v>
      </c>
      <c r="B2888" t="s">
        <v>687</v>
      </c>
      <c r="C2888" t="s">
        <v>664</v>
      </c>
      <c r="D2888" t="s">
        <v>621</v>
      </c>
      <c r="E2888" t="s">
        <v>688</v>
      </c>
      <c r="F2888" t="s">
        <v>598</v>
      </c>
      <c r="G2888" t="s">
        <v>599</v>
      </c>
      <c r="H2888" t="s">
        <v>600</v>
      </c>
      <c r="I2888" t="s">
        <v>601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 hidden="1">
      <c r="A2889" t="s">
        <v>18812</v>
      </c>
      <c r="B2889" t="s">
        <v>689</v>
      </c>
      <c r="C2889" t="s">
        <v>664</v>
      </c>
      <c r="D2889" t="s">
        <v>621</v>
      </c>
      <c r="E2889" t="s">
        <v>626</v>
      </c>
      <c r="F2889" t="s">
        <v>598</v>
      </c>
      <c r="G2889" t="s">
        <v>599</v>
      </c>
      <c r="H2889" t="s">
        <v>600</v>
      </c>
      <c r="I2889" t="s">
        <v>601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hidden="1">
      <c r="A2890" t="s">
        <v>18812</v>
      </c>
      <c r="B2890" t="s">
        <v>690</v>
      </c>
      <c r="C2890" t="s">
        <v>664</v>
      </c>
      <c r="D2890" t="s">
        <v>621</v>
      </c>
      <c r="E2890" t="s">
        <v>628</v>
      </c>
      <c r="F2890" t="s">
        <v>598</v>
      </c>
      <c r="G2890" t="s">
        <v>599</v>
      </c>
      <c r="H2890" t="s">
        <v>600</v>
      </c>
      <c r="I2890" t="s">
        <v>601</v>
      </c>
      <c r="J2890">
        <v>4.5999999999999999E-3</v>
      </c>
      <c r="K2890">
        <v>4.4999999999999997E-3</v>
      </c>
      <c r="L2890">
        <v>4.4000000000000003E-3</v>
      </c>
      <c r="M2890">
        <v>4.3E-3</v>
      </c>
      <c r="N2890">
        <v>4.1999999999999997E-3</v>
      </c>
      <c r="O2890">
        <v>4.1000000000000003E-3</v>
      </c>
      <c r="P2890">
        <v>4.0000000000000001E-3</v>
      </c>
      <c r="Q2890">
        <v>3.8999999999999998E-3</v>
      </c>
      <c r="R2890">
        <v>3.8E-3</v>
      </c>
      <c r="S2890">
        <v>3.7000000000000002E-3</v>
      </c>
      <c r="T2890">
        <v>3.7000000000000002E-3</v>
      </c>
      <c r="U2890">
        <v>3.5999999999999999E-3</v>
      </c>
      <c r="V2890">
        <v>3.5000000000000001E-3</v>
      </c>
      <c r="W2890">
        <v>3.3999999999999998E-3</v>
      </c>
      <c r="X2890">
        <v>3.3999999999999998E-3</v>
      </c>
      <c r="Y2890">
        <v>3.3E-3</v>
      </c>
    </row>
    <row r="2891" spans="1:25" hidden="1">
      <c r="A2891" t="s">
        <v>18812</v>
      </c>
      <c r="B2891" t="s">
        <v>691</v>
      </c>
      <c r="C2891" t="s">
        <v>664</v>
      </c>
      <c r="D2891" t="s">
        <v>621</v>
      </c>
      <c r="E2891" t="s">
        <v>692</v>
      </c>
      <c r="F2891" t="s">
        <v>598</v>
      </c>
      <c r="G2891" t="s">
        <v>599</v>
      </c>
      <c r="H2891" t="s">
        <v>600</v>
      </c>
      <c r="I2891" t="s">
        <v>601</v>
      </c>
      <c r="J2891">
        <v>1E-4</v>
      </c>
      <c r="K2891">
        <v>1E-4</v>
      </c>
      <c r="L2891">
        <v>1E-4</v>
      </c>
      <c r="M2891">
        <v>1E-4</v>
      </c>
      <c r="N2891">
        <v>1E-4</v>
      </c>
      <c r="O2891">
        <v>1E-4</v>
      </c>
      <c r="P2891">
        <v>1E-4</v>
      </c>
      <c r="Q2891">
        <v>1E-4</v>
      </c>
      <c r="R2891">
        <v>1E-4</v>
      </c>
      <c r="S2891">
        <v>1E-4</v>
      </c>
      <c r="T2891">
        <v>1E-4</v>
      </c>
      <c r="U2891">
        <v>1E-4</v>
      </c>
      <c r="V2891">
        <v>1E-4</v>
      </c>
      <c r="W2891">
        <v>1E-4</v>
      </c>
      <c r="X2891">
        <v>1E-4</v>
      </c>
      <c r="Y2891">
        <v>1E-4</v>
      </c>
    </row>
    <row r="2892" spans="1:25" hidden="1">
      <c r="A2892" t="s">
        <v>18812</v>
      </c>
      <c r="B2892" t="s">
        <v>693</v>
      </c>
      <c r="C2892" t="s">
        <v>664</v>
      </c>
      <c r="D2892" t="s">
        <v>621</v>
      </c>
      <c r="E2892" t="s">
        <v>678</v>
      </c>
      <c r="F2892" t="s">
        <v>598</v>
      </c>
      <c r="G2892" t="s">
        <v>599</v>
      </c>
      <c r="H2892" t="s">
        <v>600</v>
      </c>
      <c r="I2892" t="s">
        <v>601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 hidden="1">
      <c r="A2893" t="s">
        <v>18812</v>
      </c>
      <c r="B2893" t="s">
        <v>694</v>
      </c>
      <c r="C2893" t="s">
        <v>664</v>
      </c>
      <c r="D2893" t="s">
        <v>695</v>
      </c>
      <c r="E2893" t="s">
        <v>678</v>
      </c>
      <c r="F2893" t="s">
        <v>598</v>
      </c>
      <c r="G2893" t="s">
        <v>599</v>
      </c>
      <c r="H2893" t="s">
        <v>600</v>
      </c>
      <c r="I2893" t="s">
        <v>601</v>
      </c>
      <c r="J2893">
        <v>2.3999999999999998E-3</v>
      </c>
      <c r="K2893">
        <v>2.3E-3</v>
      </c>
      <c r="L2893">
        <v>2.2000000000000001E-3</v>
      </c>
      <c r="M2893">
        <v>2.2000000000000001E-3</v>
      </c>
      <c r="N2893">
        <v>2.0999999999999999E-3</v>
      </c>
      <c r="O2893">
        <v>2.0999999999999999E-3</v>
      </c>
      <c r="P2893">
        <v>2E-3</v>
      </c>
      <c r="Q2893">
        <v>2E-3</v>
      </c>
      <c r="R2893">
        <v>2E-3</v>
      </c>
      <c r="S2893">
        <v>2E-3</v>
      </c>
      <c r="T2893">
        <v>2E-3</v>
      </c>
      <c r="U2893">
        <v>2E-3</v>
      </c>
      <c r="V2893">
        <v>2E-3</v>
      </c>
      <c r="W2893">
        <v>1.9E-3</v>
      </c>
      <c r="X2893">
        <v>1.9E-3</v>
      </c>
      <c r="Y2893">
        <v>1.9E-3</v>
      </c>
    </row>
    <row r="2894" spans="1:25" hidden="1">
      <c r="A2894" t="s">
        <v>18812</v>
      </c>
      <c r="B2894" t="s">
        <v>696</v>
      </c>
      <c r="C2894" t="s">
        <v>664</v>
      </c>
      <c r="D2894" t="s">
        <v>632</v>
      </c>
      <c r="E2894" t="s">
        <v>597</v>
      </c>
      <c r="F2894" t="s">
        <v>598</v>
      </c>
      <c r="G2894" t="s">
        <v>599</v>
      </c>
      <c r="H2894" t="s">
        <v>600</v>
      </c>
      <c r="I2894" t="s">
        <v>601</v>
      </c>
      <c r="J2894">
        <v>3.3E-3</v>
      </c>
      <c r="K2894">
        <v>3.2000000000000002E-3</v>
      </c>
      <c r="L2894">
        <v>3.2000000000000002E-3</v>
      </c>
      <c r="M2894">
        <v>3.0999999999999999E-3</v>
      </c>
      <c r="N2894">
        <v>3.0000000000000001E-3</v>
      </c>
      <c r="O2894">
        <v>3.0000000000000001E-3</v>
      </c>
      <c r="P2894">
        <v>2.8999999999999998E-3</v>
      </c>
      <c r="Q2894">
        <v>2.8E-3</v>
      </c>
      <c r="R2894">
        <v>2.8E-3</v>
      </c>
      <c r="S2894">
        <v>2.7000000000000001E-3</v>
      </c>
      <c r="T2894">
        <v>2.7000000000000001E-3</v>
      </c>
      <c r="U2894">
        <v>2.5999999999999999E-3</v>
      </c>
      <c r="V2894">
        <v>2.5000000000000001E-3</v>
      </c>
      <c r="W2894">
        <v>2.5000000000000001E-3</v>
      </c>
      <c r="X2894">
        <v>2.3999999999999998E-3</v>
      </c>
      <c r="Y2894">
        <v>2.3999999999999998E-3</v>
      </c>
    </row>
    <row r="2895" spans="1:25" hidden="1">
      <c r="A2895" t="s">
        <v>18812</v>
      </c>
      <c r="B2895" t="s">
        <v>700</v>
      </c>
      <c r="C2895" t="s">
        <v>664</v>
      </c>
      <c r="D2895" t="s">
        <v>701</v>
      </c>
      <c r="E2895" t="s">
        <v>672</v>
      </c>
      <c r="F2895" t="s">
        <v>598</v>
      </c>
      <c r="G2895" t="s">
        <v>599</v>
      </c>
      <c r="H2895" t="s">
        <v>600</v>
      </c>
      <c r="I2895" t="s">
        <v>601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hidden="1">
      <c r="A2896" t="s">
        <v>18812</v>
      </c>
      <c r="B2896" t="s">
        <v>702</v>
      </c>
      <c r="C2896" t="s">
        <v>664</v>
      </c>
      <c r="D2896" t="s">
        <v>701</v>
      </c>
      <c r="E2896" t="s">
        <v>597</v>
      </c>
      <c r="F2896" t="s">
        <v>598</v>
      </c>
      <c r="G2896" t="s">
        <v>599</v>
      </c>
      <c r="H2896" t="s">
        <v>600</v>
      </c>
      <c r="I2896" t="s">
        <v>601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hidden="1">
      <c r="A2897" t="s">
        <v>18812</v>
      </c>
      <c r="B2897" t="s">
        <v>703</v>
      </c>
      <c r="C2897" t="s">
        <v>664</v>
      </c>
      <c r="D2897" t="s">
        <v>704</v>
      </c>
      <c r="E2897" t="s">
        <v>672</v>
      </c>
      <c r="F2897" t="s">
        <v>598</v>
      </c>
      <c r="G2897" t="s">
        <v>599</v>
      </c>
      <c r="H2897" t="s">
        <v>600</v>
      </c>
      <c r="I2897" t="s">
        <v>601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hidden="1">
      <c r="A2898" t="s">
        <v>18812</v>
      </c>
      <c r="B2898" t="s">
        <v>705</v>
      </c>
      <c r="C2898" t="s">
        <v>664</v>
      </c>
      <c r="D2898" t="s">
        <v>704</v>
      </c>
      <c r="E2898" t="s">
        <v>597</v>
      </c>
      <c r="F2898" t="s">
        <v>598</v>
      </c>
      <c r="G2898" t="s">
        <v>599</v>
      </c>
      <c r="H2898" t="s">
        <v>600</v>
      </c>
      <c r="I2898" t="s">
        <v>601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5" hidden="1">
      <c r="A2899" t="s">
        <v>18812</v>
      </c>
      <c r="B2899" t="s">
        <v>706</v>
      </c>
      <c r="C2899" t="s">
        <v>664</v>
      </c>
      <c r="D2899" t="s">
        <v>648</v>
      </c>
      <c r="E2899" t="s">
        <v>649</v>
      </c>
      <c r="F2899" t="s">
        <v>598</v>
      </c>
      <c r="G2899" t="s">
        <v>599</v>
      </c>
      <c r="H2899" t="s">
        <v>600</v>
      </c>
      <c r="I2899" t="s">
        <v>601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hidden="1">
      <c r="A2900" t="s">
        <v>18812</v>
      </c>
      <c r="B2900" t="s">
        <v>709</v>
      </c>
      <c r="C2900" t="s">
        <v>710</v>
      </c>
      <c r="D2900" t="s">
        <v>596</v>
      </c>
      <c r="E2900" t="s">
        <v>597</v>
      </c>
      <c r="F2900" t="s">
        <v>598</v>
      </c>
      <c r="G2900" t="s">
        <v>599</v>
      </c>
      <c r="H2900" t="s">
        <v>600</v>
      </c>
      <c r="I2900" t="s">
        <v>601</v>
      </c>
      <c r="J2900">
        <v>5.9999999999999995E-4</v>
      </c>
      <c r="K2900">
        <v>5.9999999999999995E-4</v>
      </c>
      <c r="L2900">
        <v>5.9999999999999995E-4</v>
      </c>
      <c r="M2900">
        <v>5.9999999999999995E-4</v>
      </c>
      <c r="N2900">
        <v>5.9999999999999995E-4</v>
      </c>
      <c r="O2900">
        <v>5.0000000000000001E-4</v>
      </c>
      <c r="P2900">
        <v>5.0000000000000001E-4</v>
      </c>
      <c r="Q2900">
        <v>5.0000000000000001E-4</v>
      </c>
      <c r="R2900">
        <v>5.0000000000000001E-4</v>
      </c>
      <c r="S2900">
        <v>5.0000000000000001E-4</v>
      </c>
      <c r="T2900">
        <v>5.0000000000000001E-4</v>
      </c>
      <c r="U2900">
        <v>5.0000000000000001E-4</v>
      </c>
      <c r="V2900">
        <v>5.0000000000000001E-4</v>
      </c>
      <c r="W2900">
        <v>5.0000000000000001E-4</v>
      </c>
      <c r="X2900">
        <v>5.0000000000000001E-4</v>
      </c>
      <c r="Y2900">
        <v>5.0000000000000001E-4</v>
      </c>
    </row>
    <row r="2901" spans="1:25" hidden="1">
      <c r="A2901" t="s">
        <v>18812</v>
      </c>
      <c r="B2901" t="s">
        <v>711</v>
      </c>
      <c r="C2901" t="s">
        <v>710</v>
      </c>
      <c r="D2901" t="s">
        <v>596</v>
      </c>
      <c r="E2901" t="s">
        <v>605</v>
      </c>
      <c r="F2901" t="s">
        <v>598</v>
      </c>
      <c r="G2901" t="s">
        <v>599</v>
      </c>
      <c r="H2901" t="s">
        <v>600</v>
      </c>
      <c r="I2901" t="s">
        <v>601</v>
      </c>
      <c r="J2901">
        <v>2.1399999999999999E-2</v>
      </c>
      <c r="K2901">
        <v>2.1399999999999999E-2</v>
      </c>
      <c r="L2901">
        <v>2.1399999999999999E-2</v>
      </c>
      <c r="M2901">
        <v>2.1399999999999999E-2</v>
      </c>
      <c r="N2901">
        <v>2.1399999999999999E-2</v>
      </c>
      <c r="O2901">
        <v>2.1399999999999999E-2</v>
      </c>
      <c r="P2901">
        <v>2.1399999999999999E-2</v>
      </c>
      <c r="Q2901">
        <v>2.1399999999999999E-2</v>
      </c>
      <c r="R2901">
        <v>2.1399999999999999E-2</v>
      </c>
      <c r="S2901">
        <v>2.1399999999999999E-2</v>
      </c>
      <c r="T2901">
        <v>2.1399999999999999E-2</v>
      </c>
      <c r="U2901">
        <v>2.1399999999999999E-2</v>
      </c>
      <c r="V2901">
        <v>2.1399999999999999E-2</v>
      </c>
      <c r="W2901">
        <v>2.1399999999999999E-2</v>
      </c>
      <c r="X2901">
        <v>2.1399999999999999E-2</v>
      </c>
      <c r="Y2901">
        <v>2.1399999999999999E-2</v>
      </c>
    </row>
    <row r="2902" spans="1:25" hidden="1">
      <c r="A2902" t="s">
        <v>18812</v>
      </c>
      <c r="B2902" t="s">
        <v>715</v>
      </c>
      <c r="C2902" t="s">
        <v>710</v>
      </c>
      <c r="D2902" t="s">
        <v>671</v>
      </c>
      <c r="E2902" t="s">
        <v>597</v>
      </c>
      <c r="F2902" t="s">
        <v>598</v>
      </c>
      <c r="G2902" t="s">
        <v>599</v>
      </c>
      <c r="H2902" t="s">
        <v>600</v>
      </c>
      <c r="I2902" t="s">
        <v>601</v>
      </c>
      <c r="J2902">
        <v>5.9999999999999995E-4</v>
      </c>
      <c r="K2902">
        <v>5.9999999999999995E-4</v>
      </c>
      <c r="L2902">
        <v>5.9999999999999995E-4</v>
      </c>
      <c r="M2902">
        <v>5.9999999999999995E-4</v>
      </c>
      <c r="N2902">
        <v>5.9999999999999995E-4</v>
      </c>
      <c r="O2902">
        <v>5.9999999999999995E-4</v>
      </c>
      <c r="P2902">
        <v>5.9999999999999995E-4</v>
      </c>
      <c r="Q2902">
        <v>5.9999999999999995E-4</v>
      </c>
      <c r="R2902">
        <v>5.9999999999999995E-4</v>
      </c>
      <c r="S2902">
        <v>5.9999999999999995E-4</v>
      </c>
      <c r="T2902">
        <v>5.9999999999999995E-4</v>
      </c>
      <c r="U2902">
        <v>5.9999999999999995E-4</v>
      </c>
      <c r="V2902">
        <v>5.9999999999999995E-4</v>
      </c>
      <c r="W2902">
        <v>5.9999999999999995E-4</v>
      </c>
      <c r="X2902">
        <v>5.9999999999999995E-4</v>
      </c>
      <c r="Y2902">
        <v>5.9999999999999995E-4</v>
      </c>
    </row>
    <row r="2903" spans="1:25" hidden="1">
      <c r="A2903" t="s">
        <v>18812</v>
      </c>
      <c r="B2903" t="s">
        <v>716</v>
      </c>
      <c r="C2903" t="s">
        <v>710</v>
      </c>
      <c r="D2903" t="s">
        <v>671</v>
      </c>
      <c r="E2903" t="s">
        <v>605</v>
      </c>
      <c r="F2903" t="s">
        <v>598</v>
      </c>
      <c r="G2903" t="s">
        <v>599</v>
      </c>
      <c r="H2903" t="s">
        <v>600</v>
      </c>
      <c r="I2903" t="s">
        <v>601</v>
      </c>
      <c r="J2903">
        <v>4.6899999999999997E-2</v>
      </c>
      <c r="K2903">
        <v>4.6899999999999997E-2</v>
      </c>
      <c r="L2903">
        <v>4.6899999999999997E-2</v>
      </c>
      <c r="M2903">
        <v>4.6899999999999997E-2</v>
      </c>
      <c r="N2903">
        <v>4.6899999999999997E-2</v>
      </c>
      <c r="O2903">
        <v>4.6899999999999997E-2</v>
      </c>
      <c r="P2903">
        <v>4.6899999999999997E-2</v>
      </c>
      <c r="Q2903">
        <v>4.6899999999999997E-2</v>
      </c>
      <c r="R2903">
        <v>4.6899999999999997E-2</v>
      </c>
      <c r="S2903">
        <v>4.6899999999999997E-2</v>
      </c>
      <c r="T2903">
        <v>4.6899999999999997E-2</v>
      </c>
      <c r="U2903">
        <v>4.6899999999999997E-2</v>
      </c>
      <c r="V2903">
        <v>4.6899999999999997E-2</v>
      </c>
      <c r="W2903">
        <v>4.6899999999999997E-2</v>
      </c>
      <c r="X2903">
        <v>4.6899999999999997E-2</v>
      </c>
      <c r="Y2903">
        <v>4.6899999999999997E-2</v>
      </c>
    </row>
    <row r="2904" spans="1:25" hidden="1">
      <c r="A2904" t="s">
        <v>18812</v>
      </c>
      <c r="B2904" t="s">
        <v>728</v>
      </c>
      <c r="C2904" t="s">
        <v>729</v>
      </c>
      <c r="D2904" t="s">
        <v>596</v>
      </c>
      <c r="E2904" t="s">
        <v>597</v>
      </c>
      <c r="F2904" t="s">
        <v>598</v>
      </c>
      <c r="G2904" t="s">
        <v>599</v>
      </c>
      <c r="H2904" t="s">
        <v>600</v>
      </c>
      <c r="I2904" t="s">
        <v>601</v>
      </c>
      <c r="J2904">
        <v>1.9599999999999999E-2</v>
      </c>
      <c r="K2904">
        <v>1.9900000000000001E-2</v>
      </c>
      <c r="L2904">
        <v>2.07E-2</v>
      </c>
      <c r="M2904">
        <v>2.1600000000000001E-2</v>
      </c>
      <c r="N2904">
        <v>2.24E-2</v>
      </c>
      <c r="O2904">
        <v>2.3300000000000001E-2</v>
      </c>
      <c r="P2904">
        <v>2.4299999999999999E-2</v>
      </c>
      <c r="Q2904">
        <v>2.52E-2</v>
      </c>
      <c r="R2904">
        <v>2.53E-2</v>
      </c>
      <c r="S2904">
        <v>2.5600000000000001E-2</v>
      </c>
      <c r="T2904">
        <v>2.58E-2</v>
      </c>
      <c r="U2904">
        <v>2.6100000000000002E-2</v>
      </c>
      <c r="V2904">
        <v>2.64E-2</v>
      </c>
      <c r="W2904">
        <v>2.6700000000000002E-2</v>
      </c>
      <c r="X2904">
        <v>2.7099999999999999E-2</v>
      </c>
      <c r="Y2904">
        <v>2.7400000000000001E-2</v>
      </c>
    </row>
    <row r="2905" spans="1:25" hidden="1">
      <c r="A2905" t="s">
        <v>18812</v>
      </c>
      <c r="B2905" t="s">
        <v>745</v>
      </c>
      <c r="C2905" t="s">
        <v>729</v>
      </c>
      <c r="D2905" t="s">
        <v>671</v>
      </c>
      <c r="E2905" t="s">
        <v>597</v>
      </c>
      <c r="F2905" t="s">
        <v>598</v>
      </c>
      <c r="G2905" t="s">
        <v>599</v>
      </c>
      <c r="H2905" t="s">
        <v>600</v>
      </c>
      <c r="I2905" t="s">
        <v>601</v>
      </c>
      <c r="J2905">
        <v>1E-3</v>
      </c>
      <c r="K2905">
        <v>1E-3</v>
      </c>
      <c r="L2905">
        <v>1E-3</v>
      </c>
      <c r="M2905">
        <v>1E-3</v>
      </c>
      <c r="N2905">
        <v>1E-3</v>
      </c>
      <c r="O2905">
        <v>1E-3</v>
      </c>
      <c r="P2905">
        <v>1E-3</v>
      </c>
      <c r="Q2905">
        <v>1E-3</v>
      </c>
      <c r="R2905">
        <v>1E-3</v>
      </c>
      <c r="S2905">
        <v>1E-3</v>
      </c>
      <c r="T2905">
        <v>1E-3</v>
      </c>
      <c r="U2905">
        <v>1E-3</v>
      </c>
      <c r="V2905">
        <v>1E-3</v>
      </c>
      <c r="W2905">
        <v>1E-3</v>
      </c>
      <c r="X2905">
        <v>1E-3</v>
      </c>
      <c r="Y2905">
        <v>1E-3</v>
      </c>
    </row>
    <row r="2906" spans="1:25" hidden="1">
      <c r="A2906" t="s">
        <v>18812</v>
      </c>
      <c r="B2906" t="s">
        <v>746</v>
      </c>
      <c r="C2906" t="s">
        <v>729</v>
      </c>
      <c r="D2906" t="s">
        <v>671</v>
      </c>
      <c r="E2906" t="s">
        <v>642</v>
      </c>
      <c r="F2906" t="s">
        <v>598</v>
      </c>
      <c r="G2906" t="s">
        <v>599</v>
      </c>
      <c r="H2906" t="s">
        <v>600</v>
      </c>
      <c r="I2906" t="s">
        <v>601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hidden="1">
      <c r="A2907" t="s">
        <v>18812</v>
      </c>
      <c r="B2907" t="s">
        <v>749</v>
      </c>
      <c r="C2907" t="s">
        <v>729</v>
      </c>
      <c r="D2907" t="s">
        <v>671</v>
      </c>
      <c r="E2907" t="s">
        <v>750</v>
      </c>
      <c r="F2907" t="s">
        <v>598</v>
      </c>
      <c r="G2907" t="s">
        <v>599</v>
      </c>
      <c r="H2907" t="s">
        <v>600</v>
      </c>
      <c r="I2907" t="s">
        <v>601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 hidden="1">
      <c r="A2908" t="s">
        <v>18812</v>
      </c>
      <c r="B2908" t="s">
        <v>761</v>
      </c>
      <c r="C2908" t="s">
        <v>729</v>
      </c>
      <c r="D2908" t="s">
        <v>621</v>
      </c>
      <c r="E2908" t="s">
        <v>597</v>
      </c>
      <c r="F2908" t="s">
        <v>598</v>
      </c>
      <c r="G2908" t="s">
        <v>599</v>
      </c>
      <c r="H2908" t="s">
        <v>600</v>
      </c>
      <c r="I2908" t="s">
        <v>601</v>
      </c>
      <c r="J2908">
        <v>2.9999999999999997E-4</v>
      </c>
      <c r="K2908">
        <v>2.9999999999999997E-4</v>
      </c>
      <c r="L2908">
        <v>2.9999999999999997E-4</v>
      </c>
      <c r="M2908">
        <v>2.9999999999999997E-4</v>
      </c>
      <c r="N2908">
        <v>2.9999999999999997E-4</v>
      </c>
      <c r="O2908">
        <v>2.9999999999999997E-4</v>
      </c>
      <c r="P2908">
        <v>2.9999999999999997E-4</v>
      </c>
      <c r="Q2908">
        <v>2.0000000000000001E-4</v>
      </c>
      <c r="R2908">
        <v>2.0000000000000001E-4</v>
      </c>
      <c r="S2908">
        <v>2.0000000000000001E-4</v>
      </c>
      <c r="T2908">
        <v>2.0000000000000001E-4</v>
      </c>
      <c r="U2908">
        <v>2.0000000000000001E-4</v>
      </c>
      <c r="V2908">
        <v>2.0000000000000001E-4</v>
      </c>
      <c r="W2908">
        <v>2.9999999999999997E-4</v>
      </c>
      <c r="X2908">
        <v>2.9999999999999997E-4</v>
      </c>
      <c r="Y2908">
        <v>2.9999999999999997E-4</v>
      </c>
    </row>
    <row r="2909" spans="1:25" hidden="1">
      <c r="A2909" t="s">
        <v>18812</v>
      </c>
      <c r="B2909" t="s">
        <v>769</v>
      </c>
      <c r="C2909" t="s">
        <v>729</v>
      </c>
      <c r="D2909" t="s">
        <v>621</v>
      </c>
      <c r="E2909" t="s">
        <v>626</v>
      </c>
      <c r="F2909" t="s">
        <v>598</v>
      </c>
      <c r="G2909" t="s">
        <v>599</v>
      </c>
      <c r="H2909" t="s">
        <v>600</v>
      </c>
      <c r="I2909" t="s">
        <v>601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hidden="1">
      <c r="A2910" t="s">
        <v>18812</v>
      </c>
      <c r="B2910" t="s">
        <v>770</v>
      </c>
      <c r="C2910" t="s">
        <v>729</v>
      </c>
      <c r="D2910" t="s">
        <v>621</v>
      </c>
      <c r="E2910" t="s">
        <v>628</v>
      </c>
      <c r="F2910" t="s">
        <v>598</v>
      </c>
      <c r="G2910" t="s">
        <v>599</v>
      </c>
      <c r="H2910" t="s">
        <v>600</v>
      </c>
      <c r="I2910" t="s">
        <v>601</v>
      </c>
      <c r="J2910">
        <v>3.5000000000000001E-3</v>
      </c>
      <c r="K2910">
        <v>3.3999999999999998E-3</v>
      </c>
      <c r="L2910">
        <v>3.5000000000000001E-3</v>
      </c>
      <c r="M2910">
        <v>3.5000000000000001E-3</v>
      </c>
      <c r="N2910">
        <v>3.5000000000000001E-3</v>
      </c>
      <c r="O2910">
        <v>3.5000000000000001E-3</v>
      </c>
      <c r="P2910">
        <v>3.5999999999999999E-3</v>
      </c>
      <c r="Q2910">
        <v>3.5999999999999999E-3</v>
      </c>
      <c r="R2910">
        <v>3.5999999999999999E-3</v>
      </c>
      <c r="S2910">
        <v>3.5999999999999999E-3</v>
      </c>
      <c r="T2910">
        <v>3.7000000000000002E-3</v>
      </c>
      <c r="U2910">
        <v>3.8E-3</v>
      </c>
      <c r="V2910">
        <v>3.8E-3</v>
      </c>
      <c r="W2910">
        <v>3.8E-3</v>
      </c>
      <c r="X2910">
        <v>3.7000000000000002E-3</v>
      </c>
      <c r="Y2910">
        <v>3.7000000000000002E-3</v>
      </c>
    </row>
    <row r="2911" spans="1:25" hidden="1">
      <c r="A2911" t="s">
        <v>18812</v>
      </c>
      <c r="B2911" t="s">
        <v>771</v>
      </c>
      <c r="C2911" t="s">
        <v>729</v>
      </c>
      <c r="D2911" t="s">
        <v>621</v>
      </c>
      <c r="E2911" t="s">
        <v>692</v>
      </c>
      <c r="F2911" t="s">
        <v>598</v>
      </c>
      <c r="G2911" t="s">
        <v>599</v>
      </c>
      <c r="H2911" t="s">
        <v>600</v>
      </c>
      <c r="I2911" t="s">
        <v>601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</row>
    <row r="2912" spans="1:25" hidden="1">
      <c r="A2912" t="s">
        <v>18812</v>
      </c>
      <c r="B2912" t="s">
        <v>778</v>
      </c>
      <c r="C2912" t="s">
        <v>729</v>
      </c>
      <c r="D2912" t="s">
        <v>632</v>
      </c>
      <c r="E2912" t="s">
        <v>628</v>
      </c>
      <c r="F2912" t="s">
        <v>598</v>
      </c>
      <c r="G2912" t="s">
        <v>599</v>
      </c>
      <c r="H2912" t="s">
        <v>600</v>
      </c>
      <c r="I2912" t="s">
        <v>601</v>
      </c>
      <c r="J2912">
        <v>1E-4</v>
      </c>
      <c r="K2912">
        <v>1E-4</v>
      </c>
      <c r="L2912">
        <v>1E-4</v>
      </c>
      <c r="M2912">
        <v>1E-4</v>
      </c>
      <c r="N2912">
        <v>1E-4</v>
      </c>
      <c r="O2912">
        <v>1E-4</v>
      </c>
      <c r="P2912">
        <v>1E-4</v>
      </c>
      <c r="Q2912">
        <v>1E-4</v>
      </c>
      <c r="R2912">
        <v>1E-4</v>
      </c>
      <c r="S2912">
        <v>1E-4</v>
      </c>
      <c r="T2912">
        <v>1E-4</v>
      </c>
      <c r="U2912">
        <v>1E-4</v>
      </c>
      <c r="V2912">
        <v>1E-4</v>
      </c>
      <c r="W2912">
        <v>1E-4</v>
      </c>
      <c r="X2912">
        <v>1E-4</v>
      </c>
      <c r="Y2912">
        <v>1E-4</v>
      </c>
    </row>
    <row r="2913" spans="1:25" hidden="1">
      <c r="A2913" t="s">
        <v>18812</v>
      </c>
      <c r="B2913" t="s">
        <v>785</v>
      </c>
      <c r="C2913" t="s">
        <v>729</v>
      </c>
      <c r="D2913" t="s">
        <v>640</v>
      </c>
      <c r="E2913" t="s">
        <v>597</v>
      </c>
      <c r="F2913" t="s">
        <v>598</v>
      </c>
      <c r="G2913" t="s">
        <v>599</v>
      </c>
      <c r="H2913" t="s">
        <v>600</v>
      </c>
      <c r="I2913" t="s">
        <v>601</v>
      </c>
      <c r="J2913">
        <v>8.0999999999999996E-3</v>
      </c>
      <c r="K2913">
        <v>8.5000000000000006E-3</v>
      </c>
      <c r="L2913">
        <v>8.8000000000000005E-3</v>
      </c>
      <c r="M2913">
        <v>9.1999999999999998E-3</v>
      </c>
      <c r="N2913">
        <v>9.5999999999999992E-3</v>
      </c>
      <c r="O2913">
        <v>1.01E-2</v>
      </c>
      <c r="P2913">
        <v>1.03E-2</v>
      </c>
      <c r="Q2913">
        <v>1.06E-2</v>
      </c>
      <c r="R2913">
        <v>1.06E-2</v>
      </c>
      <c r="S2913">
        <v>1.0800000000000001E-2</v>
      </c>
      <c r="T2913">
        <v>1.09E-2</v>
      </c>
      <c r="U2913">
        <v>1.09E-2</v>
      </c>
      <c r="V2913">
        <v>1.0999999999999999E-2</v>
      </c>
      <c r="W2913">
        <v>1.12E-2</v>
      </c>
      <c r="X2913">
        <v>1.12E-2</v>
      </c>
      <c r="Y2913">
        <v>1.1299999999999999E-2</v>
      </c>
    </row>
    <row r="2914" spans="1:25" hidden="1">
      <c r="A2914" t="s">
        <v>18812</v>
      </c>
      <c r="B2914" t="s">
        <v>787</v>
      </c>
      <c r="C2914" t="s">
        <v>729</v>
      </c>
      <c r="D2914" t="s">
        <v>640</v>
      </c>
      <c r="E2914" t="s">
        <v>605</v>
      </c>
      <c r="F2914" t="s">
        <v>598</v>
      </c>
      <c r="G2914" t="s">
        <v>599</v>
      </c>
      <c r="H2914" t="s">
        <v>600</v>
      </c>
      <c r="I2914" t="s">
        <v>601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 hidden="1">
      <c r="A2915" t="s">
        <v>18812</v>
      </c>
      <c r="B2915" t="s">
        <v>795</v>
      </c>
      <c r="C2915" t="s">
        <v>729</v>
      </c>
      <c r="D2915" t="s">
        <v>648</v>
      </c>
      <c r="E2915" t="s">
        <v>597</v>
      </c>
      <c r="F2915" t="s">
        <v>598</v>
      </c>
      <c r="G2915" t="s">
        <v>599</v>
      </c>
      <c r="H2915" t="s">
        <v>600</v>
      </c>
      <c r="I2915" t="s">
        <v>601</v>
      </c>
      <c r="J2915">
        <v>5.5999999999999999E-3</v>
      </c>
      <c r="K2915">
        <v>5.4999999999999997E-3</v>
      </c>
      <c r="L2915">
        <v>5.4000000000000003E-3</v>
      </c>
      <c r="M2915">
        <v>5.4000000000000003E-3</v>
      </c>
      <c r="N2915">
        <v>5.3E-3</v>
      </c>
      <c r="O2915">
        <v>5.3E-3</v>
      </c>
      <c r="P2915">
        <v>5.1999999999999998E-3</v>
      </c>
      <c r="Q2915">
        <v>5.1000000000000004E-3</v>
      </c>
      <c r="R2915">
        <v>5.1000000000000004E-3</v>
      </c>
      <c r="S2915">
        <v>5.0000000000000001E-3</v>
      </c>
      <c r="T2915">
        <v>5.0000000000000001E-3</v>
      </c>
      <c r="U2915">
        <v>4.8999999999999998E-3</v>
      </c>
      <c r="V2915">
        <v>4.8999999999999998E-3</v>
      </c>
      <c r="W2915">
        <v>4.8999999999999998E-3</v>
      </c>
      <c r="X2915">
        <v>5.0000000000000001E-3</v>
      </c>
      <c r="Y2915">
        <v>5.0000000000000001E-3</v>
      </c>
    </row>
    <row r="2916" spans="1:25" hidden="1">
      <c r="A2916" t="s">
        <v>18812</v>
      </c>
      <c r="B2916" t="s">
        <v>796</v>
      </c>
      <c r="C2916" t="s">
        <v>729</v>
      </c>
      <c r="D2916" t="s">
        <v>648</v>
      </c>
      <c r="E2916" t="s">
        <v>642</v>
      </c>
      <c r="F2916" t="s">
        <v>598</v>
      </c>
      <c r="G2916" t="s">
        <v>599</v>
      </c>
      <c r="H2916" t="s">
        <v>600</v>
      </c>
      <c r="I2916" t="s">
        <v>601</v>
      </c>
      <c r="J2916">
        <v>3.2000000000000002E-3</v>
      </c>
      <c r="K2916">
        <v>3.2000000000000002E-3</v>
      </c>
      <c r="L2916">
        <v>3.2000000000000002E-3</v>
      </c>
      <c r="M2916">
        <v>3.2000000000000002E-3</v>
      </c>
      <c r="N2916">
        <v>3.2000000000000002E-3</v>
      </c>
      <c r="O2916">
        <v>3.2000000000000002E-3</v>
      </c>
      <c r="P2916">
        <v>3.2000000000000002E-3</v>
      </c>
      <c r="Q2916">
        <v>3.2000000000000002E-3</v>
      </c>
      <c r="R2916">
        <v>3.2000000000000002E-3</v>
      </c>
      <c r="S2916">
        <v>3.2000000000000002E-3</v>
      </c>
      <c r="T2916">
        <v>3.2000000000000002E-3</v>
      </c>
      <c r="U2916">
        <v>3.2000000000000002E-3</v>
      </c>
      <c r="V2916">
        <v>3.2000000000000002E-3</v>
      </c>
      <c r="W2916">
        <v>3.2000000000000002E-3</v>
      </c>
      <c r="X2916">
        <v>3.2000000000000002E-3</v>
      </c>
      <c r="Y2916">
        <v>3.2000000000000002E-3</v>
      </c>
    </row>
    <row r="2917" spans="1:25" hidden="1">
      <c r="A2917" t="s">
        <v>18812</v>
      </c>
      <c r="B2917" t="s">
        <v>801</v>
      </c>
      <c r="C2917" t="s">
        <v>729</v>
      </c>
      <c r="D2917" t="s">
        <v>648</v>
      </c>
      <c r="E2917" t="s">
        <v>619</v>
      </c>
      <c r="F2917" t="s">
        <v>598</v>
      </c>
      <c r="G2917" t="s">
        <v>599</v>
      </c>
      <c r="H2917" t="s">
        <v>600</v>
      </c>
      <c r="I2917" t="s">
        <v>601</v>
      </c>
      <c r="J2917">
        <v>2E-3</v>
      </c>
      <c r="K2917">
        <v>2.3E-3</v>
      </c>
      <c r="L2917">
        <v>2.3E-3</v>
      </c>
      <c r="M2917">
        <v>2.3E-3</v>
      </c>
      <c r="N2917">
        <v>2.3E-3</v>
      </c>
      <c r="O2917">
        <v>2.3E-3</v>
      </c>
      <c r="P2917">
        <v>2.3E-3</v>
      </c>
      <c r="Q2917">
        <v>2.3E-3</v>
      </c>
      <c r="R2917">
        <v>2.3E-3</v>
      </c>
      <c r="S2917">
        <v>2.3E-3</v>
      </c>
      <c r="T2917">
        <v>2.3E-3</v>
      </c>
      <c r="U2917">
        <v>2.3E-3</v>
      </c>
      <c r="V2917">
        <v>2.3E-3</v>
      </c>
      <c r="W2917">
        <v>2E-3</v>
      </c>
      <c r="X2917">
        <v>2E-3</v>
      </c>
      <c r="Y2917">
        <v>2E-3</v>
      </c>
    </row>
    <row r="2918" spans="1:25" hidden="1">
      <c r="A2918" t="s">
        <v>18812</v>
      </c>
      <c r="B2918" t="s">
        <v>802</v>
      </c>
      <c r="C2918" t="s">
        <v>729</v>
      </c>
      <c r="D2918" t="s">
        <v>648</v>
      </c>
      <c r="E2918" t="s">
        <v>676</v>
      </c>
      <c r="F2918" t="s">
        <v>598</v>
      </c>
      <c r="G2918" t="s">
        <v>599</v>
      </c>
      <c r="H2918" t="s">
        <v>600</v>
      </c>
      <c r="I2918" t="s">
        <v>601</v>
      </c>
      <c r="J2918">
        <v>1E-4</v>
      </c>
      <c r="K2918">
        <v>1E-4</v>
      </c>
      <c r="L2918">
        <v>1E-4</v>
      </c>
      <c r="M2918">
        <v>1E-4</v>
      </c>
      <c r="N2918">
        <v>1E-4</v>
      </c>
      <c r="O2918">
        <v>1E-4</v>
      </c>
      <c r="P2918">
        <v>1E-4</v>
      </c>
      <c r="Q2918">
        <v>1E-4</v>
      </c>
      <c r="R2918">
        <v>1E-4</v>
      </c>
      <c r="S2918">
        <v>1E-4</v>
      </c>
      <c r="T2918">
        <v>1E-4</v>
      </c>
      <c r="U2918">
        <v>1E-4</v>
      </c>
      <c r="V2918">
        <v>1E-4</v>
      </c>
      <c r="W2918">
        <v>1E-4</v>
      </c>
      <c r="X2918">
        <v>1E-4</v>
      </c>
      <c r="Y2918">
        <v>1E-4</v>
      </c>
    </row>
    <row r="2919" spans="1:25" hidden="1">
      <c r="A2919" t="s">
        <v>18812</v>
      </c>
      <c r="B2919" t="s">
        <v>803</v>
      </c>
      <c r="C2919" t="s">
        <v>804</v>
      </c>
      <c r="D2919" t="s">
        <v>596</v>
      </c>
      <c r="E2919" t="s">
        <v>597</v>
      </c>
      <c r="F2919" t="s">
        <v>598</v>
      </c>
      <c r="G2919" t="s">
        <v>599</v>
      </c>
      <c r="H2919" t="s">
        <v>600</v>
      </c>
      <c r="I2919" t="s">
        <v>601</v>
      </c>
      <c r="J2919">
        <v>5.1000000000000004E-3</v>
      </c>
      <c r="K2919">
        <v>5.4000000000000003E-3</v>
      </c>
      <c r="L2919">
        <v>5.4999999999999997E-3</v>
      </c>
      <c r="M2919">
        <v>5.7000000000000002E-3</v>
      </c>
      <c r="N2919">
        <v>5.7999999999999996E-3</v>
      </c>
      <c r="O2919">
        <v>5.8999999999999999E-3</v>
      </c>
      <c r="P2919">
        <v>6.1000000000000004E-3</v>
      </c>
      <c r="Q2919">
        <v>6.1999999999999998E-3</v>
      </c>
      <c r="R2919">
        <v>6.1999999999999998E-3</v>
      </c>
      <c r="S2919">
        <v>6.1999999999999998E-3</v>
      </c>
      <c r="T2919">
        <v>6.3E-3</v>
      </c>
      <c r="U2919">
        <v>6.4000000000000003E-3</v>
      </c>
      <c r="V2919">
        <v>6.4000000000000003E-3</v>
      </c>
      <c r="W2919">
        <v>6.4000000000000003E-3</v>
      </c>
      <c r="X2919">
        <v>6.4000000000000003E-3</v>
      </c>
      <c r="Y2919">
        <v>6.4999999999999997E-3</v>
      </c>
    </row>
    <row r="2920" spans="1:25" hidden="1">
      <c r="A2920" t="s">
        <v>18812</v>
      </c>
      <c r="B2920" t="s">
        <v>820</v>
      </c>
      <c r="C2920" t="s">
        <v>804</v>
      </c>
      <c r="D2920" t="s">
        <v>621</v>
      </c>
      <c r="E2920" t="s">
        <v>597</v>
      </c>
      <c r="F2920" t="s">
        <v>598</v>
      </c>
      <c r="G2920" t="s">
        <v>599</v>
      </c>
      <c r="H2920" t="s">
        <v>600</v>
      </c>
      <c r="I2920" t="s">
        <v>601</v>
      </c>
      <c r="J2920">
        <v>2.0000000000000001E-4</v>
      </c>
      <c r="K2920">
        <v>2.0000000000000001E-4</v>
      </c>
      <c r="L2920">
        <v>2.0000000000000001E-4</v>
      </c>
      <c r="M2920">
        <v>2.0000000000000001E-4</v>
      </c>
      <c r="N2920">
        <v>2.0000000000000001E-4</v>
      </c>
      <c r="O2920">
        <v>2.0000000000000001E-4</v>
      </c>
      <c r="P2920">
        <v>2.0000000000000001E-4</v>
      </c>
      <c r="Q2920">
        <v>2.0000000000000001E-4</v>
      </c>
      <c r="R2920">
        <v>2.0000000000000001E-4</v>
      </c>
      <c r="S2920">
        <v>2.0000000000000001E-4</v>
      </c>
      <c r="T2920">
        <v>2.0000000000000001E-4</v>
      </c>
      <c r="U2920">
        <v>2.0000000000000001E-4</v>
      </c>
      <c r="V2920">
        <v>2.0000000000000001E-4</v>
      </c>
      <c r="W2920">
        <v>2.0000000000000001E-4</v>
      </c>
      <c r="X2920">
        <v>2.0000000000000001E-4</v>
      </c>
      <c r="Y2920">
        <v>2.9999999999999997E-4</v>
      </c>
    </row>
    <row r="2921" spans="1:25" hidden="1">
      <c r="A2921" t="s">
        <v>18812</v>
      </c>
      <c r="B2921" t="s">
        <v>825</v>
      </c>
      <c r="C2921" t="s">
        <v>804</v>
      </c>
      <c r="D2921" t="s">
        <v>621</v>
      </c>
      <c r="E2921" t="s">
        <v>628</v>
      </c>
      <c r="F2921" t="s">
        <v>598</v>
      </c>
      <c r="G2921" t="s">
        <v>599</v>
      </c>
      <c r="H2921" t="s">
        <v>600</v>
      </c>
      <c r="I2921" t="s">
        <v>601</v>
      </c>
      <c r="J2921">
        <v>1.8700000000000001E-2</v>
      </c>
      <c r="K2921">
        <v>1.89E-2</v>
      </c>
      <c r="L2921">
        <v>1.89E-2</v>
      </c>
      <c r="M2921">
        <v>1.9E-2</v>
      </c>
      <c r="N2921">
        <v>1.9199999999999998E-2</v>
      </c>
      <c r="O2921">
        <v>1.9199999999999998E-2</v>
      </c>
      <c r="P2921">
        <v>1.9300000000000001E-2</v>
      </c>
      <c r="Q2921">
        <v>1.95E-2</v>
      </c>
      <c r="R2921">
        <v>1.95E-2</v>
      </c>
      <c r="S2921">
        <v>1.9599999999999999E-2</v>
      </c>
      <c r="T2921">
        <v>1.9699999999999999E-2</v>
      </c>
      <c r="U2921">
        <v>1.9699999999999999E-2</v>
      </c>
      <c r="V2921">
        <v>1.9800000000000002E-2</v>
      </c>
      <c r="W2921">
        <v>1.9900000000000001E-2</v>
      </c>
      <c r="X2921">
        <v>2.01E-2</v>
      </c>
      <c r="Y2921">
        <v>2.0199999999999999E-2</v>
      </c>
    </row>
    <row r="2922" spans="1:25" hidden="1">
      <c r="A2922" t="s">
        <v>18812</v>
      </c>
      <c r="B2922" t="s">
        <v>827</v>
      </c>
      <c r="C2922" t="s">
        <v>804</v>
      </c>
      <c r="D2922" t="s">
        <v>828</v>
      </c>
      <c r="E2922" t="s">
        <v>597</v>
      </c>
      <c r="F2922" t="s">
        <v>598</v>
      </c>
      <c r="G2922" t="s">
        <v>599</v>
      </c>
      <c r="H2922" t="s">
        <v>600</v>
      </c>
      <c r="I2922" t="s">
        <v>601</v>
      </c>
      <c r="J2922">
        <v>8.8999999999999999E-3</v>
      </c>
      <c r="K2922">
        <v>8.8000000000000005E-3</v>
      </c>
      <c r="L2922">
        <v>8.6999999999999994E-3</v>
      </c>
      <c r="M2922">
        <v>8.8000000000000005E-3</v>
      </c>
      <c r="N2922">
        <v>8.8000000000000005E-3</v>
      </c>
      <c r="O2922">
        <v>8.6999999999999994E-3</v>
      </c>
      <c r="P2922">
        <v>8.6999999999999994E-3</v>
      </c>
      <c r="Q2922">
        <v>8.6999999999999994E-3</v>
      </c>
      <c r="R2922">
        <v>8.5000000000000006E-3</v>
      </c>
      <c r="S2922">
        <v>8.3999999999999995E-3</v>
      </c>
      <c r="T2922">
        <v>8.3999999999999995E-3</v>
      </c>
      <c r="U2922">
        <v>8.3000000000000001E-3</v>
      </c>
      <c r="V2922">
        <v>8.3000000000000001E-3</v>
      </c>
      <c r="W2922">
        <v>8.3000000000000001E-3</v>
      </c>
      <c r="X2922">
        <v>8.2000000000000007E-3</v>
      </c>
      <c r="Y2922">
        <v>8.2000000000000007E-3</v>
      </c>
    </row>
    <row r="2923" spans="1:25" hidden="1">
      <c r="A2923" t="s">
        <v>18812</v>
      </c>
      <c r="B2923" t="s">
        <v>830</v>
      </c>
      <c r="C2923" t="s">
        <v>804</v>
      </c>
      <c r="D2923" t="s">
        <v>828</v>
      </c>
      <c r="E2923" t="s">
        <v>628</v>
      </c>
      <c r="F2923" t="s">
        <v>831</v>
      </c>
      <c r="G2923" t="s">
        <v>599</v>
      </c>
      <c r="H2923" t="s">
        <v>600</v>
      </c>
      <c r="I2923" t="s">
        <v>601</v>
      </c>
      <c r="J2923">
        <v>1.29E-2</v>
      </c>
      <c r="K2923">
        <v>4.1999999999999997E-3</v>
      </c>
      <c r="L2923">
        <v>3.8999999999999998E-3</v>
      </c>
      <c r="M2923">
        <v>3.5999999999999999E-3</v>
      </c>
      <c r="N2923">
        <v>3.5999999999999999E-3</v>
      </c>
      <c r="O2923">
        <v>3.5999999999999999E-3</v>
      </c>
      <c r="P2923">
        <v>3.5999999999999999E-3</v>
      </c>
      <c r="Q2923">
        <v>3.5000000000000001E-3</v>
      </c>
      <c r="R2923">
        <v>3.5000000000000001E-3</v>
      </c>
      <c r="S2923">
        <v>3.5000000000000001E-3</v>
      </c>
      <c r="T2923">
        <v>3.3999999999999998E-3</v>
      </c>
      <c r="U2923">
        <v>3.3E-3</v>
      </c>
      <c r="V2923">
        <v>3.3E-3</v>
      </c>
      <c r="W2923">
        <v>3.0999999999999999E-3</v>
      </c>
      <c r="X2923">
        <v>2.8999999999999998E-3</v>
      </c>
      <c r="Y2923">
        <v>2.8999999999999998E-3</v>
      </c>
    </row>
    <row r="2924" spans="1:25" hidden="1">
      <c r="A2924" t="s">
        <v>18812</v>
      </c>
      <c r="B2924" t="s">
        <v>832</v>
      </c>
      <c r="C2924" t="s">
        <v>804</v>
      </c>
      <c r="D2924" t="s">
        <v>828</v>
      </c>
      <c r="E2924" t="s">
        <v>628</v>
      </c>
      <c r="F2924" t="s">
        <v>833</v>
      </c>
      <c r="G2924" t="s">
        <v>599</v>
      </c>
      <c r="H2924" t="s">
        <v>600</v>
      </c>
      <c r="I2924" t="s">
        <v>601</v>
      </c>
      <c r="J2924">
        <v>1.0699999999999999E-2</v>
      </c>
      <c r="K2924">
        <v>1.0200000000000001E-2</v>
      </c>
      <c r="L2924">
        <v>9.5999999999999992E-3</v>
      </c>
      <c r="M2924">
        <v>9.1000000000000004E-3</v>
      </c>
      <c r="N2924">
        <v>8.6E-3</v>
      </c>
      <c r="O2924">
        <v>8.0000000000000002E-3</v>
      </c>
      <c r="P2924">
        <v>7.1000000000000004E-3</v>
      </c>
      <c r="Q2924">
        <v>6.4999999999999997E-3</v>
      </c>
      <c r="R2924">
        <v>5.7999999999999996E-3</v>
      </c>
      <c r="S2924">
        <v>5.3E-3</v>
      </c>
      <c r="T2924">
        <v>4.8999999999999998E-3</v>
      </c>
      <c r="U2924">
        <v>4.4000000000000003E-3</v>
      </c>
      <c r="V2924">
        <v>3.8999999999999998E-3</v>
      </c>
      <c r="W2924">
        <v>3.5000000000000001E-3</v>
      </c>
      <c r="X2924">
        <v>3.0999999999999999E-3</v>
      </c>
      <c r="Y2924">
        <v>2.8E-3</v>
      </c>
    </row>
    <row r="2925" spans="1:25" hidden="1">
      <c r="A2925" t="s">
        <v>18812</v>
      </c>
      <c r="B2925" t="s">
        <v>839</v>
      </c>
      <c r="C2925" t="s">
        <v>804</v>
      </c>
      <c r="D2925" t="s">
        <v>648</v>
      </c>
      <c r="E2925" t="s">
        <v>688</v>
      </c>
      <c r="F2925" t="s">
        <v>598</v>
      </c>
      <c r="G2925" t="s">
        <v>599</v>
      </c>
      <c r="H2925" t="s">
        <v>600</v>
      </c>
      <c r="I2925" t="s">
        <v>601</v>
      </c>
      <c r="J2925">
        <v>3.0999999999999999E-3</v>
      </c>
      <c r="K2925">
        <v>3.0999999999999999E-3</v>
      </c>
      <c r="L2925">
        <v>3.0999999999999999E-3</v>
      </c>
      <c r="M2925">
        <v>3.0999999999999999E-3</v>
      </c>
      <c r="N2925">
        <v>3.0999999999999999E-3</v>
      </c>
      <c r="O2925">
        <v>3.0999999999999999E-3</v>
      </c>
      <c r="P2925">
        <v>3.0999999999999999E-3</v>
      </c>
      <c r="Q2925">
        <v>3.2000000000000002E-3</v>
      </c>
      <c r="R2925">
        <v>3.2000000000000002E-3</v>
      </c>
      <c r="S2925">
        <v>3.2000000000000002E-3</v>
      </c>
      <c r="T2925">
        <v>3.2000000000000002E-3</v>
      </c>
      <c r="U2925">
        <v>3.3E-3</v>
      </c>
      <c r="V2925">
        <v>3.3E-3</v>
      </c>
      <c r="W2925">
        <v>3.3E-3</v>
      </c>
      <c r="X2925">
        <v>3.3E-3</v>
      </c>
      <c r="Y2925">
        <v>3.3999999999999998E-3</v>
      </c>
    </row>
    <row r="2926" spans="1:25" hidden="1">
      <c r="A2926" t="s">
        <v>18812</v>
      </c>
      <c r="B2926" t="s">
        <v>842</v>
      </c>
      <c r="C2926" t="s">
        <v>841</v>
      </c>
      <c r="D2926" t="s">
        <v>596</v>
      </c>
      <c r="E2926" t="s">
        <v>597</v>
      </c>
      <c r="F2926" t="s">
        <v>598</v>
      </c>
      <c r="G2926" t="s">
        <v>599</v>
      </c>
      <c r="H2926" t="s">
        <v>600</v>
      </c>
      <c r="I2926" t="s">
        <v>601</v>
      </c>
      <c r="J2926">
        <v>4.19E-2</v>
      </c>
      <c r="K2926">
        <v>4.24E-2</v>
      </c>
      <c r="L2926">
        <v>4.3499999999999997E-2</v>
      </c>
      <c r="M2926">
        <v>4.48E-2</v>
      </c>
      <c r="N2926">
        <v>4.5699999999999998E-2</v>
      </c>
      <c r="O2926">
        <v>4.6399999999999997E-2</v>
      </c>
      <c r="P2926">
        <v>4.7300000000000002E-2</v>
      </c>
      <c r="Q2926">
        <v>4.8000000000000001E-2</v>
      </c>
      <c r="R2926">
        <v>4.8500000000000001E-2</v>
      </c>
      <c r="S2926">
        <v>4.8899999999999999E-2</v>
      </c>
      <c r="T2926">
        <v>4.9099999999999998E-2</v>
      </c>
      <c r="U2926">
        <v>4.9000000000000002E-2</v>
      </c>
      <c r="V2926">
        <v>4.9200000000000001E-2</v>
      </c>
      <c r="W2926">
        <v>4.9500000000000002E-2</v>
      </c>
      <c r="X2926">
        <v>4.9799999999999997E-2</v>
      </c>
      <c r="Y2926">
        <v>5.0299999999999997E-2</v>
      </c>
    </row>
    <row r="2927" spans="1:25" hidden="1">
      <c r="A2927" t="s">
        <v>18812</v>
      </c>
      <c r="B2927" t="s">
        <v>844</v>
      </c>
      <c r="C2927" t="s">
        <v>841</v>
      </c>
      <c r="D2927" t="s">
        <v>596</v>
      </c>
      <c r="E2927" t="s">
        <v>603</v>
      </c>
      <c r="F2927" t="s">
        <v>598</v>
      </c>
      <c r="G2927" t="s">
        <v>599</v>
      </c>
      <c r="H2927" t="s">
        <v>600</v>
      </c>
      <c r="I2927" t="s">
        <v>601</v>
      </c>
      <c r="J2927">
        <v>8.9999999999999998E-4</v>
      </c>
      <c r="K2927">
        <v>8.9999999999999998E-4</v>
      </c>
      <c r="L2927">
        <v>8.9999999999999998E-4</v>
      </c>
      <c r="M2927">
        <v>8.9999999999999998E-4</v>
      </c>
      <c r="N2927">
        <v>8.9999999999999998E-4</v>
      </c>
      <c r="O2927">
        <v>8.9999999999999998E-4</v>
      </c>
      <c r="P2927">
        <v>8.9999999999999998E-4</v>
      </c>
      <c r="Q2927">
        <v>8.9999999999999998E-4</v>
      </c>
      <c r="R2927">
        <v>8.9999999999999998E-4</v>
      </c>
      <c r="S2927">
        <v>8.9999999999999998E-4</v>
      </c>
      <c r="T2927">
        <v>8.9999999999999998E-4</v>
      </c>
      <c r="U2927">
        <v>8.9999999999999998E-4</v>
      </c>
      <c r="V2927">
        <v>8.9999999999999998E-4</v>
      </c>
      <c r="W2927">
        <v>8.9999999999999998E-4</v>
      </c>
      <c r="X2927">
        <v>8.9999999999999998E-4</v>
      </c>
      <c r="Y2927">
        <v>8.9999999999999998E-4</v>
      </c>
    </row>
    <row r="2928" spans="1:25" hidden="1">
      <c r="A2928" t="s">
        <v>18812</v>
      </c>
      <c r="B2928" t="s">
        <v>846</v>
      </c>
      <c r="C2928" t="s">
        <v>841</v>
      </c>
      <c r="D2928" t="s">
        <v>596</v>
      </c>
      <c r="E2928" t="s">
        <v>624</v>
      </c>
      <c r="F2928" t="s">
        <v>598</v>
      </c>
      <c r="G2928" t="s">
        <v>599</v>
      </c>
      <c r="H2928" t="s">
        <v>600</v>
      </c>
      <c r="I2928" t="s">
        <v>601</v>
      </c>
      <c r="J2928">
        <v>2.0000000000000001E-4</v>
      </c>
      <c r="K2928">
        <v>2.0000000000000001E-4</v>
      </c>
      <c r="L2928">
        <v>2.0000000000000001E-4</v>
      </c>
      <c r="M2928">
        <v>2.9999999999999997E-4</v>
      </c>
      <c r="N2928">
        <v>2.9999999999999997E-4</v>
      </c>
      <c r="O2928">
        <v>2.9999999999999997E-4</v>
      </c>
      <c r="P2928">
        <v>2.9999999999999997E-4</v>
      </c>
      <c r="Q2928">
        <v>2.9999999999999997E-4</v>
      </c>
      <c r="R2928">
        <v>2.9999999999999997E-4</v>
      </c>
      <c r="S2928">
        <v>2.9999999999999997E-4</v>
      </c>
      <c r="T2928">
        <v>2.9999999999999997E-4</v>
      </c>
      <c r="U2928">
        <v>2.9999999999999997E-4</v>
      </c>
      <c r="V2928">
        <v>2.9999999999999997E-4</v>
      </c>
      <c r="W2928">
        <v>2.9999999999999997E-4</v>
      </c>
      <c r="X2928">
        <v>2.9999999999999997E-4</v>
      </c>
      <c r="Y2928">
        <v>2.9999999999999997E-4</v>
      </c>
    </row>
    <row r="2929" spans="1:25" hidden="1">
      <c r="A2929" t="s">
        <v>18812</v>
      </c>
      <c r="B2929" t="s">
        <v>847</v>
      </c>
      <c r="C2929" t="s">
        <v>841</v>
      </c>
      <c r="D2929" t="s">
        <v>596</v>
      </c>
      <c r="E2929" t="s">
        <v>808</v>
      </c>
      <c r="F2929" t="s">
        <v>598</v>
      </c>
      <c r="G2929" t="s">
        <v>599</v>
      </c>
      <c r="H2929" t="s">
        <v>600</v>
      </c>
      <c r="I2929" t="s">
        <v>601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</row>
    <row r="2930" spans="1:25" hidden="1">
      <c r="A2930" t="s">
        <v>18812</v>
      </c>
      <c r="B2930" t="s">
        <v>852</v>
      </c>
      <c r="C2930" t="s">
        <v>841</v>
      </c>
      <c r="D2930" t="s">
        <v>596</v>
      </c>
      <c r="E2930" t="s">
        <v>619</v>
      </c>
      <c r="F2930" t="s">
        <v>598</v>
      </c>
      <c r="G2930" t="s">
        <v>599</v>
      </c>
      <c r="H2930" t="s">
        <v>600</v>
      </c>
      <c r="I2930" t="s">
        <v>601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hidden="1">
      <c r="A2931" t="s">
        <v>18812</v>
      </c>
      <c r="B2931" t="s">
        <v>857</v>
      </c>
      <c r="C2931" t="s">
        <v>841</v>
      </c>
      <c r="D2931" t="s">
        <v>671</v>
      </c>
      <c r="E2931" t="s">
        <v>605</v>
      </c>
      <c r="F2931" t="s">
        <v>598</v>
      </c>
      <c r="G2931" t="s">
        <v>599</v>
      </c>
      <c r="H2931" t="s">
        <v>600</v>
      </c>
      <c r="I2931" t="s">
        <v>601</v>
      </c>
      <c r="J2931">
        <v>2.0000000000000001E-4</v>
      </c>
      <c r="K2931">
        <v>2.0000000000000001E-4</v>
      </c>
      <c r="L2931">
        <v>2.0000000000000001E-4</v>
      </c>
      <c r="M2931">
        <v>2.0000000000000001E-4</v>
      </c>
      <c r="N2931">
        <v>2.0000000000000001E-4</v>
      </c>
      <c r="O2931">
        <v>2.0000000000000001E-4</v>
      </c>
      <c r="P2931">
        <v>2.0000000000000001E-4</v>
      </c>
      <c r="Q2931">
        <v>2.0000000000000001E-4</v>
      </c>
      <c r="R2931">
        <v>2.0000000000000001E-4</v>
      </c>
      <c r="S2931">
        <v>2.0000000000000001E-4</v>
      </c>
      <c r="T2931">
        <v>2.0000000000000001E-4</v>
      </c>
      <c r="U2931">
        <v>2.0000000000000001E-4</v>
      </c>
      <c r="V2931">
        <v>2.0000000000000001E-4</v>
      </c>
      <c r="W2931">
        <v>2.0000000000000001E-4</v>
      </c>
      <c r="X2931">
        <v>2.0000000000000001E-4</v>
      </c>
      <c r="Y2931">
        <v>2.0000000000000001E-4</v>
      </c>
    </row>
    <row r="2932" spans="1:25" hidden="1">
      <c r="A2932" t="s">
        <v>18812</v>
      </c>
      <c r="B2932" t="s">
        <v>862</v>
      </c>
      <c r="C2932" t="s">
        <v>841</v>
      </c>
      <c r="D2932" t="s">
        <v>756</v>
      </c>
      <c r="E2932" t="s">
        <v>597</v>
      </c>
      <c r="F2932" t="s">
        <v>598</v>
      </c>
      <c r="G2932" t="s">
        <v>599</v>
      </c>
      <c r="H2932" t="s">
        <v>600</v>
      </c>
      <c r="I2932" t="s">
        <v>601</v>
      </c>
      <c r="J2932">
        <v>2.8000000000000001E-2</v>
      </c>
      <c r="K2932">
        <v>2.8199999999999999E-2</v>
      </c>
      <c r="L2932">
        <v>2.87E-2</v>
      </c>
      <c r="M2932">
        <v>2.92E-2</v>
      </c>
      <c r="N2932">
        <v>2.9600000000000001E-2</v>
      </c>
      <c r="O2932">
        <v>2.9899999999999999E-2</v>
      </c>
      <c r="P2932">
        <v>3.0200000000000001E-2</v>
      </c>
      <c r="Q2932">
        <v>3.0599999999999999E-2</v>
      </c>
      <c r="R2932">
        <v>3.0800000000000001E-2</v>
      </c>
      <c r="S2932">
        <v>3.1E-2</v>
      </c>
      <c r="T2932">
        <v>3.1E-2</v>
      </c>
      <c r="U2932">
        <v>3.1E-2</v>
      </c>
      <c r="V2932">
        <v>3.1E-2</v>
      </c>
      <c r="W2932">
        <v>3.1199999999999999E-2</v>
      </c>
      <c r="X2932">
        <v>3.1399999999999997E-2</v>
      </c>
      <c r="Y2932">
        <v>3.1600000000000003E-2</v>
      </c>
    </row>
    <row r="2933" spans="1:25" hidden="1">
      <c r="A2933" t="s">
        <v>18812</v>
      </c>
      <c r="B2933" t="s">
        <v>865</v>
      </c>
      <c r="C2933" t="s">
        <v>841</v>
      </c>
      <c r="D2933" t="s">
        <v>866</v>
      </c>
      <c r="E2933" t="s">
        <v>597</v>
      </c>
      <c r="F2933" t="s">
        <v>598</v>
      </c>
      <c r="G2933" t="s">
        <v>599</v>
      </c>
      <c r="H2933" t="s">
        <v>600</v>
      </c>
      <c r="I2933" t="s">
        <v>601</v>
      </c>
      <c r="J2933">
        <v>1.55E-2</v>
      </c>
      <c r="K2933">
        <v>1.55E-2</v>
      </c>
      <c r="L2933">
        <v>1.5599999999999999E-2</v>
      </c>
      <c r="M2933">
        <v>1.5699999999999999E-2</v>
      </c>
      <c r="N2933">
        <v>1.5699999999999999E-2</v>
      </c>
      <c r="O2933">
        <v>1.5699999999999999E-2</v>
      </c>
      <c r="P2933">
        <v>1.5800000000000002E-2</v>
      </c>
      <c r="Q2933">
        <v>1.5800000000000002E-2</v>
      </c>
      <c r="R2933">
        <v>1.5800000000000002E-2</v>
      </c>
      <c r="S2933">
        <v>1.5900000000000001E-2</v>
      </c>
      <c r="T2933">
        <v>1.5900000000000001E-2</v>
      </c>
      <c r="U2933">
        <v>1.5900000000000001E-2</v>
      </c>
      <c r="V2933">
        <v>1.6E-2</v>
      </c>
      <c r="W2933">
        <v>1.61E-2</v>
      </c>
      <c r="X2933">
        <v>1.61E-2</v>
      </c>
      <c r="Y2933">
        <v>1.6199999999999999E-2</v>
      </c>
    </row>
    <row r="2934" spans="1:25" hidden="1">
      <c r="A2934" t="s">
        <v>18812</v>
      </c>
      <c r="B2934" t="s">
        <v>868</v>
      </c>
      <c r="C2934" t="s">
        <v>841</v>
      </c>
      <c r="D2934" t="s">
        <v>621</v>
      </c>
      <c r="E2934" t="s">
        <v>597</v>
      </c>
      <c r="F2934" t="s">
        <v>598</v>
      </c>
      <c r="G2934" t="s">
        <v>599</v>
      </c>
      <c r="H2934" t="s">
        <v>600</v>
      </c>
      <c r="I2934" t="s">
        <v>601</v>
      </c>
      <c r="J2934">
        <v>3.3E-3</v>
      </c>
      <c r="K2934">
        <v>3.5000000000000001E-3</v>
      </c>
      <c r="L2934">
        <v>3.8E-3</v>
      </c>
      <c r="M2934">
        <v>3.8E-3</v>
      </c>
      <c r="N2934">
        <v>4.1000000000000003E-3</v>
      </c>
      <c r="O2934">
        <v>4.1999999999999997E-3</v>
      </c>
      <c r="P2934">
        <v>4.4000000000000003E-3</v>
      </c>
      <c r="Q2934">
        <v>4.5999999999999999E-3</v>
      </c>
      <c r="R2934">
        <v>4.5999999999999999E-3</v>
      </c>
      <c r="S2934">
        <v>4.7000000000000002E-3</v>
      </c>
      <c r="T2934">
        <v>4.7000000000000002E-3</v>
      </c>
      <c r="U2934">
        <v>4.7999999999999996E-3</v>
      </c>
      <c r="V2934">
        <v>4.7999999999999996E-3</v>
      </c>
      <c r="W2934">
        <v>4.7999999999999996E-3</v>
      </c>
      <c r="X2934">
        <v>4.8999999999999998E-3</v>
      </c>
      <c r="Y2934">
        <v>5.0000000000000001E-3</v>
      </c>
    </row>
    <row r="2935" spans="1:25" hidden="1">
      <c r="A2935" t="s">
        <v>18812</v>
      </c>
      <c r="B2935" t="s">
        <v>872</v>
      </c>
      <c r="C2935" t="s">
        <v>841</v>
      </c>
      <c r="D2935" t="s">
        <v>621</v>
      </c>
      <c r="E2935" t="s">
        <v>624</v>
      </c>
      <c r="F2935" t="s">
        <v>598</v>
      </c>
      <c r="G2935" t="s">
        <v>599</v>
      </c>
      <c r="H2935" t="s">
        <v>600</v>
      </c>
      <c r="I2935" t="s">
        <v>601</v>
      </c>
      <c r="J2935">
        <v>1.7500000000000002E-2</v>
      </c>
      <c r="K2935">
        <v>1.77E-2</v>
      </c>
      <c r="L2935">
        <v>1.7899999999999999E-2</v>
      </c>
      <c r="M2935">
        <v>1.7999999999999999E-2</v>
      </c>
      <c r="N2935">
        <v>1.8200000000000001E-2</v>
      </c>
      <c r="O2935">
        <v>1.83E-2</v>
      </c>
      <c r="P2935">
        <v>1.84E-2</v>
      </c>
      <c r="Q2935">
        <v>1.8499999999999999E-2</v>
      </c>
      <c r="R2935">
        <v>1.8499999999999999E-2</v>
      </c>
      <c r="S2935">
        <v>1.8599999999999998E-2</v>
      </c>
      <c r="T2935">
        <v>1.8700000000000001E-2</v>
      </c>
      <c r="U2935">
        <v>1.8700000000000001E-2</v>
      </c>
      <c r="V2935">
        <v>1.8800000000000001E-2</v>
      </c>
      <c r="W2935">
        <v>1.89E-2</v>
      </c>
      <c r="X2935">
        <v>1.89E-2</v>
      </c>
      <c r="Y2935">
        <v>1.9E-2</v>
      </c>
    </row>
    <row r="2936" spans="1:25" hidden="1">
      <c r="A2936" t="s">
        <v>18812</v>
      </c>
      <c r="B2936" t="s">
        <v>874</v>
      </c>
      <c r="C2936" t="s">
        <v>841</v>
      </c>
      <c r="D2936" t="s">
        <v>621</v>
      </c>
      <c r="E2936" t="s">
        <v>688</v>
      </c>
      <c r="F2936" t="s">
        <v>598</v>
      </c>
      <c r="G2936" t="s">
        <v>599</v>
      </c>
      <c r="H2936" t="s">
        <v>600</v>
      </c>
      <c r="I2936" t="s">
        <v>601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</row>
    <row r="2937" spans="1:25" hidden="1">
      <c r="A2937" t="s">
        <v>18812</v>
      </c>
      <c r="B2937" t="s">
        <v>875</v>
      </c>
      <c r="C2937" t="s">
        <v>841</v>
      </c>
      <c r="D2937" t="s">
        <v>621</v>
      </c>
      <c r="E2937" t="s">
        <v>626</v>
      </c>
      <c r="F2937" t="s">
        <v>598</v>
      </c>
      <c r="G2937" t="s">
        <v>599</v>
      </c>
      <c r="H2937" t="s">
        <v>600</v>
      </c>
      <c r="I2937" t="s">
        <v>601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hidden="1">
      <c r="A2938" t="s">
        <v>18812</v>
      </c>
      <c r="B2938" t="s">
        <v>876</v>
      </c>
      <c r="C2938" t="s">
        <v>841</v>
      </c>
      <c r="D2938" t="s">
        <v>621</v>
      </c>
      <c r="E2938" t="s">
        <v>628</v>
      </c>
      <c r="F2938" t="s">
        <v>598</v>
      </c>
      <c r="G2938" t="s">
        <v>599</v>
      </c>
      <c r="H2938" t="s">
        <v>600</v>
      </c>
      <c r="I2938" t="s">
        <v>601</v>
      </c>
      <c r="J2938">
        <v>1.0999999999999999E-2</v>
      </c>
      <c r="K2938">
        <v>1.0999999999999999E-2</v>
      </c>
      <c r="L2938">
        <v>1.0999999999999999E-2</v>
      </c>
      <c r="M2938">
        <v>1.0999999999999999E-2</v>
      </c>
      <c r="N2938">
        <v>1.09E-2</v>
      </c>
      <c r="O2938">
        <v>1.09E-2</v>
      </c>
      <c r="P2938">
        <v>1.09E-2</v>
      </c>
      <c r="Q2938">
        <v>8.2000000000000007E-3</v>
      </c>
      <c r="R2938">
        <v>8.2000000000000007E-3</v>
      </c>
      <c r="S2938">
        <v>8.2000000000000007E-3</v>
      </c>
      <c r="T2938">
        <v>8.2000000000000007E-3</v>
      </c>
      <c r="U2938">
        <v>8.2000000000000007E-3</v>
      </c>
      <c r="V2938">
        <v>8.2000000000000007E-3</v>
      </c>
      <c r="W2938">
        <v>8.2000000000000007E-3</v>
      </c>
      <c r="X2938">
        <v>8.2000000000000007E-3</v>
      </c>
      <c r="Y2938">
        <v>8.2000000000000007E-3</v>
      </c>
    </row>
    <row r="2939" spans="1:25" hidden="1">
      <c r="A2939" t="s">
        <v>18812</v>
      </c>
      <c r="B2939" t="s">
        <v>877</v>
      </c>
      <c r="C2939" t="s">
        <v>841</v>
      </c>
      <c r="D2939" t="s">
        <v>621</v>
      </c>
      <c r="E2939" t="s">
        <v>692</v>
      </c>
      <c r="F2939" t="s">
        <v>598</v>
      </c>
      <c r="G2939" t="s">
        <v>599</v>
      </c>
      <c r="H2939" t="s">
        <v>600</v>
      </c>
      <c r="I2939" t="s">
        <v>601</v>
      </c>
      <c r="J2939">
        <v>8.9999999999999998E-4</v>
      </c>
      <c r="K2939">
        <v>1E-3</v>
      </c>
      <c r="L2939">
        <v>1E-3</v>
      </c>
      <c r="M2939">
        <v>1E-3</v>
      </c>
      <c r="N2939">
        <v>1E-3</v>
      </c>
      <c r="O2939">
        <v>1.1000000000000001E-3</v>
      </c>
      <c r="P2939">
        <v>1.1999999999999999E-3</v>
      </c>
      <c r="Q2939">
        <v>1.1999999999999999E-3</v>
      </c>
      <c r="R2939">
        <v>1.1999999999999999E-3</v>
      </c>
      <c r="S2939">
        <v>1.1999999999999999E-3</v>
      </c>
      <c r="T2939">
        <v>1.1999999999999999E-3</v>
      </c>
      <c r="U2939">
        <v>1.2999999999999999E-3</v>
      </c>
      <c r="V2939">
        <v>1.2999999999999999E-3</v>
      </c>
      <c r="W2939">
        <v>1.2999999999999999E-3</v>
      </c>
      <c r="X2939">
        <v>1.2999999999999999E-3</v>
      </c>
      <c r="Y2939">
        <v>1.2999999999999999E-3</v>
      </c>
    </row>
    <row r="2940" spans="1:25" hidden="1">
      <c r="A2940" t="s">
        <v>18812</v>
      </c>
      <c r="B2940" t="s">
        <v>882</v>
      </c>
      <c r="C2940" t="s">
        <v>841</v>
      </c>
      <c r="D2940" t="s">
        <v>632</v>
      </c>
      <c r="E2940" t="s">
        <v>597</v>
      </c>
      <c r="F2940" t="s">
        <v>598</v>
      </c>
      <c r="G2940" t="s">
        <v>599</v>
      </c>
      <c r="H2940" t="s">
        <v>600</v>
      </c>
      <c r="I2940" t="s">
        <v>601</v>
      </c>
      <c r="J2940">
        <v>1.1000000000000001E-3</v>
      </c>
      <c r="K2940">
        <v>1.1000000000000001E-3</v>
      </c>
      <c r="L2940">
        <v>1.1000000000000001E-3</v>
      </c>
      <c r="M2940">
        <v>1.1999999999999999E-3</v>
      </c>
      <c r="N2940">
        <v>1.1999999999999999E-3</v>
      </c>
      <c r="O2940">
        <v>1.2999999999999999E-3</v>
      </c>
      <c r="P2940">
        <v>1.2999999999999999E-3</v>
      </c>
      <c r="Q2940">
        <v>1.2999999999999999E-3</v>
      </c>
      <c r="R2940">
        <v>1.4E-3</v>
      </c>
      <c r="S2940">
        <v>1.4E-3</v>
      </c>
      <c r="T2940">
        <v>1.4E-3</v>
      </c>
      <c r="U2940">
        <v>1.4E-3</v>
      </c>
      <c r="V2940">
        <v>1.4E-3</v>
      </c>
      <c r="W2940">
        <v>1.4E-3</v>
      </c>
      <c r="X2940">
        <v>1.4E-3</v>
      </c>
      <c r="Y2940">
        <v>1.4E-3</v>
      </c>
    </row>
    <row r="2941" spans="1:25" hidden="1">
      <c r="A2941" t="s">
        <v>18812</v>
      </c>
      <c r="B2941" t="s">
        <v>883</v>
      </c>
      <c r="C2941" t="s">
        <v>841</v>
      </c>
      <c r="D2941" t="s">
        <v>632</v>
      </c>
      <c r="E2941" t="s">
        <v>624</v>
      </c>
      <c r="F2941" t="s">
        <v>598</v>
      </c>
      <c r="G2941" t="s">
        <v>599</v>
      </c>
      <c r="H2941" t="s">
        <v>600</v>
      </c>
      <c r="I2941" t="s">
        <v>601</v>
      </c>
      <c r="J2941">
        <v>4.5999999999999999E-3</v>
      </c>
      <c r="K2941">
        <v>4.7000000000000002E-3</v>
      </c>
      <c r="L2941">
        <v>4.7000000000000002E-3</v>
      </c>
      <c r="M2941">
        <v>4.7999999999999996E-3</v>
      </c>
      <c r="N2941">
        <v>4.8999999999999998E-3</v>
      </c>
      <c r="O2941">
        <v>4.8999999999999998E-3</v>
      </c>
      <c r="P2941">
        <v>5.0000000000000001E-3</v>
      </c>
      <c r="Q2941">
        <v>5.0000000000000001E-3</v>
      </c>
      <c r="R2941">
        <v>5.0000000000000001E-3</v>
      </c>
      <c r="S2941">
        <v>5.1000000000000004E-3</v>
      </c>
      <c r="T2941">
        <v>5.1000000000000004E-3</v>
      </c>
      <c r="U2941">
        <v>5.1000000000000004E-3</v>
      </c>
      <c r="V2941">
        <v>5.1000000000000004E-3</v>
      </c>
      <c r="W2941">
        <v>5.1999999999999998E-3</v>
      </c>
      <c r="X2941">
        <v>5.1999999999999998E-3</v>
      </c>
      <c r="Y2941">
        <v>5.1999999999999998E-3</v>
      </c>
    </row>
    <row r="2942" spans="1:25" hidden="1">
      <c r="A2942" t="s">
        <v>18812</v>
      </c>
      <c r="B2942" t="s">
        <v>884</v>
      </c>
      <c r="C2942" t="s">
        <v>841</v>
      </c>
      <c r="D2942" t="s">
        <v>632</v>
      </c>
      <c r="E2942" t="s">
        <v>768</v>
      </c>
      <c r="F2942" t="s">
        <v>598</v>
      </c>
      <c r="G2942" t="s">
        <v>599</v>
      </c>
      <c r="H2942" t="s">
        <v>600</v>
      </c>
      <c r="I2942" t="s">
        <v>601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hidden="1">
      <c r="A2943" t="s">
        <v>18812</v>
      </c>
      <c r="B2943" t="s">
        <v>885</v>
      </c>
      <c r="C2943" t="s">
        <v>841</v>
      </c>
      <c r="D2943" t="s">
        <v>632</v>
      </c>
      <c r="E2943" t="s">
        <v>628</v>
      </c>
      <c r="F2943" t="s">
        <v>598</v>
      </c>
      <c r="G2943" t="s">
        <v>599</v>
      </c>
      <c r="H2943" t="s">
        <v>600</v>
      </c>
      <c r="I2943" t="s">
        <v>601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1E-4</v>
      </c>
      <c r="U2943">
        <v>1E-4</v>
      </c>
      <c r="V2943">
        <v>1E-4</v>
      </c>
      <c r="W2943">
        <v>1E-4</v>
      </c>
      <c r="X2943">
        <v>1E-4</v>
      </c>
      <c r="Y2943">
        <v>1E-4</v>
      </c>
    </row>
    <row r="2944" spans="1:25" hidden="1">
      <c r="A2944" t="s">
        <v>18812</v>
      </c>
      <c r="B2944" t="s">
        <v>889</v>
      </c>
      <c r="C2944" t="s">
        <v>841</v>
      </c>
      <c r="D2944" t="s">
        <v>632</v>
      </c>
      <c r="E2944" t="s">
        <v>781</v>
      </c>
      <c r="F2944" t="s">
        <v>598</v>
      </c>
      <c r="G2944" t="s">
        <v>599</v>
      </c>
      <c r="H2944" t="s">
        <v>600</v>
      </c>
      <c r="I2944" t="s">
        <v>601</v>
      </c>
      <c r="J2944">
        <v>5.9999999999999995E-4</v>
      </c>
      <c r="K2944">
        <v>5.9999999999999995E-4</v>
      </c>
      <c r="L2944">
        <v>5.9999999999999995E-4</v>
      </c>
      <c r="M2944">
        <v>5.9999999999999995E-4</v>
      </c>
      <c r="N2944">
        <v>5.9999999999999995E-4</v>
      </c>
      <c r="O2944">
        <v>5.9999999999999995E-4</v>
      </c>
      <c r="P2944">
        <v>5.9999999999999995E-4</v>
      </c>
      <c r="Q2944">
        <v>5.9999999999999995E-4</v>
      </c>
      <c r="R2944">
        <v>5.9999999999999995E-4</v>
      </c>
      <c r="S2944">
        <v>5.9999999999999995E-4</v>
      </c>
      <c r="T2944">
        <v>5.9999999999999995E-4</v>
      </c>
      <c r="U2944">
        <v>5.9999999999999995E-4</v>
      </c>
      <c r="V2944">
        <v>5.9999999999999995E-4</v>
      </c>
      <c r="W2944">
        <v>5.9999999999999995E-4</v>
      </c>
      <c r="X2944">
        <v>5.9999999999999995E-4</v>
      </c>
      <c r="Y2944">
        <v>5.9999999999999995E-4</v>
      </c>
    </row>
    <row r="2945" spans="1:25" hidden="1">
      <c r="A2945" t="s">
        <v>18812</v>
      </c>
      <c r="B2945" t="s">
        <v>896</v>
      </c>
      <c r="C2945" t="s">
        <v>841</v>
      </c>
      <c r="D2945" t="s">
        <v>640</v>
      </c>
      <c r="E2945" t="s">
        <v>597</v>
      </c>
      <c r="F2945" t="s">
        <v>598</v>
      </c>
      <c r="G2945" t="s">
        <v>599</v>
      </c>
      <c r="H2945" t="s">
        <v>600</v>
      </c>
      <c r="I2945" t="s">
        <v>601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</row>
    <row r="2946" spans="1:25" hidden="1">
      <c r="A2946" t="s">
        <v>18812</v>
      </c>
      <c r="B2946" t="s">
        <v>902</v>
      </c>
      <c r="C2946" t="s">
        <v>841</v>
      </c>
      <c r="D2946" t="s">
        <v>648</v>
      </c>
      <c r="E2946" t="s">
        <v>597</v>
      </c>
      <c r="F2946" t="s">
        <v>598</v>
      </c>
      <c r="G2946" t="s">
        <v>599</v>
      </c>
      <c r="H2946" t="s">
        <v>600</v>
      </c>
      <c r="I2946" t="s">
        <v>601</v>
      </c>
      <c r="J2946">
        <v>4.9200000000000001E-2</v>
      </c>
      <c r="K2946">
        <v>4.9799999999999997E-2</v>
      </c>
      <c r="L2946">
        <v>5.1400000000000001E-2</v>
      </c>
      <c r="M2946">
        <v>5.2200000000000003E-2</v>
      </c>
      <c r="N2946">
        <v>5.3100000000000001E-2</v>
      </c>
      <c r="O2946">
        <v>5.3699999999999998E-2</v>
      </c>
      <c r="P2946">
        <v>5.4300000000000001E-2</v>
      </c>
      <c r="Q2946">
        <v>5.4800000000000001E-2</v>
      </c>
      <c r="R2946">
        <v>5.5199999999999999E-2</v>
      </c>
      <c r="S2946">
        <v>5.5599999999999997E-2</v>
      </c>
      <c r="T2946">
        <v>5.5599999999999997E-2</v>
      </c>
      <c r="U2946">
        <v>5.5500000000000001E-2</v>
      </c>
      <c r="V2946">
        <v>5.57E-2</v>
      </c>
      <c r="W2946">
        <v>5.6000000000000001E-2</v>
      </c>
      <c r="X2946">
        <v>5.62E-2</v>
      </c>
      <c r="Y2946">
        <v>5.6399999999999999E-2</v>
      </c>
    </row>
    <row r="2947" spans="1:25" hidden="1">
      <c r="A2947" t="s">
        <v>18812</v>
      </c>
      <c r="B2947" t="s">
        <v>909</v>
      </c>
      <c r="C2947" t="s">
        <v>841</v>
      </c>
      <c r="D2947" t="s">
        <v>648</v>
      </c>
      <c r="E2947" t="s">
        <v>642</v>
      </c>
      <c r="F2947" t="s">
        <v>598</v>
      </c>
      <c r="G2947" t="s">
        <v>599</v>
      </c>
      <c r="H2947" t="s">
        <v>600</v>
      </c>
      <c r="I2947" t="s">
        <v>601</v>
      </c>
      <c r="J2947">
        <v>2.2000000000000001E-3</v>
      </c>
      <c r="K2947">
        <v>2.2000000000000001E-3</v>
      </c>
      <c r="L2947">
        <v>2.2000000000000001E-3</v>
      </c>
      <c r="M2947">
        <v>2.2000000000000001E-3</v>
      </c>
      <c r="N2947">
        <v>2.3E-3</v>
      </c>
      <c r="O2947">
        <v>2.3E-3</v>
      </c>
      <c r="P2947">
        <v>2.3E-3</v>
      </c>
      <c r="Q2947">
        <v>2.3E-3</v>
      </c>
      <c r="R2947">
        <v>2.3E-3</v>
      </c>
      <c r="S2947">
        <v>2.3E-3</v>
      </c>
      <c r="T2947">
        <v>2.3E-3</v>
      </c>
      <c r="U2947">
        <v>2.3999999999999998E-3</v>
      </c>
      <c r="V2947">
        <v>2.3999999999999998E-3</v>
      </c>
      <c r="W2947">
        <v>2.8E-3</v>
      </c>
      <c r="X2947">
        <v>2.8E-3</v>
      </c>
      <c r="Y2947">
        <v>2.8E-3</v>
      </c>
    </row>
    <row r="2948" spans="1:25" hidden="1">
      <c r="A2948" t="s">
        <v>18812</v>
      </c>
      <c r="B2948" t="s">
        <v>911</v>
      </c>
      <c r="C2948" t="s">
        <v>841</v>
      </c>
      <c r="D2948" t="s">
        <v>648</v>
      </c>
      <c r="E2948" t="s">
        <v>619</v>
      </c>
      <c r="F2948" t="s">
        <v>598</v>
      </c>
      <c r="G2948" t="s">
        <v>599</v>
      </c>
      <c r="H2948" t="s">
        <v>600</v>
      </c>
      <c r="I2948" t="s">
        <v>601</v>
      </c>
      <c r="J2948">
        <v>2.0000000000000001E-4</v>
      </c>
      <c r="K2948">
        <v>2.0000000000000001E-4</v>
      </c>
      <c r="L2948">
        <v>2.0000000000000001E-4</v>
      </c>
      <c r="M2948">
        <v>2.0000000000000001E-4</v>
      </c>
      <c r="N2948">
        <v>2.0000000000000001E-4</v>
      </c>
      <c r="O2948">
        <v>2.0000000000000001E-4</v>
      </c>
      <c r="P2948">
        <v>2.0000000000000001E-4</v>
      </c>
      <c r="Q2948">
        <v>2.0000000000000001E-4</v>
      </c>
      <c r="R2948">
        <v>2.0000000000000001E-4</v>
      </c>
      <c r="S2948">
        <v>2.0000000000000001E-4</v>
      </c>
      <c r="T2948">
        <v>2.0000000000000001E-4</v>
      </c>
      <c r="U2948">
        <v>2.0000000000000001E-4</v>
      </c>
      <c r="V2948">
        <v>2.0000000000000001E-4</v>
      </c>
      <c r="W2948">
        <v>2.0000000000000001E-4</v>
      </c>
      <c r="X2948">
        <v>2.0000000000000001E-4</v>
      </c>
      <c r="Y2948">
        <v>2.0000000000000001E-4</v>
      </c>
    </row>
    <row r="2949" spans="1:25" hidden="1">
      <c r="A2949" t="s">
        <v>18812</v>
      </c>
      <c r="B2949" t="s">
        <v>912</v>
      </c>
      <c r="C2949" t="s">
        <v>841</v>
      </c>
      <c r="D2949" t="s">
        <v>648</v>
      </c>
      <c r="E2949" t="s">
        <v>676</v>
      </c>
      <c r="F2949" t="s">
        <v>598</v>
      </c>
      <c r="G2949" t="s">
        <v>599</v>
      </c>
      <c r="H2949" t="s">
        <v>600</v>
      </c>
      <c r="I2949" t="s">
        <v>601</v>
      </c>
      <c r="J2949">
        <v>1.5900000000000001E-2</v>
      </c>
      <c r="K2949">
        <v>1.5900000000000001E-2</v>
      </c>
      <c r="L2949">
        <v>1.5900000000000001E-2</v>
      </c>
      <c r="M2949">
        <v>1.5900000000000001E-2</v>
      </c>
      <c r="N2949">
        <v>1.5900000000000001E-2</v>
      </c>
      <c r="O2949">
        <v>1.5900000000000001E-2</v>
      </c>
      <c r="P2949">
        <v>1.5900000000000001E-2</v>
      </c>
      <c r="Q2949">
        <v>1.5900000000000001E-2</v>
      </c>
      <c r="R2949">
        <v>1.5900000000000001E-2</v>
      </c>
      <c r="S2949">
        <v>1.5900000000000001E-2</v>
      </c>
      <c r="T2949">
        <v>1.5900000000000001E-2</v>
      </c>
      <c r="U2949">
        <v>1.5900000000000001E-2</v>
      </c>
      <c r="V2949">
        <v>1.5900000000000001E-2</v>
      </c>
      <c r="W2949">
        <v>1.5900000000000001E-2</v>
      </c>
      <c r="X2949">
        <v>1.5900000000000001E-2</v>
      </c>
      <c r="Y2949">
        <v>1.5900000000000001E-2</v>
      </c>
    </row>
    <row r="2950" spans="1:25" hidden="1">
      <c r="A2950" t="s">
        <v>18812</v>
      </c>
      <c r="B2950" t="s">
        <v>916</v>
      </c>
      <c r="C2950" t="s">
        <v>914</v>
      </c>
      <c r="D2950" t="s">
        <v>621</v>
      </c>
      <c r="E2950" t="s">
        <v>628</v>
      </c>
      <c r="F2950" t="s">
        <v>598</v>
      </c>
      <c r="G2950" t="s">
        <v>599</v>
      </c>
      <c r="H2950" t="s">
        <v>600</v>
      </c>
      <c r="I2950" t="s">
        <v>601</v>
      </c>
      <c r="J2950">
        <v>3.4321400000000002E-3</v>
      </c>
      <c r="K2950">
        <v>3.4321400000000002E-3</v>
      </c>
      <c r="L2950">
        <v>3.4804800000000002E-3</v>
      </c>
      <c r="M2950">
        <v>3.4804800000000002E-3</v>
      </c>
      <c r="N2950">
        <v>3.5288199999999998E-3</v>
      </c>
      <c r="O2950">
        <v>3.1904400000000001E-3</v>
      </c>
      <c r="P2950">
        <v>3.1904400000000001E-3</v>
      </c>
      <c r="Q2950">
        <v>3.1904400000000001E-3</v>
      </c>
      <c r="R2950">
        <v>3.1904400000000001E-3</v>
      </c>
      <c r="S2950">
        <v>3.2387800000000001E-3</v>
      </c>
      <c r="T2950">
        <v>3.2387800000000001E-3</v>
      </c>
      <c r="U2950">
        <v>3.2871200000000001E-3</v>
      </c>
      <c r="V2950">
        <v>3.2871200000000001E-3</v>
      </c>
      <c r="W2950">
        <v>3.3354600000000002E-3</v>
      </c>
      <c r="X2950">
        <v>3.3354600000000002E-3</v>
      </c>
      <c r="Y2950">
        <v>3.3354600000000002E-3</v>
      </c>
    </row>
    <row r="2951" spans="1:25" hidden="1">
      <c r="A2951" t="s">
        <v>18812</v>
      </c>
      <c r="B2951" t="s">
        <v>919</v>
      </c>
      <c r="C2951" t="s">
        <v>914</v>
      </c>
      <c r="D2951" t="s">
        <v>648</v>
      </c>
      <c r="E2951" t="s">
        <v>920</v>
      </c>
      <c r="F2951" t="s">
        <v>598</v>
      </c>
      <c r="G2951" t="s">
        <v>599</v>
      </c>
      <c r="H2951" t="s">
        <v>600</v>
      </c>
      <c r="I2951" t="s">
        <v>601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hidden="1">
      <c r="A2952" t="s">
        <v>18812</v>
      </c>
      <c r="B2952" t="s">
        <v>924</v>
      </c>
      <c r="C2952" t="s">
        <v>925</v>
      </c>
      <c r="D2952" t="s">
        <v>926</v>
      </c>
      <c r="E2952" t="s">
        <v>927</v>
      </c>
      <c r="F2952" t="s">
        <v>598</v>
      </c>
      <c r="G2952" t="s">
        <v>599</v>
      </c>
      <c r="H2952" t="s">
        <v>600</v>
      </c>
      <c r="I2952" t="s">
        <v>601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</row>
    <row r="2953" spans="1:25" hidden="1">
      <c r="A2953" t="s">
        <v>18812</v>
      </c>
      <c r="B2953" t="s">
        <v>935</v>
      </c>
      <c r="C2953" t="s">
        <v>925</v>
      </c>
      <c r="D2953" t="s">
        <v>934</v>
      </c>
      <c r="E2953" t="s">
        <v>605</v>
      </c>
      <c r="F2953" t="s">
        <v>598</v>
      </c>
      <c r="G2953" t="s">
        <v>599</v>
      </c>
      <c r="H2953" t="s">
        <v>600</v>
      </c>
      <c r="I2953" t="s">
        <v>601</v>
      </c>
      <c r="J2953">
        <v>1.8E-3</v>
      </c>
      <c r="K2953">
        <v>1.8E-3</v>
      </c>
      <c r="L2953">
        <v>1.8E-3</v>
      </c>
      <c r="M2953">
        <v>1.8E-3</v>
      </c>
      <c r="N2953">
        <v>1.9E-3</v>
      </c>
      <c r="O2953">
        <v>2E-3</v>
      </c>
      <c r="P2953">
        <v>2E-3</v>
      </c>
      <c r="Q2953">
        <v>2E-3</v>
      </c>
      <c r="R2953">
        <v>2E-3</v>
      </c>
      <c r="S2953">
        <v>2E-3</v>
      </c>
      <c r="T2953">
        <v>2E-3</v>
      </c>
      <c r="U2953">
        <v>2E-3</v>
      </c>
      <c r="V2953">
        <v>2E-3</v>
      </c>
      <c r="W2953">
        <v>2.0999999999999999E-3</v>
      </c>
      <c r="X2953">
        <v>2.0999999999999999E-3</v>
      </c>
      <c r="Y2953">
        <v>2.0999999999999999E-3</v>
      </c>
    </row>
    <row r="2954" spans="1:25" hidden="1">
      <c r="A2954" t="s">
        <v>18812</v>
      </c>
      <c r="B2954" t="s">
        <v>938</v>
      </c>
      <c r="C2954" t="s">
        <v>925</v>
      </c>
      <c r="D2954" t="s">
        <v>934</v>
      </c>
      <c r="E2954" t="s">
        <v>768</v>
      </c>
      <c r="F2954" t="s">
        <v>598</v>
      </c>
      <c r="G2954" t="s">
        <v>599</v>
      </c>
      <c r="H2954" t="s">
        <v>600</v>
      </c>
      <c r="I2954" t="s">
        <v>601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hidden="1">
      <c r="A2955" t="s">
        <v>18812</v>
      </c>
      <c r="B2955" t="s">
        <v>942</v>
      </c>
      <c r="C2955" t="s">
        <v>943</v>
      </c>
      <c r="D2955" t="s">
        <v>944</v>
      </c>
      <c r="E2955" t="s">
        <v>613</v>
      </c>
      <c r="F2955" t="s">
        <v>598</v>
      </c>
      <c r="G2955" t="s">
        <v>599</v>
      </c>
      <c r="H2955" t="s">
        <v>600</v>
      </c>
      <c r="I2955" t="s">
        <v>601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hidden="1">
      <c r="A2956" t="s">
        <v>18812</v>
      </c>
      <c r="B2956" t="s">
        <v>947</v>
      </c>
      <c r="C2956" t="s">
        <v>943</v>
      </c>
      <c r="D2956" t="s">
        <v>946</v>
      </c>
      <c r="E2956" t="s">
        <v>948</v>
      </c>
      <c r="F2956" t="s">
        <v>598</v>
      </c>
      <c r="G2956" t="s">
        <v>599</v>
      </c>
      <c r="H2956" t="s">
        <v>600</v>
      </c>
      <c r="I2956" t="s">
        <v>601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hidden="1">
      <c r="A2957" t="s">
        <v>18812</v>
      </c>
      <c r="B2957" t="s">
        <v>951</v>
      </c>
      <c r="C2957" t="s">
        <v>943</v>
      </c>
      <c r="D2957" t="s">
        <v>934</v>
      </c>
      <c r="E2957" t="s">
        <v>937</v>
      </c>
      <c r="F2957" t="s">
        <v>598</v>
      </c>
      <c r="G2957" t="s">
        <v>599</v>
      </c>
      <c r="H2957" t="s">
        <v>600</v>
      </c>
      <c r="I2957" t="s">
        <v>601</v>
      </c>
      <c r="J2957">
        <v>3.9100000000000003E-2</v>
      </c>
      <c r="K2957">
        <v>3.9800000000000002E-2</v>
      </c>
      <c r="L2957">
        <v>4.0500000000000001E-2</v>
      </c>
      <c r="M2957">
        <v>4.1200000000000001E-2</v>
      </c>
      <c r="N2957">
        <v>4.19E-2</v>
      </c>
      <c r="O2957">
        <v>4.2599999999999999E-2</v>
      </c>
      <c r="P2957">
        <v>4.3400000000000001E-2</v>
      </c>
      <c r="Q2957">
        <v>4.41E-2</v>
      </c>
      <c r="R2957">
        <v>4.4699999999999997E-2</v>
      </c>
      <c r="S2957">
        <v>4.5400000000000003E-2</v>
      </c>
      <c r="T2957">
        <v>4.6100000000000002E-2</v>
      </c>
      <c r="U2957">
        <v>4.6800000000000001E-2</v>
      </c>
      <c r="V2957">
        <v>4.7500000000000001E-2</v>
      </c>
      <c r="W2957">
        <v>4.82E-2</v>
      </c>
      <c r="X2957">
        <v>4.8899999999999999E-2</v>
      </c>
      <c r="Y2957">
        <v>4.9500000000000002E-2</v>
      </c>
    </row>
    <row r="2958" spans="1:25" hidden="1">
      <c r="A2958" t="s">
        <v>18812</v>
      </c>
      <c r="B2958" t="s">
        <v>955</v>
      </c>
      <c r="C2958" t="s">
        <v>956</v>
      </c>
      <c r="D2958" t="s">
        <v>931</v>
      </c>
      <c r="E2958" t="s">
        <v>597</v>
      </c>
      <c r="F2958" t="s">
        <v>598</v>
      </c>
      <c r="G2958" t="s">
        <v>599</v>
      </c>
      <c r="H2958" t="s">
        <v>600</v>
      </c>
      <c r="I2958" t="s">
        <v>601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</row>
    <row r="2959" spans="1:25" hidden="1">
      <c r="A2959" t="s">
        <v>18812</v>
      </c>
      <c r="B2959" t="s">
        <v>960</v>
      </c>
      <c r="C2959" t="s">
        <v>956</v>
      </c>
      <c r="D2959" t="s">
        <v>931</v>
      </c>
      <c r="E2959" t="s">
        <v>961</v>
      </c>
      <c r="F2959" t="s">
        <v>598</v>
      </c>
      <c r="G2959" t="s">
        <v>599</v>
      </c>
      <c r="H2959" t="s">
        <v>600</v>
      </c>
      <c r="I2959" t="s">
        <v>601</v>
      </c>
      <c r="J2959">
        <v>6.9999999999999999E-4</v>
      </c>
      <c r="K2959">
        <v>6.9999999999999999E-4</v>
      </c>
      <c r="L2959">
        <v>6.9999999999999999E-4</v>
      </c>
      <c r="M2959">
        <v>6.9999999999999999E-4</v>
      </c>
      <c r="N2959">
        <v>6.9999999999999999E-4</v>
      </c>
      <c r="O2959">
        <v>6.9999999999999999E-4</v>
      </c>
      <c r="P2959">
        <v>6.9999999999999999E-4</v>
      </c>
      <c r="Q2959">
        <v>6.9999999999999999E-4</v>
      </c>
      <c r="R2959">
        <v>6.9999999999999999E-4</v>
      </c>
      <c r="S2959">
        <v>6.9999999999999999E-4</v>
      </c>
      <c r="T2959">
        <v>6.9999999999999999E-4</v>
      </c>
      <c r="U2959">
        <v>6.9999999999999999E-4</v>
      </c>
      <c r="V2959">
        <v>8.0000000000000004E-4</v>
      </c>
      <c r="W2959">
        <v>8.0000000000000004E-4</v>
      </c>
      <c r="X2959">
        <v>8.0000000000000004E-4</v>
      </c>
      <c r="Y2959">
        <v>8.0000000000000004E-4</v>
      </c>
    </row>
    <row r="2960" spans="1:25" hidden="1">
      <c r="A2960" t="s">
        <v>18812</v>
      </c>
      <c r="B2960" t="s">
        <v>964</v>
      </c>
      <c r="C2960" t="s">
        <v>956</v>
      </c>
      <c r="D2960" t="s">
        <v>934</v>
      </c>
      <c r="E2960" t="s">
        <v>605</v>
      </c>
      <c r="F2960" t="s">
        <v>598</v>
      </c>
      <c r="G2960" t="s">
        <v>599</v>
      </c>
      <c r="H2960" t="s">
        <v>600</v>
      </c>
      <c r="I2960" t="s">
        <v>601</v>
      </c>
      <c r="J2960">
        <v>8.9999999999999998E-4</v>
      </c>
      <c r="K2960">
        <v>8.9999999999999998E-4</v>
      </c>
      <c r="L2960">
        <v>8.9999999999999998E-4</v>
      </c>
      <c r="M2960">
        <v>8.9999999999999998E-4</v>
      </c>
      <c r="N2960">
        <v>8.9999999999999998E-4</v>
      </c>
      <c r="O2960">
        <v>8.9999999999999998E-4</v>
      </c>
      <c r="P2960">
        <v>8.9999999999999998E-4</v>
      </c>
      <c r="Q2960">
        <v>8.9999999999999998E-4</v>
      </c>
      <c r="R2960">
        <v>8.9999999999999998E-4</v>
      </c>
      <c r="S2960">
        <v>8.9999999999999998E-4</v>
      </c>
      <c r="T2960">
        <v>8.9999999999999998E-4</v>
      </c>
      <c r="U2960">
        <v>8.9999999999999998E-4</v>
      </c>
      <c r="V2960">
        <v>8.9999999999999998E-4</v>
      </c>
      <c r="W2960">
        <v>8.9999999999999998E-4</v>
      </c>
      <c r="X2960">
        <v>8.9999999999999998E-4</v>
      </c>
      <c r="Y2960">
        <v>8.9999999999999998E-4</v>
      </c>
    </row>
    <row r="2961" spans="1:25" hidden="1">
      <c r="A2961" t="s">
        <v>18812</v>
      </c>
      <c r="B2961" t="s">
        <v>970</v>
      </c>
      <c r="C2961" t="s">
        <v>971</v>
      </c>
      <c r="D2961" t="s">
        <v>972</v>
      </c>
      <c r="E2961" t="s">
        <v>973</v>
      </c>
      <c r="F2961" t="s">
        <v>598</v>
      </c>
      <c r="G2961" t="s">
        <v>599</v>
      </c>
      <c r="H2961" t="s">
        <v>600</v>
      </c>
      <c r="I2961" t="s">
        <v>601</v>
      </c>
      <c r="J2961">
        <v>6.1999999999999998E-3</v>
      </c>
      <c r="K2961">
        <v>6.3E-3</v>
      </c>
      <c r="L2961">
        <v>6.3E-3</v>
      </c>
      <c r="M2961">
        <v>6.4000000000000003E-3</v>
      </c>
      <c r="N2961">
        <v>6.4000000000000003E-3</v>
      </c>
      <c r="O2961">
        <v>6.4999999999999997E-3</v>
      </c>
      <c r="P2961">
        <v>6.4999999999999997E-3</v>
      </c>
      <c r="Q2961">
        <v>6.6E-3</v>
      </c>
      <c r="R2961">
        <v>6.6E-3</v>
      </c>
      <c r="S2961">
        <v>6.7000000000000002E-3</v>
      </c>
      <c r="T2961">
        <v>6.7000000000000002E-3</v>
      </c>
      <c r="U2961">
        <v>6.7999999999999996E-3</v>
      </c>
      <c r="V2961">
        <v>6.7999999999999996E-3</v>
      </c>
      <c r="W2961">
        <v>6.8999999999999999E-3</v>
      </c>
      <c r="X2961">
        <v>6.8999999999999999E-3</v>
      </c>
      <c r="Y2961">
        <v>6.8999999999999999E-3</v>
      </c>
    </row>
    <row r="2962" spans="1:25" hidden="1">
      <c r="A2962" t="s">
        <v>18812</v>
      </c>
      <c r="B2962" t="s">
        <v>981</v>
      </c>
      <c r="C2962" t="s">
        <v>980</v>
      </c>
      <c r="D2962" t="s">
        <v>982</v>
      </c>
      <c r="E2962" t="s">
        <v>613</v>
      </c>
      <c r="F2962" t="s">
        <v>598</v>
      </c>
      <c r="G2962" t="s">
        <v>599</v>
      </c>
      <c r="H2962" t="s">
        <v>600</v>
      </c>
      <c r="I2962" t="s">
        <v>601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hidden="1">
      <c r="A2963" t="s">
        <v>18812</v>
      </c>
      <c r="B2963" t="s">
        <v>983</v>
      </c>
      <c r="C2963" t="s">
        <v>980</v>
      </c>
      <c r="D2963" t="s">
        <v>982</v>
      </c>
      <c r="E2963" t="s">
        <v>984</v>
      </c>
      <c r="F2963" t="s">
        <v>598</v>
      </c>
      <c r="G2963" t="s">
        <v>599</v>
      </c>
      <c r="H2963" t="s">
        <v>600</v>
      </c>
      <c r="I2963" t="s">
        <v>601</v>
      </c>
      <c r="J2963">
        <v>2.0000000000000001E-4</v>
      </c>
      <c r="K2963">
        <v>2.0000000000000001E-4</v>
      </c>
      <c r="L2963">
        <v>2.0000000000000001E-4</v>
      </c>
      <c r="M2963">
        <v>2.0000000000000001E-4</v>
      </c>
      <c r="N2963">
        <v>2.0000000000000001E-4</v>
      </c>
      <c r="O2963">
        <v>2.0000000000000001E-4</v>
      </c>
      <c r="P2963">
        <v>2.0000000000000001E-4</v>
      </c>
      <c r="Q2963">
        <v>2.0000000000000001E-4</v>
      </c>
      <c r="R2963">
        <v>2.0000000000000001E-4</v>
      </c>
      <c r="S2963">
        <v>2.0000000000000001E-4</v>
      </c>
      <c r="T2963">
        <v>2.0000000000000001E-4</v>
      </c>
      <c r="U2963">
        <v>2.0000000000000001E-4</v>
      </c>
      <c r="V2963">
        <v>2.0000000000000001E-4</v>
      </c>
      <c r="W2963">
        <v>2.0000000000000001E-4</v>
      </c>
      <c r="X2963">
        <v>2.0000000000000001E-4</v>
      </c>
      <c r="Y2963">
        <v>2.0000000000000001E-4</v>
      </c>
    </row>
    <row r="2964" spans="1:25" hidden="1">
      <c r="A2964" t="s">
        <v>18812</v>
      </c>
      <c r="B2964" t="s">
        <v>991</v>
      </c>
      <c r="C2964" t="s">
        <v>980</v>
      </c>
      <c r="D2964" t="s">
        <v>648</v>
      </c>
      <c r="E2964" t="s">
        <v>927</v>
      </c>
      <c r="F2964" t="s">
        <v>598</v>
      </c>
      <c r="G2964" t="s">
        <v>599</v>
      </c>
      <c r="H2964" t="s">
        <v>600</v>
      </c>
      <c r="I2964" t="s">
        <v>601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hidden="1">
      <c r="A2965" t="s">
        <v>18812</v>
      </c>
      <c r="B2965" t="s">
        <v>993</v>
      </c>
      <c r="C2965" t="s">
        <v>980</v>
      </c>
      <c r="D2965" t="s">
        <v>648</v>
      </c>
      <c r="E2965" t="s">
        <v>678</v>
      </c>
      <c r="F2965" t="s">
        <v>598</v>
      </c>
      <c r="G2965" t="s">
        <v>599</v>
      </c>
      <c r="H2965" t="s">
        <v>600</v>
      </c>
      <c r="I2965" t="s">
        <v>601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hidden="1">
      <c r="A2966" t="s">
        <v>18812</v>
      </c>
      <c r="B2966" t="s">
        <v>997</v>
      </c>
      <c r="C2966" t="s">
        <v>998</v>
      </c>
      <c r="D2966" t="s">
        <v>999</v>
      </c>
      <c r="E2966" t="s">
        <v>1000</v>
      </c>
      <c r="F2966" t="s">
        <v>598</v>
      </c>
      <c r="G2966" t="s">
        <v>599</v>
      </c>
      <c r="H2966" t="s">
        <v>600</v>
      </c>
      <c r="I2966" t="s">
        <v>601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hidden="1">
      <c r="A2967" t="s">
        <v>18812</v>
      </c>
      <c r="B2967" t="s">
        <v>1001</v>
      </c>
      <c r="C2967" t="s">
        <v>998</v>
      </c>
      <c r="D2967" t="s">
        <v>999</v>
      </c>
      <c r="E2967" t="s">
        <v>1002</v>
      </c>
      <c r="F2967" t="s">
        <v>598</v>
      </c>
      <c r="G2967" t="s">
        <v>599</v>
      </c>
      <c r="H2967" t="s">
        <v>600</v>
      </c>
      <c r="I2967" t="s">
        <v>601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hidden="1">
      <c r="A2968" t="s">
        <v>18812</v>
      </c>
      <c r="B2968" t="s">
        <v>1007</v>
      </c>
      <c r="C2968" t="s">
        <v>998</v>
      </c>
      <c r="D2968" t="s">
        <v>999</v>
      </c>
      <c r="E2968" t="s">
        <v>1008</v>
      </c>
      <c r="F2968" t="s">
        <v>598</v>
      </c>
      <c r="G2968" t="s">
        <v>599</v>
      </c>
      <c r="H2968" t="s">
        <v>600</v>
      </c>
      <c r="I2968" t="s">
        <v>601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hidden="1">
      <c r="A2969" t="s">
        <v>18812</v>
      </c>
      <c r="B2969" t="s">
        <v>1009</v>
      </c>
      <c r="C2969" t="s">
        <v>998</v>
      </c>
      <c r="D2969" t="s">
        <v>999</v>
      </c>
      <c r="E2969" t="s">
        <v>1010</v>
      </c>
      <c r="F2969" t="s">
        <v>598</v>
      </c>
      <c r="G2969" t="s">
        <v>599</v>
      </c>
      <c r="H2969" t="s">
        <v>600</v>
      </c>
      <c r="I2969" t="s">
        <v>601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hidden="1">
      <c r="A2970" t="s">
        <v>18812</v>
      </c>
      <c r="B2970" t="s">
        <v>1015</v>
      </c>
      <c r="C2970" t="s">
        <v>1016</v>
      </c>
      <c r="D2970" t="s">
        <v>1017</v>
      </c>
      <c r="E2970" t="s">
        <v>1018</v>
      </c>
      <c r="F2970" t="s">
        <v>598</v>
      </c>
      <c r="G2970" t="s">
        <v>599</v>
      </c>
      <c r="H2970" t="s">
        <v>600</v>
      </c>
      <c r="I2970" t="s">
        <v>601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hidden="1">
      <c r="A2971" t="s">
        <v>18812</v>
      </c>
      <c r="B2971" t="s">
        <v>1019</v>
      </c>
      <c r="C2971" t="s">
        <v>1016</v>
      </c>
      <c r="D2971" t="s">
        <v>1017</v>
      </c>
      <c r="E2971" t="s">
        <v>1020</v>
      </c>
      <c r="F2971" t="s">
        <v>598</v>
      </c>
      <c r="G2971" t="s">
        <v>599</v>
      </c>
      <c r="H2971" t="s">
        <v>600</v>
      </c>
      <c r="I2971" t="s">
        <v>601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hidden="1">
      <c r="A2972" t="s">
        <v>18812</v>
      </c>
      <c r="B2972" t="s">
        <v>1021</v>
      </c>
      <c r="C2972" t="s">
        <v>1016</v>
      </c>
      <c r="D2972" t="s">
        <v>1017</v>
      </c>
      <c r="E2972" t="s">
        <v>1022</v>
      </c>
      <c r="F2972" t="s">
        <v>598</v>
      </c>
      <c r="G2972" t="s">
        <v>599</v>
      </c>
      <c r="H2972" t="s">
        <v>600</v>
      </c>
      <c r="I2972" t="s">
        <v>601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hidden="1">
      <c r="A2973" t="s">
        <v>18812</v>
      </c>
      <c r="B2973" t="s">
        <v>1023</v>
      </c>
      <c r="C2973" t="s">
        <v>1016</v>
      </c>
      <c r="D2973" t="s">
        <v>1017</v>
      </c>
      <c r="E2973" t="s">
        <v>1024</v>
      </c>
      <c r="F2973" t="s">
        <v>598</v>
      </c>
      <c r="G2973" t="s">
        <v>599</v>
      </c>
      <c r="H2973" t="s">
        <v>600</v>
      </c>
      <c r="I2973" t="s">
        <v>601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hidden="1">
      <c r="A2974" t="s">
        <v>18812</v>
      </c>
      <c r="B2974" t="s">
        <v>1025</v>
      </c>
      <c r="C2974" t="s">
        <v>1016</v>
      </c>
      <c r="D2974" t="s">
        <v>1017</v>
      </c>
      <c r="E2974" t="s">
        <v>1026</v>
      </c>
      <c r="F2974" t="s">
        <v>598</v>
      </c>
      <c r="G2974" t="s">
        <v>599</v>
      </c>
      <c r="H2974" t="s">
        <v>600</v>
      </c>
      <c r="I2974" t="s">
        <v>601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hidden="1">
      <c r="A2975" t="s">
        <v>18812</v>
      </c>
      <c r="B2975" t="s">
        <v>1027</v>
      </c>
      <c r="C2975" t="s">
        <v>1016</v>
      </c>
      <c r="D2975" t="s">
        <v>1017</v>
      </c>
      <c r="E2975" t="s">
        <v>1028</v>
      </c>
      <c r="F2975" t="s">
        <v>598</v>
      </c>
      <c r="G2975" t="s">
        <v>599</v>
      </c>
      <c r="H2975" t="s">
        <v>600</v>
      </c>
      <c r="I2975" t="s">
        <v>601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hidden="1">
      <c r="A2976" t="s">
        <v>18812</v>
      </c>
      <c r="B2976" t="s">
        <v>1029</v>
      </c>
      <c r="C2976" t="s">
        <v>1016</v>
      </c>
      <c r="D2976" t="s">
        <v>1017</v>
      </c>
      <c r="E2976" t="s">
        <v>1030</v>
      </c>
      <c r="F2976" t="s">
        <v>598</v>
      </c>
      <c r="G2976" t="s">
        <v>599</v>
      </c>
      <c r="H2976" t="s">
        <v>600</v>
      </c>
      <c r="I2976" t="s">
        <v>601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hidden="1">
      <c r="A2977" t="s">
        <v>18812</v>
      </c>
      <c r="B2977" t="s">
        <v>1031</v>
      </c>
      <c r="C2977" t="s">
        <v>1016</v>
      </c>
      <c r="D2977" t="s">
        <v>1017</v>
      </c>
      <c r="E2977" t="s">
        <v>630</v>
      </c>
      <c r="F2977" t="s">
        <v>598</v>
      </c>
      <c r="G2977" t="s">
        <v>599</v>
      </c>
      <c r="H2977" t="s">
        <v>600</v>
      </c>
      <c r="I2977" t="s">
        <v>601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hidden="1">
      <c r="A2978" t="s">
        <v>18812</v>
      </c>
      <c r="B2978" t="s">
        <v>1032</v>
      </c>
      <c r="C2978" t="s">
        <v>1016</v>
      </c>
      <c r="D2978" t="s">
        <v>1017</v>
      </c>
      <c r="E2978" t="s">
        <v>1033</v>
      </c>
      <c r="F2978" t="s">
        <v>598</v>
      </c>
      <c r="G2978" t="s">
        <v>599</v>
      </c>
      <c r="H2978" t="s">
        <v>600</v>
      </c>
      <c r="I2978" t="s">
        <v>601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hidden="1">
      <c r="A2979" t="s">
        <v>18812</v>
      </c>
      <c r="B2979" t="s">
        <v>1037</v>
      </c>
      <c r="C2979" t="s">
        <v>1016</v>
      </c>
      <c r="D2979" t="s">
        <v>1017</v>
      </c>
      <c r="E2979" t="s">
        <v>1038</v>
      </c>
      <c r="F2979" t="s">
        <v>598</v>
      </c>
      <c r="G2979" t="s">
        <v>599</v>
      </c>
      <c r="H2979" t="s">
        <v>600</v>
      </c>
      <c r="I2979" t="s">
        <v>601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hidden="1">
      <c r="A2980" t="s">
        <v>18812</v>
      </c>
      <c r="B2980" t="s">
        <v>1039</v>
      </c>
      <c r="C2980" t="s">
        <v>1016</v>
      </c>
      <c r="D2980" t="s">
        <v>1017</v>
      </c>
      <c r="E2980" t="s">
        <v>1040</v>
      </c>
      <c r="F2980" t="s">
        <v>598</v>
      </c>
      <c r="G2980" t="s">
        <v>599</v>
      </c>
      <c r="H2980" t="s">
        <v>600</v>
      </c>
      <c r="I2980" t="s">
        <v>601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hidden="1">
      <c r="A2981" t="s">
        <v>18812</v>
      </c>
      <c r="B2981" t="s">
        <v>1041</v>
      </c>
      <c r="C2981" t="s">
        <v>1016</v>
      </c>
      <c r="D2981" t="s">
        <v>1017</v>
      </c>
      <c r="E2981" t="s">
        <v>1042</v>
      </c>
      <c r="F2981" t="s">
        <v>598</v>
      </c>
      <c r="G2981" t="s">
        <v>599</v>
      </c>
      <c r="H2981" t="s">
        <v>600</v>
      </c>
      <c r="I2981" t="s">
        <v>601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hidden="1">
      <c r="A2982" t="s">
        <v>18812</v>
      </c>
      <c r="B2982" t="s">
        <v>1045</v>
      </c>
      <c r="C2982" t="s">
        <v>1016</v>
      </c>
      <c r="D2982" t="s">
        <v>1017</v>
      </c>
      <c r="E2982" t="s">
        <v>1046</v>
      </c>
      <c r="F2982" t="s">
        <v>598</v>
      </c>
      <c r="G2982" t="s">
        <v>599</v>
      </c>
      <c r="H2982" t="s">
        <v>600</v>
      </c>
      <c r="I2982" t="s">
        <v>601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hidden="1">
      <c r="A2983" t="s">
        <v>18812</v>
      </c>
      <c r="B2983" t="s">
        <v>1047</v>
      </c>
      <c r="C2983" t="s">
        <v>1016</v>
      </c>
      <c r="D2983" t="s">
        <v>1017</v>
      </c>
      <c r="E2983" t="s">
        <v>1048</v>
      </c>
      <c r="F2983" t="s">
        <v>598</v>
      </c>
      <c r="G2983" t="s">
        <v>599</v>
      </c>
      <c r="H2983" t="s">
        <v>600</v>
      </c>
      <c r="I2983" t="s">
        <v>601</v>
      </c>
      <c r="J2983">
        <v>3.3700000000000001E-2</v>
      </c>
      <c r="K2983">
        <v>3.5299999999999998E-2</v>
      </c>
      <c r="L2983">
        <v>3.7100000000000001E-2</v>
      </c>
      <c r="M2983">
        <v>3.9E-2</v>
      </c>
      <c r="N2983">
        <v>4.0899999999999999E-2</v>
      </c>
      <c r="O2983">
        <v>4.2999999999999997E-2</v>
      </c>
      <c r="P2983">
        <v>4.41E-2</v>
      </c>
      <c r="Q2983">
        <v>4.53E-2</v>
      </c>
      <c r="R2983">
        <v>4.58E-2</v>
      </c>
      <c r="S2983">
        <v>4.6300000000000001E-2</v>
      </c>
      <c r="T2983">
        <v>4.6800000000000001E-2</v>
      </c>
      <c r="U2983">
        <v>4.7300000000000002E-2</v>
      </c>
      <c r="V2983">
        <v>4.7800000000000002E-2</v>
      </c>
      <c r="W2983">
        <v>4.8300000000000003E-2</v>
      </c>
      <c r="X2983">
        <v>4.8899999999999999E-2</v>
      </c>
      <c r="Y2983">
        <v>4.9399999999999999E-2</v>
      </c>
    </row>
    <row r="2984" spans="1:25" hidden="1">
      <c r="A2984" t="s">
        <v>18812</v>
      </c>
      <c r="B2984" t="s">
        <v>1049</v>
      </c>
      <c r="C2984" t="s">
        <v>1016</v>
      </c>
      <c r="D2984" t="s">
        <v>1050</v>
      </c>
      <c r="E2984" t="s">
        <v>1024</v>
      </c>
      <c r="F2984" t="s">
        <v>598</v>
      </c>
      <c r="G2984" t="s">
        <v>599</v>
      </c>
      <c r="H2984" t="s">
        <v>600</v>
      </c>
      <c r="I2984" t="s">
        <v>601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hidden="1">
      <c r="A2985" t="s">
        <v>18812</v>
      </c>
      <c r="B2985" t="s">
        <v>1051</v>
      </c>
      <c r="C2985" t="s">
        <v>1016</v>
      </c>
      <c r="D2985" t="s">
        <v>1050</v>
      </c>
      <c r="E2985" t="s">
        <v>1052</v>
      </c>
      <c r="F2985" t="s">
        <v>598</v>
      </c>
      <c r="G2985" t="s">
        <v>599</v>
      </c>
      <c r="H2985" t="s">
        <v>600</v>
      </c>
      <c r="I2985" t="s">
        <v>601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hidden="1">
      <c r="A2986" t="s">
        <v>18812</v>
      </c>
      <c r="B2986" t="s">
        <v>1053</v>
      </c>
      <c r="C2986" t="s">
        <v>1016</v>
      </c>
      <c r="D2986" t="s">
        <v>1050</v>
      </c>
      <c r="E2986" t="s">
        <v>1000</v>
      </c>
      <c r="F2986" t="s">
        <v>598</v>
      </c>
      <c r="G2986" t="s">
        <v>599</v>
      </c>
      <c r="H2986" t="s">
        <v>600</v>
      </c>
      <c r="I2986" t="s">
        <v>601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hidden="1">
      <c r="A2987" t="s">
        <v>18812</v>
      </c>
      <c r="B2987" t="s">
        <v>1054</v>
      </c>
      <c r="C2987" t="s">
        <v>1016</v>
      </c>
      <c r="D2987" t="s">
        <v>1050</v>
      </c>
      <c r="E2987" t="s">
        <v>1055</v>
      </c>
      <c r="F2987" t="s">
        <v>598</v>
      </c>
      <c r="G2987" t="s">
        <v>599</v>
      </c>
      <c r="H2987" t="s">
        <v>600</v>
      </c>
      <c r="I2987" t="s">
        <v>601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hidden="1">
      <c r="A2988" t="s">
        <v>18812</v>
      </c>
      <c r="B2988" t="s">
        <v>1056</v>
      </c>
      <c r="C2988" t="s">
        <v>1016</v>
      </c>
      <c r="D2988" t="s">
        <v>1050</v>
      </c>
      <c r="E2988" t="s">
        <v>1002</v>
      </c>
      <c r="F2988" t="s">
        <v>598</v>
      </c>
      <c r="G2988" t="s">
        <v>599</v>
      </c>
      <c r="H2988" t="s">
        <v>600</v>
      </c>
      <c r="I2988" t="s">
        <v>601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hidden="1">
      <c r="A2989" t="s">
        <v>18812</v>
      </c>
      <c r="B2989" t="s">
        <v>1059</v>
      </c>
      <c r="C2989" t="s">
        <v>1016</v>
      </c>
      <c r="D2989" t="s">
        <v>1050</v>
      </c>
      <c r="E2989" t="s">
        <v>1042</v>
      </c>
      <c r="F2989" t="s">
        <v>598</v>
      </c>
      <c r="G2989" t="s">
        <v>599</v>
      </c>
      <c r="H2989" t="s">
        <v>600</v>
      </c>
      <c r="I2989" t="s">
        <v>601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hidden="1">
      <c r="A2990" t="s">
        <v>18812</v>
      </c>
      <c r="B2990" t="s">
        <v>1060</v>
      </c>
      <c r="C2990" t="s">
        <v>1016</v>
      </c>
      <c r="D2990" t="s">
        <v>1050</v>
      </c>
      <c r="E2990" t="s">
        <v>1044</v>
      </c>
      <c r="F2990" t="s">
        <v>598</v>
      </c>
      <c r="G2990" t="s">
        <v>599</v>
      </c>
      <c r="H2990" t="s">
        <v>600</v>
      </c>
      <c r="I2990" t="s">
        <v>601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hidden="1">
      <c r="A2991" t="s">
        <v>18812</v>
      </c>
      <c r="B2991" t="s">
        <v>1061</v>
      </c>
      <c r="C2991" t="s">
        <v>1016</v>
      </c>
      <c r="D2991" t="s">
        <v>1050</v>
      </c>
      <c r="E2991" t="s">
        <v>1048</v>
      </c>
      <c r="F2991" t="s">
        <v>598</v>
      </c>
      <c r="G2991" t="s">
        <v>599</v>
      </c>
      <c r="H2991" t="s">
        <v>600</v>
      </c>
      <c r="I2991" t="s">
        <v>601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hidden="1">
      <c r="A2992" t="s">
        <v>18812</v>
      </c>
      <c r="B2992" t="s">
        <v>1062</v>
      </c>
      <c r="C2992" t="s">
        <v>1016</v>
      </c>
      <c r="D2992" t="s">
        <v>1063</v>
      </c>
      <c r="E2992" t="s">
        <v>1018</v>
      </c>
      <c r="F2992" t="s">
        <v>598</v>
      </c>
      <c r="G2992" t="s">
        <v>599</v>
      </c>
      <c r="H2992" t="s">
        <v>600</v>
      </c>
      <c r="I2992" t="s">
        <v>601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hidden="1">
      <c r="A2993" t="s">
        <v>18812</v>
      </c>
      <c r="B2993" t="s">
        <v>1064</v>
      </c>
      <c r="C2993" t="s">
        <v>1016</v>
      </c>
      <c r="D2993" t="s">
        <v>1063</v>
      </c>
      <c r="E2993" t="s">
        <v>1022</v>
      </c>
      <c r="F2993" t="s">
        <v>598</v>
      </c>
      <c r="G2993" t="s">
        <v>599</v>
      </c>
      <c r="H2993" t="s">
        <v>600</v>
      </c>
      <c r="I2993" t="s">
        <v>601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hidden="1">
      <c r="A2994" t="s">
        <v>18812</v>
      </c>
      <c r="B2994" t="s">
        <v>1065</v>
      </c>
      <c r="C2994" t="s">
        <v>1016</v>
      </c>
      <c r="D2994" t="s">
        <v>1063</v>
      </c>
      <c r="E2994" t="s">
        <v>1024</v>
      </c>
      <c r="F2994" t="s">
        <v>598</v>
      </c>
      <c r="G2994" t="s">
        <v>599</v>
      </c>
      <c r="H2994" t="s">
        <v>600</v>
      </c>
      <c r="I2994" t="s">
        <v>601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hidden="1">
      <c r="A2995" t="s">
        <v>18812</v>
      </c>
      <c r="B2995" t="s">
        <v>1066</v>
      </c>
      <c r="C2995" t="s">
        <v>1016</v>
      </c>
      <c r="D2995" t="s">
        <v>1063</v>
      </c>
      <c r="E2995" t="s">
        <v>1052</v>
      </c>
      <c r="F2995" t="s">
        <v>598</v>
      </c>
      <c r="G2995" t="s">
        <v>599</v>
      </c>
      <c r="H2995" t="s">
        <v>600</v>
      </c>
      <c r="I2995" t="s">
        <v>601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hidden="1">
      <c r="A2996" t="s">
        <v>18812</v>
      </c>
      <c r="B2996" t="s">
        <v>1067</v>
      </c>
      <c r="C2996" t="s">
        <v>1016</v>
      </c>
      <c r="D2996" t="s">
        <v>1063</v>
      </c>
      <c r="E2996" t="s">
        <v>1026</v>
      </c>
      <c r="F2996" t="s">
        <v>598</v>
      </c>
      <c r="G2996" t="s">
        <v>599</v>
      </c>
      <c r="H2996" t="s">
        <v>600</v>
      </c>
      <c r="I2996" t="s">
        <v>601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hidden="1">
      <c r="A2997" t="s">
        <v>18812</v>
      </c>
      <c r="B2997" t="s">
        <v>1068</v>
      </c>
      <c r="C2997" t="s">
        <v>1016</v>
      </c>
      <c r="D2997" t="s">
        <v>1063</v>
      </c>
      <c r="E2997" t="s">
        <v>1030</v>
      </c>
      <c r="F2997" t="s">
        <v>598</v>
      </c>
      <c r="G2997" t="s">
        <v>599</v>
      </c>
      <c r="H2997" t="s">
        <v>600</v>
      </c>
      <c r="I2997" t="s">
        <v>601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hidden="1">
      <c r="A2998" t="s">
        <v>18812</v>
      </c>
      <c r="B2998" t="s">
        <v>1069</v>
      </c>
      <c r="C2998" t="s">
        <v>1016</v>
      </c>
      <c r="D2998" t="s">
        <v>1063</v>
      </c>
      <c r="E2998" t="s">
        <v>1035</v>
      </c>
      <c r="F2998" t="s">
        <v>598</v>
      </c>
      <c r="G2998" t="s">
        <v>599</v>
      </c>
      <c r="H2998" t="s">
        <v>600</v>
      </c>
      <c r="I2998" t="s">
        <v>601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hidden="1">
      <c r="A2999" t="s">
        <v>18812</v>
      </c>
      <c r="B2999" t="s">
        <v>1070</v>
      </c>
      <c r="C2999" t="s">
        <v>1016</v>
      </c>
      <c r="D2999" t="s">
        <v>1063</v>
      </c>
      <c r="E2999" t="s">
        <v>1000</v>
      </c>
      <c r="F2999" t="s">
        <v>598</v>
      </c>
      <c r="G2999" t="s">
        <v>599</v>
      </c>
      <c r="H2999" t="s">
        <v>600</v>
      </c>
      <c r="I2999" t="s">
        <v>601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hidden="1">
      <c r="A3000" t="s">
        <v>18812</v>
      </c>
      <c r="B3000" t="s">
        <v>1071</v>
      </c>
      <c r="C3000" t="s">
        <v>1016</v>
      </c>
      <c r="D3000" t="s">
        <v>1063</v>
      </c>
      <c r="E3000" t="s">
        <v>1038</v>
      </c>
      <c r="F3000" t="s">
        <v>598</v>
      </c>
      <c r="G3000" t="s">
        <v>599</v>
      </c>
      <c r="H3000" t="s">
        <v>600</v>
      </c>
      <c r="I3000" t="s">
        <v>601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hidden="1">
      <c r="A3001" t="s">
        <v>18812</v>
      </c>
      <c r="B3001" t="s">
        <v>1072</v>
      </c>
      <c r="C3001" t="s">
        <v>1016</v>
      </c>
      <c r="D3001" t="s">
        <v>1063</v>
      </c>
      <c r="E3001" t="s">
        <v>1040</v>
      </c>
      <c r="F3001" t="s">
        <v>598</v>
      </c>
      <c r="G3001" t="s">
        <v>599</v>
      </c>
      <c r="H3001" t="s">
        <v>600</v>
      </c>
      <c r="I3001" t="s">
        <v>601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hidden="1">
      <c r="A3002" t="s">
        <v>18812</v>
      </c>
      <c r="B3002" t="s">
        <v>1073</v>
      </c>
      <c r="C3002" t="s">
        <v>1016</v>
      </c>
      <c r="D3002" t="s">
        <v>1063</v>
      </c>
      <c r="E3002" t="s">
        <v>1042</v>
      </c>
      <c r="F3002" t="s">
        <v>598</v>
      </c>
      <c r="G3002" t="s">
        <v>599</v>
      </c>
      <c r="H3002" t="s">
        <v>600</v>
      </c>
      <c r="I3002" t="s">
        <v>601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hidden="1">
      <c r="A3003" t="s">
        <v>18812</v>
      </c>
      <c r="B3003" t="s">
        <v>1074</v>
      </c>
      <c r="C3003" t="s">
        <v>1016</v>
      </c>
      <c r="D3003" t="s">
        <v>1063</v>
      </c>
      <c r="E3003" t="s">
        <v>1044</v>
      </c>
      <c r="F3003" t="s">
        <v>598</v>
      </c>
      <c r="G3003" t="s">
        <v>599</v>
      </c>
      <c r="H3003" t="s">
        <v>600</v>
      </c>
      <c r="I3003" t="s">
        <v>601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hidden="1">
      <c r="A3004" t="s">
        <v>18812</v>
      </c>
      <c r="B3004" t="s">
        <v>1075</v>
      </c>
      <c r="C3004" t="s">
        <v>1016</v>
      </c>
      <c r="D3004" t="s">
        <v>1063</v>
      </c>
      <c r="E3004" t="s">
        <v>1046</v>
      </c>
      <c r="F3004" t="s">
        <v>598</v>
      </c>
      <c r="G3004" t="s">
        <v>599</v>
      </c>
      <c r="H3004" t="s">
        <v>600</v>
      </c>
      <c r="I3004" t="s">
        <v>601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</row>
    <row r="3005" spans="1:25" hidden="1">
      <c r="A3005" t="s">
        <v>18812</v>
      </c>
      <c r="B3005" t="s">
        <v>1076</v>
      </c>
      <c r="C3005" t="s">
        <v>1016</v>
      </c>
      <c r="D3005" t="s">
        <v>1063</v>
      </c>
      <c r="E3005" t="s">
        <v>1048</v>
      </c>
      <c r="F3005" t="s">
        <v>598</v>
      </c>
      <c r="G3005" t="s">
        <v>599</v>
      </c>
      <c r="H3005" t="s">
        <v>600</v>
      </c>
      <c r="I3005" t="s">
        <v>601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hidden="1">
      <c r="A3006" t="s">
        <v>18812</v>
      </c>
      <c r="B3006" t="s">
        <v>1078</v>
      </c>
      <c r="C3006" t="s">
        <v>1079</v>
      </c>
      <c r="D3006" t="s">
        <v>1080</v>
      </c>
      <c r="E3006" t="s">
        <v>1081</v>
      </c>
      <c r="F3006" t="s">
        <v>598</v>
      </c>
      <c r="G3006" t="s">
        <v>599</v>
      </c>
      <c r="H3006" t="s">
        <v>600</v>
      </c>
      <c r="I3006" t="s">
        <v>601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hidden="1">
      <c r="A3007" t="s">
        <v>18812</v>
      </c>
      <c r="B3007" t="s">
        <v>1087</v>
      </c>
      <c r="C3007" t="s">
        <v>1079</v>
      </c>
      <c r="D3007" t="s">
        <v>1086</v>
      </c>
      <c r="E3007" t="s">
        <v>1081</v>
      </c>
      <c r="F3007" t="s">
        <v>598</v>
      </c>
      <c r="G3007" t="s">
        <v>599</v>
      </c>
      <c r="H3007" t="s">
        <v>600</v>
      </c>
      <c r="I3007" t="s">
        <v>601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hidden="1">
      <c r="A3008" t="s">
        <v>18812</v>
      </c>
      <c r="B3008" t="s">
        <v>1090</v>
      </c>
      <c r="C3008" t="s">
        <v>1079</v>
      </c>
      <c r="D3008" t="s">
        <v>1086</v>
      </c>
      <c r="E3008" t="s">
        <v>1091</v>
      </c>
      <c r="F3008" t="s">
        <v>598</v>
      </c>
      <c r="G3008" t="s">
        <v>599</v>
      </c>
      <c r="H3008" t="s">
        <v>600</v>
      </c>
      <c r="I3008" t="s">
        <v>601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hidden="1">
      <c r="A3009" t="s">
        <v>18812</v>
      </c>
      <c r="B3009" t="s">
        <v>1094</v>
      </c>
      <c r="C3009" t="s">
        <v>1079</v>
      </c>
      <c r="D3009" t="s">
        <v>1086</v>
      </c>
      <c r="E3009" t="s">
        <v>1095</v>
      </c>
      <c r="F3009" t="s">
        <v>598</v>
      </c>
      <c r="G3009" t="s">
        <v>599</v>
      </c>
      <c r="H3009" t="s">
        <v>600</v>
      </c>
      <c r="I3009" t="s">
        <v>601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hidden="1">
      <c r="A3010" t="s">
        <v>18812</v>
      </c>
      <c r="B3010" t="s">
        <v>1100</v>
      </c>
      <c r="C3010" t="s">
        <v>1079</v>
      </c>
      <c r="D3010" t="s">
        <v>1086</v>
      </c>
      <c r="E3010" t="s">
        <v>1101</v>
      </c>
      <c r="F3010" t="s">
        <v>598</v>
      </c>
      <c r="G3010" t="s">
        <v>599</v>
      </c>
      <c r="H3010" t="s">
        <v>600</v>
      </c>
      <c r="I3010" t="s">
        <v>601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hidden="1">
      <c r="A3011" t="s">
        <v>18812</v>
      </c>
      <c r="B3011" t="s">
        <v>1107</v>
      </c>
      <c r="C3011" t="s">
        <v>1079</v>
      </c>
      <c r="D3011" t="s">
        <v>1108</v>
      </c>
      <c r="E3011" t="s">
        <v>1081</v>
      </c>
      <c r="F3011" t="s">
        <v>598</v>
      </c>
      <c r="G3011" t="s">
        <v>599</v>
      </c>
      <c r="H3011" t="s">
        <v>600</v>
      </c>
      <c r="I3011" t="s">
        <v>601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hidden="1">
      <c r="A3012" t="s">
        <v>18812</v>
      </c>
      <c r="B3012" t="s">
        <v>1109</v>
      </c>
      <c r="C3012" t="s">
        <v>1079</v>
      </c>
      <c r="D3012" t="s">
        <v>1108</v>
      </c>
      <c r="E3012" t="s">
        <v>1091</v>
      </c>
      <c r="F3012" t="s">
        <v>598</v>
      </c>
      <c r="G3012" t="s">
        <v>599</v>
      </c>
      <c r="H3012" t="s">
        <v>600</v>
      </c>
      <c r="I3012" t="s">
        <v>601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hidden="1">
      <c r="A3013" t="s">
        <v>18812</v>
      </c>
      <c r="B3013" t="s">
        <v>1113</v>
      </c>
      <c r="C3013" t="s">
        <v>1079</v>
      </c>
      <c r="D3013" t="s">
        <v>1108</v>
      </c>
      <c r="E3013" t="s">
        <v>1101</v>
      </c>
      <c r="F3013" t="s">
        <v>598</v>
      </c>
      <c r="G3013" t="s">
        <v>599</v>
      </c>
      <c r="H3013" t="s">
        <v>600</v>
      </c>
      <c r="I3013" t="s">
        <v>601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hidden="1">
      <c r="A3014" t="s">
        <v>18812</v>
      </c>
      <c r="B3014" t="s">
        <v>1119</v>
      </c>
      <c r="C3014" t="s">
        <v>1079</v>
      </c>
      <c r="D3014" t="s">
        <v>1115</v>
      </c>
      <c r="E3014" t="s">
        <v>1101</v>
      </c>
      <c r="F3014" t="s">
        <v>598</v>
      </c>
      <c r="G3014" t="s">
        <v>599</v>
      </c>
      <c r="H3014" t="s">
        <v>600</v>
      </c>
      <c r="I3014" t="s">
        <v>601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hidden="1">
      <c r="A3015" t="s">
        <v>18812</v>
      </c>
      <c r="B3015" t="s">
        <v>1125</v>
      </c>
      <c r="C3015" t="s">
        <v>1079</v>
      </c>
      <c r="D3015" t="s">
        <v>1126</v>
      </c>
      <c r="E3015" t="s">
        <v>1081</v>
      </c>
      <c r="F3015" t="s">
        <v>598</v>
      </c>
      <c r="G3015" t="s">
        <v>599</v>
      </c>
      <c r="H3015" t="s">
        <v>600</v>
      </c>
      <c r="I3015" t="s">
        <v>601</v>
      </c>
      <c r="J3015">
        <v>4.0000000000000002E-4</v>
      </c>
      <c r="K3015">
        <v>4.0000000000000002E-4</v>
      </c>
      <c r="L3015">
        <v>5.0000000000000001E-4</v>
      </c>
      <c r="M3015">
        <v>5.0000000000000001E-4</v>
      </c>
      <c r="N3015">
        <v>5.0000000000000001E-4</v>
      </c>
      <c r="O3015">
        <v>5.0000000000000001E-4</v>
      </c>
      <c r="P3015">
        <v>5.0000000000000001E-4</v>
      </c>
      <c r="Q3015">
        <v>5.9999999999999995E-4</v>
      </c>
      <c r="R3015">
        <v>5.9999999999999995E-4</v>
      </c>
      <c r="S3015">
        <v>5.9999999999999995E-4</v>
      </c>
      <c r="T3015">
        <v>5.9999999999999995E-4</v>
      </c>
      <c r="U3015">
        <v>5.9999999999999995E-4</v>
      </c>
      <c r="V3015">
        <v>5.9999999999999995E-4</v>
      </c>
      <c r="W3015">
        <v>5.9999999999999995E-4</v>
      </c>
      <c r="X3015">
        <v>5.9999999999999995E-4</v>
      </c>
      <c r="Y3015">
        <v>5.9999999999999995E-4</v>
      </c>
    </row>
    <row r="3016" spans="1:25" hidden="1">
      <c r="A3016" t="s">
        <v>18812</v>
      </c>
      <c r="B3016" t="s">
        <v>1131</v>
      </c>
      <c r="C3016" t="s">
        <v>1079</v>
      </c>
      <c r="D3016" t="s">
        <v>1126</v>
      </c>
      <c r="E3016" t="s">
        <v>1101</v>
      </c>
      <c r="F3016" t="s">
        <v>598</v>
      </c>
      <c r="G3016" t="s">
        <v>599</v>
      </c>
      <c r="H3016" t="s">
        <v>600</v>
      </c>
      <c r="I3016" t="s">
        <v>601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hidden="1">
      <c r="A3017" t="s">
        <v>18812</v>
      </c>
      <c r="B3017" t="s">
        <v>1144</v>
      </c>
      <c r="C3017" t="s">
        <v>1079</v>
      </c>
      <c r="D3017" t="s">
        <v>1145</v>
      </c>
      <c r="E3017" t="s">
        <v>1081</v>
      </c>
      <c r="F3017" t="s">
        <v>598</v>
      </c>
      <c r="G3017" t="s">
        <v>599</v>
      </c>
      <c r="H3017" t="s">
        <v>600</v>
      </c>
      <c r="I3017" t="s">
        <v>601</v>
      </c>
      <c r="J3017">
        <v>4.7999999999999996E-3</v>
      </c>
      <c r="K3017">
        <v>5.0000000000000001E-3</v>
      </c>
      <c r="L3017">
        <v>5.3E-3</v>
      </c>
      <c r="M3017">
        <v>5.5999999999999999E-3</v>
      </c>
      <c r="N3017">
        <v>5.7999999999999996E-3</v>
      </c>
      <c r="O3017">
        <v>6.1999999999999998E-3</v>
      </c>
      <c r="P3017">
        <v>6.3E-3</v>
      </c>
      <c r="Q3017">
        <v>6.4999999999999997E-3</v>
      </c>
      <c r="R3017">
        <v>6.6E-3</v>
      </c>
      <c r="S3017">
        <v>6.6E-3</v>
      </c>
      <c r="T3017">
        <v>6.7000000000000002E-3</v>
      </c>
      <c r="U3017">
        <v>6.7999999999999996E-3</v>
      </c>
      <c r="V3017">
        <v>6.8999999999999999E-3</v>
      </c>
      <c r="W3017">
        <v>6.8999999999999999E-3</v>
      </c>
      <c r="X3017">
        <v>7.1000000000000004E-3</v>
      </c>
      <c r="Y3017">
        <v>7.1999999999999998E-3</v>
      </c>
    </row>
    <row r="3018" spans="1:25" hidden="1">
      <c r="A3018" t="s">
        <v>18812</v>
      </c>
      <c r="B3018" t="s">
        <v>1151</v>
      </c>
      <c r="C3018" t="s">
        <v>1079</v>
      </c>
      <c r="D3018" t="s">
        <v>1145</v>
      </c>
      <c r="E3018" t="s">
        <v>1101</v>
      </c>
      <c r="F3018" t="s">
        <v>598</v>
      </c>
      <c r="G3018" t="s">
        <v>599</v>
      </c>
      <c r="H3018" t="s">
        <v>600</v>
      </c>
      <c r="I3018" t="s">
        <v>601</v>
      </c>
      <c r="J3018">
        <v>5.9999999999999995E-4</v>
      </c>
      <c r="K3018">
        <v>5.9999999999999995E-4</v>
      </c>
      <c r="L3018">
        <v>5.9999999999999995E-4</v>
      </c>
      <c r="M3018">
        <v>5.9999999999999995E-4</v>
      </c>
      <c r="N3018">
        <v>5.9999999999999995E-4</v>
      </c>
      <c r="O3018">
        <v>5.9999999999999995E-4</v>
      </c>
      <c r="P3018">
        <v>5.9999999999999995E-4</v>
      </c>
      <c r="Q3018">
        <v>6.9999999999999999E-4</v>
      </c>
      <c r="R3018">
        <v>6.9999999999999999E-4</v>
      </c>
      <c r="S3018">
        <v>6.9999999999999999E-4</v>
      </c>
      <c r="T3018">
        <v>6.9999999999999999E-4</v>
      </c>
      <c r="U3018">
        <v>6.9999999999999999E-4</v>
      </c>
      <c r="V3018">
        <v>6.9999999999999999E-4</v>
      </c>
      <c r="W3018">
        <v>8.0000000000000004E-4</v>
      </c>
      <c r="X3018">
        <v>8.0000000000000004E-4</v>
      </c>
      <c r="Y3018">
        <v>8.0000000000000004E-4</v>
      </c>
    </row>
    <row r="3019" spans="1:25" hidden="1">
      <c r="A3019" t="s">
        <v>18812</v>
      </c>
      <c r="B3019" t="s">
        <v>1154</v>
      </c>
      <c r="C3019" t="s">
        <v>1079</v>
      </c>
      <c r="D3019" t="s">
        <v>1145</v>
      </c>
      <c r="E3019" t="s">
        <v>1103</v>
      </c>
      <c r="F3019" t="s">
        <v>598</v>
      </c>
      <c r="G3019" t="s">
        <v>599</v>
      </c>
      <c r="H3019" t="s">
        <v>600</v>
      </c>
      <c r="I3019" t="s">
        <v>601</v>
      </c>
      <c r="J3019">
        <v>1E-4</v>
      </c>
      <c r="K3019">
        <v>1E-4</v>
      </c>
      <c r="L3019">
        <v>1E-4</v>
      </c>
      <c r="M3019">
        <v>1E-4</v>
      </c>
      <c r="N3019">
        <v>1E-4</v>
      </c>
      <c r="O3019">
        <v>1E-4</v>
      </c>
      <c r="P3019">
        <v>1E-4</v>
      </c>
      <c r="Q3019">
        <v>1E-4</v>
      </c>
      <c r="R3019">
        <v>1E-4</v>
      </c>
      <c r="S3019">
        <v>1E-4</v>
      </c>
      <c r="T3019">
        <v>1E-4</v>
      </c>
      <c r="U3019">
        <v>1E-4</v>
      </c>
      <c r="V3019">
        <v>1E-4</v>
      </c>
      <c r="W3019">
        <v>1E-4</v>
      </c>
      <c r="X3019">
        <v>1E-4</v>
      </c>
      <c r="Y3019">
        <v>1E-4</v>
      </c>
    </row>
    <row r="3020" spans="1:25" hidden="1">
      <c r="A3020" t="s">
        <v>18812</v>
      </c>
      <c r="B3020" t="s">
        <v>1155</v>
      </c>
      <c r="C3020" t="s">
        <v>1079</v>
      </c>
      <c r="D3020" t="s">
        <v>1156</v>
      </c>
      <c r="E3020" t="s">
        <v>1081</v>
      </c>
      <c r="F3020" t="s">
        <v>598</v>
      </c>
      <c r="G3020" t="s">
        <v>599</v>
      </c>
      <c r="H3020" t="s">
        <v>600</v>
      </c>
      <c r="I3020" t="s">
        <v>601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hidden="1">
      <c r="A3021" t="s">
        <v>18812</v>
      </c>
      <c r="B3021" t="s">
        <v>1160</v>
      </c>
      <c r="C3021" t="s">
        <v>1079</v>
      </c>
      <c r="D3021" t="s">
        <v>1156</v>
      </c>
      <c r="E3021" t="s">
        <v>1099</v>
      </c>
      <c r="F3021" t="s">
        <v>598</v>
      </c>
      <c r="G3021" t="s">
        <v>599</v>
      </c>
      <c r="H3021" t="s">
        <v>600</v>
      </c>
      <c r="I3021" t="s">
        <v>601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hidden="1">
      <c r="A3022" t="s">
        <v>18812</v>
      </c>
      <c r="B3022" t="s">
        <v>1162</v>
      </c>
      <c r="C3022" t="s">
        <v>1079</v>
      </c>
      <c r="D3022" t="s">
        <v>1156</v>
      </c>
      <c r="E3022" t="s">
        <v>1103</v>
      </c>
      <c r="F3022" t="s">
        <v>598</v>
      </c>
      <c r="G3022" t="s">
        <v>599</v>
      </c>
      <c r="H3022" t="s">
        <v>600</v>
      </c>
      <c r="I3022" t="s">
        <v>601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hidden="1">
      <c r="A3023" t="s">
        <v>18812</v>
      </c>
      <c r="B3023" t="s">
        <v>1185</v>
      </c>
      <c r="C3023" t="s">
        <v>1079</v>
      </c>
      <c r="D3023" t="s">
        <v>1180</v>
      </c>
      <c r="E3023" t="s">
        <v>1101</v>
      </c>
      <c r="F3023" t="s">
        <v>598</v>
      </c>
      <c r="G3023" t="s">
        <v>599</v>
      </c>
      <c r="H3023" t="s">
        <v>600</v>
      </c>
      <c r="I3023" t="s">
        <v>601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hidden="1">
      <c r="A3024" t="s">
        <v>18812</v>
      </c>
      <c r="B3024" t="s">
        <v>1186</v>
      </c>
      <c r="C3024" t="s">
        <v>1079</v>
      </c>
      <c r="D3024" t="s">
        <v>1180</v>
      </c>
      <c r="E3024" t="s">
        <v>1103</v>
      </c>
      <c r="F3024" t="s">
        <v>598</v>
      </c>
      <c r="G3024" t="s">
        <v>599</v>
      </c>
      <c r="H3024" t="s">
        <v>600</v>
      </c>
      <c r="I3024" t="s">
        <v>601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hidden="1">
      <c r="A3025" t="s">
        <v>18812</v>
      </c>
      <c r="B3025" t="s">
        <v>1187</v>
      </c>
      <c r="C3025" t="s">
        <v>1079</v>
      </c>
      <c r="D3025" t="s">
        <v>1188</v>
      </c>
      <c r="E3025" t="s">
        <v>1018</v>
      </c>
      <c r="F3025" t="s">
        <v>598</v>
      </c>
      <c r="G3025" t="s">
        <v>599</v>
      </c>
      <c r="H3025" t="s">
        <v>600</v>
      </c>
      <c r="I3025" t="s">
        <v>601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hidden="1">
      <c r="A3026" t="s">
        <v>18812</v>
      </c>
      <c r="B3026" t="s">
        <v>1189</v>
      </c>
      <c r="C3026" t="s">
        <v>1079</v>
      </c>
      <c r="D3026" t="s">
        <v>1188</v>
      </c>
      <c r="E3026" t="s">
        <v>888</v>
      </c>
      <c r="F3026" t="s">
        <v>598</v>
      </c>
      <c r="G3026" t="s">
        <v>599</v>
      </c>
      <c r="H3026" t="s">
        <v>600</v>
      </c>
      <c r="I3026" t="s">
        <v>601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hidden="1">
      <c r="A3027" t="s">
        <v>18812</v>
      </c>
      <c r="B3027" t="s">
        <v>1190</v>
      </c>
      <c r="C3027" t="s">
        <v>1079</v>
      </c>
      <c r="D3027" t="s">
        <v>1188</v>
      </c>
      <c r="E3027" t="s">
        <v>1020</v>
      </c>
      <c r="F3027" t="s">
        <v>598</v>
      </c>
      <c r="G3027" t="s">
        <v>599</v>
      </c>
      <c r="H3027" t="s">
        <v>600</v>
      </c>
      <c r="I3027" t="s">
        <v>601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hidden="1">
      <c r="A3028" t="s">
        <v>18812</v>
      </c>
      <c r="B3028" t="s">
        <v>1203</v>
      </c>
      <c r="C3028" t="s">
        <v>1079</v>
      </c>
      <c r="D3028" t="s">
        <v>1188</v>
      </c>
      <c r="E3028" t="s">
        <v>1028</v>
      </c>
      <c r="F3028" t="s">
        <v>598</v>
      </c>
      <c r="G3028" t="s">
        <v>599</v>
      </c>
      <c r="H3028" t="s">
        <v>600</v>
      </c>
      <c r="I3028" t="s">
        <v>601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hidden="1">
      <c r="A3029" t="s">
        <v>18812</v>
      </c>
      <c r="B3029" t="s">
        <v>1204</v>
      </c>
      <c r="C3029" t="s">
        <v>1079</v>
      </c>
      <c r="D3029" t="s">
        <v>1188</v>
      </c>
      <c r="E3029" t="s">
        <v>630</v>
      </c>
      <c r="F3029" t="s">
        <v>598</v>
      </c>
      <c r="G3029" t="s">
        <v>599</v>
      </c>
      <c r="H3029" t="s">
        <v>600</v>
      </c>
      <c r="I3029" t="s">
        <v>601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hidden="1">
      <c r="A3030" t="s">
        <v>18812</v>
      </c>
      <c r="B3030" t="s">
        <v>1205</v>
      </c>
      <c r="C3030" t="s">
        <v>1079</v>
      </c>
      <c r="D3030" t="s">
        <v>1188</v>
      </c>
      <c r="E3030" t="s">
        <v>1206</v>
      </c>
      <c r="F3030" t="s">
        <v>598</v>
      </c>
      <c r="G3030" t="s">
        <v>599</v>
      </c>
      <c r="H3030" t="s">
        <v>600</v>
      </c>
      <c r="I3030" t="s">
        <v>601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hidden="1">
      <c r="A3031" t="s">
        <v>18812</v>
      </c>
      <c r="B3031" t="s">
        <v>1207</v>
      </c>
      <c r="C3031" t="s">
        <v>1079</v>
      </c>
      <c r="D3031" t="s">
        <v>1188</v>
      </c>
      <c r="E3031" t="s">
        <v>1033</v>
      </c>
      <c r="F3031" t="s">
        <v>598</v>
      </c>
      <c r="G3031" t="s">
        <v>599</v>
      </c>
      <c r="H3031" t="s">
        <v>600</v>
      </c>
      <c r="I3031" t="s">
        <v>601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hidden="1">
      <c r="A3032" t="s">
        <v>18812</v>
      </c>
      <c r="B3032" t="s">
        <v>1215</v>
      </c>
      <c r="C3032" t="s">
        <v>1079</v>
      </c>
      <c r="D3032" t="s">
        <v>1188</v>
      </c>
      <c r="E3032" t="s">
        <v>1216</v>
      </c>
      <c r="F3032" t="s">
        <v>598</v>
      </c>
      <c r="G3032" t="s">
        <v>599</v>
      </c>
      <c r="H3032" t="s">
        <v>600</v>
      </c>
      <c r="I3032" t="s">
        <v>601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hidden="1">
      <c r="A3033" t="s">
        <v>18812</v>
      </c>
      <c r="B3033" t="s">
        <v>1217</v>
      </c>
      <c r="C3033" t="s">
        <v>1079</v>
      </c>
      <c r="D3033" t="s">
        <v>1188</v>
      </c>
      <c r="E3033" t="s">
        <v>1106</v>
      </c>
      <c r="F3033" t="s">
        <v>598</v>
      </c>
      <c r="G3033" t="s">
        <v>599</v>
      </c>
      <c r="H3033" t="s">
        <v>600</v>
      </c>
      <c r="I3033" t="s">
        <v>601</v>
      </c>
      <c r="J3033">
        <v>1.5E-3</v>
      </c>
      <c r="K3033">
        <v>1.6000000000000001E-3</v>
      </c>
      <c r="L3033">
        <v>1.6999999999999999E-3</v>
      </c>
      <c r="M3033">
        <v>1.8E-3</v>
      </c>
      <c r="N3033">
        <v>1.8E-3</v>
      </c>
      <c r="O3033">
        <v>1.9E-3</v>
      </c>
      <c r="P3033">
        <v>2E-3</v>
      </c>
      <c r="Q3033">
        <v>2E-3</v>
      </c>
      <c r="R3033">
        <v>2.0999999999999999E-3</v>
      </c>
      <c r="S3033">
        <v>2.2000000000000001E-3</v>
      </c>
      <c r="T3033">
        <v>2.2000000000000001E-3</v>
      </c>
      <c r="U3033">
        <v>2.3E-3</v>
      </c>
      <c r="V3033">
        <v>2.3E-3</v>
      </c>
      <c r="W3033">
        <v>2.3999999999999998E-3</v>
      </c>
      <c r="X3033">
        <v>2.5000000000000001E-3</v>
      </c>
      <c r="Y3033">
        <v>2.5000000000000001E-3</v>
      </c>
    </row>
    <row r="3034" spans="1:25" hidden="1">
      <c r="A3034" t="s">
        <v>18812</v>
      </c>
      <c r="B3034" t="s">
        <v>1218</v>
      </c>
      <c r="C3034" t="s">
        <v>1079</v>
      </c>
      <c r="D3034" t="s">
        <v>1188</v>
      </c>
      <c r="E3034" t="s">
        <v>1219</v>
      </c>
      <c r="F3034" t="s">
        <v>598</v>
      </c>
      <c r="G3034" t="s">
        <v>599</v>
      </c>
      <c r="H3034" t="s">
        <v>600</v>
      </c>
      <c r="I3034" t="s">
        <v>601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hidden="1">
      <c r="A3035" t="s">
        <v>18812</v>
      </c>
      <c r="B3035" t="s">
        <v>1221</v>
      </c>
      <c r="C3035" t="s">
        <v>1079</v>
      </c>
      <c r="D3035" t="s">
        <v>648</v>
      </c>
      <c r="E3035" t="s">
        <v>1081</v>
      </c>
      <c r="F3035" t="s">
        <v>598</v>
      </c>
      <c r="G3035" t="s">
        <v>599</v>
      </c>
      <c r="H3035" t="s">
        <v>600</v>
      </c>
      <c r="I3035" t="s">
        <v>601</v>
      </c>
      <c r="J3035">
        <v>1.9E-3</v>
      </c>
      <c r="K3035">
        <v>2E-3</v>
      </c>
      <c r="L3035">
        <v>2.0999999999999999E-3</v>
      </c>
      <c r="M3035">
        <v>2.2000000000000001E-3</v>
      </c>
      <c r="N3035">
        <v>2.3E-3</v>
      </c>
      <c r="O3035">
        <v>2.3999999999999998E-3</v>
      </c>
      <c r="P3035">
        <v>2.3999999999999998E-3</v>
      </c>
      <c r="Q3035">
        <v>2.3999999999999998E-3</v>
      </c>
      <c r="R3035">
        <v>2.5000000000000001E-3</v>
      </c>
      <c r="S3035">
        <v>2.5000000000000001E-3</v>
      </c>
      <c r="T3035">
        <v>2.5000000000000001E-3</v>
      </c>
      <c r="U3035">
        <v>2.5000000000000001E-3</v>
      </c>
      <c r="V3035">
        <v>2.5999999999999999E-3</v>
      </c>
      <c r="W3035">
        <v>2.5999999999999999E-3</v>
      </c>
      <c r="X3035">
        <v>2.5999999999999999E-3</v>
      </c>
      <c r="Y3035">
        <v>2.5999999999999999E-3</v>
      </c>
    </row>
    <row r="3036" spans="1:25" hidden="1">
      <c r="A3036" t="s">
        <v>18812</v>
      </c>
      <c r="B3036" t="s">
        <v>1222</v>
      </c>
      <c r="C3036" t="s">
        <v>1079</v>
      </c>
      <c r="D3036" t="s">
        <v>648</v>
      </c>
      <c r="E3036" t="s">
        <v>1091</v>
      </c>
      <c r="F3036" t="s">
        <v>598</v>
      </c>
      <c r="G3036" t="s">
        <v>599</v>
      </c>
      <c r="H3036" t="s">
        <v>600</v>
      </c>
      <c r="I3036" t="s">
        <v>601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hidden="1">
      <c r="A3037" t="s">
        <v>18812</v>
      </c>
      <c r="B3037" t="s">
        <v>1223</v>
      </c>
      <c r="C3037" t="s">
        <v>1079</v>
      </c>
      <c r="D3037" t="s">
        <v>648</v>
      </c>
      <c r="E3037" t="s">
        <v>1093</v>
      </c>
      <c r="F3037" t="s">
        <v>598</v>
      </c>
      <c r="G3037" t="s">
        <v>599</v>
      </c>
      <c r="H3037" t="s">
        <v>600</v>
      </c>
      <c r="I3037" t="s">
        <v>601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hidden="1">
      <c r="A3038" t="s">
        <v>18812</v>
      </c>
      <c r="B3038" t="s">
        <v>1225</v>
      </c>
      <c r="C3038" t="s">
        <v>1079</v>
      </c>
      <c r="D3038" t="s">
        <v>648</v>
      </c>
      <c r="E3038" t="s">
        <v>1097</v>
      </c>
      <c r="F3038" t="s">
        <v>598</v>
      </c>
      <c r="G3038" t="s">
        <v>599</v>
      </c>
      <c r="H3038" t="s">
        <v>600</v>
      </c>
      <c r="I3038" t="s">
        <v>601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hidden="1">
      <c r="A3039" t="s">
        <v>18812</v>
      </c>
      <c r="B3039" t="s">
        <v>1227</v>
      </c>
      <c r="C3039" t="s">
        <v>1079</v>
      </c>
      <c r="D3039" t="s">
        <v>648</v>
      </c>
      <c r="E3039" t="s">
        <v>1101</v>
      </c>
      <c r="F3039" t="s">
        <v>598</v>
      </c>
      <c r="G3039" t="s">
        <v>599</v>
      </c>
      <c r="H3039" t="s">
        <v>600</v>
      </c>
      <c r="I3039" t="s">
        <v>601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hidden="1">
      <c r="A3040" t="s">
        <v>18812</v>
      </c>
      <c r="B3040" t="s">
        <v>1228</v>
      </c>
      <c r="C3040" t="s">
        <v>1079</v>
      </c>
      <c r="D3040" t="s">
        <v>648</v>
      </c>
      <c r="E3040" t="s">
        <v>1103</v>
      </c>
      <c r="F3040" t="s">
        <v>598</v>
      </c>
      <c r="G3040" t="s">
        <v>599</v>
      </c>
      <c r="H3040" t="s">
        <v>600</v>
      </c>
      <c r="I3040" t="s">
        <v>601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hidden="1">
      <c r="A3041" t="s">
        <v>18812</v>
      </c>
      <c r="B3041" t="s">
        <v>1234</v>
      </c>
      <c r="C3041" t="s">
        <v>1230</v>
      </c>
      <c r="D3041" t="s">
        <v>1188</v>
      </c>
      <c r="E3041" t="s">
        <v>1004</v>
      </c>
      <c r="F3041" t="s">
        <v>598</v>
      </c>
      <c r="G3041" t="s">
        <v>599</v>
      </c>
      <c r="H3041" t="s">
        <v>600</v>
      </c>
      <c r="I3041" t="s">
        <v>601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hidden="1">
      <c r="A3042" t="s">
        <v>18812</v>
      </c>
      <c r="B3042" t="s">
        <v>1235</v>
      </c>
      <c r="C3042" t="s">
        <v>1230</v>
      </c>
      <c r="D3042" t="s">
        <v>1188</v>
      </c>
      <c r="E3042" t="s">
        <v>1219</v>
      </c>
      <c r="F3042" t="s">
        <v>598</v>
      </c>
      <c r="G3042" t="s">
        <v>599</v>
      </c>
      <c r="H3042" t="s">
        <v>600</v>
      </c>
      <c r="I3042" t="s">
        <v>601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hidden="1">
      <c r="A3043" t="s">
        <v>18812</v>
      </c>
      <c r="B3043" t="s">
        <v>1242</v>
      </c>
      <c r="C3043" t="s">
        <v>1230</v>
      </c>
      <c r="D3043" t="s">
        <v>1243</v>
      </c>
      <c r="E3043" t="s">
        <v>1004</v>
      </c>
      <c r="F3043" t="s">
        <v>598</v>
      </c>
      <c r="G3043" t="s">
        <v>599</v>
      </c>
      <c r="H3043" t="s">
        <v>600</v>
      </c>
      <c r="I3043" t="s">
        <v>601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hidden="1">
      <c r="A3044" t="s">
        <v>18812</v>
      </c>
      <c r="B3044" t="s">
        <v>1244</v>
      </c>
      <c r="C3044" t="s">
        <v>1230</v>
      </c>
      <c r="D3044" t="s">
        <v>1243</v>
      </c>
      <c r="E3044" t="s">
        <v>1239</v>
      </c>
      <c r="F3044" t="s">
        <v>598</v>
      </c>
      <c r="G3044" t="s">
        <v>599</v>
      </c>
      <c r="H3044" t="s">
        <v>600</v>
      </c>
      <c r="I3044" t="s">
        <v>601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hidden="1">
      <c r="A3045" t="s">
        <v>18812</v>
      </c>
      <c r="B3045" t="s">
        <v>1247</v>
      </c>
      <c r="C3045" t="s">
        <v>1230</v>
      </c>
      <c r="D3045" t="s">
        <v>1246</v>
      </c>
      <c r="E3045" t="s">
        <v>1239</v>
      </c>
      <c r="F3045" t="s">
        <v>598</v>
      </c>
      <c r="G3045" t="s">
        <v>599</v>
      </c>
      <c r="H3045" t="s">
        <v>600</v>
      </c>
      <c r="I3045" t="s">
        <v>601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hidden="1">
      <c r="A3046" t="s">
        <v>18812</v>
      </c>
      <c r="B3046" t="s">
        <v>1248</v>
      </c>
      <c r="C3046" t="s">
        <v>1230</v>
      </c>
      <c r="D3046" t="s">
        <v>1249</v>
      </c>
      <c r="E3046" t="s">
        <v>1239</v>
      </c>
      <c r="F3046" t="s">
        <v>598</v>
      </c>
      <c r="G3046" t="s">
        <v>599</v>
      </c>
      <c r="H3046" t="s">
        <v>600</v>
      </c>
      <c r="I3046" t="s">
        <v>601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hidden="1">
      <c r="A3047" t="s">
        <v>18812</v>
      </c>
      <c r="B3047" t="s">
        <v>1250</v>
      </c>
      <c r="C3047" t="s">
        <v>1230</v>
      </c>
      <c r="D3047" t="s">
        <v>648</v>
      </c>
      <c r="E3047" t="s">
        <v>1004</v>
      </c>
      <c r="F3047" t="s">
        <v>598</v>
      </c>
      <c r="G3047" t="s">
        <v>599</v>
      </c>
      <c r="H3047" t="s">
        <v>600</v>
      </c>
      <c r="I3047" t="s">
        <v>601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hidden="1">
      <c r="A3048" t="s">
        <v>18812</v>
      </c>
      <c r="B3048" t="s">
        <v>1252</v>
      </c>
      <c r="C3048" t="s">
        <v>1253</v>
      </c>
      <c r="D3048" t="s">
        <v>1254</v>
      </c>
      <c r="E3048" t="s">
        <v>1255</v>
      </c>
      <c r="F3048" t="s">
        <v>598</v>
      </c>
      <c r="G3048" t="s">
        <v>599</v>
      </c>
      <c r="H3048" t="s">
        <v>600</v>
      </c>
      <c r="I3048" t="s">
        <v>601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hidden="1">
      <c r="A3049" t="s">
        <v>18812</v>
      </c>
      <c r="B3049" t="s">
        <v>1256</v>
      </c>
      <c r="C3049" t="s">
        <v>1253</v>
      </c>
      <c r="D3049" t="s">
        <v>1254</v>
      </c>
      <c r="E3049" t="s">
        <v>1257</v>
      </c>
      <c r="F3049" t="s">
        <v>598</v>
      </c>
      <c r="G3049" t="s">
        <v>599</v>
      </c>
      <c r="H3049" t="s">
        <v>600</v>
      </c>
      <c r="I3049" t="s">
        <v>601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hidden="1">
      <c r="A3050" t="s">
        <v>18812</v>
      </c>
      <c r="B3050" t="s">
        <v>1258</v>
      </c>
      <c r="C3050" t="s">
        <v>1253</v>
      </c>
      <c r="D3050" t="s">
        <v>1254</v>
      </c>
      <c r="E3050" t="s">
        <v>1259</v>
      </c>
      <c r="F3050" t="s">
        <v>598</v>
      </c>
      <c r="G3050" t="s">
        <v>599</v>
      </c>
      <c r="H3050" t="s">
        <v>600</v>
      </c>
      <c r="I3050" t="s">
        <v>601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hidden="1">
      <c r="A3051" t="s">
        <v>18812</v>
      </c>
      <c r="B3051" t="s">
        <v>1263</v>
      </c>
      <c r="C3051" t="s">
        <v>1261</v>
      </c>
      <c r="D3051" t="s">
        <v>648</v>
      </c>
      <c r="E3051" t="s">
        <v>1264</v>
      </c>
      <c r="F3051" t="s">
        <v>598</v>
      </c>
      <c r="G3051" t="s">
        <v>599</v>
      </c>
      <c r="H3051" t="s">
        <v>600</v>
      </c>
      <c r="I3051" t="s">
        <v>601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hidden="1">
      <c r="A3052" t="s">
        <v>18812</v>
      </c>
      <c r="B3052" t="s">
        <v>1265</v>
      </c>
      <c r="C3052" t="s">
        <v>1261</v>
      </c>
      <c r="D3052" t="s">
        <v>648</v>
      </c>
      <c r="E3052" t="s">
        <v>1004</v>
      </c>
      <c r="F3052" t="s">
        <v>598</v>
      </c>
      <c r="G3052" t="s">
        <v>599</v>
      </c>
      <c r="H3052" t="s">
        <v>600</v>
      </c>
      <c r="I3052" t="s">
        <v>601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hidden="1">
      <c r="A3053" t="s">
        <v>18812</v>
      </c>
      <c r="B3053" t="s">
        <v>1266</v>
      </c>
      <c r="C3053" t="s">
        <v>1267</v>
      </c>
      <c r="D3053" t="s">
        <v>1268</v>
      </c>
      <c r="E3053" t="s">
        <v>597</v>
      </c>
      <c r="F3053" t="s">
        <v>598</v>
      </c>
      <c r="G3053" t="s">
        <v>599</v>
      </c>
      <c r="H3053" t="s">
        <v>600</v>
      </c>
      <c r="I3053" t="s">
        <v>601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hidden="1">
      <c r="A3054" t="s">
        <v>18812</v>
      </c>
      <c r="B3054" t="s">
        <v>1269</v>
      </c>
      <c r="C3054" t="s">
        <v>1267</v>
      </c>
      <c r="D3054" t="s">
        <v>1268</v>
      </c>
      <c r="E3054" t="s">
        <v>678</v>
      </c>
      <c r="F3054" t="s">
        <v>598</v>
      </c>
      <c r="G3054" t="s">
        <v>599</v>
      </c>
      <c r="H3054" t="s">
        <v>600</v>
      </c>
      <c r="I3054" t="s">
        <v>601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hidden="1">
      <c r="A3055" t="s">
        <v>18812</v>
      </c>
      <c r="B3055" t="s">
        <v>1270</v>
      </c>
      <c r="C3055" t="s">
        <v>1267</v>
      </c>
      <c r="D3055" t="s">
        <v>1271</v>
      </c>
      <c r="E3055" t="s">
        <v>672</v>
      </c>
      <c r="F3055" t="s">
        <v>598</v>
      </c>
      <c r="G3055" t="s">
        <v>599</v>
      </c>
      <c r="H3055" t="s">
        <v>600</v>
      </c>
      <c r="I3055" t="s">
        <v>601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hidden="1">
      <c r="A3056" t="s">
        <v>18812</v>
      </c>
      <c r="B3056" t="s">
        <v>1272</v>
      </c>
      <c r="C3056" t="s">
        <v>1267</v>
      </c>
      <c r="D3056" t="s">
        <v>1271</v>
      </c>
      <c r="E3056" t="s">
        <v>678</v>
      </c>
      <c r="F3056" t="s">
        <v>598</v>
      </c>
      <c r="G3056" t="s">
        <v>599</v>
      </c>
      <c r="H3056" t="s">
        <v>600</v>
      </c>
      <c r="I3056" t="s">
        <v>601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hidden="1">
      <c r="A3057" t="s">
        <v>18812</v>
      </c>
      <c r="B3057" t="s">
        <v>1273</v>
      </c>
      <c r="C3057" t="s">
        <v>1267</v>
      </c>
      <c r="D3057" t="s">
        <v>1274</v>
      </c>
      <c r="E3057" t="s">
        <v>672</v>
      </c>
      <c r="F3057" t="s">
        <v>598</v>
      </c>
      <c r="G3057" t="s">
        <v>599</v>
      </c>
      <c r="H3057" t="s">
        <v>600</v>
      </c>
      <c r="I3057" t="s">
        <v>601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hidden="1">
      <c r="A3058" t="s">
        <v>18812</v>
      </c>
      <c r="B3058" t="s">
        <v>1275</v>
      </c>
      <c r="C3058" t="s">
        <v>1267</v>
      </c>
      <c r="D3058" t="s">
        <v>1274</v>
      </c>
      <c r="E3058" t="s">
        <v>597</v>
      </c>
      <c r="F3058" t="s">
        <v>598</v>
      </c>
      <c r="G3058" t="s">
        <v>599</v>
      </c>
      <c r="H3058" t="s">
        <v>600</v>
      </c>
      <c r="I3058" t="s">
        <v>601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hidden="1">
      <c r="A3059" t="s">
        <v>18812</v>
      </c>
      <c r="B3059" t="s">
        <v>1276</v>
      </c>
      <c r="C3059" t="s">
        <v>1267</v>
      </c>
      <c r="D3059" t="s">
        <v>1274</v>
      </c>
      <c r="E3059" t="s">
        <v>678</v>
      </c>
      <c r="F3059" t="s">
        <v>598</v>
      </c>
      <c r="G3059" t="s">
        <v>599</v>
      </c>
      <c r="H3059" t="s">
        <v>600</v>
      </c>
      <c r="I3059" t="s">
        <v>601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hidden="1">
      <c r="A3060" t="s">
        <v>18812</v>
      </c>
      <c r="B3060" t="s">
        <v>1277</v>
      </c>
      <c r="C3060" t="s">
        <v>1267</v>
      </c>
      <c r="D3060" t="s">
        <v>1278</v>
      </c>
      <c r="E3060" t="s">
        <v>672</v>
      </c>
      <c r="F3060" t="s">
        <v>598</v>
      </c>
      <c r="G3060" t="s">
        <v>599</v>
      </c>
      <c r="H3060" t="s">
        <v>600</v>
      </c>
      <c r="I3060" t="s">
        <v>601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hidden="1">
      <c r="A3061" t="s">
        <v>18812</v>
      </c>
      <c r="B3061" t="s">
        <v>1279</v>
      </c>
      <c r="C3061" t="s">
        <v>1267</v>
      </c>
      <c r="D3061" t="s">
        <v>1278</v>
      </c>
      <c r="E3061" t="s">
        <v>678</v>
      </c>
      <c r="F3061" t="s">
        <v>598</v>
      </c>
      <c r="G3061" t="s">
        <v>599</v>
      </c>
      <c r="H3061" t="s">
        <v>600</v>
      </c>
      <c r="I3061" t="s">
        <v>601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hidden="1">
      <c r="A3062" t="s">
        <v>18812</v>
      </c>
      <c r="B3062" t="s">
        <v>1280</v>
      </c>
      <c r="C3062" t="s">
        <v>1267</v>
      </c>
      <c r="D3062" t="s">
        <v>1281</v>
      </c>
      <c r="E3062" t="s">
        <v>672</v>
      </c>
      <c r="F3062" t="s">
        <v>598</v>
      </c>
      <c r="G3062" t="s">
        <v>599</v>
      </c>
      <c r="H3062" t="s">
        <v>600</v>
      </c>
      <c r="I3062" t="s">
        <v>601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hidden="1">
      <c r="A3063" t="s">
        <v>18812</v>
      </c>
      <c r="B3063" t="s">
        <v>1282</v>
      </c>
      <c r="C3063" t="s">
        <v>1267</v>
      </c>
      <c r="D3063" t="s">
        <v>1281</v>
      </c>
      <c r="E3063" t="s">
        <v>597</v>
      </c>
      <c r="F3063" t="s">
        <v>598</v>
      </c>
      <c r="G3063" t="s">
        <v>599</v>
      </c>
      <c r="H3063" t="s">
        <v>600</v>
      </c>
      <c r="I3063" t="s">
        <v>601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hidden="1">
      <c r="A3064" t="s">
        <v>18812</v>
      </c>
      <c r="B3064" t="s">
        <v>1283</v>
      </c>
      <c r="C3064" t="s">
        <v>1267</v>
      </c>
      <c r="D3064" t="s">
        <v>1281</v>
      </c>
      <c r="E3064" t="s">
        <v>678</v>
      </c>
      <c r="F3064" t="s">
        <v>598</v>
      </c>
      <c r="G3064" t="s">
        <v>599</v>
      </c>
      <c r="H3064" t="s">
        <v>600</v>
      </c>
      <c r="I3064" t="s">
        <v>601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hidden="1">
      <c r="A3065" t="s">
        <v>18812</v>
      </c>
      <c r="B3065" t="s">
        <v>1284</v>
      </c>
      <c r="C3065" t="s">
        <v>1267</v>
      </c>
      <c r="D3065" t="s">
        <v>1285</v>
      </c>
      <c r="E3065" t="s">
        <v>678</v>
      </c>
      <c r="F3065" t="s">
        <v>598</v>
      </c>
      <c r="G3065" t="s">
        <v>599</v>
      </c>
      <c r="H3065" t="s">
        <v>600</v>
      </c>
      <c r="I3065" t="s">
        <v>601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hidden="1">
      <c r="A3066" t="s">
        <v>18812</v>
      </c>
      <c r="B3066" t="s">
        <v>1286</v>
      </c>
      <c r="C3066" t="s">
        <v>1267</v>
      </c>
      <c r="D3066" t="s">
        <v>1287</v>
      </c>
      <c r="E3066" t="s">
        <v>597</v>
      </c>
      <c r="F3066" t="s">
        <v>598</v>
      </c>
      <c r="G3066" t="s">
        <v>599</v>
      </c>
      <c r="H3066" t="s">
        <v>600</v>
      </c>
      <c r="I3066" t="s">
        <v>601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hidden="1">
      <c r="A3067" t="s">
        <v>18812</v>
      </c>
      <c r="B3067" t="s">
        <v>1288</v>
      </c>
      <c r="C3067" t="s">
        <v>1267</v>
      </c>
      <c r="D3067" t="s">
        <v>1287</v>
      </c>
      <c r="E3067" t="s">
        <v>678</v>
      </c>
      <c r="F3067" t="s">
        <v>598</v>
      </c>
      <c r="G3067" t="s">
        <v>599</v>
      </c>
      <c r="H3067" t="s">
        <v>600</v>
      </c>
      <c r="I3067" t="s">
        <v>601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hidden="1">
      <c r="A3068" t="s">
        <v>18812</v>
      </c>
      <c r="B3068" t="s">
        <v>1291</v>
      </c>
      <c r="C3068" t="s">
        <v>1267</v>
      </c>
      <c r="D3068" t="s">
        <v>1290</v>
      </c>
      <c r="E3068" t="s">
        <v>678</v>
      </c>
      <c r="F3068" t="s">
        <v>598</v>
      </c>
      <c r="G3068" t="s">
        <v>599</v>
      </c>
      <c r="H3068" t="s">
        <v>600</v>
      </c>
      <c r="I3068" t="s">
        <v>601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hidden="1">
      <c r="A3069" t="s">
        <v>18812</v>
      </c>
      <c r="B3069" t="s">
        <v>1292</v>
      </c>
      <c r="C3069" t="s">
        <v>1267</v>
      </c>
      <c r="D3069" t="s">
        <v>1293</v>
      </c>
      <c r="E3069" t="s">
        <v>672</v>
      </c>
      <c r="F3069" t="s">
        <v>598</v>
      </c>
      <c r="G3069" t="s">
        <v>599</v>
      </c>
      <c r="H3069" t="s">
        <v>600</v>
      </c>
      <c r="I3069" t="s">
        <v>601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hidden="1">
      <c r="A3070" t="s">
        <v>18812</v>
      </c>
      <c r="B3070" t="s">
        <v>1294</v>
      </c>
      <c r="C3070" t="s">
        <v>1267</v>
      </c>
      <c r="D3070" t="s">
        <v>1293</v>
      </c>
      <c r="E3070" t="s">
        <v>678</v>
      </c>
      <c r="F3070" t="s">
        <v>598</v>
      </c>
      <c r="G3070" t="s">
        <v>599</v>
      </c>
      <c r="H3070" t="s">
        <v>600</v>
      </c>
      <c r="I3070" t="s">
        <v>601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hidden="1">
      <c r="A3071" t="s">
        <v>18812</v>
      </c>
      <c r="B3071" t="s">
        <v>1295</v>
      </c>
      <c r="C3071" t="s">
        <v>1267</v>
      </c>
      <c r="D3071" t="s">
        <v>1296</v>
      </c>
      <c r="E3071" t="s">
        <v>678</v>
      </c>
      <c r="F3071" t="s">
        <v>598</v>
      </c>
      <c r="G3071" t="s">
        <v>599</v>
      </c>
      <c r="H3071" t="s">
        <v>600</v>
      </c>
      <c r="I3071" t="s">
        <v>601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hidden="1">
      <c r="A3072" t="s">
        <v>18812</v>
      </c>
      <c r="B3072" t="s">
        <v>1297</v>
      </c>
      <c r="C3072" t="s">
        <v>1267</v>
      </c>
      <c r="D3072" t="s">
        <v>1298</v>
      </c>
      <c r="E3072" t="s">
        <v>672</v>
      </c>
      <c r="F3072" t="s">
        <v>598</v>
      </c>
      <c r="G3072" t="s">
        <v>599</v>
      </c>
      <c r="H3072" t="s">
        <v>600</v>
      </c>
      <c r="I3072" t="s">
        <v>601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hidden="1">
      <c r="A3073" t="s">
        <v>18812</v>
      </c>
      <c r="B3073" t="s">
        <v>1303</v>
      </c>
      <c r="C3073" t="s">
        <v>1267</v>
      </c>
      <c r="D3073" t="s">
        <v>1302</v>
      </c>
      <c r="E3073" t="s">
        <v>678</v>
      </c>
      <c r="F3073" t="s">
        <v>598</v>
      </c>
      <c r="G3073" t="s">
        <v>599</v>
      </c>
      <c r="H3073" t="s">
        <v>600</v>
      </c>
      <c r="I3073" t="s">
        <v>601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hidden="1">
      <c r="A3074" t="s">
        <v>18812</v>
      </c>
      <c r="B3074" t="s">
        <v>1304</v>
      </c>
      <c r="C3074" t="s">
        <v>1267</v>
      </c>
      <c r="D3074" t="s">
        <v>1305</v>
      </c>
      <c r="E3074" t="s">
        <v>672</v>
      </c>
      <c r="F3074" t="s">
        <v>598</v>
      </c>
      <c r="G3074" t="s">
        <v>599</v>
      </c>
      <c r="H3074" t="s">
        <v>600</v>
      </c>
      <c r="I3074" t="s">
        <v>601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hidden="1">
      <c r="A3075" t="s">
        <v>18812</v>
      </c>
      <c r="B3075" t="s">
        <v>1307</v>
      </c>
      <c r="C3075" t="s">
        <v>1267</v>
      </c>
      <c r="D3075" t="s">
        <v>1305</v>
      </c>
      <c r="E3075" t="s">
        <v>678</v>
      </c>
      <c r="F3075" t="s">
        <v>598</v>
      </c>
      <c r="G3075" t="s">
        <v>599</v>
      </c>
      <c r="H3075" t="s">
        <v>600</v>
      </c>
      <c r="I3075" t="s">
        <v>601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hidden="1">
      <c r="A3076" t="s">
        <v>18812</v>
      </c>
      <c r="B3076" t="s">
        <v>1308</v>
      </c>
      <c r="C3076" t="s">
        <v>1267</v>
      </c>
      <c r="D3076" t="s">
        <v>1309</v>
      </c>
      <c r="E3076" t="s">
        <v>672</v>
      </c>
      <c r="F3076" t="s">
        <v>598</v>
      </c>
      <c r="G3076" t="s">
        <v>599</v>
      </c>
      <c r="H3076" t="s">
        <v>600</v>
      </c>
      <c r="I3076" t="s">
        <v>601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hidden="1">
      <c r="A3077" t="s">
        <v>18812</v>
      </c>
      <c r="B3077" t="s">
        <v>1310</v>
      </c>
      <c r="C3077" t="s">
        <v>1267</v>
      </c>
      <c r="D3077" t="s">
        <v>1311</v>
      </c>
      <c r="E3077" t="s">
        <v>597</v>
      </c>
      <c r="F3077" t="s">
        <v>598</v>
      </c>
      <c r="G3077" t="s">
        <v>599</v>
      </c>
      <c r="H3077" t="s">
        <v>600</v>
      </c>
      <c r="I3077" t="s">
        <v>601</v>
      </c>
      <c r="J3077">
        <v>1.34E-2</v>
      </c>
      <c r="K3077">
        <v>1.2999999999999999E-2</v>
      </c>
      <c r="L3077">
        <v>1.2800000000000001E-2</v>
      </c>
      <c r="M3077">
        <v>1.23E-2</v>
      </c>
      <c r="N3077">
        <v>1.2E-2</v>
      </c>
      <c r="O3077">
        <v>1.18E-2</v>
      </c>
      <c r="P3077">
        <v>1.1599999999999999E-2</v>
      </c>
      <c r="Q3077">
        <v>1.14E-2</v>
      </c>
      <c r="R3077">
        <v>1.11E-2</v>
      </c>
      <c r="S3077">
        <v>1.0800000000000001E-2</v>
      </c>
      <c r="T3077">
        <v>1.0500000000000001E-2</v>
      </c>
      <c r="U3077">
        <v>1.04E-2</v>
      </c>
      <c r="V3077">
        <v>1.0200000000000001E-2</v>
      </c>
      <c r="W3077">
        <v>0.01</v>
      </c>
      <c r="X3077">
        <v>9.7999999999999997E-3</v>
      </c>
      <c r="Y3077">
        <v>9.5999999999999992E-3</v>
      </c>
    </row>
    <row r="3078" spans="1:25" hidden="1">
      <c r="A3078" t="s">
        <v>18812</v>
      </c>
      <c r="B3078" t="s">
        <v>1313</v>
      </c>
      <c r="C3078" t="s">
        <v>1267</v>
      </c>
      <c r="D3078" t="s">
        <v>1311</v>
      </c>
      <c r="E3078" t="s">
        <v>605</v>
      </c>
      <c r="F3078" t="s">
        <v>598</v>
      </c>
      <c r="G3078" t="s">
        <v>599</v>
      </c>
      <c r="H3078" t="s">
        <v>600</v>
      </c>
      <c r="I3078" t="s">
        <v>601</v>
      </c>
      <c r="J3078">
        <v>1.1299999999999999E-2</v>
      </c>
      <c r="K3078">
        <v>1.09E-2</v>
      </c>
      <c r="L3078">
        <v>1.0699999999999999E-2</v>
      </c>
      <c r="M3078">
        <v>1.04E-2</v>
      </c>
      <c r="N3078">
        <v>1.0200000000000001E-2</v>
      </c>
      <c r="O3078">
        <v>9.9000000000000008E-3</v>
      </c>
      <c r="P3078">
        <v>9.7999999999999997E-3</v>
      </c>
      <c r="Q3078">
        <v>9.4999999999999998E-3</v>
      </c>
      <c r="R3078">
        <v>9.4000000000000004E-3</v>
      </c>
      <c r="S3078">
        <v>9.1999999999999998E-3</v>
      </c>
      <c r="T3078">
        <v>8.9999999999999993E-3</v>
      </c>
      <c r="U3078">
        <v>8.8000000000000005E-3</v>
      </c>
      <c r="V3078">
        <v>8.6E-3</v>
      </c>
      <c r="W3078">
        <v>8.5000000000000006E-3</v>
      </c>
      <c r="X3078">
        <v>8.3999999999999995E-3</v>
      </c>
      <c r="Y3078">
        <v>8.0999999999999996E-3</v>
      </c>
    </row>
    <row r="3079" spans="1:25" hidden="1">
      <c r="A3079" t="s">
        <v>18812</v>
      </c>
      <c r="B3079" t="s">
        <v>1314</v>
      </c>
      <c r="C3079" t="s">
        <v>1267</v>
      </c>
      <c r="D3079" t="s">
        <v>1311</v>
      </c>
      <c r="E3079" t="s">
        <v>678</v>
      </c>
      <c r="F3079" t="s">
        <v>598</v>
      </c>
      <c r="G3079" t="s">
        <v>599</v>
      </c>
      <c r="H3079" t="s">
        <v>600</v>
      </c>
      <c r="I3079" t="s">
        <v>601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</row>
    <row r="3080" spans="1:25" hidden="1">
      <c r="A3080" t="s">
        <v>18812</v>
      </c>
      <c r="B3080" t="s">
        <v>1317</v>
      </c>
      <c r="C3080" t="s">
        <v>1267</v>
      </c>
      <c r="D3080" t="s">
        <v>1316</v>
      </c>
      <c r="E3080" t="s">
        <v>1318</v>
      </c>
      <c r="F3080" t="s">
        <v>598</v>
      </c>
      <c r="G3080" t="s">
        <v>599</v>
      </c>
      <c r="H3080" t="s">
        <v>600</v>
      </c>
      <c r="I3080" t="s">
        <v>601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hidden="1">
      <c r="A3081" t="s">
        <v>18812</v>
      </c>
      <c r="B3081" t="s">
        <v>1319</v>
      </c>
      <c r="C3081" t="s">
        <v>1267</v>
      </c>
      <c r="D3081" t="s">
        <v>1320</v>
      </c>
      <c r="E3081" t="s">
        <v>678</v>
      </c>
      <c r="F3081" t="s">
        <v>598</v>
      </c>
      <c r="G3081" t="s">
        <v>599</v>
      </c>
      <c r="H3081" t="s">
        <v>600</v>
      </c>
      <c r="I3081" t="s">
        <v>601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hidden="1">
      <c r="A3082" t="s">
        <v>18812</v>
      </c>
      <c r="B3082" t="s">
        <v>1321</v>
      </c>
      <c r="C3082" t="s">
        <v>1267</v>
      </c>
      <c r="D3082" t="s">
        <v>1322</v>
      </c>
      <c r="E3082" t="s">
        <v>672</v>
      </c>
      <c r="F3082" t="s">
        <v>598</v>
      </c>
      <c r="G3082" t="s">
        <v>599</v>
      </c>
      <c r="H3082" t="s">
        <v>600</v>
      </c>
      <c r="I3082" t="s">
        <v>601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hidden="1">
      <c r="A3083" t="s">
        <v>18812</v>
      </c>
      <c r="B3083" t="s">
        <v>1329</v>
      </c>
      <c r="C3083" t="s">
        <v>1267</v>
      </c>
      <c r="D3083" t="s">
        <v>1324</v>
      </c>
      <c r="E3083" t="s">
        <v>1318</v>
      </c>
      <c r="F3083" t="s">
        <v>598</v>
      </c>
      <c r="G3083" t="s">
        <v>599</v>
      </c>
      <c r="H3083" t="s">
        <v>600</v>
      </c>
      <c r="I3083" t="s">
        <v>601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hidden="1">
      <c r="A3084" t="s">
        <v>18812</v>
      </c>
      <c r="B3084" t="s">
        <v>1335</v>
      </c>
      <c r="C3084" t="s">
        <v>1267</v>
      </c>
      <c r="D3084" t="s">
        <v>1332</v>
      </c>
      <c r="E3084" t="s">
        <v>1326</v>
      </c>
      <c r="F3084" t="s">
        <v>598</v>
      </c>
      <c r="G3084" t="s">
        <v>599</v>
      </c>
      <c r="H3084" t="s">
        <v>600</v>
      </c>
      <c r="I3084" t="s">
        <v>601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hidden="1">
      <c r="A3085" t="s">
        <v>18812</v>
      </c>
      <c r="B3085" t="s">
        <v>1338</v>
      </c>
      <c r="C3085" t="s">
        <v>1267</v>
      </c>
      <c r="D3085" t="s">
        <v>1332</v>
      </c>
      <c r="E3085" t="s">
        <v>1318</v>
      </c>
      <c r="F3085" t="s">
        <v>598</v>
      </c>
      <c r="G3085" t="s">
        <v>599</v>
      </c>
      <c r="H3085" t="s">
        <v>600</v>
      </c>
      <c r="I3085" t="s">
        <v>601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hidden="1">
      <c r="A3086" t="s">
        <v>18812</v>
      </c>
      <c r="B3086" t="s">
        <v>1351</v>
      </c>
      <c r="C3086" t="s">
        <v>1267</v>
      </c>
      <c r="D3086" t="s">
        <v>1352</v>
      </c>
      <c r="E3086" t="s">
        <v>672</v>
      </c>
      <c r="F3086" t="s">
        <v>598</v>
      </c>
      <c r="G3086" t="s">
        <v>599</v>
      </c>
      <c r="H3086" t="s">
        <v>600</v>
      </c>
      <c r="I3086" t="s">
        <v>601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hidden="1">
      <c r="A3087" t="s">
        <v>18812</v>
      </c>
      <c r="B3087" t="s">
        <v>1353</v>
      </c>
      <c r="C3087" t="s">
        <v>1267</v>
      </c>
      <c r="D3087" t="s">
        <v>1354</v>
      </c>
      <c r="E3087" t="s">
        <v>672</v>
      </c>
      <c r="F3087" t="s">
        <v>598</v>
      </c>
      <c r="G3087" t="s">
        <v>599</v>
      </c>
      <c r="H3087" t="s">
        <v>600</v>
      </c>
      <c r="I3087" t="s">
        <v>601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hidden="1">
      <c r="A3088" t="s">
        <v>18812</v>
      </c>
      <c r="B3088" t="s">
        <v>1355</v>
      </c>
      <c r="C3088" t="s">
        <v>1267</v>
      </c>
      <c r="D3088" t="s">
        <v>1354</v>
      </c>
      <c r="E3088" t="s">
        <v>678</v>
      </c>
      <c r="F3088" t="s">
        <v>598</v>
      </c>
      <c r="G3088" t="s">
        <v>599</v>
      </c>
      <c r="H3088" t="s">
        <v>600</v>
      </c>
      <c r="I3088" t="s">
        <v>601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hidden="1">
      <c r="A3089" t="s">
        <v>18812</v>
      </c>
      <c r="B3089" t="s">
        <v>1358</v>
      </c>
      <c r="C3089" t="s">
        <v>1267</v>
      </c>
      <c r="D3089" t="s">
        <v>1359</v>
      </c>
      <c r="E3089" t="s">
        <v>678</v>
      </c>
      <c r="F3089" t="s">
        <v>598</v>
      </c>
      <c r="G3089" t="s">
        <v>599</v>
      </c>
      <c r="H3089" t="s">
        <v>600</v>
      </c>
      <c r="I3089" t="s">
        <v>601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hidden="1">
      <c r="A3090" t="s">
        <v>18812</v>
      </c>
      <c r="B3090" t="s">
        <v>1362</v>
      </c>
      <c r="C3090" t="s">
        <v>1267</v>
      </c>
      <c r="D3090" t="s">
        <v>1363</v>
      </c>
      <c r="E3090" t="s">
        <v>597</v>
      </c>
      <c r="F3090" t="s">
        <v>598</v>
      </c>
      <c r="G3090" t="s">
        <v>599</v>
      </c>
      <c r="H3090" t="s">
        <v>600</v>
      </c>
      <c r="I3090" t="s">
        <v>601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hidden="1">
      <c r="A3091" t="s">
        <v>18812</v>
      </c>
      <c r="B3091" t="s">
        <v>1364</v>
      </c>
      <c r="C3091" t="s">
        <v>1267</v>
      </c>
      <c r="D3091" t="s">
        <v>1365</v>
      </c>
      <c r="E3091" t="s">
        <v>626</v>
      </c>
      <c r="F3091" t="s">
        <v>598</v>
      </c>
      <c r="G3091" t="s">
        <v>599</v>
      </c>
      <c r="H3091" t="s">
        <v>600</v>
      </c>
      <c r="I3091" t="s">
        <v>601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hidden="1">
      <c r="A3092" t="s">
        <v>18812</v>
      </c>
      <c r="B3092" t="s">
        <v>1366</v>
      </c>
      <c r="C3092" t="s">
        <v>1267</v>
      </c>
      <c r="D3092" t="s">
        <v>1365</v>
      </c>
      <c r="E3092" t="s">
        <v>628</v>
      </c>
      <c r="F3092" t="s">
        <v>598</v>
      </c>
      <c r="G3092" t="s">
        <v>599</v>
      </c>
      <c r="H3092" t="s">
        <v>600</v>
      </c>
      <c r="I3092" t="s">
        <v>601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hidden="1">
      <c r="A3093" t="s">
        <v>18812</v>
      </c>
      <c r="B3093" t="s">
        <v>1367</v>
      </c>
      <c r="C3093" t="s">
        <v>1267</v>
      </c>
      <c r="D3093" t="s">
        <v>1365</v>
      </c>
      <c r="E3093" t="s">
        <v>888</v>
      </c>
      <c r="F3093" t="s">
        <v>598</v>
      </c>
      <c r="G3093" t="s">
        <v>599</v>
      </c>
      <c r="H3093" t="s">
        <v>600</v>
      </c>
      <c r="I3093" t="s">
        <v>601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hidden="1">
      <c r="A3094" t="s">
        <v>18812</v>
      </c>
      <c r="B3094" t="s">
        <v>1368</v>
      </c>
      <c r="C3094" t="s">
        <v>1267</v>
      </c>
      <c r="D3094" t="s">
        <v>1365</v>
      </c>
      <c r="E3094" t="s">
        <v>678</v>
      </c>
      <c r="F3094" t="s">
        <v>598</v>
      </c>
      <c r="G3094" t="s">
        <v>599</v>
      </c>
      <c r="H3094" t="s">
        <v>600</v>
      </c>
      <c r="I3094" t="s">
        <v>601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hidden="1">
      <c r="A3095" t="s">
        <v>18812</v>
      </c>
      <c r="B3095" t="s">
        <v>1369</v>
      </c>
      <c r="C3095" t="s">
        <v>1267</v>
      </c>
      <c r="D3095" t="s">
        <v>1370</v>
      </c>
      <c r="E3095" t="s">
        <v>672</v>
      </c>
      <c r="F3095" t="s">
        <v>598</v>
      </c>
      <c r="G3095" t="s">
        <v>599</v>
      </c>
      <c r="H3095" t="s">
        <v>600</v>
      </c>
      <c r="I3095" t="s">
        <v>601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hidden="1">
      <c r="A3096" t="s">
        <v>18812</v>
      </c>
      <c r="B3096" t="s">
        <v>1371</v>
      </c>
      <c r="C3096" t="s">
        <v>1267</v>
      </c>
      <c r="D3096" t="s">
        <v>1370</v>
      </c>
      <c r="E3096" t="s">
        <v>678</v>
      </c>
      <c r="F3096" t="s">
        <v>598</v>
      </c>
      <c r="G3096" t="s">
        <v>599</v>
      </c>
      <c r="H3096" t="s">
        <v>600</v>
      </c>
      <c r="I3096" t="s">
        <v>601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hidden="1">
      <c r="A3097" t="s">
        <v>18812</v>
      </c>
      <c r="B3097" t="s">
        <v>1373</v>
      </c>
      <c r="C3097" t="s">
        <v>1267</v>
      </c>
      <c r="D3097" t="s">
        <v>648</v>
      </c>
      <c r="E3097" t="s">
        <v>672</v>
      </c>
      <c r="F3097" t="s">
        <v>598</v>
      </c>
      <c r="G3097" t="s">
        <v>599</v>
      </c>
      <c r="H3097" t="s">
        <v>600</v>
      </c>
      <c r="I3097" t="s">
        <v>601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hidden="1">
      <c r="A3098" t="s">
        <v>18812</v>
      </c>
      <c r="B3098" t="s">
        <v>1374</v>
      </c>
      <c r="C3098" t="s">
        <v>1267</v>
      </c>
      <c r="D3098" t="s">
        <v>648</v>
      </c>
      <c r="E3098" t="s">
        <v>597</v>
      </c>
      <c r="F3098" t="s">
        <v>598</v>
      </c>
      <c r="G3098" t="s">
        <v>599</v>
      </c>
      <c r="H3098" t="s">
        <v>600</v>
      </c>
      <c r="I3098" t="s">
        <v>601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hidden="1">
      <c r="A3099" t="s">
        <v>18812</v>
      </c>
      <c r="B3099" t="s">
        <v>1376</v>
      </c>
      <c r="C3099" t="s">
        <v>1267</v>
      </c>
      <c r="D3099" t="s">
        <v>648</v>
      </c>
      <c r="E3099" t="s">
        <v>678</v>
      </c>
      <c r="F3099" t="s">
        <v>598</v>
      </c>
      <c r="G3099" t="s">
        <v>599</v>
      </c>
      <c r="H3099" t="s">
        <v>600</v>
      </c>
      <c r="I3099" t="s">
        <v>601</v>
      </c>
      <c r="J3099">
        <v>5.0000000000000001E-4</v>
      </c>
      <c r="K3099">
        <v>5.0000000000000001E-4</v>
      </c>
      <c r="L3099">
        <v>5.0000000000000001E-4</v>
      </c>
      <c r="M3099">
        <v>5.0000000000000001E-4</v>
      </c>
      <c r="N3099">
        <v>5.0000000000000001E-4</v>
      </c>
      <c r="O3099">
        <v>4.0000000000000002E-4</v>
      </c>
      <c r="P3099">
        <v>4.0000000000000002E-4</v>
      </c>
      <c r="Q3099">
        <v>4.0000000000000002E-4</v>
      </c>
      <c r="R3099">
        <v>4.0000000000000002E-4</v>
      </c>
      <c r="S3099">
        <v>4.0000000000000002E-4</v>
      </c>
      <c r="T3099">
        <v>4.0000000000000002E-4</v>
      </c>
      <c r="U3099">
        <v>4.0000000000000002E-4</v>
      </c>
      <c r="V3099">
        <v>4.0000000000000002E-4</v>
      </c>
      <c r="W3099">
        <v>4.0000000000000002E-4</v>
      </c>
      <c r="X3099">
        <v>4.0000000000000002E-4</v>
      </c>
      <c r="Y3099">
        <v>4.0000000000000002E-4</v>
      </c>
    </row>
    <row r="3100" spans="1:25" hidden="1">
      <c r="A3100" t="s">
        <v>18812</v>
      </c>
      <c r="B3100" t="s">
        <v>1377</v>
      </c>
      <c r="C3100" t="s">
        <v>1267</v>
      </c>
      <c r="D3100" t="s">
        <v>648</v>
      </c>
      <c r="E3100" t="s">
        <v>1378</v>
      </c>
      <c r="F3100" t="s">
        <v>598</v>
      </c>
      <c r="G3100" t="s">
        <v>599</v>
      </c>
      <c r="H3100" t="s">
        <v>600</v>
      </c>
      <c r="I3100" t="s">
        <v>601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</row>
    <row r="3101" spans="1:25" hidden="1">
      <c r="A3101" t="s">
        <v>18812</v>
      </c>
      <c r="B3101" t="s">
        <v>1379</v>
      </c>
      <c r="C3101" t="s">
        <v>1267</v>
      </c>
      <c r="D3101" t="s">
        <v>648</v>
      </c>
      <c r="E3101" t="s">
        <v>1380</v>
      </c>
      <c r="F3101" t="s">
        <v>598</v>
      </c>
      <c r="G3101" t="s">
        <v>599</v>
      </c>
      <c r="H3101" t="s">
        <v>600</v>
      </c>
      <c r="I3101" t="s">
        <v>601</v>
      </c>
      <c r="J3101">
        <v>4.0000000000000002E-4</v>
      </c>
      <c r="K3101">
        <v>4.0000000000000002E-4</v>
      </c>
      <c r="L3101">
        <v>4.0000000000000002E-4</v>
      </c>
      <c r="M3101">
        <v>2.9999999999999997E-4</v>
      </c>
      <c r="N3101">
        <v>2.9999999999999997E-4</v>
      </c>
      <c r="O3101">
        <v>2.9999999999999997E-4</v>
      </c>
      <c r="P3101">
        <v>2.9999999999999997E-4</v>
      </c>
      <c r="Q3101">
        <v>2.9999999999999997E-4</v>
      </c>
      <c r="R3101">
        <v>2.9999999999999997E-4</v>
      </c>
      <c r="S3101">
        <v>2.9999999999999997E-4</v>
      </c>
      <c r="T3101">
        <v>2.9999999999999997E-4</v>
      </c>
      <c r="U3101">
        <v>2.9999999999999997E-4</v>
      </c>
      <c r="V3101">
        <v>2.9999999999999997E-4</v>
      </c>
      <c r="W3101">
        <v>2.9999999999999997E-4</v>
      </c>
      <c r="X3101">
        <v>2.9999999999999997E-4</v>
      </c>
      <c r="Y3101">
        <v>2.9999999999999997E-4</v>
      </c>
    </row>
    <row r="3102" spans="1:25" hidden="1">
      <c r="A3102" t="s">
        <v>18812</v>
      </c>
      <c r="B3102" t="s">
        <v>1381</v>
      </c>
      <c r="C3102" t="s">
        <v>1382</v>
      </c>
      <c r="D3102" t="s">
        <v>1274</v>
      </c>
      <c r="E3102" t="s">
        <v>973</v>
      </c>
      <c r="F3102" t="s">
        <v>598</v>
      </c>
      <c r="G3102" t="s">
        <v>599</v>
      </c>
      <c r="H3102" t="s">
        <v>600</v>
      </c>
      <c r="I3102" t="s">
        <v>601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hidden="1">
      <c r="A3103" t="s">
        <v>18812</v>
      </c>
      <c r="B3103" t="s">
        <v>1383</v>
      </c>
      <c r="C3103" t="s">
        <v>1382</v>
      </c>
      <c r="D3103" t="s">
        <v>1281</v>
      </c>
      <c r="E3103" t="s">
        <v>973</v>
      </c>
      <c r="F3103" t="s">
        <v>598</v>
      </c>
      <c r="G3103" t="s">
        <v>599</v>
      </c>
      <c r="H3103" t="s">
        <v>600</v>
      </c>
      <c r="I3103" t="s">
        <v>601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hidden="1">
      <c r="A3104" t="s">
        <v>18812</v>
      </c>
      <c r="B3104" t="s">
        <v>1384</v>
      </c>
      <c r="C3104" t="s">
        <v>1382</v>
      </c>
      <c r="D3104" t="s">
        <v>1285</v>
      </c>
      <c r="E3104" t="s">
        <v>973</v>
      </c>
      <c r="F3104" t="s">
        <v>598</v>
      </c>
      <c r="G3104" t="s">
        <v>599</v>
      </c>
      <c r="H3104" t="s">
        <v>600</v>
      </c>
      <c r="I3104" t="s">
        <v>601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hidden="1">
      <c r="A3105" t="s">
        <v>18812</v>
      </c>
      <c r="B3105" t="s">
        <v>1388</v>
      </c>
      <c r="C3105" t="s">
        <v>1382</v>
      </c>
      <c r="D3105" t="s">
        <v>1311</v>
      </c>
      <c r="E3105" t="s">
        <v>597</v>
      </c>
      <c r="F3105" t="s">
        <v>598</v>
      </c>
      <c r="G3105" t="s">
        <v>599</v>
      </c>
      <c r="H3105" t="s">
        <v>600</v>
      </c>
      <c r="I3105" t="s">
        <v>601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hidden="1">
      <c r="A3106" t="s">
        <v>18812</v>
      </c>
      <c r="B3106" t="s">
        <v>1390</v>
      </c>
      <c r="C3106" t="s">
        <v>1382</v>
      </c>
      <c r="D3106" t="s">
        <v>1311</v>
      </c>
      <c r="E3106" t="s">
        <v>605</v>
      </c>
      <c r="F3106" t="s">
        <v>598</v>
      </c>
      <c r="G3106" t="s">
        <v>599</v>
      </c>
      <c r="H3106" t="s">
        <v>600</v>
      </c>
      <c r="I3106" t="s">
        <v>601</v>
      </c>
      <c r="J3106">
        <v>6.9999999999999999E-4</v>
      </c>
      <c r="K3106">
        <v>6.9999999999999999E-4</v>
      </c>
      <c r="L3106">
        <v>6.9999999999999999E-4</v>
      </c>
      <c r="M3106">
        <v>6.9999999999999999E-4</v>
      </c>
      <c r="N3106">
        <v>6.9999999999999999E-4</v>
      </c>
      <c r="O3106">
        <v>6.9999999999999999E-4</v>
      </c>
      <c r="P3106">
        <v>6.9999999999999999E-4</v>
      </c>
      <c r="Q3106">
        <v>6.9999999999999999E-4</v>
      </c>
      <c r="R3106">
        <v>6.9999999999999999E-4</v>
      </c>
      <c r="S3106">
        <v>6.9999999999999999E-4</v>
      </c>
      <c r="T3106">
        <v>6.9999999999999999E-4</v>
      </c>
      <c r="U3106">
        <v>6.9999999999999999E-4</v>
      </c>
      <c r="V3106">
        <v>6.9999999999999999E-4</v>
      </c>
      <c r="W3106">
        <v>6.9999999999999999E-4</v>
      </c>
      <c r="X3106">
        <v>6.9999999999999999E-4</v>
      </c>
      <c r="Y3106">
        <v>6.9999999999999999E-4</v>
      </c>
    </row>
    <row r="3107" spans="1:25" hidden="1">
      <c r="A3107" t="s">
        <v>18812</v>
      </c>
      <c r="B3107" t="s">
        <v>1403</v>
      </c>
      <c r="C3107" t="s">
        <v>1382</v>
      </c>
      <c r="D3107" t="s">
        <v>1316</v>
      </c>
      <c r="E3107" t="s">
        <v>892</v>
      </c>
      <c r="F3107" t="s">
        <v>598</v>
      </c>
      <c r="G3107" t="s">
        <v>599</v>
      </c>
      <c r="H3107" t="s">
        <v>600</v>
      </c>
      <c r="I3107" t="s">
        <v>601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hidden="1">
      <c r="A3108" t="s">
        <v>18812</v>
      </c>
      <c r="B3108" t="s">
        <v>1404</v>
      </c>
      <c r="C3108" t="s">
        <v>1382</v>
      </c>
      <c r="D3108" t="s">
        <v>1316</v>
      </c>
      <c r="E3108" t="s">
        <v>1318</v>
      </c>
      <c r="F3108" t="s">
        <v>598</v>
      </c>
      <c r="G3108" t="s">
        <v>599</v>
      </c>
      <c r="H3108" t="s">
        <v>600</v>
      </c>
      <c r="I3108" t="s">
        <v>601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hidden="1">
      <c r="A3109" t="s">
        <v>18812</v>
      </c>
      <c r="B3109" t="s">
        <v>1406</v>
      </c>
      <c r="C3109" t="s">
        <v>1382</v>
      </c>
      <c r="D3109" t="s">
        <v>1320</v>
      </c>
      <c r="E3109" t="s">
        <v>688</v>
      </c>
      <c r="F3109" t="s">
        <v>598</v>
      </c>
      <c r="G3109" t="s">
        <v>599</v>
      </c>
      <c r="H3109" t="s">
        <v>600</v>
      </c>
      <c r="I3109" t="s">
        <v>601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hidden="1">
      <c r="A3110" t="s">
        <v>18812</v>
      </c>
      <c r="B3110" t="s">
        <v>1409</v>
      </c>
      <c r="C3110" t="s">
        <v>1382</v>
      </c>
      <c r="D3110" t="s">
        <v>1320</v>
      </c>
      <c r="E3110" t="s">
        <v>750</v>
      </c>
      <c r="F3110" t="s">
        <v>598</v>
      </c>
      <c r="G3110" t="s">
        <v>599</v>
      </c>
      <c r="H3110" t="s">
        <v>600</v>
      </c>
      <c r="I3110" t="s">
        <v>601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hidden="1">
      <c r="A3111" t="s">
        <v>18812</v>
      </c>
      <c r="B3111" t="s">
        <v>1410</v>
      </c>
      <c r="C3111" t="s">
        <v>1382</v>
      </c>
      <c r="D3111" t="s">
        <v>1320</v>
      </c>
      <c r="E3111" t="s">
        <v>1402</v>
      </c>
      <c r="F3111" t="s">
        <v>598</v>
      </c>
      <c r="G3111" t="s">
        <v>599</v>
      </c>
      <c r="H3111" t="s">
        <v>600</v>
      </c>
      <c r="I3111" t="s">
        <v>601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hidden="1">
      <c r="A3112" t="s">
        <v>18812</v>
      </c>
      <c r="B3112" t="s">
        <v>1411</v>
      </c>
      <c r="C3112" t="s">
        <v>1382</v>
      </c>
      <c r="D3112" t="s">
        <v>1320</v>
      </c>
      <c r="E3112" t="s">
        <v>892</v>
      </c>
      <c r="F3112" t="s">
        <v>598</v>
      </c>
      <c r="G3112" t="s">
        <v>599</v>
      </c>
      <c r="H3112" t="s">
        <v>600</v>
      </c>
      <c r="I3112" t="s">
        <v>601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hidden="1">
      <c r="A3113" t="s">
        <v>18812</v>
      </c>
      <c r="B3113" t="s">
        <v>1418</v>
      </c>
      <c r="C3113" t="s">
        <v>1382</v>
      </c>
      <c r="D3113" t="s">
        <v>1324</v>
      </c>
      <c r="E3113" t="s">
        <v>1326</v>
      </c>
      <c r="F3113" t="s">
        <v>598</v>
      </c>
      <c r="G3113" t="s">
        <v>599</v>
      </c>
      <c r="H3113" t="s">
        <v>600</v>
      </c>
      <c r="I3113" t="s">
        <v>601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hidden="1">
      <c r="A3114" t="s">
        <v>18812</v>
      </c>
      <c r="B3114" t="s">
        <v>1421</v>
      </c>
      <c r="C3114" t="s">
        <v>1382</v>
      </c>
      <c r="D3114" t="s">
        <v>1324</v>
      </c>
      <c r="E3114" t="s">
        <v>1318</v>
      </c>
      <c r="F3114" t="s">
        <v>598</v>
      </c>
      <c r="G3114" t="s">
        <v>599</v>
      </c>
      <c r="H3114" t="s">
        <v>600</v>
      </c>
      <c r="I3114" t="s">
        <v>601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hidden="1">
      <c r="A3115" t="s">
        <v>18812</v>
      </c>
      <c r="B3115" t="s">
        <v>1424</v>
      </c>
      <c r="C3115" t="s">
        <v>1382</v>
      </c>
      <c r="D3115" t="s">
        <v>1332</v>
      </c>
      <c r="E3115" t="s">
        <v>688</v>
      </c>
      <c r="F3115" t="s">
        <v>598</v>
      </c>
      <c r="G3115" t="s">
        <v>599</v>
      </c>
      <c r="H3115" t="s">
        <v>600</v>
      </c>
      <c r="I3115" t="s">
        <v>601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hidden="1">
      <c r="A3116" t="s">
        <v>18812</v>
      </c>
      <c r="B3116" t="s">
        <v>1427</v>
      </c>
      <c r="C3116" t="s">
        <v>1382</v>
      </c>
      <c r="D3116" t="s">
        <v>1332</v>
      </c>
      <c r="E3116" t="s">
        <v>1326</v>
      </c>
      <c r="F3116" t="s">
        <v>598</v>
      </c>
      <c r="G3116" t="s">
        <v>599</v>
      </c>
      <c r="H3116" t="s">
        <v>600</v>
      </c>
      <c r="I3116" t="s">
        <v>601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hidden="1">
      <c r="A3117" t="s">
        <v>18812</v>
      </c>
      <c r="B3117" t="s">
        <v>1429</v>
      </c>
      <c r="C3117" t="s">
        <v>1382</v>
      </c>
      <c r="D3117" t="s">
        <v>1332</v>
      </c>
      <c r="E3117" t="s">
        <v>892</v>
      </c>
      <c r="F3117" t="s">
        <v>598</v>
      </c>
      <c r="G3117" t="s">
        <v>599</v>
      </c>
      <c r="H3117" t="s">
        <v>600</v>
      </c>
      <c r="I3117" t="s">
        <v>601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hidden="1">
      <c r="A3118" t="s">
        <v>18812</v>
      </c>
      <c r="B3118" t="s">
        <v>1430</v>
      </c>
      <c r="C3118" t="s">
        <v>1382</v>
      </c>
      <c r="D3118" t="s">
        <v>1332</v>
      </c>
      <c r="E3118" t="s">
        <v>1318</v>
      </c>
      <c r="F3118" t="s">
        <v>598</v>
      </c>
      <c r="G3118" t="s">
        <v>599</v>
      </c>
      <c r="H3118" t="s">
        <v>600</v>
      </c>
      <c r="I3118" t="s">
        <v>601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hidden="1">
      <c r="A3119" t="s">
        <v>18812</v>
      </c>
      <c r="B3119" t="s">
        <v>1434</v>
      </c>
      <c r="C3119" t="s">
        <v>1382</v>
      </c>
      <c r="D3119" t="s">
        <v>1435</v>
      </c>
      <c r="E3119" t="s">
        <v>973</v>
      </c>
      <c r="F3119" t="s">
        <v>598</v>
      </c>
      <c r="G3119" t="s">
        <v>599</v>
      </c>
      <c r="H3119" t="s">
        <v>600</v>
      </c>
      <c r="I3119" t="s">
        <v>601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hidden="1">
      <c r="A3120" t="s">
        <v>18812</v>
      </c>
      <c r="B3120" t="s">
        <v>1436</v>
      </c>
      <c r="C3120" t="s">
        <v>1382</v>
      </c>
      <c r="D3120" t="s">
        <v>1354</v>
      </c>
      <c r="E3120" t="s">
        <v>973</v>
      </c>
      <c r="F3120" t="s">
        <v>598</v>
      </c>
      <c r="G3120" t="s">
        <v>599</v>
      </c>
      <c r="H3120" t="s">
        <v>600</v>
      </c>
      <c r="I3120" t="s">
        <v>601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hidden="1">
      <c r="A3121" t="s">
        <v>18812</v>
      </c>
      <c r="B3121" t="s">
        <v>1442</v>
      </c>
      <c r="C3121" t="s">
        <v>1382</v>
      </c>
      <c r="D3121" t="s">
        <v>1443</v>
      </c>
      <c r="E3121" t="s">
        <v>611</v>
      </c>
      <c r="F3121" t="s">
        <v>598</v>
      </c>
      <c r="G3121" t="s">
        <v>599</v>
      </c>
      <c r="H3121" t="s">
        <v>600</v>
      </c>
      <c r="I3121" t="s">
        <v>601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hidden="1">
      <c r="A3122" t="s">
        <v>18812</v>
      </c>
      <c r="B3122" t="s">
        <v>1455</v>
      </c>
      <c r="C3122" t="s">
        <v>1382</v>
      </c>
      <c r="D3122" t="s">
        <v>1365</v>
      </c>
      <c r="E3122" t="s">
        <v>781</v>
      </c>
      <c r="F3122" t="s">
        <v>598</v>
      </c>
      <c r="G3122" t="s">
        <v>599</v>
      </c>
      <c r="H3122" t="s">
        <v>600</v>
      </c>
      <c r="I3122" t="s">
        <v>601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hidden="1">
      <c r="A3123" t="s">
        <v>18812</v>
      </c>
      <c r="B3123" t="s">
        <v>1456</v>
      </c>
      <c r="C3123" t="s">
        <v>1382</v>
      </c>
      <c r="D3123" t="s">
        <v>1365</v>
      </c>
      <c r="E3123" t="s">
        <v>678</v>
      </c>
      <c r="F3123" t="s">
        <v>598</v>
      </c>
      <c r="G3123" t="s">
        <v>599</v>
      </c>
      <c r="H3123" t="s">
        <v>600</v>
      </c>
      <c r="I3123" t="s">
        <v>601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hidden="1">
      <c r="A3124" t="s">
        <v>18812</v>
      </c>
      <c r="B3124" t="s">
        <v>1471</v>
      </c>
      <c r="C3124" t="s">
        <v>1472</v>
      </c>
      <c r="D3124" t="s">
        <v>1274</v>
      </c>
      <c r="E3124" t="s">
        <v>973</v>
      </c>
      <c r="F3124" t="s">
        <v>598</v>
      </c>
      <c r="G3124" t="s">
        <v>599</v>
      </c>
      <c r="H3124" t="s">
        <v>600</v>
      </c>
      <c r="I3124" t="s">
        <v>601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hidden="1">
      <c r="A3125" t="s">
        <v>18812</v>
      </c>
      <c r="B3125" t="s">
        <v>1473</v>
      </c>
      <c r="C3125" t="s">
        <v>1472</v>
      </c>
      <c r="D3125" t="s">
        <v>1274</v>
      </c>
      <c r="E3125" t="s">
        <v>597</v>
      </c>
      <c r="F3125" t="s">
        <v>598</v>
      </c>
      <c r="G3125" t="s">
        <v>599</v>
      </c>
      <c r="H3125" t="s">
        <v>600</v>
      </c>
      <c r="I3125" t="s">
        <v>601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hidden="1">
      <c r="A3126" t="s">
        <v>18812</v>
      </c>
      <c r="B3126" t="s">
        <v>1474</v>
      </c>
      <c r="C3126" t="s">
        <v>1472</v>
      </c>
      <c r="D3126" t="s">
        <v>1274</v>
      </c>
      <c r="E3126" t="s">
        <v>678</v>
      </c>
      <c r="F3126" t="s">
        <v>598</v>
      </c>
      <c r="G3126" t="s">
        <v>599</v>
      </c>
      <c r="H3126" t="s">
        <v>600</v>
      </c>
      <c r="I3126" t="s">
        <v>601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hidden="1">
      <c r="A3127" t="s">
        <v>18812</v>
      </c>
      <c r="B3127" t="s">
        <v>1475</v>
      </c>
      <c r="C3127" t="s">
        <v>1472</v>
      </c>
      <c r="D3127" t="s">
        <v>1281</v>
      </c>
      <c r="E3127" t="s">
        <v>678</v>
      </c>
      <c r="F3127" t="s">
        <v>598</v>
      </c>
      <c r="G3127" t="s">
        <v>599</v>
      </c>
      <c r="H3127" t="s">
        <v>600</v>
      </c>
      <c r="I3127" t="s">
        <v>601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hidden="1">
      <c r="A3128" t="s">
        <v>18812</v>
      </c>
      <c r="B3128" t="s">
        <v>1476</v>
      </c>
      <c r="C3128" t="s">
        <v>1472</v>
      </c>
      <c r="D3128" t="s">
        <v>1285</v>
      </c>
      <c r="E3128" t="s">
        <v>678</v>
      </c>
      <c r="F3128" t="s">
        <v>598</v>
      </c>
      <c r="G3128" t="s">
        <v>599</v>
      </c>
      <c r="H3128" t="s">
        <v>600</v>
      </c>
      <c r="I3128" t="s">
        <v>601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hidden="1">
      <c r="A3129" t="s">
        <v>18812</v>
      </c>
      <c r="B3129" t="s">
        <v>1480</v>
      </c>
      <c r="C3129" t="s">
        <v>1472</v>
      </c>
      <c r="D3129" t="s">
        <v>1305</v>
      </c>
      <c r="E3129" t="s">
        <v>678</v>
      </c>
      <c r="F3129" t="s">
        <v>598</v>
      </c>
      <c r="G3129" t="s">
        <v>599</v>
      </c>
      <c r="H3129" t="s">
        <v>600</v>
      </c>
      <c r="I3129" t="s">
        <v>601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hidden="1">
      <c r="A3130" t="s">
        <v>18812</v>
      </c>
      <c r="B3130" t="s">
        <v>1482</v>
      </c>
      <c r="C3130" t="s">
        <v>1472</v>
      </c>
      <c r="D3130" t="s">
        <v>1483</v>
      </c>
      <c r="E3130" t="s">
        <v>597</v>
      </c>
      <c r="F3130" t="s">
        <v>598</v>
      </c>
      <c r="G3130" t="s">
        <v>599</v>
      </c>
      <c r="H3130" t="s">
        <v>600</v>
      </c>
      <c r="I3130" t="s">
        <v>601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hidden="1">
      <c r="A3131" t="s">
        <v>18812</v>
      </c>
      <c r="B3131" t="s">
        <v>1484</v>
      </c>
      <c r="C3131" t="s">
        <v>1472</v>
      </c>
      <c r="D3131" t="s">
        <v>1485</v>
      </c>
      <c r="E3131" t="s">
        <v>642</v>
      </c>
      <c r="F3131" t="s">
        <v>598</v>
      </c>
      <c r="G3131" t="s">
        <v>599</v>
      </c>
      <c r="H3131" t="s">
        <v>600</v>
      </c>
      <c r="I3131" t="s">
        <v>601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hidden="1">
      <c r="A3132" t="s">
        <v>18812</v>
      </c>
      <c r="B3132" t="s">
        <v>1488</v>
      </c>
      <c r="C3132" t="s">
        <v>1472</v>
      </c>
      <c r="D3132" t="s">
        <v>1392</v>
      </c>
      <c r="E3132" t="s">
        <v>688</v>
      </c>
      <c r="F3132" t="s">
        <v>598</v>
      </c>
      <c r="G3132" t="s">
        <v>599</v>
      </c>
      <c r="H3132" t="s">
        <v>600</v>
      </c>
      <c r="I3132" t="s">
        <v>601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hidden="1">
      <c r="A3133" t="s">
        <v>18812</v>
      </c>
      <c r="B3133" t="s">
        <v>1498</v>
      </c>
      <c r="C3133" t="s">
        <v>1472</v>
      </c>
      <c r="D3133" t="s">
        <v>1316</v>
      </c>
      <c r="E3133" t="s">
        <v>1402</v>
      </c>
      <c r="F3133" t="s">
        <v>598</v>
      </c>
      <c r="G3133" t="s">
        <v>599</v>
      </c>
      <c r="H3133" t="s">
        <v>600</v>
      </c>
      <c r="I3133" t="s">
        <v>601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hidden="1">
      <c r="A3134" t="s">
        <v>18812</v>
      </c>
      <c r="B3134" t="s">
        <v>1501</v>
      </c>
      <c r="C3134" t="s">
        <v>1472</v>
      </c>
      <c r="D3134" t="s">
        <v>1316</v>
      </c>
      <c r="E3134" t="s">
        <v>1318</v>
      </c>
      <c r="F3134" t="s">
        <v>598</v>
      </c>
      <c r="G3134" t="s">
        <v>599</v>
      </c>
      <c r="H3134" t="s">
        <v>600</v>
      </c>
      <c r="I3134" t="s">
        <v>601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hidden="1">
      <c r="A3135" t="s">
        <v>18812</v>
      </c>
      <c r="B3135" t="s">
        <v>1509</v>
      </c>
      <c r="C3135" t="s">
        <v>1472</v>
      </c>
      <c r="D3135" t="s">
        <v>1320</v>
      </c>
      <c r="E3135" t="s">
        <v>678</v>
      </c>
      <c r="F3135" t="s">
        <v>598</v>
      </c>
      <c r="G3135" t="s">
        <v>599</v>
      </c>
      <c r="H3135" t="s">
        <v>600</v>
      </c>
      <c r="I3135" t="s">
        <v>601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hidden="1">
      <c r="A3136" t="s">
        <v>18812</v>
      </c>
      <c r="B3136" t="s">
        <v>1513</v>
      </c>
      <c r="C3136" t="s">
        <v>1472</v>
      </c>
      <c r="D3136" t="s">
        <v>1324</v>
      </c>
      <c r="E3136" t="s">
        <v>688</v>
      </c>
      <c r="F3136" t="s">
        <v>598</v>
      </c>
      <c r="G3136" t="s">
        <v>599</v>
      </c>
      <c r="H3136" t="s">
        <v>600</v>
      </c>
      <c r="I3136" t="s">
        <v>601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hidden="1">
      <c r="A3137" t="s">
        <v>18812</v>
      </c>
      <c r="B3137" t="s">
        <v>1514</v>
      </c>
      <c r="C3137" t="s">
        <v>1472</v>
      </c>
      <c r="D3137" t="s">
        <v>1324</v>
      </c>
      <c r="E3137" t="s">
        <v>1334</v>
      </c>
      <c r="F3137" t="s">
        <v>598</v>
      </c>
      <c r="G3137" t="s">
        <v>599</v>
      </c>
      <c r="H3137" t="s">
        <v>600</v>
      </c>
      <c r="I3137" t="s">
        <v>601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hidden="1">
      <c r="A3138" t="s">
        <v>18812</v>
      </c>
      <c r="B3138" t="s">
        <v>1524</v>
      </c>
      <c r="C3138" t="s">
        <v>1472</v>
      </c>
      <c r="D3138" t="s">
        <v>1324</v>
      </c>
      <c r="E3138" t="s">
        <v>1318</v>
      </c>
      <c r="F3138" t="s">
        <v>598</v>
      </c>
      <c r="G3138" t="s">
        <v>599</v>
      </c>
      <c r="H3138" t="s">
        <v>600</v>
      </c>
      <c r="I3138" t="s">
        <v>601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hidden="1">
      <c r="A3139" t="s">
        <v>18812</v>
      </c>
      <c r="B3139" t="s">
        <v>1527</v>
      </c>
      <c r="C3139" t="s">
        <v>1472</v>
      </c>
      <c r="D3139" t="s">
        <v>1332</v>
      </c>
      <c r="E3139" t="s">
        <v>1334</v>
      </c>
      <c r="F3139" t="s">
        <v>598</v>
      </c>
      <c r="G3139" t="s">
        <v>599</v>
      </c>
      <c r="H3139" t="s">
        <v>600</v>
      </c>
      <c r="I3139" t="s">
        <v>601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hidden="1">
      <c r="A3140" t="s">
        <v>18812</v>
      </c>
      <c r="B3140" t="s">
        <v>1538</v>
      </c>
      <c r="C3140" t="s">
        <v>1472</v>
      </c>
      <c r="D3140" t="s">
        <v>1332</v>
      </c>
      <c r="E3140" t="s">
        <v>1318</v>
      </c>
      <c r="F3140" t="s">
        <v>598</v>
      </c>
      <c r="G3140" t="s">
        <v>599</v>
      </c>
      <c r="H3140" t="s">
        <v>600</v>
      </c>
      <c r="I3140" t="s">
        <v>601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hidden="1">
      <c r="A3141" t="s">
        <v>18812</v>
      </c>
      <c r="B3141" t="s">
        <v>1540</v>
      </c>
      <c r="C3141" t="s">
        <v>1472</v>
      </c>
      <c r="D3141" t="s">
        <v>1348</v>
      </c>
      <c r="E3141" t="s">
        <v>1334</v>
      </c>
      <c r="F3141" t="s">
        <v>598</v>
      </c>
      <c r="G3141" t="s">
        <v>599</v>
      </c>
      <c r="H3141" t="s">
        <v>600</v>
      </c>
      <c r="I3141" t="s">
        <v>601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hidden="1">
      <c r="A3142" t="s">
        <v>18812</v>
      </c>
      <c r="B3142" t="s">
        <v>1545</v>
      </c>
      <c r="C3142" t="s">
        <v>1472</v>
      </c>
      <c r="D3142" t="s">
        <v>1348</v>
      </c>
      <c r="E3142" t="s">
        <v>1326</v>
      </c>
      <c r="F3142" t="s">
        <v>598</v>
      </c>
      <c r="G3142" t="s">
        <v>599</v>
      </c>
      <c r="H3142" t="s">
        <v>600</v>
      </c>
      <c r="I3142" t="s">
        <v>601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hidden="1">
      <c r="A3143" t="s">
        <v>18812</v>
      </c>
      <c r="B3143" t="s">
        <v>1566</v>
      </c>
      <c r="C3143" t="s">
        <v>1472</v>
      </c>
      <c r="D3143" t="s">
        <v>1567</v>
      </c>
      <c r="E3143" t="s">
        <v>626</v>
      </c>
      <c r="F3143" t="s">
        <v>598</v>
      </c>
      <c r="G3143" t="s">
        <v>599</v>
      </c>
      <c r="H3143" t="s">
        <v>600</v>
      </c>
      <c r="I3143" t="s">
        <v>601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hidden="1">
      <c r="A3144" t="s">
        <v>18812</v>
      </c>
      <c r="B3144" t="s">
        <v>1568</v>
      </c>
      <c r="C3144" t="s">
        <v>1472</v>
      </c>
      <c r="D3144" t="s">
        <v>1569</v>
      </c>
      <c r="E3144" t="s">
        <v>626</v>
      </c>
      <c r="F3144" t="s">
        <v>598</v>
      </c>
      <c r="G3144" t="s">
        <v>599</v>
      </c>
      <c r="H3144" t="s">
        <v>600</v>
      </c>
      <c r="I3144" t="s">
        <v>601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hidden="1">
      <c r="A3145" t="s">
        <v>18812</v>
      </c>
      <c r="B3145" t="s">
        <v>1570</v>
      </c>
      <c r="C3145" t="s">
        <v>1472</v>
      </c>
      <c r="D3145" t="s">
        <v>1571</v>
      </c>
      <c r="E3145" t="s">
        <v>626</v>
      </c>
      <c r="F3145" t="s">
        <v>598</v>
      </c>
      <c r="G3145" t="s">
        <v>599</v>
      </c>
      <c r="H3145" t="s">
        <v>600</v>
      </c>
      <c r="I3145" t="s">
        <v>601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hidden="1">
      <c r="A3146" t="s">
        <v>18812</v>
      </c>
      <c r="B3146" t="s">
        <v>1573</v>
      </c>
      <c r="C3146" t="s">
        <v>1472</v>
      </c>
      <c r="D3146" t="s">
        <v>1574</v>
      </c>
      <c r="E3146" t="s">
        <v>626</v>
      </c>
      <c r="F3146" t="s">
        <v>598</v>
      </c>
      <c r="G3146" t="s">
        <v>599</v>
      </c>
      <c r="H3146" t="s">
        <v>600</v>
      </c>
      <c r="I3146" t="s">
        <v>601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hidden="1">
      <c r="A3147" t="s">
        <v>18812</v>
      </c>
      <c r="B3147" t="s">
        <v>1575</v>
      </c>
      <c r="C3147" t="s">
        <v>1472</v>
      </c>
      <c r="D3147" t="s">
        <v>1576</v>
      </c>
      <c r="E3147" t="s">
        <v>626</v>
      </c>
      <c r="F3147" t="s">
        <v>598</v>
      </c>
      <c r="G3147" t="s">
        <v>599</v>
      </c>
      <c r="H3147" t="s">
        <v>600</v>
      </c>
      <c r="I3147" t="s">
        <v>601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hidden="1">
      <c r="A3148" t="s">
        <v>18812</v>
      </c>
      <c r="B3148" t="s">
        <v>1577</v>
      </c>
      <c r="C3148" t="s">
        <v>1472</v>
      </c>
      <c r="D3148" t="s">
        <v>1578</v>
      </c>
      <c r="E3148" t="s">
        <v>626</v>
      </c>
      <c r="F3148" t="s">
        <v>598</v>
      </c>
      <c r="G3148" t="s">
        <v>599</v>
      </c>
      <c r="H3148" t="s">
        <v>600</v>
      </c>
      <c r="I3148" t="s">
        <v>601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hidden="1">
      <c r="A3149" t="s">
        <v>18812</v>
      </c>
      <c r="B3149" t="s">
        <v>1580</v>
      </c>
      <c r="C3149" t="s">
        <v>1472</v>
      </c>
      <c r="D3149" t="s">
        <v>1578</v>
      </c>
      <c r="E3149" t="s">
        <v>1399</v>
      </c>
      <c r="F3149" t="s">
        <v>598</v>
      </c>
      <c r="G3149" t="s">
        <v>599</v>
      </c>
      <c r="H3149" t="s">
        <v>600</v>
      </c>
      <c r="I3149" t="s">
        <v>601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hidden="1">
      <c r="A3150" t="s">
        <v>18812</v>
      </c>
      <c r="B3150" t="s">
        <v>1582</v>
      </c>
      <c r="C3150" t="s">
        <v>1472</v>
      </c>
      <c r="D3150" t="s">
        <v>1583</v>
      </c>
      <c r="E3150" t="s">
        <v>626</v>
      </c>
      <c r="F3150" t="s">
        <v>598</v>
      </c>
      <c r="G3150" t="s">
        <v>599</v>
      </c>
      <c r="H3150" t="s">
        <v>600</v>
      </c>
      <c r="I3150" t="s">
        <v>601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hidden="1">
      <c r="A3151" t="s">
        <v>18812</v>
      </c>
      <c r="B3151" t="s">
        <v>1584</v>
      </c>
      <c r="C3151" t="s">
        <v>1472</v>
      </c>
      <c r="D3151" t="s">
        <v>1583</v>
      </c>
      <c r="E3151" t="s">
        <v>1334</v>
      </c>
      <c r="F3151" t="s">
        <v>598</v>
      </c>
      <c r="G3151" t="s">
        <v>599</v>
      </c>
      <c r="H3151" t="s">
        <v>600</v>
      </c>
      <c r="I3151" t="s">
        <v>601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hidden="1">
      <c r="A3152" t="s">
        <v>18812</v>
      </c>
      <c r="B3152" t="s">
        <v>1590</v>
      </c>
      <c r="C3152" t="s">
        <v>1472</v>
      </c>
      <c r="D3152" t="s">
        <v>1365</v>
      </c>
      <c r="E3152" t="s">
        <v>626</v>
      </c>
      <c r="F3152" t="s">
        <v>598</v>
      </c>
      <c r="G3152" t="s">
        <v>599</v>
      </c>
      <c r="H3152" t="s">
        <v>600</v>
      </c>
      <c r="I3152" t="s">
        <v>601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hidden="1">
      <c r="A3153" t="s">
        <v>18812</v>
      </c>
      <c r="B3153" t="s">
        <v>1594</v>
      </c>
      <c r="C3153" t="s">
        <v>1472</v>
      </c>
      <c r="D3153" t="s">
        <v>1365</v>
      </c>
      <c r="E3153" t="s">
        <v>678</v>
      </c>
      <c r="F3153" t="s">
        <v>598</v>
      </c>
      <c r="G3153" t="s">
        <v>599</v>
      </c>
      <c r="H3153" t="s">
        <v>600</v>
      </c>
      <c r="I3153" t="s">
        <v>601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hidden="1">
      <c r="A3154" t="s">
        <v>18812</v>
      </c>
      <c r="B3154" t="s">
        <v>1600</v>
      </c>
      <c r="C3154" t="s">
        <v>1472</v>
      </c>
      <c r="D3154" t="s">
        <v>1601</v>
      </c>
      <c r="E3154" t="s">
        <v>626</v>
      </c>
      <c r="F3154" t="s">
        <v>598</v>
      </c>
      <c r="G3154" t="s">
        <v>599</v>
      </c>
      <c r="H3154" t="s">
        <v>600</v>
      </c>
      <c r="I3154" t="s">
        <v>601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hidden="1">
      <c r="A3155" t="s">
        <v>18812</v>
      </c>
      <c r="B3155" t="s">
        <v>1602</v>
      </c>
      <c r="C3155" t="s">
        <v>1472</v>
      </c>
      <c r="D3155" t="s">
        <v>1603</v>
      </c>
      <c r="E3155" t="s">
        <v>626</v>
      </c>
      <c r="F3155" t="s">
        <v>598</v>
      </c>
      <c r="G3155" t="s">
        <v>599</v>
      </c>
      <c r="H3155" t="s">
        <v>600</v>
      </c>
      <c r="I3155" t="s">
        <v>601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hidden="1">
      <c r="A3156" t="s">
        <v>18812</v>
      </c>
      <c r="B3156" t="s">
        <v>1604</v>
      </c>
      <c r="C3156" t="s">
        <v>1472</v>
      </c>
      <c r="D3156" t="s">
        <v>1605</v>
      </c>
      <c r="E3156" t="s">
        <v>626</v>
      </c>
      <c r="F3156" t="s">
        <v>598</v>
      </c>
      <c r="G3156" t="s">
        <v>599</v>
      </c>
      <c r="H3156" t="s">
        <v>600</v>
      </c>
      <c r="I3156" t="s">
        <v>601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hidden="1">
      <c r="A3157" t="s">
        <v>18812</v>
      </c>
      <c r="B3157" t="s">
        <v>1608</v>
      </c>
      <c r="C3157" t="s">
        <v>1472</v>
      </c>
      <c r="D3157" t="s">
        <v>648</v>
      </c>
      <c r="E3157" t="s">
        <v>611</v>
      </c>
      <c r="F3157" t="s">
        <v>598</v>
      </c>
      <c r="G3157" t="s">
        <v>599</v>
      </c>
      <c r="H3157" t="s">
        <v>600</v>
      </c>
      <c r="I3157" t="s">
        <v>601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hidden="1">
      <c r="A3158" t="s">
        <v>18812</v>
      </c>
      <c r="B3158" t="s">
        <v>1717</v>
      </c>
      <c r="C3158" t="s">
        <v>1614</v>
      </c>
      <c r="D3158" t="s">
        <v>1354</v>
      </c>
      <c r="E3158" t="s">
        <v>1718</v>
      </c>
      <c r="F3158" t="s">
        <v>598</v>
      </c>
      <c r="G3158" t="s">
        <v>599</v>
      </c>
      <c r="H3158" t="s">
        <v>600</v>
      </c>
      <c r="I3158" t="s">
        <v>601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hidden="1">
      <c r="A3159" t="s">
        <v>18812</v>
      </c>
      <c r="B3159" t="s">
        <v>1771</v>
      </c>
      <c r="C3159" t="s">
        <v>1614</v>
      </c>
      <c r="D3159" t="s">
        <v>1768</v>
      </c>
      <c r="E3159" t="s">
        <v>1772</v>
      </c>
      <c r="F3159" t="s">
        <v>598</v>
      </c>
      <c r="G3159" t="s">
        <v>599</v>
      </c>
      <c r="H3159" t="s">
        <v>600</v>
      </c>
      <c r="I3159" t="s">
        <v>601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hidden="1">
      <c r="A3160" t="s">
        <v>18812</v>
      </c>
      <c r="B3160" t="s">
        <v>1775</v>
      </c>
      <c r="C3160" t="s">
        <v>1614</v>
      </c>
      <c r="D3160" t="s">
        <v>1776</v>
      </c>
      <c r="E3160" t="s">
        <v>1777</v>
      </c>
      <c r="F3160" t="s">
        <v>598</v>
      </c>
      <c r="G3160" t="s">
        <v>599</v>
      </c>
      <c r="H3160" t="s">
        <v>600</v>
      </c>
      <c r="I3160" t="s">
        <v>601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hidden="1">
      <c r="A3161" t="s">
        <v>18812</v>
      </c>
      <c r="B3161" t="s">
        <v>1780</v>
      </c>
      <c r="C3161" t="s">
        <v>1614</v>
      </c>
      <c r="D3161" t="s">
        <v>1781</v>
      </c>
      <c r="E3161" t="s">
        <v>1716</v>
      </c>
      <c r="F3161" t="s">
        <v>598</v>
      </c>
      <c r="G3161" t="s">
        <v>599</v>
      </c>
      <c r="H3161" t="s">
        <v>600</v>
      </c>
      <c r="I3161" t="s">
        <v>601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hidden="1">
      <c r="A3162" t="s">
        <v>18812</v>
      </c>
      <c r="B3162" t="s">
        <v>1782</v>
      </c>
      <c r="C3162" t="s">
        <v>1614</v>
      </c>
      <c r="D3162" t="s">
        <v>1781</v>
      </c>
      <c r="E3162" t="s">
        <v>1783</v>
      </c>
      <c r="F3162" t="s">
        <v>598</v>
      </c>
      <c r="G3162" t="s">
        <v>599</v>
      </c>
      <c r="H3162" t="s">
        <v>600</v>
      </c>
      <c r="I3162" t="s">
        <v>601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hidden="1">
      <c r="A3163" t="s">
        <v>18812</v>
      </c>
      <c r="B3163" t="s">
        <v>1786</v>
      </c>
      <c r="C3163" t="s">
        <v>1614</v>
      </c>
      <c r="D3163" t="s">
        <v>1781</v>
      </c>
      <c r="E3163" t="s">
        <v>1787</v>
      </c>
      <c r="F3163" t="s">
        <v>598</v>
      </c>
      <c r="G3163" t="s">
        <v>599</v>
      </c>
      <c r="H3163" t="s">
        <v>600</v>
      </c>
      <c r="I3163" t="s">
        <v>601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hidden="1">
      <c r="A3164" t="s">
        <v>18812</v>
      </c>
      <c r="B3164" t="s">
        <v>1788</v>
      </c>
      <c r="C3164" t="s">
        <v>1614</v>
      </c>
      <c r="D3164" t="s">
        <v>1781</v>
      </c>
      <c r="E3164" t="s">
        <v>1789</v>
      </c>
      <c r="F3164" t="s">
        <v>598</v>
      </c>
      <c r="G3164" t="s">
        <v>599</v>
      </c>
      <c r="H3164" t="s">
        <v>600</v>
      </c>
      <c r="I3164" t="s">
        <v>601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hidden="1">
      <c r="A3165" t="s">
        <v>18812</v>
      </c>
      <c r="B3165" t="s">
        <v>1800</v>
      </c>
      <c r="C3165" t="s">
        <v>1614</v>
      </c>
      <c r="D3165" t="s">
        <v>1781</v>
      </c>
      <c r="E3165" t="s">
        <v>1801</v>
      </c>
      <c r="F3165" t="s">
        <v>598</v>
      </c>
      <c r="G3165" t="s">
        <v>599</v>
      </c>
      <c r="H3165" t="s">
        <v>600</v>
      </c>
      <c r="I3165" t="s">
        <v>601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hidden="1">
      <c r="A3166" t="s">
        <v>18812</v>
      </c>
      <c r="B3166" t="s">
        <v>1819</v>
      </c>
      <c r="C3166" t="s">
        <v>1614</v>
      </c>
      <c r="D3166" t="s">
        <v>648</v>
      </c>
      <c r="E3166" t="s">
        <v>1340</v>
      </c>
      <c r="F3166" t="s">
        <v>598</v>
      </c>
      <c r="G3166" t="s">
        <v>599</v>
      </c>
      <c r="H3166" t="s">
        <v>600</v>
      </c>
      <c r="I3166" t="s">
        <v>601</v>
      </c>
      <c r="J3166">
        <v>1.5E-3</v>
      </c>
      <c r="K3166">
        <v>1.5E-3</v>
      </c>
      <c r="L3166">
        <v>1.5E-3</v>
      </c>
      <c r="M3166">
        <v>1.5E-3</v>
      </c>
      <c r="N3166">
        <v>1.5E-3</v>
      </c>
      <c r="O3166">
        <v>1.5E-3</v>
      </c>
      <c r="P3166">
        <v>1.5E-3</v>
      </c>
      <c r="Q3166">
        <v>1.6000000000000001E-3</v>
      </c>
      <c r="R3166">
        <v>1.6000000000000001E-3</v>
      </c>
      <c r="S3166">
        <v>1.6000000000000001E-3</v>
      </c>
      <c r="T3166">
        <v>1.6000000000000001E-3</v>
      </c>
      <c r="U3166">
        <v>1.6000000000000001E-3</v>
      </c>
      <c r="V3166">
        <v>1.6000000000000001E-3</v>
      </c>
      <c r="W3166">
        <v>1.6000000000000001E-3</v>
      </c>
      <c r="X3166">
        <v>1.6000000000000001E-3</v>
      </c>
      <c r="Y3166">
        <v>1.6000000000000001E-3</v>
      </c>
    </row>
    <row r="3167" spans="1:25" hidden="1">
      <c r="A3167" t="s">
        <v>18812</v>
      </c>
      <c r="B3167" t="s">
        <v>1842</v>
      </c>
      <c r="C3167" t="s">
        <v>1614</v>
      </c>
      <c r="D3167" t="s">
        <v>648</v>
      </c>
      <c r="E3167" t="s">
        <v>1239</v>
      </c>
      <c r="F3167" t="s">
        <v>598</v>
      </c>
      <c r="G3167" t="s">
        <v>599</v>
      </c>
      <c r="H3167" t="s">
        <v>600</v>
      </c>
      <c r="I3167" t="s">
        <v>601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hidden="1">
      <c r="A3168" t="s">
        <v>18812</v>
      </c>
      <c r="B3168" t="s">
        <v>1858</v>
      </c>
      <c r="C3168" t="s">
        <v>1845</v>
      </c>
      <c r="D3168" t="s">
        <v>1859</v>
      </c>
      <c r="E3168" t="s">
        <v>1860</v>
      </c>
      <c r="F3168" t="s">
        <v>598</v>
      </c>
      <c r="G3168" t="s">
        <v>599</v>
      </c>
      <c r="H3168" t="s">
        <v>600</v>
      </c>
      <c r="I3168" t="s">
        <v>601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hidden="1">
      <c r="A3169" t="s">
        <v>18812</v>
      </c>
      <c r="B3169" t="s">
        <v>1861</v>
      </c>
      <c r="C3169" t="s">
        <v>1845</v>
      </c>
      <c r="D3169" t="s">
        <v>1862</v>
      </c>
      <c r="E3169" t="s">
        <v>1860</v>
      </c>
      <c r="F3169" t="s">
        <v>598</v>
      </c>
      <c r="G3169" t="s">
        <v>599</v>
      </c>
      <c r="H3169" t="s">
        <v>600</v>
      </c>
      <c r="I3169" t="s">
        <v>601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hidden="1">
      <c r="A3170" t="s">
        <v>18812</v>
      </c>
      <c r="B3170" t="s">
        <v>1863</v>
      </c>
      <c r="C3170" t="s">
        <v>1845</v>
      </c>
      <c r="D3170" t="s">
        <v>1864</v>
      </c>
      <c r="E3170" t="s">
        <v>1865</v>
      </c>
      <c r="F3170" t="s">
        <v>598</v>
      </c>
      <c r="G3170" t="s">
        <v>599</v>
      </c>
      <c r="H3170" t="s">
        <v>600</v>
      </c>
      <c r="I3170" t="s">
        <v>601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hidden="1">
      <c r="A3171" t="s">
        <v>18812</v>
      </c>
      <c r="B3171" t="s">
        <v>1873</v>
      </c>
      <c r="C3171" t="s">
        <v>1845</v>
      </c>
      <c r="D3171" t="s">
        <v>1871</v>
      </c>
      <c r="E3171" t="s">
        <v>1874</v>
      </c>
      <c r="F3171" t="s">
        <v>598</v>
      </c>
      <c r="G3171" t="s">
        <v>599</v>
      </c>
      <c r="H3171" t="s">
        <v>600</v>
      </c>
      <c r="I3171" t="s">
        <v>601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hidden="1">
      <c r="A3172" t="s">
        <v>18812</v>
      </c>
      <c r="B3172" t="s">
        <v>1877</v>
      </c>
      <c r="C3172" t="s">
        <v>1845</v>
      </c>
      <c r="D3172" t="s">
        <v>1878</v>
      </c>
      <c r="E3172" t="s">
        <v>1872</v>
      </c>
      <c r="F3172" t="s">
        <v>598</v>
      </c>
      <c r="G3172" t="s">
        <v>599</v>
      </c>
      <c r="H3172" t="s">
        <v>600</v>
      </c>
      <c r="I3172" t="s">
        <v>601</v>
      </c>
      <c r="J3172">
        <v>3.7000000000000002E-3</v>
      </c>
      <c r="K3172">
        <v>3.8E-3</v>
      </c>
      <c r="L3172">
        <v>3.8E-3</v>
      </c>
      <c r="M3172">
        <v>3.8999999999999998E-3</v>
      </c>
      <c r="N3172">
        <v>4.0000000000000001E-3</v>
      </c>
      <c r="O3172">
        <v>4.0000000000000001E-3</v>
      </c>
      <c r="P3172">
        <v>4.1000000000000003E-3</v>
      </c>
      <c r="Q3172">
        <v>4.1000000000000003E-3</v>
      </c>
      <c r="R3172">
        <v>4.1999999999999997E-3</v>
      </c>
      <c r="S3172">
        <v>4.3E-3</v>
      </c>
      <c r="T3172">
        <v>4.3E-3</v>
      </c>
      <c r="U3172">
        <v>4.4000000000000003E-3</v>
      </c>
      <c r="V3172">
        <v>4.4000000000000003E-3</v>
      </c>
      <c r="W3172">
        <v>4.4999999999999997E-3</v>
      </c>
      <c r="X3172">
        <v>4.5999999999999999E-3</v>
      </c>
      <c r="Y3172">
        <v>4.5999999999999999E-3</v>
      </c>
    </row>
    <row r="3173" spans="1:25" hidden="1">
      <c r="A3173" t="s">
        <v>18812</v>
      </c>
      <c r="B3173" t="s">
        <v>1885</v>
      </c>
      <c r="C3173" t="s">
        <v>1845</v>
      </c>
      <c r="D3173" t="s">
        <v>1878</v>
      </c>
      <c r="E3173" t="s">
        <v>1886</v>
      </c>
      <c r="F3173" t="s">
        <v>598</v>
      </c>
      <c r="G3173" t="s">
        <v>599</v>
      </c>
      <c r="H3173" t="s">
        <v>600</v>
      </c>
      <c r="I3173" t="s">
        <v>601</v>
      </c>
      <c r="J3173">
        <v>1E-4</v>
      </c>
      <c r="K3173">
        <v>1E-4</v>
      </c>
      <c r="L3173">
        <v>1E-4</v>
      </c>
      <c r="M3173">
        <v>1E-4</v>
      </c>
      <c r="N3173">
        <v>1E-4</v>
      </c>
      <c r="O3173">
        <v>1E-4</v>
      </c>
      <c r="P3173">
        <v>1E-4</v>
      </c>
      <c r="Q3173">
        <v>1E-4</v>
      </c>
      <c r="R3173">
        <v>1E-4</v>
      </c>
      <c r="S3173">
        <v>1E-4</v>
      </c>
      <c r="T3173">
        <v>1E-4</v>
      </c>
      <c r="U3173">
        <v>1E-4</v>
      </c>
      <c r="V3173">
        <v>1E-4</v>
      </c>
      <c r="W3173">
        <v>1E-4</v>
      </c>
      <c r="X3173">
        <v>1E-4</v>
      </c>
      <c r="Y3173">
        <v>1E-4</v>
      </c>
    </row>
    <row r="3174" spans="1:25" hidden="1">
      <c r="A3174" t="s">
        <v>18812</v>
      </c>
      <c r="B3174" t="s">
        <v>1917</v>
      </c>
      <c r="C3174" t="s">
        <v>1845</v>
      </c>
      <c r="D3174" t="s">
        <v>1918</v>
      </c>
      <c r="E3174" t="s">
        <v>1872</v>
      </c>
      <c r="F3174" t="s">
        <v>598</v>
      </c>
      <c r="G3174" t="s">
        <v>599</v>
      </c>
      <c r="H3174" t="s">
        <v>600</v>
      </c>
      <c r="I3174" t="s">
        <v>601</v>
      </c>
      <c r="J3174">
        <v>1.43E-2</v>
      </c>
      <c r="K3174">
        <v>1.46E-2</v>
      </c>
      <c r="L3174">
        <v>1.4800000000000001E-2</v>
      </c>
      <c r="M3174">
        <v>1.5100000000000001E-2</v>
      </c>
      <c r="N3174">
        <v>1.54E-2</v>
      </c>
      <c r="O3174">
        <v>1.5599999999999999E-2</v>
      </c>
      <c r="P3174">
        <v>1.5900000000000001E-2</v>
      </c>
      <c r="Q3174">
        <v>1.61E-2</v>
      </c>
      <c r="R3174">
        <v>1.6299999999999999E-2</v>
      </c>
      <c r="S3174">
        <v>1.6500000000000001E-2</v>
      </c>
      <c r="T3174">
        <v>1.67E-2</v>
      </c>
      <c r="U3174">
        <v>1.6899999999999998E-2</v>
      </c>
      <c r="V3174">
        <v>1.7100000000000001E-2</v>
      </c>
      <c r="W3174">
        <v>1.7399999999999999E-2</v>
      </c>
      <c r="X3174">
        <v>1.7600000000000001E-2</v>
      </c>
      <c r="Y3174">
        <v>1.7899999999999999E-2</v>
      </c>
    </row>
    <row r="3175" spans="1:25" hidden="1">
      <c r="A3175" t="s">
        <v>18812</v>
      </c>
      <c r="B3175" t="s">
        <v>1931</v>
      </c>
      <c r="C3175" t="s">
        <v>1845</v>
      </c>
      <c r="D3175" t="s">
        <v>1918</v>
      </c>
      <c r="E3175" t="s">
        <v>1896</v>
      </c>
      <c r="F3175" t="s">
        <v>598</v>
      </c>
      <c r="G3175" t="s">
        <v>599</v>
      </c>
      <c r="H3175" t="s">
        <v>600</v>
      </c>
      <c r="I3175" t="s">
        <v>601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hidden="1">
      <c r="A3176" t="s">
        <v>18812</v>
      </c>
      <c r="B3176" t="s">
        <v>1938</v>
      </c>
      <c r="C3176" t="s">
        <v>1845</v>
      </c>
      <c r="D3176" t="s">
        <v>1918</v>
      </c>
      <c r="E3176" t="s">
        <v>1939</v>
      </c>
      <c r="F3176" t="s">
        <v>598</v>
      </c>
      <c r="G3176" t="s">
        <v>599</v>
      </c>
      <c r="H3176" t="s">
        <v>600</v>
      </c>
      <c r="I3176" t="s">
        <v>601</v>
      </c>
      <c r="J3176">
        <v>1E-4</v>
      </c>
      <c r="K3176">
        <v>1E-4</v>
      </c>
      <c r="L3176">
        <v>1E-4</v>
      </c>
      <c r="M3176">
        <v>1E-4</v>
      </c>
      <c r="N3176">
        <v>1E-4</v>
      </c>
      <c r="O3176">
        <v>1E-4</v>
      </c>
      <c r="P3176">
        <v>1E-4</v>
      </c>
      <c r="Q3176">
        <v>1E-4</v>
      </c>
      <c r="R3176">
        <v>1E-4</v>
      </c>
      <c r="S3176">
        <v>1E-4</v>
      </c>
      <c r="T3176">
        <v>1E-4</v>
      </c>
      <c r="U3176">
        <v>1E-4</v>
      </c>
      <c r="V3176">
        <v>1E-4</v>
      </c>
      <c r="W3176">
        <v>1E-4</v>
      </c>
      <c r="X3176">
        <v>1E-4</v>
      </c>
      <c r="Y3176">
        <v>1E-4</v>
      </c>
    </row>
    <row r="3177" spans="1:25" hidden="1">
      <c r="A3177" t="s">
        <v>18812</v>
      </c>
      <c r="B3177" t="s">
        <v>1964</v>
      </c>
      <c r="C3177" t="s">
        <v>1959</v>
      </c>
      <c r="D3177" t="s">
        <v>1965</v>
      </c>
      <c r="E3177" t="s">
        <v>1966</v>
      </c>
      <c r="F3177" t="s">
        <v>598</v>
      </c>
      <c r="G3177" t="s">
        <v>599</v>
      </c>
      <c r="H3177" t="s">
        <v>600</v>
      </c>
      <c r="I3177" t="s">
        <v>601</v>
      </c>
      <c r="J3177">
        <v>2.58E-2</v>
      </c>
      <c r="K3177">
        <v>2.6200000000000001E-2</v>
      </c>
      <c r="L3177">
        <v>2.64E-2</v>
      </c>
      <c r="M3177">
        <v>2.7E-2</v>
      </c>
      <c r="N3177">
        <v>2.7300000000000001E-2</v>
      </c>
      <c r="O3177">
        <v>2.75E-2</v>
      </c>
      <c r="P3177">
        <v>2.7799999999999998E-2</v>
      </c>
      <c r="Q3177">
        <v>2.8000000000000001E-2</v>
      </c>
      <c r="R3177">
        <v>2.8299999999999999E-2</v>
      </c>
      <c r="S3177">
        <v>2.8400000000000002E-2</v>
      </c>
      <c r="T3177">
        <v>2.87E-2</v>
      </c>
      <c r="U3177">
        <v>2.93E-2</v>
      </c>
      <c r="V3177">
        <v>2.9600000000000001E-2</v>
      </c>
      <c r="W3177">
        <v>2.9899999999999999E-2</v>
      </c>
      <c r="X3177">
        <v>3.0200000000000001E-2</v>
      </c>
      <c r="Y3177">
        <v>3.0700000000000002E-2</v>
      </c>
    </row>
    <row r="3178" spans="1:25" hidden="1">
      <c r="A3178" t="s">
        <v>18812</v>
      </c>
      <c r="B3178" t="s">
        <v>1967</v>
      </c>
      <c r="C3178" t="s">
        <v>1959</v>
      </c>
      <c r="D3178" t="s">
        <v>1968</v>
      </c>
      <c r="E3178" t="s">
        <v>1962</v>
      </c>
      <c r="F3178" t="s">
        <v>598</v>
      </c>
      <c r="G3178" t="s">
        <v>599</v>
      </c>
      <c r="H3178" t="s">
        <v>600</v>
      </c>
      <c r="I3178" t="s">
        <v>601</v>
      </c>
      <c r="J3178">
        <v>3.6900000000000002E-2</v>
      </c>
      <c r="K3178">
        <v>3.8199999999999998E-2</v>
      </c>
      <c r="L3178">
        <v>3.8899999999999997E-2</v>
      </c>
      <c r="M3178">
        <v>4.02E-2</v>
      </c>
      <c r="N3178">
        <v>4.0899999999999999E-2</v>
      </c>
      <c r="O3178">
        <v>4.1599999999999998E-2</v>
      </c>
      <c r="P3178">
        <v>4.24E-2</v>
      </c>
      <c r="Q3178">
        <v>4.2999999999999997E-2</v>
      </c>
      <c r="R3178">
        <v>4.3299999999999998E-2</v>
      </c>
      <c r="S3178">
        <v>4.3900000000000002E-2</v>
      </c>
      <c r="T3178">
        <v>4.4499999999999998E-2</v>
      </c>
      <c r="U3178">
        <v>4.5100000000000001E-2</v>
      </c>
      <c r="V3178">
        <v>4.5699999999999998E-2</v>
      </c>
      <c r="W3178">
        <v>4.6600000000000003E-2</v>
      </c>
      <c r="X3178">
        <v>4.7100000000000003E-2</v>
      </c>
      <c r="Y3178">
        <v>4.7899999999999998E-2</v>
      </c>
    </row>
    <row r="3179" spans="1:25" hidden="1">
      <c r="A3179" t="s">
        <v>18812</v>
      </c>
      <c r="B3179" t="s">
        <v>1974</v>
      </c>
      <c r="C3179" t="s">
        <v>1959</v>
      </c>
      <c r="D3179" t="s">
        <v>1972</v>
      </c>
      <c r="E3179" t="s">
        <v>1962</v>
      </c>
      <c r="F3179" t="s">
        <v>598</v>
      </c>
      <c r="G3179" t="s">
        <v>599</v>
      </c>
      <c r="H3179" t="s">
        <v>600</v>
      </c>
      <c r="I3179" t="s">
        <v>601</v>
      </c>
      <c r="J3179">
        <v>5.9999999999999995E-4</v>
      </c>
      <c r="K3179">
        <v>6.9999999999999999E-4</v>
      </c>
      <c r="L3179">
        <v>6.9999999999999999E-4</v>
      </c>
      <c r="M3179">
        <v>6.9999999999999999E-4</v>
      </c>
      <c r="N3179">
        <v>8.0000000000000004E-4</v>
      </c>
      <c r="O3179">
        <v>8.0000000000000004E-4</v>
      </c>
      <c r="P3179">
        <v>8.0000000000000004E-4</v>
      </c>
      <c r="Q3179">
        <v>8.9999999999999998E-4</v>
      </c>
      <c r="R3179">
        <v>8.9999999999999998E-4</v>
      </c>
      <c r="S3179">
        <v>8.9999999999999998E-4</v>
      </c>
      <c r="T3179">
        <v>8.9999999999999998E-4</v>
      </c>
      <c r="U3179">
        <v>8.9999999999999998E-4</v>
      </c>
      <c r="V3179">
        <v>8.9999999999999998E-4</v>
      </c>
      <c r="W3179">
        <v>8.9999999999999998E-4</v>
      </c>
      <c r="X3179">
        <v>8.9999999999999998E-4</v>
      </c>
      <c r="Y3179">
        <v>1E-3</v>
      </c>
    </row>
    <row r="3180" spans="1:25" hidden="1">
      <c r="A3180" t="s">
        <v>18812</v>
      </c>
      <c r="B3180" t="s">
        <v>1977</v>
      </c>
      <c r="C3180" t="s">
        <v>1959</v>
      </c>
      <c r="D3180" t="s">
        <v>1972</v>
      </c>
      <c r="E3180" t="s">
        <v>1966</v>
      </c>
      <c r="F3180" t="s">
        <v>598</v>
      </c>
      <c r="G3180" t="s">
        <v>599</v>
      </c>
      <c r="H3180" t="s">
        <v>600</v>
      </c>
      <c r="I3180" t="s">
        <v>601</v>
      </c>
      <c r="J3180">
        <v>3.8E-3</v>
      </c>
      <c r="K3180">
        <v>4.0000000000000001E-3</v>
      </c>
      <c r="L3180">
        <v>4.1999999999999997E-3</v>
      </c>
      <c r="M3180">
        <v>4.3E-3</v>
      </c>
      <c r="N3180">
        <v>4.4999999999999997E-3</v>
      </c>
      <c r="O3180">
        <v>4.7000000000000002E-3</v>
      </c>
      <c r="P3180">
        <v>4.7999999999999996E-3</v>
      </c>
      <c r="Q3180">
        <v>4.8999999999999998E-3</v>
      </c>
      <c r="R3180">
        <v>4.8999999999999998E-3</v>
      </c>
      <c r="S3180">
        <v>5.0000000000000001E-3</v>
      </c>
      <c r="T3180">
        <v>5.0000000000000001E-3</v>
      </c>
      <c r="U3180">
        <v>5.0000000000000001E-3</v>
      </c>
      <c r="V3180">
        <v>5.1000000000000004E-3</v>
      </c>
      <c r="W3180">
        <v>5.1000000000000004E-3</v>
      </c>
      <c r="X3180">
        <v>5.1999999999999998E-3</v>
      </c>
      <c r="Y3180">
        <v>5.1999999999999998E-3</v>
      </c>
    </row>
    <row r="3181" spans="1:25" hidden="1">
      <c r="A3181" t="s">
        <v>18812</v>
      </c>
      <c r="B3181" t="s">
        <v>1978</v>
      </c>
      <c r="C3181" t="s">
        <v>1959</v>
      </c>
      <c r="D3181" t="s">
        <v>1972</v>
      </c>
      <c r="E3181" t="s">
        <v>1979</v>
      </c>
      <c r="F3181" t="s">
        <v>598</v>
      </c>
      <c r="G3181" t="s">
        <v>599</v>
      </c>
      <c r="H3181" t="s">
        <v>600</v>
      </c>
      <c r="I3181" t="s">
        <v>601</v>
      </c>
      <c r="J3181">
        <v>1.67E-2</v>
      </c>
      <c r="K3181">
        <v>1.6899999999999998E-2</v>
      </c>
      <c r="L3181">
        <v>1.7399999999999999E-2</v>
      </c>
      <c r="M3181">
        <v>1.7600000000000001E-2</v>
      </c>
      <c r="N3181">
        <v>1.78E-2</v>
      </c>
      <c r="O3181">
        <v>1.7899999999999999E-2</v>
      </c>
      <c r="P3181">
        <v>1.8100000000000002E-2</v>
      </c>
      <c r="Q3181">
        <v>1.83E-2</v>
      </c>
      <c r="R3181">
        <v>1.83E-2</v>
      </c>
      <c r="S3181">
        <v>1.8499999999999999E-2</v>
      </c>
      <c r="T3181">
        <v>1.8800000000000001E-2</v>
      </c>
      <c r="U3181">
        <v>1.9099999999999999E-2</v>
      </c>
      <c r="V3181">
        <v>1.9400000000000001E-2</v>
      </c>
      <c r="W3181">
        <v>1.9699999999999999E-2</v>
      </c>
      <c r="X3181">
        <v>2.01E-2</v>
      </c>
      <c r="Y3181">
        <v>2.0400000000000001E-2</v>
      </c>
    </row>
    <row r="3182" spans="1:25" hidden="1">
      <c r="A3182" t="s">
        <v>18812</v>
      </c>
      <c r="B3182" t="s">
        <v>1985</v>
      </c>
      <c r="C3182" t="s">
        <v>1959</v>
      </c>
      <c r="D3182" t="s">
        <v>1983</v>
      </c>
      <c r="E3182" t="s">
        <v>1378</v>
      </c>
      <c r="F3182" t="s">
        <v>598</v>
      </c>
      <c r="G3182" t="s">
        <v>599</v>
      </c>
      <c r="H3182" t="s">
        <v>600</v>
      </c>
      <c r="I3182" t="s">
        <v>601</v>
      </c>
      <c r="J3182">
        <v>1.8E-3</v>
      </c>
      <c r="K3182">
        <v>1.6999999999999999E-3</v>
      </c>
      <c r="L3182">
        <v>1.6999999999999999E-3</v>
      </c>
      <c r="M3182">
        <v>1.6999999999999999E-3</v>
      </c>
      <c r="N3182">
        <v>1.8E-3</v>
      </c>
      <c r="O3182">
        <v>1.8E-3</v>
      </c>
      <c r="P3182">
        <v>1.8E-3</v>
      </c>
      <c r="Q3182">
        <v>1.8E-3</v>
      </c>
      <c r="R3182">
        <v>1.8E-3</v>
      </c>
      <c r="S3182">
        <v>1.8E-3</v>
      </c>
      <c r="T3182">
        <v>1.8E-3</v>
      </c>
      <c r="U3182">
        <v>1.8E-3</v>
      </c>
      <c r="V3182">
        <v>1.8E-3</v>
      </c>
      <c r="W3182">
        <v>1.8E-3</v>
      </c>
      <c r="X3182">
        <v>1.9E-3</v>
      </c>
      <c r="Y3182">
        <v>1.9E-3</v>
      </c>
    </row>
    <row r="3183" spans="1:25" hidden="1">
      <c r="A3183" t="s">
        <v>18812</v>
      </c>
      <c r="B3183" t="s">
        <v>1988</v>
      </c>
      <c r="C3183" t="s">
        <v>1959</v>
      </c>
      <c r="D3183" t="s">
        <v>1983</v>
      </c>
      <c r="E3183" t="s">
        <v>1966</v>
      </c>
      <c r="F3183" t="s">
        <v>598</v>
      </c>
      <c r="G3183" t="s">
        <v>599</v>
      </c>
      <c r="H3183" t="s">
        <v>600</v>
      </c>
      <c r="I3183" t="s">
        <v>601</v>
      </c>
      <c r="J3183">
        <v>1.66E-2</v>
      </c>
      <c r="K3183">
        <v>1.72E-2</v>
      </c>
      <c r="L3183">
        <v>1.7899999999999999E-2</v>
      </c>
      <c r="M3183">
        <v>1.8700000000000001E-2</v>
      </c>
      <c r="N3183">
        <v>1.9199999999999998E-2</v>
      </c>
      <c r="O3183">
        <v>1.9800000000000002E-2</v>
      </c>
      <c r="P3183">
        <v>0.02</v>
      </c>
      <c r="Q3183">
        <v>2.0299999999999999E-2</v>
      </c>
      <c r="R3183">
        <v>2.0400000000000001E-2</v>
      </c>
      <c r="S3183">
        <v>2.06E-2</v>
      </c>
      <c r="T3183">
        <v>2.07E-2</v>
      </c>
      <c r="U3183">
        <v>2.1000000000000001E-2</v>
      </c>
      <c r="V3183">
        <v>2.1100000000000001E-2</v>
      </c>
      <c r="W3183">
        <v>2.1299999999999999E-2</v>
      </c>
      <c r="X3183">
        <v>2.1600000000000001E-2</v>
      </c>
      <c r="Y3183">
        <v>2.1700000000000001E-2</v>
      </c>
    </row>
    <row r="3184" spans="1:25" hidden="1">
      <c r="A3184" t="s">
        <v>18812</v>
      </c>
      <c r="B3184" t="s">
        <v>1989</v>
      </c>
      <c r="C3184" t="s">
        <v>1959</v>
      </c>
      <c r="D3184" t="s">
        <v>1983</v>
      </c>
      <c r="E3184" t="s">
        <v>1990</v>
      </c>
      <c r="F3184" t="s">
        <v>598</v>
      </c>
      <c r="G3184" t="s">
        <v>599</v>
      </c>
      <c r="H3184" t="s">
        <v>600</v>
      </c>
      <c r="I3184" t="s">
        <v>601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hidden="1">
      <c r="A3185" t="s">
        <v>18812</v>
      </c>
      <c r="B3185" t="s">
        <v>1991</v>
      </c>
      <c r="C3185" t="s">
        <v>1959</v>
      </c>
      <c r="D3185" t="s">
        <v>1983</v>
      </c>
      <c r="E3185" t="s">
        <v>1992</v>
      </c>
      <c r="F3185" t="s">
        <v>598</v>
      </c>
      <c r="G3185" t="s">
        <v>599</v>
      </c>
      <c r="H3185" t="s">
        <v>600</v>
      </c>
      <c r="I3185" t="s">
        <v>601</v>
      </c>
      <c r="J3185">
        <v>2.0999999999999999E-3</v>
      </c>
      <c r="K3185">
        <v>2.3E-3</v>
      </c>
      <c r="L3185">
        <v>2.3999999999999998E-3</v>
      </c>
      <c r="M3185">
        <v>2.5000000000000001E-3</v>
      </c>
      <c r="N3185">
        <v>2.5999999999999999E-3</v>
      </c>
      <c r="O3185">
        <v>2.7000000000000001E-3</v>
      </c>
      <c r="P3185">
        <v>2.8E-3</v>
      </c>
      <c r="Q3185">
        <v>2.8999999999999998E-3</v>
      </c>
      <c r="R3185">
        <v>2.8999999999999998E-3</v>
      </c>
      <c r="S3185">
        <v>3.0000000000000001E-3</v>
      </c>
      <c r="T3185">
        <v>3.0000000000000001E-3</v>
      </c>
      <c r="U3185">
        <v>3.0000000000000001E-3</v>
      </c>
      <c r="V3185">
        <v>3.0999999999999999E-3</v>
      </c>
      <c r="W3185">
        <v>3.0999999999999999E-3</v>
      </c>
      <c r="X3185">
        <v>3.0999999999999999E-3</v>
      </c>
      <c r="Y3185">
        <v>3.2000000000000002E-3</v>
      </c>
    </row>
    <row r="3186" spans="1:25" hidden="1">
      <c r="A3186" t="s">
        <v>18812</v>
      </c>
      <c r="B3186" t="s">
        <v>2004</v>
      </c>
      <c r="C3186" t="s">
        <v>1959</v>
      </c>
      <c r="D3186" t="s">
        <v>2001</v>
      </c>
      <c r="E3186" t="s">
        <v>1380</v>
      </c>
      <c r="F3186" t="s">
        <v>598</v>
      </c>
      <c r="G3186" t="s">
        <v>599</v>
      </c>
      <c r="H3186" t="s">
        <v>600</v>
      </c>
      <c r="I3186" t="s">
        <v>601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hidden="1">
      <c r="A3187" t="s">
        <v>18812</v>
      </c>
      <c r="B3187" t="s">
        <v>2005</v>
      </c>
      <c r="C3187" t="s">
        <v>1959</v>
      </c>
      <c r="D3187" t="s">
        <v>2001</v>
      </c>
      <c r="E3187" t="s">
        <v>1976</v>
      </c>
      <c r="F3187" t="s">
        <v>598</v>
      </c>
      <c r="G3187" t="s">
        <v>599</v>
      </c>
      <c r="H3187" t="s">
        <v>600</v>
      </c>
      <c r="I3187" t="s">
        <v>601</v>
      </c>
      <c r="J3187">
        <v>4.7899999999999998E-2</v>
      </c>
      <c r="K3187">
        <v>4.9799999999999997E-2</v>
      </c>
      <c r="L3187">
        <v>5.1700000000000003E-2</v>
      </c>
      <c r="M3187">
        <v>5.3699999999999998E-2</v>
      </c>
      <c r="N3187">
        <v>5.5199999999999999E-2</v>
      </c>
      <c r="O3187">
        <v>5.6599999999999998E-2</v>
      </c>
      <c r="P3187">
        <v>5.7599999999999998E-2</v>
      </c>
      <c r="Q3187">
        <v>5.8999999999999997E-2</v>
      </c>
      <c r="R3187">
        <v>5.9900000000000002E-2</v>
      </c>
      <c r="S3187">
        <v>6.0600000000000001E-2</v>
      </c>
      <c r="T3187">
        <v>6.1699999999999998E-2</v>
      </c>
      <c r="U3187">
        <v>6.2899999999999998E-2</v>
      </c>
      <c r="V3187">
        <v>6.4000000000000001E-2</v>
      </c>
      <c r="W3187">
        <v>6.5199999999999994E-2</v>
      </c>
      <c r="X3187">
        <v>6.6199999999999995E-2</v>
      </c>
      <c r="Y3187">
        <v>6.7500000000000004E-2</v>
      </c>
    </row>
    <row r="3188" spans="1:25" hidden="1">
      <c r="A3188" t="s">
        <v>18812</v>
      </c>
      <c r="B3188" t="s">
        <v>2011</v>
      </c>
      <c r="C3188" t="s">
        <v>1959</v>
      </c>
      <c r="D3188" t="s">
        <v>2012</v>
      </c>
      <c r="E3188" t="s">
        <v>2013</v>
      </c>
      <c r="F3188" t="s">
        <v>598</v>
      </c>
      <c r="G3188" t="s">
        <v>599</v>
      </c>
      <c r="H3188" t="s">
        <v>600</v>
      </c>
      <c r="I3188" t="s">
        <v>601</v>
      </c>
      <c r="J3188">
        <v>2.0000000000000001E-4</v>
      </c>
      <c r="K3188">
        <v>2.0000000000000001E-4</v>
      </c>
      <c r="L3188">
        <v>2.0000000000000001E-4</v>
      </c>
      <c r="M3188">
        <v>2.0000000000000001E-4</v>
      </c>
      <c r="N3188">
        <v>2.0000000000000001E-4</v>
      </c>
      <c r="O3188">
        <v>2.0000000000000001E-4</v>
      </c>
      <c r="P3188">
        <v>2.0000000000000001E-4</v>
      </c>
      <c r="Q3188">
        <v>2.0000000000000001E-4</v>
      </c>
      <c r="R3188">
        <v>2.0000000000000001E-4</v>
      </c>
      <c r="S3188">
        <v>2.0000000000000001E-4</v>
      </c>
      <c r="T3188">
        <v>2.0000000000000001E-4</v>
      </c>
      <c r="U3188">
        <v>2.0000000000000001E-4</v>
      </c>
      <c r="V3188">
        <v>2.0000000000000001E-4</v>
      </c>
      <c r="W3188">
        <v>2.0000000000000001E-4</v>
      </c>
      <c r="X3188">
        <v>2.0000000000000001E-4</v>
      </c>
      <c r="Y3188">
        <v>2.0000000000000001E-4</v>
      </c>
    </row>
    <row r="3189" spans="1:25" hidden="1">
      <c r="A3189" t="s">
        <v>18812</v>
      </c>
      <c r="B3189" t="s">
        <v>2014</v>
      </c>
      <c r="C3189" t="s">
        <v>1959</v>
      </c>
      <c r="D3189" t="s">
        <v>2012</v>
      </c>
      <c r="E3189" t="s">
        <v>1970</v>
      </c>
      <c r="F3189" t="s">
        <v>598</v>
      </c>
      <c r="G3189" t="s">
        <v>599</v>
      </c>
      <c r="H3189" t="s">
        <v>600</v>
      </c>
      <c r="I3189" t="s">
        <v>601</v>
      </c>
      <c r="J3189">
        <v>8.8999999999999999E-3</v>
      </c>
      <c r="K3189">
        <v>8.9999999999999993E-3</v>
      </c>
      <c r="L3189">
        <v>9.2999999999999992E-3</v>
      </c>
      <c r="M3189">
        <v>9.4999999999999998E-3</v>
      </c>
      <c r="N3189">
        <v>9.7000000000000003E-3</v>
      </c>
      <c r="O3189">
        <v>9.7999999999999997E-3</v>
      </c>
      <c r="P3189">
        <v>9.7999999999999997E-3</v>
      </c>
      <c r="Q3189">
        <v>9.9000000000000008E-3</v>
      </c>
      <c r="R3189">
        <v>0.01</v>
      </c>
      <c r="S3189">
        <v>1.01E-2</v>
      </c>
      <c r="T3189">
        <v>1.0200000000000001E-2</v>
      </c>
      <c r="U3189">
        <v>1.04E-2</v>
      </c>
      <c r="V3189">
        <v>1.0699999999999999E-2</v>
      </c>
      <c r="W3189">
        <v>1.0800000000000001E-2</v>
      </c>
      <c r="X3189">
        <v>1.09E-2</v>
      </c>
      <c r="Y3189">
        <v>1.1299999999999999E-2</v>
      </c>
    </row>
    <row r="3190" spans="1:25" hidden="1">
      <c r="A3190" t="s">
        <v>18812</v>
      </c>
      <c r="B3190" t="s">
        <v>2017</v>
      </c>
      <c r="C3190" t="s">
        <v>1959</v>
      </c>
      <c r="D3190" t="s">
        <v>1817</v>
      </c>
      <c r="E3190" t="s">
        <v>1962</v>
      </c>
      <c r="F3190" t="s">
        <v>598</v>
      </c>
      <c r="G3190" t="s">
        <v>599</v>
      </c>
      <c r="H3190" t="s">
        <v>600</v>
      </c>
      <c r="I3190" t="s">
        <v>601</v>
      </c>
      <c r="J3190">
        <v>1E-4</v>
      </c>
      <c r="K3190">
        <v>1E-4</v>
      </c>
      <c r="L3190">
        <v>1E-4</v>
      </c>
      <c r="M3190">
        <v>1E-4</v>
      </c>
      <c r="N3190">
        <v>1E-4</v>
      </c>
      <c r="O3190">
        <v>1E-4</v>
      </c>
      <c r="P3190">
        <v>1E-4</v>
      </c>
      <c r="Q3190">
        <v>1E-4</v>
      </c>
      <c r="R3190">
        <v>1E-4</v>
      </c>
      <c r="S3190">
        <v>1E-4</v>
      </c>
      <c r="T3190">
        <v>1E-4</v>
      </c>
      <c r="U3190">
        <v>1E-4</v>
      </c>
      <c r="V3190">
        <v>1E-4</v>
      </c>
      <c r="W3190">
        <v>1E-4</v>
      </c>
      <c r="X3190">
        <v>1E-4</v>
      </c>
      <c r="Y3190">
        <v>1E-4</v>
      </c>
    </row>
    <row r="3191" spans="1:25" hidden="1">
      <c r="A3191" t="s">
        <v>18812</v>
      </c>
      <c r="B3191" t="s">
        <v>2019</v>
      </c>
      <c r="C3191" t="s">
        <v>1959</v>
      </c>
      <c r="D3191" t="s">
        <v>1817</v>
      </c>
      <c r="E3191" t="s">
        <v>1976</v>
      </c>
      <c r="F3191" t="s">
        <v>598</v>
      </c>
      <c r="G3191" t="s">
        <v>599</v>
      </c>
      <c r="H3191" t="s">
        <v>600</v>
      </c>
      <c r="I3191" t="s">
        <v>601</v>
      </c>
      <c r="J3191">
        <v>2.3E-3</v>
      </c>
      <c r="K3191">
        <v>2.3999999999999998E-3</v>
      </c>
      <c r="L3191">
        <v>2.3999999999999998E-3</v>
      </c>
      <c r="M3191">
        <v>2.5000000000000001E-3</v>
      </c>
      <c r="N3191">
        <v>2.5000000000000001E-3</v>
      </c>
      <c r="O3191">
        <v>2.5000000000000001E-3</v>
      </c>
      <c r="P3191">
        <v>2.5000000000000001E-3</v>
      </c>
      <c r="Q3191">
        <v>2.5999999999999999E-3</v>
      </c>
      <c r="R3191">
        <v>2.5999999999999999E-3</v>
      </c>
      <c r="S3191">
        <v>2.5999999999999999E-3</v>
      </c>
      <c r="T3191">
        <v>2.7000000000000001E-3</v>
      </c>
      <c r="U3191">
        <v>2.7000000000000001E-3</v>
      </c>
      <c r="V3191">
        <v>2.8E-3</v>
      </c>
      <c r="W3191">
        <v>2.8E-3</v>
      </c>
      <c r="X3191">
        <v>2.8999999999999998E-3</v>
      </c>
      <c r="Y3191">
        <v>2.8999999999999998E-3</v>
      </c>
    </row>
    <row r="3192" spans="1:25" hidden="1">
      <c r="A3192" t="s">
        <v>18812</v>
      </c>
      <c r="B3192" t="s">
        <v>2028</v>
      </c>
      <c r="C3192" t="s">
        <v>1959</v>
      </c>
      <c r="D3192" t="s">
        <v>1817</v>
      </c>
      <c r="E3192" t="s">
        <v>1966</v>
      </c>
      <c r="F3192" t="s">
        <v>598</v>
      </c>
      <c r="G3192" t="s">
        <v>599</v>
      </c>
      <c r="H3192" t="s">
        <v>600</v>
      </c>
      <c r="I3192" t="s">
        <v>601</v>
      </c>
      <c r="J3192">
        <v>8.3999999999999995E-3</v>
      </c>
      <c r="K3192">
        <v>8.6E-3</v>
      </c>
      <c r="L3192">
        <v>8.6999999999999994E-3</v>
      </c>
      <c r="M3192">
        <v>9.1000000000000004E-3</v>
      </c>
      <c r="N3192">
        <v>9.1000000000000004E-3</v>
      </c>
      <c r="O3192">
        <v>9.1999999999999998E-3</v>
      </c>
      <c r="P3192">
        <v>9.1999999999999998E-3</v>
      </c>
      <c r="Q3192">
        <v>9.4000000000000004E-3</v>
      </c>
      <c r="R3192">
        <v>9.4000000000000004E-3</v>
      </c>
      <c r="S3192">
        <v>9.5999999999999992E-3</v>
      </c>
      <c r="T3192">
        <v>9.7000000000000003E-3</v>
      </c>
      <c r="U3192">
        <v>9.9000000000000008E-3</v>
      </c>
      <c r="V3192">
        <v>1.01E-2</v>
      </c>
      <c r="W3192">
        <v>1.03E-2</v>
      </c>
      <c r="X3192">
        <v>1.04E-2</v>
      </c>
      <c r="Y3192">
        <v>1.06E-2</v>
      </c>
    </row>
    <row r="3193" spans="1:25" hidden="1">
      <c r="A3193" t="s">
        <v>18812</v>
      </c>
      <c r="B3193" t="s">
        <v>2030</v>
      </c>
      <c r="C3193" t="s">
        <v>1959</v>
      </c>
      <c r="D3193" t="s">
        <v>2031</v>
      </c>
      <c r="E3193" t="s">
        <v>2032</v>
      </c>
      <c r="F3193" t="s">
        <v>598</v>
      </c>
      <c r="G3193" t="s">
        <v>599</v>
      </c>
      <c r="H3193" t="s">
        <v>600</v>
      </c>
      <c r="I3193" t="s">
        <v>601</v>
      </c>
      <c r="J3193">
        <v>7.6600000000000001E-2</v>
      </c>
      <c r="K3193">
        <v>7.8399999999999997E-2</v>
      </c>
      <c r="L3193">
        <v>8.0100000000000005E-2</v>
      </c>
      <c r="M3193">
        <v>8.2199999999999995E-2</v>
      </c>
      <c r="N3193">
        <v>8.2900000000000001E-2</v>
      </c>
      <c r="O3193">
        <v>8.3699999999999997E-2</v>
      </c>
      <c r="P3193">
        <v>8.4599999999999995E-2</v>
      </c>
      <c r="Q3193">
        <v>8.5300000000000001E-2</v>
      </c>
      <c r="R3193">
        <v>8.6400000000000005E-2</v>
      </c>
      <c r="S3193">
        <v>8.7599999999999997E-2</v>
      </c>
      <c r="T3193">
        <v>8.8900000000000007E-2</v>
      </c>
      <c r="U3193">
        <v>9.0300000000000005E-2</v>
      </c>
      <c r="V3193">
        <v>9.1999999999999998E-2</v>
      </c>
      <c r="W3193">
        <v>9.3700000000000006E-2</v>
      </c>
      <c r="X3193">
        <v>9.5200000000000007E-2</v>
      </c>
      <c r="Y3193">
        <v>9.69E-2</v>
      </c>
    </row>
    <row r="3194" spans="1:25" hidden="1">
      <c r="A3194" t="s">
        <v>18812</v>
      </c>
      <c r="B3194" t="s">
        <v>2039</v>
      </c>
      <c r="C3194" t="s">
        <v>1959</v>
      </c>
      <c r="D3194" t="s">
        <v>648</v>
      </c>
      <c r="E3194" t="s">
        <v>1378</v>
      </c>
      <c r="F3194" t="s">
        <v>598</v>
      </c>
      <c r="G3194" t="s">
        <v>599</v>
      </c>
      <c r="H3194" t="s">
        <v>600</v>
      </c>
      <c r="I3194" t="s">
        <v>601</v>
      </c>
      <c r="J3194">
        <v>2.5999999999999999E-3</v>
      </c>
      <c r="K3194">
        <v>2.7000000000000001E-3</v>
      </c>
      <c r="L3194">
        <v>2.8E-3</v>
      </c>
      <c r="M3194">
        <v>2.8999999999999998E-3</v>
      </c>
      <c r="N3194">
        <v>3.0000000000000001E-3</v>
      </c>
      <c r="O3194">
        <v>3.3E-3</v>
      </c>
      <c r="P3194">
        <v>3.3E-3</v>
      </c>
      <c r="Q3194">
        <v>3.3999999999999998E-3</v>
      </c>
      <c r="R3194">
        <v>3.3999999999999998E-3</v>
      </c>
      <c r="S3194">
        <v>3.3999999999999998E-3</v>
      </c>
      <c r="T3194">
        <v>3.3999999999999998E-3</v>
      </c>
      <c r="U3194">
        <v>3.3999999999999998E-3</v>
      </c>
      <c r="V3194">
        <v>3.5000000000000001E-3</v>
      </c>
      <c r="W3194">
        <v>3.5000000000000001E-3</v>
      </c>
      <c r="X3194">
        <v>3.5000000000000001E-3</v>
      </c>
      <c r="Y3194">
        <v>3.5000000000000001E-3</v>
      </c>
    </row>
    <row r="3195" spans="1:25" hidden="1">
      <c r="A3195" t="s">
        <v>18812</v>
      </c>
      <c r="B3195" t="s">
        <v>2041</v>
      </c>
      <c r="C3195" t="s">
        <v>1959</v>
      </c>
      <c r="D3195" t="s">
        <v>648</v>
      </c>
      <c r="E3195" t="s">
        <v>2003</v>
      </c>
      <c r="F3195" t="s">
        <v>598</v>
      </c>
      <c r="G3195" t="s">
        <v>599</v>
      </c>
      <c r="H3195" t="s">
        <v>600</v>
      </c>
      <c r="I3195" t="s">
        <v>601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hidden="1">
      <c r="A3196" t="s">
        <v>18812</v>
      </c>
      <c r="B3196" t="s">
        <v>2046</v>
      </c>
      <c r="C3196" t="s">
        <v>1959</v>
      </c>
      <c r="D3196" t="s">
        <v>648</v>
      </c>
      <c r="E3196" t="s">
        <v>2047</v>
      </c>
      <c r="F3196" t="s">
        <v>598</v>
      </c>
      <c r="G3196" t="s">
        <v>599</v>
      </c>
      <c r="H3196" t="s">
        <v>600</v>
      </c>
      <c r="I3196" t="s">
        <v>601</v>
      </c>
      <c r="J3196">
        <v>2.6499999999999999E-2</v>
      </c>
      <c r="K3196">
        <v>2.76E-2</v>
      </c>
      <c r="L3196">
        <v>2.8899999999999999E-2</v>
      </c>
      <c r="M3196">
        <v>3.0099999999999998E-2</v>
      </c>
      <c r="N3196">
        <v>3.15E-2</v>
      </c>
      <c r="O3196">
        <v>3.2899999999999999E-2</v>
      </c>
      <c r="P3196">
        <v>3.3599999999999998E-2</v>
      </c>
      <c r="Q3196">
        <v>3.4299999999999997E-2</v>
      </c>
      <c r="R3196">
        <v>3.4599999999999999E-2</v>
      </c>
      <c r="S3196">
        <v>3.4799999999999998E-2</v>
      </c>
      <c r="T3196">
        <v>3.5000000000000003E-2</v>
      </c>
      <c r="U3196">
        <v>3.5299999999999998E-2</v>
      </c>
      <c r="V3196">
        <v>3.56E-2</v>
      </c>
      <c r="W3196">
        <v>3.5799999999999998E-2</v>
      </c>
      <c r="X3196">
        <v>3.61E-2</v>
      </c>
      <c r="Y3196">
        <v>3.6400000000000002E-2</v>
      </c>
    </row>
    <row r="3197" spans="1:25" hidden="1">
      <c r="A3197" t="s">
        <v>18812</v>
      </c>
      <c r="B3197" t="s">
        <v>2058</v>
      </c>
      <c r="C3197" t="s">
        <v>1959</v>
      </c>
      <c r="D3197" t="s">
        <v>648</v>
      </c>
      <c r="E3197" t="s">
        <v>2025</v>
      </c>
      <c r="F3197" t="s">
        <v>598</v>
      </c>
      <c r="G3197" t="s">
        <v>599</v>
      </c>
      <c r="H3197" t="s">
        <v>600</v>
      </c>
      <c r="I3197" t="s">
        <v>601</v>
      </c>
      <c r="J3197">
        <v>1E-4</v>
      </c>
      <c r="K3197">
        <v>1E-4</v>
      </c>
      <c r="L3197">
        <v>1E-4</v>
      </c>
      <c r="M3197">
        <v>1E-4</v>
      </c>
      <c r="N3197">
        <v>2.0000000000000001E-4</v>
      </c>
      <c r="O3197">
        <v>2.0000000000000001E-4</v>
      </c>
      <c r="P3197">
        <v>2.0000000000000001E-4</v>
      </c>
      <c r="Q3197">
        <v>2.0000000000000001E-4</v>
      </c>
      <c r="R3197">
        <v>2.0000000000000001E-4</v>
      </c>
      <c r="S3197">
        <v>2.0000000000000001E-4</v>
      </c>
      <c r="T3197">
        <v>2.0000000000000001E-4</v>
      </c>
      <c r="U3197">
        <v>2.0000000000000001E-4</v>
      </c>
      <c r="V3197">
        <v>2.0000000000000001E-4</v>
      </c>
      <c r="W3197">
        <v>2.0000000000000001E-4</v>
      </c>
      <c r="X3197">
        <v>2.0000000000000001E-4</v>
      </c>
      <c r="Y3197">
        <v>2.0000000000000001E-4</v>
      </c>
    </row>
    <row r="3198" spans="1:25" hidden="1">
      <c r="A3198" t="s">
        <v>18812</v>
      </c>
      <c r="B3198" t="s">
        <v>2072</v>
      </c>
      <c r="C3198" t="s">
        <v>1959</v>
      </c>
      <c r="D3198" t="s">
        <v>648</v>
      </c>
      <c r="E3198" t="s">
        <v>1966</v>
      </c>
      <c r="F3198" t="s">
        <v>598</v>
      </c>
      <c r="G3198" t="s">
        <v>599</v>
      </c>
      <c r="H3198" t="s">
        <v>600</v>
      </c>
      <c r="I3198" t="s">
        <v>601</v>
      </c>
      <c r="J3198">
        <v>1.4E-3</v>
      </c>
      <c r="K3198">
        <v>1.5E-3</v>
      </c>
      <c r="L3198">
        <v>1.5E-3</v>
      </c>
      <c r="M3198">
        <v>1.5E-3</v>
      </c>
      <c r="N3198">
        <v>1.5E-3</v>
      </c>
      <c r="O3198">
        <v>1.6000000000000001E-3</v>
      </c>
      <c r="P3198">
        <v>1.6999999999999999E-3</v>
      </c>
      <c r="Q3198">
        <v>1.6999999999999999E-3</v>
      </c>
      <c r="R3198">
        <v>1.6999999999999999E-3</v>
      </c>
      <c r="S3198">
        <v>1.6999999999999999E-3</v>
      </c>
      <c r="T3198">
        <v>1.6999999999999999E-3</v>
      </c>
      <c r="U3198">
        <v>1.8E-3</v>
      </c>
      <c r="V3198">
        <v>1.8E-3</v>
      </c>
      <c r="W3198">
        <v>1.8E-3</v>
      </c>
      <c r="X3198">
        <v>1.8E-3</v>
      </c>
      <c r="Y3198">
        <v>1.8E-3</v>
      </c>
    </row>
    <row r="3199" spans="1:25" hidden="1">
      <c r="A3199" t="s">
        <v>18812</v>
      </c>
      <c r="B3199" t="s">
        <v>2078</v>
      </c>
      <c r="C3199" t="s">
        <v>2075</v>
      </c>
      <c r="D3199" t="s">
        <v>2079</v>
      </c>
      <c r="E3199" t="s">
        <v>1378</v>
      </c>
      <c r="F3199" t="s">
        <v>598</v>
      </c>
      <c r="G3199" t="s">
        <v>599</v>
      </c>
      <c r="H3199" t="s">
        <v>600</v>
      </c>
      <c r="I3199" t="s">
        <v>601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hidden="1">
      <c r="A3200" t="s">
        <v>18812</v>
      </c>
      <c r="B3200" t="s">
        <v>2094</v>
      </c>
      <c r="C3200" t="s">
        <v>2075</v>
      </c>
      <c r="D3200" t="s">
        <v>2090</v>
      </c>
      <c r="E3200" t="s">
        <v>2095</v>
      </c>
      <c r="F3200" t="s">
        <v>598</v>
      </c>
      <c r="G3200" t="s">
        <v>599</v>
      </c>
      <c r="H3200" t="s">
        <v>600</v>
      </c>
      <c r="I3200" t="s">
        <v>601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hidden="1">
      <c r="A3201" t="s">
        <v>18812</v>
      </c>
      <c r="B3201" t="s">
        <v>2106</v>
      </c>
      <c r="C3201" t="s">
        <v>2075</v>
      </c>
      <c r="D3201" t="s">
        <v>648</v>
      </c>
      <c r="E3201" t="s">
        <v>1378</v>
      </c>
      <c r="F3201" t="s">
        <v>598</v>
      </c>
      <c r="G3201" t="s">
        <v>599</v>
      </c>
      <c r="H3201" t="s">
        <v>600</v>
      </c>
      <c r="I3201" t="s">
        <v>601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hidden="1">
      <c r="A3202" t="s">
        <v>18812</v>
      </c>
      <c r="B3202" t="s">
        <v>2107</v>
      </c>
      <c r="C3202" t="s">
        <v>2075</v>
      </c>
      <c r="D3202" t="s">
        <v>648</v>
      </c>
      <c r="E3202" t="s">
        <v>2081</v>
      </c>
      <c r="F3202" t="s">
        <v>598</v>
      </c>
      <c r="G3202" t="s">
        <v>599</v>
      </c>
      <c r="H3202" t="s">
        <v>600</v>
      </c>
      <c r="I3202" t="s">
        <v>601</v>
      </c>
      <c r="J3202">
        <v>2.9999999999999997E-4</v>
      </c>
      <c r="K3202">
        <v>2.9999999999999997E-4</v>
      </c>
      <c r="L3202">
        <v>2.9999999999999997E-4</v>
      </c>
      <c r="M3202">
        <v>4.0000000000000002E-4</v>
      </c>
      <c r="N3202">
        <v>4.0000000000000002E-4</v>
      </c>
      <c r="O3202">
        <v>4.0000000000000002E-4</v>
      </c>
      <c r="P3202">
        <v>4.0000000000000002E-4</v>
      </c>
      <c r="Q3202">
        <v>4.0000000000000002E-4</v>
      </c>
      <c r="R3202">
        <v>4.0000000000000002E-4</v>
      </c>
      <c r="S3202">
        <v>4.0000000000000002E-4</v>
      </c>
      <c r="T3202">
        <v>4.0000000000000002E-4</v>
      </c>
      <c r="U3202">
        <v>4.0000000000000002E-4</v>
      </c>
      <c r="V3202">
        <v>4.0000000000000002E-4</v>
      </c>
      <c r="W3202">
        <v>4.0000000000000002E-4</v>
      </c>
      <c r="X3202">
        <v>4.0000000000000002E-4</v>
      </c>
      <c r="Y3202">
        <v>5.0000000000000001E-4</v>
      </c>
    </row>
    <row r="3203" spans="1:25" hidden="1">
      <c r="A3203" t="s">
        <v>18812</v>
      </c>
      <c r="B3203" t="s">
        <v>2117</v>
      </c>
      <c r="C3203" t="s">
        <v>2116</v>
      </c>
      <c r="D3203" t="s">
        <v>2118</v>
      </c>
      <c r="E3203" t="s">
        <v>2119</v>
      </c>
      <c r="F3203" t="s">
        <v>598</v>
      </c>
      <c r="G3203" t="s">
        <v>599</v>
      </c>
      <c r="H3203" t="s">
        <v>600</v>
      </c>
      <c r="I3203" t="s">
        <v>601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hidden="1">
      <c r="A3204" t="s">
        <v>18812</v>
      </c>
      <c r="B3204" t="s">
        <v>2120</v>
      </c>
      <c r="C3204" t="s">
        <v>2116</v>
      </c>
      <c r="D3204" t="s">
        <v>2121</v>
      </c>
      <c r="E3204" t="s">
        <v>2119</v>
      </c>
      <c r="F3204" t="s">
        <v>598</v>
      </c>
      <c r="G3204" t="s">
        <v>599</v>
      </c>
      <c r="H3204" t="s">
        <v>600</v>
      </c>
      <c r="I3204" t="s">
        <v>601</v>
      </c>
      <c r="J3204">
        <v>2.18E-2</v>
      </c>
      <c r="K3204">
        <v>2.2800000000000001E-2</v>
      </c>
      <c r="L3204">
        <v>2.3900000000000001E-2</v>
      </c>
      <c r="M3204">
        <v>2.5000000000000001E-2</v>
      </c>
      <c r="N3204">
        <v>2.6200000000000001E-2</v>
      </c>
      <c r="O3204">
        <v>2.7300000000000001E-2</v>
      </c>
      <c r="P3204">
        <v>2.8000000000000001E-2</v>
      </c>
      <c r="Q3204">
        <v>2.86E-2</v>
      </c>
      <c r="R3204">
        <v>2.8899999999999999E-2</v>
      </c>
      <c r="S3204">
        <v>2.9100000000000001E-2</v>
      </c>
      <c r="T3204">
        <v>2.9399999999999999E-2</v>
      </c>
      <c r="U3204">
        <v>2.9600000000000001E-2</v>
      </c>
      <c r="V3204">
        <v>2.9899999999999999E-2</v>
      </c>
      <c r="W3204">
        <v>3.0200000000000001E-2</v>
      </c>
      <c r="X3204">
        <v>3.0499999999999999E-2</v>
      </c>
      <c r="Y3204">
        <v>3.0700000000000002E-2</v>
      </c>
    </row>
    <row r="3205" spans="1:25" hidden="1">
      <c r="A3205" t="s">
        <v>18812</v>
      </c>
      <c r="B3205" t="s">
        <v>2122</v>
      </c>
      <c r="C3205" t="s">
        <v>2116</v>
      </c>
      <c r="D3205" t="s">
        <v>2121</v>
      </c>
      <c r="E3205" t="s">
        <v>1910</v>
      </c>
      <c r="F3205" t="s">
        <v>598</v>
      </c>
      <c r="G3205" t="s">
        <v>599</v>
      </c>
      <c r="H3205" t="s">
        <v>600</v>
      </c>
      <c r="I3205" t="s">
        <v>601</v>
      </c>
      <c r="J3205">
        <v>1E-4</v>
      </c>
      <c r="K3205">
        <v>1E-4</v>
      </c>
      <c r="L3205">
        <v>1E-4</v>
      </c>
      <c r="M3205">
        <v>1E-4</v>
      </c>
      <c r="N3205">
        <v>1E-4</v>
      </c>
      <c r="O3205">
        <v>1E-4</v>
      </c>
      <c r="P3205">
        <v>1E-4</v>
      </c>
      <c r="Q3205">
        <v>1E-4</v>
      </c>
      <c r="R3205">
        <v>1E-4</v>
      </c>
      <c r="S3205">
        <v>1E-4</v>
      </c>
      <c r="T3205">
        <v>1E-4</v>
      </c>
      <c r="U3205">
        <v>1E-4</v>
      </c>
      <c r="V3205">
        <v>1E-4</v>
      </c>
      <c r="W3205">
        <v>1E-4</v>
      </c>
      <c r="X3205">
        <v>1E-4</v>
      </c>
      <c r="Y3205">
        <v>1E-4</v>
      </c>
    </row>
    <row r="3206" spans="1:25" hidden="1">
      <c r="A3206" t="s">
        <v>18812</v>
      </c>
      <c r="B3206" t="s">
        <v>2148</v>
      </c>
      <c r="C3206" t="s">
        <v>2144</v>
      </c>
      <c r="D3206" t="s">
        <v>2147</v>
      </c>
      <c r="E3206" t="s">
        <v>1393</v>
      </c>
      <c r="F3206" t="s">
        <v>598</v>
      </c>
      <c r="G3206" t="s">
        <v>599</v>
      </c>
      <c r="H3206" t="s">
        <v>600</v>
      </c>
      <c r="I3206" t="s">
        <v>601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hidden="1">
      <c r="A3207" t="s">
        <v>18812</v>
      </c>
      <c r="B3207" t="s">
        <v>2149</v>
      </c>
      <c r="C3207" t="s">
        <v>2144</v>
      </c>
      <c r="D3207" t="s">
        <v>2147</v>
      </c>
      <c r="E3207" t="s">
        <v>1004</v>
      </c>
      <c r="F3207" t="s">
        <v>598</v>
      </c>
      <c r="G3207" t="s">
        <v>599</v>
      </c>
      <c r="H3207" t="s">
        <v>600</v>
      </c>
      <c r="I3207" t="s">
        <v>601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hidden="1">
      <c r="A3208" t="s">
        <v>18812</v>
      </c>
      <c r="B3208" t="s">
        <v>2150</v>
      </c>
      <c r="C3208" t="s">
        <v>2144</v>
      </c>
      <c r="D3208" t="s">
        <v>648</v>
      </c>
      <c r="E3208" t="s">
        <v>1393</v>
      </c>
      <c r="F3208" t="s">
        <v>598</v>
      </c>
      <c r="G3208" t="s">
        <v>599</v>
      </c>
      <c r="H3208" t="s">
        <v>600</v>
      </c>
      <c r="I3208" t="s">
        <v>601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hidden="1">
      <c r="A3209" t="s">
        <v>18812</v>
      </c>
      <c r="B3209" t="s">
        <v>2166</v>
      </c>
      <c r="C3209" t="s">
        <v>2154</v>
      </c>
      <c r="D3209" t="s">
        <v>1332</v>
      </c>
      <c r="E3209" t="s">
        <v>1340</v>
      </c>
      <c r="F3209" t="s">
        <v>598</v>
      </c>
      <c r="G3209" t="s">
        <v>599</v>
      </c>
      <c r="H3209" t="s">
        <v>600</v>
      </c>
      <c r="I3209" t="s">
        <v>601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hidden="1">
      <c r="A3210" t="s">
        <v>18812</v>
      </c>
      <c r="B3210" t="s">
        <v>2184</v>
      </c>
      <c r="C3210" t="s">
        <v>2154</v>
      </c>
      <c r="D3210" t="s">
        <v>2185</v>
      </c>
      <c r="E3210" t="s">
        <v>2186</v>
      </c>
      <c r="F3210" t="s">
        <v>598</v>
      </c>
      <c r="G3210" t="s">
        <v>599</v>
      </c>
      <c r="H3210" t="s">
        <v>600</v>
      </c>
      <c r="I3210" t="s">
        <v>601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hidden="1">
      <c r="A3211" t="s">
        <v>18812</v>
      </c>
      <c r="B3211" t="s">
        <v>2187</v>
      </c>
      <c r="C3211" t="s">
        <v>2154</v>
      </c>
      <c r="D3211" t="s">
        <v>648</v>
      </c>
      <c r="E3211" t="s">
        <v>920</v>
      </c>
      <c r="F3211" t="s">
        <v>598</v>
      </c>
      <c r="G3211" t="s">
        <v>599</v>
      </c>
      <c r="H3211" t="s">
        <v>600</v>
      </c>
      <c r="I3211" t="s">
        <v>601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hidden="1">
      <c r="A3212" t="s">
        <v>18812</v>
      </c>
      <c r="B3212" t="s">
        <v>2188</v>
      </c>
      <c r="C3212" t="s">
        <v>2154</v>
      </c>
      <c r="D3212" t="s">
        <v>648</v>
      </c>
      <c r="E3212" t="s">
        <v>973</v>
      </c>
      <c r="F3212" t="s">
        <v>598</v>
      </c>
      <c r="G3212" t="s">
        <v>599</v>
      </c>
      <c r="H3212" t="s">
        <v>600</v>
      </c>
      <c r="I3212" t="s">
        <v>601</v>
      </c>
      <c r="J3212">
        <v>3.0999999999999999E-3</v>
      </c>
      <c r="K3212">
        <v>3.0999999999999999E-3</v>
      </c>
      <c r="L3212">
        <v>3.0999999999999999E-3</v>
      </c>
      <c r="M3212">
        <v>3.2000000000000002E-3</v>
      </c>
      <c r="N3212">
        <v>3.2000000000000002E-3</v>
      </c>
      <c r="O3212">
        <v>3.2000000000000002E-3</v>
      </c>
      <c r="P3212">
        <v>3.2000000000000002E-3</v>
      </c>
      <c r="Q3212">
        <v>3.2000000000000002E-3</v>
      </c>
      <c r="R3212">
        <v>3.2000000000000002E-3</v>
      </c>
      <c r="S3212">
        <v>3.3E-3</v>
      </c>
      <c r="T3212">
        <v>3.3E-3</v>
      </c>
      <c r="U3212">
        <v>3.3E-3</v>
      </c>
      <c r="V3212">
        <v>3.3E-3</v>
      </c>
      <c r="W3212">
        <v>3.3E-3</v>
      </c>
      <c r="X3212">
        <v>3.3E-3</v>
      </c>
      <c r="Y3212">
        <v>3.3E-3</v>
      </c>
    </row>
    <row r="3213" spans="1:25" hidden="1">
      <c r="A3213" t="s">
        <v>18812</v>
      </c>
      <c r="B3213" t="s">
        <v>2209</v>
      </c>
      <c r="C3213" t="s">
        <v>2154</v>
      </c>
      <c r="D3213" t="s">
        <v>648</v>
      </c>
      <c r="E3213" t="s">
        <v>1004</v>
      </c>
      <c r="F3213" t="s">
        <v>598</v>
      </c>
      <c r="G3213" t="s">
        <v>599</v>
      </c>
      <c r="H3213" t="s">
        <v>600</v>
      </c>
      <c r="I3213" t="s">
        <v>601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</row>
    <row r="3214" spans="1:25">
      <c r="J3214">
        <f>SUBTOTAL(109,Table117[2015])</f>
        <v>0.12470000000000001</v>
      </c>
      <c r="K3214">
        <f>SUBTOTAL(109,Table117[2016])</f>
        <v>0.12810000000000002</v>
      </c>
      <c r="L3214">
        <f>SUBTOTAL(109,Table117[2017])</f>
        <v>0.1295</v>
      </c>
      <c r="M3214">
        <f>SUBTOTAL(109,Table117[2018])</f>
        <v>0.12930000000000003</v>
      </c>
      <c r="N3214">
        <f>SUBTOTAL(109,Table117[2019])</f>
        <v>0.13230000000000003</v>
      </c>
      <c r="O3214">
        <f>SUBTOTAL(109,Table117[2020])</f>
        <v>0.1331</v>
      </c>
      <c r="P3214">
        <f>SUBTOTAL(109,Table117[2021])</f>
        <v>0.13390000000000002</v>
      </c>
      <c r="Q3214">
        <f>SUBTOTAL(109,Table117[2022])</f>
        <v>0.13450000000000001</v>
      </c>
      <c r="R3214">
        <f>SUBTOTAL(109,Table117[2023])</f>
        <v>0.13490000000000002</v>
      </c>
      <c r="S3214">
        <f>SUBTOTAL(109,Table117[2024])</f>
        <v>0.13580000000000003</v>
      </c>
      <c r="T3214">
        <f>SUBTOTAL(109,Table117[2025])</f>
        <v>0.13640000000000002</v>
      </c>
      <c r="U3214">
        <f>SUBTOTAL(109,Table117[2026])</f>
        <v>0.13690000000000002</v>
      </c>
      <c r="V3214">
        <f>SUBTOTAL(109,Table117[2027])</f>
        <v>0.13740000000000002</v>
      </c>
      <c r="W3214">
        <f>SUBTOTAL(109,Table117[2028])</f>
        <v>0.13800000000000001</v>
      </c>
      <c r="X3214">
        <f>SUBTOTAL(109,Table117[2029])</f>
        <v>0.13880000000000003</v>
      </c>
      <c r="Y3214">
        <f>SUBTOTAL(109,Table117[2030])</f>
        <v>0.13930000000000003</v>
      </c>
    </row>
    <row r="3216" spans="1:25">
      <c r="A3216" t="s">
        <v>569</v>
      </c>
      <c r="B3216" t="s">
        <v>570</v>
      </c>
      <c r="C3216" t="s">
        <v>571</v>
      </c>
      <c r="D3216" t="s">
        <v>572</v>
      </c>
      <c r="E3216" t="s">
        <v>573</v>
      </c>
      <c r="F3216" t="s">
        <v>574</v>
      </c>
      <c r="G3216" t="s">
        <v>575</v>
      </c>
      <c r="H3216" t="s">
        <v>576</v>
      </c>
      <c r="I3216" t="s">
        <v>577</v>
      </c>
      <c r="J3216" t="s">
        <v>578</v>
      </c>
      <c r="K3216" t="s">
        <v>579</v>
      </c>
      <c r="L3216" t="s">
        <v>580</v>
      </c>
      <c r="M3216" t="s">
        <v>581</v>
      </c>
      <c r="N3216" t="s">
        <v>582</v>
      </c>
      <c r="O3216" t="s">
        <v>583</v>
      </c>
      <c r="P3216" t="s">
        <v>584</v>
      </c>
      <c r="Q3216" t="s">
        <v>585</v>
      </c>
      <c r="R3216" t="s">
        <v>586</v>
      </c>
      <c r="S3216" t="s">
        <v>587</v>
      </c>
      <c r="T3216" t="s">
        <v>588</v>
      </c>
      <c r="U3216" t="s">
        <v>589</v>
      </c>
      <c r="V3216" t="s">
        <v>590</v>
      </c>
      <c r="W3216" t="s">
        <v>591</v>
      </c>
      <c r="X3216" t="s">
        <v>592</v>
      </c>
      <c r="Y3216" t="s">
        <v>593</v>
      </c>
    </row>
    <row r="3217" spans="1:25">
      <c r="A3217" t="s">
        <v>18813</v>
      </c>
      <c r="B3217" t="s">
        <v>594</v>
      </c>
      <c r="C3217" t="s">
        <v>595</v>
      </c>
      <c r="D3217" t="s">
        <v>596</v>
      </c>
      <c r="E3217" t="s">
        <v>597</v>
      </c>
      <c r="F3217" t="s">
        <v>598</v>
      </c>
      <c r="G3217" t="s">
        <v>599</v>
      </c>
      <c r="H3217" t="s">
        <v>600</v>
      </c>
      <c r="I3217" t="s">
        <v>601</v>
      </c>
      <c r="J3217">
        <v>0.31119999999999998</v>
      </c>
      <c r="K3217">
        <v>0.30930000000000002</v>
      </c>
      <c r="L3217">
        <v>0.30099999999999999</v>
      </c>
      <c r="M3217">
        <v>0.30320000000000003</v>
      </c>
      <c r="N3217">
        <v>0.30249999999999999</v>
      </c>
      <c r="O3217">
        <v>0.30209999999999998</v>
      </c>
      <c r="P3217">
        <v>0.31380000000000002</v>
      </c>
      <c r="Q3217">
        <v>0.32200000000000001</v>
      </c>
      <c r="R3217">
        <v>0.32769999999999999</v>
      </c>
      <c r="S3217">
        <v>0.33139999999999997</v>
      </c>
      <c r="T3217">
        <v>0.33410000000000001</v>
      </c>
      <c r="U3217">
        <v>0.33410000000000001</v>
      </c>
      <c r="V3217">
        <v>0.33410000000000001</v>
      </c>
      <c r="W3217">
        <v>0.33410000000000001</v>
      </c>
      <c r="X3217">
        <v>0.33410000000000001</v>
      </c>
      <c r="Y3217">
        <v>0.33410000000000001</v>
      </c>
    </row>
    <row r="3218" spans="1:25">
      <c r="A3218" t="s">
        <v>18813</v>
      </c>
      <c r="B3218" t="s">
        <v>602</v>
      </c>
      <c r="C3218" t="s">
        <v>595</v>
      </c>
      <c r="D3218" t="s">
        <v>596</v>
      </c>
      <c r="E3218" t="s">
        <v>603</v>
      </c>
      <c r="F3218" t="s">
        <v>598</v>
      </c>
      <c r="G3218" t="s">
        <v>599</v>
      </c>
      <c r="H3218" t="s">
        <v>600</v>
      </c>
      <c r="I3218" t="s">
        <v>601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>
      <c r="A3219" t="s">
        <v>18813</v>
      </c>
      <c r="B3219" t="s">
        <v>604</v>
      </c>
      <c r="C3219" t="s">
        <v>595</v>
      </c>
      <c r="D3219" t="s">
        <v>596</v>
      </c>
      <c r="E3219" t="s">
        <v>605</v>
      </c>
      <c r="F3219" t="s">
        <v>598</v>
      </c>
      <c r="G3219" t="s">
        <v>599</v>
      </c>
      <c r="H3219" t="s">
        <v>600</v>
      </c>
      <c r="I3219" t="s">
        <v>601</v>
      </c>
      <c r="J3219">
        <v>3.5200000000000002E-2</v>
      </c>
      <c r="K3219">
        <v>3.5000000000000003E-2</v>
      </c>
      <c r="L3219">
        <v>3.4099999999999998E-2</v>
      </c>
      <c r="M3219">
        <v>3.4299999999999997E-2</v>
      </c>
      <c r="N3219">
        <v>3.4200000000000001E-2</v>
      </c>
      <c r="O3219">
        <v>3.4200000000000001E-2</v>
      </c>
      <c r="P3219">
        <v>3.5499999999999997E-2</v>
      </c>
      <c r="Q3219">
        <v>3.6400000000000002E-2</v>
      </c>
      <c r="R3219">
        <v>3.7100000000000001E-2</v>
      </c>
      <c r="S3219">
        <v>3.7499999999999999E-2</v>
      </c>
      <c r="T3219">
        <v>3.78E-2</v>
      </c>
      <c r="U3219">
        <v>3.78E-2</v>
      </c>
      <c r="V3219">
        <v>3.78E-2</v>
      </c>
      <c r="W3219">
        <v>3.78E-2</v>
      </c>
      <c r="X3219">
        <v>3.78E-2</v>
      </c>
      <c r="Y3219">
        <v>3.78E-2</v>
      </c>
    </row>
    <row r="3220" spans="1:25">
      <c r="A3220" t="s">
        <v>18813</v>
      </c>
      <c r="B3220" t="s">
        <v>614</v>
      </c>
      <c r="C3220" t="s">
        <v>595</v>
      </c>
      <c r="D3220" t="s">
        <v>596</v>
      </c>
      <c r="E3220" t="s">
        <v>615</v>
      </c>
      <c r="F3220" t="s">
        <v>598</v>
      </c>
      <c r="G3220" t="s">
        <v>599</v>
      </c>
      <c r="H3220" t="s">
        <v>600</v>
      </c>
      <c r="I3220" t="s">
        <v>601</v>
      </c>
      <c r="J3220">
        <v>2.8400000000000002E-2</v>
      </c>
      <c r="K3220">
        <v>2.8199999999999999E-2</v>
      </c>
      <c r="L3220">
        <v>2.75E-2</v>
      </c>
      <c r="M3220">
        <v>2.7699999999999999E-2</v>
      </c>
      <c r="N3220">
        <v>2.76E-2</v>
      </c>
      <c r="O3220">
        <v>2.76E-2</v>
      </c>
      <c r="P3220">
        <v>2.87E-2</v>
      </c>
      <c r="Q3220">
        <v>2.9399999999999999E-2</v>
      </c>
      <c r="R3220">
        <v>2.9899999999999999E-2</v>
      </c>
      <c r="S3220">
        <v>3.0300000000000001E-2</v>
      </c>
      <c r="T3220">
        <v>3.0499999999999999E-2</v>
      </c>
      <c r="U3220">
        <v>3.0499999999999999E-2</v>
      </c>
      <c r="V3220">
        <v>3.0499999999999999E-2</v>
      </c>
      <c r="W3220">
        <v>3.0499999999999999E-2</v>
      </c>
      <c r="X3220">
        <v>3.0499999999999999E-2</v>
      </c>
      <c r="Y3220">
        <v>3.0499999999999999E-2</v>
      </c>
    </row>
    <row r="3221" spans="1:25">
      <c r="A3221" t="s">
        <v>18813</v>
      </c>
      <c r="B3221" t="s">
        <v>620</v>
      </c>
      <c r="C3221" t="s">
        <v>595</v>
      </c>
      <c r="D3221" t="s">
        <v>621</v>
      </c>
      <c r="E3221" t="s">
        <v>597</v>
      </c>
      <c r="F3221" t="s">
        <v>598</v>
      </c>
      <c r="G3221" t="s">
        <v>599</v>
      </c>
      <c r="H3221" t="s">
        <v>600</v>
      </c>
      <c r="I3221" t="s">
        <v>601</v>
      </c>
      <c r="J3221">
        <v>8.9999999999999998E-4</v>
      </c>
      <c r="K3221">
        <v>8.9999999999999998E-4</v>
      </c>
      <c r="L3221">
        <v>8.9999999999999998E-4</v>
      </c>
      <c r="M3221">
        <v>8.9999999999999998E-4</v>
      </c>
      <c r="N3221">
        <v>8.9999999999999998E-4</v>
      </c>
      <c r="O3221">
        <v>8.9999999999999998E-4</v>
      </c>
      <c r="P3221">
        <v>8.9999999999999998E-4</v>
      </c>
      <c r="Q3221">
        <v>1E-3</v>
      </c>
      <c r="R3221">
        <v>1E-3</v>
      </c>
      <c r="S3221">
        <v>1E-3</v>
      </c>
      <c r="T3221">
        <v>1E-3</v>
      </c>
      <c r="U3221">
        <v>1E-3</v>
      </c>
      <c r="V3221">
        <v>1E-3</v>
      </c>
      <c r="W3221">
        <v>1E-3</v>
      </c>
      <c r="X3221">
        <v>1E-3</v>
      </c>
      <c r="Y3221">
        <v>1E-3</v>
      </c>
    </row>
    <row r="3222" spans="1:25">
      <c r="A3222" t="s">
        <v>18813</v>
      </c>
      <c r="B3222" t="s">
        <v>623</v>
      </c>
      <c r="C3222" t="s">
        <v>595</v>
      </c>
      <c r="D3222" t="s">
        <v>621</v>
      </c>
      <c r="E3222" t="s">
        <v>624</v>
      </c>
      <c r="F3222" t="s">
        <v>598</v>
      </c>
      <c r="G3222" t="s">
        <v>599</v>
      </c>
      <c r="H3222" t="s">
        <v>600</v>
      </c>
      <c r="I3222" t="s">
        <v>601</v>
      </c>
      <c r="J3222">
        <v>5.3199999999999997E-2</v>
      </c>
      <c r="K3222">
        <v>5.2900000000000003E-2</v>
      </c>
      <c r="L3222">
        <v>5.1499999999999997E-2</v>
      </c>
      <c r="M3222">
        <v>5.1799999999999999E-2</v>
      </c>
      <c r="N3222">
        <v>5.1700000000000003E-2</v>
      </c>
      <c r="O3222">
        <v>5.1700000000000003E-2</v>
      </c>
      <c r="P3222">
        <v>5.3699999999999998E-2</v>
      </c>
      <c r="Q3222">
        <v>5.5100000000000003E-2</v>
      </c>
      <c r="R3222">
        <v>5.6000000000000001E-2</v>
      </c>
      <c r="S3222">
        <v>5.67E-2</v>
      </c>
      <c r="T3222">
        <v>5.7099999999999998E-2</v>
      </c>
      <c r="U3222">
        <v>5.7099999999999998E-2</v>
      </c>
      <c r="V3222">
        <v>5.7099999999999998E-2</v>
      </c>
      <c r="W3222">
        <v>5.7099999999999998E-2</v>
      </c>
      <c r="X3222">
        <v>5.7099999999999998E-2</v>
      </c>
      <c r="Y3222">
        <v>5.7099999999999998E-2</v>
      </c>
    </row>
    <row r="3223" spans="1:25">
      <c r="A3223" t="s">
        <v>18813</v>
      </c>
      <c r="B3223" t="s">
        <v>625</v>
      </c>
      <c r="C3223" t="s">
        <v>595</v>
      </c>
      <c r="D3223" t="s">
        <v>621</v>
      </c>
      <c r="E3223" t="s">
        <v>626</v>
      </c>
      <c r="F3223" t="s">
        <v>598</v>
      </c>
      <c r="G3223" t="s">
        <v>599</v>
      </c>
      <c r="H3223" t="s">
        <v>600</v>
      </c>
      <c r="I3223" t="s">
        <v>601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>
      <c r="A3224" t="s">
        <v>18813</v>
      </c>
      <c r="B3224" t="s">
        <v>627</v>
      </c>
      <c r="C3224" t="s">
        <v>595</v>
      </c>
      <c r="D3224" t="s">
        <v>621</v>
      </c>
      <c r="E3224" t="s">
        <v>628</v>
      </c>
      <c r="F3224" t="s">
        <v>598</v>
      </c>
      <c r="G3224" t="s">
        <v>599</v>
      </c>
      <c r="H3224" t="s">
        <v>600</v>
      </c>
      <c r="I3224" t="s">
        <v>601</v>
      </c>
      <c r="J3224">
        <v>3.3E-3</v>
      </c>
      <c r="K3224">
        <v>3.3E-3</v>
      </c>
      <c r="L3224">
        <v>3.2000000000000002E-3</v>
      </c>
      <c r="M3224">
        <v>3.2000000000000002E-3</v>
      </c>
      <c r="N3224">
        <v>3.2000000000000002E-3</v>
      </c>
      <c r="O3224">
        <v>3.2000000000000002E-3</v>
      </c>
      <c r="P3224">
        <v>3.3E-3</v>
      </c>
      <c r="Q3224">
        <v>3.3999999999999998E-3</v>
      </c>
      <c r="R3224">
        <v>3.5000000000000001E-3</v>
      </c>
      <c r="S3224">
        <v>3.5000000000000001E-3</v>
      </c>
      <c r="T3224">
        <v>3.5000000000000001E-3</v>
      </c>
      <c r="U3224">
        <v>3.5000000000000001E-3</v>
      </c>
      <c r="V3224">
        <v>3.5000000000000001E-3</v>
      </c>
      <c r="W3224">
        <v>3.5000000000000001E-3</v>
      </c>
      <c r="X3224">
        <v>3.5000000000000001E-3</v>
      </c>
      <c r="Y3224">
        <v>3.5000000000000001E-3</v>
      </c>
    </row>
    <row r="3225" spans="1:25">
      <c r="A3225" t="s">
        <v>18813</v>
      </c>
      <c r="B3225" t="s">
        <v>631</v>
      </c>
      <c r="C3225" t="s">
        <v>595</v>
      </c>
      <c r="D3225" t="s">
        <v>632</v>
      </c>
      <c r="E3225" t="s">
        <v>597</v>
      </c>
      <c r="F3225" t="s">
        <v>598</v>
      </c>
      <c r="G3225" t="s">
        <v>599</v>
      </c>
      <c r="H3225" t="s">
        <v>600</v>
      </c>
      <c r="I3225" t="s">
        <v>601</v>
      </c>
      <c r="J3225">
        <v>0.5444</v>
      </c>
      <c r="K3225">
        <v>0.54169999999999996</v>
      </c>
      <c r="L3225">
        <v>0.52849999999999997</v>
      </c>
      <c r="M3225">
        <v>0.53239999999999998</v>
      </c>
      <c r="N3225">
        <v>0.53169999999999995</v>
      </c>
      <c r="O3225">
        <v>0.53149999999999997</v>
      </c>
      <c r="P3225">
        <v>0.55159999999999998</v>
      </c>
      <c r="Q3225">
        <v>0.5655</v>
      </c>
      <c r="R3225">
        <v>0.57530000000000003</v>
      </c>
      <c r="S3225">
        <v>0.58189999999999997</v>
      </c>
      <c r="T3225">
        <v>0.58650000000000002</v>
      </c>
      <c r="U3225">
        <v>0.58689999999999998</v>
      </c>
      <c r="V3225">
        <v>0.58720000000000006</v>
      </c>
      <c r="W3225">
        <v>0.58750000000000002</v>
      </c>
      <c r="X3225">
        <v>0.58789999999999998</v>
      </c>
      <c r="Y3225">
        <v>0.58819999999999995</v>
      </c>
    </row>
    <row r="3226" spans="1:25">
      <c r="A3226" t="s">
        <v>18813</v>
      </c>
      <c r="B3226" t="s">
        <v>633</v>
      </c>
      <c r="C3226" t="s">
        <v>595</v>
      </c>
      <c r="D3226" t="s">
        <v>632</v>
      </c>
      <c r="E3226" t="s">
        <v>634</v>
      </c>
      <c r="F3226" t="s">
        <v>598</v>
      </c>
      <c r="G3226" t="s">
        <v>599</v>
      </c>
      <c r="H3226" t="s">
        <v>600</v>
      </c>
      <c r="I3226" t="s">
        <v>601</v>
      </c>
      <c r="J3226">
        <v>5.0000000000000001E-4</v>
      </c>
      <c r="K3226">
        <v>5.0000000000000001E-4</v>
      </c>
      <c r="L3226">
        <v>5.0000000000000001E-4</v>
      </c>
      <c r="M3226">
        <v>5.0000000000000001E-4</v>
      </c>
      <c r="N3226">
        <v>5.0000000000000001E-4</v>
      </c>
      <c r="O3226">
        <v>5.0000000000000001E-4</v>
      </c>
      <c r="P3226">
        <v>5.0000000000000001E-4</v>
      </c>
      <c r="Q3226">
        <v>5.0000000000000001E-4</v>
      </c>
      <c r="R3226">
        <v>5.0000000000000001E-4</v>
      </c>
      <c r="S3226">
        <v>5.0000000000000001E-4</v>
      </c>
      <c r="T3226">
        <v>5.0000000000000001E-4</v>
      </c>
      <c r="U3226">
        <v>5.0000000000000001E-4</v>
      </c>
      <c r="V3226">
        <v>5.0000000000000001E-4</v>
      </c>
      <c r="W3226">
        <v>5.0000000000000001E-4</v>
      </c>
      <c r="X3226">
        <v>5.0000000000000001E-4</v>
      </c>
      <c r="Y3226">
        <v>5.0000000000000001E-4</v>
      </c>
    </row>
    <row r="3227" spans="1:25">
      <c r="A3227" t="s">
        <v>18813</v>
      </c>
      <c r="B3227" t="s">
        <v>635</v>
      </c>
      <c r="C3227" t="s">
        <v>595</v>
      </c>
      <c r="D3227" t="s">
        <v>632</v>
      </c>
      <c r="E3227" t="s">
        <v>624</v>
      </c>
      <c r="F3227" t="s">
        <v>598</v>
      </c>
      <c r="G3227" t="s">
        <v>599</v>
      </c>
      <c r="H3227" t="s">
        <v>600</v>
      </c>
      <c r="I3227" t="s">
        <v>601</v>
      </c>
      <c r="J3227">
        <v>1.2200000000000001E-2</v>
      </c>
      <c r="K3227">
        <v>1.21E-2</v>
      </c>
      <c r="L3227">
        <v>1.2E-2</v>
      </c>
      <c r="M3227">
        <v>1.2E-2</v>
      </c>
      <c r="N3227">
        <v>1.1900000000000001E-2</v>
      </c>
      <c r="O3227">
        <v>1.1900000000000001E-2</v>
      </c>
      <c r="P3227">
        <v>1.21E-2</v>
      </c>
      <c r="Q3227">
        <v>1.21E-2</v>
      </c>
      <c r="R3227">
        <v>1.21E-2</v>
      </c>
      <c r="S3227">
        <v>1.2200000000000001E-2</v>
      </c>
      <c r="T3227">
        <v>1.2200000000000001E-2</v>
      </c>
      <c r="U3227">
        <v>1.23E-2</v>
      </c>
      <c r="V3227">
        <v>1.23E-2</v>
      </c>
      <c r="W3227">
        <v>1.23E-2</v>
      </c>
      <c r="X3227">
        <v>1.24E-2</v>
      </c>
      <c r="Y3227">
        <v>1.24E-2</v>
      </c>
    </row>
    <row r="3228" spans="1:25">
      <c r="A3228" t="s">
        <v>18813</v>
      </c>
      <c r="B3228" t="s">
        <v>636</v>
      </c>
      <c r="C3228" t="s">
        <v>595</v>
      </c>
      <c r="D3228" t="s">
        <v>632</v>
      </c>
      <c r="E3228" t="s">
        <v>628</v>
      </c>
      <c r="F3228" t="s">
        <v>598</v>
      </c>
      <c r="G3228" t="s">
        <v>599</v>
      </c>
      <c r="H3228" t="s">
        <v>600</v>
      </c>
      <c r="I3228" t="s">
        <v>601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>
      <c r="A3229" t="s">
        <v>18813</v>
      </c>
      <c r="B3229" t="s">
        <v>639</v>
      </c>
      <c r="C3229" t="s">
        <v>595</v>
      </c>
      <c r="D3229" t="s">
        <v>640</v>
      </c>
      <c r="E3229" t="s">
        <v>597</v>
      </c>
      <c r="F3229" t="s">
        <v>598</v>
      </c>
      <c r="G3229" t="s">
        <v>599</v>
      </c>
      <c r="H3229" t="s">
        <v>600</v>
      </c>
      <c r="I3229" t="s">
        <v>601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>
      <c r="A3230" t="s">
        <v>18813</v>
      </c>
      <c r="B3230" t="s">
        <v>641</v>
      </c>
      <c r="C3230" t="s">
        <v>595</v>
      </c>
      <c r="D3230" t="s">
        <v>640</v>
      </c>
      <c r="E3230" t="s">
        <v>642</v>
      </c>
      <c r="F3230" t="s">
        <v>598</v>
      </c>
      <c r="G3230" t="s">
        <v>599</v>
      </c>
      <c r="H3230" t="s">
        <v>600</v>
      </c>
      <c r="I3230" t="s">
        <v>601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hidden="1">
      <c r="A3231" t="s">
        <v>18813</v>
      </c>
      <c r="B3231" t="s">
        <v>660</v>
      </c>
      <c r="C3231" t="s">
        <v>651</v>
      </c>
      <c r="D3231" t="s">
        <v>632</v>
      </c>
      <c r="E3231" t="s">
        <v>597</v>
      </c>
      <c r="F3231" t="s">
        <v>598</v>
      </c>
      <c r="G3231" t="s">
        <v>599</v>
      </c>
      <c r="H3231" t="s">
        <v>600</v>
      </c>
      <c r="I3231" t="s">
        <v>601</v>
      </c>
      <c r="J3231">
        <v>0.12770000000000001</v>
      </c>
      <c r="K3231">
        <v>0.12820000000000001</v>
      </c>
      <c r="L3231">
        <v>0.12870000000000001</v>
      </c>
      <c r="M3231">
        <v>0.12920000000000001</v>
      </c>
      <c r="N3231">
        <v>0.1298</v>
      </c>
      <c r="O3231">
        <v>0.13039999999999999</v>
      </c>
      <c r="P3231">
        <v>0.1308</v>
      </c>
      <c r="Q3231">
        <v>0.1313</v>
      </c>
      <c r="R3231">
        <v>0.13150000000000001</v>
      </c>
      <c r="S3231">
        <v>0.13189999999999999</v>
      </c>
      <c r="T3231">
        <v>0.1321</v>
      </c>
      <c r="U3231">
        <v>0.13239999999999999</v>
      </c>
      <c r="V3231">
        <v>0.13270000000000001</v>
      </c>
      <c r="W3231">
        <v>0.13300000000000001</v>
      </c>
      <c r="X3231">
        <v>0.13320000000000001</v>
      </c>
      <c r="Y3231">
        <v>0.13350000000000001</v>
      </c>
    </row>
    <row r="3232" spans="1:25" hidden="1">
      <c r="A3232" t="s">
        <v>18813</v>
      </c>
      <c r="B3232" t="s">
        <v>662</v>
      </c>
      <c r="C3232" t="s">
        <v>651</v>
      </c>
      <c r="D3232" t="s">
        <v>648</v>
      </c>
      <c r="E3232" t="s">
        <v>649</v>
      </c>
      <c r="F3232" t="s">
        <v>598</v>
      </c>
      <c r="G3232" t="s">
        <v>599</v>
      </c>
      <c r="H3232" t="s">
        <v>600</v>
      </c>
      <c r="I3232" t="s">
        <v>601</v>
      </c>
      <c r="J3232">
        <v>1.83E-2</v>
      </c>
      <c r="K3232">
        <v>1.89E-2</v>
      </c>
      <c r="L3232">
        <v>1.9199999999999998E-2</v>
      </c>
      <c r="M3232">
        <v>0.02</v>
      </c>
      <c r="N3232">
        <v>2.0799999999999999E-2</v>
      </c>
      <c r="O3232">
        <v>2.1499999999999998E-2</v>
      </c>
      <c r="P3232">
        <v>2.2499999999999999E-2</v>
      </c>
      <c r="Q3232">
        <v>2.35E-2</v>
      </c>
      <c r="R3232">
        <v>2.3900000000000001E-2</v>
      </c>
      <c r="S3232">
        <v>2.4299999999999999E-2</v>
      </c>
      <c r="T3232">
        <v>2.47E-2</v>
      </c>
      <c r="U3232">
        <v>2.5000000000000001E-2</v>
      </c>
      <c r="V3232">
        <v>2.52E-2</v>
      </c>
      <c r="W3232">
        <v>2.5499999999999998E-2</v>
      </c>
      <c r="X3232">
        <v>2.58E-2</v>
      </c>
      <c r="Y3232">
        <v>2.6100000000000002E-2</v>
      </c>
    </row>
    <row r="3233" spans="1:25" hidden="1">
      <c r="A3233" t="s">
        <v>18813</v>
      </c>
      <c r="B3233" t="s">
        <v>663</v>
      </c>
      <c r="C3233" t="s">
        <v>664</v>
      </c>
      <c r="D3233" t="s">
        <v>596</v>
      </c>
      <c r="E3233" t="s">
        <v>597</v>
      </c>
      <c r="F3233" t="s">
        <v>598</v>
      </c>
      <c r="G3233" t="s">
        <v>599</v>
      </c>
      <c r="H3233" t="s">
        <v>600</v>
      </c>
      <c r="I3233" t="s">
        <v>601</v>
      </c>
      <c r="J3233">
        <v>5.4000000000000003E-3</v>
      </c>
      <c r="K3233">
        <v>5.4999999999999997E-3</v>
      </c>
      <c r="L3233">
        <v>5.4999999999999997E-3</v>
      </c>
      <c r="M3233">
        <v>5.4999999999999997E-3</v>
      </c>
      <c r="N3233">
        <v>5.5999999999999999E-3</v>
      </c>
      <c r="O3233">
        <v>5.5999999999999999E-3</v>
      </c>
      <c r="P3233">
        <v>5.7000000000000002E-3</v>
      </c>
      <c r="Q3233">
        <v>5.7000000000000002E-3</v>
      </c>
      <c r="R3233">
        <v>5.7000000000000002E-3</v>
      </c>
      <c r="S3233">
        <v>5.7000000000000002E-3</v>
      </c>
      <c r="T3233">
        <v>5.7000000000000002E-3</v>
      </c>
      <c r="U3233">
        <v>5.7000000000000002E-3</v>
      </c>
      <c r="V3233">
        <v>5.7000000000000002E-3</v>
      </c>
      <c r="W3233">
        <v>5.7000000000000002E-3</v>
      </c>
      <c r="X3233">
        <v>5.7000000000000002E-3</v>
      </c>
      <c r="Y3233">
        <v>5.7999999999999996E-3</v>
      </c>
    </row>
    <row r="3234" spans="1:25" hidden="1">
      <c r="A3234" t="s">
        <v>18813</v>
      </c>
      <c r="B3234" t="s">
        <v>666</v>
      </c>
      <c r="C3234" t="s">
        <v>664</v>
      </c>
      <c r="D3234" t="s">
        <v>596</v>
      </c>
      <c r="E3234" t="s">
        <v>605</v>
      </c>
      <c r="F3234" t="s">
        <v>598</v>
      </c>
      <c r="G3234" t="s">
        <v>599</v>
      </c>
      <c r="H3234" t="s">
        <v>600</v>
      </c>
      <c r="I3234" t="s">
        <v>601</v>
      </c>
      <c r="J3234">
        <v>7.4000000000000003E-3</v>
      </c>
      <c r="K3234">
        <v>7.4000000000000003E-3</v>
      </c>
      <c r="L3234">
        <v>7.4999999999999997E-3</v>
      </c>
      <c r="M3234">
        <v>7.4999999999999997E-3</v>
      </c>
      <c r="N3234">
        <v>7.6E-3</v>
      </c>
      <c r="O3234">
        <v>7.6E-3</v>
      </c>
      <c r="P3234">
        <v>7.7000000000000002E-3</v>
      </c>
      <c r="Q3234">
        <v>7.7999999999999996E-3</v>
      </c>
      <c r="R3234">
        <v>7.7999999999999996E-3</v>
      </c>
      <c r="S3234">
        <v>7.7999999999999996E-3</v>
      </c>
      <c r="T3234">
        <v>7.7999999999999996E-3</v>
      </c>
      <c r="U3234">
        <v>7.7999999999999996E-3</v>
      </c>
      <c r="V3234">
        <v>7.7999999999999996E-3</v>
      </c>
      <c r="W3234">
        <v>7.7999999999999996E-3</v>
      </c>
      <c r="X3234">
        <v>7.7999999999999996E-3</v>
      </c>
      <c r="Y3234">
        <v>7.7999999999999996E-3</v>
      </c>
    </row>
    <row r="3235" spans="1:25" hidden="1">
      <c r="A3235" t="s">
        <v>18813</v>
      </c>
      <c r="B3235" t="s">
        <v>667</v>
      </c>
      <c r="C3235" t="s">
        <v>664</v>
      </c>
      <c r="D3235" t="s">
        <v>596</v>
      </c>
      <c r="E3235" t="s">
        <v>619</v>
      </c>
      <c r="F3235" t="s">
        <v>598</v>
      </c>
      <c r="G3235" t="s">
        <v>599</v>
      </c>
      <c r="H3235" t="s">
        <v>600</v>
      </c>
      <c r="I3235" t="s">
        <v>601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 hidden="1">
      <c r="A3236" t="s">
        <v>18813</v>
      </c>
      <c r="B3236" t="s">
        <v>670</v>
      </c>
      <c r="C3236" t="s">
        <v>664</v>
      </c>
      <c r="D3236" t="s">
        <v>671</v>
      </c>
      <c r="E3236" t="s">
        <v>672</v>
      </c>
      <c r="F3236" t="s">
        <v>598</v>
      </c>
      <c r="G3236" t="s">
        <v>599</v>
      </c>
      <c r="H3236" t="s">
        <v>600</v>
      </c>
      <c r="I3236" t="s">
        <v>601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hidden="1">
      <c r="A3237" t="s">
        <v>18813</v>
      </c>
      <c r="B3237" t="s">
        <v>673</v>
      </c>
      <c r="C3237" t="s">
        <v>664</v>
      </c>
      <c r="D3237" t="s">
        <v>671</v>
      </c>
      <c r="E3237" t="s">
        <v>597</v>
      </c>
      <c r="F3237" t="s">
        <v>598</v>
      </c>
      <c r="G3237" t="s">
        <v>599</v>
      </c>
      <c r="H3237" t="s">
        <v>600</v>
      </c>
      <c r="I3237" t="s">
        <v>601</v>
      </c>
      <c r="J3237">
        <v>2.3E-3</v>
      </c>
      <c r="K3237">
        <v>2.3999999999999998E-3</v>
      </c>
      <c r="L3237">
        <v>2.3999999999999998E-3</v>
      </c>
      <c r="M3237">
        <v>2.3999999999999998E-3</v>
      </c>
      <c r="N3237">
        <v>2.5000000000000001E-3</v>
      </c>
      <c r="O3237">
        <v>2.5000000000000001E-3</v>
      </c>
      <c r="P3237">
        <v>2.5000000000000001E-3</v>
      </c>
      <c r="Q3237">
        <v>2.5000000000000001E-3</v>
      </c>
      <c r="R3237">
        <v>2.5000000000000001E-3</v>
      </c>
      <c r="S3237">
        <v>2.5000000000000001E-3</v>
      </c>
      <c r="T3237">
        <v>2.5000000000000001E-3</v>
      </c>
      <c r="U3237">
        <v>2.5000000000000001E-3</v>
      </c>
      <c r="V3237">
        <v>2.5000000000000001E-3</v>
      </c>
      <c r="W3237">
        <v>2.5000000000000001E-3</v>
      </c>
      <c r="X3237">
        <v>2.5000000000000001E-3</v>
      </c>
      <c r="Y3237">
        <v>2.5000000000000001E-3</v>
      </c>
    </row>
    <row r="3238" spans="1:25" hidden="1">
      <c r="A3238" t="s">
        <v>18813</v>
      </c>
      <c r="B3238" t="s">
        <v>677</v>
      </c>
      <c r="C3238" t="s">
        <v>664</v>
      </c>
      <c r="D3238" t="s">
        <v>671</v>
      </c>
      <c r="E3238" t="s">
        <v>678</v>
      </c>
      <c r="F3238" t="s">
        <v>598</v>
      </c>
      <c r="G3238" t="s">
        <v>599</v>
      </c>
      <c r="H3238" t="s">
        <v>600</v>
      </c>
      <c r="I3238" t="s">
        <v>601</v>
      </c>
      <c r="J3238">
        <v>4.7000000000000002E-3</v>
      </c>
      <c r="K3238">
        <v>4.8999999999999998E-3</v>
      </c>
      <c r="L3238">
        <v>4.7999999999999996E-3</v>
      </c>
      <c r="M3238">
        <v>4.8999999999999998E-3</v>
      </c>
      <c r="N3238">
        <v>4.7999999999999996E-3</v>
      </c>
      <c r="O3238">
        <v>4.7999999999999996E-3</v>
      </c>
      <c r="P3238">
        <v>4.8999999999999998E-3</v>
      </c>
      <c r="Q3238">
        <v>5.0000000000000001E-3</v>
      </c>
      <c r="R3238">
        <v>5.0000000000000001E-3</v>
      </c>
      <c r="S3238">
        <v>5.0000000000000001E-3</v>
      </c>
      <c r="T3238">
        <v>5.0000000000000001E-3</v>
      </c>
      <c r="U3238">
        <v>5.0000000000000001E-3</v>
      </c>
      <c r="V3238">
        <v>5.0000000000000001E-3</v>
      </c>
      <c r="W3238">
        <v>5.0000000000000001E-3</v>
      </c>
      <c r="X3238">
        <v>5.1000000000000004E-3</v>
      </c>
      <c r="Y3238">
        <v>5.1000000000000004E-3</v>
      </c>
    </row>
    <row r="3239" spans="1:25" hidden="1">
      <c r="A3239" t="s">
        <v>18813</v>
      </c>
      <c r="B3239" t="s">
        <v>683</v>
      </c>
      <c r="C3239" t="s">
        <v>664</v>
      </c>
      <c r="D3239" t="s">
        <v>621</v>
      </c>
      <c r="E3239" t="s">
        <v>672</v>
      </c>
      <c r="F3239" t="s">
        <v>598</v>
      </c>
      <c r="G3239" t="s">
        <v>599</v>
      </c>
      <c r="H3239" t="s">
        <v>600</v>
      </c>
      <c r="I3239" t="s">
        <v>601</v>
      </c>
      <c r="J3239">
        <v>7.7000000000000002E-3</v>
      </c>
      <c r="K3239">
        <v>7.7000000000000002E-3</v>
      </c>
      <c r="L3239">
        <v>7.7000000000000002E-3</v>
      </c>
      <c r="M3239">
        <v>7.7999999999999996E-3</v>
      </c>
      <c r="N3239">
        <v>7.7999999999999996E-3</v>
      </c>
      <c r="O3239">
        <v>7.7999999999999996E-3</v>
      </c>
      <c r="P3239">
        <v>7.9000000000000008E-3</v>
      </c>
      <c r="Q3239">
        <v>8.0000000000000002E-3</v>
      </c>
      <c r="R3239">
        <v>8.0000000000000002E-3</v>
      </c>
      <c r="S3239">
        <v>8.0000000000000002E-3</v>
      </c>
      <c r="T3239">
        <v>8.0000000000000002E-3</v>
      </c>
      <c r="U3239">
        <v>8.0000000000000002E-3</v>
      </c>
      <c r="V3239">
        <v>8.0000000000000002E-3</v>
      </c>
      <c r="W3239">
        <v>8.0000000000000002E-3</v>
      </c>
      <c r="X3239">
        <v>8.0000000000000002E-3</v>
      </c>
      <c r="Y3239">
        <v>8.0000000000000002E-3</v>
      </c>
    </row>
    <row r="3240" spans="1:25" hidden="1">
      <c r="A3240" t="s">
        <v>18813</v>
      </c>
      <c r="B3240" t="s">
        <v>684</v>
      </c>
      <c r="C3240" t="s">
        <v>664</v>
      </c>
      <c r="D3240" t="s">
        <v>621</v>
      </c>
      <c r="E3240" t="s">
        <v>597</v>
      </c>
      <c r="F3240" t="s">
        <v>598</v>
      </c>
      <c r="G3240" t="s">
        <v>599</v>
      </c>
      <c r="H3240" t="s">
        <v>600</v>
      </c>
      <c r="I3240" t="s">
        <v>601</v>
      </c>
      <c r="J3240">
        <v>7.6E-3</v>
      </c>
      <c r="K3240">
        <v>7.6E-3</v>
      </c>
      <c r="L3240">
        <v>7.6E-3</v>
      </c>
      <c r="M3240">
        <v>7.7000000000000002E-3</v>
      </c>
      <c r="N3240">
        <v>7.7000000000000002E-3</v>
      </c>
      <c r="O3240">
        <v>7.7999999999999996E-3</v>
      </c>
      <c r="P3240">
        <v>7.9000000000000008E-3</v>
      </c>
      <c r="Q3240">
        <v>7.9000000000000008E-3</v>
      </c>
      <c r="R3240">
        <v>7.9000000000000008E-3</v>
      </c>
      <c r="S3240">
        <v>7.9000000000000008E-3</v>
      </c>
      <c r="T3240">
        <v>7.9000000000000008E-3</v>
      </c>
      <c r="U3240">
        <v>7.9000000000000008E-3</v>
      </c>
      <c r="V3240">
        <v>7.9000000000000008E-3</v>
      </c>
      <c r="W3240">
        <v>8.0000000000000002E-3</v>
      </c>
      <c r="X3240">
        <v>8.0000000000000002E-3</v>
      </c>
      <c r="Y3240">
        <v>8.0000000000000002E-3</v>
      </c>
    </row>
    <row r="3241" spans="1:25" hidden="1">
      <c r="A3241" t="s">
        <v>18813</v>
      </c>
      <c r="B3241" t="s">
        <v>685</v>
      </c>
      <c r="C3241" t="s">
        <v>664</v>
      </c>
      <c r="D3241" t="s">
        <v>621</v>
      </c>
      <c r="E3241" t="s">
        <v>603</v>
      </c>
      <c r="F3241" t="s">
        <v>598</v>
      </c>
      <c r="G3241" t="s">
        <v>599</v>
      </c>
      <c r="H3241" t="s">
        <v>600</v>
      </c>
      <c r="I3241" t="s">
        <v>601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hidden="1">
      <c r="A3242" t="s">
        <v>18813</v>
      </c>
      <c r="B3242" t="s">
        <v>689</v>
      </c>
      <c r="C3242" t="s">
        <v>664</v>
      </c>
      <c r="D3242" t="s">
        <v>621</v>
      </c>
      <c r="E3242" t="s">
        <v>626</v>
      </c>
      <c r="F3242" t="s">
        <v>598</v>
      </c>
      <c r="G3242" t="s">
        <v>599</v>
      </c>
      <c r="H3242" t="s">
        <v>600</v>
      </c>
      <c r="I3242" t="s">
        <v>601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25" hidden="1">
      <c r="A3243" t="s">
        <v>18813</v>
      </c>
      <c r="B3243" t="s">
        <v>690</v>
      </c>
      <c r="C3243" t="s">
        <v>664</v>
      </c>
      <c r="D3243" t="s">
        <v>621</v>
      </c>
      <c r="E3243" t="s">
        <v>628</v>
      </c>
      <c r="F3243" t="s">
        <v>598</v>
      </c>
      <c r="G3243" t="s">
        <v>599</v>
      </c>
      <c r="H3243" t="s">
        <v>600</v>
      </c>
      <c r="I3243" t="s">
        <v>601</v>
      </c>
      <c r="J3243">
        <v>9.2999999999999992E-3</v>
      </c>
      <c r="K3243">
        <v>9.4000000000000004E-3</v>
      </c>
      <c r="L3243">
        <v>9.4000000000000004E-3</v>
      </c>
      <c r="M3243">
        <v>9.4999999999999998E-3</v>
      </c>
      <c r="N3243">
        <v>9.5999999999999992E-3</v>
      </c>
      <c r="O3243">
        <v>9.5999999999999992E-3</v>
      </c>
      <c r="P3243">
        <v>9.5999999999999992E-3</v>
      </c>
      <c r="Q3243">
        <v>9.7000000000000003E-3</v>
      </c>
      <c r="R3243">
        <v>9.7000000000000003E-3</v>
      </c>
      <c r="S3243">
        <v>9.7000000000000003E-3</v>
      </c>
      <c r="T3243">
        <v>9.7000000000000003E-3</v>
      </c>
      <c r="U3243">
        <v>9.7000000000000003E-3</v>
      </c>
      <c r="V3243">
        <v>9.7999999999999997E-3</v>
      </c>
      <c r="W3243">
        <v>9.7999999999999997E-3</v>
      </c>
      <c r="X3243">
        <v>9.9000000000000008E-3</v>
      </c>
      <c r="Y3243">
        <v>9.9000000000000008E-3</v>
      </c>
    </row>
    <row r="3244" spans="1:25" hidden="1">
      <c r="A3244" t="s">
        <v>18813</v>
      </c>
      <c r="B3244" t="s">
        <v>693</v>
      </c>
      <c r="C3244" t="s">
        <v>664</v>
      </c>
      <c r="D3244" t="s">
        <v>621</v>
      </c>
      <c r="E3244" t="s">
        <v>678</v>
      </c>
      <c r="F3244" t="s">
        <v>598</v>
      </c>
      <c r="G3244" t="s">
        <v>599</v>
      </c>
      <c r="H3244" t="s">
        <v>600</v>
      </c>
      <c r="I3244" t="s">
        <v>601</v>
      </c>
      <c r="J3244">
        <v>4.0000000000000002E-4</v>
      </c>
      <c r="K3244">
        <v>4.0000000000000002E-4</v>
      </c>
      <c r="L3244">
        <v>4.0000000000000002E-4</v>
      </c>
      <c r="M3244">
        <v>4.0000000000000002E-4</v>
      </c>
      <c r="N3244">
        <v>4.0000000000000002E-4</v>
      </c>
      <c r="O3244">
        <v>4.0000000000000002E-4</v>
      </c>
      <c r="P3244">
        <v>4.0000000000000002E-4</v>
      </c>
      <c r="Q3244">
        <v>4.0000000000000002E-4</v>
      </c>
      <c r="R3244">
        <v>4.0000000000000002E-4</v>
      </c>
      <c r="S3244">
        <v>4.0000000000000002E-4</v>
      </c>
      <c r="T3244">
        <v>4.0000000000000002E-4</v>
      </c>
      <c r="U3244">
        <v>4.0000000000000002E-4</v>
      </c>
      <c r="V3244">
        <v>4.0000000000000002E-4</v>
      </c>
      <c r="W3244">
        <v>4.0000000000000002E-4</v>
      </c>
      <c r="X3244">
        <v>4.0000000000000002E-4</v>
      </c>
      <c r="Y3244">
        <v>4.0000000000000002E-4</v>
      </c>
    </row>
    <row r="3245" spans="1:25" hidden="1">
      <c r="A3245" t="s">
        <v>18813</v>
      </c>
      <c r="B3245" t="s">
        <v>696</v>
      </c>
      <c r="C3245" t="s">
        <v>664</v>
      </c>
      <c r="D3245" t="s">
        <v>632</v>
      </c>
      <c r="E3245" t="s">
        <v>597</v>
      </c>
      <c r="F3245" t="s">
        <v>598</v>
      </c>
      <c r="G3245" t="s">
        <v>599</v>
      </c>
      <c r="H3245" t="s">
        <v>600</v>
      </c>
      <c r="I3245" t="s">
        <v>601</v>
      </c>
      <c r="J3245">
        <v>5.0700000000000002E-2</v>
      </c>
      <c r="K3245">
        <v>5.0900000000000001E-2</v>
      </c>
      <c r="L3245">
        <v>5.1299999999999998E-2</v>
      </c>
      <c r="M3245">
        <v>5.1700000000000003E-2</v>
      </c>
      <c r="N3245">
        <v>5.1999999999999998E-2</v>
      </c>
      <c r="O3245">
        <v>5.2400000000000002E-2</v>
      </c>
      <c r="P3245">
        <v>5.2900000000000003E-2</v>
      </c>
      <c r="Q3245">
        <v>5.33E-2</v>
      </c>
      <c r="R3245">
        <v>5.3499999999999999E-2</v>
      </c>
      <c r="S3245">
        <v>5.3400000000000003E-2</v>
      </c>
      <c r="T3245">
        <v>5.33E-2</v>
      </c>
      <c r="U3245">
        <v>5.33E-2</v>
      </c>
      <c r="V3245">
        <v>5.3400000000000003E-2</v>
      </c>
      <c r="W3245">
        <v>5.3499999999999999E-2</v>
      </c>
      <c r="X3245">
        <v>5.3699999999999998E-2</v>
      </c>
      <c r="Y3245">
        <v>5.3800000000000001E-2</v>
      </c>
    </row>
    <row r="3246" spans="1:25" hidden="1">
      <c r="A3246" t="s">
        <v>18813</v>
      </c>
      <c r="B3246" t="s">
        <v>697</v>
      </c>
      <c r="C3246" t="s">
        <v>664</v>
      </c>
      <c r="D3246" t="s">
        <v>632</v>
      </c>
      <c r="E3246" t="s">
        <v>628</v>
      </c>
      <c r="F3246" t="s">
        <v>598</v>
      </c>
      <c r="G3246" t="s">
        <v>599</v>
      </c>
      <c r="H3246" t="s">
        <v>600</v>
      </c>
      <c r="I3246" t="s">
        <v>601</v>
      </c>
      <c r="J3246">
        <v>5.1000000000000004E-3</v>
      </c>
      <c r="K3246">
        <v>5.1000000000000004E-3</v>
      </c>
      <c r="L3246">
        <v>5.1000000000000004E-3</v>
      </c>
      <c r="M3246">
        <v>5.1999999999999998E-3</v>
      </c>
      <c r="N3246">
        <v>5.1999999999999998E-3</v>
      </c>
      <c r="O3246">
        <v>5.1999999999999998E-3</v>
      </c>
      <c r="P3246">
        <v>5.1999999999999998E-3</v>
      </c>
      <c r="Q3246">
        <v>5.3E-3</v>
      </c>
      <c r="R3246">
        <v>5.3E-3</v>
      </c>
      <c r="S3246">
        <v>5.3E-3</v>
      </c>
      <c r="T3246">
        <v>5.3E-3</v>
      </c>
      <c r="U3246">
        <v>5.3E-3</v>
      </c>
      <c r="V3246">
        <v>5.3E-3</v>
      </c>
      <c r="W3246">
        <v>5.3E-3</v>
      </c>
      <c r="X3246">
        <v>5.3E-3</v>
      </c>
      <c r="Y3246">
        <v>5.3E-3</v>
      </c>
    </row>
    <row r="3247" spans="1:25" hidden="1">
      <c r="A3247" t="s">
        <v>18813</v>
      </c>
      <c r="B3247" t="s">
        <v>700</v>
      </c>
      <c r="C3247" t="s">
        <v>664</v>
      </c>
      <c r="D3247" t="s">
        <v>701</v>
      </c>
      <c r="E3247" t="s">
        <v>672</v>
      </c>
      <c r="F3247" t="s">
        <v>598</v>
      </c>
      <c r="G3247" t="s">
        <v>599</v>
      </c>
      <c r="H3247" t="s">
        <v>600</v>
      </c>
      <c r="I3247" t="s">
        <v>601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hidden="1">
      <c r="A3248" t="s">
        <v>18813</v>
      </c>
      <c r="B3248" t="s">
        <v>702</v>
      </c>
      <c r="C3248" t="s">
        <v>664</v>
      </c>
      <c r="D3248" t="s">
        <v>701</v>
      </c>
      <c r="E3248" t="s">
        <v>597</v>
      </c>
      <c r="F3248" t="s">
        <v>598</v>
      </c>
      <c r="G3248" t="s">
        <v>599</v>
      </c>
      <c r="H3248" t="s">
        <v>600</v>
      </c>
      <c r="I3248" t="s">
        <v>601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</row>
    <row r="3249" spans="1:25" hidden="1">
      <c r="A3249" t="s">
        <v>18813</v>
      </c>
      <c r="B3249" t="s">
        <v>703</v>
      </c>
      <c r="C3249" t="s">
        <v>664</v>
      </c>
      <c r="D3249" t="s">
        <v>704</v>
      </c>
      <c r="E3249" t="s">
        <v>672</v>
      </c>
      <c r="F3249" t="s">
        <v>598</v>
      </c>
      <c r="G3249" t="s">
        <v>599</v>
      </c>
      <c r="H3249" t="s">
        <v>600</v>
      </c>
      <c r="I3249" t="s">
        <v>601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</row>
    <row r="3250" spans="1:25" hidden="1">
      <c r="A3250" t="s">
        <v>18813</v>
      </c>
      <c r="B3250" t="s">
        <v>705</v>
      </c>
      <c r="C3250" t="s">
        <v>664</v>
      </c>
      <c r="D3250" t="s">
        <v>704</v>
      </c>
      <c r="E3250" t="s">
        <v>597</v>
      </c>
      <c r="F3250" t="s">
        <v>598</v>
      </c>
      <c r="G3250" t="s">
        <v>599</v>
      </c>
      <c r="H3250" t="s">
        <v>600</v>
      </c>
      <c r="I3250" t="s">
        <v>601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hidden="1">
      <c r="A3251" t="s">
        <v>18813</v>
      </c>
      <c r="B3251" t="s">
        <v>709</v>
      </c>
      <c r="C3251" t="s">
        <v>710</v>
      </c>
      <c r="D3251" t="s">
        <v>596</v>
      </c>
      <c r="E3251" t="s">
        <v>597</v>
      </c>
      <c r="F3251" t="s">
        <v>598</v>
      </c>
      <c r="G3251" t="s">
        <v>599</v>
      </c>
      <c r="H3251" t="s">
        <v>600</v>
      </c>
      <c r="I3251" t="s">
        <v>601</v>
      </c>
      <c r="J3251">
        <v>6.3E-3</v>
      </c>
      <c r="K3251">
        <v>6.3E-3</v>
      </c>
      <c r="L3251">
        <v>6.3E-3</v>
      </c>
      <c r="M3251">
        <v>6.3E-3</v>
      </c>
      <c r="N3251">
        <v>6.3E-3</v>
      </c>
      <c r="O3251">
        <v>6.3E-3</v>
      </c>
      <c r="P3251">
        <v>6.3E-3</v>
      </c>
      <c r="Q3251">
        <v>6.3E-3</v>
      </c>
      <c r="R3251">
        <v>6.3E-3</v>
      </c>
      <c r="S3251">
        <v>6.3E-3</v>
      </c>
      <c r="T3251">
        <v>6.3E-3</v>
      </c>
      <c r="U3251">
        <v>6.3E-3</v>
      </c>
      <c r="V3251">
        <v>6.3E-3</v>
      </c>
      <c r="W3251">
        <v>6.3E-3</v>
      </c>
      <c r="X3251">
        <v>6.3E-3</v>
      </c>
      <c r="Y3251">
        <v>6.3E-3</v>
      </c>
    </row>
    <row r="3252" spans="1:25" hidden="1">
      <c r="A3252" t="s">
        <v>18813</v>
      </c>
      <c r="B3252" t="s">
        <v>711</v>
      </c>
      <c r="C3252" t="s">
        <v>710</v>
      </c>
      <c r="D3252" t="s">
        <v>596</v>
      </c>
      <c r="E3252" t="s">
        <v>605</v>
      </c>
      <c r="F3252" t="s">
        <v>598</v>
      </c>
      <c r="G3252" t="s">
        <v>599</v>
      </c>
      <c r="H3252" t="s">
        <v>600</v>
      </c>
      <c r="I3252" t="s">
        <v>601</v>
      </c>
      <c r="J3252">
        <v>0.18920000000000001</v>
      </c>
      <c r="K3252">
        <v>0.18920000000000001</v>
      </c>
      <c r="L3252">
        <v>0.18920000000000001</v>
      </c>
      <c r="M3252">
        <v>0.18920000000000001</v>
      </c>
      <c r="N3252">
        <v>0.18920000000000001</v>
      </c>
      <c r="O3252">
        <v>0.18920000000000001</v>
      </c>
      <c r="P3252">
        <v>0.18920000000000001</v>
      </c>
      <c r="Q3252">
        <v>0.18920000000000001</v>
      </c>
      <c r="R3252">
        <v>0.18920000000000001</v>
      </c>
      <c r="S3252">
        <v>0.18920000000000001</v>
      </c>
      <c r="T3252">
        <v>0.18920000000000001</v>
      </c>
      <c r="U3252">
        <v>0.18920000000000001</v>
      </c>
      <c r="V3252">
        <v>0.18920000000000001</v>
      </c>
      <c r="W3252">
        <v>0.18920000000000001</v>
      </c>
      <c r="X3252">
        <v>0.18920000000000001</v>
      </c>
      <c r="Y3252">
        <v>0.18920000000000001</v>
      </c>
    </row>
    <row r="3253" spans="1:25" hidden="1">
      <c r="A3253" t="s">
        <v>18813</v>
      </c>
      <c r="B3253" t="s">
        <v>715</v>
      </c>
      <c r="C3253" t="s">
        <v>710</v>
      </c>
      <c r="D3253" t="s">
        <v>671</v>
      </c>
      <c r="E3253" t="s">
        <v>597</v>
      </c>
      <c r="F3253" t="s">
        <v>598</v>
      </c>
      <c r="G3253" t="s">
        <v>599</v>
      </c>
      <c r="H3253" t="s">
        <v>600</v>
      </c>
      <c r="I3253" t="s">
        <v>601</v>
      </c>
      <c r="J3253">
        <v>0.20599999999999999</v>
      </c>
      <c r="K3253">
        <v>0.20599999999999999</v>
      </c>
      <c r="L3253">
        <v>0.20599999999999999</v>
      </c>
      <c r="M3253">
        <v>0.20599999999999999</v>
      </c>
      <c r="N3253">
        <v>0.20599999999999999</v>
      </c>
      <c r="O3253">
        <v>0.20599999999999999</v>
      </c>
      <c r="P3253">
        <v>0.20599999999999999</v>
      </c>
      <c r="Q3253">
        <v>0.20599999999999999</v>
      </c>
      <c r="R3253">
        <v>0.20599999999999999</v>
      </c>
      <c r="S3253">
        <v>0.20599999999999999</v>
      </c>
      <c r="T3253">
        <v>0.20599999999999999</v>
      </c>
      <c r="U3253">
        <v>0.20599999999999999</v>
      </c>
      <c r="V3253">
        <v>0.20599999999999999</v>
      </c>
      <c r="W3253">
        <v>0.20599999999999999</v>
      </c>
      <c r="X3253">
        <v>0.20599999999999999</v>
      </c>
      <c r="Y3253">
        <v>0.20599999999999999</v>
      </c>
    </row>
    <row r="3254" spans="1:25" hidden="1">
      <c r="A3254" t="s">
        <v>18813</v>
      </c>
      <c r="B3254" t="s">
        <v>716</v>
      </c>
      <c r="C3254" t="s">
        <v>710</v>
      </c>
      <c r="D3254" t="s">
        <v>671</v>
      </c>
      <c r="E3254" t="s">
        <v>605</v>
      </c>
      <c r="F3254" t="s">
        <v>598</v>
      </c>
      <c r="G3254" t="s">
        <v>599</v>
      </c>
      <c r="H3254" t="s">
        <v>600</v>
      </c>
      <c r="I3254" t="s">
        <v>601</v>
      </c>
      <c r="J3254">
        <v>0.74239999999999995</v>
      </c>
      <c r="K3254">
        <v>0.74239999999999995</v>
      </c>
      <c r="L3254">
        <v>0.74239999999999995</v>
      </c>
      <c r="M3254">
        <v>0.74239999999999995</v>
      </c>
      <c r="N3254">
        <v>0.74239999999999995</v>
      </c>
      <c r="O3254">
        <v>0.74239999999999995</v>
      </c>
      <c r="P3254">
        <v>0.74239999999999995</v>
      </c>
      <c r="Q3254">
        <v>0.74239999999999995</v>
      </c>
      <c r="R3254">
        <v>0.74239999999999995</v>
      </c>
      <c r="S3254">
        <v>0.74239999999999995</v>
      </c>
      <c r="T3254">
        <v>0.74239999999999995</v>
      </c>
      <c r="U3254">
        <v>0.74239999999999995</v>
      </c>
      <c r="V3254">
        <v>0.74239999999999995</v>
      </c>
      <c r="W3254">
        <v>0.74239999999999995</v>
      </c>
      <c r="X3254">
        <v>0.74239999999999995</v>
      </c>
      <c r="Y3254">
        <v>0.74239999999999995</v>
      </c>
    </row>
    <row r="3255" spans="1:25" hidden="1">
      <c r="A3255" t="s">
        <v>18813</v>
      </c>
      <c r="B3255" t="s">
        <v>717</v>
      </c>
      <c r="C3255" t="s">
        <v>710</v>
      </c>
      <c r="D3255" t="s">
        <v>671</v>
      </c>
      <c r="E3255" t="s">
        <v>688</v>
      </c>
      <c r="F3255" t="s">
        <v>598</v>
      </c>
      <c r="G3255" t="s">
        <v>599</v>
      </c>
      <c r="H3255" t="s">
        <v>600</v>
      </c>
      <c r="I3255" t="s">
        <v>601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</row>
    <row r="3256" spans="1:25" hidden="1">
      <c r="A3256" t="s">
        <v>18813</v>
      </c>
      <c r="B3256" t="s">
        <v>718</v>
      </c>
      <c r="C3256" t="s">
        <v>710</v>
      </c>
      <c r="D3256" t="s">
        <v>621</v>
      </c>
      <c r="E3256" t="s">
        <v>597</v>
      </c>
      <c r="F3256" t="s">
        <v>598</v>
      </c>
      <c r="G3256" t="s">
        <v>599</v>
      </c>
      <c r="H3256" t="s">
        <v>600</v>
      </c>
      <c r="I3256" t="s">
        <v>601</v>
      </c>
      <c r="J3256">
        <v>4.0000000000000002E-4</v>
      </c>
      <c r="K3256">
        <v>4.0000000000000002E-4</v>
      </c>
      <c r="L3256">
        <v>4.0000000000000002E-4</v>
      </c>
      <c r="M3256">
        <v>4.0000000000000002E-4</v>
      </c>
      <c r="N3256">
        <v>4.0000000000000002E-4</v>
      </c>
      <c r="O3256">
        <v>4.0000000000000002E-4</v>
      </c>
      <c r="P3256">
        <v>4.0000000000000002E-4</v>
      </c>
      <c r="Q3256">
        <v>4.0000000000000002E-4</v>
      </c>
      <c r="R3256">
        <v>4.0000000000000002E-4</v>
      </c>
      <c r="S3256">
        <v>4.0000000000000002E-4</v>
      </c>
      <c r="T3256">
        <v>4.0000000000000002E-4</v>
      </c>
      <c r="U3256">
        <v>4.0000000000000002E-4</v>
      </c>
      <c r="V3256">
        <v>4.0000000000000002E-4</v>
      </c>
      <c r="W3256">
        <v>4.0000000000000002E-4</v>
      </c>
      <c r="X3256">
        <v>4.0000000000000002E-4</v>
      </c>
      <c r="Y3256">
        <v>4.0000000000000002E-4</v>
      </c>
    </row>
    <row r="3257" spans="1:25" hidden="1">
      <c r="A3257" t="s">
        <v>18813</v>
      </c>
      <c r="B3257" t="s">
        <v>719</v>
      </c>
      <c r="C3257" t="s">
        <v>710</v>
      </c>
      <c r="D3257" t="s">
        <v>621</v>
      </c>
      <c r="E3257" t="s">
        <v>626</v>
      </c>
      <c r="F3257" t="s">
        <v>598</v>
      </c>
      <c r="G3257" t="s">
        <v>599</v>
      </c>
      <c r="H3257" t="s">
        <v>600</v>
      </c>
      <c r="I3257" t="s">
        <v>601</v>
      </c>
      <c r="J3257">
        <v>2.9999999999999997E-4</v>
      </c>
      <c r="K3257">
        <v>2.9999999999999997E-4</v>
      </c>
      <c r="L3257">
        <v>2.9999999999999997E-4</v>
      </c>
      <c r="M3257">
        <v>2.9999999999999997E-4</v>
      </c>
      <c r="N3257">
        <v>2.9999999999999997E-4</v>
      </c>
      <c r="O3257">
        <v>2.9999999999999997E-4</v>
      </c>
      <c r="P3257">
        <v>2.9999999999999997E-4</v>
      </c>
      <c r="Q3257">
        <v>2.9999999999999997E-4</v>
      </c>
      <c r="R3257">
        <v>2.9999999999999997E-4</v>
      </c>
      <c r="S3257">
        <v>2.9999999999999997E-4</v>
      </c>
      <c r="T3257">
        <v>2.9999999999999997E-4</v>
      </c>
      <c r="U3257">
        <v>2.9999999999999997E-4</v>
      </c>
      <c r="V3257">
        <v>2.9999999999999997E-4</v>
      </c>
      <c r="W3257">
        <v>2.9999999999999997E-4</v>
      </c>
      <c r="X3257">
        <v>2.9999999999999997E-4</v>
      </c>
      <c r="Y3257">
        <v>2.9999999999999997E-4</v>
      </c>
    </row>
    <row r="3258" spans="1:25" hidden="1">
      <c r="A3258" t="s">
        <v>18813</v>
      </c>
      <c r="B3258" t="s">
        <v>722</v>
      </c>
      <c r="C3258" t="s">
        <v>710</v>
      </c>
      <c r="D3258" t="s">
        <v>632</v>
      </c>
      <c r="E3258" t="s">
        <v>723</v>
      </c>
      <c r="F3258" t="s">
        <v>598</v>
      </c>
      <c r="G3258" t="s">
        <v>599</v>
      </c>
      <c r="H3258" t="s">
        <v>600</v>
      </c>
      <c r="I3258" t="s">
        <v>601</v>
      </c>
      <c r="J3258">
        <v>0.3422</v>
      </c>
      <c r="K3258">
        <v>0.3422</v>
      </c>
      <c r="L3258">
        <v>0.3422</v>
      </c>
      <c r="M3258">
        <v>0.3422</v>
      </c>
      <c r="N3258">
        <v>0.3422</v>
      </c>
      <c r="O3258">
        <v>0.3422</v>
      </c>
      <c r="P3258">
        <v>0.3422</v>
      </c>
      <c r="Q3258">
        <v>0.3422</v>
      </c>
      <c r="R3258">
        <v>0.3422</v>
      </c>
      <c r="S3258">
        <v>0.3422</v>
      </c>
      <c r="T3258">
        <v>0.3422</v>
      </c>
      <c r="U3258">
        <v>0.3422</v>
      </c>
      <c r="V3258">
        <v>0.3422</v>
      </c>
      <c r="W3258">
        <v>0.3422</v>
      </c>
      <c r="X3258">
        <v>0.3422</v>
      </c>
      <c r="Y3258">
        <v>0.3422</v>
      </c>
    </row>
    <row r="3259" spans="1:25" hidden="1">
      <c r="A3259" t="s">
        <v>18813</v>
      </c>
      <c r="B3259" t="s">
        <v>728</v>
      </c>
      <c r="C3259" t="s">
        <v>729</v>
      </c>
      <c r="D3259" t="s">
        <v>596</v>
      </c>
      <c r="E3259" t="s">
        <v>597</v>
      </c>
      <c r="F3259" t="s">
        <v>598</v>
      </c>
      <c r="G3259" t="s">
        <v>599</v>
      </c>
      <c r="H3259" t="s">
        <v>600</v>
      </c>
      <c r="I3259" t="s">
        <v>601</v>
      </c>
      <c r="J3259">
        <v>2.5000000000000001E-3</v>
      </c>
      <c r="K3259">
        <v>2.5000000000000001E-3</v>
      </c>
      <c r="L3259">
        <v>2.5999999999999999E-3</v>
      </c>
      <c r="M3259">
        <v>2.7000000000000001E-3</v>
      </c>
      <c r="N3259">
        <v>2.7000000000000001E-3</v>
      </c>
      <c r="O3259">
        <v>2.7000000000000001E-3</v>
      </c>
      <c r="P3259">
        <v>2.8E-3</v>
      </c>
      <c r="Q3259">
        <v>2.8E-3</v>
      </c>
      <c r="R3259">
        <v>2.8999999999999998E-3</v>
      </c>
      <c r="S3259">
        <v>2.8999999999999998E-3</v>
      </c>
      <c r="T3259">
        <v>3.0000000000000001E-3</v>
      </c>
      <c r="U3259">
        <v>3.0000000000000001E-3</v>
      </c>
      <c r="V3259">
        <v>3.0000000000000001E-3</v>
      </c>
      <c r="W3259">
        <v>3.0000000000000001E-3</v>
      </c>
      <c r="X3259">
        <v>3.0000000000000001E-3</v>
      </c>
      <c r="Y3259">
        <v>3.0000000000000001E-3</v>
      </c>
    </row>
    <row r="3260" spans="1:25" hidden="1">
      <c r="A3260" t="s">
        <v>18813</v>
      </c>
      <c r="B3260" t="s">
        <v>732</v>
      </c>
      <c r="C3260" t="s">
        <v>729</v>
      </c>
      <c r="D3260" t="s">
        <v>596</v>
      </c>
      <c r="E3260" t="s">
        <v>603</v>
      </c>
      <c r="F3260" t="s">
        <v>598</v>
      </c>
      <c r="G3260" t="s">
        <v>599</v>
      </c>
      <c r="H3260" t="s">
        <v>600</v>
      </c>
      <c r="I3260" t="s">
        <v>601</v>
      </c>
      <c r="J3260">
        <v>2.0000000000000001E-4</v>
      </c>
      <c r="K3260">
        <v>2.0000000000000001E-4</v>
      </c>
      <c r="L3260">
        <v>2.0000000000000001E-4</v>
      </c>
      <c r="M3260">
        <v>2.0000000000000001E-4</v>
      </c>
      <c r="N3260">
        <v>2.9999999999999997E-4</v>
      </c>
      <c r="O3260">
        <v>2.9999999999999997E-4</v>
      </c>
      <c r="P3260">
        <v>2.9999999999999997E-4</v>
      </c>
      <c r="Q3260">
        <v>2.9999999999999997E-4</v>
      </c>
      <c r="R3260">
        <v>2.9999999999999997E-4</v>
      </c>
      <c r="S3260">
        <v>2.9999999999999997E-4</v>
      </c>
      <c r="T3260">
        <v>2.9999999999999997E-4</v>
      </c>
      <c r="U3260">
        <v>2.9999999999999997E-4</v>
      </c>
      <c r="V3260">
        <v>2.9999999999999997E-4</v>
      </c>
      <c r="W3260">
        <v>2.9999999999999997E-4</v>
      </c>
      <c r="X3260">
        <v>2.9999999999999997E-4</v>
      </c>
      <c r="Y3260">
        <v>2.9999999999999997E-4</v>
      </c>
    </row>
    <row r="3261" spans="1:25" hidden="1">
      <c r="A3261" t="s">
        <v>18813</v>
      </c>
      <c r="B3261" t="s">
        <v>733</v>
      </c>
      <c r="C3261" t="s">
        <v>729</v>
      </c>
      <c r="D3261" t="s">
        <v>596</v>
      </c>
      <c r="E3261" t="s">
        <v>605</v>
      </c>
      <c r="F3261" t="s">
        <v>598</v>
      </c>
      <c r="G3261" t="s">
        <v>599</v>
      </c>
      <c r="H3261" t="s">
        <v>600</v>
      </c>
      <c r="I3261" t="s">
        <v>601</v>
      </c>
      <c r="J3261">
        <v>9.5999999999999992E-3</v>
      </c>
      <c r="K3261">
        <v>0.01</v>
      </c>
      <c r="L3261">
        <v>1.03E-2</v>
      </c>
      <c r="M3261">
        <v>1.0699999999999999E-2</v>
      </c>
      <c r="N3261">
        <v>1.11E-2</v>
      </c>
      <c r="O3261">
        <v>1.15E-2</v>
      </c>
      <c r="P3261">
        <v>1.1900000000000001E-2</v>
      </c>
      <c r="Q3261">
        <v>1.23E-2</v>
      </c>
      <c r="R3261">
        <v>1.2500000000000001E-2</v>
      </c>
      <c r="S3261">
        <v>1.26E-2</v>
      </c>
      <c r="T3261">
        <v>1.2800000000000001E-2</v>
      </c>
      <c r="U3261">
        <v>1.29E-2</v>
      </c>
      <c r="V3261">
        <v>1.3100000000000001E-2</v>
      </c>
      <c r="W3261">
        <v>1.3299999999999999E-2</v>
      </c>
      <c r="X3261">
        <v>1.34E-2</v>
      </c>
      <c r="Y3261">
        <v>1.3599999999999999E-2</v>
      </c>
    </row>
    <row r="3262" spans="1:25" hidden="1">
      <c r="A3262" t="s">
        <v>18813</v>
      </c>
      <c r="B3262" t="s">
        <v>740</v>
      </c>
      <c r="C3262" t="s">
        <v>729</v>
      </c>
      <c r="D3262" t="s">
        <v>596</v>
      </c>
      <c r="E3262" t="s">
        <v>619</v>
      </c>
      <c r="F3262" t="s">
        <v>598</v>
      </c>
      <c r="G3262" t="s">
        <v>599</v>
      </c>
      <c r="H3262" t="s">
        <v>600</v>
      </c>
      <c r="I3262" t="s">
        <v>601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</row>
    <row r="3263" spans="1:25" hidden="1">
      <c r="A3263" t="s">
        <v>18813</v>
      </c>
      <c r="B3263" t="s">
        <v>745</v>
      </c>
      <c r="C3263" t="s">
        <v>729</v>
      </c>
      <c r="D3263" t="s">
        <v>671</v>
      </c>
      <c r="E3263" t="s">
        <v>597</v>
      </c>
      <c r="F3263" t="s">
        <v>598</v>
      </c>
      <c r="G3263" t="s">
        <v>599</v>
      </c>
      <c r="H3263" t="s">
        <v>600</v>
      </c>
      <c r="I3263" t="s">
        <v>601</v>
      </c>
      <c r="J3263">
        <v>9.2399999999999996E-2</v>
      </c>
      <c r="K3263">
        <v>9.4200000000000006E-2</v>
      </c>
      <c r="L3263">
        <v>9.64E-2</v>
      </c>
      <c r="M3263">
        <v>9.8699999999999996E-2</v>
      </c>
      <c r="N3263">
        <v>0.10059999999999999</v>
      </c>
      <c r="O3263">
        <v>0.1027</v>
      </c>
      <c r="P3263">
        <v>0.1051</v>
      </c>
      <c r="Q3263">
        <v>0.107</v>
      </c>
      <c r="R3263">
        <v>0.1076</v>
      </c>
      <c r="S3263">
        <v>0.10879999999999999</v>
      </c>
      <c r="T3263">
        <v>0.10970000000000001</v>
      </c>
      <c r="U3263">
        <v>0.1105</v>
      </c>
      <c r="V3263">
        <v>0.1116</v>
      </c>
      <c r="W3263">
        <v>0.11260000000000001</v>
      </c>
      <c r="X3263">
        <v>0.1134</v>
      </c>
      <c r="Y3263">
        <v>0.1144</v>
      </c>
    </row>
    <row r="3264" spans="1:25" hidden="1">
      <c r="A3264" t="s">
        <v>18813</v>
      </c>
      <c r="B3264" t="s">
        <v>746</v>
      </c>
      <c r="C3264" t="s">
        <v>729</v>
      </c>
      <c r="D3264" t="s">
        <v>671</v>
      </c>
      <c r="E3264" t="s">
        <v>642</v>
      </c>
      <c r="F3264" t="s">
        <v>598</v>
      </c>
      <c r="G3264" t="s">
        <v>599</v>
      </c>
      <c r="H3264" t="s">
        <v>600</v>
      </c>
      <c r="I3264" t="s">
        <v>601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hidden="1">
      <c r="A3265" t="s">
        <v>18813</v>
      </c>
      <c r="B3265" t="s">
        <v>747</v>
      </c>
      <c r="C3265" t="s">
        <v>729</v>
      </c>
      <c r="D3265" t="s">
        <v>671</v>
      </c>
      <c r="E3265" t="s">
        <v>605</v>
      </c>
      <c r="F3265" t="s">
        <v>598</v>
      </c>
      <c r="G3265" t="s">
        <v>599</v>
      </c>
      <c r="H3265" t="s">
        <v>600</v>
      </c>
      <c r="I3265" t="s">
        <v>601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hidden="1">
      <c r="A3266" t="s">
        <v>18813</v>
      </c>
      <c r="B3266" t="s">
        <v>749</v>
      </c>
      <c r="C3266" t="s">
        <v>729</v>
      </c>
      <c r="D3266" t="s">
        <v>671</v>
      </c>
      <c r="E3266" t="s">
        <v>750</v>
      </c>
      <c r="F3266" t="s">
        <v>598</v>
      </c>
      <c r="G3266" t="s">
        <v>599</v>
      </c>
      <c r="H3266" t="s">
        <v>600</v>
      </c>
      <c r="I3266" t="s">
        <v>601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hidden="1">
      <c r="A3267" t="s">
        <v>18813</v>
      </c>
      <c r="B3267" t="s">
        <v>751</v>
      </c>
      <c r="C3267" t="s">
        <v>729</v>
      </c>
      <c r="D3267" t="s">
        <v>671</v>
      </c>
      <c r="E3267" t="s">
        <v>676</v>
      </c>
      <c r="F3267" t="s">
        <v>598</v>
      </c>
      <c r="G3267" t="s">
        <v>599</v>
      </c>
      <c r="H3267" t="s">
        <v>600</v>
      </c>
      <c r="I3267" t="s">
        <v>601</v>
      </c>
      <c r="J3267">
        <v>1.1999999999999999E-3</v>
      </c>
      <c r="K3267">
        <v>1.1999999999999999E-3</v>
      </c>
      <c r="L3267">
        <v>1.1999999999999999E-3</v>
      </c>
      <c r="M3267">
        <v>1.1999999999999999E-3</v>
      </c>
      <c r="N3267">
        <v>1.1999999999999999E-3</v>
      </c>
      <c r="O3267">
        <v>1.1999999999999999E-3</v>
      </c>
      <c r="P3267">
        <v>1.1999999999999999E-3</v>
      </c>
      <c r="Q3267">
        <v>1.1999999999999999E-3</v>
      </c>
      <c r="R3267">
        <v>1.1999999999999999E-3</v>
      </c>
      <c r="S3267">
        <v>1.1999999999999999E-3</v>
      </c>
      <c r="T3267">
        <v>1.1999999999999999E-3</v>
      </c>
      <c r="U3267">
        <v>1.1999999999999999E-3</v>
      </c>
      <c r="V3267">
        <v>1.1999999999999999E-3</v>
      </c>
      <c r="W3267">
        <v>1.1999999999999999E-3</v>
      </c>
      <c r="X3267">
        <v>1.1999999999999999E-3</v>
      </c>
      <c r="Y3267">
        <v>1.1999999999999999E-3</v>
      </c>
    </row>
    <row r="3268" spans="1:25" hidden="1">
      <c r="A3268" t="s">
        <v>18813</v>
      </c>
      <c r="B3268" t="s">
        <v>752</v>
      </c>
      <c r="C3268" t="s">
        <v>729</v>
      </c>
      <c r="D3268" t="s">
        <v>753</v>
      </c>
      <c r="E3268" t="s">
        <v>597</v>
      </c>
      <c r="F3268" t="s">
        <v>598</v>
      </c>
      <c r="G3268" t="s">
        <v>599</v>
      </c>
      <c r="H3268" t="s">
        <v>600</v>
      </c>
      <c r="I3268" t="s">
        <v>601</v>
      </c>
      <c r="J3268">
        <v>8.0000000000000004E-4</v>
      </c>
      <c r="K3268">
        <v>8.0000000000000004E-4</v>
      </c>
      <c r="L3268">
        <v>8.0000000000000004E-4</v>
      </c>
      <c r="M3268">
        <v>8.9999999999999998E-4</v>
      </c>
      <c r="N3268">
        <v>8.9999999999999998E-4</v>
      </c>
      <c r="O3268">
        <v>8.9999999999999998E-4</v>
      </c>
      <c r="P3268">
        <v>8.9999999999999998E-4</v>
      </c>
      <c r="Q3268">
        <v>8.9999999999999998E-4</v>
      </c>
      <c r="R3268">
        <v>8.9999999999999998E-4</v>
      </c>
      <c r="S3268">
        <v>8.9999999999999998E-4</v>
      </c>
      <c r="T3268">
        <v>8.9999999999999998E-4</v>
      </c>
      <c r="U3268">
        <v>8.9999999999999998E-4</v>
      </c>
      <c r="V3268">
        <v>8.9999999999999998E-4</v>
      </c>
      <c r="W3268">
        <v>8.9999999999999998E-4</v>
      </c>
      <c r="X3268">
        <v>1E-3</v>
      </c>
      <c r="Y3268">
        <v>1E-3</v>
      </c>
    </row>
    <row r="3269" spans="1:25" hidden="1">
      <c r="A3269" t="s">
        <v>18813</v>
      </c>
      <c r="B3269" t="s">
        <v>754</v>
      </c>
      <c r="C3269" t="s">
        <v>729</v>
      </c>
      <c r="D3269" t="s">
        <v>753</v>
      </c>
      <c r="E3269" t="s">
        <v>642</v>
      </c>
      <c r="F3269" t="s">
        <v>598</v>
      </c>
      <c r="G3269" t="s">
        <v>599</v>
      </c>
      <c r="H3269" t="s">
        <v>600</v>
      </c>
      <c r="I3269" t="s">
        <v>601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hidden="1">
      <c r="A3270" t="s">
        <v>18813</v>
      </c>
      <c r="B3270" t="s">
        <v>760</v>
      </c>
      <c r="C3270" t="s">
        <v>729</v>
      </c>
      <c r="D3270" t="s">
        <v>621</v>
      </c>
      <c r="E3270" t="s">
        <v>649</v>
      </c>
      <c r="F3270" t="s">
        <v>598</v>
      </c>
      <c r="G3270" t="s">
        <v>599</v>
      </c>
      <c r="H3270" t="s">
        <v>600</v>
      </c>
      <c r="I3270" t="s">
        <v>601</v>
      </c>
      <c r="J3270">
        <v>4.7500000000000001E-2</v>
      </c>
      <c r="K3270">
        <v>4.8099999999999997E-2</v>
      </c>
      <c r="L3270">
        <v>4.87E-2</v>
      </c>
      <c r="M3270">
        <v>4.9299999999999997E-2</v>
      </c>
      <c r="N3270">
        <v>5.0099999999999999E-2</v>
      </c>
      <c r="O3270">
        <v>5.0900000000000001E-2</v>
      </c>
      <c r="P3270">
        <v>5.1200000000000002E-2</v>
      </c>
      <c r="Q3270">
        <v>5.16E-2</v>
      </c>
      <c r="R3270">
        <v>5.1900000000000002E-2</v>
      </c>
      <c r="S3270">
        <v>5.2299999999999999E-2</v>
      </c>
      <c r="T3270">
        <v>5.2499999999999998E-2</v>
      </c>
      <c r="U3270">
        <v>5.2900000000000003E-2</v>
      </c>
      <c r="V3270">
        <v>5.3100000000000001E-2</v>
      </c>
      <c r="W3270">
        <v>5.3400000000000003E-2</v>
      </c>
      <c r="X3270">
        <v>5.3900000000000003E-2</v>
      </c>
      <c r="Y3270">
        <v>5.4199999999999998E-2</v>
      </c>
    </row>
    <row r="3271" spans="1:25" hidden="1">
      <c r="A3271" t="s">
        <v>18813</v>
      </c>
      <c r="B3271" t="s">
        <v>761</v>
      </c>
      <c r="C3271" t="s">
        <v>729</v>
      </c>
      <c r="D3271" t="s">
        <v>621</v>
      </c>
      <c r="E3271" t="s">
        <v>597</v>
      </c>
      <c r="F3271" t="s">
        <v>598</v>
      </c>
      <c r="G3271" t="s">
        <v>599</v>
      </c>
      <c r="H3271" t="s">
        <v>600</v>
      </c>
      <c r="I3271" t="s">
        <v>601</v>
      </c>
      <c r="J3271">
        <v>0.1865</v>
      </c>
      <c r="K3271">
        <v>0.18709999999999999</v>
      </c>
      <c r="L3271">
        <v>0.1862</v>
      </c>
      <c r="M3271">
        <v>0.18579999999999999</v>
      </c>
      <c r="N3271">
        <v>0.18390000000000001</v>
      </c>
      <c r="O3271">
        <v>0.1777</v>
      </c>
      <c r="P3271">
        <v>0.17519999999999999</v>
      </c>
      <c r="Q3271">
        <v>0.17380000000000001</v>
      </c>
      <c r="R3271">
        <v>0.17150000000000001</v>
      </c>
      <c r="S3271">
        <v>0.17019999999999999</v>
      </c>
      <c r="T3271">
        <v>0.16850000000000001</v>
      </c>
      <c r="U3271">
        <v>0.16700000000000001</v>
      </c>
      <c r="V3271">
        <v>0.1656</v>
      </c>
      <c r="W3271">
        <v>0.1643</v>
      </c>
      <c r="X3271">
        <v>0.16320000000000001</v>
      </c>
      <c r="Y3271">
        <v>0.16289999999999999</v>
      </c>
    </row>
    <row r="3272" spans="1:25" hidden="1">
      <c r="A3272" t="s">
        <v>18813</v>
      </c>
      <c r="B3272" t="s">
        <v>764</v>
      </c>
      <c r="C3272" t="s">
        <v>729</v>
      </c>
      <c r="D3272" t="s">
        <v>621</v>
      </c>
      <c r="E3272" t="s">
        <v>603</v>
      </c>
      <c r="F3272" t="s">
        <v>598</v>
      </c>
      <c r="G3272" t="s">
        <v>599</v>
      </c>
      <c r="H3272" t="s">
        <v>600</v>
      </c>
      <c r="I3272" t="s">
        <v>601</v>
      </c>
      <c r="J3272">
        <v>1.1000000000000001E-3</v>
      </c>
      <c r="K3272">
        <v>1.1000000000000001E-3</v>
      </c>
      <c r="L3272">
        <v>1.1000000000000001E-3</v>
      </c>
      <c r="M3272">
        <v>1.1000000000000001E-3</v>
      </c>
      <c r="N3272">
        <v>1.1000000000000001E-3</v>
      </c>
      <c r="O3272">
        <v>1.1000000000000001E-3</v>
      </c>
      <c r="P3272">
        <v>1.1999999999999999E-3</v>
      </c>
      <c r="Q3272">
        <v>1.1999999999999999E-3</v>
      </c>
      <c r="R3272">
        <v>1.1999999999999999E-3</v>
      </c>
      <c r="S3272">
        <v>1.1999999999999999E-3</v>
      </c>
      <c r="T3272">
        <v>1.1999999999999999E-3</v>
      </c>
      <c r="U3272">
        <v>1.1999999999999999E-3</v>
      </c>
      <c r="V3272">
        <v>1.1999999999999999E-3</v>
      </c>
      <c r="W3272">
        <v>1.1999999999999999E-3</v>
      </c>
      <c r="X3272">
        <v>1.1999999999999999E-3</v>
      </c>
      <c r="Y3272">
        <v>1.1999999999999999E-3</v>
      </c>
    </row>
    <row r="3273" spans="1:25" hidden="1">
      <c r="A3273" t="s">
        <v>18813</v>
      </c>
      <c r="B3273" t="s">
        <v>769</v>
      </c>
      <c r="C3273" t="s">
        <v>729</v>
      </c>
      <c r="D3273" t="s">
        <v>621</v>
      </c>
      <c r="E3273" t="s">
        <v>626</v>
      </c>
      <c r="F3273" t="s">
        <v>598</v>
      </c>
      <c r="G3273" t="s">
        <v>599</v>
      </c>
      <c r="H3273" t="s">
        <v>600</v>
      </c>
      <c r="I3273" t="s">
        <v>601</v>
      </c>
      <c r="J3273">
        <v>1E-4</v>
      </c>
      <c r="K3273">
        <v>1E-4</v>
      </c>
      <c r="L3273">
        <v>1E-4</v>
      </c>
      <c r="M3273">
        <v>1E-4</v>
      </c>
      <c r="N3273">
        <v>1E-4</v>
      </c>
      <c r="O3273">
        <v>1E-4</v>
      </c>
      <c r="P3273">
        <v>1E-4</v>
      </c>
      <c r="Q3273">
        <v>1E-4</v>
      </c>
      <c r="R3273">
        <v>1E-4</v>
      </c>
      <c r="S3273">
        <v>1E-4</v>
      </c>
      <c r="T3273">
        <v>1E-4</v>
      </c>
      <c r="U3273">
        <v>1E-4</v>
      </c>
      <c r="V3273">
        <v>1E-4</v>
      </c>
      <c r="W3273">
        <v>1E-4</v>
      </c>
      <c r="X3273">
        <v>1E-4</v>
      </c>
      <c r="Y3273">
        <v>1E-4</v>
      </c>
    </row>
    <row r="3274" spans="1:25" hidden="1">
      <c r="A3274" t="s">
        <v>18813</v>
      </c>
      <c r="B3274" t="s">
        <v>770</v>
      </c>
      <c r="C3274" t="s">
        <v>729</v>
      </c>
      <c r="D3274" t="s">
        <v>621</v>
      </c>
      <c r="E3274" t="s">
        <v>628</v>
      </c>
      <c r="F3274" t="s">
        <v>598</v>
      </c>
      <c r="G3274" t="s">
        <v>599</v>
      </c>
      <c r="H3274" t="s">
        <v>600</v>
      </c>
      <c r="I3274" t="s">
        <v>601</v>
      </c>
      <c r="J3274">
        <v>3.0800000000000001E-2</v>
      </c>
      <c r="K3274">
        <v>3.1E-2</v>
      </c>
      <c r="L3274">
        <v>3.15E-2</v>
      </c>
      <c r="M3274">
        <v>3.1800000000000002E-2</v>
      </c>
      <c r="N3274">
        <v>3.2099999999999997E-2</v>
      </c>
      <c r="O3274">
        <v>3.2199999999999999E-2</v>
      </c>
      <c r="P3274">
        <v>3.2300000000000002E-2</v>
      </c>
      <c r="Q3274">
        <v>3.2599999999999997E-2</v>
      </c>
      <c r="R3274">
        <v>3.27E-2</v>
      </c>
      <c r="S3274">
        <v>3.2800000000000003E-2</v>
      </c>
      <c r="T3274">
        <v>3.2899999999999999E-2</v>
      </c>
      <c r="U3274">
        <v>3.2899999999999999E-2</v>
      </c>
      <c r="V3274">
        <v>3.2899999999999999E-2</v>
      </c>
      <c r="W3274">
        <v>3.3000000000000002E-2</v>
      </c>
      <c r="X3274">
        <v>3.3000000000000002E-2</v>
      </c>
      <c r="Y3274">
        <v>3.32E-2</v>
      </c>
    </row>
    <row r="3275" spans="1:25" hidden="1">
      <c r="A3275" t="s">
        <v>18813</v>
      </c>
      <c r="B3275" t="s">
        <v>772</v>
      </c>
      <c r="C3275" t="s">
        <v>729</v>
      </c>
      <c r="D3275" t="s">
        <v>621</v>
      </c>
      <c r="E3275" t="s">
        <v>773</v>
      </c>
      <c r="F3275" t="s">
        <v>598</v>
      </c>
      <c r="G3275" t="s">
        <v>599</v>
      </c>
      <c r="H3275" t="s">
        <v>600</v>
      </c>
      <c r="I3275" t="s">
        <v>601</v>
      </c>
      <c r="J3275">
        <v>5.0000000000000001E-4</v>
      </c>
      <c r="K3275">
        <v>5.9999999999999995E-4</v>
      </c>
      <c r="L3275">
        <v>5.9999999999999995E-4</v>
      </c>
      <c r="M3275">
        <v>5.9999999999999995E-4</v>
      </c>
      <c r="N3275">
        <v>5.9999999999999995E-4</v>
      </c>
      <c r="O3275">
        <v>5.9999999999999995E-4</v>
      </c>
      <c r="P3275">
        <v>6.9999999999999999E-4</v>
      </c>
      <c r="Q3275">
        <v>6.9999999999999999E-4</v>
      </c>
      <c r="R3275">
        <v>6.9999999999999999E-4</v>
      </c>
      <c r="S3275">
        <v>6.9999999999999999E-4</v>
      </c>
      <c r="T3275">
        <v>6.9999999999999999E-4</v>
      </c>
      <c r="U3275">
        <v>6.9999999999999999E-4</v>
      </c>
      <c r="V3275">
        <v>6.9999999999999999E-4</v>
      </c>
      <c r="W3275">
        <v>6.9999999999999999E-4</v>
      </c>
      <c r="X3275">
        <v>6.9999999999999999E-4</v>
      </c>
      <c r="Y3275">
        <v>6.9999999999999999E-4</v>
      </c>
    </row>
    <row r="3276" spans="1:25" hidden="1">
      <c r="A3276" t="s">
        <v>18813</v>
      </c>
      <c r="B3276" t="s">
        <v>776</v>
      </c>
      <c r="C3276" t="s">
        <v>729</v>
      </c>
      <c r="D3276" t="s">
        <v>632</v>
      </c>
      <c r="E3276" t="s">
        <v>597</v>
      </c>
      <c r="F3276" t="s">
        <v>598</v>
      </c>
      <c r="G3276" t="s">
        <v>599</v>
      </c>
      <c r="H3276" t="s">
        <v>600</v>
      </c>
      <c r="I3276" t="s">
        <v>601</v>
      </c>
      <c r="J3276">
        <v>2.3400000000000001E-2</v>
      </c>
      <c r="K3276">
        <v>2.4E-2</v>
      </c>
      <c r="L3276">
        <v>2.46E-2</v>
      </c>
      <c r="M3276">
        <v>2.52E-2</v>
      </c>
      <c r="N3276">
        <v>2.5999999999999999E-2</v>
      </c>
      <c r="O3276">
        <v>2.6599999999999999E-2</v>
      </c>
      <c r="P3276">
        <v>2.7199999999999998E-2</v>
      </c>
      <c r="Q3276">
        <v>2.7799999999999998E-2</v>
      </c>
      <c r="R3276">
        <v>2.8000000000000001E-2</v>
      </c>
      <c r="S3276">
        <v>2.8199999999999999E-2</v>
      </c>
      <c r="T3276">
        <v>2.8400000000000002E-2</v>
      </c>
      <c r="U3276">
        <v>2.86E-2</v>
      </c>
      <c r="V3276">
        <v>2.8799999999999999E-2</v>
      </c>
      <c r="W3276">
        <v>2.8899999999999999E-2</v>
      </c>
      <c r="X3276">
        <v>2.9100000000000001E-2</v>
      </c>
      <c r="Y3276">
        <v>2.92E-2</v>
      </c>
    </row>
    <row r="3277" spans="1:25" hidden="1">
      <c r="A3277" t="s">
        <v>18813</v>
      </c>
      <c r="B3277" t="s">
        <v>779</v>
      </c>
      <c r="C3277" t="s">
        <v>729</v>
      </c>
      <c r="D3277" t="s">
        <v>632</v>
      </c>
      <c r="E3277" t="s">
        <v>773</v>
      </c>
      <c r="F3277" t="s">
        <v>598</v>
      </c>
      <c r="G3277" t="s">
        <v>599</v>
      </c>
      <c r="H3277" t="s">
        <v>600</v>
      </c>
      <c r="I3277" t="s">
        <v>601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 hidden="1">
      <c r="A3278" t="s">
        <v>18813</v>
      </c>
      <c r="B3278" t="s">
        <v>785</v>
      </c>
      <c r="C3278" t="s">
        <v>729</v>
      </c>
      <c r="D3278" t="s">
        <v>640</v>
      </c>
      <c r="E3278" t="s">
        <v>597</v>
      </c>
      <c r="F3278" t="s">
        <v>598</v>
      </c>
      <c r="G3278" t="s">
        <v>599</v>
      </c>
      <c r="H3278" t="s">
        <v>600</v>
      </c>
      <c r="I3278" t="s">
        <v>601</v>
      </c>
      <c r="J3278">
        <v>2.2499999999999999E-2</v>
      </c>
      <c r="K3278">
        <v>2.3199999999999998E-2</v>
      </c>
      <c r="L3278">
        <v>2.3900000000000001E-2</v>
      </c>
      <c r="M3278">
        <v>2.4299999999999999E-2</v>
      </c>
      <c r="N3278">
        <v>2.4899999999999999E-2</v>
      </c>
      <c r="O3278">
        <v>2.58E-2</v>
      </c>
      <c r="P3278">
        <v>2.63E-2</v>
      </c>
      <c r="Q3278">
        <v>2.6700000000000002E-2</v>
      </c>
      <c r="R3278">
        <v>2.7E-2</v>
      </c>
      <c r="S3278">
        <v>2.7400000000000001E-2</v>
      </c>
      <c r="T3278">
        <v>2.75E-2</v>
      </c>
      <c r="U3278">
        <v>2.8199999999999999E-2</v>
      </c>
      <c r="V3278">
        <v>2.8299999999999999E-2</v>
      </c>
      <c r="W3278">
        <v>2.86E-2</v>
      </c>
      <c r="X3278">
        <v>2.87E-2</v>
      </c>
      <c r="Y3278">
        <v>2.8899999999999999E-2</v>
      </c>
    </row>
    <row r="3279" spans="1:25" hidden="1">
      <c r="A3279" t="s">
        <v>18813</v>
      </c>
      <c r="B3279" t="s">
        <v>786</v>
      </c>
      <c r="C3279" t="s">
        <v>729</v>
      </c>
      <c r="D3279" t="s">
        <v>640</v>
      </c>
      <c r="E3279" t="s">
        <v>642</v>
      </c>
      <c r="F3279" t="s">
        <v>598</v>
      </c>
      <c r="G3279" t="s">
        <v>599</v>
      </c>
      <c r="H3279" t="s">
        <v>600</v>
      </c>
      <c r="I3279" t="s">
        <v>601</v>
      </c>
      <c r="J3279">
        <v>2.0000000000000001E-4</v>
      </c>
      <c r="K3279">
        <v>2.0000000000000001E-4</v>
      </c>
      <c r="L3279">
        <v>2.0000000000000001E-4</v>
      </c>
      <c r="M3279">
        <v>2.0000000000000001E-4</v>
      </c>
      <c r="N3279">
        <v>2.0000000000000001E-4</v>
      </c>
      <c r="O3279">
        <v>2.0000000000000001E-4</v>
      </c>
      <c r="P3279">
        <v>2.0000000000000001E-4</v>
      </c>
      <c r="Q3279">
        <v>2.0000000000000001E-4</v>
      </c>
      <c r="R3279">
        <v>2.0000000000000001E-4</v>
      </c>
      <c r="S3279">
        <v>2.0000000000000001E-4</v>
      </c>
      <c r="T3279">
        <v>2.0000000000000001E-4</v>
      </c>
      <c r="U3279">
        <v>2.0000000000000001E-4</v>
      </c>
      <c r="V3279">
        <v>2.0000000000000001E-4</v>
      </c>
      <c r="W3279">
        <v>2.0000000000000001E-4</v>
      </c>
      <c r="X3279">
        <v>2.0000000000000001E-4</v>
      </c>
      <c r="Y3279">
        <v>2.0000000000000001E-4</v>
      </c>
    </row>
    <row r="3280" spans="1:25" hidden="1">
      <c r="A3280" t="s">
        <v>18813</v>
      </c>
      <c r="B3280" t="s">
        <v>791</v>
      </c>
      <c r="C3280" t="s">
        <v>729</v>
      </c>
      <c r="D3280" t="s">
        <v>640</v>
      </c>
      <c r="E3280" t="s">
        <v>619</v>
      </c>
      <c r="F3280" t="s">
        <v>598</v>
      </c>
      <c r="G3280" t="s">
        <v>599</v>
      </c>
      <c r="H3280" t="s">
        <v>600</v>
      </c>
      <c r="I3280" t="s">
        <v>601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hidden="1">
      <c r="A3281" t="s">
        <v>18813</v>
      </c>
      <c r="B3281" t="s">
        <v>795</v>
      </c>
      <c r="C3281" t="s">
        <v>729</v>
      </c>
      <c r="D3281" t="s">
        <v>648</v>
      </c>
      <c r="E3281" t="s">
        <v>597</v>
      </c>
      <c r="F3281" t="s">
        <v>598</v>
      </c>
      <c r="G3281" t="s">
        <v>599</v>
      </c>
      <c r="H3281" t="s">
        <v>600</v>
      </c>
      <c r="I3281" t="s">
        <v>601</v>
      </c>
      <c r="J3281">
        <v>0.67010000000000003</v>
      </c>
      <c r="K3281">
        <v>0.67459999999999998</v>
      </c>
      <c r="L3281">
        <v>0.67490000000000006</v>
      </c>
      <c r="M3281">
        <v>0.67700000000000005</v>
      </c>
      <c r="N3281">
        <v>0.67449999999999999</v>
      </c>
      <c r="O3281">
        <v>0.66090000000000004</v>
      </c>
      <c r="P3281">
        <v>0.65769999999999995</v>
      </c>
      <c r="Q3281">
        <v>0.65749999999999997</v>
      </c>
      <c r="R3281">
        <v>0.65300000000000002</v>
      </c>
      <c r="S3281">
        <v>0.65080000000000005</v>
      </c>
      <c r="T3281">
        <v>0.64749999999999996</v>
      </c>
      <c r="U3281">
        <v>0.64449999999999996</v>
      </c>
      <c r="V3281">
        <v>0.64239999999999997</v>
      </c>
      <c r="W3281">
        <v>0.64019999999999999</v>
      </c>
      <c r="X3281">
        <v>0.6391</v>
      </c>
      <c r="Y3281">
        <v>0.63970000000000005</v>
      </c>
    </row>
    <row r="3282" spans="1:25" hidden="1">
      <c r="A3282" t="s">
        <v>18813</v>
      </c>
      <c r="B3282" t="s">
        <v>796</v>
      </c>
      <c r="C3282" t="s">
        <v>729</v>
      </c>
      <c r="D3282" t="s">
        <v>648</v>
      </c>
      <c r="E3282" t="s">
        <v>642</v>
      </c>
      <c r="F3282" t="s">
        <v>598</v>
      </c>
      <c r="G3282" t="s">
        <v>599</v>
      </c>
      <c r="H3282" t="s">
        <v>600</v>
      </c>
      <c r="I3282" t="s">
        <v>601</v>
      </c>
      <c r="J3282">
        <v>6.5100000000000005E-2</v>
      </c>
      <c r="K3282">
        <v>6.7199999999999996E-2</v>
      </c>
      <c r="L3282">
        <v>6.9400000000000003E-2</v>
      </c>
      <c r="M3282">
        <v>7.17E-2</v>
      </c>
      <c r="N3282">
        <v>7.4200000000000002E-2</v>
      </c>
      <c r="O3282">
        <v>7.6700000000000004E-2</v>
      </c>
      <c r="P3282">
        <v>7.9299999999999995E-2</v>
      </c>
      <c r="Q3282">
        <v>8.1699999999999995E-2</v>
      </c>
      <c r="R3282">
        <v>8.3000000000000004E-2</v>
      </c>
      <c r="S3282">
        <v>8.4099999999999994E-2</v>
      </c>
      <c r="T3282">
        <v>8.5199999999999998E-2</v>
      </c>
      <c r="U3282">
        <v>8.6400000000000005E-2</v>
      </c>
      <c r="V3282">
        <v>8.7400000000000005E-2</v>
      </c>
      <c r="W3282">
        <v>8.8800000000000004E-2</v>
      </c>
      <c r="X3282">
        <v>8.9800000000000005E-2</v>
      </c>
      <c r="Y3282">
        <v>9.11E-2</v>
      </c>
    </row>
    <row r="3283" spans="1:25" hidden="1">
      <c r="A3283" t="s">
        <v>18813</v>
      </c>
      <c r="B3283" t="s">
        <v>797</v>
      </c>
      <c r="C3283" t="s">
        <v>729</v>
      </c>
      <c r="D3283" t="s">
        <v>648</v>
      </c>
      <c r="E3283" t="s">
        <v>605</v>
      </c>
      <c r="F3283" t="s">
        <v>598</v>
      </c>
      <c r="G3283" t="s">
        <v>599</v>
      </c>
      <c r="H3283" t="s">
        <v>600</v>
      </c>
      <c r="I3283" t="s">
        <v>601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</row>
    <row r="3284" spans="1:25" hidden="1">
      <c r="A3284" t="s">
        <v>18813</v>
      </c>
      <c r="B3284" t="s">
        <v>801</v>
      </c>
      <c r="C3284" t="s">
        <v>729</v>
      </c>
      <c r="D3284" t="s">
        <v>648</v>
      </c>
      <c r="E3284" t="s">
        <v>619</v>
      </c>
      <c r="F3284" t="s">
        <v>598</v>
      </c>
      <c r="G3284" t="s">
        <v>599</v>
      </c>
      <c r="H3284" t="s">
        <v>600</v>
      </c>
      <c r="I3284" t="s">
        <v>601</v>
      </c>
      <c r="J3284">
        <v>2.9999999999999997E-4</v>
      </c>
      <c r="K3284">
        <v>2.9999999999999997E-4</v>
      </c>
      <c r="L3284">
        <v>2.9999999999999997E-4</v>
      </c>
      <c r="M3284">
        <v>4.0000000000000002E-4</v>
      </c>
      <c r="N3284">
        <v>4.0000000000000002E-4</v>
      </c>
      <c r="O3284">
        <v>4.0000000000000002E-4</v>
      </c>
      <c r="P3284">
        <v>4.0000000000000002E-4</v>
      </c>
      <c r="Q3284">
        <v>4.0000000000000002E-4</v>
      </c>
      <c r="R3284">
        <v>4.0000000000000002E-4</v>
      </c>
      <c r="S3284">
        <v>4.0000000000000002E-4</v>
      </c>
      <c r="T3284">
        <v>4.0000000000000002E-4</v>
      </c>
      <c r="U3284">
        <v>4.0000000000000002E-4</v>
      </c>
      <c r="V3284">
        <v>4.0000000000000002E-4</v>
      </c>
      <c r="W3284">
        <v>4.0000000000000002E-4</v>
      </c>
      <c r="X3284">
        <v>4.0000000000000002E-4</v>
      </c>
      <c r="Y3284">
        <v>4.0000000000000002E-4</v>
      </c>
    </row>
    <row r="3285" spans="1:25" hidden="1">
      <c r="A3285" t="s">
        <v>18813</v>
      </c>
      <c r="B3285" t="s">
        <v>803</v>
      </c>
      <c r="C3285" t="s">
        <v>804</v>
      </c>
      <c r="D3285" t="s">
        <v>596</v>
      </c>
      <c r="E3285" t="s">
        <v>597</v>
      </c>
      <c r="F3285" t="s">
        <v>598</v>
      </c>
      <c r="G3285" t="s">
        <v>599</v>
      </c>
      <c r="H3285" t="s">
        <v>600</v>
      </c>
      <c r="I3285" t="s">
        <v>601</v>
      </c>
      <c r="J3285">
        <v>1.67E-2</v>
      </c>
      <c r="K3285">
        <v>1.6899999999999998E-2</v>
      </c>
      <c r="L3285">
        <v>1.72E-2</v>
      </c>
      <c r="M3285">
        <v>1.7500000000000002E-2</v>
      </c>
      <c r="N3285">
        <v>1.7899999999999999E-2</v>
      </c>
      <c r="O3285">
        <v>1.8100000000000002E-2</v>
      </c>
      <c r="P3285">
        <v>1.8499999999999999E-2</v>
      </c>
      <c r="Q3285">
        <v>1.8700000000000001E-2</v>
      </c>
      <c r="R3285">
        <v>1.9E-2</v>
      </c>
      <c r="S3285">
        <v>1.9E-2</v>
      </c>
      <c r="T3285">
        <v>1.9E-2</v>
      </c>
      <c r="U3285">
        <v>1.9099999999999999E-2</v>
      </c>
      <c r="V3285">
        <v>1.9199999999999998E-2</v>
      </c>
      <c r="W3285">
        <v>1.9199999999999998E-2</v>
      </c>
      <c r="X3285">
        <v>1.95E-2</v>
      </c>
      <c r="Y3285">
        <v>1.9599999999999999E-2</v>
      </c>
    </row>
    <row r="3286" spans="1:25" hidden="1">
      <c r="A3286" t="s">
        <v>18813</v>
      </c>
      <c r="B3286" t="s">
        <v>807</v>
      </c>
      <c r="C3286" t="s">
        <v>804</v>
      </c>
      <c r="D3286" t="s">
        <v>596</v>
      </c>
      <c r="E3286" t="s">
        <v>808</v>
      </c>
      <c r="F3286" t="s">
        <v>598</v>
      </c>
      <c r="G3286" t="s">
        <v>599</v>
      </c>
      <c r="H3286" t="s">
        <v>600</v>
      </c>
      <c r="I3286" t="s">
        <v>601</v>
      </c>
      <c r="J3286">
        <v>1E-3</v>
      </c>
      <c r="K3286">
        <v>1E-3</v>
      </c>
      <c r="L3286">
        <v>1E-3</v>
      </c>
      <c r="M3286">
        <v>1E-3</v>
      </c>
      <c r="N3286">
        <v>1E-3</v>
      </c>
      <c r="O3286">
        <v>1E-3</v>
      </c>
      <c r="P3286">
        <v>1E-3</v>
      </c>
      <c r="Q3286">
        <v>1E-3</v>
      </c>
      <c r="R3286">
        <v>1.1000000000000001E-3</v>
      </c>
      <c r="S3286">
        <v>1.1000000000000001E-3</v>
      </c>
      <c r="T3286">
        <v>1.1000000000000001E-3</v>
      </c>
      <c r="U3286">
        <v>1.1000000000000001E-3</v>
      </c>
      <c r="V3286">
        <v>1.1000000000000001E-3</v>
      </c>
      <c r="W3286">
        <v>1.1000000000000001E-3</v>
      </c>
      <c r="X3286">
        <v>1.1000000000000001E-3</v>
      </c>
      <c r="Y3286">
        <v>1.1000000000000001E-3</v>
      </c>
    </row>
    <row r="3287" spans="1:25" hidden="1">
      <c r="A3287" t="s">
        <v>18813</v>
      </c>
      <c r="B3287" t="s">
        <v>815</v>
      </c>
      <c r="C3287" t="s">
        <v>804</v>
      </c>
      <c r="D3287" t="s">
        <v>671</v>
      </c>
      <c r="E3287" t="s">
        <v>597</v>
      </c>
      <c r="F3287" t="s">
        <v>598</v>
      </c>
      <c r="G3287" t="s">
        <v>599</v>
      </c>
      <c r="H3287" t="s">
        <v>600</v>
      </c>
      <c r="I3287" t="s">
        <v>601</v>
      </c>
      <c r="J3287">
        <v>4.7999999999999996E-3</v>
      </c>
      <c r="K3287">
        <v>4.7999999999999996E-3</v>
      </c>
      <c r="L3287">
        <v>4.7999999999999996E-3</v>
      </c>
      <c r="M3287">
        <v>5.0000000000000001E-3</v>
      </c>
      <c r="N3287">
        <v>5.0000000000000001E-3</v>
      </c>
      <c r="O3287">
        <v>5.0000000000000001E-3</v>
      </c>
      <c r="P3287">
        <v>5.1000000000000004E-3</v>
      </c>
      <c r="Q3287">
        <v>5.1000000000000004E-3</v>
      </c>
      <c r="R3287">
        <v>5.1000000000000004E-3</v>
      </c>
      <c r="S3287">
        <v>5.1999999999999998E-3</v>
      </c>
      <c r="T3287">
        <v>5.1999999999999998E-3</v>
      </c>
      <c r="U3287">
        <v>5.1999999999999998E-3</v>
      </c>
      <c r="V3287">
        <v>5.1999999999999998E-3</v>
      </c>
      <c r="W3287">
        <v>5.3E-3</v>
      </c>
      <c r="X3287">
        <v>5.4000000000000003E-3</v>
      </c>
      <c r="Y3287">
        <v>5.4000000000000003E-3</v>
      </c>
    </row>
    <row r="3288" spans="1:25" hidden="1">
      <c r="A3288" t="s">
        <v>18813</v>
      </c>
      <c r="B3288" t="s">
        <v>816</v>
      </c>
      <c r="C3288" t="s">
        <v>804</v>
      </c>
      <c r="D3288" t="s">
        <v>671</v>
      </c>
      <c r="E3288" t="s">
        <v>642</v>
      </c>
      <c r="F3288" t="s">
        <v>598</v>
      </c>
      <c r="G3288" t="s">
        <v>599</v>
      </c>
      <c r="H3288" t="s">
        <v>600</v>
      </c>
      <c r="I3288" t="s">
        <v>601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</row>
    <row r="3289" spans="1:25" hidden="1">
      <c r="A3289" t="s">
        <v>18813</v>
      </c>
      <c r="B3289" t="s">
        <v>824</v>
      </c>
      <c r="C3289" t="s">
        <v>804</v>
      </c>
      <c r="D3289" t="s">
        <v>621</v>
      </c>
      <c r="E3289" t="s">
        <v>626</v>
      </c>
      <c r="F3289" t="s">
        <v>598</v>
      </c>
      <c r="G3289" t="s">
        <v>599</v>
      </c>
      <c r="H3289" t="s">
        <v>600</v>
      </c>
      <c r="I3289" t="s">
        <v>601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hidden="1">
      <c r="A3290" t="s">
        <v>18813</v>
      </c>
      <c r="B3290" t="s">
        <v>825</v>
      </c>
      <c r="C3290" t="s">
        <v>804</v>
      </c>
      <c r="D3290" t="s">
        <v>621</v>
      </c>
      <c r="E3290" t="s">
        <v>628</v>
      </c>
      <c r="F3290" t="s">
        <v>598</v>
      </c>
      <c r="G3290" t="s">
        <v>599</v>
      </c>
      <c r="H3290" t="s">
        <v>600</v>
      </c>
      <c r="I3290" t="s">
        <v>601</v>
      </c>
      <c r="J3290">
        <v>5.0000000000000001E-4</v>
      </c>
      <c r="K3290">
        <v>5.0000000000000001E-4</v>
      </c>
      <c r="L3290">
        <v>5.0000000000000001E-4</v>
      </c>
      <c r="M3290">
        <v>5.0000000000000001E-4</v>
      </c>
      <c r="N3290">
        <v>5.0000000000000001E-4</v>
      </c>
      <c r="O3290">
        <v>5.0000000000000001E-4</v>
      </c>
      <c r="P3290">
        <v>5.0000000000000001E-4</v>
      </c>
      <c r="Q3290">
        <v>5.0000000000000001E-4</v>
      </c>
      <c r="R3290">
        <v>5.0000000000000001E-4</v>
      </c>
      <c r="S3290">
        <v>5.0000000000000001E-4</v>
      </c>
      <c r="T3290">
        <v>5.9999999999999995E-4</v>
      </c>
      <c r="U3290">
        <v>5.9999999999999995E-4</v>
      </c>
      <c r="V3290">
        <v>5.9999999999999995E-4</v>
      </c>
      <c r="W3290">
        <v>5.9999999999999995E-4</v>
      </c>
      <c r="X3290">
        <v>5.9999999999999995E-4</v>
      </c>
      <c r="Y3290">
        <v>5.9999999999999995E-4</v>
      </c>
    </row>
    <row r="3291" spans="1:25" hidden="1">
      <c r="A3291" t="s">
        <v>18813</v>
      </c>
      <c r="B3291" t="s">
        <v>827</v>
      </c>
      <c r="C3291" t="s">
        <v>804</v>
      </c>
      <c r="D3291" t="s">
        <v>828</v>
      </c>
      <c r="E3291" t="s">
        <v>597</v>
      </c>
      <c r="F3291" t="s">
        <v>598</v>
      </c>
      <c r="G3291" t="s">
        <v>599</v>
      </c>
      <c r="H3291" t="s">
        <v>600</v>
      </c>
      <c r="I3291" t="s">
        <v>601</v>
      </c>
      <c r="J3291">
        <v>1.4E-3</v>
      </c>
      <c r="K3291">
        <v>1.4E-3</v>
      </c>
      <c r="L3291">
        <v>1.4E-3</v>
      </c>
      <c r="M3291">
        <v>1.4E-3</v>
      </c>
      <c r="N3291">
        <v>1.4E-3</v>
      </c>
      <c r="O3291">
        <v>1.4E-3</v>
      </c>
      <c r="P3291">
        <v>1.4E-3</v>
      </c>
      <c r="Q3291">
        <v>1.5E-3</v>
      </c>
      <c r="R3291">
        <v>1.5E-3</v>
      </c>
      <c r="S3291">
        <v>1.5E-3</v>
      </c>
      <c r="T3291">
        <v>1.5E-3</v>
      </c>
      <c r="U3291">
        <v>1.5E-3</v>
      </c>
      <c r="V3291">
        <v>1.5E-3</v>
      </c>
      <c r="W3291">
        <v>1.5E-3</v>
      </c>
      <c r="X3291">
        <v>1.5E-3</v>
      </c>
      <c r="Y3291">
        <v>1.5E-3</v>
      </c>
    </row>
    <row r="3292" spans="1:25" hidden="1">
      <c r="A3292" t="s">
        <v>18813</v>
      </c>
      <c r="B3292" t="s">
        <v>829</v>
      </c>
      <c r="C3292" t="s">
        <v>804</v>
      </c>
      <c r="D3292" t="s">
        <v>828</v>
      </c>
      <c r="E3292" t="s">
        <v>628</v>
      </c>
      <c r="F3292" t="s">
        <v>598</v>
      </c>
      <c r="G3292" t="s">
        <v>599</v>
      </c>
      <c r="H3292" t="s">
        <v>600</v>
      </c>
      <c r="I3292" t="s">
        <v>601</v>
      </c>
      <c r="J3292">
        <v>4.4999999999999997E-3</v>
      </c>
      <c r="K3292">
        <v>4.4999999999999997E-3</v>
      </c>
      <c r="L3292">
        <v>4.4999999999999997E-3</v>
      </c>
      <c r="M3292">
        <v>4.4999999999999997E-3</v>
      </c>
      <c r="N3292">
        <v>4.4999999999999997E-3</v>
      </c>
      <c r="O3292">
        <v>4.4999999999999997E-3</v>
      </c>
      <c r="P3292">
        <v>4.4999999999999997E-3</v>
      </c>
      <c r="Q3292">
        <v>4.4999999999999997E-3</v>
      </c>
      <c r="R3292">
        <v>4.4999999999999997E-3</v>
      </c>
      <c r="S3292">
        <v>4.4999999999999997E-3</v>
      </c>
      <c r="T3292">
        <v>4.4999999999999997E-3</v>
      </c>
      <c r="U3292">
        <v>4.4999999999999997E-3</v>
      </c>
      <c r="V3292">
        <v>4.4999999999999997E-3</v>
      </c>
      <c r="W3292">
        <v>4.4999999999999997E-3</v>
      </c>
      <c r="X3292">
        <v>4.4999999999999997E-3</v>
      </c>
      <c r="Y3292">
        <v>4.4999999999999997E-3</v>
      </c>
    </row>
    <row r="3293" spans="1:25" hidden="1">
      <c r="A3293" t="s">
        <v>18813</v>
      </c>
      <c r="B3293" t="s">
        <v>830</v>
      </c>
      <c r="C3293" t="s">
        <v>804</v>
      </c>
      <c r="D3293" t="s">
        <v>828</v>
      </c>
      <c r="E3293" t="s">
        <v>628</v>
      </c>
      <c r="F3293" t="s">
        <v>831</v>
      </c>
      <c r="G3293" t="s">
        <v>599</v>
      </c>
      <c r="H3293" t="s">
        <v>600</v>
      </c>
      <c r="I3293" t="s">
        <v>601</v>
      </c>
      <c r="J3293">
        <v>4.0000000000000002E-4</v>
      </c>
      <c r="K3293">
        <v>1E-3</v>
      </c>
      <c r="L3293">
        <v>1E-3</v>
      </c>
      <c r="M3293">
        <v>1E-3</v>
      </c>
      <c r="N3293">
        <v>1E-3</v>
      </c>
      <c r="O3293">
        <v>1E-3</v>
      </c>
      <c r="P3293">
        <v>1E-3</v>
      </c>
      <c r="Q3293">
        <v>1E-3</v>
      </c>
      <c r="R3293">
        <v>1E-3</v>
      </c>
      <c r="S3293">
        <v>1E-3</v>
      </c>
      <c r="T3293">
        <v>1E-3</v>
      </c>
      <c r="U3293">
        <v>1E-3</v>
      </c>
      <c r="V3293">
        <v>1E-3</v>
      </c>
      <c r="W3293">
        <v>1E-3</v>
      </c>
      <c r="X3293">
        <v>1E-3</v>
      </c>
      <c r="Y3293">
        <v>1E-3</v>
      </c>
    </row>
    <row r="3294" spans="1:25" hidden="1">
      <c r="A3294" t="s">
        <v>18813</v>
      </c>
      <c r="B3294" t="s">
        <v>832</v>
      </c>
      <c r="C3294" t="s">
        <v>804</v>
      </c>
      <c r="D3294" t="s">
        <v>828</v>
      </c>
      <c r="E3294" t="s">
        <v>628</v>
      </c>
      <c r="F3294" t="s">
        <v>833</v>
      </c>
      <c r="G3294" t="s">
        <v>599</v>
      </c>
      <c r="H3294" t="s">
        <v>600</v>
      </c>
      <c r="I3294" t="s">
        <v>601</v>
      </c>
      <c r="J3294">
        <v>4.0000000000000002E-4</v>
      </c>
      <c r="K3294">
        <v>2.9999999999999997E-4</v>
      </c>
      <c r="L3294">
        <v>2.9999999999999997E-4</v>
      </c>
      <c r="M3294">
        <v>2.9999999999999997E-4</v>
      </c>
      <c r="N3294">
        <v>2.9999999999999997E-4</v>
      </c>
      <c r="O3294">
        <v>2.9999999999999997E-4</v>
      </c>
      <c r="P3294">
        <v>2.9999999999999997E-4</v>
      </c>
      <c r="Q3294">
        <v>2.9999999999999997E-4</v>
      </c>
      <c r="R3294">
        <v>2.9999999999999997E-4</v>
      </c>
      <c r="S3294">
        <v>2.9999999999999997E-4</v>
      </c>
      <c r="T3294">
        <v>2.0000000000000001E-4</v>
      </c>
      <c r="U3294">
        <v>2.0000000000000001E-4</v>
      </c>
      <c r="V3294">
        <v>2.0000000000000001E-4</v>
      </c>
      <c r="W3294">
        <v>2.0000000000000001E-4</v>
      </c>
      <c r="X3294">
        <v>2.0000000000000001E-4</v>
      </c>
      <c r="Y3294">
        <v>2.0000000000000001E-4</v>
      </c>
    </row>
    <row r="3295" spans="1:25" hidden="1">
      <c r="A3295" t="s">
        <v>18813</v>
      </c>
      <c r="B3295" t="s">
        <v>836</v>
      </c>
      <c r="C3295" t="s">
        <v>804</v>
      </c>
      <c r="D3295" t="s">
        <v>640</v>
      </c>
      <c r="E3295" t="s">
        <v>597</v>
      </c>
      <c r="F3295" t="s">
        <v>598</v>
      </c>
      <c r="G3295" t="s">
        <v>599</v>
      </c>
      <c r="H3295" t="s">
        <v>600</v>
      </c>
      <c r="I3295" t="s">
        <v>601</v>
      </c>
      <c r="J3295">
        <v>5.0000000000000001E-3</v>
      </c>
      <c r="K3295">
        <v>5.0000000000000001E-3</v>
      </c>
      <c r="L3295">
        <v>5.1999999999999998E-3</v>
      </c>
      <c r="M3295">
        <v>5.1999999999999998E-3</v>
      </c>
      <c r="N3295">
        <v>5.3E-3</v>
      </c>
      <c r="O3295">
        <v>5.3E-3</v>
      </c>
      <c r="P3295">
        <v>5.4000000000000003E-3</v>
      </c>
      <c r="Q3295">
        <v>5.5999999999999999E-3</v>
      </c>
      <c r="R3295">
        <v>5.5999999999999999E-3</v>
      </c>
      <c r="S3295">
        <v>5.5999999999999999E-3</v>
      </c>
      <c r="T3295">
        <v>5.5999999999999999E-3</v>
      </c>
      <c r="U3295">
        <v>5.5999999999999999E-3</v>
      </c>
      <c r="V3295">
        <v>5.5999999999999999E-3</v>
      </c>
      <c r="W3295">
        <v>5.5999999999999999E-3</v>
      </c>
      <c r="X3295">
        <v>5.5999999999999999E-3</v>
      </c>
      <c r="Y3295">
        <v>5.7000000000000002E-3</v>
      </c>
    </row>
    <row r="3296" spans="1:25" hidden="1">
      <c r="A3296" t="s">
        <v>18813</v>
      </c>
      <c r="B3296" t="s">
        <v>840</v>
      </c>
      <c r="C3296" t="s">
        <v>841</v>
      </c>
      <c r="D3296" t="s">
        <v>596</v>
      </c>
      <c r="E3296" t="s">
        <v>649</v>
      </c>
      <c r="F3296" t="s">
        <v>598</v>
      </c>
      <c r="G3296" t="s">
        <v>599</v>
      </c>
      <c r="H3296" t="s">
        <v>600</v>
      </c>
      <c r="I3296" t="s">
        <v>601</v>
      </c>
      <c r="J3296">
        <v>1.1000000000000001E-3</v>
      </c>
      <c r="K3296">
        <v>1.1000000000000001E-3</v>
      </c>
      <c r="L3296">
        <v>1E-3</v>
      </c>
      <c r="M3296">
        <v>1E-3</v>
      </c>
      <c r="N3296">
        <v>1E-3</v>
      </c>
      <c r="O3296">
        <v>1E-3</v>
      </c>
      <c r="P3296">
        <v>1.1000000000000001E-3</v>
      </c>
      <c r="Q3296">
        <v>1.1000000000000001E-3</v>
      </c>
      <c r="R3296">
        <v>1.1000000000000001E-3</v>
      </c>
      <c r="S3296">
        <v>1.1000000000000001E-3</v>
      </c>
      <c r="T3296">
        <v>1.1000000000000001E-3</v>
      </c>
      <c r="U3296">
        <v>1.1000000000000001E-3</v>
      </c>
      <c r="V3296">
        <v>1.1000000000000001E-3</v>
      </c>
      <c r="W3296">
        <v>1.1000000000000001E-3</v>
      </c>
      <c r="X3296">
        <v>1.1000000000000001E-3</v>
      </c>
      <c r="Y3296">
        <v>1.1000000000000001E-3</v>
      </c>
    </row>
    <row r="3297" spans="1:25" hidden="1">
      <c r="A3297" t="s">
        <v>18813</v>
      </c>
      <c r="B3297" t="s">
        <v>842</v>
      </c>
      <c r="C3297" t="s">
        <v>841</v>
      </c>
      <c r="D3297" t="s">
        <v>596</v>
      </c>
      <c r="E3297" t="s">
        <v>597</v>
      </c>
      <c r="F3297" t="s">
        <v>598</v>
      </c>
      <c r="G3297" t="s">
        <v>599</v>
      </c>
      <c r="H3297" t="s">
        <v>600</v>
      </c>
      <c r="I3297" t="s">
        <v>601</v>
      </c>
      <c r="J3297">
        <v>0.15279999999999999</v>
      </c>
      <c r="K3297">
        <v>0.1547</v>
      </c>
      <c r="L3297">
        <v>0.15709999999999999</v>
      </c>
      <c r="M3297">
        <v>0.15959999999999999</v>
      </c>
      <c r="N3297">
        <v>0.16159999999999999</v>
      </c>
      <c r="O3297">
        <v>0.16370000000000001</v>
      </c>
      <c r="P3297">
        <v>0.16650000000000001</v>
      </c>
      <c r="Q3297">
        <v>0.16830000000000001</v>
      </c>
      <c r="R3297">
        <v>0.1694</v>
      </c>
      <c r="S3297">
        <v>0.1709</v>
      </c>
      <c r="T3297">
        <v>0.17269999999999999</v>
      </c>
      <c r="U3297">
        <v>0.1741</v>
      </c>
      <c r="V3297">
        <v>0.17519999999999999</v>
      </c>
      <c r="W3297">
        <v>0.17680000000000001</v>
      </c>
      <c r="X3297">
        <v>0.1784</v>
      </c>
      <c r="Y3297">
        <v>0.1794</v>
      </c>
    </row>
    <row r="3298" spans="1:25" hidden="1">
      <c r="A3298" t="s">
        <v>18813</v>
      </c>
      <c r="B3298" t="s">
        <v>844</v>
      </c>
      <c r="C3298" t="s">
        <v>841</v>
      </c>
      <c r="D3298" t="s">
        <v>596</v>
      </c>
      <c r="E3298" t="s">
        <v>603</v>
      </c>
      <c r="F3298" t="s">
        <v>598</v>
      </c>
      <c r="G3298" t="s">
        <v>599</v>
      </c>
      <c r="H3298" t="s">
        <v>600</v>
      </c>
      <c r="I3298" t="s">
        <v>601</v>
      </c>
      <c r="J3298">
        <v>2.0000000000000001E-4</v>
      </c>
      <c r="K3298">
        <v>2.0000000000000001E-4</v>
      </c>
      <c r="L3298">
        <v>2.0000000000000001E-4</v>
      </c>
      <c r="M3298">
        <v>2.0000000000000001E-4</v>
      </c>
      <c r="N3298">
        <v>2.0000000000000001E-4</v>
      </c>
      <c r="O3298">
        <v>2.0000000000000001E-4</v>
      </c>
      <c r="P3298">
        <v>2.0000000000000001E-4</v>
      </c>
      <c r="Q3298">
        <v>2.0000000000000001E-4</v>
      </c>
      <c r="R3298">
        <v>2.0000000000000001E-4</v>
      </c>
      <c r="S3298">
        <v>2.0000000000000001E-4</v>
      </c>
      <c r="T3298">
        <v>2.0000000000000001E-4</v>
      </c>
      <c r="U3298">
        <v>2.0000000000000001E-4</v>
      </c>
      <c r="V3298">
        <v>2.0000000000000001E-4</v>
      </c>
      <c r="W3298">
        <v>2.0000000000000001E-4</v>
      </c>
      <c r="X3298">
        <v>2.0000000000000001E-4</v>
      </c>
      <c r="Y3298">
        <v>2.0000000000000001E-4</v>
      </c>
    </row>
    <row r="3299" spans="1:25" hidden="1">
      <c r="A3299" t="s">
        <v>18813</v>
      </c>
      <c r="B3299" t="s">
        <v>845</v>
      </c>
      <c r="C3299" t="s">
        <v>841</v>
      </c>
      <c r="D3299" t="s">
        <v>596</v>
      </c>
      <c r="E3299" t="s">
        <v>605</v>
      </c>
      <c r="F3299" t="s">
        <v>598</v>
      </c>
      <c r="G3299" t="s">
        <v>599</v>
      </c>
      <c r="H3299" t="s">
        <v>600</v>
      </c>
      <c r="I3299" t="s">
        <v>601</v>
      </c>
      <c r="J3299">
        <v>0.1198</v>
      </c>
      <c r="K3299">
        <v>0.1222</v>
      </c>
      <c r="L3299">
        <v>0.12470000000000001</v>
      </c>
      <c r="M3299">
        <v>0.12720000000000001</v>
      </c>
      <c r="N3299">
        <v>0.12970000000000001</v>
      </c>
      <c r="O3299">
        <v>0.13220000000000001</v>
      </c>
      <c r="P3299">
        <v>0.1333</v>
      </c>
      <c r="Q3299">
        <v>0.13439999999999999</v>
      </c>
      <c r="R3299">
        <v>0.1356</v>
      </c>
      <c r="S3299">
        <v>0.13669999999999999</v>
      </c>
      <c r="T3299">
        <v>0.13780000000000001</v>
      </c>
      <c r="U3299">
        <v>0.1389</v>
      </c>
      <c r="V3299">
        <v>0.14000000000000001</v>
      </c>
      <c r="W3299">
        <v>0.14119999999999999</v>
      </c>
      <c r="X3299">
        <v>0.14230000000000001</v>
      </c>
      <c r="Y3299">
        <v>0.14349999999999999</v>
      </c>
    </row>
    <row r="3300" spans="1:25" hidden="1">
      <c r="A3300" t="s">
        <v>18813</v>
      </c>
      <c r="B3300" t="s">
        <v>847</v>
      </c>
      <c r="C3300" t="s">
        <v>841</v>
      </c>
      <c r="D3300" t="s">
        <v>596</v>
      </c>
      <c r="E3300" t="s">
        <v>808</v>
      </c>
      <c r="F3300" t="s">
        <v>598</v>
      </c>
      <c r="G3300" t="s">
        <v>599</v>
      </c>
      <c r="H3300" t="s">
        <v>600</v>
      </c>
      <c r="I3300" t="s">
        <v>601</v>
      </c>
      <c r="J3300">
        <v>1.7399999999999999E-2</v>
      </c>
      <c r="K3300">
        <v>1.7600000000000001E-2</v>
      </c>
      <c r="L3300">
        <v>1.7899999999999999E-2</v>
      </c>
      <c r="M3300">
        <v>1.8100000000000002E-2</v>
      </c>
      <c r="N3300">
        <v>1.83E-2</v>
      </c>
      <c r="O3300">
        <v>1.8499999999999999E-2</v>
      </c>
      <c r="P3300">
        <v>1.8700000000000001E-2</v>
      </c>
      <c r="Q3300">
        <v>1.8700000000000001E-2</v>
      </c>
      <c r="R3300">
        <v>1.9E-2</v>
      </c>
      <c r="S3300">
        <v>1.9E-2</v>
      </c>
      <c r="T3300">
        <v>1.9199999999999998E-2</v>
      </c>
      <c r="U3300">
        <v>1.9300000000000001E-2</v>
      </c>
      <c r="V3300">
        <v>1.9300000000000001E-2</v>
      </c>
      <c r="W3300">
        <v>1.9400000000000001E-2</v>
      </c>
      <c r="X3300">
        <v>1.9599999999999999E-2</v>
      </c>
      <c r="Y3300">
        <v>1.9599999999999999E-2</v>
      </c>
    </row>
    <row r="3301" spans="1:25" hidden="1">
      <c r="A3301" t="s">
        <v>18813</v>
      </c>
      <c r="B3301" t="s">
        <v>852</v>
      </c>
      <c r="C3301" t="s">
        <v>841</v>
      </c>
      <c r="D3301" t="s">
        <v>596</v>
      </c>
      <c r="E3301" t="s">
        <v>619</v>
      </c>
      <c r="F3301" t="s">
        <v>598</v>
      </c>
      <c r="G3301" t="s">
        <v>599</v>
      </c>
      <c r="H3301" t="s">
        <v>600</v>
      </c>
      <c r="I3301" t="s">
        <v>601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1E-4</v>
      </c>
    </row>
    <row r="3302" spans="1:25" hidden="1">
      <c r="A3302" t="s">
        <v>18813</v>
      </c>
      <c r="B3302" t="s">
        <v>855</v>
      </c>
      <c r="C3302" t="s">
        <v>841</v>
      </c>
      <c r="D3302" t="s">
        <v>671</v>
      </c>
      <c r="E3302" t="s">
        <v>597</v>
      </c>
      <c r="F3302" t="s">
        <v>598</v>
      </c>
      <c r="G3302" t="s">
        <v>599</v>
      </c>
      <c r="H3302" t="s">
        <v>600</v>
      </c>
      <c r="I3302" t="s">
        <v>601</v>
      </c>
      <c r="J3302">
        <v>3.1600000000000003E-2</v>
      </c>
      <c r="K3302">
        <v>3.2000000000000001E-2</v>
      </c>
      <c r="L3302">
        <v>3.2599999999999997E-2</v>
      </c>
      <c r="M3302">
        <v>3.3399999999999999E-2</v>
      </c>
      <c r="N3302">
        <v>3.4299999999999997E-2</v>
      </c>
      <c r="O3302">
        <v>3.5099999999999999E-2</v>
      </c>
      <c r="P3302">
        <v>3.5499999999999997E-2</v>
      </c>
      <c r="Q3302">
        <v>3.6499999999999998E-2</v>
      </c>
      <c r="R3302">
        <v>3.6999999999999998E-2</v>
      </c>
      <c r="S3302">
        <v>3.7400000000000003E-2</v>
      </c>
      <c r="T3302">
        <v>3.7699999999999997E-2</v>
      </c>
      <c r="U3302">
        <v>3.8100000000000002E-2</v>
      </c>
      <c r="V3302">
        <v>3.8600000000000002E-2</v>
      </c>
      <c r="W3302">
        <v>3.9E-2</v>
      </c>
      <c r="X3302">
        <v>3.9300000000000002E-2</v>
      </c>
      <c r="Y3302">
        <v>3.9800000000000002E-2</v>
      </c>
    </row>
    <row r="3303" spans="1:25" hidden="1">
      <c r="A3303" t="s">
        <v>18813</v>
      </c>
      <c r="B3303" t="s">
        <v>857</v>
      </c>
      <c r="C3303" t="s">
        <v>841</v>
      </c>
      <c r="D3303" t="s">
        <v>671</v>
      </c>
      <c r="E3303" t="s">
        <v>605</v>
      </c>
      <c r="F3303" t="s">
        <v>598</v>
      </c>
      <c r="G3303" t="s">
        <v>599</v>
      </c>
      <c r="H3303" t="s">
        <v>600</v>
      </c>
      <c r="I3303" t="s">
        <v>601</v>
      </c>
      <c r="J3303">
        <v>1.1999999999999999E-3</v>
      </c>
      <c r="K3303">
        <v>1.1999999999999999E-3</v>
      </c>
      <c r="L3303">
        <v>1.1999999999999999E-3</v>
      </c>
      <c r="M3303">
        <v>1.1999999999999999E-3</v>
      </c>
      <c r="N3303">
        <v>1.1999999999999999E-3</v>
      </c>
      <c r="O3303">
        <v>1.1999999999999999E-3</v>
      </c>
      <c r="P3303">
        <v>1.1999999999999999E-3</v>
      </c>
      <c r="Q3303">
        <v>1.1999999999999999E-3</v>
      </c>
      <c r="R3303">
        <v>1.2999999999999999E-3</v>
      </c>
      <c r="S3303">
        <v>1.2999999999999999E-3</v>
      </c>
      <c r="T3303">
        <v>1.2999999999999999E-3</v>
      </c>
      <c r="U3303">
        <v>1.2999999999999999E-3</v>
      </c>
      <c r="V3303">
        <v>1.2999999999999999E-3</v>
      </c>
      <c r="W3303">
        <v>1.2999999999999999E-3</v>
      </c>
      <c r="X3303">
        <v>1.2999999999999999E-3</v>
      </c>
      <c r="Y3303">
        <v>1.2999999999999999E-3</v>
      </c>
    </row>
    <row r="3304" spans="1:25" hidden="1">
      <c r="A3304" t="s">
        <v>18813</v>
      </c>
      <c r="B3304" t="s">
        <v>859</v>
      </c>
      <c r="C3304" t="s">
        <v>841</v>
      </c>
      <c r="D3304" t="s">
        <v>671</v>
      </c>
      <c r="E3304" t="s">
        <v>750</v>
      </c>
      <c r="F3304" t="s">
        <v>598</v>
      </c>
      <c r="G3304" t="s">
        <v>599</v>
      </c>
      <c r="H3304" t="s">
        <v>600</v>
      </c>
      <c r="I3304" t="s">
        <v>601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</row>
    <row r="3305" spans="1:25" hidden="1">
      <c r="A3305" t="s">
        <v>18813</v>
      </c>
      <c r="B3305" t="s">
        <v>860</v>
      </c>
      <c r="C3305" t="s">
        <v>841</v>
      </c>
      <c r="D3305" t="s">
        <v>753</v>
      </c>
      <c r="E3305" t="s">
        <v>597</v>
      </c>
      <c r="F3305" t="s">
        <v>598</v>
      </c>
      <c r="G3305" t="s">
        <v>599</v>
      </c>
      <c r="H3305" t="s">
        <v>600</v>
      </c>
      <c r="I3305" t="s">
        <v>601</v>
      </c>
      <c r="J3305">
        <v>6.9999999999999999E-4</v>
      </c>
      <c r="K3305">
        <v>6.9999999999999999E-4</v>
      </c>
      <c r="L3305">
        <v>6.9999999999999999E-4</v>
      </c>
      <c r="M3305">
        <v>6.9999999999999999E-4</v>
      </c>
      <c r="N3305">
        <v>6.9999999999999999E-4</v>
      </c>
      <c r="O3305">
        <v>8.0000000000000004E-4</v>
      </c>
      <c r="P3305">
        <v>8.0000000000000004E-4</v>
      </c>
      <c r="Q3305">
        <v>8.0000000000000004E-4</v>
      </c>
      <c r="R3305">
        <v>8.0000000000000004E-4</v>
      </c>
      <c r="S3305">
        <v>8.0000000000000004E-4</v>
      </c>
      <c r="T3305">
        <v>8.0000000000000004E-4</v>
      </c>
      <c r="U3305">
        <v>8.0000000000000004E-4</v>
      </c>
      <c r="V3305">
        <v>8.0000000000000004E-4</v>
      </c>
      <c r="W3305">
        <v>8.0000000000000004E-4</v>
      </c>
      <c r="X3305">
        <v>8.0000000000000004E-4</v>
      </c>
      <c r="Y3305">
        <v>8.0000000000000004E-4</v>
      </c>
    </row>
    <row r="3306" spans="1:25" hidden="1">
      <c r="A3306" t="s">
        <v>18813</v>
      </c>
      <c r="B3306" t="s">
        <v>862</v>
      </c>
      <c r="C3306" t="s">
        <v>841</v>
      </c>
      <c r="D3306" t="s">
        <v>756</v>
      </c>
      <c r="E3306" t="s">
        <v>597</v>
      </c>
      <c r="F3306" t="s">
        <v>598</v>
      </c>
      <c r="G3306" t="s">
        <v>599</v>
      </c>
      <c r="H3306" t="s">
        <v>600</v>
      </c>
      <c r="I3306" t="s">
        <v>601</v>
      </c>
      <c r="J3306">
        <v>6.6699999999999995E-2</v>
      </c>
      <c r="K3306">
        <v>6.6699999999999995E-2</v>
      </c>
      <c r="L3306">
        <v>6.6699999999999995E-2</v>
      </c>
      <c r="M3306">
        <v>6.6699999999999995E-2</v>
      </c>
      <c r="N3306">
        <v>6.6299999999999998E-2</v>
      </c>
      <c r="O3306">
        <v>6.5199999999999994E-2</v>
      </c>
      <c r="P3306">
        <v>6.4500000000000002E-2</v>
      </c>
      <c r="Q3306">
        <v>6.4100000000000004E-2</v>
      </c>
      <c r="R3306">
        <v>6.3399999999999998E-2</v>
      </c>
      <c r="S3306">
        <v>6.3E-2</v>
      </c>
      <c r="T3306">
        <v>6.2700000000000006E-2</v>
      </c>
      <c r="U3306">
        <v>6.25E-2</v>
      </c>
      <c r="V3306">
        <v>6.2199999999999998E-2</v>
      </c>
      <c r="W3306">
        <v>6.2E-2</v>
      </c>
      <c r="X3306">
        <v>6.2199999999999998E-2</v>
      </c>
      <c r="Y3306">
        <v>6.2399999999999997E-2</v>
      </c>
    </row>
    <row r="3307" spans="1:25" hidden="1">
      <c r="A3307" t="s">
        <v>18813</v>
      </c>
      <c r="B3307" t="s">
        <v>865</v>
      </c>
      <c r="C3307" t="s">
        <v>841</v>
      </c>
      <c r="D3307" t="s">
        <v>866</v>
      </c>
      <c r="E3307" t="s">
        <v>597</v>
      </c>
      <c r="F3307" t="s">
        <v>598</v>
      </c>
      <c r="G3307" t="s">
        <v>599</v>
      </c>
      <c r="H3307" t="s">
        <v>600</v>
      </c>
      <c r="I3307" t="s">
        <v>601</v>
      </c>
      <c r="J3307">
        <v>6.4500000000000002E-2</v>
      </c>
      <c r="K3307">
        <v>6.4500000000000002E-2</v>
      </c>
      <c r="L3307">
        <v>6.4500000000000002E-2</v>
      </c>
      <c r="M3307">
        <v>6.4399999999999999E-2</v>
      </c>
      <c r="N3307">
        <v>6.4000000000000001E-2</v>
      </c>
      <c r="O3307">
        <v>6.2899999999999998E-2</v>
      </c>
      <c r="P3307">
        <v>6.2399999999999997E-2</v>
      </c>
      <c r="Q3307">
        <v>6.1899999999999997E-2</v>
      </c>
      <c r="R3307">
        <v>6.1499999999999999E-2</v>
      </c>
      <c r="S3307">
        <v>6.0900000000000003E-2</v>
      </c>
      <c r="T3307">
        <v>6.0600000000000001E-2</v>
      </c>
      <c r="U3307">
        <v>6.0299999999999999E-2</v>
      </c>
      <c r="V3307">
        <v>6.0199999999999997E-2</v>
      </c>
      <c r="W3307">
        <v>5.9900000000000002E-2</v>
      </c>
      <c r="X3307">
        <v>6.0100000000000001E-2</v>
      </c>
      <c r="Y3307">
        <v>6.0199999999999997E-2</v>
      </c>
    </row>
    <row r="3308" spans="1:25" hidden="1">
      <c r="A3308" t="s">
        <v>18813</v>
      </c>
      <c r="B3308" t="s">
        <v>868</v>
      </c>
      <c r="C3308" t="s">
        <v>841</v>
      </c>
      <c r="D3308" t="s">
        <v>621</v>
      </c>
      <c r="E3308" t="s">
        <v>597</v>
      </c>
      <c r="F3308" t="s">
        <v>598</v>
      </c>
      <c r="G3308" t="s">
        <v>599</v>
      </c>
      <c r="H3308" t="s">
        <v>600</v>
      </c>
      <c r="I3308" t="s">
        <v>601</v>
      </c>
      <c r="J3308">
        <v>5.8400000000000001E-2</v>
      </c>
      <c r="K3308">
        <v>6.1699999999999998E-2</v>
      </c>
      <c r="L3308">
        <v>6.5699999999999995E-2</v>
      </c>
      <c r="M3308">
        <v>6.9599999999999995E-2</v>
      </c>
      <c r="N3308">
        <v>7.4099999999999999E-2</v>
      </c>
      <c r="O3308">
        <v>7.8600000000000003E-2</v>
      </c>
      <c r="P3308">
        <v>8.2600000000000007E-2</v>
      </c>
      <c r="Q3308">
        <v>8.6900000000000005E-2</v>
      </c>
      <c r="R3308">
        <v>8.8800000000000004E-2</v>
      </c>
      <c r="S3308">
        <v>9.1200000000000003E-2</v>
      </c>
      <c r="T3308">
        <v>9.35E-2</v>
      </c>
      <c r="U3308">
        <v>9.5600000000000004E-2</v>
      </c>
      <c r="V3308">
        <v>9.7900000000000001E-2</v>
      </c>
      <c r="W3308">
        <v>0.1002</v>
      </c>
      <c r="X3308">
        <v>0.10249999999999999</v>
      </c>
      <c r="Y3308">
        <v>0.1048</v>
      </c>
    </row>
    <row r="3309" spans="1:25" hidden="1">
      <c r="A3309" t="s">
        <v>18813</v>
      </c>
      <c r="B3309" t="s">
        <v>870</v>
      </c>
      <c r="C3309" t="s">
        <v>841</v>
      </c>
      <c r="D3309" t="s">
        <v>621</v>
      </c>
      <c r="E3309" t="s">
        <v>603</v>
      </c>
      <c r="F3309" t="s">
        <v>598</v>
      </c>
      <c r="G3309" t="s">
        <v>599</v>
      </c>
      <c r="H3309" t="s">
        <v>600</v>
      </c>
      <c r="I3309" t="s">
        <v>601</v>
      </c>
      <c r="J3309">
        <v>5.0000000000000001E-4</v>
      </c>
      <c r="K3309">
        <v>5.0000000000000001E-4</v>
      </c>
      <c r="L3309">
        <v>5.0000000000000001E-4</v>
      </c>
      <c r="M3309">
        <v>5.0000000000000001E-4</v>
      </c>
      <c r="N3309">
        <v>5.0000000000000001E-4</v>
      </c>
      <c r="O3309">
        <v>5.0000000000000001E-4</v>
      </c>
      <c r="P3309">
        <v>5.0000000000000001E-4</v>
      </c>
      <c r="Q3309">
        <v>5.0000000000000001E-4</v>
      </c>
      <c r="R3309">
        <v>5.0000000000000001E-4</v>
      </c>
      <c r="S3309">
        <v>5.0000000000000001E-4</v>
      </c>
      <c r="T3309">
        <v>5.0000000000000001E-4</v>
      </c>
      <c r="U3309">
        <v>5.0000000000000001E-4</v>
      </c>
      <c r="V3309">
        <v>5.0000000000000001E-4</v>
      </c>
      <c r="W3309">
        <v>5.0000000000000001E-4</v>
      </c>
      <c r="X3309">
        <v>5.0000000000000001E-4</v>
      </c>
      <c r="Y3309">
        <v>5.0000000000000001E-4</v>
      </c>
    </row>
    <row r="3310" spans="1:25" hidden="1">
      <c r="A3310" t="s">
        <v>18813</v>
      </c>
      <c r="B3310" t="s">
        <v>872</v>
      </c>
      <c r="C3310" t="s">
        <v>841</v>
      </c>
      <c r="D3310" t="s">
        <v>621</v>
      </c>
      <c r="E3310" t="s">
        <v>624</v>
      </c>
      <c r="F3310" t="s">
        <v>598</v>
      </c>
      <c r="G3310" t="s">
        <v>599</v>
      </c>
      <c r="H3310" t="s">
        <v>600</v>
      </c>
      <c r="I3310" t="s">
        <v>601</v>
      </c>
      <c r="J3310">
        <v>5.2699999999999997E-2</v>
      </c>
      <c r="K3310">
        <v>5.3499999999999999E-2</v>
      </c>
      <c r="L3310">
        <v>5.4300000000000001E-2</v>
      </c>
      <c r="M3310">
        <v>5.5300000000000002E-2</v>
      </c>
      <c r="N3310">
        <v>5.6099999999999997E-2</v>
      </c>
      <c r="O3310">
        <v>5.7099999999999998E-2</v>
      </c>
      <c r="P3310">
        <v>5.79E-2</v>
      </c>
      <c r="Q3310">
        <v>5.8799999999999998E-2</v>
      </c>
      <c r="R3310">
        <v>5.9299999999999999E-2</v>
      </c>
      <c r="S3310">
        <v>0.06</v>
      </c>
      <c r="T3310">
        <v>6.0400000000000002E-2</v>
      </c>
      <c r="U3310">
        <v>6.0900000000000003E-2</v>
      </c>
      <c r="V3310">
        <v>6.1499999999999999E-2</v>
      </c>
      <c r="W3310">
        <v>6.2E-2</v>
      </c>
      <c r="X3310">
        <v>6.25E-2</v>
      </c>
      <c r="Y3310">
        <v>6.2899999999999998E-2</v>
      </c>
    </row>
    <row r="3311" spans="1:25" hidden="1">
      <c r="A3311" t="s">
        <v>18813</v>
      </c>
      <c r="B3311" t="s">
        <v>875</v>
      </c>
      <c r="C3311" t="s">
        <v>841</v>
      </c>
      <c r="D3311" t="s">
        <v>621</v>
      </c>
      <c r="E3311" t="s">
        <v>626</v>
      </c>
      <c r="F3311" t="s">
        <v>598</v>
      </c>
      <c r="G3311" t="s">
        <v>599</v>
      </c>
      <c r="H3311" t="s">
        <v>600</v>
      </c>
      <c r="I3311" t="s">
        <v>601</v>
      </c>
      <c r="J3311">
        <v>4.0000000000000002E-4</v>
      </c>
      <c r="K3311">
        <v>4.0000000000000002E-4</v>
      </c>
      <c r="L3311">
        <v>4.0000000000000002E-4</v>
      </c>
      <c r="M3311">
        <v>4.0000000000000002E-4</v>
      </c>
      <c r="N3311">
        <v>4.0000000000000002E-4</v>
      </c>
      <c r="O3311">
        <v>4.0000000000000002E-4</v>
      </c>
      <c r="P3311">
        <v>4.0000000000000002E-4</v>
      </c>
      <c r="Q3311">
        <v>5.0000000000000001E-4</v>
      </c>
      <c r="R3311">
        <v>5.9999999999999995E-4</v>
      </c>
      <c r="S3311">
        <v>5.9999999999999995E-4</v>
      </c>
      <c r="T3311">
        <v>5.9999999999999995E-4</v>
      </c>
      <c r="U3311">
        <v>5.9999999999999995E-4</v>
      </c>
      <c r="V3311">
        <v>5.9999999999999995E-4</v>
      </c>
      <c r="W3311">
        <v>5.9999999999999995E-4</v>
      </c>
      <c r="X3311">
        <v>5.9999999999999995E-4</v>
      </c>
      <c r="Y3311">
        <v>5.9999999999999995E-4</v>
      </c>
    </row>
    <row r="3312" spans="1:25" hidden="1">
      <c r="A3312" t="s">
        <v>18813</v>
      </c>
      <c r="B3312" t="s">
        <v>876</v>
      </c>
      <c r="C3312" t="s">
        <v>841</v>
      </c>
      <c r="D3312" t="s">
        <v>621</v>
      </c>
      <c r="E3312" t="s">
        <v>628</v>
      </c>
      <c r="F3312" t="s">
        <v>598</v>
      </c>
      <c r="G3312" t="s">
        <v>599</v>
      </c>
      <c r="H3312" t="s">
        <v>600</v>
      </c>
      <c r="I3312" t="s">
        <v>601</v>
      </c>
      <c r="J3312">
        <v>6.4899999999999999E-2</v>
      </c>
      <c r="K3312">
        <v>6.59E-2</v>
      </c>
      <c r="L3312">
        <v>6.6600000000000006E-2</v>
      </c>
      <c r="M3312">
        <v>6.7500000000000004E-2</v>
      </c>
      <c r="N3312">
        <v>6.8199999999999997E-2</v>
      </c>
      <c r="O3312">
        <v>6.8699999999999997E-2</v>
      </c>
      <c r="P3312">
        <v>6.9500000000000006E-2</v>
      </c>
      <c r="Q3312">
        <v>7.0400000000000004E-2</v>
      </c>
      <c r="R3312">
        <v>7.0999999999999994E-2</v>
      </c>
      <c r="S3312">
        <v>7.1499999999999994E-2</v>
      </c>
      <c r="T3312">
        <v>7.2400000000000006E-2</v>
      </c>
      <c r="U3312">
        <v>7.2900000000000006E-2</v>
      </c>
      <c r="V3312">
        <v>7.3499999999999996E-2</v>
      </c>
      <c r="W3312">
        <v>7.4099999999999999E-2</v>
      </c>
      <c r="X3312">
        <v>7.4800000000000005E-2</v>
      </c>
      <c r="Y3312">
        <v>7.5200000000000003E-2</v>
      </c>
    </row>
    <row r="3313" spans="1:25" hidden="1">
      <c r="A3313" t="s">
        <v>18813</v>
      </c>
      <c r="B3313" t="s">
        <v>879</v>
      </c>
      <c r="C3313" t="s">
        <v>841</v>
      </c>
      <c r="D3313" t="s">
        <v>621</v>
      </c>
      <c r="E3313" t="s">
        <v>773</v>
      </c>
      <c r="F3313" t="s">
        <v>598</v>
      </c>
      <c r="G3313" t="s">
        <v>599</v>
      </c>
      <c r="H3313" t="s">
        <v>600</v>
      </c>
      <c r="I3313" t="s">
        <v>601</v>
      </c>
      <c r="J3313">
        <v>2.9999999999999997E-4</v>
      </c>
      <c r="K3313">
        <v>2.9999999999999997E-4</v>
      </c>
      <c r="L3313">
        <v>4.0000000000000002E-4</v>
      </c>
      <c r="M3313">
        <v>4.0000000000000002E-4</v>
      </c>
      <c r="N3313">
        <v>4.0000000000000002E-4</v>
      </c>
      <c r="O3313">
        <v>4.0000000000000002E-4</v>
      </c>
      <c r="P3313">
        <v>4.0000000000000002E-4</v>
      </c>
      <c r="Q3313">
        <v>4.0000000000000002E-4</v>
      </c>
      <c r="R3313">
        <v>4.0000000000000002E-4</v>
      </c>
      <c r="S3313">
        <v>4.0000000000000002E-4</v>
      </c>
      <c r="T3313">
        <v>4.0000000000000002E-4</v>
      </c>
      <c r="U3313">
        <v>4.0000000000000002E-4</v>
      </c>
      <c r="V3313">
        <v>4.0000000000000002E-4</v>
      </c>
      <c r="W3313">
        <v>4.0000000000000002E-4</v>
      </c>
      <c r="X3313">
        <v>4.0000000000000002E-4</v>
      </c>
      <c r="Y3313">
        <v>4.0000000000000002E-4</v>
      </c>
    </row>
    <row r="3314" spans="1:25" hidden="1">
      <c r="A3314" t="s">
        <v>18813</v>
      </c>
      <c r="B3314" t="s">
        <v>880</v>
      </c>
      <c r="C3314" t="s">
        <v>841</v>
      </c>
      <c r="D3314" t="s">
        <v>621</v>
      </c>
      <c r="E3314" t="s">
        <v>638</v>
      </c>
      <c r="F3314" t="s">
        <v>598</v>
      </c>
      <c r="G3314" t="s">
        <v>599</v>
      </c>
      <c r="H3314" t="s">
        <v>600</v>
      </c>
      <c r="I3314" t="s">
        <v>601</v>
      </c>
      <c r="J3314">
        <v>2.9999999999999997E-4</v>
      </c>
      <c r="K3314">
        <v>2.9999999999999997E-4</v>
      </c>
      <c r="L3314">
        <v>2.9999999999999997E-4</v>
      </c>
      <c r="M3314">
        <v>2.9999999999999997E-4</v>
      </c>
      <c r="N3314">
        <v>2.9999999999999997E-4</v>
      </c>
      <c r="O3314">
        <v>2.9999999999999997E-4</v>
      </c>
      <c r="P3314">
        <v>2.9999999999999997E-4</v>
      </c>
      <c r="Q3314">
        <v>2.9999999999999997E-4</v>
      </c>
      <c r="R3314">
        <v>2.9999999999999997E-4</v>
      </c>
      <c r="S3314">
        <v>2.9999999999999997E-4</v>
      </c>
      <c r="T3314">
        <v>2.9999999999999997E-4</v>
      </c>
      <c r="U3314">
        <v>2.9999999999999997E-4</v>
      </c>
      <c r="V3314">
        <v>2.9999999999999997E-4</v>
      </c>
      <c r="W3314">
        <v>2.9999999999999997E-4</v>
      </c>
      <c r="X3314">
        <v>2.9999999999999997E-4</v>
      </c>
      <c r="Y3314">
        <v>2.9999999999999997E-4</v>
      </c>
    </row>
    <row r="3315" spans="1:25" hidden="1">
      <c r="A3315" t="s">
        <v>18813</v>
      </c>
      <c r="B3315" t="s">
        <v>882</v>
      </c>
      <c r="C3315" t="s">
        <v>841</v>
      </c>
      <c r="D3315" t="s">
        <v>632</v>
      </c>
      <c r="E3315" t="s">
        <v>597</v>
      </c>
      <c r="F3315" t="s">
        <v>598</v>
      </c>
      <c r="G3315" t="s">
        <v>599</v>
      </c>
      <c r="H3315" t="s">
        <v>600</v>
      </c>
      <c r="I3315" t="s">
        <v>601</v>
      </c>
      <c r="J3315">
        <v>5.7299999999999997E-2</v>
      </c>
      <c r="K3315">
        <v>5.7299999999999997E-2</v>
      </c>
      <c r="L3315">
        <v>5.74E-2</v>
      </c>
      <c r="M3315">
        <v>5.74E-2</v>
      </c>
      <c r="N3315">
        <v>5.7500000000000002E-2</v>
      </c>
      <c r="O3315">
        <v>5.7700000000000001E-2</v>
      </c>
      <c r="P3315">
        <v>5.7799999999999997E-2</v>
      </c>
      <c r="Q3315">
        <v>5.79E-2</v>
      </c>
      <c r="R3315">
        <v>5.8099999999999999E-2</v>
      </c>
      <c r="S3315">
        <v>5.8299999999999998E-2</v>
      </c>
      <c r="T3315">
        <v>5.8500000000000003E-2</v>
      </c>
      <c r="U3315">
        <v>5.8700000000000002E-2</v>
      </c>
      <c r="V3315">
        <v>5.8900000000000001E-2</v>
      </c>
      <c r="W3315">
        <v>5.91E-2</v>
      </c>
      <c r="X3315">
        <v>5.9299999999999999E-2</v>
      </c>
      <c r="Y3315">
        <v>5.96E-2</v>
      </c>
    </row>
    <row r="3316" spans="1:25" hidden="1">
      <c r="A3316" t="s">
        <v>18813</v>
      </c>
      <c r="B3316" t="s">
        <v>883</v>
      </c>
      <c r="C3316" t="s">
        <v>841</v>
      </c>
      <c r="D3316" t="s">
        <v>632</v>
      </c>
      <c r="E3316" t="s">
        <v>624</v>
      </c>
      <c r="F3316" t="s">
        <v>598</v>
      </c>
      <c r="G3316" t="s">
        <v>599</v>
      </c>
      <c r="H3316" t="s">
        <v>600</v>
      </c>
      <c r="I3316" t="s">
        <v>601</v>
      </c>
      <c r="J3316">
        <v>9.7000000000000003E-3</v>
      </c>
      <c r="K3316">
        <v>9.7999999999999997E-3</v>
      </c>
      <c r="L3316">
        <v>9.9000000000000008E-3</v>
      </c>
      <c r="M3316">
        <v>0.01</v>
      </c>
      <c r="N3316">
        <v>1.0200000000000001E-2</v>
      </c>
      <c r="O3316">
        <v>1.03E-2</v>
      </c>
      <c r="P3316">
        <v>1.03E-2</v>
      </c>
      <c r="Q3316">
        <v>1.04E-2</v>
      </c>
      <c r="R3316">
        <v>1.04E-2</v>
      </c>
      <c r="S3316">
        <v>1.0500000000000001E-2</v>
      </c>
      <c r="T3316">
        <v>1.0500000000000001E-2</v>
      </c>
      <c r="U3316">
        <v>1.06E-2</v>
      </c>
      <c r="V3316">
        <v>1.06E-2</v>
      </c>
      <c r="W3316">
        <v>1.0699999999999999E-2</v>
      </c>
      <c r="X3316">
        <v>1.0699999999999999E-2</v>
      </c>
      <c r="Y3316">
        <v>1.0800000000000001E-2</v>
      </c>
    </row>
    <row r="3317" spans="1:25" hidden="1">
      <c r="A3317" t="s">
        <v>18813</v>
      </c>
      <c r="B3317" t="s">
        <v>896</v>
      </c>
      <c r="C3317" t="s">
        <v>841</v>
      </c>
      <c r="D3317" t="s">
        <v>640</v>
      </c>
      <c r="E3317" t="s">
        <v>597</v>
      </c>
      <c r="F3317" t="s">
        <v>598</v>
      </c>
      <c r="G3317" t="s">
        <v>599</v>
      </c>
      <c r="H3317" t="s">
        <v>600</v>
      </c>
      <c r="I3317" t="s">
        <v>601</v>
      </c>
      <c r="J3317">
        <v>2.5999999999999999E-3</v>
      </c>
      <c r="K3317">
        <v>2.5999999999999999E-3</v>
      </c>
      <c r="L3317">
        <v>2.8E-3</v>
      </c>
      <c r="M3317">
        <v>2.8999999999999998E-3</v>
      </c>
      <c r="N3317">
        <v>3.0000000000000001E-3</v>
      </c>
      <c r="O3317">
        <v>3.0999999999999999E-3</v>
      </c>
      <c r="P3317">
        <v>3.0999999999999999E-3</v>
      </c>
      <c r="Q3317">
        <v>3.2000000000000002E-3</v>
      </c>
      <c r="R3317">
        <v>3.2000000000000002E-3</v>
      </c>
      <c r="S3317">
        <v>3.2000000000000002E-3</v>
      </c>
      <c r="T3317">
        <v>3.2000000000000002E-3</v>
      </c>
      <c r="U3317">
        <v>3.3E-3</v>
      </c>
      <c r="V3317">
        <v>3.3E-3</v>
      </c>
      <c r="W3317">
        <v>3.3E-3</v>
      </c>
      <c r="X3317">
        <v>3.3999999999999998E-3</v>
      </c>
      <c r="Y3317">
        <v>3.3999999999999998E-3</v>
      </c>
    </row>
    <row r="3318" spans="1:25" hidden="1">
      <c r="A3318" t="s">
        <v>18813</v>
      </c>
      <c r="B3318" t="s">
        <v>897</v>
      </c>
      <c r="C3318" t="s">
        <v>841</v>
      </c>
      <c r="D3318" t="s">
        <v>640</v>
      </c>
      <c r="E3318" t="s">
        <v>642</v>
      </c>
      <c r="F3318" t="s">
        <v>598</v>
      </c>
      <c r="G3318" t="s">
        <v>599</v>
      </c>
      <c r="H3318" t="s">
        <v>600</v>
      </c>
      <c r="I3318" t="s">
        <v>601</v>
      </c>
      <c r="J3318">
        <v>1E-4</v>
      </c>
      <c r="K3318">
        <v>1E-4</v>
      </c>
      <c r="L3318">
        <v>1E-4</v>
      </c>
      <c r="M3318">
        <v>1E-4</v>
      </c>
      <c r="N3318">
        <v>1E-4</v>
      </c>
      <c r="O3318">
        <v>1E-4</v>
      </c>
      <c r="P3318">
        <v>1E-4</v>
      </c>
      <c r="Q3318">
        <v>1E-4</v>
      </c>
      <c r="R3318">
        <v>1E-4</v>
      </c>
      <c r="S3318">
        <v>1E-4</v>
      </c>
      <c r="T3318">
        <v>1E-4</v>
      </c>
      <c r="U3318">
        <v>1E-4</v>
      </c>
      <c r="V3318">
        <v>1E-4</v>
      </c>
      <c r="W3318">
        <v>1E-4</v>
      </c>
      <c r="X3318">
        <v>1E-4</v>
      </c>
      <c r="Y3318">
        <v>1E-4</v>
      </c>
    </row>
    <row r="3319" spans="1:25" hidden="1">
      <c r="A3319" t="s">
        <v>18813</v>
      </c>
      <c r="B3319" t="s">
        <v>900</v>
      </c>
      <c r="C3319" t="s">
        <v>841</v>
      </c>
      <c r="D3319" t="s">
        <v>640</v>
      </c>
      <c r="E3319" t="s">
        <v>619</v>
      </c>
      <c r="F3319" t="s">
        <v>598</v>
      </c>
      <c r="G3319" t="s">
        <v>599</v>
      </c>
      <c r="H3319" t="s">
        <v>600</v>
      </c>
      <c r="I3319" t="s">
        <v>601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25" hidden="1">
      <c r="A3320" t="s">
        <v>18813</v>
      </c>
      <c r="B3320" t="s">
        <v>902</v>
      </c>
      <c r="C3320" t="s">
        <v>841</v>
      </c>
      <c r="D3320" t="s">
        <v>648</v>
      </c>
      <c r="E3320" t="s">
        <v>597</v>
      </c>
      <c r="F3320" t="s">
        <v>598</v>
      </c>
      <c r="G3320" t="s">
        <v>599</v>
      </c>
      <c r="H3320" t="s">
        <v>600</v>
      </c>
      <c r="I3320" t="s">
        <v>601</v>
      </c>
      <c r="J3320">
        <v>8.5900000000000004E-2</v>
      </c>
      <c r="K3320">
        <v>8.6499999999999994E-2</v>
      </c>
      <c r="L3320">
        <v>8.7099999999999997E-2</v>
      </c>
      <c r="M3320">
        <v>8.7900000000000006E-2</v>
      </c>
      <c r="N3320">
        <v>8.8700000000000001E-2</v>
      </c>
      <c r="O3320">
        <v>8.9499999999999996E-2</v>
      </c>
      <c r="P3320">
        <v>9.0300000000000005E-2</v>
      </c>
      <c r="Q3320">
        <v>9.0999999999999998E-2</v>
      </c>
      <c r="R3320">
        <v>9.1499999999999998E-2</v>
      </c>
      <c r="S3320">
        <v>9.2399999999999996E-2</v>
      </c>
      <c r="T3320">
        <v>9.2899999999999996E-2</v>
      </c>
      <c r="U3320">
        <v>9.35E-2</v>
      </c>
      <c r="V3320">
        <v>9.4299999999999995E-2</v>
      </c>
      <c r="W3320">
        <v>9.4700000000000006E-2</v>
      </c>
      <c r="X3320">
        <v>9.5200000000000007E-2</v>
      </c>
      <c r="Y3320">
        <v>9.5899999999999999E-2</v>
      </c>
    </row>
    <row r="3321" spans="1:25" hidden="1">
      <c r="A3321" t="s">
        <v>18813</v>
      </c>
      <c r="B3321" t="s">
        <v>905</v>
      </c>
      <c r="C3321" t="s">
        <v>841</v>
      </c>
      <c r="D3321" t="s">
        <v>648</v>
      </c>
      <c r="E3321" t="s">
        <v>597</v>
      </c>
      <c r="F3321" t="s">
        <v>906</v>
      </c>
      <c r="G3321" t="s">
        <v>599</v>
      </c>
      <c r="H3321" t="s">
        <v>600</v>
      </c>
      <c r="I3321" t="s">
        <v>601</v>
      </c>
      <c r="J3321">
        <v>0.27379999999999999</v>
      </c>
      <c r="K3321">
        <v>0.27410000000000001</v>
      </c>
      <c r="L3321">
        <v>0.27410000000000001</v>
      </c>
      <c r="M3321">
        <v>0.27339999999999998</v>
      </c>
      <c r="N3321">
        <v>0.2717</v>
      </c>
      <c r="O3321">
        <v>0.2676</v>
      </c>
      <c r="P3321">
        <v>0.2651</v>
      </c>
      <c r="Q3321">
        <v>0.26279999999999998</v>
      </c>
      <c r="R3321">
        <v>0.26069999999999999</v>
      </c>
      <c r="S3321">
        <v>0.25879999999999997</v>
      </c>
      <c r="T3321">
        <v>0.25719999999999998</v>
      </c>
      <c r="U3321">
        <v>0.25600000000000001</v>
      </c>
      <c r="V3321">
        <v>0.25530000000000003</v>
      </c>
      <c r="W3321">
        <v>0.2545</v>
      </c>
      <c r="X3321">
        <v>0.25519999999999998</v>
      </c>
      <c r="Y3321">
        <v>0.25580000000000003</v>
      </c>
    </row>
    <row r="3322" spans="1:25" hidden="1">
      <c r="A3322" t="s">
        <v>18813</v>
      </c>
      <c r="B3322" t="s">
        <v>907</v>
      </c>
      <c r="C3322" t="s">
        <v>841</v>
      </c>
      <c r="D3322" t="s">
        <v>648</v>
      </c>
      <c r="E3322" t="s">
        <v>597</v>
      </c>
      <c r="F3322" t="s">
        <v>908</v>
      </c>
      <c r="G3322" t="s">
        <v>599</v>
      </c>
      <c r="H3322" t="s">
        <v>600</v>
      </c>
      <c r="I3322" t="s">
        <v>601</v>
      </c>
      <c r="J3322">
        <v>0.25929999999999997</v>
      </c>
      <c r="K3322">
        <v>0.2596</v>
      </c>
      <c r="L3322">
        <v>0.2596</v>
      </c>
      <c r="M3322">
        <v>0.25900000000000001</v>
      </c>
      <c r="N3322">
        <v>0.25719999999999998</v>
      </c>
      <c r="O3322">
        <v>0.25340000000000001</v>
      </c>
      <c r="P3322">
        <v>0.251</v>
      </c>
      <c r="Q3322">
        <v>0.24890000000000001</v>
      </c>
      <c r="R3322">
        <v>0.24690000000000001</v>
      </c>
      <c r="S3322">
        <v>0.24490000000000001</v>
      </c>
      <c r="T3322">
        <v>0.24349999999999999</v>
      </c>
      <c r="U3322">
        <v>0.24249999999999999</v>
      </c>
      <c r="V3322">
        <v>0.24160000000000001</v>
      </c>
      <c r="W3322">
        <v>0.24110000000000001</v>
      </c>
      <c r="X3322">
        <v>0.24149999999999999</v>
      </c>
      <c r="Y3322">
        <v>0.2422</v>
      </c>
    </row>
    <row r="3323" spans="1:25" hidden="1">
      <c r="A3323" t="s">
        <v>18813</v>
      </c>
      <c r="B3323" t="s">
        <v>909</v>
      </c>
      <c r="C3323" t="s">
        <v>841</v>
      </c>
      <c r="D3323" t="s">
        <v>648</v>
      </c>
      <c r="E3323" t="s">
        <v>642</v>
      </c>
      <c r="F3323" t="s">
        <v>598</v>
      </c>
      <c r="G3323" t="s">
        <v>599</v>
      </c>
      <c r="H3323" t="s">
        <v>600</v>
      </c>
      <c r="I3323" t="s">
        <v>601</v>
      </c>
      <c r="J3323">
        <v>3.2199999999999999E-2</v>
      </c>
      <c r="K3323">
        <v>3.3399999999999999E-2</v>
      </c>
      <c r="L3323">
        <v>3.4700000000000002E-2</v>
      </c>
      <c r="M3323">
        <v>3.5999999999999997E-2</v>
      </c>
      <c r="N3323">
        <v>3.73E-2</v>
      </c>
      <c r="O3323">
        <v>3.8600000000000002E-2</v>
      </c>
      <c r="P3323">
        <v>3.9699999999999999E-2</v>
      </c>
      <c r="Q3323">
        <v>4.0899999999999999E-2</v>
      </c>
      <c r="R3323">
        <v>4.1599999999999998E-2</v>
      </c>
      <c r="S3323">
        <v>4.2299999999999997E-2</v>
      </c>
      <c r="T3323">
        <v>4.2999999999999997E-2</v>
      </c>
      <c r="U3323">
        <v>4.3700000000000003E-2</v>
      </c>
      <c r="V3323">
        <v>4.4499999999999998E-2</v>
      </c>
      <c r="W3323">
        <v>4.5199999999999997E-2</v>
      </c>
      <c r="X3323">
        <v>4.58E-2</v>
      </c>
      <c r="Y3323">
        <v>4.65E-2</v>
      </c>
    </row>
    <row r="3324" spans="1:25" hidden="1">
      <c r="A3324" t="s">
        <v>18813</v>
      </c>
      <c r="B3324" t="s">
        <v>911</v>
      </c>
      <c r="C3324" t="s">
        <v>841</v>
      </c>
      <c r="D3324" t="s">
        <v>648</v>
      </c>
      <c r="E3324" t="s">
        <v>619</v>
      </c>
      <c r="F3324" t="s">
        <v>598</v>
      </c>
      <c r="G3324" t="s">
        <v>599</v>
      </c>
      <c r="H3324" t="s">
        <v>600</v>
      </c>
      <c r="I3324" t="s">
        <v>601</v>
      </c>
      <c r="J3324">
        <v>5.9999999999999995E-4</v>
      </c>
      <c r="K3324">
        <v>5.9999999999999995E-4</v>
      </c>
      <c r="L3324">
        <v>5.9999999999999995E-4</v>
      </c>
      <c r="M3324">
        <v>5.9999999999999995E-4</v>
      </c>
      <c r="N3324">
        <v>5.9999999999999995E-4</v>
      </c>
      <c r="O3324">
        <v>5.9999999999999995E-4</v>
      </c>
      <c r="P3324">
        <v>5.9999999999999995E-4</v>
      </c>
      <c r="Q3324">
        <v>5.9999999999999995E-4</v>
      </c>
      <c r="R3324">
        <v>5.9999999999999995E-4</v>
      </c>
      <c r="S3324">
        <v>5.9999999999999995E-4</v>
      </c>
      <c r="T3324">
        <v>5.9999999999999995E-4</v>
      </c>
      <c r="U3324">
        <v>5.9999999999999995E-4</v>
      </c>
      <c r="V3324">
        <v>5.9999999999999995E-4</v>
      </c>
      <c r="W3324">
        <v>5.9999999999999995E-4</v>
      </c>
      <c r="X3324">
        <v>5.9999999999999995E-4</v>
      </c>
      <c r="Y3324">
        <v>6.9999999999999999E-4</v>
      </c>
    </row>
    <row r="3325" spans="1:25" hidden="1">
      <c r="A3325" t="s">
        <v>18813</v>
      </c>
      <c r="B3325" t="s">
        <v>916</v>
      </c>
      <c r="C3325" t="s">
        <v>914</v>
      </c>
      <c r="D3325" t="s">
        <v>621</v>
      </c>
      <c r="E3325" t="s">
        <v>628</v>
      </c>
      <c r="F3325" t="s">
        <v>598</v>
      </c>
      <c r="G3325" t="s">
        <v>599</v>
      </c>
      <c r="H3325" t="s">
        <v>600</v>
      </c>
      <c r="I3325" t="s">
        <v>601</v>
      </c>
      <c r="J3325">
        <v>3.4804799999999997E-2</v>
      </c>
      <c r="K3325">
        <v>3.4853139999999998E-2</v>
      </c>
      <c r="L3325">
        <v>3.4949819999999999E-2</v>
      </c>
      <c r="M3325">
        <v>3.4949819999999999E-2</v>
      </c>
      <c r="N3325">
        <v>3.5094840000000002E-2</v>
      </c>
      <c r="O3325">
        <v>2.431502E-2</v>
      </c>
      <c r="P3325">
        <v>2.4460039999999999E-2</v>
      </c>
      <c r="Q3325">
        <v>2.4556720000000001E-2</v>
      </c>
      <c r="R3325">
        <v>2.4605060000000002E-2</v>
      </c>
      <c r="S3325">
        <v>2.4605060000000002E-2</v>
      </c>
      <c r="T3325">
        <v>2.4605060000000002E-2</v>
      </c>
      <c r="U3325">
        <v>2.4653399999999999E-2</v>
      </c>
      <c r="V3325">
        <v>2.470174E-2</v>
      </c>
      <c r="W3325">
        <v>2.470174E-2</v>
      </c>
      <c r="X3325">
        <v>2.4750080000000001E-2</v>
      </c>
      <c r="Y3325">
        <v>2.4846759999999999E-2</v>
      </c>
    </row>
    <row r="3326" spans="1:25" hidden="1">
      <c r="A3326" t="s">
        <v>18813</v>
      </c>
      <c r="B3326" t="s">
        <v>917</v>
      </c>
      <c r="C3326" t="s">
        <v>914</v>
      </c>
      <c r="D3326" t="s">
        <v>918</v>
      </c>
      <c r="E3326" t="s">
        <v>649</v>
      </c>
      <c r="F3326" t="s">
        <v>598</v>
      </c>
      <c r="G3326" t="s">
        <v>599</v>
      </c>
      <c r="H3326" t="s">
        <v>600</v>
      </c>
      <c r="I3326" t="s">
        <v>601</v>
      </c>
      <c r="J3326">
        <v>1.4999999999999999E-2</v>
      </c>
      <c r="K3326">
        <v>1.49E-2</v>
      </c>
      <c r="L3326">
        <v>1.4800000000000001E-2</v>
      </c>
      <c r="M3326">
        <v>1.49E-2</v>
      </c>
      <c r="N3326">
        <v>1.49E-2</v>
      </c>
      <c r="O3326">
        <v>1.49E-2</v>
      </c>
      <c r="P3326">
        <v>1.54E-2</v>
      </c>
      <c r="Q3326">
        <v>1.5699999999999999E-2</v>
      </c>
      <c r="R3326">
        <v>1.61E-2</v>
      </c>
      <c r="S3326">
        <v>1.6199999999999999E-2</v>
      </c>
      <c r="T3326">
        <v>1.6299999999999999E-2</v>
      </c>
      <c r="U3326">
        <v>1.6299999999999999E-2</v>
      </c>
      <c r="V3326">
        <v>1.6400000000000001E-2</v>
      </c>
      <c r="W3326">
        <v>1.6400000000000001E-2</v>
      </c>
      <c r="X3326">
        <v>1.6400000000000001E-2</v>
      </c>
      <c r="Y3326">
        <v>1.6400000000000001E-2</v>
      </c>
    </row>
    <row r="3327" spans="1:25" hidden="1">
      <c r="A3327" t="s">
        <v>18813</v>
      </c>
      <c r="B3327" t="s">
        <v>919</v>
      </c>
      <c r="C3327" t="s">
        <v>914</v>
      </c>
      <c r="D3327" t="s">
        <v>648</v>
      </c>
      <c r="E3327" t="s">
        <v>920</v>
      </c>
      <c r="F3327" t="s">
        <v>598</v>
      </c>
      <c r="G3327" t="s">
        <v>599</v>
      </c>
      <c r="H3327" t="s">
        <v>600</v>
      </c>
      <c r="I3327" t="s">
        <v>601</v>
      </c>
      <c r="J3327">
        <v>0.122</v>
      </c>
      <c r="K3327">
        <v>0.1226</v>
      </c>
      <c r="L3327">
        <v>0.1231</v>
      </c>
      <c r="M3327">
        <v>0.1237</v>
      </c>
      <c r="N3327">
        <v>0.1242</v>
      </c>
      <c r="O3327">
        <v>0.12479999999999999</v>
      </c>
      <c r="P3327">
        <v>0.125</v>
      </c>
      <c r="Q3327">
        <v>0.12540000000000001</v>
      </c>
      <c r="R3327">
        <v>0.12559999999999999</v>
      </c>
      <c r="S3327">
        <v>0.1258</v>
      </c>
      <c r="T3327">
        <v>0.12609999999999999</v>
      </c>
      <c r="U3327">
        <v>0.1263</v>
      </c>
      <c r="V3327">
        <v>0.1265</v>
      </c>
      <c r="W3327">
        <v>0.1268</v>
      </c>
      <c r="X3327">
        <v>0.12709999999999999</v>
      </c>
      <c r="Y3327">
        <v>0.1273</v>
      </c>
    </row>
    <row r="3328" spans="1:25" hidden="1">
      <c r="A3328" t="s">
        <v>18813</v>
      </c>
      <c r="B3328" t="s">
        <v>924</v>
      </c>
      <c r="C3328" t="s">
        <v>925</v>
      </c>
      <c r="D3328" t="s">
        <v>926</v>
      </c>
      <c r="E3328" t="s">
        <v>927</v>
      </c>
      <c r="F3328" t="s">
        <v>598</v>
      </c>
      <c r="G3328" t="s">
        <v>599</v>
      </c>
      <c r="H3328" t="s">
        <v>600</v>
      </c>
      <c r="I3328" t="s">
        <v>601</v>
      </c>
      <c r="J3328">
        <v>2.0000000000000001E-4</v>
      </c>
      <c r="K3328">
        <v>2.0000000000000001E-4</v>
      </c>
      <c r="L3328">
        <v>2.0000000000000001E-4</v>
      </c>
      <c r="M3328">
        <v>2.0000000000000001E-4</v>
      </c>
      <c r="N3328">
        <v>2.0000000000000001E-4</v>
      </c>
      <c r="O3328">
        <v>2.0000000000000001E-4</v>
      </c>
      <c r="P3328">
        <v>2.0000000000000001E-4</v>
      </c>
      <c r="Q3328">
        <v>2.9999999999999997E-4</v>
      </c>
      <c r="R3328">
        <v>2.9999999999999997E-4</v>
      </c>
      <c r="S3328">
        <v>2.9999999999999997E-4</v>
      </c>
      <c r="T3328">
        <v>2.9999999999999997E-4</v>
      </c>
      <c r="U3328">
        <v>2.9999999999999997E-4</v>
      </c>
      <c r="V3328">
        <v>2.9999999999999997E-4</v>
      </c>
      <c r="W3328">
        <v>2.9999999999999997E-4</v>
      </c>
      <c r="X3328">
        <v>2.9999999999999997E-4</v>
      </c>
      <c r="Y3328">
        <v>2.9999999999999997E-4</v>
      </c>
    </row>
    <row r="3329" spans="1:25" hidden="1">
      <c r="A3329" t="s">
        <v>18813</v>
      </c>
      <c r="B3329" t="s">
        <v>938</v>
      </c>
      <c r="C3329" t="s">
        <v>925</v>
      </c>
      <c r="D3329" t="s">
        <v>934</v>
      </c>
      <c r="E3329" t="s">
        <v>768</v>
      </c>
      <c r="F3329" t="s">
        <v>598</v>
      </c>
      <c r="G3329" t="s">
        <v>599</v>
      </c>
      <c r="H3329" t="s">
        <v>600</v>
      </c>
      <c r="I3329" t="s">
        <v>601</v>
      </c>
      <c r="J3329">
        <v>2.7000000000000001E-3</v>
      </c>
      <c r="K3329">
        <v>2.8E-3</v>
      </c>
      <c r="L3329">
        <v>2.8E-3</v>
      </c>
      <c r="M3329">
        <v>2.8E-3</v>
      </c>
      <c r="N3329">
        <v>2.8999999999999998E-3</v>
      </c>
      <c r="O3329">
        <v>2.8999999999999998E-3</v>
      </c>
      <c r="P3329">
        <v>2.8999999999999998E-3</v>
      </c>
      <c r="Q3329">
        <v>2.8999999999999998E-3</v>
      </c>
      <c r="R3329">
        <v>3.0000000000000001E-3</v>
      </c>
      <c r="S3329">
        <v>3.0000000000000001E-3</v>
      </c>
      <c r="T3329">
        <v>3.0000000000000001E-3</v>
      </c>
      <c r="U3329">
        <v>3.0000000000000001E-3</v>
      </c>
      <c r="V3329">
        <v>3.0000000000000001E-3</v>
      </c>
      <c r="W3329">
        <v>3.0000000000000001E-3</v>
      </c>
      <c r="X3329">
        <v>3.0999999999999999E-3</v>
      </c>
      <c r="Y3329">
        <v>3.0999999999999999E-3</v>
      </c>
    </row>
    <row r="3330" spans="1:25" hidden="1">
      <c r="A3330" t="s">
        <v>18813</v>
      </c>
      <c r="B3330" t="s">
        <v>941</v>
      </c>
      <c r="C3330" t="s">
        <v>925</v>
      </c>
      <c r="D3330" t="s">
        <v>648</v>
      </c>
      <c r="E3330" t="s">
        <v>619</v>
      </c>
      <c r="F3330" t="s">
        <v>598</v>
      </c>
      <c r="G3330" t="s">
        <v>599</v>
      </c>
      <c r="H3330" t="s">
        <v>600</v>
      </c>
      <c r="I3330" t="s">
        <v>601</v>
      </c>
      <c r="J3330">
        <v>1.4E-3</v>
      </c>
      <c r="K3330">
        <v>1.4E-3</v>
      </c>
      <c r="L3330">
        <v>1.4E-3</v>
      </c>
      <c r="M3330">
        <v>1.5E-3</v>
      </c>
      <c r="N3330">
        <v>1.5E-3</v>
      </c>
      <c r="O3330">
        <v>1.5E-3</v>
      </c>
      <c r="P3330">
        <v>1.5E-3</v>
      </c>
      <c r="Q3330">
        <v>1.5E-3</v>
      </c>
      <c r="R3330">
        <v>1.6000000000000001E-3</v>
      </c>
      <c r="S3330">
        <v>1.6000000000000001E-3</v>
      </c>
      <c r="T3330">
        <v>1.6000000000000001E-3</v>
      </c>
      <c r="U3330">
        <v>1.6000000000000001E-3</v>
      </c>
      <c r="V3330">
        <v>1.6000000000000001E-3</v>
      </c>
      <c r="W3330">
        <v>1.6000000000000001E-3</v>
      </c>
      <c r="X3330">
        <v>1.6000000000000001E-3</v>
      </c>
      <c r="Y3330">
        <v>1.6999999999999999E-3</v>
      </c>
    </row>
    <row r="3331" spans="1:25" hidden="1">
      <c r="A3331" t="s">
        <v>18813</v>
      </c>
      <c r="B3331" t="s">
        <v>942</v>
      </c>
      <c r="C3331" t="s">
        <v>943</v>
      </c>
      <c r="D3331" t="s">
        <v>944</v>
      </c>
      <c r="E3331" t="s">
        <v>613</v>
      </c>
      <c r="F3331" t="s">
        <v>598</v>
      </c>
      <c r="G3331" t="s">
        <v>599</v>
      </c>
      <c r="H3331" t="s">
        <v>600</v>
      </c>
      <c r="I3331" t="s">
        <v>601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</row>
    <row r="3332" spans="1:25" hidden="1">
      <c r="A3332" t="s">
        <v>18813</v>
      </c>
      <c r="B3332" t="s">
        <v>947</v>
      </c>
      <c r="C3332" t="s">
        <v>943</v>
      </c>
      <c r="D3332" t="s">
        <v>946</v>
      </c>
      <c r="E3332" t="s">
        <v>948</v>
      </c>
      <c r="F3332" t="s">
        <v>598</v>
      </c>
      <c r="G3332" t="s">
        <v>599</v>
      </c>
      <c r="H3332" t="s">
        <v>600</v>
      </c>
      <c r="I3332" t="s">
        <v>601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hidden="1">
      <c r="A3333" t="s">
        <v>18813</v>
      </c>
      <c r="B3333" t="s">
        <v>951</v>
      </c>
      <c r="C3333" t="s">
        <v>943</v>
      </c>
      <c r="D3333" t="s">
        <v>934</v>
      </c>
      <c r="E3333" t="s">
        <v>937</v>
      </c>
      <c r="F3333" t="s">
        <v>598</v>
      </c>
      <c r="G3333" t="s">
        <v>599</v>
      </c>
      <c r="H3333" t="s">
        <v>600</v>
      </c>
      <c r="I3333" t="s">
        <v>601</v>
      </c>
      <c r="J3333">
        <v>0.13370000000000001</v>
      </c>
      <c r="K3333">
        <v>0.13600000000000001</v>
      </c>
      <c r="L3333">
        <v>0.13850000000000001</v>
      </c>
      <c r="M3333">
        <v>0.1411</v>
      </c>
      <c r="N3333">
        <v>0.1434</v>
      </c>
      <c r="O3333">
        <v>0.14580000000000001</v>
      </c>
      <c r="P3333">
        <v>0.1474</v>
      </c>
      <c r="Q3333">
        <v>0.14910000000000001</v>
      </c>
      <c r="R3333">
        <v>0.1502</v>
      </c>
      <c r="S3333">
        <v>0.15190000000000001</v>
      </c>
      <c r="T3333">
        <v>0.15359999999999999</v>
      </c>
      <c r="U3333">
        <v>0.15479999999999999</v>
      </c>
      <c r="V3333">
        <v>0.15629999999999999</v>
      </c>
      <c r="W3333">
        <v>0.15759999999999999</v>
      </c>
      <c r="X3333">
        <v>0.15920000000000001</v>
      </c>
      <c r="Y3333">
        <v>0.16039999999999999</v>
      </c>
    </row>
    <row r="3334" spans="1:25" hidden="1">
      <c r="A3334" t="s">
        <v>18813</v>
      </c>
      <c r="B3334" t="s">
        <v>952</v>
      </c>
      <c r="C3334" t="s">
        <v>943</v>
      </c>
      <c r="D3334" t="s">
        <v>648</v>
      </c>
      <c r="E3334" t="s">
        <v>613</v>
      </c>
      <c r="F3334" t="s">
        <v>598</v>
      </c>
      <c r="G3334" t="s">
        <v>599</v>
      </c>
      <c r="H3334" t="s">
        <v>600</v>
      </c>
      <c r="I3334" t="s">
        <v>601</v>
      </c>
      <c r="J3334">
        <v>8.0000000000000004E-4</v>
      </c>
      <c r="K3334">
        <v>8.0000000000000004E-4</v>
      </c>
      <c r="L3334">
        <v>8.0000000000000004E-4</v>
      </c>
      <c r="M3334">
        <v>8.0000000000000004E-4</v>
      </c>
      <c r="N3334">
        <v>8.9999999999999998E-4</v>
      </c>
      <c r="O3334">
        <v>8.9999999999999998E-4</v>
      </c>
      <c r="P3334">
        <v>8.9999999999999998E-4</v>
      </c>
      <c r="Q3334">
        <v>8.9999999999999998E-4</v>
      </c>
      <c r="R3334">
        <v>8.9999999999999998E-4</v>
      </c>
      <c r="S3334">
        <v>8.9999999999999998E-4</v>
      </c>
      <c r="T3334">
        <v>8.9999999999999998E-4</v>
      </c>
      <c r="U3334">
        <v>8.9999999999999998E-4</v>
      </c>
      <c r="V3334">
        <v>8.9999999999999998E-4</v>
      </c>
      <c r="W3334">
        <v>8.9999999999999998E-4</v>
      </c>
      <c r="X3334">
        <v>1E-3</v>
      </c>
      <c r="Y3334">
        <v>1E-3</v>
      </c>
    </row>
    <row r="3335" spans="1:25" hidden="1">
      <c r="A3335" t="s">
        <v>18813</v>
      </c>
      <c r="B3335" t="s">
        <v>955</v>
      </c>
      <c r="C3335" t="s">
        <v>956</v>
      </c>
      <c r="D3335" t="s">
        <v>931</v>
      </c>
      <c r="E3335" t="s">
        <v>597</v>
      </c>
      <c r="F3335" t="s">
        <v>598</v>
      </c>
      <c r="G3335" t="s">
        <v>599</v>
      </c>
      <c r="H3335" t="s">
        <v>600</v>
      </c>
      <c r="I3335" t="s">
        <v>601</v>
      </c>
      <c r="J3335">
        <v>3.1899999999999998E-2</v>
      </c>
      <c r="K3335">
        <v>3.2399999999999998E-2</v>
      </c>
      <c r="L3335">
        <v>3.3500000000000002E-2</v>
      </c>
      <c r="M3335">
        <v>3.3700000000000001E-2</v>
      </c>
      <c r="N3335">
        <v>3.4299999999999997E-2</v>
      </c>
      <c r="O3335">
        <v>3.49E-2</v>
      </c>
      <c r="P3335">
        <v>3.5999999999999997E-2</v>
      </c>
      <c r="Q3335">
        <v>3.6499999999999998E-2</v>
      </c>
      <c r="R3335">
        <v>3.6700000000000003E-2</v>
      </c>
      <c r="S3335">
        <v>3.6900000000000002E-2</v>
      </c>
      <c r="T3335">
        <v>3.7400000000000003E-2</v>
      </c>
      <c r="U3335">
        <v>3.7400000000000003E-2</v>
      </c>
      <c r="V3335">
        <v>3.7600000000000001E-2</v>
      </c>
      <c r="W3335">
        <v>3.78E-2</v>
      </c>
      <c r="X3335">
        <v>3.8300000000000001E-2</v>
      </c>
      <c r="Y3335">
        <v>3.85E-2</v>
      </c>
    </row>
    <row r="3336" spans="1:25" hidden="1">
      <c r="A3336" t="s">
        <v>18813</v>
      </c>
      <c r="B3336" t="s">
        <v>959</v>
      </c>
      <c r="C3336" t="s">
        <v>956</v>
      </c>
      <c r="D3336" t="s">
        <v>931</v>
      </c>
      <c r="E3336" t="s">
        <v>613</v>
      </c>
      <c r="F3336" t="s">
        <v>598</v>
      </c>
      <c r="G3336" t="s">
        <v>599</v>
      </c>
      <c r="H3336" t="s">
        <v>600</v>
      </c>
      <c r="I3336" t="s">
        <v>601</v>
      </c>
      <c r="J3336">
        <v>2.6700000000000002E-2</v>
      </c>
      <c r="K3336">
        <v>2.7400000000000001E-2</v>
      </c>
      <c r="L3336">
        <v>2.81E-2</v>
      </c>
      <c r="M3336">
        <v>2.87E-2</v>
      </c>
      <c r="N3336">
        <v>2.9399999999999999E-2</v>
      </c>
      <c r="O3336">
        <v>0.03</v>
      </c>
      <c r="P3336">
        <v>3.0200000000000001E-2</v>
      </c>
      <c r="Q3336">
        <v>3.0499999999999999E-2</v>
      </c>
      <c r="R3336">
        <v>3.0700000000000002E-2</v>
      </c>
      <c r="S3336">
        <v>3.1099999999999999E-2</v>
      </c>
      <c r="T3336">
        <v>3.1199999999999999E-2</v>
      </c>
      <c r="U3336">
        <v>3.15E-2</v>
      </c>
      <c r="V3336">
        <v>3.1800000000000002E-2</v>
      </c>
      <c r="W3336">
        <v>3.2099999999999997E-2</v>
      </c>
      <c r="X3336">
        <v>3.2300000000000002E-2</v>
      </c>
      <c r="Y3336">
        <v>3.2500000000000001E-2</v>
      </c>
    </row>
    <row r="3337" spans="1:25" hidden="1">
      <c r="A3337" t="s">
        <v>18813</v>
      </c>
      <c r="B3337" t="s">
        <v>963</v>
      </c>
      <c r="C3337" t="s">
        <v>956</v>
      </c>
      <c r="D3337" t="s">
        <v>934</v>
      </c>
      <c r="E3337" t="s">
        <v>597</v>
      </c>
      <c r="F3337" t="s">
        <v>598</v>
      </c>
      <c r="G3337" t="s">
        <v>599</v>
      </c>
      <c r="H3337" t="s">
        <v>600</v>
      </c>
      <c r="I3337" t="s">
        <v>601</v>
      </c>
      <c r="J3337">
        <v>1.0699999999999999E-2</v>
      </c>
      <c r="K3337">
        <v>1.11E-2</v>
      </c>
      <c r="L3337">
        <v>1.1599999999999999E-2</v>
      </c>
      <c r="M3337">
        <v>1.1900000000000001E-2</v>
      </c>
      <c r="N3337">
        <v>1.24E-2</v>
      </c>
      <c r="O3337">
        <v>1.2699999999999999E-2</v>
      </c>
      <c r="P3337">
        <v>1.32E-2</v>
      </c>
      <c r="Q3337">
        <v>1.37E-2</v>
      </c>
      <c r="R3337">
        <v>1.38E-2</v>
      </c>
      <c r="S3337">
        <v>1.4E-2</v>
      </c>
      <c r="T3337">
        <v>1.41E-2</v>
      </c>
      <c r="U3337">
        <v>1.4200000000000001E-2</v>
      </c>
      <c r="V3337">
        <v>1.4500000000000001E-2</v>
      </c>
      <c r="W3337">
        <v>1.46E-2</v>
      </c>
      <c r="X3337">
        <v>1.49E-2</v>
      </c>
      <c r="Y3337">
        <v>1.4999999999999999E-2</v>
      </c>
    </row>
    <row r="3338" spans="1:25" hidden="1">
      <c r="A3338" t="s">
        <v>18813</v>
      </c>
      <c r="B3338" t="s">
        <v>965</v>
      </c>
      <c r="C3338" t="s">
        <v>956</v>
      </c>
      <c r="D3338" t="s">
        <v>934</v>
      </c>
      <c r="E3338" t="s">
        <v>937</v>
      </c>
      <c r="F3338" t="s">
        <v>598</v>
      </c>
      <c r="G3338" t="s">
        <v>599</v>
      </c>
      <c r="H3338" t="s">
        <v>600</v>
      </c>
      <c r="I3338" t="s">
        <v>601</v>
      </c>
      <c r="J3338">
        <v>3.7000000000000002E-3</v>
      </c>
      <c r="K3338">
        <v>3.8E-3</v>
      </c>
      <c r="L3338">
        <v>3.8999999999999998E-3</v>
      </c>
      <c r="M3338">
        <v>4.0000000000000001E-3</v>
      </c>
      <c r="N3338">
        <v>4.1000000000000003E-3</v>
      </c>
      <c r="O3338">
        <v>4.1999999999999997E-3</v>
      </c>
      <c r="P3338">
        <v>4.1999999999999997E-3</v>
      </c>
      <c r="Q3338">
        <v>4.3E-3</v>
      </c>
      <c r="R3338">
        <v>4.4000000000000003E-3</v>
      </c>
      <c r="S3338">
        <v>4.4000000000000003E-3</v>
      </c>
      <c r="T3338">
        <v>4.4999999999999997E-3</v>
      </c>
      <c r="U3338">
        <v>4.4999999999999997E-3</v>
      </c>
      <c r="V3338">
        <v>4.5999999999999999E-3</v>
      </c>
      <c r="W3338">
        <v>4.5999999999999999E-3</v>
      </c>
      <c r="X3338">
        <v>4.7000000000000002E-3</v>
      </c>
      <c r="Y3338">
        <v>4.7000000000000002E-3</v>
      </c>
    </row>
    <row r="3339" spans="1:25" hidden="1">
      <c r="A3339" t="s">
        <v>18813</v>
      </c>
      <c r="B3339" t="s">
        <v>966</v>
      </c>
      <c r="C3339" t="s">
        <v>956</v>
      </c>
      <c r="D3339" t="s">
        <v>648</v>
      </c>
      <c r="E3339" t="s">
        <v>597</v>
      </c>
      <c r="F3339" t="s">
        <v>598</v>
      </c>
      <c r="G3339" t="s">
        <v>599</v>
      </c>
      <c r="H3339" t="s">
        <v>600</v>
      </c>
      <c r="I3339" t="s">
        <v>601</v>
      </c>
      <c r="J3339">
        <v>1.1999999999999999E-3</v>
      </c>
      <c r="K3339">
        <v>1.1999999999999999E-3</v>
      </c>
      <c r="L3339">
        <v>1.1999999999999999E-3</v>
      </c>
      <c r="M3339">
        <v>1.2999999999999999E-3</v>
      </c>
      <c r="N3339">
        <v>1.2999999999999999E-3</v>
      </c>
      <c r="O3339">
        <v>1.2999999999999999E-3</v>
      </c>
      <c r="P3339">
        <v>1.2999999999999999E-3</v>
      </c>
      <c r="Q3339">
        <v>1.2999999999999999E-3</v>
      </c>
      <c r="R3339">
        <v>1.4E-3</v>
      </c>
      <c r="S3339">
        <v>1.4E-3</v>
      </c>
      <c r="T3339">
        <v>1.4E-3</v>
      </c>
      <c r="U3339">
        <v>1.4E-3</v>
      </c>
      <c r="V3339">
        <v>1.5E-3</v>
      </c>
      <c r="W3339">
        <v>1.5E-3</v>
      </c>
      <c r="X3339">
        <v>1.5E-3</v>
      </c>
      <c r="Y3339">
        <v>1.5E-3</v>
      </c>
    </row>
    <row r="3340" spans="1:25" hidden="1">
      <c r="A3340" t="s">
        <v>18813</v>
      </c>
      <c r="B3340" t="s">
        <v>969</v>
      </c>
      <c r="C3340" t="s">
        <v>956</v>
      </c>
      <c r="D3340" t="s">
        <v>648</v>
      </c>
      <c r="E3340" t="s">
        <v>619</v>
      </c>
      <c r="F3340" t="s">
        <v>598</v>
      </c>
      <c r="G3340" t="s">
        <v>599</v>
      </c>
      <c r="H3340" t="s">
        <v>600</v>
      </c>
      <c r="I3340" t="s">
        <v>601</v>
      </c>
      <c r="J3340">
        <v>2.0000000000000001E-4</v>
      </c>
      <c r="K3340">
        <v>2.0000000000000001E-4</v>
      </c>
      <c r="L3340">
        <v>2.0000000000000001E-4</v>
      </c>
      <c r="M3340">
        <v>2.0000000000000001E-4</v>
      </c>
      <c r="N3340">
        <v>2.0000000000000001E-4</v>
      </c>
      <c r="O3340">
        <v>2.0000000000000001E-4</v>
      </c>
      <c r="P3340">
        <v>2.0000000000000001E-4</v>
      </c>
      <c r="Q3340">
        <v>2.0000000000000001E-4</v>
      </c>
      <c r="R3340">
        <v>2.0000000000000001E-4</v>
      </c>
      <c r="S3340">
        <v>2.0000000000000001E-4</v>
      </c>
      <c r="T3340">
        <v>2.0000000000000001E-4</v>
      </c>
      <c r="U3340">
        <v>2.0000000000000001E-4</v>
      </c>
      <c r="V3340">
        <v>2.0000000000000001E-4</v>
      </c>
      <c r="W3340">
        <v>2.0000000000000001E-4</v>
      </c>
      <c r="X3340">
        <v>2.0000000000000001E-4</v>
      </c>
      <c r="Y3340">
        <v>2.0000000000000001E-4</v>
      </c>
    </row>
    <row r="3341" spans="1:25" hidden="1">
      <c r="A3341" t="s">
        <v>18813</v>
      </c>
      <c r="B3341" t="s">
        <v>970</v>
      </c>
      <c r="C3341" t="s">
        <v>971</v>
      </c>
      <c r="D3341" t="s">
        <v>972</v>
      </c>
      <c r="E3341" t="s">
        <v>973</v>
      </c>
      <c r="F3341" t="s">
        <v>598</v>
      </c>
      <c r="G3341" t="s">
        <v>599</v>
      </c>
      <c r="H3341" t="s">
        <v>600</v>
      </c>
      <c r="I3341" t="s">
        <v>601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hidden="1">
      <c r="A3342" t="s">
        <v>18813</v>
      </c>
      <c r="B3342" t="s">
        <v>981</v>
      </c>
      <c r="C3342" t="s">
        <v>980</v>
      </c>
      <c r="D3342" t="s">
        <v>982</v>
      </c>
      <c r="E3342" t="s">
        <v>613</v>
      </c>
      <c r="F3342" t="s">
        <v>598</v>
      </c>
      <c r="G3342" t="s">
        <v>599</v>
      </c>
      <c r="H3342" t="s">
        <v>600</v>
      </c>
      <c r="I3342" t="s">
        <v>601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hidden="1">
      <c r="A3343" t="s">
        <v>18813</v>
      </c>
      <c r="B3343" t="s">
        <v>983</v>
      </c>
      <c r="C3343" t="s">
        <v>980</v>
      </c>
      <c r="D3343" t="s">
        <v>982</v>
      </c>
      <c r="E3343" t="s">
        <v>984</v>
      </c>
      <c r="F3343" t="s">
        <v>598</v>
      </c>
      <c r="G3343" t="s">
        <v>599</v>
      </c>
      <c r="H3343" t="s">
        <v>600</v>
      </c>
      <c r="I3343" t="s">
        <v>601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hidden="1">
      <c r="A3344" t="s">
        <v>18813</v>
      </c>
      <c r="B3344" t="s">
        <v>988</v>
      </c>
      <c r="C3344" t="s">
        <v>980</v>
      </c>
      <c r="D3344" t="s">
        <v>648</v>
      </c>
      <c r="E3344" t="s">
        <v>920</v>
      </c>
      <c r="F3344" t="s">
        <v>598</v>
      </c>
      <c r="G3344" t="s">
        <v>599</v>
      </c>
      <c r="H3344" t="s">
        <v>600</v>
      </c>
      <c r="I3344" t="s">
        <v>601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hidden="1">
      <c r="A3345" t="s">
        <v>18813</v>
      </c>
      <c r="B3345" t="s">
        <v>989</v>
      </c>
      <c r="C3345" t="s">
        <v>980</v>
      </c>
      <c r="D3345" t="s">
        <v>648</v>
      </c>
      <c r="E3345" t="s">
        <v>613</v>
      </c>
      <c r="F3345" t="s">
        <v>598</v>
      </c>
      <c r="G3345" t="s">
        <v>599</v>
      </c>
      <c r="H3345" t="s">
        <v>600</v>
      </c>
      <c r="I3345" t="s">
        <v>601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hidden="1">
      <c r="A3346" t="s">
        <v>18813</v>
      </c>
      <c r="B3346" t="s">
        <v>991</v>
      </c>
      <c r="C3346" t="s">
        <v>980</v>
      </c>
      <c r="D3346" t="s">
        <v>648</v>
      </c>
      <c r="E3346" t="s">
        <v>927</v>
      </c>
      <c r="F3346" t="s">
        <v>598</v>
      </c>
      <c r="G3346" t="s">
        <v>599</v>
      </c>
      <c r="H3346" t="s">
        <v>600</v>
      </c>
      <c r="I3346" t="s">
        <v>601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hidden="1">
      <c r="A3347" t="s">
        <v>18813</v>
      </c>
      <c r="B3347" t="s">
        <v>993</v>
      </c>
      <c r="C3347" t="s">
        <v>980</v>
      </c>
      <c r="D3347" t="s">
        <v>648</v>
      </c>
      <c r="E3347" t="s">
        <v>678</v>
      </c>
      <c r="F3347" t="s">
        <v>598</v>
      </c>
      <c r="G3347" t="s">
        <v>599</v>
      </c>
      <c r="H3347" t="s">
        <v>600</v>
      </c>
      <c r="I3347" t="s">
        <v>601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hidden="1">
      <c r="A3348" t="s">
        <v>18813</v>
      </c>
      <c r="B3348" t="s">
        <v>995</v>
      </c>
      <c r="C3348" t="s">
        <v>980</v>
      </c>
      <c r="D3348" t="s">
        <v>648</v>
      </c>
      <c r="E3348" t="s">
        <v>996</v>
      </c>
      <c r="F3348" t="s">
        <v>598</v>
      </c>
      <c r="G3348" t="s">
        <v>599</v>
      </c>
      <c r="H3348" t="s">
        <v>600</v>
      </c>
      <c r="I3348" t="s">
        <v>601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hidden="1">
      <c r="A3349" t="s">
        <v>18813</v>
      </c>
      <c r="B3349" t="s">
        <v>997</v>
      </c>
      <c r="C3349" t="s">
        <v>998</v>
      </c>
      <c r="D3349" t="s">
        <v>999</v>
      </c>
      <c r="E3349" t="s">
        <v>1000</v>
      </c>
      <c r="F3349" t="s">
        <v>598</v>
      </c>
      <c r="G3349" t="s">
        <v>599</v>
      </c>
      <c r="H3349" t="s">
        <v>600</v>
      </c>
      <c r="I3349" t="s">
        <v>601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hidden="1">
      <c r="A3350" t="s">
        <v>18813</v>
      </c>
      <c r="B3350" t="s">
        <v>1001</v>
      </c>
      <c r="C3350" t="s">
        <v>998</v>
      </c>
      <c r="D3350" t="s">
        <v>999</v>
      </c>
      <c r="E3350" t="s">
        <v>1002</v>
      </c>
      <c r="F3350" t="s">
        <v>598</v>
      </c>
      <c r="G3350" t="s">
        <v>599</v>
      </c>
      <c r="H3350" t="s">
        <v>600</v>
      </c>
      <c r="I3350" t="s">
        <v>601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hidden="1">
      <c r="A3351" t="s">
        <v>18813</v>
      </c>
      <c r="B3351" t="s">
        <v>1005</v>
      </c>
      <c r="C3351" t="s">
        <v>998</v>
      </c>
      <c r="D3351" t="s">
        <v>999</v>
      </c>
      <c r="E3351" t="s">
        <v>1006</v>
      </c>
      <c r="F3351" t="s">
        <v>598</v>
      </c>
      <c r="G3351" t="s">
        <v>599</v>
      </c>
      <c r="H3351" t="s">
        <v>600</v>
      </c>
      <c r="I3351" t="s">
        <v>601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hidden="1">
      <c r="A3352" t="s">
        <v>18813</v>
      </c>
      <c r="B3352" t="s">
        <v>1009</v>
      </c>
      <c r="C3352" t="s">
        <v>998</v>
      </c>
      <c r="D3352" t="s">
        <v>999</v>
      </c>
      <c r="E3352" t="s">
        <v>1010</v>
      </c>
      <c r="F3352" t="s">
        <v>598</v>
      </c>
      <c r="G3352" t="s">
        <v>599</v>
      </c>
      <c r="H3352" t="s">
        <v>600</v>
      </c>
      <c r="I3352" t="s">
        <v>601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hidden="1">
      <c r="A3353" t="s">
        <v>18813</v>
      </c>
      <c r="B3353" t="s">
        <v>1013</v>
      </c>
      <c r="C3353" t="s">
        <v>998</v>
      </c>
      <c r="D3353" t="s">
        <v>648</v>
      </c>
      <c r="E3353" t="s">
        <v>1014</v>
      </c>
      <c r="F3353" t="s">
        <v>598</v>
      </c>
      <c r="G3353" t="s">
        <v>599</v>
      </c>
      <c r="H3353" t="s">
        <v>600</v>
      </c>
      <c r="I3353" t="s">
        <v>601</v>
      </c>
      <c r="J3353">
        <v>1E-4</v>
      </c>
      <c r="K3353">
        <v>1E-4</v>
      </c>
      <c r="L3353">
        <v>1E-4</v>
      </c>
      <c r="M3353">
        <v>1E-4</v>
      </c>
      <c r="N3353">
        <v>1E-4</v>
      </c>
      <c r="O3353">
        <v>1E-4</v>
      </c>
      <c r="P3353">
        <v>1E-4</v>
      </c>
      <c r="Q3353">
        <v>1E-4</v>
      </c>
      <c r="R3353">
        <v>1E-4</v>
      </c>
      <c r="S3353">
        <v>1E-4</v>
      </c>
      <c r="T3353">
        <v>1E-4</v>
      </c>
      <c r="U3353">
        <v>1E-4</v>
      </c>
      <c r="V3353">
        <v>1E-4</v>
      </c>
      <c r="W3353">
        <v>1E-4</v>
      </c>
      <c r="X3353">
        <v>1E-4</v>
      </c>
      <c r="Y3353">
        <v>1E-4</v>
      </c>
    </row>
    <row r="3354" spans="1:25" hidden="1">
      <c r="A3354" t="s">
        <v>18813</v>
      </c>
      <c r="B3354" t="s">
        <v>1015</v>
      </c>
      <c r="C3354" t="s">
        <v>1016</v>
      </c>
      <c r="D3354" t="s">
        <v>1017</v>
      </c>
      <c r="E3354" t="s">
        <v>1018</v>
      </c>
      <c r="F3354" t="s">
        <v>598</v>
      </c>
      <c r="G3354" t="s">
        <v>599</v>
      </c>
      <c r="H3354" t="s">
        <v>600</v>
      </c>
      <c r="I3354" t="s">
        <v>601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hidden="1">
      <c r="A3355" t="s">
        <v>18813</v>
      </c>
      <c r="B3355" t="s">
        <v>1021</v>
      </c>
      <c r="C3355" t="s">
        <v>1016</v>
      </c>
      <c r="D3355" t="s">
        <v>1017</v>
      </c>
      <c r="E3355" t="s">
        <v>1022</v>
      </c>
      <c r="F3355" t="s">
        <v>598</v>
      </c>
      <c r="G3355" t="s">
        <v>599</v>
      </c>
      <c r="H3355" t="s">
        <v>600</v>
      </c>
      <c r="I3355" t="s">
        <v>601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hidden="1">
      <c r="A3356" t="s">
        <v>18813</v>
      </c>
      <c r="B3356" t="s">
        <v>1023</v>
      </c>
      <c r="C3356" t="s">
        <v>1016</v>
      </c>
      <c r="D3356" t="s">
        <v>1017</v>
      </c>
      <c r="E3356" t="s">
        <v>1024</v>
      </c>
      <c r="F3356" t="s">
        <v>598</v>
      </c>
      <c r="G3356" t="s">
        <v>599</v>
      </c>
      <c r="H3356" t="s">
        <v>600</v>
      </c>
      <c r="I3356" t="s">
        <v>601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hidden="1">
      <c r="A3357" t="s">
        <v>18813</v>
      </c>
      <c r="B3357" t="s">
        <v>1025</v>
      </c>
      <c r="C3357" t="s">
        <v>1016</v>
      </c>
      <c r="D3357" t="s">
        <v>1017</v>
      </c>
      <c r="E3357" t="s">
        <v>1026</v>
      </c>
      <c r="F3357" t="s">
        <v>598</v>
      </c>
      <c r="G3357" t="s">
        <v>599</v>
      </c>
      <c r="H3357" t="s">
        <v>600</v>
      </c>
      <c r="I3357" t="s">
        <v>601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hidden="1">
      <c r="A3358" t="s">
        <v>18813</v>
      </c>
      <c r="B3358" t="s">
        <v>1027</v>
      </c>
      <c r="C3358" t="s">
        <v>1016</v>
      </c>
      <c r="D3358" t="s">
        <v>1017</v>
      </c>
      <c r="E3358" t="s">
        <v>1028</v>
      </c>
      <c r="F3358" t="s">
        <v>598</v>
      </c>
      <c r="G3358" t="s">
        <v>599</v>
      </c>
      <c r="H3358" t="s">
        <v>600</v>
      </c>
      <c r="I3358" t="s">
        <v>601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hidden="1">
      <c r="A3359" t="s">
        <v>18813</v>
      </c>
      <c r="B3359" t="s">
        <v>1029</v>
      </c>
      <c r="C3359" t="s">
        <v>1016</v>
      </c>
      <c r="D3359" t="s">
        <v>1017</v>
      </c>
      <c r="E3359" t="s">
        <v>1030</v>
      </c>
      <c r="F3359" t="s">
        <v>598</v>
      </c>
      <c r="G3359" t="s">
        <v>599</v>
      </c>
      <c r="H3359" t="s">
        <v>600</v>
      </c>
      <c r="I3359" t="s">
        <v>601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hidden="1">
      <c r="A3360" t="s">
        <v>18813</v>
      </c>
      <c r="B3360" t="s">
        <v>1031</v>
      </c>
      <c r="C3360" t="s">
        <v>1016</v>
      </c>
      <c r="D3360" t="s">
        <v>1017</v>
      </c>
      <c r="E3360" t="s">
        <v>630</v>
      </c>
      <c r="F3360" t="s">
        <v>598</v>
      </c>
      <c r="G3360" t="s">
        <v>599</v>
      </c>
      <c r="H3360" t="s">
        <v>600</v>
      </c>
      <c r="I3360" t="s">
        <v>601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hidden="1">
      <c r="A3361" t="s">
        <v>18813</v>
      </c>
      <c r="B3361" t="s">
        <v>1032</v>
      </c>
      <c r="C3361" t="s">
        <v>1016</v>
      </c>
      <c r="D3361" t="s">
        <v>1017</v>
      </c>
      <c r="E3361" t="s">
        <v>1033</v>
      </c>
      <c r="F3361" t="s">
        <v>598</v>
      </c>
      <c r="G3361" t="s">
        <v>599</v>
      </c>
      <c r="H3361" t="s">
        <v>600</v>
      </c>
      <c r="I3361" t="s">
        <v>601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hidden="1">
      <c r="A3362" t="s">
        <v>18813</v>
      </c>
      <c r="B3362" t="s">
        <v>1034</v>
      </c>
      <c r="C3362" t="s">
        <v>1016</v>
      </c>
      <c r="D3362" t="s">
        <v>1017</v>
      </c>
      <c r="E3362" t="s">
        <v>1035</v>
      </c>
      <c r="F3362" t="s">
        <v>598</v>
      </c>
      <c r="G3362" t="s">
        <v>599</v>
      </c>
      <c r="H3362" t="s">
        <v>600</v>
      </c>
      <c r="I3362" t="s">
        <v>601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hidden="1">
      <c r="A3363" t="s">
        <v>18813</v>
      </c>
      <c r="B3363" t="s">
        <v>1037</v>
      </c>
      <c r="C3363" t="s">
        <v>1016</v>
      </c>
      <c r="D3363" t="s">
        <v>1017</v>
      </c>
      <c r="E3363" t="s">
        <v>1038</v>
      </c>
      <c r="F3363" t="s">
        <v>598</v>
      </c>
      <c r="G3363" t="s">
        <v>599</v>
      </c>
      <c r="H3363" t="s">
        <v>600</v>
      </c>
      <c r="I3363" t="s">
        <v>601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hidden="1">
      <c r="A3364" t="s">
        <v>18813</v>
      </c>
      <c r="B3364" t="s">
        <v>1039</v>
      </c>
      <c r="C3364" t="s">
        <v>1016</v>
      </c>
      <c r="D3364" t="s">
        <v>1017</v>
      </c>
      <c r="E3364" t="s">
        <v>1040</v>
      </c>
      <c r="F3364" t="s">
        <v>598</v>
      </c>
      <c r="G3364" t="s">
        <v>599</v>
      </c>
      <c r="H3364" t="s">
        <v>600</v>
      </c>
      <c r="I3364" t="s">
        <v>601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hidden="1">
      <c r="A3365" t="s">
        <v>18813</v>
      </c>
      <c r="B3365" t="s">
        <v>1041</v>
      </c>
      <c r="C3365" t="s">
        <v>1016</v>
      </c>
      <c r="D3365" t="s">
        <v>1017</v>
      </c>
      <c r="E3365" t="s">
        <v>1042</v>
      </c>
      <c r="F3365" t="s">
        <v>598</v>
      </c>
      <c r="G3365" t="s">
        <v>599</v>
      </c>
      <c r="H3365" t="s">
        <v>600</v>
      </c>
      <c r="I3365" t="s">
        <v>601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hidden="1">
      <c r="A3366" t="s">
        <v>18813</v>
      </c>
      <c r="B3366" t="s">
        <v>1045</v>
      </c>
      <c r="C3366" t="s">
        <v>1016</v>
      </c>
      <c r="D3366" t="s">
        <v>1017</v>
      </c>
      <c r="E3366" t="s">
        <v>1046</v>
      </c>
      <c r="F3366" t="s">
        <v>598</v>
      </c>
      <c r="G3366" t="s">
        <v>599</v>
      </c>
      <c r="H3366" t="s">
        <v>600</v>
      </c>
      <c r="I3366" t="s">
        <v>601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hidden="1">
      <c r="A3367" t="s">
        <v>18813</v>
      </c>
      <c r="B3367" t="s">
        <v>1047</v>
      </c>
      <c r="C3367" t="s">
        <v>1016</v>
      </c>
      <c r="D3367" t="s">
        <v>1017</v>
      </c>
      <c r="E3367" t="s">
        <v>1048</v>
      </c>
      <c r="F3367" t="s">
        <v>598</v>
      </c>
      <c r="G3367" t="s">
        <v>599</v>
      </c>
      <c r="H3367" t="s">
        <v>600</v>
      </c>
      <c r="I3367" t="s">
        <v>601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hidden="1">
      <c r="A3368" t="s">
        <v>18813</v>
      </c>
      <c r="B3368" t="s">
        <v>1049</v>
      </c>
      <c r="C3368" t="s">
        <v>1016</v>
      </c>
      <c r="D3368" t="s">
        <v>1050</v>
      </c>
      <c r="E3368" t="s">
        <v>1024</v>
      </c>
      <c r="F3368" t="s">
        <v>598</v>
      </c>
      <c r="G3368" t="s">
        <v>599</v>
      </c>
      <c r="H3368" t="s">
        <v>600</v>
      </c>
      <c r="I3368" t="s">
        <v>601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hidden="1">
      <c r="A3369" t="s">
        <v>18813</v>
      </c>
      <c r="B3369" t="s">
        <v>1051</v>
      </c>
      <c r="C3369" t="s">
        <v>1016</v>
      </c>
      <c r="D3369" t="s">
        <v>1050</v>
      </c>
      <c r="E3369" t="s">
        <v>1052</v>
      </c>
      <c r="F3369" t="s">
        <v>598</v>
      </c>
      <c r="G3369" t="s">
        <v>599</v>
      </c>
      <c r="H3369" t="s">
        <v>600</v>
      </c>
      <c r="I3369" t="s">
        <v>601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hidden="1">
      <c r="A3370" t="s">
        <v>18813</v>
      </c>
      <c r="B3370" t="s">
        <v>1053</v>
      </c>
      <c r="C3370" t="s">
        <v>1016</v>
      </c>
      <c r="D3370" t="s">
        <v>1050</v>
      </c>
      <c r="E3370" t="s">
        <v>1000</v>
      </c>
      <c r="F3370" t="s">
        <v>598</v>
      </c>
      <c r="G3370" t="s">
        <v>599</v>
      </c>
      <c r="H3370" t="s">
        <v>600</v>
      </c>
      <c r="I3370" t="s">
        <v>601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hidden="1">
      <c r="A3371" t="s">
        <v>18813</v>
      </c>
      <c r="B3371" t="s">
        <v>1054</v>
      </c>
      <c r="C3371" t="s">
        <v>1016</v>
      </c>
      <c r="D3371" t="s">
        <v>1050</v>
      </c>
      <c r="E3371" t="s">
        <v>1055</v>
      </c>
      <c r="F3371" t="s">
        <v>598</v>
      </c>
      <c r="G3371" t="s">
        <v>599</v>
      </c>
      <c r="H3371" t="s">
        <v>600</v>
      </c>
      <c r="I3371" t="s">
        <v>601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hidden="1">
      <c r="A3372" t="s">
        <v>18813</v>
      </c>
      <c r="B3372" t="s">
        <v>1056</v>
      </c>
      <c r="C3372" t="s">
        <v>1016</v>
      </c>
      <c r="D3372" t="s">
        <v>1050</v>
      </c>
      <c r="E3372" t="s">
        <v>1002</v>
      </c>
      <c r="F3372" t="s">
        <v>598</v>
      </c>
      <c r="G3372" t="s">
        <v>599</v>
      </c>
      <c r="H3372" t="s">
        <v>600</v>
      </c>
      <c r="I3372" t="s">
        <v>601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hidden="1">
      <c r="A3373" t="s">
        <v>18813</v>
      </c>
      <c r="B3373" t="s">
        <v>1057</v>
      </c>
      <c r="C3373" t="s">
        <v>1016</v>
      </c>
      <c r="D3373" t="s">
        <v>1050</v>
      </c>
      <c r="E3373" t="s">
        <v>1058</v>
      </c>
      <c r="F3373" t="s">
        <v>598</v>
      </c>
      <c r="G3373" t="s">
        <v>599</v>
      </c>
      <c r="H3373" t="s">
        <v>600</v>
      </c>
      <c r="I3373" t="s">
        <v>601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hidden="1">
      <c r="A3374" t="s">
        <v>18813</v>
      </c>
      <c r="B3374" t="s">
        <v>1059</v>
      </c>
      <c r="C3374" t="s">
        <v>1016</v>
      </c>
      <c r="D3374" t="s">
        <v>1050</v>
      </c>
      <c r="E3374" t="s">
        <v>1042</v>
      </c>
      <c r="F3374" t="s">
        <v>598</v>
      </c>
      <c r="G3374" t="s">
        <v>599</v>
      </c>
      <c r="H3374" t="s">
        <v>600</v>
      </c>
      <c r="I3374" t="s">
        <v>601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hidden="1">
      <c r="A3375" t="s">
        <v>18813</v>
      </c>
      <c r="B3375" t="s">
        <v>1060</v>
      </c>
      <c r="C3375" t="s">
        <v>1016</v>
      </c>
      <c r="D3375" t="s">
        <v>1050</v>
      </c>
      <c r="E3375" t="s">
        <v>1044</v>
      </c>
      <c r="F3375" t="s">
        <v>598</v>
      </c>
      <c r="G3375" t="s">
        <v>599</v>
      </c>
      <c r="H3375" t="s">
        <v>600</v>
      </c>
      <c r="I3375" t="s">
        <v>601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hidden="1">
      <c r="A3376" t="s">
        <v>18813</v>
      </c>
      <c r="B3376" t="s">
        <v>1061</v>
      </c>
      <c r="C3376" t="s">
        <v>1016</v>
      </c>
      <c r="D3376" t="s">
        <v>1050</v>
      </c>
      <c r="E3376" t="s">
        <v>1048</v>
      </c>
      <c r="F3376" t="s">
        <v>598</v>
      </c>
      <c r="G3376" t="s">
        <v>599</v>
      </c>
      <c r="H3376" t="s">
        <v>600</v>
      </c>
      <c r="I3376" t="s">
        <v>601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hidden="1">
      <c r="A3377" t="s">
        <v>18813</v>
      </c>
      <c r="B3377" t="s">
        <v>1062</v>
      </c>
      <c r="C3377" t="s">
        <v>1016</v>
      </c>
      <c r="D3377" t="s">
        <v>1063</v>
      </c>
      <c r="E3377" t="s">
        <v>1018</v>
      </c>
      <c r="F3377" t="s">
        <v>598</v>
      </c>
      <c r="G3377" t="s">
        <v>599</v>
      </c>
      <c r="H3377" t="s">
        <v>600</v>
      </c>
      <c r="I3377" t="s">
        <v>601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hidden="1">
      <c r="A3378" t="s">
        <v>18813</v>
      </c>
      <c r="B3378" t="s">
        <v>1064</v>
      </c>
      <c r="C3378" t="s">
        <v>1016</v>
      </c>
      <c r="D3378" t="s">
        <v>1063</v>
      </c>
      <c r="E3378" t="s">
        <v>1022</v>
      </c>
      <c r="F3378" t="s">
        <v>598</v>
      </c>
      <c r="G3378" t="s">
        <v>599</v>
      </c>
      <c r="H3378" t="s">
        <v>600</v>
      </c>
      <c r="I3378" t="s">
        <v>601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hidden="1">
      <c r="A3379" t="s">
        <v>18813</v>
      </c>
      <c r="B3379" t="s">
        <v>1065</v>
      </c>
      <c r="C3379" t="s">
        <v>1016</v>
      </c>
      <c r="D3379" t="s">
        <v>1063</v>
      </c>
      <c r="E3379" t="s">
        <v>1024</v>
      </c>
      <c r="F3379" t="s">
        <v>598</v>
      </c>
      <c r="G3379" t="s">
        <v>599</v>
      </c>
      <c r="H3379" t="s">
        <v>600</v>
      </c>
      <c r="I3379" t="s">
        <v>601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hidden="1">
      <c r="A3380" t="s">
        <v>18813</v>
      </c>
      <c r="B3380" t="s">
        <v>1066</v>
      </c>
      <c r="C3380" t="s">
        <v>1016</v>
      </c>
      <c r="D3380" t="s">
        <v>1063</v>
      </c>
      <c r="E3380" t="s">
        <v>1052</v>
      </c>
      <c r="F3380" t="s">
        <v>598</v>
      </c>
      <c r="G3380" t="s">
        <v>599</v>
      </c>
      <c r="H3380" t="s">
        <v>600</v>
      </c>
      <c r="I3380" t="s">
        <v>601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hidden="1">
      <c r="A3381" t="s">
        <v>18813</v>
      </c>
      <c r="B3381" t="s">
        <v>1067</v>
      </c>
      <c r="C3381" t="s">
        <v>1016</v>
      </c>
      <c r="D3381" t="s">
        <v>1063</v>
      </c>
      <c r="E3381" t="s">
        <v>1026</v>
      </c>
      <c r="F3381" t="s">
        <v>598</v>
      </c>
      <c r="G3381" t="s">
        <v>599</v>
      </c>
      <c r="H3381" t="s">
        <v>600</v>
      </c>
      <c r="I3381" t="s">
        <v>601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hidden="1">
      <c r="A3382" t="s">
        <v>18813</v>
      </c>
      <c r="B3382" t="s">
        <v>1068</v>
      </c>
      <c r="C3382" t="s">
        <v>1016</v>
      </c>
      <c r="D3382" t="s">
        <v>1063</v>
      </c>
      <c r="E3382" t="s">
        <v>1030</v>
      </c>
      <c r="F3382" t="s">
        <v>598</v>
      </c>
      <c r="G3382" t="s">
        <v>599</v>
      </c>
      <c r="H3382" t="s">
        <v>600</v>
      </c>
      <c r="I3382" t="s">
        <v>601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hidden="1">
      <c r="A3383" t="s">
        <v>18813</v>
      </c>
      <c r="B3383" t="s">
        <v>1069</v>
      </c>
      <c r="C3383" t="s">
        <v>1016</v>
      </c>
      <c r="D3383" t="s">
        <v>1063</v>
      </c>
      <c r="E3383" t="s">
        <v>1035</v>
      </c>
      <c r="F3383" t="s">
        <v>598</v>
      </c>
      <c r="G3383" t="s">
        <v>599</v>
      </c>
      <c r="H3383" t="s">
        <v>600</v>
      </c>
      <c r="I3383" t="s">
        <v>601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hidden="1">
      <c r="A3384" t="s">
        <v>18813</v>
      </c>
      <c r="B3384" t="s">
        <v>1070</v>
      </c>
      <c r="C3384" t="s">
        <v>1016</v>
      </c>
      <c r="D3384" t="s">
        <v>1063</v>
      </c>
      <c r="E3384" t="s">
        <v>1000</v>
      </c>
      <c r="F3384" t="s">
        <v>598</v>
      </c>
      <c r="G3384" t="s">
        <v>599</v>
      </c>
      <c r="H3384" t="s">
        <v>600</v>
      </c>
      <c r="I3384" t="s">
        <v>601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hidden="1">
      <c r="A3385" t="s">
        <v>18813</v>
      </c>
      <c r="B3385" t="s">
        <v>1071</v>
      </c>
      <c r="C3385" t="s">
        <v>1016</v>
      </c>
      <c r="D3385" t="s">
        <v>1063</v>
      </c>
      <c r="E3385" t="s">
        <v>1038</v>
      </c>
      <c r="F3385" t="s">
        <v>598</v>
      </c>
      <c r="G3385" t="s">
        <v>599</v>
      </c>
      <c r="H3385" t="s">
        <v>600</v>
      </c>
      <c r="I3385" t="s">
        <v>601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hidden="1">
      <c r="A3386" t="s">
        <v>18813</v>
      </c>
      <c r="B3386" t="s">
        <v>1072</v>
      </c>
      <c r="C3386" t="s">
        <v>1016</v>
      </c>
      <c r="D3386" t="s">
        <v>1063</v>
      </c>
      <c r="E3386" t="s">
        <v>1040</v>
      </c>
      <c r="F3386" t="s">
        <v>598</v>
      </c>
      <c r="G3386" t="s">
        <v>599</v>
      </c>
      <c r="H3386" t="s">
        <v>600</v>
      </c>
      <c r="I3386" t="s">
        <v>601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hidden="1">
      <c r="A3387" t="s">
        <v>18813</v>
      </c>
      <c r="B3387" t="s">
        <v>1073</v>
      </c>
      <c r="C3387" t="s">
        <v>1016</v>
      </c>
      <c r="D3387" t="s">
        <v>1063</v>
      </c>
      <c r="E3387" t="s">
        <v>1042</v>
      </c>
      <c r="F3387" t="s">
        <v>598</v>
      </c>
      <c r="G3387" t="s">
        <v>599</v>
      </c>
      <c r="H3387" t="s">
        <v>600</v>
      </c>
      <c r="I3387" t="s">
        <v>601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hidden="1">
      <c r="A3388" t="s">
        <v>18813</v>
      </c>
      <c r="B3388" t="s">
        <v>1074</v>
      </c>
      <c r="C3388" t="s">
        <v>1016</v>
      </c>
      <c r="D3388" t="s">
        <v>1063</v>
      </c>
      <c r="E3388" t="s">
        <v>1044</v>
      </c>
      <c r="F3388" t="s">
        <v>598</v>
      </c>
      <c r="G3388" t="s">
        <v>599</v>
      </c>
      <c r="H3388" t="s">
        <v>600</v>
      </c>
      <c r="I3388" t="s">
        <v>601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hidden="1">
      <c r="A3389" t="s">
        <v>18813</v>
      </c>
      <c r="B3389" t="s">
        <v>1075</v>
      </c>
      <c r="C3389" t="s">
        <v>1016</v>
      </c>
      <c r="D3389" t="s">
        <v>1063</v>
      </c>
      <c r="E3389" t="s">
        <v>1046</v>
      </c>
      <c r="F3389" t="s">
        <v>598</v>
      </c>
      <c r="G3389" t="s">
        <v>599</v>
      </c>
      <c r="H3389" t="s">
        <v>600</v>
      </c>
      <c r="I3389" t="s">
        <v>601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hidden="1">
      <c r="A3390" t="s">
        <v>18813</v>
      </c>
      <c r="B3390" t="s">
        <v>1076</v>
      </c>
      <c r="C3390" t="s">
        <v>1016</v>
      </c>
      <c r="D3390" t="s">
        <v>1063</v>
      </c>
      <c r="E3390" t="s">
        <v>1048</v>
      </c>
      <c r="F3390" t="s">
        <v>598</v>
      </c>
      <c r="G3390" t="s">
        <v>599</v>
      </c>
      <c r="H3390" t="s">
        <v>600</v>
      </c>
      <c r="I3390" t="s">
        <v>601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hidden="1">
      <c r="A3391" t="s">
        <v>18813</v>
      </c>
      <c r="B3391" t="s">
        <v>1082</v>
      </c>
      <c r="C3391" t="s">
        <v>1079</v>
      </c>
      <c r="D3391" t="s">
        <v>1083</v>
      </c>
      <c r="E3391" t="s">
        <v>1084</v>
      </c>
      <c r="F3391" t="s">
        <v>598</v>
      </c>
      <c r="G3391" t="s">
        <v>599</v>
      </c>
      <c r="H3391" t="s">
        <v>600</v>
      </c>
      <c r="I3391" t="s">
        <v>601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hidden="1">
      <c r="A3392" t="s">
        <v>18813</v>
      </c>
      <c r="B3392" t="s">
        <v>1087</v>
      </c>
      <c r="C3392" t="s">
        <v>1079</v>
      </c>
      <c r="D3392" t="s">
        <v>1086</v>
      </c>
      <c r="E3392" t="s">
        <v>1081</v>
      </c>
      <c r="F3392" t="s">
        <v>598</v>
      </c>
      <c r="G3392" t="s">
        <v>599</v>
      </c>
      <c r="H3392" t="s">
        <v>600</v>
      </c>
      <c r="I3392" t="s">
        <v>601</v>
      </c>
      <c r="J3392">
        <v>0.33539999999999998</v>
      </c>
      <c r="K3392">
        <v>0.34260000000000002</v>
      </c>
      <c r="L3392">
        <v>0.35010000000000002</v>
      </c>
      <c r="M3392">
        <v>0.3579</v>
      </c>
      <c r="N3392">
        <v>0.3649</v>
      </c>
      <c r="O3392">
        <v>0.372</v>
      </c>
      <c r="P3392">
        <v>0.37569999999999998</v>
      </c>
      <c r="Q3392">
        <v>0.37990000000000002</v>
      </c>
      <c r="R3392">
        <v>0.38340000000000002</v>
      </c>
      <c r="S3392">
        <v>0.38740000000000002</v>
      </c>
      <c r="T3392">
        <v>0.39119999999999999</v>
      </c>
      <c r="U3392">
        <v>0.3947</v>
      </c>
      <c r="V3392">
        <v>0.39839999999999998</v>
      </c>
      <c r="W3392">
        <v>0.40210000000000001</v>
      </c>
      <c r="X3392">
        <v>0.40570000000000001</v>
      </c>
      <c r="Y3392">
        <v>0.40939999999999999</v>
      </c>
    </row>
    <row r="3393" spans="1:25" hidden="1">
      <c r="A3393" t="s">
        <v>18813</v>
      </c>
      <c r="B3393" t="s">
        <v>1090</v>
      </c>
      <c r="C3393" t="s">
        <v>1079</v>
      </c>
      <c r="D3393" t="s">
        <v>1086</v>
      </c>
      <c r="E3393" t="s">
        <v>1091</v>
      </c>
      <c r="F3393" t="s">
        <v>598</v>
      </c>
      <c r="G3393" t="s">
        <v>599</v>
      </c>
      <c r="H3393" t="s">
        <v>600</v>
      </c>
      <c r="I3393" t="s">
        <v>601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hidden="1">
      <c r="A3394" t="s">
        <v>18813</v>
      </c>
      <c r="B3394" t="s">
        <v>1092</v>
      </c>
      <c r="C3394" t="s">
        <v>1079</v>
      </c>
      <c r="D3394" t="s">
        <v>1086</v>
      </c>
      <c r="E3394" t="s">
        <v>1093</v>
      </c>
      <c r="F3394" t="s">
        <v>598</v>
      </c>
      <c r="G3394" t="s">
        <v>599</v>
      </c>
      <c r="H3394" t="s">
        <v>600</v>
      </c>
      <c r="I3394" t="s">
        <v>601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hidden="1">
      <c r="A3395" t="s">
        <v>18813</v>
      </c>
      <c r="B3395" t="s">
        <v>1094</v>
      </c>
      <c r="C3395" t="s">
        <v>1079</v>
      </c>
      <c r="D3395" t="s">
        <v>1086</v>
      </c>
      <c r="E3395" t="s">
        <v>1095</v>
      </c>
      <c r="F3395" t="s">
        <v>598</v>
      </c>
      <c r="G3395" t="s">
        <v>599</v>
      </c>
      <c r="H3395" t="s">
        <v>600</v>
      </c>
      <c r="I3395" t="s">
        <v>601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hidden="1">
      <c r="A3396" t="s">
        <v>18813</v>
      </c>
      <c r="B3396" t="s">
        <v>1096</v>
      </c>
      <c r="C3396" t="s">
        <v>1079</v>
      </c>
      <c r="D3396" t="s">
        <v>1086</v>
      </c>
      <c r="E3396" t="s">
        <v>1097</v>
      </c>
      <c r="F3396" t="s">
        <v>598</v>
      </c>
      <c r="G3396" t="s">
        <v>599</v>
      </c>
      <c r="H3396" t="s">
        <v>600</v>
      </c>
      <c r="I3396" t="s">
        <v>601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hidden="1">
      <c r="A3397" t="s">
        <v>18813</v>
      </c>
      <c r="B3397" t="s">
        <v>1098</v>
      </c>
      <c r="C3397" t="s">
        <v>1079</v>
      </c>
      <c r="D3397" t="s">
        <v>1086</v>
      </c>
      <c r="E3397" t="s">
        <v>1099</v>
      </c>
      <c r="F3397" t="s">
        <v>598</v>
      </c>
      <c r="G3397" t="s">
        <v>599</v>
      </c>
      <c r="H3397" t="s">
        <v>600</v>
      </c>
      <c r="I3397" t="s">
        <v>601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hidden="1">
      <c r="A3398" t="s">
        <v>18813</v>
      </c>
      <c r="B3398" t="s">
        <v>1100</v>
      </c>
      <c r="C3398" t="s">
        <v>1079</v>
      </c>
      <c r="D3398" t="s">
        <v>1086</v>
      </c>
      <c r="E3398" t="s">
        <v>1101</v>
      </c>
      <c r="F3398" t="s">
        <v>598</v>
      </c>
      <c r="G3398" t="s">
        <v>599</v>
      </c>
      <c r="H3398" t="s">
        <v>600</v>
      </c>
      <c r="I3398" t="s">
        <v>601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hidden="1">
      <c r="A3399" t="s">
        <v>18813</v>
      </c>
      <c r="B3399" t="s">
        <v>1102</v>
      </c>
      <c r="C3399" t="s">
        <v>1079</v>
      </c>
      <c r="D3399" t="s">
        <v>1086</v>
      </c>
      <c r="E3399" t="s">
        <v>1103</v>
      </c>
      <c r="F3399" t="s">
        <v>598</v>
      </c>
      <c r="G3399" t="s">
        <v>599</v>
      </c>
      <c r="H3399" t="s">
        <v>600</v>
      </c>
      <c r="I3399" t="s">
        <v>601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hidden="1">
      <c r="A3400" t="s">
        <v>18813</v>
      </c>
      <c r="B3400" t="s">
        <v>1107</v>
      </c>
      <c r="C3400" t="s">
        <v>1079</v>
      </c>
      <c r="D3400" t="s">
        <v>1108</v>
      </c>
      <c r="E3400" t="s">
        <v>1081</v>
      </c>
      <c r="F3400" t="s">
        <v>598</v>
      </c>
      <c r="G3400" t="s">
        <v>599</v>
      </c>
      <c r="H3400" t="s">
        <v>600</v>
      </c>
      <c r="I3400" t="s">
        <v>601</v>
      </c>
      <c r="J3400">
        <v>4.4999999999999997E-3</v>
      </c>
      <c r="K3400">
        <v>4.5999999999999999E-3</v>
      </c>
      <c r="L3400">
        <v>4.5999999999999999E-3</v>
      </c>
      <c r="M3400">
        <v>4.5999999999999999E-3</v>
      </c>
      <c r="N3400">
        <v>4.7000000000000002E-3</v>
      </c>
      <c r="O3400">
        <v>4.7000000000000002E-3</v>
      </c>
      <c r="P3400">
        <v>4.7000000000000002E-3</v>
      </c>
      <c r="Q3400">
        <v>4.7000000000000002E-3</v>
      </c>
      <c r="R3400">
        <v>4.7000000000000002E-3</v>
      </c>
      <c r="S3400">
        <v>5.0000000000000001E-3</v>
      </c>
      <c r="T3400">
        <v>5.0000000000000001E-3</v>
      </c>
      <c r="U3400">
        <v>5.0000000000000001E-3</v>
      </c>
      <c r="V3400">
        <v>5.0000000000000001E-3</v>
      </c>
      <c r="W3400">
        <v>5.0000000000000001E-3</v>
      </c>
      <c r="X3400">
        <v>5.0000000000000001E-3</v>
      </c>
      <c r="Y3400">
        <v>5.0000000000000001E-3</v>
      </c>
    </row>
    <row r="3401" spans="1:25" hidden="1">
      <c r="A3401" t="s">
        <v>18813</v>
      </c>
      <c r="B3401" t="s">
        <v>1109</v>
      </c>
      <c r="C3401" t="s">
        <v>1079</v>
      </c>
      <c r="D3401" t="s">
        <v>1108</v>
      </c>
      <c r="E3401" t="s">
        <v>1091</v>
      </c>
      <c r="F3401" t="s">
        <v>598</v>
      </c>
      <c r="G3401" t="s">
        <v>599</v>
      </c>
      <c r="H3401" t="s">
        <v>600</v>
      </c>
      <c r="I3401" t="s">
        <v>601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hidden="1">
      <c r="A3402" t="s">
        <v>18813</v>
      </c>
      <c r="B3402" t="s">
        <v>1110</v>
      </c>
      <c r="C3402" t="s">
        <v>1079</v>
      </c>
      <c r="D3402" t="s">
        <v>1108</v>
      </c>
      <c r="E3402" t="s">
        <v>1093</v>
      </c>
      <c r="F3402" t="s">
        <v>598</v>
      </c>
      <c r="G3402" t="s">
        <v>599</v>
      </c>
      <c r="H3402" t="s">
        <v>600</v>
      </c>
      <c r="I3402" t="s">
        <v>601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hidden="1">
      <c r="A3403" t="s">
        <v>18813</v>
      </c>
      <c r="B3403" t="s">
        <v>1111</v>
      </c>
      <c r="C3403" t="s">
        <v>1079</v>
      </c>
      <c r="D3403" t="s">
        <v>1108</v>
      </c>
      <c r="E3403" t="s">
        <v>1095</v>
      </c>
      <c r="F3403" t="s">
        <v>598</v>
      </c>
      <c r="G3403" t="s">
        <v>599</v>
      </c>
      <c r="H3403" t="s">
        <v>600</v>
      </c>
      <c r="I3403" t="s">
        <v>601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hidden="1">
      <c r="A3404" t="s">
        <v>18813</v>
      </c>
      <c r="B3404" t="s">
        <v>1112</v>
      </c>
      <c r="C3404" t="s">
        <v>1079</v>
      </c>
      <c r="D3404" t="s">
        <v>1108</v>
      </c>
      <c r="E3404" t="s">
        <v>1097</v>
      </c>
      <c r="F3404" t="s">
        <v>598</v>
      </c>
      <c r="G3404" t="s">
        <v>599</v>
      </c>
      <c r="H3404" t="s">
        <v>600</v>
      </c>
      <c r="I3404" t="s">
        <v>601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</row>
    <row r="3405" spans="1:25" hidden="1">
      <c r="A3405" t="s">
        <v>18813</v>
      </c>
      <c r="B3405" t="s">
        <v>1113</v>
      </c>
      <c r="C3405" t="s">
        <v>1079</v>
      </c>
      <c r="D3405" t="s">
        <v>1108</v>
      </c>
      <c r="E3405" t="s">
        <v>1101</v>
      </c>
      <c r="F3405" t="s">
        <v>598</v>
      </c>
      <c r="G3405" t="s">
        <v>599</v>
      </c>
      <c r="H3405" t="s">
        <v>600</v>
      </c>
      <c r="I3405" t="s">
        <v>601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hidden="1">
      <c r="A3406" t="s">
        <v>18813</v>
      </c>
      <c r="B3406" t="s">
        <v>1114</v>
      </c>
      <c r="C3406" t="s">
        <v>1079</v>
      </c>
      <c r="D3406" t="s">
        <v>1115</v>
      </c>
      <c r="E3406" t="s">
        <v>1081</v>
      </c>
      <c r="F3406" t="s">
        <v>598</v>
      </c>
      <c r="G3406" t="s">
        <v>599</v>
      </c>
      <c r="H3406" t="s">
        <v>600</v>
      </c>
      <c r="I3406" t="s">
        <v>601</v>
      </c>
      <c r="J3406">
        <v>1E-4</v>
      </c>
      <c r="K3406">
        <v>1E-4</v>
      </c>
      <c r="L3406">
        <v>1E-4</v>
      </c>
      <c r="M3406">
        <v>1E-4</v>
      </c>
      <c r="N3406">
        <v>1E-4</v>
      </c>
      <c r="O3406">
        <v>1E-4</v>
      </c>
      <c r="P3406">
        <v>1E-4</v>
      </c>
      <c r="Q3406">
        <v>1E-4</v>
      </c>
      <c r="R3406">
        <v>1E-4</v>
      </c>
      <c r="S3406">
        <v>1E-4</v>
      </c>
      <c r="T3406">
        <v>1E-4</v>
      </c>
      <c r="U3406">
        <v>1E-4</v>
      </c>
      <c r="V3406">
        <v>1E-4</v>
      </c>
      <c r="W3406">
        <v>1E-4</v>
      </c>
      <c r="X3406">
        <v>1E-4</v>
      </c>
      <c r="Y3406">
        <v>1E-4</v>
      </c>
    </row>
    <row r="3407" spans="1:25" hidden="1">
      <c r="A3407" t="s">
        <v>18813</v>
      </c>
      <c r="B3407" t="s">
        <v>1116</v>
      </c>
      <c r="C3407" t="s">
        <v>1079</v>
      </c>
      <c r="D3407" t="s">
        <v>1115</v>
      </c>
      <c r="E3407" t="s">
        <v>1091</v>
      </c>
      <c r="F3407" t="s">
        <v>598</v>
      </c>
      <c r="G3407" t="s">
        <v>599</v>
      </c>
      <c r="H3407" t="s">
        <v>600</v>
      </c>
      <c r="I3407" t="s">
        <v>601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hidden="1">
      <c r="A3408" t="s">
        <v>18813</v>
      </c>
      <c r="B3408" t="s">
        <v>1117</v>
      </c>
      <c r="C3408" t="s">
        <v>1079</v>
      </c>
      <c r="D3408" t="s">
        <v>1115</v>
      </c>
      <c r="E3408" t="s">
        <v>1093</v>
      </c>
      <c r="F3408" t="s">
        <v>598</v>
      </c>
      <c r="G3408" t="s">
        <v>599</v>
      </c>
      <c r="H3408" t="s">
        <v>600</v>
      </c>
      <c r="I3408" t="s">
        <v>601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hidden="1">
      <c r="A3409" t="s">
        <v>18813</v>
      </c>
      <c r="B3409" t="s">
        <v>1118</v>
      </c>
      <c r="C3409" t="s">
        <v>1079</v>
      </c>
      <c r="D3409" t="s">
        <v>1115</v>
      </c>
      <c r="E3409" t="s">
        <v>1097</v>
      </c>
      <c r="F3409" t="s">
        <v>598</v>
      </c>
      <c r="G3409" t="s">
        <v>599</v>
      </c>
      <c r="H3409" t="s">
        <v>600</v>
      </c>
      <c r="I3409" t="s">
        <v>601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hidden="1">
      <c r="A3410" t="s">
        <v>18813</v>
      </c>
      <c r="B3410" t="s">
        <v>1120</v>
      </c>
      <c r="C3410" t="s">
        <v>1079</v>
      </c>
      <c r="D3410" t="s">
        <v>1121</v>
      </c>
      <c r="E3410" t="s">
        <v>1081</v>
      </c>
      <c r="F3410" t="s">
        <v>598</v>
      </c>
      <c r="G3410" t="s">
        <v>599</v>
      </c>
      <c r="H3410" t="s">
        <v>600</v>
      </c>
      <c r="I3410" t="s">
        <v>601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hidden="1">
      <c r="A3411" t="s">
        <v>18813</v>
      </c>
      <c r="B3411" t="s">
        <v>1122</v>
      </c>
      <c r="C3411" t="s">
        <v>1079</v>
      </c>
      <c r="D3411" t="s">
        <v>1121</v>
      </c>
      <c r="E3411" t="s">
        <v>1097</v>
      </c>
      <c r="F3411" t="s">
        <v>598</v>
      </c>
      <c r="G3411" t="s">
        <v>599</v>
      </c>
      <c r="H3411" t="s">
        <v>600</v>
      </c>
      <c r="I3411" t="s">
        <v>601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hidden="1">
      <c r="A3412" t="s">
        <v>18813</v>
      </c>
      <c r="B3412" t="s">
        <v>1123</v>
      </c>
      <c r="C3412" t="s">
        <v>1079</v>
      </c>
      <c r="D3412" t="s">
        <v>1121</v>
      </c>
      <c r="E3412" t="s">
        <v>1101</v>
      </c>
      <c r="F3412" t="s">
        <v>598</v>
      </c>
      <c r="G3412" t="s">
        <v>599</v>
      </c>
      <c r="H3412" t="s">
        <v>600</v>
      </c>
      <c r="I3412" t="s">
        <v>601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hidden="1">
      <c r="A3413" t="s">
        <v>18813</v>
      </c>
      <c r="B3413" t="s">
        <v>1125</v>
      </c>
      <c r="C3413" t="s">
        <v>1079</v>
      </c>
      <c r="D3413" t="s">
        <v>1126</v>
      </c>
      <c r="E3413" t="s">
        <v>1081</v>
      </c>
      <c r="F3413" t="s">
        <v>598</v>
      </c>
      <c r="G3413" t="s">
        <v>599</v>
      </c>
      <c r="H3413" t="s">
        <v>600</v>
      </c>
      <c r="I3413" t="s">
        <v>601</v>
      </c>
      <c r="J3413">
        <v>5.9999999999999995E-4</v>
      </c>
      <c r="K3413">
        <v>5.9999999999999995E-4</v>
      </c>
      <c r="L3413">
        <v>6.9999999999999999E-4</v>
      </c>
      <c r="M3413">
        <v>6.9999999999999999E-4</v>
      </c>
      <c r="N3413">
        <v>6.9999999999999999E-4</v>
      </c>
      <c r="O3413">
        <v>6.9999999999999999E-4</v>
      </c>
      <c r="P3413">
        <v>6.9999999999999999E-4</v>
      </c>
      <c r="Q3413">
        <v>6.9999999999999999E-4</v>
      </c>
      <c r="R3413">
        <v>8.0000000000000004E-4</v>
      </c>
      <c r="S3413">
        <v>8.0000000000000004E-4</v>
      </c>
      <c r="T3413">
        <v>8.0000000000000004E-4</v>
      </c>
      <c r="U3413">
        <v>8.0000000000000004E-4</v>
      </c>
      <c r="V3413">
        <v>8.0000000000000004E-4</v>
      </c>
      <c r="W3413">
        <v>8.0000000000000004E-4</v>
      </c>
      <c r="X3413">
        <v>8.0000000000000004E-4</v>
      </c>
      <c r="Y3413">
        <v>8.0000000000000004E-4</v>
      </c>
    </row>
    <row r="3414" spans="1:25" hidden="1">
      <c r="A3414" t="s">
        <v>18813</v>
      </c>
      <c r="B3414" t="s">
        <v>1128</v>
      </c>
      <c r="C3414" t="s">
        <v>1079</v>
      </c>
      <c r="D3414" t="s">
        <v>1126</v>
      </c>
      <c r="E3414" t="s">
        <v>1093</v>
      </c>
      <c r="F3414" t="s">
        <v>598</v>
      </c>
      <c r="G3414" t="s">
        <v>599</v>
      </c>
      <c r="H3414" t="s">
        <v>600</v>
      </c>
      <c r="I3414" t="s">
        <v>601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hidden="1">
      <c r="A3415" t="s">
        <v>18813</v>
      </c>
      <c r="B3415" t="s">
        <v>1130</v>
      </c>
      <c r="C3415" t="s">
        <v>1079</v>
      </c>
      <c r="D3415" t="s">
        <v>1126</v>
      </c>
      <c r="E3415" t="s">
        <v>1099</v>
      </c>
      <c r="F3415" t="s">
        <v>598</v>
      </c>
      <c r="G3415" t="s">
        <v>599</v>
      </c>
      <c r="H3415" t="s">
        <v>600</v>
      </c>
      <c r="I3415" t="s">
        <v>601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hidden="1">
      <c r="A3416" t="s">
        <v>18813</v>
      </c>
      <c r="B3416" t="s">
        <v>1131</v>
      </c>
      <c r="C3416" t="s">
        <v>1079</v>
      </c>
      <c r="D3416" t="s">
        <v>1126</v>
      </c>
      <c r="E3416" t="s">
        <v>1101</v>
      </c>
      <c r="F3416" t="s">
        <v>598</v>
      </c>
      <c r="G3416" t="s">
        <v>599</v>
      </c>
      <c r="H3416" t="s">
        <v>600</v>
      </c>
      <c r="I3416" t="s">
        <v>601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hidden="1">
      <c r="A3417" t="s">
        <v>18813</v>
      </c>
      <c r="B3417" t="s">
        <v>1133</v>
      </c>
      <c r="C3417" t="s">
        <v>1079</v>
      </c>
      <c r="D3417" t="s">
        <v>1134</v>
      </c>
      <c r="E3417" t="s">
        <v>1081</v>
      </c>
      <c r="F3417" t="s">
        <v>598</v>
      </c>
      <c r="G3417" t="s">
        <v>599</v>
      </c>
      <c r="H3417" t="s">
        <v>600</v>
      </c>
      <c r="I3417" t="s">
        <v>601</v>
      </c>
      <c r="J3417">
        <v>2.8E-3</v>
      </c>
      <c r="K3417">
        <v>2.8999999999999998E-3</v>
      </c>
      <c r="L3417">
        <v>3.0000000000000001E-3</v>
      </c>
      <c r="M3417">
        <v>3.3E-3</v>
      </c>
      <c r="N3417">
        <v>3.3E-3</v>
      </c>
      <c r="O3417">
        <v>3.3999999999999998E-3</v>
      </c>
      <c r="P3417">
        <v>3.5999999999999999E-3</v>
      </c>
      <c r="Q3417">
        <v>3.5999999999999999E-3</v>
      </c>
      <c r="R3417">
        <v>3.5999999999999999E-3</v>
      </c>
      <c r="S3417">
        <v>3.7000000000000002E-3</v>
      </c>
      <c r="T3417">
        <v>3.7000000000000002E-3</v>
      </c>
      <c r="U3417">
        <v>3.7000000000000002E-3</v>
      </c>
      <c r="V3417">
        <v>3.7000000000000002E-3</v>
      </c>
      <c r="W3417">
        <v>3.7000000000000002E-3</v>
      </c>
      <c r="X3417">
        <v>3.8E-3</v>
      </c>
      <c r="Y3417">
        <v>3.8E-3</v>
      </c>
    </row>
    <row r="3418" spans="1:25" hidden="1">
      <c r="A3418" t="s">
        <v>18813</v>
      </c>
      <c r="B3418" t="s">
        <v>1135</v>
      </c>
      <c r="C3418" t="s">
        <v>1079</v>
      </c>
      <c r="D3418" t="s">
        <v>1134</v>
      </c>
      <c r="E3418" t="s">
        <v>1091</v>
      </c>
      <c r="F3418" t="s">
        <v>598</v>
      </c>
      <c r="G3418" t="s">
        <v>599</v>
      </c>
      <c r="H3418" t="s">
        <v>600</v>
      </c>
      <c r="I3418" t="s">
        <v>601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hidden="1">
      <c r="A3419" t="s">
        <v>18813</v>
      </c>
      <c r="B3419" t="s">
        <v>1136</v>
      </c>
      <c r="C3419" t="s">
        <v>1079</v>
      </c>
      <c r="D3419" t="s">
        <v>1134</v>
      </c>
      <c r="E3419" t="s">
        <v>1093</v>
      </c>
      <c r="F3419" t="s">
        <v>598</v>
      </c>
      <c r="G3419" t="s">
        <v>599</v>
      </c>
      <c r="H3419" t="s">
        <v>600</v>
      </c>
      <c r="I3419" t="s">
        <v>601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hidden="1">
      <c r="A3420" t="s">
        <v>18813</v>
      </c>
      <c r="B3420" t="s">
        <v>1137</v>
      </c>
      <c r="C3420" t="s">
        <v>1079</v>
      </c>
      <c r="D3420" t="s">
        <v>1134</v>
      </c>
      <c r="E3420" t="s">
        <v>1095</v>
      </c>
      <c r="F3420" t="s">
        <v>598</v>
      </c>
      <c r="G3420" t="s">
        <v>599</v>
      </c>
      <c r="H3420" t="s">
        <v>600</v>
      </c>
      <c r="I3420" t="s">
        <v>601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hidden="1">
      <c r="A3421" t="s">
        <v>18813</v>
      </c>
      <c r="B3421" t="s">
        <v>1138</v>
      </c>
      <c r="C3421" t="s">
        <v>1079</v>
      </c>
      <c r="D3421" t="s">
        <v>1134</v>
      </c>
      <c r="E3421" t="s">
        <v>1097</v>
      </c>
      <c r="F3421" t="s">
        <v>598</v>
      </c>
      <c r="G3421" t="s">
        <v>599</v>
      </c>
      <c r="H3421" t="s">
        <v>600</v>
      </c>
      <c r="I3421" t="s">
        <v>601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hidden="1">
      <c r="A3422" t="s">
        <v>18813</v>
      </c>
      <c r="B3422" t="s">
        <v>1144</v>
      </c>
      <c r="C3422" t="s">
        <v>1079</v>
      </c>
      <c r="D3422" t="s">
        <v>1145</v>
      </c>
      <c r="E3422" t="s">
        <v>1081</v>
      </c>
      <c r="F3422" t="s">
        <v>598</v>
      </c>
      <c r="G3422" t="s">
        <v>599</v>
      </c>
      <c r="H3422" t="s">
        <v>600</v>
      </c>
      <c r="I3422" t="s">
        <v>601</v>
      </c>
      <c r="J3422">
        <v>0.90200000000000002</v>
      </c>
      <c r="K3422">
        <v>0.92030000000000001</v>
      </c>
      <c r="L3422">
        <v>0.93889999999999996</v>
      </c>
      <c r="M3422">
        <v>0.95779999999999998</v>
      </c>
      <c r="N3422">
        <v>0.97699999999999998</v>
      </c>
      <c r="O3422">
        <v>0.99609999999999999</v>
      </c>
      <c r="P3422">
        <v>1.014</v>
      </c>
      <c r="Q3422">
        <v>1.0327</v>
      </c>
      <c r="R3422">
        <v>1.0386</v>
      </c>
      <c r="S3422">
        <v>1.0446</v>
      </c>
      <c r="T3422">
        <v>1.0499000000000001</v>
      </c>
      <c r="U3422">
        <v>1.0552999999999999</v>
      </c>
      <c r="V3422">
        <v>1.0602</v>
      </c>
      <c r="W3422">
        <v>1.0657000000000001</v>
      </c>
      <c r="X3422">
        <v>1.0705</v>
      </c>
      <c r="Y3422">
        <v>1.0761000000000001</v>
      </c>
    </row>
    <row r="3423" spans="1:25" hidden="1">
      <c r="A3423" t="s">
        <v>18813</v>
      </c>
      <c r="B3423" t="s">
        <v>1146</v>
      </c>
      <c r="C3423" t="s">
        <v>1079</v>
      </c>
      <c r="D3423" t="s">
        <v>1145</v>
      </c>
      <c r="E3423" t="s">
        <v>1091</v>
      </c>
      <c r="F3423" t="s">
        <v>598</v>
      </c>
      <c r="G3423" t="s">
        <v>599</v>
      </c>
      <c r="H3423" t="s">
        <v>600</v>
      </c>
      <c r="I3423" t="s">
        <v>601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hidden="1">
      <c r="A3424" t="s">
        <v>18813</v>
      </c>
      <c r="B3424" t="s">
        <v>1147</v>
      </c>
      <c r="C3424" t="s">
        <v>1079</v>
      </c>
      <c r="D3424" t="s">
        <v>1145</v>
      </c>
      <c r="E3424" t="s">
        <v>1093</v>
      </c>
      <c r="F3424" t="s">
        <v>598</v>
      </c>
      <c r="G3424" t="s">
        <v>599</v>
      </c>
      <c r="H3424" t="s">
        <v>600</v>
      </c>
      <c r="I3424" t="s">
        <v>601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hidden="1">
      <c r="A3425" t="s">
        <v>18813</v>
      </c>
      <c r="B3425" t="s">
        <v>1148</v>
      </c>
      <c r="C3425" t="s">
        <v>1079</v>
      </c>
      <c r="D3425" t="s">
        <v>1145</v>
      </c>
      <c r="E3425" t="s">
        <v>1095</v>
      </c>
      <c r="F3425" t="s">
        <v>598</v>
      </c>
      <c r="G3425" t="s">
        <v>599</v>
      </c>
      <c r="H3425" t="s">
        <v>600</v>
      </c>
      <c r="I3425" t="s">
        <v>601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hidden="1">
      <c r="A3426" t="s">
        <v>18813</v>
      </c>
      <c r="B3426" t="s">
        <v>1149</v>
      </c>
      <c r="C3426" t="s">
        <v>1079</v>
      </c>
      <c r="D3426" t="s">
        <v>1145</v>
      </c>
      <c r="E3426" t="s">
        <v>1097</v>
      </c>
      <c r="F3426" t="s">
        <v>598</v>
      </c>
      <c r="G3426" t="s">
        <v>599</v>
      </c>
      <c r="H3426" t="s">
        <v>600</v>
      </c>
      <c r="I3426" t="s">
        <v>601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hidden="1">
      <c r="A3427" t="s">
        <v>18813</v>
      </c>
      <c r="B3427" t="s">
        <v>1150</v>
      </c>
      <c r="C3427" t="s">
        <v>1079</v>
      </c>
      <c r="D3427" t="s">
        <v>1145</v>
      </c>
      <c r="E3427" t="s">
        <v>1099</v>
      </c>
      <c r="F3427" t="s">
        <v>598</v>
      </c>
      <c r="G3427" t="s">
        <v>599</v>
      </c>
      <c r="H3427" t="s">
        <v>600</v>
      </c>
      <c r="I3427" t="s">
        <v>601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hidden="1">
      <c r="A3428" t="s">
        <v>18813</v>
      </c>
      <c r="B3428" t="s">
        <v>1151</v>
      </c>
      <c r="C3428" t="s">
        <v>1079</v>
      </c>
      <c r="D3428" t="s">
        <v>1145</v>
      </c>
      <c r="E3428" t="s">
        <v>1101</v>
      </c>
      <c r="F3428" t="s">
        <v>598</v>
      </c>
      <c r="G3428" t="s">
        <v>599</v>
      </c>
      <c r="H3428" t="s">
        <v>600</v>
      </c>
      <c r="I3428" t="s">
        <v>601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hidden="1">
      <c r="A3429" t="s">
        <v>18813</v>
      </c>
      <c r="B3429" t="s">
        <v>1152</v>
      </c>
      <c r="C3429" t="s">
        <v>1079</v>
      </c>
      <c r="D3429" t="s">
        <v>1145</v>
      </c>
      <c r="E3429" t="s">
        <v>1153</v>
      </c>
      <c r="F3429" t="s">
        <v>598</v>
      </c>
      <c r="G3429" t="s">
        <v>599</v>
      </c>
      <c r="H3429" t="s">
        <v>600</v>
      </c>
      <c r="I3429" t="s">
        <v>601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hidden="1">
      <c r="A3430" t="s">
        <v>18813</v>
      </c>
      <c r="B3430" t="s">
        <v>1154</v>
      </c>
      <c r="C3430" t="s">
        <v>1079</v>
      </c>
      <c r="D3430" t="s">
        <v>1145</v>
      </c>
      <c r="E3430" t="s">
        <v>1103</v>
      </c>
      <c r="F3430" t="s">
        <v>598</v>
      </c>
      <c r="G3430" t="s">
        <v>599</v>
      </c>
      <c r="H3430" t="s">
        <v>600</v>
      </c>
      <c r="I3430" t="s">
        <v>601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hidden="1">
      <c r="A3431" t="s">
        <v>18813</v>
      </c>
      <c r="B3431" t="s">
        <v>1155</v>
      </c>
      <c r="C3431" t="s">
        <v>1079</v>
      </c>
      <c r="D3431" t="s">
        <v>1156</v>
      </c>
      <c r="E3431" t="s">
        <v>1081</v>
      </c>
      <c r="F3431" t="s">
        <v>598</v>
      </c>
      <c r="G3431" t="s">
        <v>599</v>
      </c>
      <c r="H3431" t="s">
        <v>600</v>
      </c>
      <c r="I3431" t="s">
        <v>601</v>
      </c>
      <c r="J3431">
        <v>1.0999999999999999E-2</v>
      </c>
      <c r="K3431">
        <v>1.1299999999999999E-2</v>
      </c>
      <c r="L3431">
        <v>1.1599999999999999E-2</v>
      </c>
      <c r="M3431">
        <v>1.1900000000000001E-2</v>
      </c>
      <c r="N3431">
        <v>1.2200000000000001E-2</v>
      </c>
      <c r="O3431">
        <v>1.26E-2</v>
      </c>
      <c r="P3431">
        <v>1.2800000000000001E-2</v>
      </c>
      <c r="Q3431">
        <v>1.2999999999999999E-2</v>
      </c>
      <c r="R3431">
        <v>1.3100000000000001E-2</v>
      </c>
      <c r="S3431">
        <v>1.32E-2</v>
      </c>
      <c r="T3431">
        <v>1.34E-2</v>
      </c>
      <c r="U3431">
        <v>1.35E-2</v>
      </c>
      <c r="V3431">
        <v>1.3599999999999999E-2</v>
      </c>
      <c r="W3431">
        <v>1.37E-2</v>
      </c>
      <c r="X3431">
        <v>1.38E-2</v>
      </c>
      <c r="Y3431">
        <v>1.3899999999999999E-2</v>
      </c>
    </row>
    <row r="3432" spans="1:25" hidden="1">
      <c r="A3432" t="s">
        <v>18813</v>
      </c>
      <c r="B3432" t="s">
        <v>1158</v>
      </c>
      <c r="C3432" t="s">
        <v>1079</v>
      </c>
      <c r="D3432" t="s">
        <v>1156</v>
      </c>
      <c r="E3432" t="s">
        <v>1093</v>
      </c>
      <c r="F3432" t="s">
        <v>598</v>
      </c>
      <c r="G3432" t="s">
        <v>599</v>
      </c>
      <c r="H3432" t="s">
        <v>600</v>
      </c>
      <c r="I3432" t="s">
        <v>601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hidden="1">
      <c r="A3433" t="s">
        <v>18813</v>
      </c>
      <c r="B3433" t="s">
        <v>1159</v>
      </c>
      <c r="C3433" t="s">
        <v>1079</v>
      </c>
      <c r="D3433" t="s">
        <v>1156</v>
      </c>
      <c r="E3433" t="s">
        <v>1097</v>
      </c>
      <c r="F3433" t="s">
        <v>598</v>
      </c>
      <c r="G3433" t="s">
        <v>599</v>
      </c>
      <c r="H3433" t="s">
        <v>600</v>
      </c>
      <c r="I3433" t="s">
        <v>601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hidden="1">
      <c r="A3434" t="s">
        <v>18813</v>
      </c>
      <c r="B3434" t="s">
        <v>1160</v>
      </c>
      <c r="C3434" t="s">
        <v>1079</v>
      </c>
      <c r="D3434" t="s">
        <v>1156</v>
      </c>
      <c r="E3434" t="s">
        <v>1099</v>
      </c>
      <c r="F3434" t="s">
        <v>598</v>
      </c>
      <c r="G3434" t="s">
        <v>599</v>
      </c>
      <c r="H3434" t="s">
        <v>600</v>
      </c>
      <c r="I3434" t="s">
        <v>601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hidden="1">
      <c r="A3435" t="s">
        <v>18813</v>
      </c>
      <c r="B3435" t="s">
        <v>1161</v>
      </c>
      <c r="C3435" t="s">
        <v>1079</v>
      </c>
      <c r="D3435" t="s">
        <v>1156</v>
      </c>
      <c r="E3435" t="s">
        <v>1101</v>
      </c>
      <c r="F3435" t="s">
        <v>598</v>
      </c>
      <c r="G3435" t="s">
        <v>599</v>
      </c>
      <c r="H3435" t="s">
        <v>600</v>
      </c>
      <c r="I3435" t="s">
        <v>601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hidden="1">
      <c r="A3436" t="s">
        <v>18813</v>
      </c>
      <c r="B3436" t="s">
        <v>1163</v>
      </c>
      <c r="C3436" t="s">
        <v>1079</v>
      </c>
      <c r="D3436" t="s">
        <v>1164</v>
      </c>
      <c r="E3436" t="s">
        <v>1081</v>
      </c>
      <c r="F3436" t="s">
        <v>598</v>
      </c>
      <c r="G3436" t="s">
        <v>599</v>
      </c>
      <c r="H3436" t="s">
        <v>600</v>
      </c>
      <c r="I3436" t="s">
        <v>601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hidden="1">
      <c r="A3437" t="s">
        <v>18813</v>
      </c>
      <c r="B3437" t="s">
        <v>1165</v>
      </c>
      <c r="C3437" t="s">
        <v>1079</v>
      </c>
      <c r="D3437" t="s">
        <v>1164</v>
      </c>
      <c r="E3437" t="s">
        <v>1089</v>
      </c>
      <c r="F3437" t="s">
        <v>598</v>
      </c>
      <c r="G3437" t="s">
        <v>599</v>
      </c>
      <c r="H3437" t="s">
        <v>600</v>
      </c>
      <c r="I3437" t="s">
        <v>601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hidden="1">
      <c r="A3438" t="s">
        <v>18813</v>
      </c>
      <c r="B3438" t="s">
        <v>1167</v>
      </c>
      <c r="C3438" t="s">
        <v>1079</v>
      </c>
      <c r="D3438" t="s">
        <v>1164</v>
      </c>
      <c r="E3438" t="s">
        <v>1095</v>
      </c>
      <c r="F3438" t="s">
        <v>598</v>
      </c>
      <c r="G3438" t="s">
        <v>599</v>
      </c>
      <c r="H3438" t="s">
        <v>600</v>
      </c>
      <c r="I3438" t="s">
        <v>601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hidden="1">
      <c r="A3439" t="s">
        <v>18813</v>
      </c>
      <c r="B3439" t="s">
        <v>1168</v>
      </c>
      <c r="C3439" t="s">
        <v>1079</v>
      </c>
      <c r="D3439" t="s">
        <v>1164</v>
      </c>
      <c r="E3439" t="s">
        <v>1141</v>
      </c>
      <c r="F3439" t="s">
        <v>598</v>
      </c>
      <c r="G3439" t="s">
        <v>599</v>
      </c>
      <c r="H3439" t="s">
        <v>600</v>
      </c>
      <c r="I3439" t="s">
        <v>601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hidden="1">
      <c r="A3440" t="s">
        <v>18813</v>
      </c>
      <c r="B3440" t="s">
        <v>1169</v>
      </c>
      <c r="C3440" t="s">
        <v>1079</v>
      </c>
      <c r="D3440" t="s">
        <v>1164</v>
      </c>
      <c r="E3440" t="s">
        <v>1101</v>
      </c>
      <c r="F3440" t="s">
        <v>598</v>
      </c>
      <c r="G3440" t="s">
        <v>599</v>
      </c>
      <c r="H3440" t="s">
        <v>600</v>
      </c>
      <c r="I3440" t="s">
        <v>601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hidden="1">
      <c r="A3441" t="s">
        <v>18813</v>
      </c>
      <c r="B3441" t="s">
        <v>1171</v>
      </c>
      <c r="C3441" t="s">
        <v>1079</v>
      </c>
      <c r="D3441" t="s">
        <v>1172</v>
      </c>
      <c r="E3441" t="s">
        <v>1081</v>
      </c>
      <c r="F3441" t="s">
        <v>598</v>
      </c>
      <c r="G3441" t="s">
        <v>599</v>
      </c>
      <c r="H3441" t="s">
        <v>600</v>
      </c>
      <c r="I3441" t="s">
        <v>601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hidden="1">
      <c r="A3442" t="s">
        <v>18813</v>
      </c>
      <c r="B3442" t="s">
        <v>1173</v>
      </c>
      <c r="C3442" t="s">
        <v>1079</v>
      </c>
      <c r="D3442" t="s">
        <v>1172</v>
      </c>
      <c r="E3442" t="s">
        <v>1091</v>
      </c>
      <c r="F3442" t="s">
        <v>598</v>
      </c>
      <c r="G3442" t="s">
        <v>599</v>
      </c>
      <c r="H3442" t="s">
        <v>600</v>
      </c>
      <c r="I3442" t="s">
        <v>601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hidden="1">
      <c r="A3443" t="s">
        <v>18813</v>
      </c>
      <c r="B3443" t="s">
        <v>1175</v>
      </c>
      <c r="C3443" t="s">
        <v>1079</v>
      </c>
      <c r="D3443" t="s">
        <v>1172</v>
      </c>
      <c r="E3443" t="s">
        <v>1101</v>
      </c>
      <c r="F3443" t="s">
        <v>598</v>
      </c>
      <c r="G3443" t="s">
        <v>599</v>
      </c>
      <c r="H3443" t="s">
        <v>600</v>
      </c>
      <c r="I3443" t="s">
        <v>601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hidden="1">
      <c r="A3444" t="s">
        <v>18813</v>
      </c>
      <c r="B3444" t="s">
        <v>1176</v>
      </c>
      <c r="C3444" t="s">
        <v>1079</v>
      </c>
      <c r="D3444" t="s">
        <v>1172</v>
      </c>
      <c r="E3444" t="s">
        <v>1103</v>
      </c>
      <c r="F3444" t="s">
        <v>598</v>
      </c>
      <c r="G3444" t="s">
        <v>599</v>
      </c>
      <c r="H3444" t="s">
        <v>600</v>
      </c>
      <c r="I3444" t="s">
        <v>601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hidden="1">
      <c r="A3445" t="s">
        <v>18813</v>
      </c>
      <c r="B3445" t="s">
        <v>1177</v>
      </c>
      <c r="C3445" t="s">
        <v>1079</v>
      </c>
      <c r="D3445" t="s">
        <v>1178</v>
      </c>
      <c r="E3445" t="s">
        <v>1081</v>
      </c>
      <c r="F3445" t="s">
        <v>598</v>
      </c>
      <c r="G3445" t="s">
        <v>599</v>
      </c>
      <c r="H3445" t="s">
        <v>600</v>
      </c>
      <c r="I3445" t="s">
        <v>601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hidden="1">
      <c r="A3446" t="s">
        <v>18813</v>
      </c>
      <c r="B3446" t="s">
        <v>1179</v>
      </c>
      <c r="C3446" t="s">
        <v>1079</v>
      </c>
      <c r="D3446" t="s">
        <v>1180</v>
      </c>
      <c r="E3446" t="s">
        <v>1081</v>
      </c>
      <c r="F3446" t="s">
        <v>598</v>
      </c>
      <c r="G3446" t="s">
        <v>599</v>
      </c>
      <c r="H3446" t="s">
        <v>600</v>
      </c>
      <c r="I3446" t="s">
        <v>601</v>
      </c>
      <c r="J3446">
        <v>1E-4</v>
      </c>
      <c r="K3446">
        <v>1E-4</v>
      </c>
      <c r="L3446">
        <v>1E-4</v>
      </c>
      <c r="M3446">
        <v>1E-4</v>
      </c>
      <c r="N3446">
        <v>1E-4</v>
      </c>
      <c r="O3446">
        <v>1E-4</v>
      </c>
      <c r="P3446">
        <v>1E-4</v>
      </c>
      <c r="Q3446">
        <v>1E-4</v>
      </c>
      <c r="R3446">
        <v>1E-4</v>
      </c>
      <c r="S3446">
        <v>1E-4</v>
      </c>
      <c r="T3446">
        <v>1E-4</v>
      </c>
      <c r="U3446">
        <v>1E-4</v>
      </c>
      <c r="V3446">
        <v>1E-4</v>
      </c>
      <c r="W3446">
        <v>1E-4</v>
      </c>
      <c r="X3446">
        <v>2.0000000000000001E-4</v>
      </c>
      <c r="Y3446">
        <v>2.0000000000000001E-4</v>
      </c>
    </row>
    <row r="3447" spans="1:25" hidden="1">
      <c r="A3447" t="s">
        <v>18813</v>
      </c>
      <c r="B3447" t="s">
        <v>1181</v>
      </c>
      <c r="C3447" t="s">
        <v>1079</v>
      </c>
      <c r="D3447" t="s">
        <v>1180</v>
      </c>
      <c r="E3447" t="s">
        <v>1091</v>
      </c>
      <c r="F3447" t="s">
        <v>598</v>
      </c>
      <c r="G3447" t="s">
        <v>599</v>
      </c>
      <c r="H3447" t="s">
        <v>600</v>
      </c>
      <c r="I3447" t="s">
        <v>601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hidden="1">
      <c r="A3448" t="s">
        <v>18813</v>
      </c>
      <c r="B3448" t="s">
        <v>1182</v>
      </c>
      <c r="C3448" t="s">
        <v>1079</v>
      </c>
      <c r="D3448" t="s">
        <v>1180</v>
      </c>
      <c r="E3448" t="s">
        <v>1095</v>
      </c>
      <c r="F3448" t="s">
        <v>598</v>
      </c>
      <c r="G3448" t="s">
        <v>599</v>
      </c>
      <c r="H3448" t="s">
        <v>600</v>
      </c>
      <c r="I3448" t="s">
        <v>601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hidden="1">
      <c r="A3449" t="s">
        <v>18813</v>
      </c>
      <c r="B3449" t="s">
        <v>1183</v>
      </c>
      <c r="C3449" t="s">
        <v>1079</v>
      </c>
      <c r="D3449" t="s">
        <v>1180</v>
      </c>
      <c r="E3449" t="s">
        <v>1097</v>
      </c>
      <c r="F3449" t="s">
        <v>598</v>
      </c>
      <c r="G3449" t="s">
        <v>599</v>
      </c>
      <c r="H3449" t="s">
        <v>600</v>
      </c>
      <c r="I3449" t="s">
        <v>601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hidden="1">
      <c r="A3450" t="s">
        <v>18813</v>
      </c>
      <c r="B3450" t="s">
        <v>1185</v>
      </c>
      <c r="C3450" t="s">
        <v>1079</v>
      </c>
      <c r="D3450" t="s">
        <v>1180</v>
      </c>
      <c r="E3450" t="s">
        <v>1101</v>
      </c>
      <c r="F3450" t="s">
        <v>598</v>
      </c>
      <c r="G3450" t="s">
        <v>599</v>
      </c>
      <c r="H3450" t="s">
        <v>600</v>
      </c>
      <c r="I3450" t="s">
        <v>601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hidden="1">
      <c r="A3451" t="s">
        <v>18813</v>
      </c>
      <c r="B3451" t="s">
        <v>1186</v>
      </c>
      <c r="C3451" t="s">
        <v>1079</v>
      </c>
      <c r="D3451" t="s">
        <v>1180</v>
      </c>
      <c r="E3451" t="s">
        <v>1103</v>
      </c>
      <c r="F3451" t="s">
        <v>598</v>
      </c>
      <c r="G3451" t="s">
        <v>599</v>
      </c>
      <c r="H3451" t="s">
        <v>600</v>
      </c>
      <c r="I3451" t="s">
        <v>601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hidden="1">
      <c r="A3452" t="s">
        <v>18813</v>
      </c>
      <c r="B3452" t="s">
        <v>1187</v>
      </c>
      <c r="C3452" t="s">
        <v>1079</v>
      </c>
      <c r="D3452" t="s">
        <v>1188</v>
      </c>
      <c r="E3452" t="s">
        <v>1018</v>
      </c>
      <c r="F3452" t="s">
        <v>598</v>
      </c>
      <c r="G3452" t="s">
        <v>599</v>
      </c>
      <c r="H3452" t="s">
        <v>600</v>
      </c>
      <c r="I3452" t="s">
        <v>601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hidden="1">
      <c r="A3453" t="s">
        <v>18813</v>
      </c>
      <c r="B3453" t="s">
        <v>1191</v>
      </c>
      <c r="C3453" t="s">
        <v>1079</v>
      </c>
      <c r="D3453" t="s">
        <v>1188</v>
      </c>
      <c r="E3453" t="s">
        <v>1192</v>
      </c>
      <c r="F3453" t="s">
        <v>598</v>
      </c>
      <c r="G3453" t="s">
        <v>599</v>
      </c>
      <c r="H3453" t="s">
        <v>600</v>
      </c>
      <c r="I3453" t="s">
        <v>601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hidden="1">
      <c r="A3454" t="s">
        <v>18813</v>
      </c>
      <c r="B3454" t="s">
        <v>1193</v>
      </c>
      <c r="C3454" t="s">
        <v>1079</v>
      </c>
      <c r="D3454" t="s">
        <v>1188</v>
      </c>
      <c r="E3454" t="s">
        <v>1194</v>
      </c>
      <c r="F3454" t="s">
        <v>598</v>
      </c>
      <c r="G3454" t="s">
        <v>599</v>
      </c>
      <c r="H3454" t="s">
        <v>600</v>
      </c>
      <c r="I3454" t="s">
        <v>601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hidden="1">
      <c r="A3455" t="s">
        <v>18813</v>
      </c>
      <c r="B3455" t="s">
        <v>1195</v>
      </c>
      <c r="C3455" t="s">
        <v>1079</v>
      </c>
      <c r="D3455" t="s">
        <v>1188</v>
      </c>
      <c r="E3455" t="s">
        <v>1196</v>
      </c>
      <c r="F3455" t="s">
        <v>598</v>
      </c>
      <c r="G3455" t="s">
        <v>599</v>
      </c>
      <c r="H3455" t="s">
        <v>600</v>
      </c>
      <c r="I3455" t="s">
        <v>601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hidden="1">
      <c r="A3456" t="s">
        <v>18813</v>
      </c>
      <c r="B3456" t="s">
        <v>1197</v>
      </c>
      <c r="C3456" t="s">
        <v>1079</v>
      </c>
      <c r="D3456" t="s">
        <v>1188</v>
      </c>
      <c r="E3456" t="s">
        <v>1198</v>
      </c>
      <c r="F3456" t="s">
        <v>598</v>
      </c>
      <c r="G3456" t="s">
        <v>599</v>
      </c>
      <c r="H3456" t="s">
        <v>600</v>
      </c>
      <c r="I3456" t="s">
        <v>601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hidden="1">
      <c r="A3457" t="s">
        <v>18813</v>
      </c>
      <c r="B3457" t="s">
        <v>1199</v>
      </c>
      <c r="C3457" t="s">
        <v>1079</v>
      </c>
      <c r="D3457" t="s">
        <v>1188</v>
      </c>
      <c r="E3457" t="s">
        <v>1200</v>
      </c>
      <c r="F3457" t="s">
        <v>598</v>
      </c>
      <c r="G3457" t="s">
        <v>599</v>
      </c>
      <c r="H3457" t="s">
        <v>600</v>
      </c>
      <c r="I3457" t="s">
        <v>601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hidden="1">
      <c r="A3458" t="s">
        <v>18813</v>
      </c>
      <c r="B3458" t="s">
        <v>1201</v>
      </c>
      <c r="C3458" t="s">
        <v>1079</v>
      </c>
      <c r="D3458" t="s">
        <v>1188</v>
      </c>
      <c r="E3458" t="s">
        <v>1202</v>
      </c>
      <c r="F3458" t="s">
        <v>598</v>
      </c>
      <c r="G3458" t="s">
        <v>599</v>
      </c>
      <c r="H3458" t="s">
        <v>600</v>
      </c>
      <c r="I3458" t="s">
        <v>601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hidden="1">
      <c r="A3459" t="s">
        <v>18813</v>
      </c>
      <c r="B3459" t="s">
        <v>1203</v>
      </c>
      <c r="C3459" t="s">
        <v>1079</v>
      </c>
      <c r="D3459" t="s">
        <v>1188</v>
      </c>
      <c r="E3459" t="s">
        <v>1028</v>
      </c>
      <c r="F3459" t="s">
        <v>598</v>
      </c>
      <c r="G3459" t="s">
        <v>599</v>
      </c>
      <c r="H3459" t="s">
        <v>600</v>
      </c>
      <c r="I3459" t="s">
        <v>601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hidden="1">
      <c r="A3460" t="s">
        <v>18813</v>
      </c>
      <c r="B3460" t="s">
        <v>1204</v>
      </c>
      <c r="C3460" t="s">
        <v>1079</v>
      </c>
      <c r="D3460" t="s">
        <v>1188</v>
      </c>
      <c r="E3460" t="s">
        <v>630</v>
      </c>
      <c r="F3460" t="s">
        <v>598</v>
      </c>
      <c r="G3460" t="s">
        <v>599</v>
      </c>
      <c r="H3460" t="s">
        <v>600</v>
      </c>
      <c r="I3460" t="s">
        <v>601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hidden="1">
      <c r="A3461" t="s">
        <v>18813</v>
      </c>
      <c r="B3461" t="s">
        <v>1207</v>
      </c>
      <c r="C3461" t="s">
        <v>1079</v>
      </c>
      <c r="D3461" t="s">
        <v>1188</v>
      </c>
      <c r="E3461" t="s">
        <v>1033</v>
      </c>
      <c r="F3461" t="s">
        <v>598</v>
      </c>
      <c r="G3461" t="s">
        <v>599</v>
      </c>
      <c r="H3461" t="s">
        <v>600</v>
      </c>
      <c r="I3461" t="s">
        <v>601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hidden="1">
      <c r="A3462" t="s">
        <v>18813</v>
      </c>
      <c r="B3462" t="s">
        <v>1208</v>
      </c>
      <c r="C3462" t="s">
        <v>1079</v>
      </c>
      <c r="D3462" t="s">
        <v>1188</v>
      </c>
      <c r="E3462" t="s">
        <v>1209</v>
      </c>
      <c r="F3462" t="s">
        <v>598</v>
      </c>
      <c r="G3462" t="s">
        <v>599</v>
      </c>
      <c r="H3462" t="s">
        <v>600</v>
      </c>
      <c r="I3462" t="s">
        <v>601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hidden="1">
      <c r="A3463" t="s">
        <v>18813</v>
      </c>
      <c r="B3463" t="s">
        <v>1210</v>
      </c>
      <c r="C3463" t="s">
        <v>1079</v>
      </c>
      <c r="D3463" t="s">
        <v>1188</v>
      </c>
      <c r="E3463" t="s">
        <v>1211</v>
      </c>
      <c r="F3463" t="s">
        <v>598</v>
      </c>
      <c r="G3463" t="s">
        <v>599</v>
      </c>
      <c r="H3463" t="s">
        <v>600</v>
      </c>
      <c r="I3463" t="s">
        <v>601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hidden="1">
      <c r="A3464" t="s">
        <v>18813</v>
      </c>
      <c r="B3464" t="s">
        <v>1212</v>
      </c>
      <c r="C3464" t="s">
        <v>1079</v>
      </c>
      <c r="D3464" t="s">
        <v>1188</v>
      </c>
      <c r="E3464" t="s">
        <v>1058</v>
      </c>
      <c r="F3464" t="s">
        <v>598</v>
      </c>
      <c r="G3464" t="s">
        <v>599</v>
      </c>
      <c r="H3464" t="s">
        <v>600</v>
      </c>
      <c r="I3464" t="s">
        <v>601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hidden="1">
      <c r="A3465" t="s">
        <v>18813</v>
      </c>
      <c r="B3465" t="s">
        <v>1213</v>
      </c>
      <c r="C3465" t="s">
        <v>1079</v>
      </c>
      <c r="D3465" t="s">
        <v>1188</v>
      </c>
      <c r="E3465" t="s">
        <v>1214</v>
      </c>
      <c r="F3465" t="s">
        <v>598</v>
      </c>
      <c r="G3465" t="s">
        <v>599</v>
      </c>
      <c r="H3465" t="s">
        <v>600</v>
      </c>
      <c r="I3465" t="s">
        <v>601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hidden="1">
      <c r="A3466" t="s">
        <v>18813</v>
      </c>
      <c r="B3466" t="s">
        <v>1215</v>
      </c>
      <c r="C3466" t="s">
        <v>1079</v>
      </c>
      <c r="D3466" t="s">
        <v>1188</v>
      </c>
      <c r="E3466" t="s">
        <v>1216</v>
      </c>
      <c r="F3466" t="s">
        <v>598</v>
      </c>
      <c r="G3466" t="s">
        <v>599</v>
      </c>
      <c r="H3466" t="s">
        <v>600</v>
      </c>
      <c r="I3466" t="s">
        <v>601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hidden="1">
      <c r="A3467" t="s">
        <v>18813</v>
      </c>
      <c r="B3467" t="s">
        <v>1217</v>
      </c>
      <c r="C3467" t="s">
        <v>1079</v>
      </c>
      <c r="D3467" t="s">
        <v>1188</v>
      </c>
      <c r="E3467" t="s">
        <v>1106</v>
      </c>
      <c r="F3467" t="s">
        <v>598</v>
      </c>
      <c r="G3467" t="s">
        <v>599</v>
      </c>
      <c r="H3467" t="s">
        <v>600</v>
      </c>
      <c r="I3467" t="s">
        <v>601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hidden="1">
      <c r="A3468" t="s">
        <v>18813</v>
      </c>
      <c r="B3468" t="s">
        <v>1218</v>
      </c>
      <c r="C3468" t="s">
        <v>1079</v>
      </c>
      <c r="D3468" t="s">
        <v>1188</v>
      </c>
      <c r="E3468" t="s">
        <v>1219</v>
      </c>
      <c r="F3468" t="s">
        <v>598</v>
      </c>
      <c r="G3468" t="s">
        <v>599</v>
      </c>
      <c r="H3468" t="s">
        <v>600</v>
      </c>
      <c r="I3468" t="s">
        <v>601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hidden="1">
      <c r="A3469" t="s">
        <v>18813</v>
      </c>
      <c r="B3469" t="s">
        <v>1220</v>
      </c>
      <c r="C3469" t="s">
        <v>1079</v>
      </c>
      <c r="D3469" t="s">
        <v>1188</v>
      </c>
      <c r="E3469" t="s">
        <v>1084</v>
      </c>
      <c r="F3469" t="s">
        <v>598</v>
      </c>
      <c r="G3469" t="s">
        <v>599</v>
      </c>
      <c r="H3469" t="s">
        <v>600</v>
      </c>
      <c r="I3469" t="s">
        <v>601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hidden="1">
      <c r="A3470" t="s">
        <v>18813</v>
      </c>
      <c r="B3470" t="s">
        <v>1221</v>
      </c>
      <c r="C3470" t="s">
        <v>1079</v>
      </c>
      <c r="D3470" t="s">
        <v>648</v>
      </c>
      <c r="E3470" t="s">
        <v>1081</v>
      </c>
      <c r="F3470" t="s">
        <v>598</v>
      </c>
      <c r="G3470" t="s">
        <v>599</v>
      </c>
      <c r="H3470" t="s">
        <v>600</v>
      </c>
      <c r="I3470" t="s">
        <v>601</v>
      </c>
      <c r="J3470">
        <v>0.20669999999999999</v>
      </c>
      <c r="K3470">
        <v>0.2127</v>
      </c>
      <c r="L3470">
        <v>0.21809999999999999</v>
      </c>
      <c r="M3470">
        <v>0.224</v>
      </c>
      <c r="N3470">
        <v>0.23050000000000001</v>
      </c>
      <c r="O3470">
        <v>0.23669999999999999</v>
      </c>
      <c r="P3470">
        <v>0.24260000000000001</v>
      </c>
      <c r="Q3470">
        <v>0.24790000000000001</v>
      </c>
      <c r="R3470">
        <v>0.25</v>
      </c>
      <c r="S3470">
        <v>0.25280000000000002</v>
      </c>
      <c r="T3470">
        <v>0.25540000000000002</v>
      </c>
      <c r="U3470">
        <v>0.25740000000000002</v>
      </c>
      <c r="V3470">
        <v>0.26029999999999998</v>
      </c>
      <c r="W3470">
        <v>0.26279999999999998</v>
      </c>
      <c r="X3470">
        <v>0.26529999999999998</v>
      </c>
      <c r="Y3470">
        <v>0.2676</v>
      </c>
    </row>
    <row r="3471" spans="1:25" hidden="1">
      <c r="A3471" t="s">
        <v>18813</v>
      </c>
      <c r="B3471" t="s">
        <v>1222</v>
      </c>
      <c r="C3471" t="s">
        <v>1079</v>
      </c>
      <c r="D3471" t="s">
        <v>648</v>
      </c>
      <c r="E3471" t="s">
        <v>1091</v>
      </c>
      <c r="F3471" t="s">
        <v>598</v>
      </c>
      <c r="G3471" t="s">
        <v>599</v>
      </c>
      <c r="H3471" t="s">
        <v>600</v>
      </c>
      <c r="I3471" t="s">
        <v>601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hidden="1">
      <c r="A3472" t="s">
        <v>18813</v>
      </c>
      <c r="B3472" t="s">
        <v>1223</v>
      </c>
      <c r="C3472" t="s">
        <v>1079</v>
      </c>
      <c r="D3472" t="s">
        <v>648</v>
      </c>
      <c r="E3472" t="s">
        <v>1093</v>
      </c>
      <c r="F3472" t="s">
        <v>598</v>
      </c>
      <c r="G3472" t="s">
        <v>599</v>
      </c>
      <c r="H3472" t="s">
        <v>600</v>
      </c>
      <c r="I3472" t="s">
        <v>601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hidden="1">
      <c r="A3473" t="s">
        <v>18813</v>
      </c>
      <c r="B3473" t="s">
        <v>1225</v>
      </c>
      <c r="C3473" t="s">
        <v>1079</v>
      </c>
      <c r="D3473" t="s">
        <v>648</v>
      </c>
      <c r="E3473" t="s">
        <v>1097</v>
      </c>
      <c r="F3473" t="s">
        <v>598</v>
      </c>
      <c r="G3473" t="s">
        <v>599</v>
      </c>
      <c r="H3473" t="s">
        <v>600</v>
      </c>
      <c r="I3473" t="s">
        <v>601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hidden="1">
      <c r="A3474" t="s">
        <v>18813</v>
      </c>
      <c r="B3474" t="s">
        <v>1226</v>
      </c>
      <c r="C3474" t="s">
        <v>1079</v>
      </c>
      <c r="D3474" t="s">
        <v>648</v>
      </c>
      <c r="E3474" t="s">
        <v>1099</v>
      </c>
      <c r="F3474" t="s">
        <v>598</v>
      </c>
      <c r="G3474" t="s">
        <v>599</v>
      </c>
      <c r="H3474" t="s">
        <v>600</v>
      </c>
      <c r="I3474" t="s">
        <v>601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hidden="1">
      <c r="A3475" t="s">
        <v>18813</v>
      </c>
      <c r="B3475" t="s">
        <v>1227</v>
      </c>
      <c r="C3475" t="s">
        <v>1079</v>
      </c>
      <c r="D3475" t="s">
        <v>648</v>
      </c>
      <c r="E3475" t="s">
        <v>1101</v>
      </c>
      <c r="F3475" t="s">
        <v>598</v>
      </c>
      <c r="G3475" t="s">
        <v>599</v>
      </c>
      <c r="H3475" t="s">
        <v>600</v>
      </c>
      <c r="I3475" t="s">
        <v>601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hidden="1">
      <c r="A3476" t="s">
        <v>18813</v>
      </c>
      <c r="B3476" t="s">
        <v>1228</v>
      </c>
      <c r="C3476" t="s">
        <v>1079</v>
      </c>
      <c r="D3476" t="s">
        <v>648</v>
      </c>
      <c r="E3476" t="s">
        <v>1103</v>
      </c>
      <c r="F3476" t="s">
        <v>598</v>
      </c>
      <c r="G3476" t="s">
        <v>599</v>
      </c>
      <c r="H3476" t="s">
        <v>600</v>
      </c>
      <c r="I3476" t="s">
        <v>601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hidden="1">
      <c r="A3477" t="s">
        <v>18813</v>
      </c>
      <c r="B3477" t="s">
        <v>1229</v>
      </c>
      <c r="C3477" t="s">
        <v>1230</v>
      </c>
      <c r="D3477" t="s">
        <v>1188</v>
      </c>
      <c r="E3477" t="s">
        <v>1198</v>
      </c>
      <c r="F3477" t="s">
        <v>598</v>
      </c>
      <c r="G3477" t="s">
        <v>599</v>
      </c>
      <c r="H3477" t="s">
        <v>600</v>
      </c>
      <c r="I3477" t="s">
        <v>601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hidden="1">
      <c r="A3478" t="s">
        <v>18813</v>
      </c>
      <c r="B3478" t="s">
        <v>1231</v>
      </c>
      <c r="C3478" t="s">
        <v>1230</v>
      </c>
      <c r="D3478" t="s">
        <v>1188</v>
      </c>
      <c r="E3478" t="s">
        <v>1028</v>
      </c>
      <c r="F3478" t="s">
        <v>598</v>
      </c>
      <c r="G3478" t="s">
        <v>599</v>
      </c>
      <c r="H3478" t="s">
        <v>600</v>
      </c>
      <c r="I3478" t="s">
        <v>601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hidden="1">
      <c r="A3479" t="s">
        <v>18813</v>
      </c>
      <c r="B3479" t="s">
        <v>1232</v>
      </c>
      <c r="C3479" t="s">
        <v>1230</v>
      </c>
      <c r="D3479" t="s">
        <v>1188</v>
      </c>
      <c r="E3479" t="s">
        <v>1233</v>
      </c>
      <c r="F3479" t="s">
        <v>598</v>
      </c>
      <c r="G3479" t="s">
        <v>599</v>
      </c>
      <c r="H3479" t="s">
        <v>600</v>
      </c>
      <c r="I3479" t="s">
        <v>601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 hidden="1">
      <c r="A3480" t="s">
        <v>18813</v>
      </c>
      <c r="B3480" t="s">
        <v>1235</v>
      </c>
      <c r="C3480" t="s">
        <v>1230</v>
      </c>
      <c r="D3480" t="s">
        <v>1188</v>
      </c>
      <c r="E3480" t="s">
        <v>1219</v>
      </c>
      <c r="F3480" t="s">
        <v>598</v>
      </c>
      <c r="G3480" t="s">
        <v>599</v>
      </c>
      <c r="H3480" t="s">
        <v>600</v>
      </c>
      <c r="I3480" t="s">
        <v>601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hidden="1">
      <c r="A3481" t="s">
        <v>18813</v>
      </c>
      <c r="B3481" t="s">
        <v>1237</v>
      </c>
      <c r="C3481" t="s">
        <v>1230</v>
      </c>
      <c r="D3481" t="s">
        <v>1238</v>
      </c>
      <c r="E3481" t="s">
        <v>1239</v>
      </c>
      <c r="F3481" t="s">
        <v>598</v>
      </c>
      <c r="G3481" t="s">
        <v>599</v>
      </c>
      <c r="H3481" t="s">
        <v>600</v>
      </c>
      <c r="I3481" t="s">
        <v>601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hidden="1">
      <c r="A3482" t="s">
        <v>18813</v>
      </c>
      <c r="B3482" t="s">
        <v>1240</v>
      </c>
      <c r="C3482" t="s">
        <v>1230</v>
      </c>
      <c r="D3482" t="s">
        <v>1241</v>
      </c>
      <c r="E3482" t="s">
        <v>1239</v>
      </c>
      <c r="F3482" t="s">
        <v>598</v>
      </c>
      <c r="G3482" t="s">
        <v>599</v>
      </c>
      <c r="H3482" t="s">
        <v>600</v>
      </c>
      <c r="I3482" t="s">
        <v>601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hidden="1">
      <c r="A3483" t="s">
        <v>18813</v>
      </c>
      <c r="B3483" t="s">
        <v>1244</v>
      </c>
      <c r="C3483" t="s">
        <v>1230</v>
      </c>
      <c r="D3483" t="s">
        <v>1243</v>
      </c>
      <c r="E3483" t="s">
        <v>1239</v>
      </c>
      <c r="F3483" t="s">
        <v>598</v>
      </c>
      <c r="G3483" t="s">
        <v>599</v>
      </c>
      <c r="H3483" t="s">
        <v>600</v>
      </c>
      <c r="I3483" t="s">
        <v>601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hidden="1">
      <c r="A3484" t="s">
        <v>18813</v>
      </c>
      <c r="B3484" t="s">
        <v>1245</v>
      </c>
      <c r="C3484" t="s">
        <v>1230</v>
      </c>
      <c r="D3484" t="s">
        <v>1246</v>
      </c>
      <c r="E3484" t="s">
        <v>1084</v>
      </c>
      <c r="F3484" t="s">
        <v>598</v>
      </c>
      <c r="G3484" t="s">
        <v>599</v>
      </c>
      <c r="H3484" t="s">
        <v>600</v>
      </c>
      <c r="I3484" t="s">
        <v>601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hidden="1">
      <c r="A3485" t="s">
        <v>18813</v>
      </c>
      <c r="B3485" t="s">
        <v>1247</v>
      </c>
      <c r="C3485" t="s">
        <v>1230</v>
      </c>
      <c r="D3485" t="s">
        <v>1246</v>
      </c>
      <c r="E3485" t="s">
        <v>1239</v>
      </c>
      <c r="F3485" t="s">
        <v>598</v>
      </c>
      <c r="G3485" t="s">
        <v>599</v>
      </c>
      <c r="H3485" t="s">
        <v>600</v>
      </c>
      <c r="I3485" t="s">
        <v>601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hidden="1">
      <c r="A3486" t="s">
        <v>18813</v>
      </c>
      <c r="B3486" t="s">
        <v>1248</v>
      </c>
      <c r="C3486" t="s">
        <v>1230</v>
      </c>
      <c r="D3486" t="s">
        <v>1249</v>
      </c>
      <c r="E3486" t="s">
        <v>1239</v>
      </c>
      <c r="F3486" t="s">
        <v>598</v>
      </c>
      <c r="G3486" t="s">
        <v>599</v>
      </c>
      <c r="H3486" t="s">
        <v>600</v>
      </c>
      <c r="I3486" t="s">
        <v>601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hidden="1">
      <c r="A3487" t="s">
        <v>18813</v>
      </c>
      <c r="B3487" t="s">
        <v>1250</v>
      </c>
      <c r="C3487" t="s">
        <v>1230</v>
      </c>
      <c r="D3487" t="s">
        <v>648</v>
      </c>
      <c r="E3487" t="s">
        <v>1004</v>
      </c>
      <c r="F3487" t="s">
        <v>598</v>
      </c>
      <c r="G3487" t="s">
        <v>599</v>
      </c>
      <c r="H3487" t="s">
        <v>600</v>
      </c>
      <c r="I3487" t="s">
        <v>601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hidden="1">
      <c r="A3488" t="s">
        <v>18813</v>
      </c>
      <c r="B3488" t="s">
        <v>1251</v>
      </c>
      <c r="C3488" t="s">
        <v>1230</v>
      </c>
      <c r="D3488" t="s">
        <v>648</v>
      </c>
      <c r="E3488" t="s">
        <v>1239</v>
      </c>
      <c r="F3488" t="s">
        <v>598</v>
      </c>
      <c r="G3488" t="s">
        <v>599</v>
      </c>
      <c r="H3488" t="s">
        <v>600</v>
      </c>
      <c r="I3488" t="s">
        <v>601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hidden="1">
      <c r="A3489" t="s">
        <v>18813</v>
      </c>
      <c r="B3489" t="s">
        <v>1252</v>
      </c>
      <c r="C3489" t="s">
        <v>1253</v>
      </c>
      <c r="D3489" t="s">
        <v>1254</v>
      </c>
      <c r="E3489" t="s">
        <v>1255</v>
      </c>
      <c r="F3489" t="s">
        <v>598</v>
      </c>
      <c r="G3489" t="s">
        <v>599</v>
      </c>
      <c r="H3489" t="s">
        <v>600</v>
      </c>
      <c r="I3489" t="s">
        <v>601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hidden="1">
      <c r="A3490" t="s">
        <v>18813</v>
      </c>
      <c r="B3490" t="s">
        <v>1256</v>
      </c>
      <c r="C3490" t="s">
        <v>1253</v>
      </c>
      <c r="D3490" t="s">
        <v>1254</v>
      </c>
      <c r="E3490" t="s">
        <v>1257</v>
      </c>
      <c r="F3490" t="s">
        <v>598</v>
      </c>
      <c r="G3490" t="s">
        <v>599</v>
      </c>
      <c r="H3490" t="s">
        <v>600</v>
      </c>
      <c r="I3490" t="s">
        <v>601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hidden="1">
      <c r="A3491" t="s">
        <v>18813</v>
      </c>
      <c r="B3491" t="s">
        <v>1258</v>
      </c>
      <c r="C3491" t="s">
        <v>1253</v>
      </c>
      <c r="D3491" t="s">
        <v>1254</v>
      </c>
      <c r="E3491" t="s">
        <v>1259</v>
      </c>
      <c r="F3491" t="s">
        <v>598</v>
      </c>
      <c r="G3491" t="s">
        <v>599</v>
      </c>
      <c r="H3491" t="s">
        <v>600</v>
      </c>
      <c r="I3491" t="s">
        <v>601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hidden="1">
      <c r="A3492" t="s">
        <v>18813</v>
      </c>
      <c r="B3492" t="s">
        <v>1260</v>
      </c>
      <c r="C3492" t="s">
        <v>1261</v>
      </c>
      <c r="D3492" t="s">
        <v>648</v>
      </c>
      <c r="E3492" t="s">
        <v>920</v>
      </c>
      <c r="F3492" t="s">
        <v>598</v>
      </c>
      <c r="G3492" t="s">
        <v>599</v>
      </c>
      <c r="H3492" t="s">
        <v>600</v>
      </c>
      <c r="I3492" t="s">
        <v>601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hidden="1">
      <c r="A3493" t="s">
        <v>18813</v>
      </c>
      <c r="B3493" t="s">
        <v>1263</v>
      </c>
      <c r="C3493" t="s">
        <v>1261</v>
      </c>
      <c r="D3493" t="s">
        <v>648</v>
      </c>
      <c r="E3493" t="s">
        <v>1264</v>
      </c>
      <c r="F3493" t="s">
        <v>598</v>
      </c>
      <c r="G3493" t="s">
        <v>599</v>
      </c>
      <c r="H3493" t="s">
        <v>600</v>
      </c>
      <c r="I3493" t="s">
        <v>601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hidden="1">
      <c r="A3494" t="s">
        <v>18813</v>
      </c>
      <c r="B3494" t="s">
        <v>1265</v>
      </c>
      <c r="C3494" t="s">
        <v>1261</v>
      </c>
      <c r="D3494" t="s">
        <v>648</v>
      </c>
      <c r="E3494" t="s">
        <v>1004</v>
      </c>
      <c r="F3494" t="s">
        <v>598</v>
      </c>
      <c r="G3494" t="s">
        <v>599</v>
      </c>
      <c r="H3494" t="s">
        <v>600</v>
      </c>
      <c r="I3494" t="s">
        <v>601</v>
      </c>
      <c r="J3494">
        <v>3.9199999999999999E-2</v>
      </c>
      <c r="K3494">
        <v>4.0399999999999998E-2</v>
      </c>
      <c r="L3494">
        <v>4.1200000000000001E-2</v>
      </c>
      <c r="M3494">
        <v>4.2599999999999999E-2</v>
      </c>
      <c r="N3494">
        <v>4.3900000000000002E-2</v>
      </c>
      <c r="O3494">
        <v>4.4600000000000001E-2</v>
      </c>
      <c r="P3494">
        <v>4.6199999999999998E-2</v>
      </c>
      <c r="Q3494">
        <v>4.7199999999999999E-2</v>
      </c>
      <c r="R3494">
        <v>4.7699999999999999E-2</v>
      </c>
      <c r="S3494">
        <v>4.8099999999999997E-2</v>
      </c>
      <c r="T3494">
        <v>4.8500000000000001E-2</v>
      </c>
      <c r="U3494">
        <v>4.9299999999999997E-2</v>
      </c>
      <c r="V3494">
        <v>4.9799999999999997E-2</v>
      </c>
      <c r="W3494">
        <v>5.0299999999999997E-2</v>
      </c>
      <c r="X3494">
        <v>5.0799999999999998E-2</v>
      </c>
      <c r="Y3494">
        <v>5.1400000000000001E-2</v>
      </c>
    </row>
    <row r="3495" spans="1:25" hidden="1">
      <c r="A3495" t="s">
        <v>18813</v>
      </c>
      <c r="B3495" t="s">
        <v>1269</v>
      </c>
      <c r="C3495" t="s">
        <v>1267</v>
      </c>
      <c r="D3495" t="s">
        <v>1268</v>
      </c>
      <c r="E3495" t="s">
        <v>678</v>
      </c>
      <c r="F3495" t="s">
        <v>598</v>
      </c>
      <c r="G3495" t="s">
        <v>599</v>
      </c>
      <c r="H3495" t="s">
        <v>600</v>
      </c>
      <c r="I3495" t="s">
        <v>601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hidden="1">
      <c r="A3496" t="s">
        <v>18813</v>
      </c>
      <c r="B3496" t="s">
        <v>1272</v>
      </c>
      <c r="C3496" t="s">
        <v>1267</v>
      </c>
      <c r="D3496" t="s">
        <v>1271</v>
      </c>
      <c r="E3496" t="s">
        <v>678</v>
      </c>
      <c r="F3496" t="s">
        <v>598</v>
      </c>
      <c r="G3496" t="s">
        <v>599</v>
      </c>
      <c r="H3496" t="s">
        <v>600</v>
      </c>
      <c r="I3496" t="s">
        <v>601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hidden="1">
      <c r="A3497" t="s">
        <v>18813</v>
      </c>
      <c r="B3497" t="s">
        <v>1273</v>
      </c>
      <c r="C3497" t="s">
        <v>1267</v>
      </c>
      <c r="D3497" t="s">
        <v>1274</v>
      </c>
      <c r="E3497" t="s">
        <v>672</v>
      </c>
      <c r="F3497" t="s">
        <v>598</v>
      </c>
      <c r="G3497" t="s">
        <v>599</v>
      </c>
      <c r="H3497" t="s">
        <v>600</v>
      </c>
      <c r="I3497" t="s">
        <v>601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hidden="1">
      <c r="A3498" t="s">
        <v>18813</v>
      </c>
      <c r="B3498" t="s">
        <v>1275</v>
      </c>
      <c r="C3498" t="s">
        <v>1267</v>
      </c>
      <c r="D3498" t="s">
        <v>1274</v>
      </c>
      <c r="E3498" t="s">
        <v>597</v>
      </c>
      <c r="F3498" t="s">
        <v>598</v>
      </c>
      <c r="G3498" t="s">
        <v>599</v>
      </c>
      <c r="H3498" t="s">
        <v>600</v>
      </c>
      <c r="I3498" t="s">
        <v>601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hidden="1">
      <c r="A3499" t="s">
        <v>18813</v>
      </c>
      <c r="B3499" t="s">
        <v>1276</v>
      </c>
      <c r="C3499" t="s">
        <v>1267</v>
      </c>
      <c r="D3499" t="s">
        <v>1274</v>
      </c>
      <c r="E3499" t="s">
        <v>678</v>
      </c>
      <c r="F3499" t="s">
        <v>598</v>
      </c>
      <c r="G3499" t="s">
        <v>599</v>
      </c>
      <c r="H3499" t="s">
        <v>600</v>
      </c>
      <c r="I3499" t="s">
        <v>601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25" hidden="1">
      <c r="A3500" t="s">
        <v>18813</v>
      </c>
      <c r="B3500" t="s">
        <v>1277</v>
      </c>
      <c r="C3500" t="s">
        <v>1267</v>
      </c>
      <c r="D3500" t="s">
        <v>1278</v>
      </c>
      <c r="E3500" t="s">
        <v>672</v>
      </c>
      <c r="F3500" t="s">
        <v>598</v>
      </c>
      <c r="G3500" t="s">
        <v>599</v>
      </c>
      <c r="H3500" t="s">
        <v>600</v>
      </c>
      <c r="I3500" t="s">
        <v>601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hidden="1">
      <c r="A3501" t="s">
        <v>18813</v>
      </c>
      <c r="B3501" t="s">
        <v>1279</v>
      </c>
      <c r="C3501" t="s">
        <v>1267</v>
      </c>
      <c r="D3501" t="s">
        <v>1278</v>
      </c>
      <c r="E3501" t="s">
        <v>678</v>
      </c>
      <c r="F3501" t="s">
        <v>598</v>
      </c>
      <c r="G3501" t="s">
        <v>599</v>
      </c>
      <c r="H3501" t="s">
        <v>600</v>
      </c>
      <c r="I3501" t="s">
        <v>601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hidden="1">
      <c r="A3502" t="s">
        <v>18813</v>
      </c>
      <c r="B3502" t="s">
        <v>1280</v>
      </c>
      <c r="C3502" t="s">
        <v>1267</v>
      </c>
      <c r="D3502" t="s">
        <v>1281</v>
      </c>
      <c r="E3502" t="s">
        <v>672</v>
      </c>
      <c r="F3502" t="s">
        <v>598</v>
      </c>
      <c r="G3502" t="s">
        <v>599</v>
      </c>
      <c r="H3502" t="s">
        <v>600</v>
      </c>
      <c r="I3502" t="s">
        <v>601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hidden="1">
      <c r="A3503" t="s">
        <v>18813</v>
      </c>
      <c r="B3503" t="s">
        <v>1283</v>
      </c>
      <c r="C3503" t="s">
        <v>1267</v>
      </c>
      <c r="D3503" t="s">
        <v>1281</v>
      </c>
      <c r="E3503" t="s">
        <v>678</v>
      </c>
      <c r="F3503" t="s">
        <v>598</v>
      </c>
      <c r="G3503" t="s">
        <v>599</v>
      </c>
      <c r="H3503" t="s">
        <v>600</v>
      </c>
      <c r="I3503" t="s">
        <v>601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hidden="1">
      <c r="A3504" t="s">
        <v>18813</v>
      </c>
      <c r="B3504" t="s">
        <v>1284</v>
      </c>
      <c r="C3504" t="s">
        <v>1267</v>
      </c>
      <c r="D3504" t="s">
        <v>1285</v>
      </c>
      <c r="E3504" t="s">
        <v>678</v>
      </c>
      <c r="F3504" t="s">
        <v>598</v>
      </c>
      <c r="G3504" t="s">
        <v>599</v>
      </c>
      <c r="H3504" t="s">
        <v>600</v>
      </c>
      <c r="I3504" t="s">
        <v>601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hidden="1">
      <c r="A3505" t="s">
        <v>18813</v>
      </c>
      <c r="B3505" t="s">
        <v>1288</v>
      </c>
      <c r="C3505" t="s">
        <v>1267</v>
      </c>
      <c r="D3505" t="s">
        <v>1287</v>
      </c>
      <c r="E3505" t="s">
        <v>678</v>
      </c>
      <c r="F3505" t="s">
        <v>598</v>
      </c>
      <c r="G3505" t="s">
        <v>599</v>
      </c>
      <c r="H3505" t="s">
        <v>600</v>
      </c>
      <c r="I3505" t="s">
        <v>601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hidden="1">
      <c r="A3506" t="s">
        <v>18813</v>
      </c>
      <c r="B3506" t="s">
        <v>1289</v>
      </c>
      <c r="C3506" t="s">
        <v>1267</v>
      </c>
      <c r="D3506" t="s">
        <v>1290</v>
      </c>
      <c r="E3506" t="s">
        <v>597</v>
      </c>
      <c r="F3506" t="s">
        <v>598</v>
      </c>
      <c r="G3506" t="s">
        <v>599</v>
      </c>
      <c r="H3506" t="s">
        <v>600</v>
      </c>
      <c r="I3506" t="s">
        <v>601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hidden="1">
      <c r="A3507" t="s">
        <v>18813</v>
      </c>
      <c r="B3507" t="s">
        <v>1291</v>
      </c>
      <c r="C3507" t="s">
        <v>1267</v>
      </c>
      <c r="D3507" t="s">
        <v>1290</v>
      </c>
      <c r="E3507" t="s">
        <v>678</v>
      </c>
      <c r="F3507" t="s">
        <v>598</v>
      </c>
      <c r="G3507" t="s">
        <v>599</v>
      </c>
      <c r="H3507" t="s">
        <v>600</v>
      </c>
      <c r="I3507" t="s">
        <v>601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hidden="1">
      <c r="A3508" t="s">
        <v>18813</v>
      </c>
      <c r="B3508" t="s">
        <v>1292</v>
      </c>
      <c r="C3508" t="s">
        <v>1267</v>
      </c>
      <c r="D3508" t="s">
        <v>1293</v>
      </c>
      <c r="E3508" t="s">
        <v>672</v>
      </c>
      <c r="F3508" t="s">
        <v>598</v>
      </c>
      <c r="G3508" t="s">
        <v>599</v>
      </c>
      <c r="H3508" t="s">
        <v>600</v>
      </c>
      <c r="I3508" t="s">
        <v>601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hidden="1">
      <c r="A3509" t="s">
        <v>18813</v>
      </c>
      <c r="B3509" t="s">
        <v>1294</v>
      </c>
      <c r="C3509" t="s">
        <v>1267</v>
      </c>
      <c r="D3509" t="s">
        <v>1293</v>
      </c>
      <c r="E3509" t="s">
        <v>678</v>
      </c>
      <c r="F3509" t="s">
        <v>598</v>
      </c>
      <c r="G3509" t="s">
        <v>599</v>
      </c>
      <c r="H3509" t="s">
        <v>600</v>
      </c>
      <c r="I3509" t="s">
        <v>601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hidden="1">
      <c r="A3510" t="s">
        <v>18813</v>
      </c>
      <c r="B3510" t="s">
        <v>1295</v>
      </c>
      <c r="C3510" t="s">
        <v>1267</v>
      </c>
      <c r="D3510" t="s">
        <v>1296</v>
      </c>
      <c r="E3510" t="s">
        <v>678</v>
      </c>
      <c r="F3510" t="s">
        <v>598</v>
      </c>
      <c r="G3510" t="s">
        <v>599</v>
      </c>
      <c r="H3510" t="s">
        <v>600</v>
      </c>
      <c r="I3510" t="s">
        <v>601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hidden="1">
      <c r="A3511" t="s">
        <v>18813</v>
      </c>
      <c r="B3511" t="s">
        <v>1297</v>
      </c>
      <c r="C3511" t="s">
        <v>1267</v>
      </c>
      <c r="D3511" t="s">
        <v>1298</v>
      </c>
      <c r="E3511" t="s">
        <v>672</v>
      </c>
      <c r="F3511" t="s">
        <v>598</v>
      </c>
      <c r="G3511" t="s">
        <v>599</v>
      </c>
      <c r="H3511" t="s">
        <v>600</v>
      </c>
      <c r="I3511" t="s">
        <v>601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</row>
    <row r="3512" spans="1:25" hidden="1">
      <c r="A3512" t="s">
        <v>18813</v>
      </c>
      <c r="B3512" t="s">
        <v>1299</v>
      </c>
      <c r="C3512" t="s">
        <v>1267</v>
      </c>
      <c r="D3512" t="s">
        <v>1300</v>
      </c>
      <c r="E3512" t="s">
        <v>678</v>
      </c>
      <c r="F3512" t="s">
        <v>598</v>
      </c>
      <c r="G3512" t="s">
        <v>599</v>
      </c>
      <c r="H3512" t="s">
        <v>600</v>
      </c>
      <c r="I3512" t="s">
        <v>601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hidden="1">
      <c r="A3513" t="s">
        <v>18813</v>
      </c>
      <c r="B3513" t="s">
        <v>1301</v>
      </c>
      <c r="C3513" t="s">
        <v>1267</v>
      </c>
      <c r="D3513" t="s">
        <v>1302</v>
      </c>
      <c r="E3513" t="s">
        <v>672</v>
      </c>
      <c r="F3513" t="s">
        <v>598</v>
      </c>
      <c r="G3513" t="s">
        <v>599</v>
      </c>
      <c r="H3513" t="s">
        <v>600</v>
      </c>
      <c r="I3513" t="s">
        <v>601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hidden="1">
      <c r="A3514" t="s">
        <v>18813</v>
      </c>
      <c r="B3514" t="s">
        <v>1303</v>
      </c>
      <c r="C3514" t="s">
        <v>1267</v>
      </c>
      <c r="D3514" t="s">
        <v>1302</v>
      </c>
      <c r="E3514" t="s">
        <v>678</v>
      </c>
      <c r="F3514" t="s">
        <v>598</v>
      </c>
      <c r="G3514" t="s">
        <v>599</v>
      </c>
      <c r="H3514" t="s">
        <v>600</v>
      </c>
      <c r="I3514" t="s">
        <v>601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hidden="1">
      <c r="A3515" t="s">
        <v>18813</v>
      </c>
      <c r="B3515" t="s">
        <v>1304</v>
      </c>
      <c r="C3515" t="s">
        <v>1267</v>
      </c>
      <c r="D3515" t="s">
        <v>1305</v>
      </c>
      <c r="E3515" t="s">
        <v>672</v>
      </c>
      <c r="F3515" t="s">
        <v>598</v>
      </c>
      <c r="G3515" t="s">
        <v>599</v>
      </c>
      <c r="H3515" t="s">
        <v>600</v>
      </c>
      <c r="I3515" t="s">
        <v>601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hidden="1">
      <c r="A3516" t="s">
        <v>18813</v>
      </c>
      <c r="B3516" t="s">
        <v>1307</v>
      </c>
      <c r="C3516" t="s">
        <v>1267</v>
      </c>
      <c r="D3516" t="s">
        <v>1305</v>
      </c>
      <c r="E3516" t="s">
        <v>678</v>
      </c>
      <c r="F3516" t="s">
        <v>598</v>
      </c>
      <c r="G3516" t="s">
        <v>599</v>
      </c>
      <c r="H3516" t="s">
        <v>600</v>
      </c>
      <c r="I3516" t="s">
        <v>601</v>
      </c>
      <c r="J3516">
        <v>2.0000000000000001E-4</v>
      </c>
      <c r="K3516">
        <v>2.0000000000000001E-4</v>
      </c>
      <c r="L3516">
        <v>2.0000000000000001E-4</v>
      </c>
      <c r="M3516">
        <v>2.0000000000000001E-4</v>
      </c>
      <c r="N3516">
        <v>2.0000000000000001E-4</v>
      </c>
      <c r="O3516">
        <v>2.0000000000000001E-4</v>
      </c>
      <c r="P3516">
        <v>2.9999999999999997E-4</v>
      </c>
      <c r="Q3516">
        <v>2.9999999999999997E-4</v>
      </c>
      <c r="R3516">
        <v>2.9999999999999997E-4</v>
      </c>
      <c r="S3516">
        <v>2.9999999999999997E-4</v>
      </c>
      <c r="T3516">
        <v>2.9999999999999997E-4</v>
      </c>
      <c r="U3516">
        <v>2.9999999999999997E-4</v>
      </c>
      <c r="V3516">
        <v>2.9999999999999997E-4</v>
      </c>
      <c r="W3516">
        <v>2.9999999999999997E-4</v>
      </c>
      <c r="X3516">
        <v>2.9999999999999997E-4</v>
      </c>
      <c r="Y3516">
        <v>2.9999999999999997E-4</v>
      </c>
    </row>
    <row r="3517" spans="1:25" hidden="1">
      <c r="A3517" t="s">
        <v>18813</v>
      </c>
      <c r="B3517" t="s">
        <v>1308</v>
      </c>
      <c r="C3517" t="s">
        <v>1267</v>
      </c>
      <c r="D3517" t="s">
        <v>1309</v>
      </c>
      <c r="E3517" t="s">
        <v>672</v>
      </c>
      <c r="F3517" t="s">
        <v>598</v>
      </c>
      <c r="G3517" t="s">
        <v>599</v>
      </c>
      <c r="H3517" t="s">
        <v>600</v>
      </c>
      <c r="I3517" t="s">
        <v>601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hidden="1">
      <c r="A3518" t="s">
        <v>18813</v>
      </c>
      <c r="B3518" t="s">
        <v>1314</v>
      </c>
      <c r="C3518" t="s">
        <v>1267</v>
      </c>
      <c r="D3518" t="s">
        <v>1311</v>
      </c>
      <c r="E3518" t="s">
        <v>678</v>
      </c>
      <c r="F3518" t="s">
        <v>598</v>
      </c>
      <c r="G3518" t="s">
        <v>599</v>
      </c>
      <c r="H3518" t="s">
        <v>600</v>
      </c>
      <c r="I3518" t="s">
        <v>601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hidden="1">
      <c r="A3519" t="s">
        <v>18813</v>
      </c>
      <c r="B3519" t="s">
        <v>1317</v>
      </c>
      <c r="C3519" t="s">
        <v>1267</v>
      </c>
      <c r="D3519" t="s">
        <v>1316</v>
      </c>
      <c r="E3519" t="s">
        <v>1318</v>
      </c>
      <c r="F3519" t="s">
        <v>598</v>
      </c>
      <c r="G3519" t="s">
        <v>599</v>
      </c>
      <c r="H3519" t="s">
        <v>600</v>
      </c>
      <c r="I3519" t="s">
        <v>601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</row>
    <row r="3520" spans="1:25" hidden="1">
      <c r="A3520" t="s">
        <v>18813</v>
      </c>
      <c r="B3520" t="s">
        <v>1319</v>
      </c>
      <c r="C3520" t="s">
        <v>1267</v>
      </c>
      <c r="D3520" t="s">
        <v>1320</v>
      </c>
      <c r="E3520" t="s">
        <v>678</v>
      </c>
      <c r="F3520" t="s">
        <v>598</v>
      </c>
      <c r="G3520" t="s">
        <v>599</v>
      </c>
      <c r="H3520" t="s">
        <v>600</v>
      </c>
      <c r="I3520" t="s">
        <v>601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hidden="1">
      <c r="A3521" t="s">
        <v>18813</v>
      </c>
      <c r="B3521" t="s">
        <v>1321</v>
      </c>
      <c r="C3521" t="s">
        <v>1267</v>
      </c>
      <c r="D3521" t="s">
        <v>1322</v>
      </c>
      <c r="E3521" t="s">
        <v>672</v>
      </c>
      <c r="F3521" t="s">
        <v>598</v>
      </c>
      <c r="G3521" t="s">
        <v>599</v>
      </c>
      <c r="H3521" t="s">
        <v>600</v>
      </c>
      <c r="I3521" t="s">
        <v>601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hidden="1">
      <c r="A3522" t="s">
        <v>18813</v>
      </c>
      <c r="B3522" t="s">
        <v>1325</v>
      </c>
      <c r="C3522" t="s">
        <v>1267</v>
      </c>
      <c r="D3522" t="s">
        <v>1324</v>
      </c>
      <c r="E3522" t="s">
        <v>1326</v>
      </c>
      <c r="F3522" t="s">
        <v>598</v>
      </c>
      <c r="G3522" t="s">
        <v>599</v>
      </c>
      <c r="H3522" t="s">
        <v>600</v>
      </c>
      <c r="I3522" t="s">
        <v>601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hidden="1">
      <c r="A3523" t="s">
        <v>18813</v>
      </c>
      <c r="B3523" t="s">
        <v>1329</v>
      </c>
      <c r="C3523" t="s">
        <v>1267</v>
      </c>
      <c r="D3523" t="s">
        <v>1324</v>
      </c>
      <c r="E3523" t="s">
        <v>1318</v>
      </c>
      <c r="F3523" t="s">
        <v>598</v>
      </c>
      <c r="G3523" t="s">
        <v>599</v>
      </c>
      <c r="H3523" t="s">
        <v>600</v>
      </c>
      <c r="I3523" t="s">
        <v>601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hidden="1">
      <c r="A3524" t="s">
        <v>18813</v>
      </c>
      <c r="B3524" t="s">
        <v>1330</v>
      </c>
      <c r="C3524" t="s">
        <v>1267</v>
      </c>
      <c r="D3524" t="s">
        <v>1324</v>
      </c>
      <c r="E3524" t="s">
        <v>954</v>
      </c>
      <c r="F3524" t="s">
        <v>598</v>
      </c>
      <c r="G3524" t="s">
        <v>599</v>
      </c>
      <c r="H3524" t="s">
        <v>600</v>
      </c>
      <c r="I3524" t="s">
        <v>601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hidden="1">
      <c r="A3525" t="s">
        <v>18813</v>
      </c>
      <c r="B3525" t="s">
        <v>1335</v>
      </c>
      <c r="C3525" t="s">
        <v>1267</v>
      </c>
      <c r="D3525" t="s">
        <v>1332</v>
      </c>
      <c r="E3525" t="s">
        <v>1326</v>
      </c>
      <c r="F3525" t="s">
        <v>598</v>
      </c>
      <c r="G3525" t="s">
        <v>599</v>
      </c>
      <c r="H3525" t="s">
        <v>600</v>
      </c>
      <c r="I3525" t="s">
        <v>601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hidden="1">
      <c r="A3526" t="s">
        <v>18813</v>
      </c>
      <c r="B3526" t="s">
        <v>1338</v>
      </c>
      <c r="C3526" t="s">
        <v>1267</v>
      </c>
      <c r="D3526" t="s">
        <v>1332</v>
      </c>
      <c r="E3526" t="s">
        <v>1318</v>
      </c>
      <c r="F3526" t="s">
        <v>598</v>
      </c>
      <c r="G3526" t="s">
        <v>599</v>
      </c>
      <c r="H3526" t="s">
        <v>600</v>
      </c>
      <c r="I3526" t="s">
        <v>601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hidden="1">
      <c r="A3527" t="s">
        <v>18813</v>
      </c>
      <c r="B3527" t="s">
        <v>1341</v>
      </c>
      <c r="C3527" t="s">
        <v>1267</v>
      </c>
      <c r="D3527" t="s">
        <v>1332</v>
      </c>
      <c r="E3527" t="s">
        <v>954</v>
      </c>
      <c r="F3527" t="s">
        <v>598</v>
      </c>
      <c r="G3527" t="s">
        <v>599</v>
      </c>
      <c r="H3527" t="s">
        <v>600</v>
      </c>
      <c r="I3527" t="s">
        <v>601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hidden="1">
      <c r="A3528" t="s">
        <v>18813</v>
      </c>
      <c r="B3528" t="s">
        <v>1351</v>
      </c>
      <c r="C3528" t="s">
        <v>1267</v>
      </c>
      <c r="D3528" t="s">
        <v>1352</v>
      </c>
      <c r="E3528" t="s">
        <v>672</v>
      </c>
      <c r="F3528" t="s">
        <v>598</v>
      </c>
      <c r="G3528" t="s">
        <v>599</v>
      </c>
      <c r="H3528" t="s">
        <v>600</v>
      </c>
      <c r="I3528" t="s">
        <v>601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hidden="1">
      <c r="A3529" t="s">
        <v>18813</v>
      </c>
      <c r="B3529" t="s">
        <v>1353</v>
      </c>
      <c r="C3529" t="s">
        <v>1267</v>
      </c>
      <c r="D3529" t="s">
        <v>1354</v>
      </c>
      <c r="E3529" t="s">
        <v>672</v>
      </c>
      <c r="F3529" t="s">
        <v>598</v>
      </c>
      <c r="G3529" t="s">
        <v>599</v>
      </c>
      <c r="H3529" t="s">
        <v>600</v>
      </c>
      <c r="I3529" t="s">
        <v>601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hidden="1">
      <c r="A3530" t="s">
        <v>18813</v>
      </c>
      <c r="B3530" t="s">
        <v>1356</v>
      </c>
      <c r="C3530" t="s">
        <v>1267</v>
      </c>
      <c r="D3530" t="s">
        <v>1357</v>
      </c>
      <c r="E3530" t="s">
        <v>678</v>
      </c>
      <c r="F3530" t="s">
        <v>598</v>
      </c>
      <c r="G3530" t="s">
        <v>599</v>
      </c>
      <c r="H3530" t="s">
        <v>600</v>
      </c>
      <c r="I3530" t="s">
        <v>601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hidden="1">
      <c r="A3531" t="s">
        <v>18813</v>
      </c>
      <c r="B3531" t="s">
        <v>1360</v>
      </c>
      <c r="C3531" t="s">
        <v>1267</v>
      </c>
      <c r="D3531" t="s">
        <v>1361</v>
      </c>
      <c r="E3531" t="s">
        <v>672</v>
      </c>
      <c r="F3531" t="s">
        <v>598</v>
      </c>
      <c r="G3531" t="s">
        <v>599</v>
      </c>
      <c r="H3531" t="s">
        <v>600</v>
      </c>
      <c r="I3531" t="s">
        <v>601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hidden="1">
      <c r="A3532" t="s">
        <v>18813</v>
      </c>
      <c r="B3532" t="s">
        <v>1366</v>
      </c>
      <c r="C3532" t="s">
        <v>1267</v>
      </c>
      <c r="D3532" t="s">
        <v>1365</v>
      </c>
      <c r="E3532" t="s">
        <v>628</v>
      </c>
      <c r="F3532" t="s">
        <v>598</v>
      </c>
      <c r="G3532" t="s">
        <v>599</v>
      </c>
      <c r="H3532" t="s">
        <v>600</v>
      </c>
      <c r="I3532" t="s">
        <v>601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hidden="1">
      <c r="A3533" t="s">
        <v>18813</v>
      </c>
      <c r="B3533" t="s">
        <v>1368</v>
      </c>
      <c r="C3533" t="s">
        <v>1267</v>
      </c>
      <c r="D3533" t="s">
        <v>1365</v>
      </c>
      <c r="E3533" t="s">
        <v>678</v>
      </c>
      <c r="F3533" t="s">
        <v>598</v>
      </c>
      <c r="G3533" t="s">
        <v>599</v>
      </c>
      <c r="H3533" t="s">
        <v>600</v>
      </c>
      <c r="I3533" t="s">
        <v>601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hidden="1">
      <c r="A3534" t="s">
        <v>18813</v>
      </c>
      <c r="B3534" t="s">
        <v>1369</v>
      </c>
      <c r="C3534" t="s">
        <v>1267</v>
      </c>
      <c r="D3534" t="s">
        <v>1370</v>
      </c>
      <c r="E3534" t="s">
        <v>672</v>
      </c>
      <c r="F3534" t="s">
        <v>598</v>
      </c>
      <c r="G3534" t="s">
        <v>599</v>
      </c>
      <c r="H3534" t="s">
        <v>600</v>
      </c>
      <c r="I3534" t="s">
        <v>601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hidden="1">
      <c r="A3535" t="s">
        <v>18813</v>
      </c>
      <c r="B3535" t="s">
        <v>1371</v>
      </c>
      <c r="C3535" t="s">
        <v>1267</v>
      </c>
      <c r="D3535" t="s">
        <v>1370</v>
      </c>
      <c r="E3535" t="s">
        <v>678</v>
      </c>
      <c r="F3535" t="s">
        <v>598</v>
      </c>
      <c r="G3535" t="s">
        <v>599</v>
      </c>
      <c r="H3535" t="s">
        <v>600</v>
      </c>
      <c r="I3535" t="s">
        <v>601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hidden="1">
      <c r="A3536" t="s">
        <v>18813</v>
      </c>
      <c r="B3536" t="s">
        <v>1372</v>
      </c>
      <c r="C3536" t="s">
        <v>1267</v>
      </c>
      <c r="D3536" t="s">
        <v>648</v>
      </c>
      <c r="E3536" t="s">
        <v>920</v>
      </c>
      <c r="F3536" t="s">
        <v>598</v>
      </c>
      <c r="G3536" t="s">
        <v>599</v>
      </c>
      <c r="H3536" t="s">
        <v>600</v>
      </c>
      <c r="I3536" t="s">
        <v>601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hidden="1">
      <c r="A3537" t="s">
        <v>18813</v>
      </c>
      <c r="B3537" t="s">
        <v>1376</v>
      </c>
      <c r="C3537" t="s">
        <v>1267</v>
      </c>
      <c r="D3537" t="s">
        <v>648</v>
      </c>
      <c r="E3537" t="s">
        <v>678</v>
      </c>
      <c r="F3537" t="s">
        <v>598</v>
      </c>
      <c r="G3537" t="s">
        <v>599</v>
      </c>
      <c r="H3537" t="s">
        <v>600</v>
      </c>
      <c r="I3537" t="s">
        <v>601</v>
      </c>
      <c r="J3537">
        <v>2.0999999999999999E-3</v>
      </c>
      <c r="K3537">
        <v>2.2000000000000001E-3</v>
      </c>
      <c r="L3537">
        <v>2.3999999999999998E-3</v>
      </c>
      <c r="M3537">
        <v>2.5000000000000001E-3</v>
      </c>
      <c r="N3537">
        <v>2.7000000000000001E-3</v>
      </c>
      <c r="O3537">
        <v>2.8E-3</v>
      </c>
      <c r="P3537">
        <v>3.0000000000000001E-3</v>
      </c>
      <c r="Q3537">
        <v>3.2000000000000002E-3</v>
      </c>
      <c r="R3537">
        <v>3.3E-3</v>
      </c>
      <c r="S3537">
        <v>3.3999999999999998E-3</v>
      </c>
      <c r="T3537">
        <v>3.5000000000000001E-3</v>
      </c>
      <c r="U3537">
        <v>3.5999999999999999E-3</v>
      </c>
      <c r="V3537">
        <v>3.7000000000000002E-3</v>
      </c>
      <c r="W3537">
        <v>3.8E-3</v>
      </c>
      <c r="X3537">
        <v>3.8999999999999998E-3</v>
      </c>
      <c r="Y3537">
        <v>3.8999999999999998E-3</v>
      </c>
    </row>
    <row r="3538" spans="1:25" hidden="1">
      <c r="A3538" t="s">
        <v>18813</v>
      </c>
      <c r="B3538" t="s">
        <v>1381</v>
      </c>
      <c r="C3538" t="s">
        <v>1382</v>
      </c>
      <c r="D3538" t="s">
        <v>1274</v>
      </c>
      <c r="E3538" t="s">
        <v>973</v>
      </c>
      <c r="F3538" t="s">
        <v>598</v>
      </c>
      <c r="G3538" t="s">
        <v>599</v>
      </c>
      <c r="H3538" t="s">
        <v>600</v>
      </c>
      <c r="I3538" t="s">
        <v>601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</row>
    <row r="3539" spans="1:25" hidden="1">
      <c r="A3539" t="s">
        <v>18813</v>
      </c>
      <c r="B3539" t="s">
        <v>1383</v>
      </c>
      <c r="C3539" t="s">
        <v>1382</v>
      </c>
      <c r="D3539" t="s">
        <v>1281</v>
      </c>
      <c r="E3539" t="s">
        <v>973</v>
      </c>
      <c r="F3539" t="s">
        <v>598</v>
      </c>
      <c r="G3539" t="s">
        <v>599</v>
      </c>
      <c r="H3539" t="s">
        <v>600</v>
      </c>
      <c r="I3539" t="s">
        <v>601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hidden="1">
      <c r="A3540" t="s">
        <v>18813</v>
      </c>
      <c r="B3540" t="s">
        <v>1384</v>
      </c>
      <c r="C3540" t="s">
        <v>1382</v>
      </c>
      <c r="D3540" t="s">
        <v>1285</v>
      </c>
      <c r="E3540" t="s">
        <v>973</v>
      </c>
      <c r="F3540" t="s">
        <v>598</v>
      </c>
      <c r="G3540" t="s">
        <v>599</v>
      </c>
      <c r="H3540" t="s">
        <v>600</v>
      </c>
      <c r="I3540" t="s">
        <v>601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hidden="1">
      <c r="A3541" t="s">
        <v>18813</v>
      </c>
      <c r="B3541" t="s">
        <v>1385</v>
      </c>
      <c r="C3541" t="s">
        <v>1382</v>
      </c>
      <c r="D3541" t="s">
        <v>1287</v>
      </c>
      <c r="E3541" t="s">
        <v>973</v>
      </c>
      <c r="F3541" t="s">
        <v>598</v>
      </c>
      <c r="G3541" t="s">
        <v>599</v>
      </c>
      <c r="H3541" t="s">
        <v>600</v>
      </c>
      <c r="I3541" t="s">
        <v>601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hidden="1">
      <c r="A3542" t="s">
        <v>18813</v>
      </c>
      <c r="B3542" t="s">
        <v>1386</v>
      </c>
      <c r="C3542" t="s">
        <v>1382</v>
      </c>
      <c r="D3542" t="s">
        <v>1305</v>
      </c>
      <c r="E3542" t="s">
        <v>973</v>
      </c>
      <c r="F3542" t="s">
        <v>598</v>
      </c>
      <c r="G3542" t="s">
        <v>599</v>
      </c>
      <c r="H3542" t="s">
        <v>600</v>
      </c>
      <c r="I3542" t="s">
        <v>601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hidden="1">
      <c r="A3543" t="s">
        <v>18813</v>
      </c>
      <c r="B3543" t="s">
        <v>1388</v>
      </c>
      <c r="C3543" t="s">
        <v>1382</v>
      </c>
      <c r="D3543" t="s">
        <v>1311</v>
      </c>
      <c r="E3543" t="s">
        <v>597</v>
      </c>
      <c r="F3543" t="s">
        <v>598</v>
      </c>
      <c r="G3543" t="s">
        <v>599</v>
      </c>
      <c r="H3543" t="s">
        <v>600</v>
      </c>
      <c r="I3543" t="s">
        <v>601</v>
      </c>
      <c r="J3543">
        <v>2.0000000000000001E-4</v>
      </c>
      <c r="K3543">
        <v>2.0000000000000001E-4</v>
      </c>
      <c r="L3543">
        <v>2.0000000000000001E-4</v>
      </c>
      <c r="M3543">
        <v>2.0000000000000001E-4</v>
      </c>
      <c r="N3543">
        <v>2.0000000000000001E-4</v>
      </c>
      <c r="O3543">
        <v>2.0000000000000001E-4</v>
      </c>
      <c r="P3543">
        <v>2.0000000000000001E-4</v>
      </c>
      <c r="Q3543">
        <v>2.0000000000000001E-4</v>
      </c>
      <c r="R3543">
        <v>2.0000000000000001E-4</v>
      </c>
      <c r="S3543">
        <v>2.0000000000000001E-4</v>
      </c>
      <c r="T3543">
        <v>2.0000000000000001E-4</v>
      </c>
      <c r="U3543">
        <v>2.0000000000000001E-4</v>
      </c>
      <c r="V3543">
        <v>2.0000000000000001E-4</v>
      </c>
      <c r="W3543">
        <v>2.0000000000000001E-4</v>
      </c>
      <c r="X3543">
        <v>2.0000000000000001E-4</v>
      </c>
      <c r="Y3543">
        <v>2.0000000000000001E-4</v>
      </c>
    </row>
    <row r="3544" spans="1:25" hidden="1">
      <c r="A3544" t="s">
        <v>18813</v>
      </c>
      <c r="B3544" t="s">
        <v>1390</v>
      </c>
      <c r="C3544" t="s">
        <v>1382</v>
      </c>
      <c r="D3544" t="s">
        <v>1311</v>
      </c>
      <c r="E3544" t="s">
        <v>605</v>
      </c>
      <c r="F3544" t="s">
        <v>598</v>
      </c>
      <c r="G3544" t="s">
        <v>599</v>
      </c>
      <c r="H3544" t="s">
        <v>600</v>
      </c>
      <c r="I3544" t="s">
        <v>601</v>
      </c>
      <c r="J3544">
        <v>0.1923</v>
      </c>
      <c r="K3544">
        <v>0.1951</v>
      </c>
      <c r="L3544">
        <v>0.19819999999999999</v>
      </c>
      <c r="M3544">
        <v>0.20130000000000001</v>
      </c>
      <c r="N3544">
        <v>0.2046</v>
      </c>
      <c r="O3544">
        <v>0.20799999999999999</v>
      </c>
      <c r="P3544">
        <v>0.21129999999999999</v>
      </c>
      <c r="Q3544">
        <v>0.2147</v>
      </c>
      <c r="R3544">
        <v>0.216</v>
      </c>
      <c r="S3544">
        <v>0.21740000000000001</v>
      </c>
      <c r="T3544">
        <v>0.21870000000000001</v>
      </c>
      <c r="U3544">
        <v>0.22</v>
      </c>
      <c r="V3544">
        <v>0.2213</v>
      </c>
      <c r="W3544">
        <v>0.22270000000000001</v>
      </c>
      <c r="X3544">
        <v>0.224</v>
      </c>
      <c r="Y3544">
        <v>0.22539999999999999</v>
      </c>
    </row>
    <row r="3545" spans="1:25" hidden="1">
      <c r="A3545" t="s">
        <v>18813</v>
      </c>
      <c r="B3545" t="s">
        <v>1398</v>
      </c>
      <c r="C3545" t="s">
        <v>1382</v>
      </c>
      <c r="D3545" t="s">
        <v>1316</v>
      </c>
      <c r="E3545" t="s">
        <v>1399</v>
      </c>
      <c r="F3545" t="s">
        <v>598</v>
      </c>
      <c r="G3545" t="s">
        <v>599</v>
      </c>
      <c r="H3545" t="s">
        <v>600</v>
      </c>
      <c r="I3545" t="s">
        <v>601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hidden="1">
      <c r="A3546" t="s">
        <v>18813</v>
      </c>
      <c r="B3546" t="s">
        <v>1401</v>
      </c>
      <c r="C3546" t="s">
        <v>1382</v>
      </c>
      <c r="D3546" t="s">
        <v>1316</v>
      </c>
      <c r="E3546" t="s">
        <v>1402</v>
      </c>
      <c r="F3546" t="s">
        <v>598</v>
      </c>
      <c r="G3546" t="s">
        <v>599</v>
      </c>
      <c r="H3546" t="s">
        <v>600</v>
      </c>
      <c r="I3546" t="s">
        <v>601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hidden="1">
      <c r="A3547" t="s">
        <v>18813</v>
      </c>
      <c r="B3547" t="s">
        <v>1403</v>
      </c>
      <c r="C3547" t="s">
        <v>1382</v>
      </c>
      <c r="D3547" t="s">
        <v>1316</v>
      </c>
      <c r="E3547" t="s">
        <v>892</v>
      </c>
      <c r="F3547" t="s">
        <v>598</v>
      </c>
      <c r="G3547" t="s">
        <v>599</v>
      </c>
      <c r="H3547" t="s">
        <v>600</v>
      </c>
      <c r="I3547" t="s">
        <v>601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hidden="1">
      <c r="A3548" t="s">
        <v>18813</v>
      </c>
      <c r="B3548" t="s">
        <v>1404</v>
      </c>
      <c r="C3548" t="s">
        <v>1382</v>
      </c>
      <c r="D3548" t="s">
        <v>1316</v>
      </c>
      <c r="E3548" t="s">
        <v>1318</v>
      </c>
      <c r="F3548" t="s">
        <v>598</v>
      </c>
      <c r="G3548" t="s">
        <v>599</v>
      </c>
      <c r="H3548" t="s">
        <v>600</v>
      </c>
      <c r="I3548" t="s">
        <v>601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hidden="1">
      <c r="A3549" t="s">
        <v>18813</v>
      </c>
      <c r="B3549" t="s">
        <v>1407</v>
      </c>
      <c r="C3549" t="s">
        <v>1382</v>
      </c>
      <c r="D3549" t="s">
        <v>1320</v>
      </c>
      <c r="E3549" t="s">
        <v>626</v>
      </c>
      <c r="F3549" t="s">
        <v>598</v>
      </c>
      <c r="G3549" t="s">
        <v>599</v>
      </c>
      <c r="H3549" t="s">
        <v>600</v>
      </c>
      <c r="I3549" t="s">
        <v>601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hidden="1">
      <c r="A3550" t="s">
        <v>18813</v>
      </c>
      <c r="B3550" t="s">
        <v>1410</v>
      </c>
      <c r="C3550" t="s">
        <v>1382</v>
      </c>
      <c r="D3550" t="s">
        <v>1320</v>
      </c>
      <c r="E3550" t="s">
        <v>1402</v>
      </c>
      <c r="F3550" t="s">
        <v>598</v>
      </c>
      <c r="G3550" t="s">
        <v>599</v>
      </c>
      <c r="H3550" t="s">
        <v>600</v>
      </c>
      <c r="I3550" t="s">
        <v>601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hidden="1">
      <c r="A3551" t="s">
        <v>18813</v>
      </c>
      <c r="B3551" t="s">
        <v>1411</v>
      </c>
      <c r="C3551" t="s">
        <v>1382</v>
      </c>
      <c r="D3551" t="s">
        <v>1320</v>
      </c>
      <c r="E3551" t="s">
        <v>892</v>
      </c>
      <c r="F3551" t="s">
        <v>598</v>
      </c>
      <c r="G3551" t="s">
        <v>599</v>
      </c>
      <c r="H3551" t="s">
        <v>600</v>
      </c>
      <c r="I3551" t="s">
        <v>601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hidden="1">
      <c r="A3552" t="s">
        <v>18813</v>
      </c>
      <c r="B3552" t="s">
        <v>1412</v>
      </c>
      <c r="C3552" t="s">
        <v>1382</v>
      </c>
      <c r="D3552" t="s">
        <v>1320</v>
      </c>
      <c r="E3552" t="s">
        <v>678</v>
      </c>
      <c r="F3552" t="s">
        <v>598</v>
      </c>
      <c r="G3552" t="s">
        <v>599</v>
      </c>
      <c r="H3552" t="s">
        <v>600</v>
      </c>
      <c r="I3552" t="s">
        <v>601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hidden="1">
      <c r="A3553" t="s">
        <v>18813</v>
      </c>
      <c r="B3553" t="s">
        <v>1419</v>
      </c>
      <c r="C3553" t="s">
        <v>1382</v>
      </c>
      <c r="D3553" t="s">
        <v>1324</v>
      </c>
      <c r="E3553" t="s">
        <v>1402</v>
      </c>
      <c r="F3553" t="s">
        <v>598</v>
      </c>
      <c r="G3553" t="s">
        <v>599</v>
      </c>
      <c r="H3553" t="s">
        <v>600</v>
      </c>
      <c r="I3553" t="s">
        <v>601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hidden="1">
      <c r="A3554" t="s">
        <v>18813</v>
      </c>
      <c r="B3554" t="s">
        <v>1420</v>
      </c>
      <c r="C3554" t="s">
        <v>1382</v>
      </c>
      <c r="D3554" t="s">
        <v>1324</v>
      </c>
      <c r="E3554" t="s">
        <v>892</v>
      </c>
      <c r="F3554" t="s">
        <v>598</v>
      </c>
      <c r="G3554" t="s">
        <v>599</v>
      </c>
      <c r="H3554" t="s">
        <v>600</v>
      </c>
      <c r="I3554" t="s">
        <v>601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hidden="1">
      <c r="A3555" t="s">
        <v>18813</v>
      </c>
      <c r="B3555" t="s">
        <v>1428</v>
      </c>
      <c r="C3555" t="s">
        <v>1382</v>
      </c>
      <c r="D3555" t="s">
        <v>1332</v>
      </c>
      <c r="E3555" t="s">
        <v>1402</v>
      </c>
      <c r="F3555" t="s">
        <v>598</v>
      </c>
      <c r="G3555" t="s">
        <v>599</v>
      </c>
      <c r="H3555" t="s">
        <v>600</v>
      </c>
      <c r="I3555" t="s">
        <v>601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hidden="1">
      <c r="A3556" t="s">
        <v>18813</v>
      </c>
      <c r="B3556" t="s">
        <v>1429</v>
      </c>
      <c r="C3556" t="s">
        <v>1382</v>
      </c>
      <c r="D3556" t="s">
        <v>1332</v>
      </c>
      <c r="E3556" t="s">
        <v>892</v>
      </c>
      <c r="F3556" t="s">
        <v>598</v>
      </c>
      <c r="G3556" t="s">
        <v>599</v>
      </c>
      <c r="H3556" t="s">
        <v>600</v>
      </c>
      <c r="I3556" t="s">
        <v>601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hidden="1">
      <c r="A3557" t="s">
        <v>18813</v>
      </c>
      <c r="B3557" t="s">
        <v>1434</v>
      </c>
      <c r="C3557" t="s">
        <v>1382</v>
      </c>
      <c r="D3557" t="s">
        <v>1435</v>
      </c>
      <c r="E3557" t="s">
        <v>973</v>
      </c>
      <c r="F3557" t="s">
        <v>598</v>
      </c>
      <c r="G3557" t="s">
        <v>599</v>
      </c>
      <c r="H3557" t="s">
        <v>600</v>
      </c>
      <c r="I3557" t="s">
        <v>601</v>
      </c>
      <c r="J3557">
        <v>0.9476</v>
      </c>
      <c r="K3557">
        <v>0.9476</v>
      </c>
      <c r="L3557">
        <v>0.9476</v>
      </c>
      <c r="M3557">
        <v>0.9476</v>
      </c>
      <c r="N3557">
        <v>0.9476</v>
      </c>
      <c r="O3557">
        <v>0.9476</v>
      </c>
      <c r="P3557">
        <v>0.9476</v>
      </c>
      <c r="Q3557">
        <v>0.9476</v>
      </c>
      <c r="R3557">
        <v>0.9476</v>
      </c>
      <c r="S3557">
        <v>0.9476</v>
      </c>
      <c r="T3557">
        <v>0.9476</v>
      </c>
      <c r="U3557">
        <v>0.9476</v>
      </c>
      <c r="V3557">
        <v>0.9476</v>
      </c>
      <c r="W3557">
        <v>0.9476</v>
      </c>
      <c r="X3557">
        <v>0.9476</v>
      </c>
      <c r="Y3557">
        <v>0.9476</v>
      </c>
    </row>
    <row r="3558" spans="1:25" hidden="1">
      <c r="A3558" t="s">
        <v>18813</v>
      </c>
      <c r="B3558" t="s">
        <v>1436</v>
      </c>
      <c r="C3558" t="s">
        <v>1382</v>
      </c>
      <c r="D3558" t="s">
        <v>1354</v>
      </c>
      <c r="E3558" t="s">
        <v>973</v>
      </c>
      <c r="F3558" t="s">
        <v>598</v>
      </c>
      <c r="G3558" t="s">
        <v>599</v>
      </c>
      <c r="H3558" t="s">
        <v>600</v>
      </c>
      <c r="I3558" t="s">
        <v>601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hidden="1">
      <c r="A3559" t="s">
        <v>18813</v>
      </c>
      <c r="B3559" t="s">
        <v>1439</v>
      </c>
      <c r="C3559" t="s">
        <v>1382</v>
      </c>
      <c r="D3559" t="s">
        <v>1440</v>
      </c>
      <c r="E3559" t="s">
        <v>973</v>
      </c>
      <c r="F3559" t="s">
        <v>598</v>
      </c>
      <c r="G3559" t="s">
        <v>599</v>
      </c>
      <c r="H3559" t="s">
        <v>600</v>
      </c>
      <c r="I3559" t="s">
        <v>601</v>
      </c>
      <c r="J3559">
        <v>0.32529999999999998</v>
      </c>
      <c r="K3559">
        <v>0.32529999999999998</v>
      </c>
      <c r="L3559">
        <v>0.32529999999999998</v>
      </c>
      <c r="M3559">
        <v>0.32529999999999998</v>
      </c>
      <c r="N3559">
        <v>0.32529999999999998</v>
      </c>
      <c r="O3559">
        <v>0.32529999999999998</v>
      </c>
      <c r="P3559">
        <v>0.32529999999999998</v>
      </c>
      <c r="Q3559">
        <v>0.32529999999999998</v>
      </c>
      <c r="R3559">
        <v>0.32529999999999998</v>
      </c>
      <c r="S3559">
        <v>0.32529999999999998</v>
      </c>
      <c r="T3559">
        <v>0.32529999999999998</v>
      </c>
      <c r="U3559">
        <v>0.32529999999999998</v>
      </c>
      <c r="V3559">
        <v>0.32529999999999998</v>
      </c>
      <c r="W3559">
        <v>0.32529999999999998</v>
      </c>
      <c r="X3559">
        <v>0.32529999999999998</v>
      </c>
      <c r="Y3559">
        <v>0.32529999999999998</v>
      </c>
    </row>
    <row r="3560" spans="1:25" hidden="1">
      <c r="A3560" t="s">
        <v>18813</v>
      </c>
      <c r="B3560" t="s">
        <v>1441</v>
      </c>
      <c r="C3560" t="s">
        <v>1382</v>
      </c>
      <c r="D3560" t="s">
        <v>1440</v>
      </c>
      <c r="E3560" t="s">
        <v>1378</v>
      </c>
      <c r="F3560" t="s">
        <v>598</v>
      </c>
      <c r="G3560" t="s">
        <v>599</v>
      </c>
      <c r="H3560" t="s">
        <v>600</v>
      </c>
      <c r="I3560" t="s">
        <v>601</v>
      </c>
      <c r="J3560">
        <v>1.1900000000000001E-2</v>
      </c>
      <c r="K3560">
        <v>1.1900000000000001E-2</v>
      </c>
      <c r="L3560">
        <v>1.1900000000000001E-2</v>
      </c>
      <c r="M3560">
        <v>1.1900000000000001E-2</v>
      </c>
      <c r="N3560">
        <v>1.1900000000000001E-2</v>
      </c>
      <c r="O3560">
        <v>1.1900000000000001E-2</v>
      </c>
      <c r="P3560">
        <v>1.1900000000000001E-2</v>
      </c>
      <c r="Q3560">
        <v>1.1900000000000001E-2</v>
      </c>
      <c r="R3560">
        <v>1.1900000000000001E-2</v>
      </c>
      <c r="S3560">
        <v>1.1900000000000001E-2</v>
      </c>
      <c r="T3560">
        <v>1.1900000000000001E-2</v>
      </c>
      <c r="U3560">
        <v>1.1900000000000001E-2</v>
      </c>
      <c r="V3560">
        <v>1.1900000000000001E-2</v>
      </c>
      <c r="W3560">
        <v>1.1900000000000001E-2</v>
      </c>
      <c r="X3560">
        <v>1.1900000000000001E-2</v>
      </c>
      <c r="Y3560">
        <v>1.1900000000000001E-2</v>
      </c>
    </row>
    <row r="3561" spans="1:25" hidden="1">
      <c r="A3561" t="s">
        <v>18813</v>
      </c>
      <c r="B3561" t="s">
        <v>1442</v>
      </c>
      <c r="C3561" t="s">
        <v>1382</v>
      </c>
      <c r="D3561" t="s">
        <v>1443</v>
      </c>
      <c r="E3561" t="s">
        <v>611</v>
      </c>
      <c r="F3561" t="s">
        <v>598</v>
      </c>
      <c r="G3561" t="s">
        <v>599</v>
      </c>
      <c r="H3561" t="s">
        <v>600</v>
      </c>
      <c r="I3561" t="s">
        <v>601</v>
      </c>
      <c r="J3561">
        <v>2.6499999999999999E-2</v>
      </c>
      <c r="K3561">
        <v>2.6499999999999999E-2</v>
      </c>
      <c r="L3561">
        <v>2.6499999999999999E-2</v>
      </c>
      <c r="M3561">
        <v>2.6499999999999999E-2</v>
      </c>
      <c r="N3561">
        <v>2.6499999999999999E-2</v>
      </c>
      <c r="O3561">
        <v>2.6499999999999999E-2</v>
      </c>
      <c r="P3561">
        <v>2.6499999999999999E-2</v>
      </c>
      <c r="Q3561">
        <v>2.6499999999999999E-2</v>
      </c>
      <c r="R3561">
        <v>2.6499999999999999E-2</v>
      </c>
      <c r="S3561">
        <v>2.6499999999999999E-2</v>
      </c>
      <c r="T3561">
        <v>2.6499999999999999E-2</v>
      </c>
      <c r="U3561">
        <v>2.6499999999999999E-2</v>
      </c>
      <c r="V3561">
        <v>2.6499999999999999E-2</v>
      </c>
      <c r="W3561">
        <v>2.6499999999999999E-2</v>
      </c>
      <c r="X3561">
        <v>2.6499999999999999E-2</v>
      </c>
      <c r="Y3561">
        <v>2.6499999999999999E-2</v>
      </c>
    </row>
    <row r="3562" spans="1:25" hidden="1">
      <c r="A3562" t="s">
        <v>18813</v>
      </c>
      <c r="B3562" t="s">
        <v>1446</v>
      </c>
      <c r="C3562" t="s">
        <v>1382</v>
      </c>
      <c r="D3562" t="s">
        <v>1445</v>
      </c>
      <c r="E3562" t="s">
        <v>1447</v>
      </c>
      <c r="F3562" t="s">
        <v>598</v>
      </c>
      <c r="G3562" t="s">
        <v>599</v>
      </c>
      <c r="H3562" t="s">
        <v>600</v>
      </c>
      <c r="I3562" t="s">
        <v>601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hidden="1">
      <c r="A3563" t="s">
        <v>18813</v>
      </c>
      <c r="B3563" t="s">
        <v>1451</v>
      </c>
      <c r="C3563" t="s">
        <v>1382</v>
      </c>
      <c r="D3563" t="s">
        <v>1365</v>
      </c>
      <c r="E3563" t="s">
        <v>973</v>
      </c>
      <c r="F3563" t="s">
        <v>598</v>
      </c>
      <c r="G3563" t="s">
        <v>599</v>
      </c>
      <c r="H3563" t="s">
        <v>600</v>
      </c>
      <c r="I3563" t="s">
        <v>601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hidden="1">
      <c r="A3564" t="s">
        <v>18813</v>
      </c>
      <c r="B3564" t="s">
        <v>1452</v>
      </c>
      <c r="C3564" t="s">
        <v>1382</v>
      </c>
      <c r="D3564" t="s">
        <v>1365</v>
      </c>
      <c r="E3564" t="s">
        <v>626</v>
      </c>
      <c r="F3564" t="s">
        <v>598</v>
      </c>
      <c r="G3564" t="s">
        <v>599</v>
      </c>
      <c r="H3564" t="s">
        <v>600</v>
      </c>
      <c r="I3564" t="s">
        <v>601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hidden="1">
      <c r="A3565" t="s">
        <v>18813</v>
      </c>
      <c r="B3565" t="s">
        <v>1453</v>
      </c>
      <c r="C3565" t="s">
        <v>1382</v>
      </c>
      <c r="D3565" t="s">
        <v>1365</v>
      </c>
      <c r="E3565" t="s">
        <v>628</v>
      </c>
      <c r="F3565" t="s">
        <v>598</v>
      </c>
      <c r="G3565" t="s">
        <v>599</v>
      </c>
      <c r="H3565" t="s">
        <v>600</v>
      </c>
      <c r="I3565" t="s">
        <v>601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hidden="1">
      <c r="A3566" t="s">
        <v>18813</v>
      </c>
      <c r="B3566" t="s">
        <v>1454</v>
      </c>
      <c r="C3566" t="s">
        <v>1382</v>
      </c>
      <c r="D3566" t="s">
        <v>1365</v>
      </c>
      <c r="E3566" t="s">
        <v>888</v>
      </c>
      <c r="F3566" t="s">
        <v>598</v>
      </c>
      <c r="G3566" t="s">
        <v>599</v>
      </c>
      <c r="H3566" t="s">
        <v>600</v>
      </c>
      <c r="I3566" t="s">
        <v>601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hidden="1">
      <c r="A3567" t="s">
        <v>18813</v>
      </c>
      <c r="B3567" t="s">
        <v>1456</v>
      </c>
      <c r="C3567" t="s">
        <v>1382</v>
      </c>
      <c r="D3567" t="s">
        <v>1365</v>
      </c>
      <c r="E3567" t="s">
        <v>678</v>
      </c>
      <c r="F3567" t="s">
        <v>598</v>
      </c>
      <c r="G3567" t="s">
        <v>599</v>
      </c>
      <c r="H3567" t="s">
        <v>600</v>
      </c>
      <c r="I3567" t="s">
        <v>601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hidden="1">
      <c r="A3568" t="s">
        <v>18813</v>
      </c>
      <c r="B3568" t="s">
        <v>1457</v>
      </c>
      <c r="C3568" t="s">
        <v>1382</v>
      </c>
      <c r="D3568" t="s">
        <v>1458</v>
      </c>
      <c r="E3568" t="s">
        <v>626</v>
      </c>
      <c r="F3568" t="s">
        <v>598</v>
      </c>
      <c r="G3568" t="s">
        <v>599</v>
      </c>
      <c r="H3568" t="s">
        <v>600</v>
      </c>
      <c r="I3568" t="s">
        <v>601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hidden="1">
      <c r="A3569" t="s">
        <v>18813</v>
      </c>
      <c r="B3569" t="s">
        <v>1459</v>
      </c>
      <c r="C3569" t="s">
        <v>1382</v>
      </c>
      <c r="D3569" t="s">
        <v>648</v>
      </c>
      <c r="E3569" t="s">
        <v>920</v>
      </c>
      <c r="F3569" t="s">
        <v>598</v>
      </c>
      <c r="G3569" t="s">
        <v>599</v>
      </c>
      <c r="H3569" t="s">
        <v>600</v>
      </c>
      <c r="I3569" t="s">
        <v>601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hidden="1">
      <c r="A3570" t="s">
        <v>18813</v>
      </c>
      <c r="B3570" t="s">
        <v>1465</v>
      </c>
      <c r="C3570" t="s">
        <v>1382</v>
      </c>
      <c r="D3570" t="s">
        <v>648</v>
      </c>
      <c r="E3570" t="s">
        <v>678</v>
      </c>
      <c r="F3570" t="s">
        <v>598</v>
      </c>
      <c r="G3570" t="s">
        <v>599</v>
      </c>
      <c r="H3570" t="s">
        <v>600</v>
      </c>
      <c r="I3570" t="s">
        <v>601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hidden="1">
      <c r="A3571" t="s">
        <v>18813</v>
      </c>
      <c r="B3571" t="s">
        <v>1466</v>
      </c>
      <c r="C3571" t="s">
        <v>1382</v>
      </c>
      <c r="D3571" t="s">
        <v>648</v>
      </c>
      <c r="E3571" t="s">
        <v>1467</v>
      </c>
      <c r="F3571" t="s">
        <v>598</v>
      </c>
      <c r="G3571" t="s">
        <v>599</v>
      </c>
      <c r="H3571" t="s">
        <v>600</v>
      </c>
      <c r="I3571" t="s">
        <v>601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hidden="1">
      <c r="A3572" t="s">
        <v>18813</v>
      </c>
      <c r="B3572" t="s">
        <v>1471</v>
      </c>
      <c r="C3572" t="s">
        <v>1472</v>
      </c>
      <c r="D3572" t="s">
        <v>1274</v>
      </c>
      <c r="E3572" t="s">
        <v>973</v>
      </c>
      <c r="F3572" t="s">
        <v>598</v>
      </c>
      <c r="G3572" t="s">
        <v>599</v>
      </c>
      <c r="H3572" t="s">
        <v>600</v>
      </c>
      <c r="I3572" t="s">
        <v>601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hidden="1">
      <c r="A3573" t="s">
        <v>18813</v>
      </c>
      <c r="B3573" t="s">
        <v>1473</v>
      </c>
      <c r="C3573" t="s">
        <v>1472</v>
      </c>
      <c r="D3573" t="s">
        <v>1274</v>
      </c>
      <c r="E3573" t="s">
        <v>597</v>
      </c>
      <c r="F3573" t="s">
        <v>598</v>
      </c>
      <c r="G3573" t="s">
        <v>599</v>
      </c>
      <c r="H3573" t="s">
        <v>600</v>
      </c>
      <c r="I3573" t="s">
        <v>601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hidden="1">
      <c r="A3574" t="s">
        <v>18813</v>
      </c>
      <c r="B3574" t="s">
        <v>1477</v>
      </c>
      <c r="C3574" t="s">
        <v>1472</v>
      </c>
      <c r="D3574" t="s">
        <v>1287</v>
      </c>
      <c r="E3574" t="s">
        <v>597</v>
      </c>
      <c r="F3574" t="s">
        <v>598</v>
      </c>
      <c r="G3574" t="s">
        <v>599</v>
      </c>
      <c r="H3574" t="s">
        <v>600</v>
      </c>
      <c r="I3574" t="s">
        <v>601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hidden="1">
      <c r="A3575" t="s">
        <v>18813</v>
      </c>
      <c r="B3575" t="s">
        <v>1478</v>
      </c>
      <c r="C3575" t="s">
        <v>1472</v>
      </c>
      <c r="D3575" t="s">
        <v>1305</v>
      </c>
      <c r="E3575" t="s">
        <v>973</v>
      </c>
      <c r="F3575" t="s">
        <v>598</v>
      </c>
      <c r="G3575" t="s">
        <v>599</v>
      </c>
      <c r="H3575" t="s">
        <v>600</v>
      </c>
      <c r="I3575" t="s">
        <v>601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hidden="1">
      <c r="A3576" t="s">
        <v>18813</v>
      </c>
      <c r="B3576" t="s">
        <v>1479</v>
      </c>
      <c r="C3576" t="s">
        <v>1472</v>
      </c>
      <c r="D3576" t="s">
        <v>1305</v>
      </c>
      <c r="E3576" t="s">
        <v>688</v>
      </c>
      <c r="F3576" t="s">
        <v>598</v>
      </c>
      <c r="G3576" t="s">
        <v>599</v>
      </c>
      <c r="H3576" t="s">
        <v>600</v>
      </c>
      <c r="I3576" t="s">
        <v>601</v>
      </c>
      <c r="J3576">
        <v>2.9999999999999997E-4</v>
      </c>
      <c r="K3576">
        <v>2.9999999999999997E-4</v>
      </c>
      <c r="L3576">
        <v>2.9999999999999997E-4</v>
      </c>
      <c r="M3576">
        <v>2.9999999999999997E-4</v>
      </c>
      <c r="N3576">
        <v>2.9999999999999997E-4</v>
      </c>
      <c r="O3576">
        <v>2.9999999999999997E-4</v>
      </c>
      <c r="P3576">
        <v>2.9999999999999997E-4</v>
      </c>
      <c r="Q3576">
        <v>2.9999999999999997E-4</v>
      </c>
      <c r="R3576">
        <v>2.9999999999999997E-4</v>
      </c>
      <c r="S3576">
        <v>2.9999999999999997E-4</v>
      </c>
      <c r="T3576">
        <v>2.9999999999999997E-4</v>
      </c>
      <c r="U3576">
        <v>2.9999999999999997E-4</v>
      </c>
      <c r="V3576">
        <v>2.9999999999999997E-4</v>
      </c>
      <c r="W3576">
        <v>2.9999999999999997E-4</v>
      </c>
      <c r="X3576">
        <v>2.9999999999999997E-4</v>
      </c>
      <c r="Y3576">
        <v>2.9999999999999997E-4</v>
      </c>
    </row>
    <row r="3577" spans="1:25" hidden="1">
      <c r="A3577" t="s">
        <v>18813</v>
      </c>
      <c r="B3577" t="s">
        <v>1480</v>
      </c>
      <c r="C3577" t="s">
        <v>1472</v>
      </c>
      <c r="D3577" t="s">
        <v>1305</v>
      </c>
      <c r="E3577" t="s">
        <v>678</v>
      </c>
      <c r="F3577" t="s">
        <v>598</v>
      </c>
      <c r="G3577" t="s">
        <v>599</v>
      </c>
      <c r="H3577" t="s">
        <v>600</v>
      </c>
      <c r="I3577" t="s">
        <v>601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</row>
    <row r="3578" spans="1:25" hidden="1">
      <c r="A3578" t="s">
        <v>18813</v>
      </c>
      <c r="B3578" t="s">
        <v>1482</v>
      </c>
      <c r="C3578" t="s">
        <v>1472</v>
      </c>
      <c r="D3578" t="s">
        <v>1483</v>
      </c>
      <c r="E3578" t="s">
        <v>597</v>
      </c>
      <c r="F3578" t="s">
        <v>598</v>
      </c>
      <c r="G3578" t="s">
        <v>599</v>
      </c>
      <c r="H3578" t="s">
        <v>600</v>
      </c>
      <c r="I3578" t="s">
        <v>601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hidden="1">
      <c r="A3579" t="s">
        <v>18813</v>
      </c>
      <c r="B3579" t="s">
        <v>1484</v>
      </c>
      <c r="C3579" t="s">
        <v>1472</v>
      </c>
      <c r="D3579" t="s">
        <v>1485</v>
      </c>
      <c r="E3579" t="s">
        <v>642</v>
      </c>
      <c r="F3579" t="s">
        <v>598</v>
      </c>
      <c r="G3579" t="s">
        <v>599</v>
      </c>
      <c r="H3579" t="s">
        <v>600</v>
      </c>
      <c r="I3579" t="s">
        <v>601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hidden="1">
      <c r="A3580" t="s">
        <v>18813</v>
      </c>
      <c r="B3580" t="s">
        <v>1491</v>
      </c>
      <c r="C3580" t="s">
        <v>1472</v>
      </c>
      <c r="D3580" t="s">
        <v>1392</v>
      </c>
      <c r="E3580" t="s">
        <v>1393</v>
      </c>
      <c r="F3580" t="s">
        <v>598</v>
      </c>
      <c r="G3580" t="s">
        <v>599</v>
      </c>
      <c r="H3580" t="s">
        <v>600</v>
      </c>
      <c r="I3580" t="s">
        <v>601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hidden="1">
      <c r="A3581" t="s">
        <v>18813</v>
      </c>
      <c r="B3581" t="s">
        <v>1495</v>
      </c>
      <c r="C3581" t="s">
        <v>1472</v>
      </c>
      <c r="D3581" t="s">
        <v>1316</v>
      </c>
      <c r="E3581" t="s">
        <v>1399</v>
      </c>
      <c r="F3581" t="s">
        <v>598</v>
      </c>
      <c r="G3581" t="s">
        <v>599</v>
      </c>
      <c r="H3581" t="s">
        <v>600</v>
      </c>
      <c r="I3581" t="s">
        <v>601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hidden="1">
      <c r="A3582" t="s">
        <v>18813</v>
      </c>
      <c r="B3582" t="s">
        <v>1496</v>
      </c>
      <c r="C3582" t="s">
        <v>1472</v>
      </c>
      <c r="D3582" t="s">
        <v>1316</v>
      </c>
      <c r="E3582" t="s">
        <v>1326</v>
      </c>
      <c r="F3582" t="s">
        <v>598</v>
      </c>
      <c r="G3582" t="s">
        <v>599</v>
      </c>
      <c r="H3582" t="s">
        <v>600</v>
      </c>
      <c r="I3582" t="s">
        <v>601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hidden="1">
      <c r="A3583" t="s">
        <v>18813</v>
      </c>
      <c r="B3583" t="s">
        <v>1498</v>
      </c>
      <c r="C3583" t="s">
        <v>1472</v>
      </c>
      <c r="D3583" t="s">
        <v>1316</v>
      </c>
      <c r="E3583" t="s">
        <v>1402</v>
      </c>
      <c r="F3583" t="s">
        <v>598</v>
      </c>
      <c r="G3583" t="s">
        <v>599</v>
      </c>
      <c r="H3583" t="s">
        <v>600</v>
      </c>
      <c r="I3583" t="s">
        <v>601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hidden="1">
      <c r="A3584" t="s">
        <v>18813</v>
      </c>
      <c r="B3584" t="s">
        <v>1499</v>
      </c>
      <c r="C3584" t="s">
        <v>1472</v>
      </c>
      <c r="D3584" t="s">
        <v>1316</v>
      </c>
      <c r="E3584" t="s">
        <v>892</v>
      </c>
      <c r="F3584" t="s">
        <v>598</v>
      </c>
      <c r="G3584" t="s">
        <v>599</v>
      </c>
      <c r="H3584" t="s">
        <v>600</v>
      </c>
      <c r="I3584" t="s">
        <v>601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hidden="1">
      <c r="A3585" t="s">
        <v>18813</v>
      </c>
      <c r="B3585" t="s">
        <v>1501</v>
      </c>
      <c r="C3585" t="s">
        <v>1472</v>
      </c>
      <c r="D3585" t="s">
        <v>1316</v>
      </c>
      <c r="E3585" t="s">
        <v>1318</v>
      </c>
      <c r="F3585" t="s">
        <v>598</v>
      </c>
      <c r="G3585" t="s">
        <v>599</v>
      </c>
      <c r="H3585" t="s">
        <v>600</v>
      </c>
      <c r="I3585" t="s">
        <v>601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hidden="1">
      <c r="A3586" t="s">
        <v>18813</v>
      </c>
      <c r="B3586" t="s">
        <v>1502</v>
      </c>
      <c r="C3586" t="s">
        <v>1472</v>
      </c>
      <c r="D3586" t="s">
        <v>1316</v>
      </c>
      <c r="E3586" t="s">
        <v>1198</v>
      </c>
      <c r="F3586" t="s">
        <v>598</v>
      </c>
      <c r="G3586" t="s">
        <v>599</v>
      </c>
      <c r="H3586" t="s">
        <v>600</v>
      </c>
      <c r="I3586" t="s">
        <v>601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hidden="1">
      <c r="A3587" t="s">
        <v>18813</v>
      </c>
      <c r="B3587" t="s">
        <v>1504</v>
      </c>
      <c r="C3587" t="s">
        <v>1472</v>
      </c>
      <c r="D3587" t="s">
        <v>1320</v>
      </c>
      <c r="E3587" t="s">
        <v>626</v>
      </c>
      <c r="F3587" t="s">
        <v>598</v>
      </c>
      <c r="G3587" t="s">
        <v>599</v>
      </c>
      <c r="H3587" t="s">
        <v>600</v>
      </c>
      <c r="I3587" t="s">
        <v>601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hidden="1">
      <c r="A3588" t="s">
        <v>18813</v>
      </c>
      <c r="B3588" t="s">
        <v>1505</v>
      </c>
      <c r="C3588" t="s">
        <v>1472</v>
      </c>
      <c r="D3588" t="s">
        <v>1320</v>
      </c>
      <c r="E3588" t="s">
        <v>750</v>
      </c>
      <c r="F3588" t="s">
        <v>598</v>
      </c>
      <c r="G3588" t="s">
        <v>599</v>
      </c>
      <c r="H3588" t="s">
        <v>600</v>
      </c>
      <c r="I3588" t="s">
        <v>601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hidden="1">
      <c r="A3589" t="s">
        <v>18813</v>
      </c>
      <c r="B3589" t="s">
        <v>1506</v>
      </c>
      <c r="C3589" t="s">
        <v>1472</v>
      </c>
      <c r="D3589" t="s">
        <v>1320</v>
      </c>
      <c r="E3589" t="s">
        <v>1402</v>
      </c>
      <c r="F3589" t="s">
        <v>598</v>
      </c>
      <c r="G3589" t="s">
        <v>599</v>
      </c>
      <c r="H3589" t="s">
        <v>600</v>
      </c>
      <c r="I3589" t="s">
        <v>601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hidden="1">
      <c r="A3590" t="s">
        <v>18813</v>
      </c>
      <c r="B3590" t="s">
        <v>1507</v>
      </c>
      <c r="C3590" t="s">
        <v>1472</v>
      </c>
      <c r="D3590" t="s">
        <v>1320</v>
      </c>
      <c r="E3590" t="s">
        <v>892</v>
      </c>
      <c r="F3590" t="s">
        <v>598</v>
      </c>
      <c r="G3590" t="s">
        <v>599</v>
      </c>
      <c r="H3590" t="s">
        <v>600</v>
      </c>
      <c r="I3590" t="s">
        <v>601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hidden="1">
      <c r="A3591" t="s">
        <v>18813</v>
      </c>
      <c r="B3591" t="s">
        <v>1508</v>
      </c>
      <c r="C3591" t="s">
        <v>1472</v>
      </c>
      <c r="D3591" t="s">
        <v>1320</v>
      </c>
      <c r="E3591" t="s">
        <v>669</v>
      </c>
      <c r="F3591" t="s">
        <v>598</v>
      </c>
      <c r="G3591" t="s">
        <v>599</v>
      </c>
      <c r="H3591" t="s">
        <v>600</v>
      </c>
      <c r="I3591" t="s">
        <v>601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hidden="1">
      <c r="A3592" t="s">
        <v>18813</v>
      </c>
      <c r="B3592" t="s">
        <v>1509</v>
      </c>
      <c r="C3592" t="s">
        <v>1472</v>
      </c>
      <c r="D3592" t="s">
        <v>1320</v>
      </c>
      <c r="E3592" t="s">
        <v>678</v>
      </c>
      <c r="F3592" t="s">
        <v>598</v>
      </c>
      <c r="G3592" t="s">
        <v>599</v>
      </c>
      <c r="H3592" t="s">
        <v>600</v>
      </c>
      <c r="I3592" t="s">
        <v>601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hidden="1">
      <c r="A3593" t="s">
        <v>18813</v>
      </c>
      <c r="B3593" t="s">
        <v>1510</v>
      </c>
      <c r="C3593" t="s">
        <v>1472</v>
      </c>
      <c r="D3593" t="s">
        <v>1320</v>
      </c>
      <c r="E3593" t="s">
        <v>1198</v>
      </c>
      <c r="F3593" t="s">
        <v>598</v>
      </c>
      <c r="G3593" t="s">
        <v>599</v>
      </c>
      <c r="H3593" t="s">
        <v>600</v>
      </c>
      <c r="I3593" t="s">
        <v>601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hidden="1">
      <c r="A3594" t="s">
        <v>18813</v>
      </c>
      <c r="B3594" t="s">
        <v>1514</v>
      </c>
      <c r="C3594" t="s">
        <v>1472</v>
      </c>
      <c r="D3594" t="s">
        <v>1324</v>
      </c>
      <c r="E3594" t="s">
        <v>1334</v>
      </c>
      <c r="F3594" t="s">
        <v>598</v>
      </c>
      <c r="G3594" t="s">
        <v>599</v>
      </c>
      <c r="H3594" t="s">
        <v>600</v>
      </c>
      <c r="I3594" t="s">
        <v>601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hidden="1">
      <c r="A3595" t="s">
        <v>18813</v>
      </c>
      <c r="B3595" t="s">
        <v>1515</v>
      </c>
      <c r="C3595" t="s">
        <v>1472</v>
      </c>
      <c r="D3595" t="s">
        <v>1324</v>
      </c>
      <c r="E3595" t="s">
        <v>1399</v>
      </c>
      <c r="F3595" t="s">
        <v>598</v>
      </c>
      <c r="G3595" t="s">
        <v>599</v>
      </c>
      <c r="H3595" t="s">
        <v>600</v>
      </c>
      <c r="I3595" t="s">
        <v>601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hidden="1">
      <c r="A3596" t="s">
        <v>18813</v>
      </c>
      <c r="B3596" t="s">
        <v>1516</v>
      </c>
      <c r="C3596" t="s">
        <v>1472</v>
      </c>
      <c r="D3596" t="s">
        <v>1324</v>
      </c>
      <c r="E3596" t="s">
        <v>1417</v>
      </c>
      <c r="F3596" t="s">
        <v>598</v>
      </c>
      <c r="G3596" t="s">
        <v>599</v>
      </c>
      <c r="H3596" t="s">
        <v>600</v>
      </c>
      <c r="I3596" t="s">
        <v>601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hidden="1">
      <c r="A3597" t="s">
        <v>18813</v>
      </c>
      <c r="B3597" t="s">
        <v>1518</v>
      </c>
      <c r="C3597" t="s">
        <v>1472</v>
      </c>
      <c r="D3597" t="s">
        <v>1324</v>
      </c>
      <c r="E3597" t="s">
        <v>1326</v>
      </c>
      <c r="F3597" t="s">
        <v>598</v>
      </c>
      <c r="G3597" t="s">
        <v>599</v>
      </c>
      <c r="H3597" t="s">
        <v>600</v>
      </c>
      <c r="I3597" t="s">
        <v>601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hidden="1">
      <c r="A3598" t="s">
        <v>18813</v>
      </c>
      <c r="B3598" t="s">
        <v>1520</v>
      </c>
      <c r="C3598" t="s">
        <v>1472</v>
      </c>
      <c r="D3598" t="s">
        <v>1324</v>
      </c>
      <c r="E3598" t="s">
        <v>1402</v>
      </c>
      <c r="F3598" t="s">
        <v>598</v>
      </c>
      <c r="G3598" t="s">
        <v>599</v>
      </c>
      <c r="H3598" t="s">
        <v>600</v>
      </c>
      <c r="I3598" t="s">
        <v>601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hidden="1">
      <c r="A3599" t="s">
        <v>18813</v>
      </c>
      <c r="B3599" t="s">
        <v>1522</v>
      </c>
      <c r="C3599" t="s">
        <v>1472</v>
      </c>
      <c r="D3599" t="s">
        <v>1324</v>
      </c>
      <c r="E3599" t="s">
        <v>669</v>
      </c>
      <c r="F3599" t="s">
        <v>598</v>
      </c>
      <c r="G3599" t="s">
        <v>599</v>
      </c>
      <c r="H3599" t="s">
        <v>600</v>
      </c>
      <c r="I3599" t="s">
        <v>601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hidden="1">
      <c r="A3600" t="s">
        <v>18813</v>
      </c>
      <c r="B3600" t="s">
        <v>1524</v>
      </c>
      <c r="C3600" t="s">
        <v>1472</v>
      </c>
      <c r="D3600" t="s">
        <v>1324</v>
      </c>
      <c r="E3600" t="s">
        <v>1318</v>
      </c>
      <c r="F3600" t="s">
        <v>598</v>
      </c>
      <c r="G3600" t="s">
        <v>599</v>
      </c>
      <c r="H3600" t="s">
        <v>600</v>
      </c>
      <c r="I3600" t="s">
        <v>601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hidden="1">
      <c r="A3601" t="s">
        <v>18813</v>
      </c>
      <c r="B3601" t="s">
        <v>1527</v>
      </c>
      <c r="C3601" t="s">
        <v>1472</v>
      </c>
      <c r="D3601" t="s">
        <v>1332</v>
      </c>
      <c r="E3601" t="s">
        <v>1334</v>
      </c>
      <c r="F3601" t="s">
        <v>598</v>
      </c>
      <c r="G3601" t="s">
        <v>599</v>
      </c>
      <c r="H3601" t="s">
        <v>600</v>
      </c>
      <c r="I3601" t="s">
        <v>601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hidden="1">
      <c r="A3602" t="s">
        <v>18813</v>
      </c>
      <c r="B3602" t="s">
        <v>1528</v>
      </c>
      <c r="C3602" t="s">
        <v>1472</v>
      </c>
      <c r="D3602" t="s">
        <v>1332</v>
      </c>
      <c r="E3602" t="s">
        <v>1399</v>
      </c>
      <c r="F3602" t="s">
        <v>598</v>
      </c>
      <c r="G3602" t="s">
        <v>599</v>
      </c>
      <c r="H3602" t="s">
        <v>600</v>
      </c>
      <c r="I3602" t="s">
        <v>601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hidden="1">
      <c r="A3603" t="s">
        <v>18813</v>
      </c>
      <c r="B3603" t="s">
        <v>1531</v>
      </c>
      <c r="C3603" t="s">
        <v>1472</v>
      </c>
      <c r="D3603" t="s">
        <v>1332</v>
      </c>
      <c r="E3603" t="s">
        <v>1326</v>
      </c>
      <c r="F3603" t="s">
        <v>598</v>
      </c>
      <c r="G3603" t="s">
        <v>599</v>
      </c>
      <c r="H3603" t="s">
        <v>600</v>
      </c>
      <c r="I3603" t="s">
        <v>601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hidden="1">
      <c r="A3604" t="s">
        <v>18813</v>
      </c>
      <c r="B3604" t="s">
        <v>1534</v>
      </c>
      <c r="C3604" t="s">
        <v>1472</v>
      </c>
      <c r="D3604" t="s">
        <v>1332</v>
      </c>
      <c r="E3604" t="s">
        <v>1402</v>
      </c>
      <c r="F3604" t="s">
        <v>598</v>
      </c>
      <c r="G3604" t="s">
        <v>599</v>
      </c>
      <c r="H3604" t="s">
        <v>600</v>
      </c>
      <c r="I3604" t="s">
        <v>601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hidden="1">
      <c r="A3605" t="s">
        <v>18813</v>
      </c>
      <c r="B3605" t="s">
        <v>1536</v>
      </c>
      <c r="C3605" t="s">
        <v>1472</v>
      </c>
      <c r="D3605" t="s">
        <v>1332</v>
      </c>
      <c r="E3605" t="s">
        <v>669</v>
      </c>
      <c r="F3605" t="s">
        <v>598</v>
      </c>
      <c r="G3605" t="s">
        <v>599</v>
      </c>
      <c r="H3605" t="s">
        <v>600</v>
      </c>
      <c r="I3605" t="s">
        <v>601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hidden="1">
      <c r="A3606" t="s">
        <v>18813</v>
      </c>
      <c r="B3606" t="s">
        <v>1538</v>
      </c>
      <c r="C3606" t="s">
        <v>1472</v>
      </c>
      <c r="D3606" t="s">
        <v>1332</v>
      </c>
      <c r="E3606" t="s">
        <v>1318</v>
      </c>
      <c r="F3606" t="s">
        <v>598</v>
      </c>
      <c r="G3606" t="s">
        <v>599</v>
      </c>
      <c r="H3606" t="s">
        <v>600</v>
      </c>
      <c r="I3606" t="s">
        <v>601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hidden="1">
      <c r="A3607" t="s">
        <v>18813</v>
      </c>
      <c r="B3607" t="s">
        <v>1551</v>
      </c>
      <c r="C3607" t="s">
        <v>1472</v>
      </c>
      <c r="D3607" t="s">
        <v>1552</v>
      </c>
      <c r="E3607" t="s">
        <v>626</v>
      </c>
      <c r="F3607" t="s">
        <v>598</v>
      </c>
      <c r="G3607" t="s">
        <v>599</v>
      </c>
      <c r="H3607" t="s">
        <v>600</v>
      </c>
      <c r="I3607" t="s">
        <v>601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hidden="1">
      <c r="A3608" t="s">
        <v>18813</v>
      </c>
      <c r="B3608" t="s">
        <v>1553</v>
      </c>
      <c r="C3608" t="s">
        <v>1472</v>
      </c>
      <c r="D3608" t="s">
        <v>1552</v>
      </c>
      <c r="E3608" t="s">
        <v>628</v>
      </c>
      <c r="F3608" t="s">
        <v>598</v>
      </c>
      <c r="G3608" t="s">
        <v>599</v>
      </c>
      <c r="H3608" t="s">
        <v>600</v>
      </c>
      <c r="I3608" t="s">
        <v>601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hidden="1">
      <c r="A3609" t="s">
        <v>18813</v>
      </c>
      <c r="B3609" t="s">
        <v>1554</v>
      </c>
      <c r="C3609" t="s">
        <v>1472</v>
      </c>
      <c r="D3609" t="s">
        <v>1552</v>
      </c>
      <c r="E3609" t="s">
        <v>888</v>
      </c>
      <c r="F3609" t="s">
        <v>598</v>
      </c>
      <c r="G3609" t="s">
        <v>599</v>
      </c>
      <c r="H3609" t="s">
        <v>600</v>
      </c>
      <c r="I3609" t="s">
        <v>601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hidden="1">
      <c r="A3610" t="s">
        <v>18813</v>
      </c>
      <c r="B3610" t="s">
        <v>1555</v>
      </c>
      <c r="C3610" t="s">
        <v>1472</v>
      </c>
      <c r="D3610" t="s">
        <v>1552</v>
      </c>
      <c r="E3610" t="s">
        <v>781</v>
      </c>
      <c r="F3610" t="s">
        <v>598</v>
      </c>
      <c r="G3610" t="s">
        <v>599</v>
      </c>
      <c r="H3610" t="s">
        <v>600</v>
      </c>
      <c r="I3610" t="s">
        <v>601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hidden="1">
      <c r="A3611" t="s">
        <v>18813</v>
      </c>
      <c r="B3611" t="s">
        <v>1559</v>
      </c>
      <c r="C3611" t="s">
        <v>1472</v>
      </c>
      <c r="D3611" t="s">
        <v>1558</v>
      </c>
      <c r="E3611" t="s">
        <v>626</v>
      </c>
      <c r="F3611" t="s">
        <v>598</v>
      </c>
      <c r="G3611" t="s">
        <v>599</v>
      </c>
      <c r="H3611" t="s">
        <v>600</v>
      </c>
      <c r="I3611" t="s">
        <v>601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hidden="1">
      <c r="A3612" t="s">
        <v>18813</v>
      </c>
      <c r="B3612" t="s">
        <v>1560</v>
      </c>
      <c r="C3612" t="s">
        <v>1472</v>
      </c>
      <c r="D3612" t="s">
        <v>1558</v>
      </c>
      <c r="E3612" t="s">
        <v>628</v>
      </c>
      <c r="F3612" t="s">
        <v>598</v>
      </c>
      <c r="G3612" t="s">
        <v>599</v>
      </c>
      <c r="H3612" t="s">
        <v>600</v>
      </c>
      <c r="I3612" t="s">
        <v>601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hidden="1">
      <c r="A3613" t="s">
        <v>18813</v>
      </c>
      <c r="B3613" t="s">
        <v>1566</v>
      </c>
      <c r="C3613" t="s">
        <v>1472</v>
      </c>
      <c r="D3613" t="s">
        <v>1567</v>
      </c>
      <c r="E3613" t="s">
        <v>626</v>
      </c>
      <c r="F3613" t="s">
        <v>598</v>
      </c>
      <c r="G3613" t="s">
        <v>599</v>
      </c>
      <c r="H3613" t="s">
        <v>600</v>
      </c>
      <c r="I3613" t="s">
        <v>601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hidden="1">
      <c r="A3614" t="s">
        <v>18813</v>
      </c>
      <c r="B3614" t="s">
        <v>1568</v>
      </c>
      <c r="C3614" t="s">
        <v>1472</v>
      </c>
      <c r="D3614" t="s">
        <v>1569</v>
      </c>
      <c r="E3614" t="s">
        <v>626</v>
      </c>
      <c r="F3614" t="s">
        <v>598</v>
      </c>
      <c r="G3614" t="s">
        <v>599</v>
      </c>
      <c r="H3614" t="s">
        <v>600</v>
      </c>
      <c r="I3614" t="s">
        <v>601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hidden="1">
      <c r="A3615" t="s">
        <v>18813</v>
      </c>
      <c r="B3615" t="s">
        <v>1570</v>
      </c>
      <c r="C3615" t="s">
        <v>1472</v>
      </c>
      <c r="D3615" t="s">
        <v>1571</v>
      </c>
      <c r="E3615" t="s">
        <v>626</v>
      </c>
      <c r="F3615" t="s">
        <v>598</v>
      </c>
      <c r="G3615" t="s">
        <v>599</v>
      </c>
      <c r="H3615" t="s">
        <v>600</v>
      </c>
      <c r="I3615" t="s">
        <v>601</v>
      </c>
      <c r="J3615">
        <v>5.9999999999999995E-4</v>
      </c>
      <c r="K3615">
        <v>5.9999999999999995E-4</v>
      </c>
      <c r="L3615">
        <v>5.9999999999999995E-4</v>
      </c>
      <c r="M3615">
        <v>5.9999999999999995E-4</v>
      </c>
      <c r="N3615">
        <v>5.9999999999999995E-4</v>
      </c>
      <c r="O3615">
        <v>5.9999999999999995E-4</v>
      </c>
      <c r="P3615">
        <v>5.9999999999999995E-4</v>
      </c>
      <c r="Q3615">
        <v>5.9999999999999995E-4</v>
      </c>
      <c r="R3615">
        <v>5.9999999999999995E-4</v>
      </c>
      <c r="S3615">
        <v>5.9999999999999995E-4</v>
      </c>
      <c r="T3615">
        <v>5.9999999999999995E-4</v>
      </c>
      <c r="U3615">
        <v>5.9999999999999995E-4</v>
      </c>
      <c r="V3615">
        <v>5.9999999999999995E-4</v>
      </c>
      <c r="W3615">
        <v>5.9999999999999995E-4</v>
      </c>
      <c r="X3615">
        <v>5.9999999999999995E-4</v>
      </c>
      <c r="Y3615">
        <v>5.9999999999999995E-4</v>
      </c>
    </row>
    <row r="3616" spans="1:25" hidden="1">
      <c r="A3616" t="s">
        <v>18813</v>
      </c>
      <c r="B3616" t="s">
        <v>1573</v>
      </c>
      <c r="C3616" t="s">
        <v>1472</v>
      </c>
      <c r="D3616" t="s">
        <v>1574</v>
      </c>
      <c r="E3616" t="s">
        <v>626</v>
      </c>
      <c r="F3616" t="s">
        <v>598</v>
      </c>
      <c r="G3616" t="s">
        <v>599</v>
      </c>
      <c r="H3616" t="s">
        <v>600</v>
      </c>
      <c r="I3616" t="s">
        <v>601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</row>
    <row r="3617" spans="1:25" hidden="1">
      <c r="A3617" t="s">
        <v>18813</v>
      </c>
      <c r="B3617" t="s">
        <v>1575</v>
      </c>
      <c r="C3617" t="s">
        <v>1472</v>
      </c>
      <c r="D3617" t="s">
        <v>1576</v>
      </c>
      <c r="E3617" t="s">
        <v>626</v>
      </c>
      <c r="F3617" t="s">
        <v>598</v>
      </c>
      <c r="G3617" t="s">
        <v>599</v>
      </c>
      <c r="H3617" t="s">
        <v>600</v>
      </c>
      <c r="I3617" t="s">
        <v>601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hidden="1">
      <c r="A3618" t="s">
        <v>18813</v>
      </c>
      <c r="B3618" t="s">
        <v>1579</v>
      </c>
      <c r="C3618" t="s">
        <v>1472</v>
      </c>
      <c r="D3618" t="s">
        <v>1578</v>
      </c>
      <c r="E3618" t="s">
        <v>1334</v>
      </c>
      <c r="F3618" t="s">
        <v>598</v>
      </c>
      <c r="G3618" t="s">
        <v>599</v>
      </c>
      <c r="H3618" t="s">
        <v>600</v>
      </c>
      <c r="I3618" t="s">
        <v>601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hidden="1">
      <c r="A3619" t="s">
        <v>18813</v>
      </c>
      <c r="B3619" t="s">
        <v>1580</v>
      </c>
      <c r="C3619" t="s">
        <v>1472</v>
      </c>
      <c r="D3619" t="s">
        <v>1578</v>
      </c>
      <c r="E3619" t="s">
        <v>1399</v>
      </c>
      <c r="F3619" t="s">
        <v>598</v>
      </c>
      <c r="G3619" t="s">
        <v>599</v>
      </c>
      <c r="H3619" t="s">
        <v>600</v>
      </c>
      <c r="I3619" t="s">
        <v>601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hidden="1">
      <c r="A3620" t="s">
        <v>18813</v>
      </c>
      <c r="B3620" t="s">
        <v>1582</v>
      </c>
      <c r="C3620" t="s">
        <v>1472</v>
      </c>
      <c r="D3620" t="s">
        <v>1583</v>
      </c>
      <c r="E3620" t="s">
        <v>626</v>
      </c>
      <c r="F3620" t="s">
        <v>598</v>
      </c>
      <c r="G3620" t="s">
        <v>599</v>
      </c>
      <c r="H3620" t="s">
        <v>600</v>
      </c>
      <c r="I3620" t="s">
        <v>601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hidden="1">
      <c r="A3621" t="s">
        <v>18813</v>
      </c>
      <c r="B3621" t="s">
        <v>1584</v>
      </c>
      <c r="C3621" t="s">
        <v>1472</v>
      </c>
      <c r="D3621" t="s">
        <v>1583</v>
      </c>
      <c r="E3621" t="s">
        <v>1334</v>
      </c>
      <c r="F3621" t="s">
        <v>598</v>
      </c>
      <c r="G3621" t="s">
        <v>599</v>
      </c>
      <c r="H3621" t="s">
        <v>600</v>
      </c>
      <c r="I3621" t="s">
        <v>601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hidden="1">
      <c r="A3622" t="s">
        <v>18813</v>
      </c>
      <c r="B3622" t="s">
        <v>1587</v>
      </c>
      <c r="C3622" t="s">
        <v>1472</v>
      </c>
      <c r="D3622" t="s">
        <v>1588</v>
      </c>
      <c r="E3622" t="s">
        <v>626</v>
      </c>
      <c r="F3622" t="s">
        <v>598</v>
      </c>
      <c r="G3622" t="s">
        <v>599</v>
      </c>
      <c r="H3622" t="s">
        <v>600</v>
      </c>
      <c r="I3622" t="s">
        <v>601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hidden="1">
      <c r="A3623" t="s">
        <v>18813</v>
      </c>
      <c r="B3623" t="s">
        <v>1589</v>
      </c>
      <c r="C3623" t="s">
        <v>1472</v>
      </c>
      <c r="D3623" t="s">
        <v>1365</v>
      </c>
      <c r="E3623" t="s">
        <v>973</v>
      </c>
      <c r="F3623" t="s">
        <v>598</v>
      </c>
      <c r="G3623" t="s">
        <v>599</v>
      </c>
      <c r="H3623" t="s">
        <v>600</v>
      </c>
      <c r="I3623" t="s">
        <v>601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hidden="1">
      <c r="A3624" t="s">
        <v>18813</v>
      </c>
      <c r="B3624" t="s">
        <v>1590</v>
      </c>
      <c r="C3624" t="s">
        <v>1472</v>
      </c>
      <c r="D3624" t="s">
        <v>1365</v>
      </c>
      <c r="E3624" t="s">
        <v>626</v>
      </c>
      <c r="F3624" t="s">
        <v>598</v>
      </c>
      <c r="G3624" t="s">
        <v>599</v>
      </c>
      <c r="H3624" t="s">
        <v>600</v>
      </c>
      <c r="I3624" t="s">
        <v>601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hidden="1">
      <c r="A3625" t="s">
        <v>18813</v>
      </c>
      <c r="B3625" t="s">
        <v>1591</v>
      </c>
      <c r="C3625" t="s">
        <v>1472</v>
      </c>
      <c r="D3625" t="s">
        <v>1365</v>
      </c>
      <c r="E3625" t="s">
        <v>628</v>
      </c>
      <c r="F3625" t="s">
        <v>598</v>
      </c>
      <c r="G3625" t="s">
        <v>599</v>
      </c>
      <c r="H3625" t="s">
        <v>600</v>
      </c>
      <c r="I3625" t="s">
        <v>601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hidden="1">
      <c r="A3626" t="s">
        <v>18813</v>
      </c>
      <c r="B3626" t="s">
        <v>1592</v>
      </c>
      <c r="C3626" t="s">
        <v>1472</v>
      </c>
      <c r="D3626" t="s">
        <v>1365</v>
      </c>
      <c r="E3626" t="s">
        <v>888</v>
      </c>
      <c r="F3626" t="s">
        <v>598</v>
      </c>
      <c r="G3626" t="s">
        <v>599</v>
      </c>
      <c r="H3626" t="s">
        <v>600</v>
      </c>
      <c r="I3626" t="s">
        <v>601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hidden="1">
      <c r="A3627" t="s">
        <v>18813</v>
      </c>
      <c r="B3627" t="s">
        <v>1593</v>
      </c>
      <c r="C3627" t="s">
        <v>1472</v>
      </c>
      <c r="D3627" t="s">
        <v>1365</v>
      </c>
      <c r="E3627" t="s">
        <v>781</v>
      </c>
      <c r="F3627" t="s">
        <v>598</v>
      </c>
      <c r="G3627" t="s">
        <v>599</v>
      </c>
      <c r="H3627" t="s">
        <v>600</v>
      </c>
      <c r="I3627" t="s">
        <v>601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hidden="1">
      <c r="A3628" t="s">
        <v>18813</v>
      </c>
      <c r="B3628" t="s">
        <v>1594</v>
      </c>
      <c r="C3628" t="s">
        <v>1472</v>
      </c>
      <c r="D3628" t="s">
        <v>1365</v>
      </c>
      <c r="E3628" t="s">
        <v>678</v>
      </c>
      <c r="F3628" t="s">
        <v>598</v>
      </c>
      <c r="G3628" t="s">
        <v>599</v>
      </c>
      <c r="H3628" t="s">
        <v>600</v>
      </c>
      <c r="I3628" t="s">
        <v>601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hidden="1">
      <c r="A3629" t="s">
        <v>18813</v>
      </c>
      <c r="B3629" t="s">
        <v>1595</v>
      </c>
      <c r="C3629" t="s">
        <v>1472</v>
      </c>
      <c r="D3629" t="s">
        <v>1458</v>
      </c>
      <c r="E3629" t="s">
        <v>626</v>
      </c>
      <c r="F3629" t="s">
        <v>598</v>
      </c>
      <c r="G3629" t="s">
        <v>599</v>
      </c>
      <c r="H3629" t="s">
        <v>600</v>
      </c>
      <c r="I3629" t="s">
        <v>601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</row>
    <row r="3630" spans="1:25" hidden="1">
      <c r="A3630" t="s">
        <v>18813</v>
      </c>
      <c r="B3630" t="s">
        <v>1597</v>
      </c>
      <c r="C3630" t="s">
        <v>1472</v>
      </c>
      <c r="D3630" t="s">
        <v>1598</v>
      </c>
      <c r="E3630" t="s">
        <v>626</v>
      </c>
      <c r="F3630" t="s">
        <v>598</v>
      </c>
      <c r="G3630" t="s">
        <v>599</v>
      </c>
      <c r="H3630" t="s">
        <v>600</v>
      </c>
      <c r="I3630" t="s">
        <v>601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hidden="1">
      <c r="A3631" t="s">
        <v>18813</v>
      </c>
      <c r="B3631" t="s">
        <v>1599</v>
      </c>
      <c r="C3631" t="s">
        <v>1472</v>
      </c>
      <c r="D3631" t="s">
        <v>1598</v>
      </c>
      <c r="E3631" t="s">
        <v>781</v>
      </c>
      <c r="F3631" t="s">
        <v>598</v>
      </c>
      <c r="G3631" t="s">
        <v>599</v>
      </c>
      <c r="H3631" t="s">
        <v>600</v>
      </c>
      <c r="I3631" t="s">
        <v>601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hidden="1">
      <c r="A3632" t="s">
        <v>18813</v>
      </c>
      <c r="B3632" t="s">
        <v>1600</v>
      </c>
      <c r="C3632" t="s">
        <v>1472</v>
      </c>
      <c r="D3632" t="s">
        <v>1601</v>
      </c>
      <c r="E3632" t="s">
        <v>626</v>
      </c>
      <c r="F3632" t="s">
        <v>598</v>
      </c>
      <c r="G3632" t="s">
        <v>599</v>
      </c>
      <c r="H3632" t="s">
        <v>600</v>
      </c>
      <c r="I3632" t="s">
        <v>601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hidden="1">
      <c r="A3633" t="s">
        <v>18813</v>
      </c>
      <c r="B3633" t="s">
        <v>1602</v>
      </c>
      <c r="C3633" t="s">
        <v>1472</v>
      </c>
      <c r="D3633" t="s">
        <v>1603</v>
      </c>
      <c r="E3633" t="s">
        <v>626</v>
      </c>
      <c r="F3633" t="s">
        <v>598</v>
      </c>
      <c r="G3633" t="s">
        <v>599</v>
      </c>
      <c r="H3633" t="s">
        <v>600</v>
      </c>
      <c r="I3633" t="s">
        <v>601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hidden="1">
      <c r="A3634" t="s">
        <v>18813</v>
      </c>
      <c r="B3634" t="s">
        <v>1604</v>
      </c>
      <c r="C3634" t="s">
        <v>1472</v>
      </c>
      <c r="D3634" t="s">
        <v>1605</v>
      </c>
      <c r="E3634" t="s">
        <v>626</v>
      </c>
      <c r="F3634" t="s">
        <v>598</v>
      </c>
      <c r="G3634" t="s">
        <v>599</v>
      </c>
      <c r="H3634" t="s">
        <v>600</v>
      </c>
      <c r="I3634" t="s">
        <v>601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hidden="1">
      <c r="A3635" t="s">
        <v>18813</v>
      </c>
      <c r="B3635" t="s">
        <v>1607</v>
      </c>
      <c r="C3635" t="s">
        <v>1472</v>
      </c>
      <c r="D3635" t="s">
        <v>648</v>
      </c>
      <c r="E3635" t="s">
        <v>597</v>
      </c>
      <c r="F3635" t="s">
        <v>598</v>
      </c>
      <c r="G3635" t="s">
        <v>599</v>
      </c>
      <c r="H3635" t="s">
        <v>600</v>
      </c>
      <c r="I3635" t="s">
        <v>601</v>
      </c>
      <c r="J3635">
        <v>1E-4</v>
      </c>
      <c r="K3635">
        <v>1E-4</v>
      </c>
      <c r="L3635">
        <v>1E-4</v>
      </c>
      <c r="M3635">
        <v>1E-4</v>
      </c>
      <c r="N3635">
        <v>1E-4</v>
      </c>
      <c r="O3635">
        <v>1E-4</v>
      </c>
      <c r="P3635">
        <v>1E-4</v>
      </c>
      <c r="Q3635">
        <v>1E-4</v>
      </c>
      <c r="R3635">
        <v>1E-4</v>
      </c>
      <c r="S3635">
        <v>1E-4</v>
      </c>
      <c r="T3635">
        <v>1E-4</v>
      </c>
      <c r="U3635">
        <v>1E-4</v>
      </c>
      <c r="V3635">
        <v>1E-4</v>
      </c>
      <c r="W3635">
        <v>1E-4</v>
      </c>
      <c r="X3635">
        <v>1E-4</v>
      </c>
      <c r="Y3635">
        <v>1E-4</v>
      </c>
    </row>
    <row r="3636" spans="1:25" hidden="1">
      <c r="A3636" t="s">
        <v>18813</v>
      </c>
      <c r="B3636" t="s">
        <v>1609</v>
      </c>
      <c r="C3636" t="s">
        <v>1472</v>
      </c>
      <c r="D3636" t="s">
        <v>648</v>
      </c>
      <c r="E3636" t="s">
        <v>626</v>
      </c>
      <c r="F3636" t="s">
        <v>598</v>
      </c>
      <c r="G3636" t="s">
        <v>599</v>
      </c>
      <c r="H3636" t="s">
        <v>600</v>
      </c>
      <c r="I3636" t="s">
        <v>601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hidden="1">
      <c r="A3637" t="s">
        <v>18813</v>
      </c>
      <c r="B3637" t="s">
        <v>1610</v>
      </c>
      <c r="C3637" t="s">
        <v>1611</v>
      </c>
      <c r="D3637" t="s">
        <v>648</v>
      </c>
      <c r="E3637" t="s">
        <v>920</v>
      </c>
      <c r="F3637" t="s">
        <v>598</v>
      </c>
      <c r="G3637" t="s">
        <v>599</v>
      </c>
      <c r="H3637" t="s">
        <v>600</v>
      </c>
      <c r="I3637" t="s">
        <v>601</v>
      </c>
      <c r="J3637">
        <v>4.7999999999999996E-3</v>
      </c>
      <c r="K3637">
        <v>4.7999999999999996E-3</v>
      </c>
      <c r="L3637">
        <v>4.7999999999999996E-3</v>
      </c>
      <c r="M3637">
        <v>4.7999999999999996E-3</v>
      </c>
      <c r="N3637">
        <v>4.7999999999999996E-3</v>
      </c>
      <c r="O3637">
        <v>4.7999999999999996E-3</v>
      </c>
      <c r="P3637">
        <v>4.7999999999999996E-3</v>
      </c>
      <c r="Q3637">
        <v>4.7999999999999996E-3</v>
      </c>
      <c r="R3637">
        <v>4.7999999999999996E-3</v>
      </c>
      <c r="S3637">
        <v>4.7999999999999996E-3</v>
      </c>
      <c r="T3637">
        <v>4.7999999999999996E-3</v>
      </c>
      <c r="U3637">
        <v>4.7999999999999996E-3</v>
      </c>
      <c r="V3637">
        <v>4.7999999999999996E-3</v>
      </c>
      <c r="W3637">
        <v>4.7999999999999996E-3</v>
      </c>
      <c r="X3637">
        <v>4.7999999999999996E-3</v>
      </c>
      <c r="Y3637">
        <v>4.7999999999999996E-3</v>
      </c>
    </row>
    <row r="3638" spans="1:25" hidden="1">
      <c r="A3638" t="s">
        <v>18813</v>
      </c>
      <c r="B3638" t="s">
        <v>1616</v>
      </c>
      <c r="C3638" t="s">
        <v>1614</v>
      </c>
      <c r="D3638" t="s">
        <v>1392</v>
      </c>
      <c r="E3638" t="s">
        <v>1393</v>
      </c>
      <c r="F3638" t="s">
        <v>598</v>
      </c>
      <c r="G3638" t="s">
        <v>599</v>
      </c>
      <c r="H3638" t="s">
        <v>600</v>
      </c>
      <c r="I3638" t="s">
        <v>601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</row>
    <row r="3639" spans="1:25" hidden="1">
      <c r="A3639" t="s">
        <v>18813</v>
      </c>
      <c r="B3639" t="s">
        <v>1617</v>
      </c>
      <c r="C3639" t="s">
        <v>1614</v>
      </c>
      <c r="D3639" t="s">
        <v>1316</v>
      </c>
      <c r="E3639" t="s">
        <v>954</v>
      </c>
      <c r="F3639" t="s">
        <v>598</v>
      </c>
      <c r="G3639" t="s">
        <v>599</v>
      </c>
      <c r="H3639" t="s">
        <v>600</v>
      </c>
      <c r="I3639" t="s">
        <v>601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hidden="1">
      <c r="A3640" t="s">
        <v>18813</v>
      </c>
      <c r="B3640" t="s">
        <v>1618</v>
      </c>
      <c r="C3640" t="s">
        <v>1614</v>
      </c>
      <c r="D3640" t="s">
        <v>1316</v>
      </c>
      <c r="E3640" t="s">
        <v>1020</v>
      </c>
      <c r="F3640" t="s">
        <v>598</v>
      </c>
      <c r="G3640" t="s">
        <v>599</v>
      </c>
      <c r="H3640" t="s">
        <v>600</v>
      </c>
      <c r="I3640" t="s">
        <v>601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hidden="1">
      <c r="A3641" t="s">
        <v>18813</v>
      </c>
      <c r="B3641" t="s">
        <v>1619</v>
      </c>
      <c r="C3641" t="s">
        <v>1614</v>
      </c>
      <c r="D3641" t="s">
        <v>1316</v>
      </c>
      <c r="E3641" t="s">
        <v>1198</v>
      </c>
      <c r="F3641" t="s">
        <v>598</v>
      </c>
      <c r="G3641" t="s">
        <v>599</v>
      </c>
      <c r="H3641" t="s">
        <v>600</v>
      </c>
      <c r="I3641" t="s">
        <v>601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hidden="1">
      <c r="A3642" t="s">
        <v>18813</v>
      </c>
      <c r="B3642" t="s">
        <v>1620</v>
      </c>
      <c r="C3642" t="s">
        <v>1614</v>
      </c>
      <c r="D3642" t="s">
        <v>1316</v>
      </c>
      <c r="E3642" t="s">
        <v>1393</v>
      </c>
      <c r="F3642" t="s">
        <v>598</v>
      </c>
      <c r="G3642" t="s">
        <v>599</v>
      </c>
      <c r="H3642" t="s">
        <v>600</v>
      </c>
      <c r="I3642" t="s">
        <v>601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hidden="1">
      <c r="A3643" t="s">
        <v>18813</v>
      </c>
      <c r="B3643" t="s">
        <v>1621</v>
      </c>
      <c r="C3643" t="s">
        <v>1614</v>
      </c>
      <c r="D3643" t="s">
        <v>1320</v>
      </c>
      <c r="E3643" t="s">
        <v>1020</v>
      </c>
      <c r="F3643" t="s">
        <v>598</v>
      </c>
      <c r="G3643" t="s">
        <v>599</v>
      </c>
      <c r="H3643" t="s">
        <v>600</v>
      </c>
      <c r="I3643" t="s">
        <v>601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hidden="1">
      <c r="A3644" t="s">
        <v>18813</v>
      </c>
      <c r="B3644" t="s">
        <v>1622</v>
      </c>
      <c r="C3644" t="s">
        <v>1614</v>
      </c>
      <c r="D3644" t="s">
        <v>1320</v>
      </c>
      <c r="E3644" t="s">
        <v>1198</v>
      </c>
      <c r="F3644" t="s">
        <v>598</v>
      </c>
      <c r="G3644" t="s">
        <v>599</v>
      </c>
      <c r="H3644" t="s">
        <v>600</v>
      </c>
      <c r="I3644" t="s">
        <v>601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hidden="1">
      <c r="A3645" t="s">
        <v>18813</v>
      </c>
      <c r="B3645" t="s">
        <v>1624</v>
      </c>
      <c r="C3645" t="s">
        <v>1614</v>
      </c>
      <c r="D3645" t="s">
        <v>1324</v>
      </c>
      <c r="E3645" t="s">
        <v>1018</v>
      </c>
      <c r="F3645" t="s">
        <v>598</v>
      </c>
      <c r="G3645" t="s">
        <v>599</v>
      </c>
      <c r="H3645" t="s">
        <v>600</v>
      </c>
      <c r="I3645" t="s">
        <v>601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hidden="1">
      <c r="A3646" t="s">
        <v>18813</v>
      </c>
      <c r="B3646" t="s">
        <v>1627</v>
      </c>
      <c r="C3646" t="s">
        <v>1614</v>
      </c>
      <c r="D3646" t="s">
        <v>1324</v>
      </c>
      <c r="E3646" t="s">
        <v>954</v>
      </c>
      <c r="F3646" t="s">
        <v>598</v>
      </c>
      <c r="G3646" t="s">
        <v>599</v>
      </c>
      <c r="H3646" t="s">
        <v>600</v>
      </c>
      <c r="I3646" t="s">
        <v>601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hidden="1">
      <c r="A3647" t="s">
        <v>18813</v>
      </c>
      <c r="B3647" t="s">
        <v>1629</v>
      </c>
      <c r="C3647" t="s">
        <v>1614</v>
      </c>
      <c r="D3647" t="s">
        <v>1324</v>
      </c>
      <c r="E3647" t="s">
        <v>1423</v>
      </c>
      <c r="F3647" t="s">
        <v>598</v>
      </c>
      <c r="G3647" t="s">
        <v>599</v>
      </c>
      <c r="H3647" t="s">
        <v>600</v>
      </c>
      <c r="I3647" t="s">
        <v>601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hidden="1">
      <c r="A3648" t="s">
        <v>18813</v>
      </c>
      <c r="B3648" t="s">
        <v>1630</v>
      </c>
      <c r="C3648" t="s">
        <v>1614</v>
      </c>
      <c r="D3648" t="s">
        <v>1324</v>
      </c>
      <c r="E3648" t="s">
        <v>1343</v>
      </c>
      <c r="F3648" t="s">
        <v>598</v>
      </c>
      <c r="G3648" t="s">
        <v>599</v>
      </c>
      <c r="H3648" t="s">
        <v>600</v>
      </c>
      <c r="I3648" t="s">
        <v>601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hidden="1">
      <c r="A3649" t="s">
        <v>18813</v>
      </c>
      <c r="B3649" t="s">
        <v>1637</v>
      </c>
      <c r="C3649" t="s">
        <v>1614</v>
      </c>
      <c r="D3649" t="s">
        <v>1324</v>
      </c>
      <c r="E3649" t="s">
        <v>1638</v>
      </c>
      <c r="F3649" t="s">
        <v>598</v>
      </c>
      <c r="G3649" t="s">
        <v>599</v>
      </c>
      <c r="H3649" t="s">
        <v>600</v>
      </c>
      <c r="I3649" t="s">
        <v>601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hidden="1">
      <c r="A3650" t="s">
        <v>18813</v>
      </c>
      <c r="B3650" t="s">
        <v>1643</v>
      </c>
      <c r="C3650" t="s">
        <v>1614</v>
      </c>
      <c r="D3650" t="s">
        <v>1324</v>
      </c>
      <c r="E3650" t="s">
        <v>1198</v>
      </c>
      <c r="F3650" t="s">
        <v>598</v>
      </c>
      <c r="G3650" t="s">
        <v>599</v>
      </c>
      <c r="H3650" t="s">
        <v>600</v>
      </c>
      <c r="I3650" t="s">
        <v>601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hidden="1">
      <c r="A3651" t="s">
        <v>18813</v>
      </c>
      <c r="B3651" t="s">
        <v>1644</v>
      </c>
      <c r="C3651" t="s">
        <v>1614</v>
      </c>
      <c r="D3651" t="s">
        <v>1324</v>
      </c>
      <c r="E3651" t="s">
        <v>1645</v>
      </c>
      <c r="F3651" t="s">
        <v>598</v>
      </c>
      <c r="G3651" t="s">
        <v>599</v>
      </c>
      <c r="H3651" t="s">
        <v>600</v>
      </c>
      <c r="I3651" t="s">
        <v>601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hidden="1">
      <c r="A3652" t="s">
        <v>18813</v>
      </c>
      <c r="B3652" t="s">
        <v>1648</v>
      </c>
      <c r="C3652" t="s">
        <v>1614</v>
      </c>
      <c r="D3652" t="s">
        <v>1324</v>
      </c>
      <c r="E3652" t="s">
        <v>1649</v>
      </c>
      <c r="F3652" t="s">
        <v>598</v>
      </c>
      <c r="G3652" t="s">
        <v>599</v>
      </c>
      <c r="H3652" t="s">
        <v>600</v>
      </c>
      <c r="I3652" t="s">
        <v>601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hidden="1">
      <c r="A3653" t="s">
        <v>18813</v>
      </c>
      <c r="B3653" t="s">
        <v>1657</v>
      </c>
      <c r="C3653" t="s">
        <v>1614</v>
      </c>
      <c r="D3653" t="s">
        <v>1324</v>
      </c>
      <c r="E3653" t="s">
        <v>1028</v>
      </c>
      <c r="F3653" t="s">
        <v>598</v>
      </c>
      <c r="G3653" t="s">
        <v>599</v>
      </c>
      <c r="H3653" t="s">
        <v>600</v>
      </c>
      <c r="I3653" t="s">
        <v>601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hidden="1">
      <c r="A3654" t="s">
        <v>18813</v>
      </c>
      <c r="B3654" t="s">
        <v>1658</v>
      </c>
      <c r="C3654" t="s">
        <v>1614</v>
      </c>
      <c r="D3654" t="s">
        <v>1324</v>
      </c>
      <c r="E3654" t="s">
        <v>1030</v>
      </c>
      <c r="F3654" t="s">
        <v>598</v>
      </c>
      <c r="G3654" t="s">
        <v>599</v>
      </c>
      <c r="H3654" t="s">
        <v>600</v>
      </c>
      <c r="I3654" t="s">
        <v>601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hidden="1">
      <c r="A3655" t="s">
        <v>18813</v>
      </c>
      <c r="B3655" t="s">
        <v>1661</v>
      </c>
      <c r="C3655" t="s">
        <v>1614</v>
      </c>
      <c r="D3655" t="s">
        <v>1324</v>
      </c>
      <c r="E3655" t="s">
        <v>630</v>
      </c>
      <c r="F3655" t="s">
        <v>598</v>
      </c>
      <c r="G3655" t="s">
        <v>599</v>
      </c>
      <c r="H3655" t="s">
        <v>600</v>
      </c>
      <c r="I3655" t="s">
        <v>601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hidden="1">
      <c r="A3656" t="s">
        <v>18813</v>
      </c>
      <c r="B3656" t="s">
        <v>1662</v>
      </c>
      <c r="C3656" t="s">
        <v>1614</v>
      </c>
      <c r="D3656" t="s">
        <v>1324</v>
      </c>
      <c r="E3656" t="s">
        <v>1033</v>
      </c>
      <c r="F3656" t="s">
        <v>598</v>
      </c>
      <c r="G3656" t="s">
        <v>599</v>
      </c>
      <c r="H3656" t="s">
        <v>600</v>
      </c>
      <c r="I3656" t="s">
        <v>601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hidden="1">
      <c r="A3657" t="s">
        <v>18813</v>
      </c>
      <c r="B3657" t="s">
        <v>1665</v>
      </c>
      <c r="C3657" t="s">
        <v>1614</v>
      </c>
      <c r="D3657" t="s">
        <v>1324</v>
      </c>
      <c r="E3657" t="s">
        <v>1666</v>
      </c>
      <c r="F3657" t="s">
        <v>598</v>
      </c>
      <c r="G3657" t="s">
        <v>599</v>
      </c>
      <c r="H3657" t="s">
        <v>600</v>
      </c>
      <c r="I3657" t="s">
        <v>601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hidden="1">
      <c r="A3658" t="s">
        <v>18813</v>
      </c>
      <c r="B3658" t="s">
        <v>1668</v>
      </c>
      <c r="C3658" t="s">
        <v>1614</v>
      </c>
      <c r="D3658" t="s">
        <v>1324</v>
      </c>
      <c r="E3658" t="s">
        <v>1211</v>
      </c>
      <c r="F3658" t="s">
        <v>598</v>
      </c>
      <c r="G3658" t="s">
        <v>599</v>
      </c>
      <c r="H3658" t="s">
        <v>600</v>
      </c>
      <c r="I3658" t="s">
        <v>601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hidden="1">
      <c r="A3659" t="s">
        <v>18813</v>
      </c>
      <c r="B3659" t="s">
        <v>1669</v>
      </c>
      <c r="C3659" t="s">
        <v>1614</v>
      </c>
      <c r="D3659" t="s">
        <v>1324</v>
      </c>
      <c r="E3659" t="s">
        <v>1670</v>
      </c>
      <c r="F3659" t="s">
        <v>598</v>
      </c>
      <c r="G3659" t="s">
        <v>599</v>
      </c>
      <c r="H3659" t="s">
        <v>600</v>
      </c>
      <c r="I3659" t="s">
        <v>601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hidden="1">
      <c r="A3660" t="s">
        <v>18813</v>
      </c>
      <c r="B3660" t="s">
        <v>1671</v>
      </c>
      <c r="C3660" t="s">
        <v>1614</v>
      </c>
      <c r="D3660" t="s">
        <v>1324</v>
      </c>
      <c r="E3660" t="s">
        <v>1672</v>
      </c>
      <c r="F3660" t="s">
        <v>598</v>
      </c>
      <c r="G3660" t="s">
        <v>599</v>
      </c>
      <c r="H3660" t="s">
        <v>600</v>
      </c>
      <c r="I3660" t="s">
        <v>601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hidden="1">
      <c r="A3661" t="s">
        <v>18813</v>
      </c>
      <c r="B3661" t="s">
        <v>1675</v>
      </c>
      <c r="C3661" t="s">
        <v>1614</v>
      </c>
      <c r="D3661" t="s">
        <v>1324</v>
      </c>
      <c r="E3661" t="s">
        <v>1676</v>
      </c>
      <c r="F3661" t="s">
        <v>598</v>
      </c>
      <c r="G3661" t="s">
        <v>599</v>
      </c>
      <c r="H3661" t="s">
        <v>600</v>
      </c>
      <c r="I3661" t="s">
        <v>601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hidden="1">
      <c r="A3662" t="s">
        <v>18813</v>
      </c>
      <c r="B3662" t="s">
        <v>1677</v>
      </c>
      <c r="C3662" t="s">
        <v>1614</v>
      </c>
      <c r="D3662" t="s">
        <v>1324</v>
      </c>
      <c r="E3662" t="s">
        <v>1678</v>
      </c>
      <c r="F3662" t="s">
        <v>598</v>
      </c>
      <c r="G3662" t="s">
        <v>599</v>
      </c>
      <c r="H3662" t="s">
        <v>600</v>
      </c>
      <c r="I3662" t="s">
        <v>601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hidden="1">
      <c r="A3663" t="s">
        <v>18813</v>
      </c>
      <c r="B3663" t="s">
        <v>1679</v>
      </c>
      <c r="C3663" t="s">
        <v>1614</v>
      </c>
      <c r="D3663" t="s">
        <v>1324</v>
      </c>
      <c r="E3663" t="s">
        <v>1058</v>
      </c>
      <c r="F3663" t="s">
        <v>598</v>
      </c>
      <c r="G3663" t="s">
        <v>599</v>
      </c>
      <c r="H3663" t="s">
        <v>600</v>
      </c>
      <c r="I3663" t="s">
        <v>601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hidden="1">
      <c r="A3664" t="s">
        <v>18813</v>
      </c>
      <c r="B3664" t="s">
        <v>1680</v>
      </c>
      <c r="C3664" t="s">
        <v>1614</v>
      </c>
      <c r="D3664" t="s">
        <v>1324</v>
      </c>
      <c r="E3664" t="s">
        <v>1681</v>
      </c>
      <c r="F3664" t="s">
        <v>598</v>
      </c>
      <c r="G3664" t="s">
        <v>599</v>
      </c>
      <c r="H3664" t="s">
        <v>600</v>
      </c>
      <c r="I3664" t="s">
        <v>601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hidden="1">
      <c r="A3665" t="s">
        <v>18813</v>
      </c>
      <c r="B3665" t="s">
        <v>1682</v>
      </c>
      <c r="C3665" t="s">
        <v>1614</v>
      </c>
      <c r="D3665" t="s">
        <v>1332</v>
      </c>
      <c r="E3665" t="s">
        <v>1018</v>
      </c>
      <c r="F3665" t="s">
        <v>598</v>
      </c>
      <c r="G3665" t="s">
        <v>599</v>
      </c>
      <c r="H3665" t="s">
        <v>600</v>
      </c>
      <c r="I3665" t="s">
        <v>601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hidden="1">
      <c r="A3666" t="s">
        <v>18813</v>
      </c>
      <c r="B3666" t="s">
        <v>1683</v>
      </c>
      <c r="C3666" t="s">
        <v>1614</v>
      </c>
      <c r="D3666" t="s">
        <v>1332</v>
      </c>
      <c r="E3666" t="s">
        <v>1684</v>
      </c>
      <c r="F3666" t="s">
        <v>598</v>
      </c>
      <c r="G3666" t="s">
        <v>599</v>
      </c>
      <c r="H3666" t="s">
        <v>600</v>
      </c>
      <c r="I3666" t="s">
        <v>601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hidden="1">
      <c r="A3667" t="s">
        <v>18813</v>
      </c>
      <c r="B3667" t="s">
        <v>1685</v>
      </c>
      <c r="C3667" t="s">
        <v>1614</v>
      </c>
      <c r="D3667" t="s">
        <v>1332</v>
      </c>
      <c r="E3667" t="s">
        <v>954</v>
      </c>
      <c r="F3667" t="s">
        <v>598</v>
      </c>
      <c r="G3667" t="s">
        <v>599</v>
      </c>
      <c r="H3667" t="s">
        <v>600</v>
      </c>
      <c r="I3667" t="s">
        <v>601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hidden="1">
      <c r="A3668" t="s">
        <v>18813</v>
      </c>
      <c r="B3668" t="s">
        <v>1688</v>
      </c>
      <c r="C3668" t="s">
        <v>1614</v>
      </c>
      <c r="D3668" t="s">
        <v>1332</v>
      </c>
      <c r="E3668" t="s">
        <v>1423</v>
      </c>
      <c r="F3668" t="s">
        <v>598</v>
      </c>
      <c r="G3668" t="s">
        <v>599</v>
      </c>
      <c r="H3668" t="s">
        <v>600</v>
      </c>
      <c r="I3668" t="s">
        <v>601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hidden="1">
      <c r="A3669" t="s">
        <v>18813</v>
      </c>
      <c r="B3669" t="s">
        <v>1689</v>
      </c>
      <c r="C3669" t="s">
        <v>1614</v>
      </c>
      <c r="D3669" t="s">
        <v>1332</v>
      </c>
      <c r="E3669" t="s">
        <v>1343</v>
      </c>
      <c r="F3669" t="s">
        <v>598</v>
      </c>
      <c r="G3669" t="s">
        <v>599</v>
      </c>
      <c r="H3669" t="s">
        <v>600</v>
      </c>
      <c r="I3669" t="s">
        <v>601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hidden="1">
      <c r="A3670" t="s">
        <v>18813</v>
      </c>
      <c r="B3670" t="s">
        <v>1690</v>
      </c>
      <c r="C3670" t="s">
        <v>1614</v>
      </c>
      <c r="D3670" t="s">
        <v>1332</v>
      </c>
      <c r="E3670" t="s">
        <v>1638</v>
      </c>
      <c r="F3670" t="s">
        <v>598</v>
      </c>
      <c r="G3670" t="s">
        <v>599</v>
      </c>
      <c r="H3670" t="s">
        <v>600</v>
      </c>
      <c r="I3670" t="s">
        <v>601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hidden="1">
      <c r="A3671" t="s">
        <v>18813</v>
      </c>
      <c r="B3671" t="s">
        <v>1691</v>
      </c>
      <c r="C3671" t="s">
        <v>1614</v>
      </c>
      <c r="D3671" t="s">
        <v>1332</v>
      </c>
      <c r="E3671" t="s">
        <v>1198</v>
      </c>
      <c r="F3671" t="s">
        <v>598</v>
      </c>
      <c r="G3671" t="s">
        <v>599</v>
      </c>
      <c r="H3671" t="s">
        <v>600</v>
      </c>
      <c r="I3671" t="s">
        <v>601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hidden="1">
      <c r="A3672" t="s">
        <v>18813</v>
      </c>
      <c r="B3672" t="s">
        <v>1692</v>
      </c>
      <c r="C3672" t="s">
        <v>1614</v>
      </c>
      <c r="D3672" t="s">
        <v>1332</v>
      </c>
      <c r="E3672" t="s">
        <v>1645</v>
      </c>
      <c r="F3672" t="s">
        <v>598</v>
      </c>
      <c r="G3672" t="s">
        <v>599</v>
      </c>
      <c r="H3672" t="s">
        <v>600</v>
      </c>
      <c r="I3672" t="s">
        <v>601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hidden="1">
      <c r="A3673" t="s">
        <v>18813</v>
      </c>
      <c r="B3673" t="s">
        <v>1693</v>
      </c>
      <c r="C3673" t="s">
        <v>1614</v>
      </c>
      <c r="D3673" t="s">
        <v>1332</v>
      </c>
      <c r="E3673" t="s">
        <v>1647</v>
      </c>
      <c r="F3673" t="s">
        <v>598</v>
      </c>
      <c r="G3673" t="s">
        <v>599</v>
      </c>
      <c r="H3673" t="s">
        <v>600</v>
      </c>
      <c r="I3673" t="s">
        <v>601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hidden="1">
      <c r="A3674" t="s">
        <v>18813</v>
      </c>
      <c r="B3674" t="s">
        <v>1694</v>
      </c>
      <c r="C3674" t="s">
        <v>1614</v>
      </c>
      <c r="D3674" t="s">
        <v>1332</v>
      </c>
      <c r="E3674" t="s">
        <v>1649</v>
      </c>
      <c r="F3674" t="s">
        <v>598</v>
      </c>
      <c r="G3674" t="s">
        <v>599</v>
      </c>
      <c r="H3674" t="s">
        <v>600</v>
      </c>
      <c r="I3674" t="s">
        <v>601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hidden="1">
      <c r="A3675" t="s">
        <v>18813</v>
      </c>
      <c r="B3675" t="s">
        <v>1695</v>
      </c>
      <c r="C3675" t="s">
        <v>1614</v>
      </c>
      <c r="D3675" t="s">
        <v>1332</v>
      </c>
      <c r="E3675" t="s">
        <v>1028</v>
      </c>
      <c r="F3675" t="s">
        <v>598</v>
      </c>
      <c r="G3675" t="s">
        <v>599</v>
      </c>
      <c r="H3675" t="s">
        <v>600</v>
      </c>
      <c r="I3675" t="s">
        <v>601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hidden="1">
      <c r="A3676" t="s">
        <v>18813</v>
      </c>
      <c r="B3676" t="s">
        <v>1696</v>
      </c>
      <c r="C3676" t="s">
        <v>1614</v>
      </c>
      <c r="D3676" t="s">
        <v>1332</v>
      </c>
      <c r="E3676" t="s">
        <v>1030</v>
      </c>
      <c r="F3676" t="s">
        <v>598</v>
      </c>
      <c r="G3676" t="s">
        <v>599</v>
      </c>
      <c r="H3676" t="s">
        <v>600</v>
      </c>
      <c r="I3676" t="s">
        <v>601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hidden="1">
      <c r="A3677" t="s">
        <v>18813</v>
      </c>
      <c r="B3677" t="s">
        <v>1697</v>
      </c>
      <c r="C3677" t="s">
        <v>1614</v>
      </c>
      <c r="D3677" t="s">
        <v>1332</v>
      </c>
      <c r="E3677" t="s">
        <v>630</v>
      </c>
      <c r="F3677" t="s">
        <v>598</v>
      </c>
      <c r="G3677" t="s">
        <v>599</v>
      </c>
      <c r="H3677" t="s">
        <v>600</v>
      </c>
      <c r="I3677" t="s">
        <v>601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hidden="1">
      <c r="A3678" t="s">
        <v>18813</v>
      </c>
      <c r="B3678" t="s">
        <v>1698</v>
      </c>
      <c r="C3678" t="s">
        <v>1614</v>
      </c>
      <c r="D3678" t="s">
        <v>1332</v>
      </c>
      <c r="E3678" t="s">
        <v>1033</v>
      </c>
      <c r="F3678" t="s">
        <v>598</v>
      </c>
      <c r="G3678" t="s">
        <v>599</v>
      </c>
      <c r="H3678" t="s">
        <v>600</v>
      </c>
      <c r="I3678" t="s">
        <v>601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hidden="1">
      <c r="A3679" t="s">
        <v>18813</v>
      </c>
      <c r="B3679" t="s">
        <v>1699</v>
      </c>
      <c r="C3679" t="s">
        <v>1614</v>
      </c>
      <c r="D3679" t="s">
        <v>1332</v>
      </c>
      <c r="E3679" t="s">
        <v>1664</v>
      </c>
      <c r="F3679" t="s">
        <v>598</v>
      </c>
      <c r="G3679" t="s">
        <v>599</v>
      </c>
      <c r="H3679" t="s">
        <v>600</v>
      </c>
      <c r="I3679" t="s">
        <v>601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hidden="1">
      <c r="A3680" t="s">
        <v>18813</v>
      </c>
      <c r="B3680" t="s">
        <v>1700</v>
      </c>
      <c r="C3680" t="s">
        <v>1614</v>
      </c>
      <c r="D3680" t="s">
        <v>1332</v>
      </c>
      <c r="E3680" t="s">
        <v>1666</v>
      </c>
      <c r="F3680" t="s">
        <v>598</v>
      </c>
      <c r="G3680" t="s">
        <v>599</v>
      </c>
      <c r="H3680" t="s">
        <v>600</v>
      </c>
      <c r="I3680" t="s">
        <v>601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hidden="1">
      <c r="A3681" t="s">
        <v>18813</v>
      </c>
      <c r="B3681" t="s">
        <v>1701</v>
      </c>
      <c r="C3681" t="s">
        <v>1614</v>
      </c>
      <c r="D3681" t="s">
        <v>1332</v>
      </c>
      <c r="E3681" t="s">
        <v>1211</v>
      </c>
      <c r="F3681" t="s">
        <v>598</v>
      </c>
      <c r="G3681" t="s">
        <v>599</v>
      </c>
      <c r="H3681" t="s">
        <v>600</v>
      </c>
      <c r="I3681" t="s">
        <v>601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hidden="1">
      <c r="A3682" t="s">
        <v>18813</v>
      </c>
      <c r="B3682" t="s">
        <v>1702</v>
      </c>
      <c r="C3682" t="s">
        <v>1614</v>
      </c>
      <c r="D3682" t="s">
        <v>1332</v>
      </c>
      <c r="E3682" t="s">
        <v>1670</v>
      </c>
      <c r="F3682" t="s">
        <v>598</v>
      </c>
      <c r="G3682" t="s">
        <v>599</v>
      </c>
      <c r="H3682" t="s">
        <v>600</v>
      </c>
      <c r="I3682" t="s">
        <v>601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hidden="1">
      <c r="A3683" t="s">
        <v>18813</v>
      </c>
      <c r="B3683" t="s">
        <v>1703</v>
      </c>
      <c r="C3683" t="s">
        <v>1614</v>
      </c>
      <c r="D3683" t="s">
        <v>1332</v>
      </c>
      <c r="E3683" t="s">
        <v>1672</v>
      </c>
      <c r="F3683" t="s">
        <v>598</v>
      </c>
      <c r="G3683" t="s">
        <v>599</v>
      </c>
      <c r="H3683" t="s">
        <v>600</v>
      </c>
      <c r="I3683" t="s">
        <v>601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hidden="1">
      <c r="A3684" t="s">
        <v>18813</v>
      </c>
      <c r="B3684" t="s">
        <v>1704</v>
      </c>
      <c r="C3684" t="s">
        <v>1614</v>
      </c>
      <c r="D3684" t="s">
        <v>1332</v>
      </c>
      <c r="E3684" t="s">
        <v>1676</v>
      </c>
      <c r="F3684" t="s">
        <v>598</v>
      </c>
      <c r="G3684" t="s">
        <v>599</v>
      </c>
      <c r="H3684" t="s">
        <v>600</v>
      </c>
      <c r="I3684" t="s">
        <v>601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hidden="1">
      <c r="A3685" t="s">
        <v>18813</v>
      </c>
      <c r="B3685" t="s">
        <v>1705</v>
      </c>
      <c r="C3685" t="s">
        <v>1614</v>
      </c>
      <c r="D3685" t="s">
        <v>1332</v>
      </c>
      <c r="E3685" t="s">
        <v>1678</v>
      </c>
      <c r="F3685" t="s">
        <v>598</v>
      </c>
      <c r="G3685" t="s">
        <v>599</v>
      </c>
      <c r="H3685" t="s">
        <v>600</v>
      </c>
      <c r="I3685" t="s">
        <v>601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hidden="1">
      <c r="A3686" t="s">
        <v>18813</v>
      </c>
      <c r="B3686" t="s">
        <v>1706</v>
      </c>
      <c r="C3686" t="s">
        <v>1614</v>
      </c>
      <c r="D3686" t="s">
        <v>1332</v>
      </c>
      <c r="E3686" t="s">
        <v>1058</v>
      </c>
      <c r="F3686" t="s">
        <v>598</v>
      </c>
      <c r="G3686" t="s">
        <v>599</v>
      </c>
      <c r="H3686" t="s">
        <v>600</v>
      </c>
      <c r="I3686" t="s">
        <v>601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hidden="1">
      <c r="A3687" t="s">
        <v>18813</v>
      </c>
      <c r="B3687" t="s">
        <v>1707</v>
      </c>
      <c r="C3687" t="s">
        <v>1614</v>
      </c>
      <c r="D3687" t="s">
        <v>1332</v>
      </c>
      <c r="E3687" t="s">
        <v>1681</v>
      </c>
      <c r="F3687" t="s">
        <v>598</v>
      </c>
      <c r="G3687" t="s">
        <v>599</v>
      </c>
      <c r="H3687" t="s">
        <v>600</v>
      </c>
      <c r="I3687" t="s">
        <v>601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hidden="1">
      <c r="A3688" t="s">
        <v>18813</v>
      </c>
      <c r="B3688" t="s">
        <v>1713</v>
      </c>
      <c r="C3688" t="s">
        <v>1614</v>
      </c>
      <c r="D3688" t="s">
        <v>1435</v>
      </c>
      <c r="E3688" t="s">
        <v>973</v>
      </c>
      <c r="F3688" t="s">
        <v>598</v>
      </c>
      <c r="G3688" t="s">
        <v>599</v>
      </c>
      <c r="H3688" t="s">
        <v>600</v>
      </c>
      <c r="I3688" t="s">
        <v>601</v>
      </c>
      <c r="J3688">
        <v>0.1002</v>
      </c>
      <c r="K3688">
        <v>0.10349999999999999</v>
      </c>
      <c r="L3688">
        <v>0.107</v>
      </c>
      <c r="M3688">
        <v>0.1106</v>
      </c>
      <c r="N3688">
        <v>0.1144</v>
      </c>
      <c r="O3688">
        <v>0.11840000000000001</v>
      </c>
      <c r="P3688">
        <v>0.12239999999999999</v>
      </c>
      <c r="Q3688">
        <v>0.1265</v>
      </c>
      <c r="R3688">
        <v>0.128</v>
      </c>
      <c r="S3688">
        <v>0.12959999999999999</v>
      </c>
      <c r="T3688">
        <v>0.13109999999999999</v>
      </c>
      <c r="U3688">
        <v>0.1326</v>
      </c>
      <c r="V3688">
        <v>0.13400000000000001</v>
      </c>
      <c r="W3688">
        <v>0.13550000000000001</v>
      </c>
      <c r="X3688">
        <v>0.1368</v>
      </c>
      <c r="Y3688">
        <v>0.1386</v>
      </c>
    </row>
    <row r="3689" spans="1:25" hidden="1">
      <c r="A3689" t="s">
        <v>18813</v>
      </c>
      <c r="B3689" t="s">
        <v>1717</v>
      </c>
      <c r="C3689" t="s">
        <v>1614</v>
      </c>
      <c r="D3689" t="s">
        <v>1354</v>
      </c>
      <c r="E3689" t="s">
        <v>1718</v>
      </c>
      <c r="F3689" t="s">
        <v>598</v>
      </c>
      <c r="G3689" t="s">
        <v>599</v>
      </c>
      <c r="H3689" t="s">
        <v>600</v>
      </c>
      <c r="I3689" t="s">
        <v>601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hidden="1">
      <c r="A3690" t="s">
        <v>18813</v>
      </c>
      <c r="B3690" t="s">
        <v>1720</v>
      </c>
      <c r="C3690" t="s">
        <v>1614</v>
      </c>
      <c r="D3690" t="s">
        <v>1365</v>
      </c>
      <c r="E3690" t="s">
        <v>1393</v>
      </c>
      <c r="F3690" t="s">
        <v>598</v>
      </c>
      <c r="G3690" t="s">
        <v>599</v>
      </c>
      <c r="H3690" t="s">
        <v>600</v>
      </c>
      <c r="I3690" t="s">
        <v>601</v>
      </c>
      <c r="J3690">
        <v>3.0999999999999999E-3</v>
      </c>
      <c r="K3690">
        <v>3.2000000000000002E-3</v>
      </c>
      <c r="L3690">
        <v>3.3E-3</v>
      </c>
      <c r="M3690">
        <v>3.3999999999999998E-3</v>
      </c>
      <c r="N3690">
        <v>3.5000000000000001E-3</v>
      </c>
      <c r="O3690">
        <v>3.5999999999999999E-3</v>
      </c>
      <c r="P3690">
        <v>3.7000000000000002E-3</v>
      </c>
      <c r="Q3690">
        <v>3.8E-3</v>
      </c>
      <c r="R3690">
        <v>3.8E-3</v>
      </c>
      <c r="S3690">
        <v>3.8999999999999998E-3</v>
      </c>
      <c r="T3690">
        <v>3.8999999999999998E-3</v>
      </c>
      <c r="U3690">
        <v>3.8999999999999998E-3</v>
      </c>
      <c r="V3690">
        <v>4.0000000000000001E-3</v>
      </c>
      <c r="W3690">
        <v>4.0000000000000001E-3</v>
      </c>
      <c r="X3690">
        <v>4.1000000000000003E-3</v>
      </c>
      <c r="Y3690">
        <v>4.1000000000000003E-3</v>
      </c>
    </row>
    <row r="3691" spans="1:25" hidden="1">
      <c r="A3691" t="s">
        <v>18813</v>
      </c>
      <c r="B3691" t="s">
        <v>1721</v>
      </c>
      <c r="C3691" t="s">
        <v>1614</v>
      </c>
      <c r="D3691" t="s">
        <v>1722</v>
      </c>
      <c r="E3691" t="s">
        <v>973</v>
      </c>
      <c r="F3691" t="s">
        <v>598</v>
      </c>
      <c r="G3691" t="s">
        <v>599</v>
      </c>
      <c r="H3691" t="s">
        <v>600</v>
      </c>
      <c r="I3691" t="s">
        <v>601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hidden="1">
      <c r="A3692" t="s">
        <v>18813</v>
      </c>
      <c r="B3692" t="s">
        <v>1745</v>
      </c>
      <c r="C3692" t="s">
        <v>1614</v>
      </c>
      <c r="D3692" t="s">
        <v>1722</v>
      </c>
      <c r="E3692" t="s">
        <v>1615</v>
      </c>
      <c r="F3692" t="s">
        <v>598</v>
      </c>
      <c r="G3692" t="s">
        <v>599</v>
      </c>
      <c r="H3692" t="s">
        <v>600</v>
      </c>
      <c r="I3692" t="s">
        <v>601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hidden="1">
      <c r="A3693" t="s">
        <v>18813</v>
      </c>
      <c r="B3693" t="s">
        <v>1746</v>
      </c>
      <c r="C3693" t="s">
        <v>1614</v>
      </c>
      <c r="D3693" t="s">
        <v>1722</v>
      </c>
      <c r="E3693" t="s">
        <v>954</v>
      </c>
      <c r="F3693" t="s">
        <v>598</v>
      </c>
      <c r="G3693" t="s">
        <v>599</v>
      </c>
      <c r="H3693" t="s">
        <v>600</v>
      </c>
      <c r="I3693" t="s">
        <v>601</v>
      </c>
      <c r="J3693">
        <v>9.9000000000000008E-3</v>
      </c>
      <c r="K3693">
        <v>1.0200000000000001E-2</v>
      </c>
      <c r="L3693">
        <v>1.06E-2</v>
      </c>
      <c r="M3693">
        <v>1.09E-2</v>
      </c>
      <c r="N3693">
        <v>1.14E-2</v>
      </c>
      <c r="O3693">
        <v>1.18E-2</v>
      </c>
      <c r="P3693">
        <v>1.2200000000000001E-2</v>
      </c>
      <c r="Q3693">
        <v>1.26E-2</v>
      </c>
      <c r="R3693">
        <v>1.2800000000000001E-2</v>
      </c>
      <c r="S3693">
        <v>1.2999999999999999E-2</v>
      </c>
      <c r="T3693">
        <v>1.2999999999999999E-2</v>
      </c>
      <c r="U3693">
        <v>1.32E-2</v>
      </c>
      <c r="V3693">
        <v>1.3299999999999999E-2</v>
      </c>
      <c r="W3693">
        <v>1.35E-2</v>
      </c>
      <c r="X3693">
        <v>1.37E-2</v>
      </c>
      <c r="Y3693">
        <v>1.38E-2</v>
      </c>
    </row>
    <row r="3694" spans="1:25" hidden="1">
      <c r="A3694" t="s">
        <v>18813</v>
      </c>
      <c r="B3694" t="s">
        <v>1766</v>
      </c>
      <c r="C3694" t="s">
        <v>1614</v>
      </c>
      <c r="D3694" t="s">
        <v>1722</v>
      </c>
      <c r="E3694" t="s">
        <v>1378</v>
      </c>
      <c r="F3694" t="s">
        <v>598</v>
      </c>
      <c r="G3694" t="s">
        <v>599</v>
      </c>
      <c r="H3694" t="s">
        <v>600</v>
      </c>
      <c r="I3694" t="s">
        <v>601</v>
      </c>
      <c r="J3694">
        <v>1.6999999999999999E-3</v>
      </c>
      <c r="K3694">
        <v>1.8E-3</v>
      </c>
      <c r="L3694">
        <v>1.8E-3</v>
      </c>
      <c r="M3694">
        <v>1.9E-3</v>
      </c>
      <c r="N3694">
        <v>2E-3</v>
      </c>
      <c r="O3694">
        <v>2E-3</v>
      </c>
      <c r="P3694">
        <v>2.0999999999999999E-3</v>
      </c>
      <c r="Q3694">
        <v>2.2000000000000001E-3</v>
      </c>
      <c r="R3694">
        <v>2.2000000000000001E-3</v>
      </c>
      <c r="S3694">
        <v>2.2000000000000001E-3</v>
      </c>
      <c r="T3694">
        <v>2.3E-3</v>
      </c>
      <c r="U3694">
        <v>2.3E-3</v>
      </c>
      <c r="V3694">
        <v>2.3E-3</v>
      </c>
      <c r="W3694">
        <v>2.3E-3</v>
      </c>
      <c r="X3694">
        <v>2.3999999999999998E-3</v>
      </c>
      <c r="Y3694">
        <v>2.3999999999999998E-3</v>
      </c>
    </row>
    <row r="3695" spans="1:25" hidden="1">
      <c r="A3695" t="s">
        <v>18813</v>
      </c>
      <c r="B3695" t="s">
        <v>1771</v>
      </c>
      <c r="C3695" t="s">
        <v>1614</v>
      </c>
      <c r="D3695" t="s">
        <v>1768</v>
      </c>
      <c r="E3695" t="s">
        <v>1772</v>
      </c>
      <c r="F3695" t="s">
        <v>598</v>
      </c>
      <c r="G3695" t="s">
        <v>599</v>
      </c>
      <c r="H3695" t="s">
        <v>600</v>
      </c>
      <c r="I3695" t="s">
        <v>601</v>
      </c>
      <c r="J3695">
        <v>4.65E-2</v>
      </c>
      <c r="K3695">
        <v>4.7800000000000002E-2</v>
      </c>
      <c r="L3695">
        <v>4.9200000000000001E-2</v>
      </c>
      <c r="M3695">
        <v>5.0799999999999998E-2</v>
      </c>
      <c r="N3695">
        <v>5.21E-2</v>
      </c>
      <c r="O3695">
        <v>5.3699999999999998E-2</v>
      </c>
      <c r="P3695">
        <v>5.5100000000000003E-2</v>
      </c>
      <c r="Q3695">
        <v>5.6599999999999998E-2</v>
      </c>
      <c r="R3695">
        <v>5.7099999999999998E-2</v>
      </c>
      <c r="S3695">
        <v>5.7599999999999998E-2</v>
      </c>
      <c r="T3695">
        <v>5.8299999999999998E-2</v>
      </c>
      <c r="U3695">
        <v>5.8700000000000002E-2</v>
      </c>
      <c r="V3695">
        <v>5.9200000000000003E-2</v>
      </c>
      <c r="W3695">
        <v>5.9700000000000003E-2</v>
      </c>
      <c r="X3695">
        <v>6.0199999999999997E-2</v>
      </c>
      <c r="Y3695">
        <v>6.08E-2</v>
      </c>
    </row>
    <row r="3696" spans="1:25" hidden="1">
      <c r="A3696" t="s">
        <v>18813</v>
      </c>
      <c r="B3696" t="s">
        <v>1775</v>
      </c>
      <c r="C3696" t="s">
        <v>1614</v>
      </c>
      <c r="D3696" t="s">
        <v>1776</v>
      </c>
      <c r="E3696" t="s">
        <v>1777</v>
      </c>
      <c r="F3696" t="s">
        <v>598</v>
      </c>
      <c r="G3696" t="s">
        <v>599</v>
      </c>
      <c r="H3696" t="s">
        <v>600</v>
      </c>
      <c r="I3696" t="s">
        <v>601</v>
      </c>
      <c r="J3696">
        <v>2.3E-3</v>
      </c>
      <c r="K3696">
        <v>2.3999999999999998E-3</v>
      </c>
      <c r="L3696">
        <v>2.3999999999999998E-3</v>
      </c>
      <c r="M3696">
        <v>2.5000000000000001E-3</v>
      </c>
      <c r="N3696">
        <v>2.5999999999999999E-3</v>
      </c>
      <c r="O3696">
        <v>2.7000000000000001E-3</v>
      </c>
      <c r="P3696">
        <v>2.7000000000000001E-3</v>
      </c>
      <c r="Q3696">
        <v>2.8E-3</v>
      </c>
      <c r="R3696">
        <v>2.8E-3</v>
      </c>
      <c r="S3696">
        <v>2.8999999999999998E-3</v>
      </c>
      <c r="T3696">
        <v>2.8999999999999998E-3</v>
      </c>
      <c r="U3696">
        <v>2.8999999999999998E-3</v>
      </c>
      <c r="V3696">
        <v>2.8999999999999998E-3</v>
      </c>
      <c r="W3696">
        <v>2.8999999999999998E-3</v>
      </c>
      <c r="X3696">
        <v>2.8999999999999998E-3</v>
      </c>
      <c r="Y3696">
        <v>3.0000000000000001E-3</v>
      </c>
    </row>
    <row r="3697" spans="1:25" hidden="1">
      <c r="A3697" t="s">
        <v>18813</v>
      </c>
      <c r="B3697" t="s">
        <v>1780</v>
      </c>
      <c r="C3697" t="s">
        <v>1614</v>
      </c>
      <c r="D3697" t="s">
        <v>1781</v>
      </c>
      <c r="E3697" t="s">
        <v>1716</v>
      </c>
      <c r="F3697" t="s">
        <v>598</v>
      </c>
      <c r="G3697" t="s">
        <v>599</v>
      </c>
      <c r="H3697" t="s">
        <v>600</v>
      </c>
      <c r="I3697" t="s">
        <v>601</v>
      </c>
      <c r="J3697">
        <v>0.23930000000000001</v>
      </c>
      <c r="K3697">
        <v>0.24610000000000001</v>
      </c>
      <c r="L3697">
        <v>0.25340000000000001</v>
      </c>
      <c r="M3697">
        <v>0.2611</v>
      </c>
      <c r="N3697">
        <v>0.26879999999999998</v>
      </c>
      <c r="O3697">
        <v>0.2767</v>
      </c>
      <c r="P3697">
        <v>0.28460000000000002</v>
      </c>
      <c r="Q3697">
        <v>0.29249999999999998</v>
      </c>
      <c r="R3697">
        <v>0.29520000000000002</v>
      </c>
      <c r="S3697">
        <v>0.29809999999999998</v>
      </c>
      <c r="T3697">
        <v>0.30059999999999998</v>
      </c>
      <c r="U3697">
        <v>0.3034</v>
      </c>
      <c r="V3697">
        <v>0.30599999999999999</v>
      </c>
      <c r="W3697">
        <v>0.30869999999999997</v>
      </c>
      <c r="X3697">
        <v>0.31109999999999999</v>
      </c>
      <c r="Y3697">
        <v>0.314</v>
      </c>
    </row>
    <row r="3698" spans="1:25" hidden="1">
      <c r="A3698" t="s">
        <v>18813</v>
      </c>
      <c r="B3698" t="s">
        <v>1811</v>
      </c>
      <c r="C3698" t="s">
        <v>1614</v>
      </c>
      <c r="D3698" t="s">
        <v>1812</v>
      </c>
      <c r="E3698" t="s">
        <v>954</v>
      </c>
      <c r="F3698" t="s">
        <v>598</v>
      </c>
      <c r="G3698" t="s">
        <v>599</v>
      </c>
      <c r="H3698" t="s">
        <v>600</v>
      </c>
      <c r="I3698" t="s">
        <v>601</v>
      </c>
      <c r="J3698">
        <v>5.9999999999999995E-4</v>
      </c>
      <c r="K3698">
        <v>5.9999999999999995E-4</v>
      </c>
      <c r="L3698">
        <v>6.9999999999999999E-4</v>
      </c>
      <c r="M3698">
        <v>6.9999999999999999E-4</v>
      </c>
      <c r="N3698">
        <v>6.9999999999999999E-4</v>
      </c>
      <c r="O3698">
        <v>6.9999999999999999E-4</v>
      </c>
      <c r="P3698">
        <v>6.9999999999999999E-4</v>
      </c>
      <c r="Q3698">
        <v>8.0000000000000004E-4</v>
      </c>
      <c r="R3698">
        <v>8.0000000000000004E-4</v>
      </c>
      <c r="S3698">
        <v>8.0000000000000004E-4</v>
      </c>
      <c r="T3698">
        <v>8.0000000000000004E-4</v>
      </c>
      <c r="U3698">
        <v>8.0000000000000004E-4</v>
      </c>
      <c r="V3698">
        <v>8.0000000000000004E-4</v>
      </c>
      <c r="W3698">
        <v>8.0000000000000004E-4</v>
      </c>
      <c r="X3698">
        <v>8.0000000000000004E-4</v>
      </c>
      <c r="Y3698">
        <v>8.0000000000000004E-4</v>
      </c>
    </row>
    <row r="3699" spans="1:25" hidden="1">
      <c r="A3699" t="s">
        <v>18813</v>
      </c>
      <c r="B3699" t="s">
        <v>1814</v>
      </c>
      <c r="C3699" t="s">
        <v>1614</v>
      </c>
      <c r="D3699" t="s">
        <v>1812</v>
      </c>
      <c r="E3699" t="s">
        <v>1081</v>
      </c>
      <c r="F3699" t="s">
        <v>598</v>
      </c>
      <c r="G3699" t="s">
        <v>599</v>
      </c>
      <c r="H3699" t="s">
        <v>600</v>
      </c>
      <c r="I3699" t="s">
        <v>601</v>
      </c>
      <c r="J3699">
        <v>3.0999999999999999E-3</v>
      </c>
      <c r="K3699">
        <v>3.2000000000000002E-3</v>
      </c>
      <c r="L3699">
        <v>3.3999999999999998E-3</v>
      </c>
      <c r="M3699">
        <v>3.3999999999999998E-3</v>
      </c>
      <c r="N3699">
        <v>3.5000000000000001E-3</v>
      </c>
      <c r="O3699">
        <v>3.8E-3</v>
      </c>
      <c r="P3699">
        <v>3.8999999999999998E-3</v>
      </c>
      <c r="Q3699">
        <v>4.0000000000000001E-3</v>
      </c>
      <c r="R3699">
        <v>4.1000000000000003E-3</v>
      </c>
      <c r="S3699">
        <v>4.1000000000000003E-3</v>
      </c>
      <c r="T3699">
        <v>4.1000000000000003E-3</v>
      </c>
      <c r="U3699">
        <v>4.1000000000000003E-3</v>
      </c>
      <c r="V3699">
        <v>4.3E-3</v>
      </c>
      <c r="W3699">
        <v>4.3E-3</v>
      </c>
      <c r="X3699">
        <v>4.3E-3</v>
      </c>
      <c r="Y3699">
        <v>4.4000000000000003E-3</v>
      </c>
    </row>
    <row r="3700" spans="1:25" hidden="1">
      <c r="A3700" t="s">
        <v>18813</v>
      </c>
      <c r="B3700" t="s">
        <v>1818</v>
      </c>
      <c r="C3700" t="s">
        <v>1614</v>
      </c>
      <c r="D3700" t="s">
        <v>648</v>
      </c>
      <c r="E3700" t="s">
        <v>973</v>
      </c>
      <c r="F3700" t="s">
        <v>598</v>
      </c>
      <c r="G3700" t="s">
        <v>599</v>
      </c>
      <c r="H3700" t="s">
        <v>600</v>
      </c>
      <c r="I3700" t="s">
        <v>601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hidden="1">
      <c r="A3701" t="s">
        <v>18813</v>
      </c>
      <c r="B3701" t="s">
        <v>1825</v>
      </c>
      <c r="C3701" t="s">
        <v>1614</v>
      </c>
      <c r="D3701" t="s">
        <v>648</v>
      </c>
      <c r="E3701" t="s">
        <v>954</v>
      </c>
      <c r="F3701" t="s">
        <v>598</v>
      </c>
      <c r="G3701" t="s">
        <v>599</v>
      </c>
      <c r="H3701" t="s">
        <v>600</v>
      </c>
      <c r="I3701" t="s">
        <v>601</v>
      </c>
      <c r="J3701">
        <v>3.4099999999999998E-2</v>
      </c>
      <c r="K3701">
        <v>3.5400000000000001E-2</v>
      </c>
      <c r="L3701">
        <v>3.6499999999999998E-2</v>
      </c>
      <c r="M3701">
        <v>3.7999999999999999E-2</v>
      </c>
      <c r="N3701">
        <v>3.95E-2</v>
      </c>
      <c r="O3701">
        <v>4.1000000000000002E-2</v>
      </c>
      <c r="P3701">
        <v>4.2299999999999997E-2</v>
      </c>
      <c r="Q3701">
        <v>4.3900000000000002E-2</v>
      </c>
      <c r="R3701">
        <v>4.4400000000000002E-2</v>
      </c>
      <c r="S3701">
        <v>4.5100000000000001E-2</v>
      </c>
      <c r="T3701">
        <v>4.58E-2</v>
      </c>
      <c r="U3701">
        <v>4.6199999999999998E-2</v>
      </c>
      <c r="V3701">
        <v>4.6800000000000001E-2</v>
      </c>
      <c r="W3701">
        <v>4.7500000000000001E-2</v>
      </c>
      <c r="X3701">
        <v>4.8000000000000001E-2</v>
      </c>
      <c r="Y3701">
        <v>4.8599999999999997E-2</v>
      </c>
    </row>
    <row r="3702" spans="1:25" hidden="1">
      <c r="A3702" t="s">
        <v>18813</v>
      </c>
      <c r="B3702" t="s">
        <v>1832</v>
      </c>
      <c r="C3702" t="s">
        <v>1614</v>
      </c>
      <c r="D3702" t="s">
        <v>648</v>
      </c>
      <c r="E3702" t="s">
        <v>1393</v>
      </c>
      <c r="F3702" t="s">
        <v>598</v>
      </c>
      <c r="G3702" t="s">
        <v>599</v>
      </c>
      <c r="H3702" t="s">
        <v>600</v>
      </c>
      <c r="I3702" t="s">
        <v>601</v>
      </c>
      <c r="J3702">
        <v>4.0000000000000002E-4</v>
      </c>
      <c r="K3702">
        <v>5.0000000000000001E-4</v>
      </c>
      <c r="L3702">
        <v>5.0000000000000001E-4</v>
      </c>
      <c r="M3702">
        <v>5.0000000000000001E-4</v>
      </c>
      <c r="N3702">
        <v>5.0000000000000001E-4</v>
      </c>
      <c r="O3702">
        <v>5.0000000000000001E-4</v>
      </c>
      <c r="P3702">
        <v>5.0000000000000001E-4</v>
      </c>
      <c r="Q3702">
        <v>5.0000000000000001E-4</v>
      </c>
      <c r="R3702">
        <v>5.0000000000000001E-4</v>
      </c>
      <c r="S3702">
        <v>5.0000000000000001E-4</v>
      </c>
      <c r="T3702">
        <v>5.0000000000000001E-4</v>
      </c>
      <c r="U3702">
        <v>5.0000000000000001E-4</v>
      </c>
      <c r="V3702">
        <v>5.0000000000000001E-4</v>
      </c>
      <c r="W3702">
        <v>5.0000000000000001E-4</v>
      </c>
      <c r="X3702">
        <v>5.0000000000000001E-4</v>
      </c>
      <c r="Y3702">
        <v>5.0000000000000001E-4</v>
      </c>
    </row>
    <row r="3703" spans="1:25" hidden="1">
      <c r="A3703" t="s">
        <v>18813</v>
      </c>
      <c r="B3703" t="s">
        <v>1833</v>
      </c>
      <c r="C3703" t="s">
        <v>1614</v>
      </c>
      <c r="D3703" t="s">
        <v>648</v>
      </c>
      <c r="E3703" t="s">
        <v>1716</v>
      </c>
      <c r="F3703" t="s">
        <v>598</v>
      </c>
      <c r="G3703" t="s">
        <v>599</v>
      </c>
      <c r="H3703" t="s">
        <v>600</v>
      </c>
      <c r="I3703" t="s">
        <v>601</v>
      </c>
      <c r="J3703">
        <v>4.1000000000000003E-3</v>
      </c>
      <c r="K3703">
        <v>4.1999999999999997E-3</v>
      </c>
      <c r="L3703">
        <v>4.4000000000000003E-3</v>
      </c>
      <c r="M3703">
        <v>4.5999999999999999E-3</v>
      </c>
      <c r="N3703">
        <v>4.7000000000000002E-3</v>
      </c>
      <c r="O3703">
        <v>4.8999999999999998E-3</v>
      </c>
      <c r="P3703">
        <v>5.0000000000000001E-3</v>
      </c>
      <c r="Q3703">
        <v>5.1999999999999998E-3</v>
      </c>
      <c r="R3703">
        <v>5.3E-3</v>
      </c>
      <c r="S3703">
        <v>5.3E-3</v>
      </c>
      <c r="T3703">
        <v>5.4000000000000003E-3</v>
      </c>
      <c r="U3703">
        <v>5.4999999999999997E-3</v>
      </c>
      <c r="V3703">
        <v>5.4999999999999997E-3</v>
      </c>
      <c r="W3703">
        <v>5.5999999999999999E-3</v>
      </c>
      <c r="X3703">
        <v>5.7000000000000002E-3</v>
      </c>
      <c r="Y3703">
        <v>5.7000000000000002E-3</v>
      </c>
    </row>
    <row r="3704" spans="1:25" hidden="1">
      <c r="A3704" t="s">
        <v>18813</v>
      </c>
      <c r="B3704" t="s">
        <v>1837</v>
      </c>
      <c r="C3704" t="s">
        <v>1614</v>
      </c>
      <c r="D3704" t="s">
        <v>648</v>
      </c>
      <c r="E3704" t="s">
        <v>1759</v>
      </c>
      <c r="F3704" t="s">
        <v>598</v>
      </c>
      <c r="G3704" t="s">
        <v>599</v>
      </c>
      <c r="H3704" t="s">
        <v>600</v>
      </c>
      <c r="I3704" t="s">
        <v>601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hidden="1">
      <c r="A3705" t="s">
        <v>18813</v>
      </c>
      <c r="B3705" t="s">
        <v>1840</v>
      </c>
      <c r="C3705" t="s">
        <v>1614</v>
      </c>
      <c r="D3705" t="s">
        <v>648</v>
      </c>
      <c r="E3705" t="s">
        <v>1378</v>
      </c>
      <c r="F3705" t="s">
        <v>598</v>
      </c>
      <c r="G3705" t="s">
        <v>599</v>
      </c>
      <c r="H3705" t="s">
        <v>600</v>
      </c>
      <c r="I3705" t="s">
        <v>601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hidden="1">
      <c r="A3706" t="s">
        <v>18813</v>
      </c>
      <c r="B3706" t="s">
        <v>1842</v>
      </c>
      <c r="C3706" t="s">
        <v>1614</v>
      </c>
      <c r="D3706" t="s">
        <v>648</v>
      </c>
      <c r="E3706" t="s">
        <v>1239</v>
      </c>
      <c r="F3706" t="s">
        <v>598</v>
      </c>
      <c r="G3706" t="s">
        <v>599</v>
      </c>
      <c r="H3706" t="s">
        <v>600</v>
      </c>
      <c r="I3706" t="s">
        <v>601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hidden="1">
      <c r="A3707" t="s">
        <v>18813</v>
      </c>
      <c r="B3707" t="s">
        <v>1849</v>
      </c>
      <c r="C3707" t="s">
        <v>1845</v>
      </c>
      <c r="D3707" t="s">
        <v>1324</v>
      </c>
      <c r="E3707" t="s">
        <v>1198</v>
      </c>
      <c r="F3707" t="s">
        <v>598</v>
      </c>
      <c r="G3707" t="s">
        <v>599</v>
      </c>
      <c r="H3707" t="s">
        <v>600</v>
      </c>
      <c r="I3707" t="s">
        <v>601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hidden="1">
      <c r="A3708" t="s">
        <v>18813</v>
      </c>
      <c r="B3708" t="s">
        <v>1854</v>
      </c>
      <c r="C3708" t="s">
        <v>1845</v>
      </c>
      <c r="D3708" t="s">
        <v>1332</v>
      </c>
      <c r="E3708" t="s">
        <v>1198</v>
      </c>
      <c r="F3708" t="s">
        <v>598</v>
      </c>
      <c r="G3708" t="s">
        <v>599</v>
      </c>
      <c r="H3708" t="s">
        <v>600</v>
      </c>
      <c r="I3708" t="s">
        <v>601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hidden="1">
      <c r="A3709" t="s">
        <v>18813</v>
      </c>
      <c r="B3709" t="s">
        <v>1856</v>
      </c>
      <c r="C3709" t="s">
        <v>1845</v>
      </c>
      <c r="D3709" t="s">
        <v>1435</v>
      </c>
      <c r="E3709" t="s">
        <v>973</v>
      </c>
      <c r="F3709" t="s">
        <v>598</v>
      </c>
      <c r="G3709" t="s">
        <v>599</v>
      </c>
      <c r="H3709" t="s">
        <v>600</v>
      </c>
      <c r="I3709" t="s">
        <v>601</v>
      </c>
      <c r="J3709">
        <v>4.5600000000000002E-2</v>
      </c>
      <c r="K3709">
        <v>4.6100000000000002E-2</v>
      </c>
      <c r="L3709">
        <v>4.6600000000000003E-2</v>
      </c>
      <c r="M3709">
        <v>4.7199999999999999E-2</v>
      </c>
      <c r="N3709">
        <v>4.7699999999999999E-2</v>
      </c>
      <c r="O3709">
        <v>4.8300000000000003E-2</v>
      </c>
      <c r="P3709">
        <v>4.8800000000000003E-2</v>
      </c>
      <c r="Q3709">
        <v>4.9200000000000001E-2</v>
      </c>
      <c r="R3709">
        <v>4.9500000000000002E-2</v>
      </c>
      <c r="S3709">
        <v>0.05</v>
      </c>
      <c r="T3709">
        <v>5.0299999999999997E-2</v>
      </c>
      <c r="U3709">
        <v>5.0599999999999999E-2</v>
      </c>
      <c r="V3709">
        <v>5.0900000000000001E-2</v>
      </c>
      <c r="W3709">
        <v>5.1200000000000002E-2</v>
      </c>
      <c r="X3709">
        <v>5.1400000000000001E-2</v>
      </c>
      <c r="Y3709">
        <v>5.1700000000000003E-2</v>
      </c>
    </row>
    <row r="3710" spans="1:25" hidden="1">
      <c r="A3710" t="s">
        <v>18813</v>
      </c>
      <c r="B3710" t="s">
        <v>1858</v>
      </c>
      <c r="C3710" t="s">
        <v>1845</v>
      </c>
      <c r="D3710" t="s">
        <v>1859</v>
      </c>
      <c r="E3710" t="s">
        <v>1860</v>
      </c>
      <c r="F3710" t="s">
        <v>598</v>
      </c>
      <c r="G3710" t="s">
        <v>599</v>
      </c>
      <c r="H3710" t="s">
        <v>600</v>
      </c>
      <c r="I3710" t="s">
        <v>601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hidden="1">
      <c r="A3711" t="s">
        <v>18813</v>
      </c>
      <c r="B3711" t="s">
        <v>1861</v>
      </c>
      <c r="C3711" t="s">
        <v>1845</v>
      </c>
      <c r="D3711" t="s">
        <v>1862</v>
      </c>
      <c r="E3711" t="s">
        <v>1860</v>
      </c>
      <c r="F3711" t="s">
        <v>598</v>
      </c>
      <c r="G3711" t="s">
        <v>599</v>
      </c>
      <c r="H3711" t="s">
        <v>600</v>
      </c>
      <c r="I3711" t="s">
        <v>601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hidden="1">
      <c r="A3712" t="s">
        <v>18813</v>
      </c>
      <c r="B3712" t="s">
        <v>1863</v>
      </c>
      <c r="C3712" t="s">
        <v>1845</v>
      </c>
      <c r="D3712" t="s">
        <v>1864</v>
      </c>
      <c r="E3712" t="s">
        <v>1865</v>
      </c>
      <c r="F3712" t="s">
        <v>598</v>
      </c>
      <c r="G3712" t="s">
        <v>599</v>
      </c>
      <c r="H3712" t="s">
        <v>600</v>
      </c>
      <c r="I3712" t="s">
        <v>601</v>
      </c>
      <c r="J3712">
        <v>3.8899999999999997E-2</v>
      </c>
      <c r="K3712">
        <v>3.9899999999999998E-2</v>
      </c>
      <c r="L3712">
        <v>4.07E-2</v>
      </c>
      <c r="M3712">
        <v>4.1799999999999997E-2</v>
      </c>
      <c r="N3712">
        <v>4.2700000000000002E-2</v>
      </c>
      <c r="O3712">
        <v>4.3700000000000003E-2</v>
      </c>
      <c r="P3712">
        <v>4.4400000000000002E-2</v>
      </c>
      <c r="Q3712">
        <v>4.53E-2</v>
      </c>
      <c r="R3712">
        <v>4.5600000000000002E-2</v>
      </c>
      <c r="S3712">
        <v>4.5900000000000003E-2</v>
      </c>
      <c r="T3712">
        <v>4.6199999999999998E-2</v>
      </c>
      <c r="U3712">
        <v>4.6399999999999997E-2</v>
      </c>
      <c r="V3712">
        <v>4.6600000000000003E-2</v>
      </c>
      <c r="W3712">
        <v>4.6899999999999997E-2</v>
      </c>
      <c r="X3712">
        <v>4.7100000000000003E-2</v>
      </c>
      <c r="Y3712">
        <v>4.7399999999999998E-2</v>
      </c>
    </row>
    <row r="3713" spans="1:25" hidden="1">
      <c r="A3713" t="s">
        <v>18813</v>
      </c>
      <c r="B3713" t="s">
        <v>1873</v>
      </c>
      <c r="C3713" t="s">
        <v>1845</v>
      </c>
      <c r="D3713" t="s">
        <v>1871</v>
      </c>
      <c r="E3713" t="s">
        <v>1874</v>
      </c>
      <c r="F3713" t="s">
        <v>598</v>
      </c>
      <c r="G3713" t="s">
        <v>599</v>
      </c>
      <c r="H3713" t="s">
        <v>600</v>
      </c>
      <c r="I3713" t="s">
        <v>601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hidden="1">
      <c r="A3714" t="s">
        <v>18813</v>
      </c>
      <c r="B3714" t="s">
        <v>1877</v>
      </c>
      <c r="C3714" t="s">
        <v>1845</v>
      </c>
      <c r="D3714" t="s">
        <v>1878</v>
      </c>
      <c r="E3714" t="s">
        <v>1872</v>
      </c>
      <c r="F3714" t="s">
        <v>598</v>
      </c>
      <c r="G3714" t="s">
        <v>599</v>
      </c>
      <c r="H3714" t="s">
        <v>600</v>
      </c>
      <c r="I3714" t="s">
        <v>601</v>
      </c>
      <c r="J3714">
        <v>6.4999999999999997E-3</v>
      </c>
      <c r="K3714">
        <v>6.7999999999999996E-3</v>
      </c>
      <c r="L3714">
        <v>6.7999999999999996E-3</v>
      </c>
      <c r="M3714">
        <v>7.0000000000000001E-3</v>
      </c>
      <c r="N3714">
        <v>7.1999999999999998E-3</v>
      </c>
      <c r="O3714">
        <v>7.1999999999999998E-3</v>
      </c>
      <c r="P3714">
        <v>7.3000000000000001E-3</v>
      </c>
      <c r="Q3714">
        <v>7.4000000000000003E-3</v>
      </c>
      <c r="R3714">
        <v>7.6E-3</v>
      </c>
      <c r="S3714">
        <v>7.6E-3</v>
      </c>
      <c r="T3714">
        <v>7.6E-3</v>
      </c>
      <c r="U3714">
        <v>7.7000000000000002E-3</v>
      </c>
      <c r="V3714">
        <v>7.7000000000000002E-3</v>
      </c>
      <c r="W3714">
        <v>7.7000000000000002E-3</v>
      </c>
      <c r="X3714">
        <v>7.7999999999999996E-3</v>
      </c>
      <c r="Y3714">
        <v>7.7999999999999996E-3</v>
      </c>
    </row>
    <row r="3715" spans="1:25" hidden="1">
      <c r="A3715" t="s">
        <v>18813</v>
      </c>
      <c r="B3715" t="s">
        <v>1897</v>
      </c>
      <c r="C3715" t="s">
        <v>1845</v>
      </c>
      <c r="D3715" t="s">
        <v>1878</v>
      </c>
      <c r="E3715" t="s">
        <v>1898</v>
      </c>
      <c r="F3715" t="s">
        <v>598</v>
      </c>
      <c r="G3715" t="s">
        <v>599</v>
      </c>
      <c r="H3715" t="s">
        <v>600</v>
      </c>
      <c r="I3715" t="s">
        <v>601</v>
      </c>
      <c r="J3715">
        <v>2.0000000000000001E-4</v>
      </c>
      <c r="K3715">
        <v>2.0000000000000001E-4</v>
      </c>
      <c r="L3715">
        <v>2.0000000000000001E-4</v>
      </c>
      <c r="M3715">
        <v>2.0000000000000001E-4</v>
      </c>
      <c r="N3715">
        <v>2.0000000000000001E-4</v>
      </c>
      <c r="O3715">
        <v>2.0000000000000001E-4</v>
      </c>
      <c r="P3715">
        <v>2.0000000000000001E-4</v>
      </c>
      <c r="Q3715">
        <v>2.0000000000000001E-4</v>
      </c>
      <c r="R3715">
        <v>2.0000000000000001E-4</v>
      </c>
      <c r="S3715">
        <v>2.0000000000000001E-4</v>
      </c>
      <c r="T3715">
        <v>2.0000000000000001E-4</v>
      </c>
      <c r="U3715">
        <v>2.0000000000000001E-4</v>
      </c>
      <c r="V3715">
        <v>2.0000000000000001E-4</v>
      </c>
      <c r="W3715">
        <v>2.0000000000000001E-4</v>
      </c>
      <c r="X3715">
        <v>2.0000000000000001E-4</v>
      </c>
      <c r="Y3715">
        <v>2.0000000000000001E-4</v>
      </c>
    </row>
    <row r="3716" spans="1:25" hidden="1">
      <c r="A3716" t="s">
        <v>18813</v>
      </c>
      <c r="B3716" t="s">
        <v>1905</v>
      </c>
      <c r="C3716" t="s">
        <v>1845</v>
      </c>
      <c r="D3716" t="s">
        <v>1878</v>
      </c>
      <c r="E3716" t="s">
        <v>1906</v>
      </c>
      <c r="F3716" t="s">
        <v>598</v>
      </c>
      <c r="G3716" t="s">
        <v>599</v>
      </c>
      <c r="H3716" t="s">
        <v>600</v>
      </c>
      <c r="I3716" t="s">
        <v>601</v>
      </c>
      <c r="J3716">
        <v>2.0000000000000001E-4</v>
      </c>
      <c r="K3716">
        <v>2.0000000000000001E-4</v>
      </c>
      <c r="L3716">
        <v>2.0000000000000001E-4</v>
      </c>
      <c r="M3716">
        <v>2.0000000000000001E-4</v>
      </c>
      <c r="N3716">
        <v>2.0000000000000001E-4</v>
      </c>
      <c r="O3716">
        <v>2.0000000000000001E-4</v>
      </c>
      <c r="P3716">
        <v>2.0000000000000001E-4</v>
      </c>
      <c r="Q3716">
        <v>2.0000000000000001E-4</v>
      </c>
      <c r="R3716">
        <v>2.0000000000000001E-4</v>
      </c>
      <c r="S3716">
        <v>2.0000000000000001E-4</v>
      </c>
      <c r="T3716">
        <v>2.0000000000000001E-4</v>
      </c>
      <c r="U3716">
        <v>2.0000000000000001E-4</v>
      </c>
      <c r="V3716">
        <v>2.0000000000000001E-4</v>
      </c>
      <c r="W3716">
        <v>2.0000000000000001E-4</v>
      </c>
      <c r="X3716">
        <v>2.0000000000000001E-4</v>
      </c>
      <c r="Y3716">
        <v>2.0000000000000001E-4</v>
      </c>
    </row>
    <row r="3717" spans="1:25" hidden="1">
      <c r="A3717" t="s">
        <v>18813</v>
      </c>
      <c r="B3717" t="s">
        <v>1917</v>
      </c>
      <c r="C3717" t="s">
        <v>1845</v>
      </c>
      <c r="D3717" t="s">
        <v>1918</v>
      </c>
      <c r="E3717" t="s">
        <v>1872</v>
      </c>
      <c r="F3717" t="s">
        <v>598</v>
      </c>
      <c r="G3717" t="s">
        <v>599</v>
      </c>
      <c r="H3717" t="s">
        <v>600</v>
      </c>
      <c r="I3717" t="s">
        <v>601</v>
      </c>
      <c r="J3717">
        <v>5.0000000000000001E-4</v>
      </c>
      <c r="K3717">
        <v>5.0000000000000001E-4</v>
      </c>
      <c r="L3717">
        <v>5.0000000000000001E-4</v>
      </c>
      <c r="M3717">
        <v>5.0000000000000001E-4</v>
      </c>
      <c r="N3717">
        <v>5.0000000000000001E-4</v>
      </c>
      <c r="O3717">
        <v>5.0000000000000001E-4</v>
      </c>
      <c r="P3717">
        <v>5.0000000000000001E-4</v>
      </c>
      <c r="Q3717">
        <v>5.0000000000000001E-4</v>
      </c>
      <c r="R3717">
        <v>5.0000000000000001E-4</v>
      </c>
      <c r="S3717">
        <v>5.0000000000000001E-4</v>
      </c>
      <c r="T3717">
        <v>5.0000000000000001E-4</v>
      </c>
      <c r="U3717">
        <v>5.0000000000000001E-4</v>
      </c>
      <c r="V3717">
        <v>5.0000000000000001E-4</v>
      </c>
      <c r="W3717">
        <v>5.0000000000000001E-4</v>
      </c>
      <c r="X3717">
        <v>5.0000000000000001E-4</v>
      </c>
      <c r="Y3717">
        <v>5.0000000000000001E-4</v>
      </c>
    </row>
    <row r="3718" spans="1:25" hidden="1">
      <c r="A3718" t="s">
        <v>18813</v>
      </c>
      <c r="B3718" t="s">
        <v>1924</v>
      </c>
      <c r="C3718" t="s">
        <v>1845</v>
      </c>
      <c r="D3718" t="s">
        <v>1918</v>
      </c>
      <c r="E3718" t="s">
        <v>1865</v>
      </c>
      <c r="F3718" t="s">
        <v>598</v>
      </c>
      <c r="G3718" t="s">
        <v>599</v>
      </c>
      <c r="H3718" t="s">
        <v>600</v>
      </c>
      <c r="I3718" t="s">
        <v>601</v>
      </c>
      <c r="J3718">
        <v>1.47E-2</v>
      </c>
      <c r="K3718">
        <v>1.47E-2</v>
      </c>
      <c r="L3718">
        <v>1.4800000000000001E-2</v>
      </c>
      <c r="M3718">
        <v>1.4999999999999999E-2</v>
      </c>
      <c r="N3718">
        <v>1.5100000000000001E-2</v>
      </c>
      <c r="O3718">
        <v>1.52E-2</v>
      </c>
      <c r="P3718">
        <v>1.54E-2</v>
      </c>
      <c r="Q3718">
        <v>1.5599999999999999E-2</v>
      </c>
      <c r="R3718">
        <v>1.5699999999999999E-2</v>
      </c>
      <c r="S3718">
        <v>1.5699999999999999E-2</v>
      </c>
      <c r="T3718">
        <v>1.5900000000000001E-2</v>
      </c>
      <c r="U3718">
        <v>1.6E-2</v>
      </c>
      <c r="V3718">
        <v>1.6E-2</v>
      </c>
      <c r="W3718">
        <v>1.61E-2</v>
      </c>
      <c r="X3718">
        <v>1.6199999999999999E-2</v>
      </c>
      <c r="Y3718">
        <v>1.6199999999999999E-2</v>
      </c>
    </row>
    <row r="3719" spans="1:25" hidden="1">
      <c r="A3719" t="s">
        <v>18813</v>
      </c>
      <c r="B3719" t="s">
        <v>1930</v>
      </c>
      <c r="C3719" t="s">
        <v>1845</v>
      </c>
      <c r="D3719" t="s">
        <v>1918</v>
      </c>
      <c r="E3719" t="s">
        <v>1894</v>
      </c>
      <c r="F3719" t="s">
        <v>598</v>
      </c>
      <c r="G3719" t="s">
        <v>599</v>
      </c>
      <c r="H3719" t="s">
        <v>600</v>
      </c>
      <c r="I3719" t="s">
        <v>601</v>
      </c>
      <c r="J3719">
        <v>6.9999999999999999E-4</v>
      </c>
      <c r="K3719">
        <v>6.9999999999999999E-4</v>
      </c>
      <c r="L3719">
        <v>6.9999999999999999E-4</v>
      </c>
      <c r="M3719">
        <v>6.9999999999999999E-4</v>
      </c>
      <c r="N3719">
        <v>8.0000000000000004E-4</v>
      </c>
      <c r="O3719">
        <v>8.0000000000000004E-4</v>
      </c>
      <c r="P3719">
        <v>8.0000000000000004E-4</v>
      </c>
      <c r="Q3719">
        <v>8.0000000000000004E-4</v>
      </c>
      <c r="R3719">
        <v>8.0000000000000004E-4</v>
      </c>
      <c r="S3719">
        <v>8.0000000000000004E-4</v>
      </c>
      <c r="T3719">
        <v>8.0000000000000004E-4</v>
      </c>
      <c r="U3719">
        <v>8.0000000000000004E-4</v>
      </c>
      <c r="V3719">
        <v>8.0000000000000004E-4</v>
      </c>
      <c r="W3719">
        <v>8.0000000000000004E-4</v>
      </c>
      <c r="X3719">
        <v>8.0000000000000004E-4</v>
      </c>
      <c r="Y3719">
        <v>8.0000000000000004E-4</v>
      </c>
    </row>
    <row r="3720" spans="1:25" hidden="1">
      <c r="A3720" t="s">
        <v>18813</v>
      </c>
      <c r="B3720" t="s">
        <v>1935</v>
      </c>
      <c r="C3720" t="s">
        <v>1845</v>
      </c>
      <c r="D3720" t="s">
        <v>1918</v>
      </c>
      <c r="E3720" t="s">
        <v>1936</v>
      </c>
      <c r="F3720" t="s">
        <v>598</v>
      </c>
      <c r="G3720" t="s">
        <v>599</v>
      </c>
      <c r="H3720" t="s">
        <v>600</v>
      </c>
      <c r="I3720" t="s">
        <v>601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hidden="1">
      <c r="A3721" t="s">
        <v>18813</v>
      </c>
      <c r="B3721" t="s">
        <v>1949</v>
      </c>
      <c r="C3721" t="s">
        <v>1845</v>
      </c>
      <c r="D3721" t="s">
        <v>648</v>
      </c>
      <c r="E3721" t="s">
        <v>1872</v>
      </c>
      <c r="F3721" t="s">
        <v>598</v>
      </c>
      <c r="G3721" t="s">
        <v>599</v>
      </c>
      <c r="H3721" t="s">
        <v>600</v>
      </c>
      <c r="I3721" t="s">
        <v>601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hidden="1">
      <c r="A3722" t="s">
        <v>18813</v>
      </c>
      <c r="B3722" t="s">
        <v>1950</v>
      </c>
      <c r="C3722" t="s">
        <v>1845</v>
      </c>
      <c r="D3722" t="s">
        <v>648</v>
      </c>
      <c r="E3722" t="s">
        <v>1951</v>
      </c>
      <c r="F3722" t="s">
        <v>598</v>
      </c>
      <c r="G3722" t="s">
        <v>599</v>
      </c>
      <c r="H3722" t="s">
        <v>600</v>
      </c>
      <c r="I3722" t="s">
        <v>601</v>
      </c>
      <c r="J3722">
        <v>2.8E-3</v>
      </c>
      <c r="K3722">
        <v>2.8E-3</v>
      </c>
      <c r="L3722">
        <v>3.0000000000000001E-3</v>
      </c>
      <c r="M3722">
        <v>3.0000000000000001E-3</v>
      </c>
      <c r="N3722">
        <v>3.0000000000000001E-3</v>
      </c>
      <c r="O3722">
        <v>3.0999999999999999E-3</v>
      </c>
      <c r="P3722">
        <v>3.0999999999999999E-3</v>
      </c>
      <c r="Q3722">
        <v>3.2000000000000002E-3</v>
      </c>
      <c r="R3722">
        <v>3.2000000000000002E-3</v>
      </c>
      <c r="S3722">
        <v>3.2000000000000002E-3</v>
      </c>
      <c r="T3722">
        <v>3.2000000000000002E-3</v>
      </c>
      <c r="U3722">
        <v>3.2000000000000002E-3</v>
      </c>
      <c r="V3722">
        <v>3.3E-3</v>
      </c>
      <c r="W3722">
        <v>3.3E-3</v>
      </c>
      <c r="X3722">
        <v>3.3E-3</v>
      </c>
      <c r="Y3722">
        <v>3.3E-3</v>
      </c>
    </row>
    <row r="3723" spans="1:25" hidden="1">
      <c r="A3723" t="s">
        <v>18813</v>
      </c>
      <c r="B3723" t="s">
        <v>1958</v>
      </c>
      <c r="C3723" t="s">
        <v>1959</v>
      </c>
      <c r="D3723" t="s">
        <v>1324</v>
      </c>
      <c r="E3723" t="s">
        <v>954</v>
      </c>
      <c r="F3723" t="s">
        <v>598</v>
      </c>
      <c r="G3723" t="s">
        <v>599</v>
      </c>
      <c r="H3723" t="s">
        <v>600</v>
      </c>
      <c r="I3723" t="s">
        <v>601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hidden="1">
      <c r="A3724" t="s">
        <v>18813</v>
      </c>
      <c r="B3724" t="s">
        <v>1960</v>
      </c>
      <c r="C3724" t="s">
        <v>1959</v>
      </c>
      <c r="D3724" t="s">
        <v>1332</v>
      </c>
      <c r="E3724" t="s">
        <v>954</v>
      </c>
      <c r="F3724" t="s">
        <v>598</v>
      </c>
      <c r="G3724" t="s">
        <v>599</v>
      </c>
      <c r="H3724" t="s">
        <v>600</v>
      </c>
      <c r="I3724" t="s">
        <v>601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 hidden="1">
      <c r="A3725" t="s">
        <v>18813</v>
      </c>
      <c r="B3725" t="s">
        <v>1963</v>
      </c>
      <c r="C3725" t="s">
        <v>1959</v>
      </c>
      <c r="D3725" t="s">
        <v>1435</v>
      </c>
      <c r="E3725" t="s">
        <v>973</v>
      </c>
      <c r="F3725" t="s">
        <v>598</v>
      </c>
      <c r="G3725" t="s">
        <v>599</v>
      </c>
      <c r="H3725" t="s">
        <v>600</v>
      </c>
      <c r="I3725" t="s">
        <v>601</v>
      </c>
      <c r="J3725">
        <v>1E-4</v>
      </c>
      <c r="K3725">
        <v>1E-4</v>
      </c>
      <c r="L3725">
        <v>1E-4</v>
      </c>
      <c r="M3725">
        <v>1E-4</v>
      </c>
      <c r="N3725">
        <v>1E-4</v>
      </c>
      <c r="O3725">
        <v>1E-4</v>
      </c>
      <c r="P3725">
        <v>1E-4</v>
      </c>
      <c r="Q3725">
        <v>1E-4</v>
      </c>
      <c r="R3725">
        <v>1E-4</v>
      </c>
      <c r="S3725">
        <v>1E-4</v>
      </c>
      <c r="T3725">
        <v>1E-4</v>
      </c>
      <c r="U3725">
        <v>1E-4</v>
      </c>
      <c r="V3725">
        <v>1E-4</v>
      </c>
      <c r="W3725">
        <v>1E-4</v>
      </c>
      <c r="X3725">
        <v>1E-4</v>
      </c>
      <c r="Y3725">
        <v>1E-4</v>
      </c>
    </row>
    <row r="3726" spans="1:25" hidden="1">
      <c r="A3726" t="s">
        <v>18813</v>
      </c>
      <c r="B3726" t="s">
        <v>1964</v>
      </c>
      <c r="C3726" t="s">
        <v>1959</v>
      </c>
      <c r="D3726" t="s">
        <v>1965</v>
      </c>
      <c r="E3726" t="s">
        <v>1966</v>
      </c>
      <c r="F3726" t="s">
        <v>598</v>
      </c>
      <c r="G3726" t="s">
        <v>599</v>
      </c>
      <c r="H3726" t="s">
        <v>600</v>
      </c>
      <c r="I3726" t="s">
        <v>601</v>
      </c>
      <c r="J3726">
        <v>4.4400000000000002E-2</v>
      </c>
      <c r="K3726">
        <v>4.48E-2</v>
      </c>
      <c r="L3726">
        <v>4.5100000000000001E-2</v>
      </c>
      <c r="M3726">
        <v>4.5400000000000003E-2</v>
      </c>
      <c r="N3726">
        <v>4.5600000000000002E-2</v>
      </c>
      <c r="O3726">
        <v>4.5600000000000002E-2</v>
      </c>
      <c r="P3726">
        <v>4.6100000000000002E-2</v>
      </c>
      <c r="Q3726">
        <v>4.6899999999999997E-2</v>
      </c>
      <c r="R3726">
        <v>4.7E-2</v>
      </c>
      <c r="S3726">
        <v>4.7699999999999999E-2</v>
      </c>
      <c r="T3726">
        <v>4.82E-2</v>
      </c>
      <c r="U3726">
        <v>4.8399999999999999E-2</v>
      </c>
      <c r="V3726">
        <v>4.8500000000000001E-2</v>
      </c>
      <c r="W3726">
        <v>4.87E-2</v>
      </c>
      <c r="X3726">
        <v>4.9000000000000002E-2</v>
      </c>
      <c r="Y3726">
        <v>4.9299999999999997E-2</v>
      </c>
    </row>
    <row r="3727" spans="1:25" hidden="1">
      <c r="A3727" t="s">
        <v>18813</v>
      </c>
      <c r="B3727" t="s">
        <v>1967</v>
      </c>
      <c r="C3727" t="s">
        <v>1959</v>
      </c>
      <c r="D3727" t="s">
        <v>1968</v>
      </c>
      <c r="E3727" t="s">
        <v>1962</v>
      </c>
      <c r="F3727" t="s">
        <v>598</v>
      </c>
      <c r="G3727" t="s">
        <v>599</v>
      </c>
      <c r="H3727" t="s">
        <v>600</v>
      </c>
      <c r="I3727" t="s">
        <v>601</v>
      </c>
      <c r="J3727">
        <v>0.155</v>
      </c>
      <c r="K3727">
        <v>0.15720000000000001</v>
      </c>
      <c r="L3727">
        <v>0.1595</v>
      </c>
      <c r="M3727">
        <v>0.16189999999999999</v>
      </c>
      <c r="N3727">
        <v>0.16400000000000001</v>
      </c>
      <c r="O3727">
        <v>0.16619999999999999</v>
      </c>
      <c r="P3727">
        <v>0.16700000000000001</v>
      </c>
      <c r="Q3727">
        <v>0.16789999999999999</v>
      </c>
      <c r="R3727">
        <v>0.1686</v>
      </c>
      <c r="S3727">
        <v>0.1694</v>
      </c>
      <c r="T3727">
        <v>0.17030000000000001</v>
      </c>
      <c r="U3727">
        <v>0.1709</v>
      </c>
      <c r="V3727">
        <v>0.1716</v>
      </c>
      <c r="W3727">
        <v>0.17230000000000001</v>
      </c>
      <c r="X3727">
        <v>0.1731</v>
      </c>
      <c r="Y3727">
        <v>0.17399999999999999</v>
      </c>
    </row>
    <row r="3728" spans="1:25" hidden="1">
      <c r="A3728" t="s">
        <v>18813</v>
      </c>
      <c r="B3728" t="s">
        <v>1975</v>
      </c>
      <c r="C3728" t="s">
        <v>1959</v>
      </c>
      <c r="D3728" t="s">
        <v>1972</v>
      </c>
      <c r="E3728" t="s">
        <v>1976</v>
      </c>
      <c r="F3728" t="s">
        <v>598</v>
      </c>
      <c r="G3728" t="s">
        <v>599</v>
      </c>
      <c r="H3728" t="s">
        <v>600</v>
      </c>
      <c r="I3728" t="s">
        <v>601</v>
      </c>
      <c r="J3728">
        <v>1.2999999999999999E-3</v>
      </c>
      <c r="K3728">
        <v>1.2999999999999999E-3</v>
      </c>
      <c r="L3728">
        <v>1.2999999999999999E-3</v>
      </c>
      <c r="M3728">
        <v>1.4E-3</v>
      </c>
      <c r="N3728">
        <v>1.4E-3</v>
      </c>
      <c r="O3728">
        <v>1.4E-3</v>
      </c>
      <c r="P3728">
        <v>1.4E-3</v>
      </c>
      <c r="Q3728">
        <v>1.4E-3</v>
      </c>
      <c r="R3728">
        <v>1.4E-3</v>
      </c>
      <c r="S3728">
        <v>1.5E-3</v>
      </c>
      <c r="T3728">
        <v>1.5E-3</v>
      </c>
      <c r="U3728">
        <v>1.5E-3</v>
      </c>
      <c r="V3728">
        <v>1.5E-3</v>
      </c>
      <c r="W3728">
        <v>1.5E-3</v>
      </c>
      <c r="X3728">
        <v>1.5E-3</v>
      </c>
      <c r="Y3728">
        <v>1.5E-3</v>
      </c>
    </row>
    <row r="3729" spans="1:25" hidden="1">
      <c r="A3729" t="s">
        <v>18813</v>
      </c>
      <c r="B3729" t="s">
        <v>1977</v>
      </c>
      <c r="C3729" t="s">
        <v>1959</v>
      </c>
      <c r="D3729" t="s">
        <v>1972</v>
      </c>
      <c r="E3729" t="s">
        <v>1966</v>
      </c>
      <c r="F3729" t="s">
        <v>598</v>
      </c>
      <c r="G3729" t="s">
        <v>599</v>
      </c>
      <c r="H3729" t="s">
        <v>600</v>
      </c>
      <c r="I3729" t="s">
        <v>601</v>
      </c>
      <c r="J3729">
        <v>2.2200000000000001E-2</v>
      </c>
      <c r="K3729">
        <v>2.24E-2</v>
      </c>
      <c r="L3729">
        <v>2.2800000000000001E-2</v>
      </c>
      <c r="M3729">
        <v>2.3099999999999999E-2</v>
      </c>
      <c r="N3729">
        <v>2.3400000000000001E-2</v>
      </c>
      <c r="O3729">
        <v>2.3599999999999999E-2</v>
      </c>
      <c r="P3729">
        <v>2.41E-2</v>
      </c>
      <c r="Q3729">
        <v>2.4500000000000001E-2</v>
      </c>
      <c r="R3729">
        <v>2.46E-2</v>
      </c>
      <c r="S3729">
        <v>2.5100000000000001E-2</v>
      </c>
      <c r="T3729">
        <v>2.5399999999999999E-2</v>
      </c>
      <c r="U3729">
        <v>2.5499999999999998E-2</v>
      </c>
      <c r="V3729">
        <v>2.5899999999999999E-2</v>
      </c>
      <c r="W3729">
        <v>2.5999999999999999E-2</v>
      </c>
      <c r="X3729">
        <v>2.6200000000000001E-2</v>
      </c>
      <c r="Y3729">
        <v>2.64E-2</v>
      </c>
    </row>
    <row r="3730" spans="1:25" hidden="1">
      <c r="A3730" t="s">
        <v>18813</v>
      </c>
      <c r="B3730" t="s">
        <v>1978</v>
      </c>
      <c r="C3730" t="s">
        <v>1959</v>
      </c>
      <c r="D3730" t="s">
        <v>1972</v>
      </c>
      <c r="E3730" t="s">
        <v>1979</v>
      </c>
      <c r="F3730" t="s">
        <v>598</v>
      </c>
      <c r="G3730" t="s">
        <v>599</v>
      </c>
      <c r="H3730" t="s">
        <v>600</v>
      </c>
      <c r="I3730" t="s">
        <v>601</v>
      </c>
      <c r="J3730">
        <v>2.9999999999999997E-4</v>
      </c>
      <c r="K3730">
        <v>2.9999999999999997E-4</v>
      </c>
      <c r="L3730">
        <v>2.9999999999999997E-4</v>
      </c>
      <c r="M3730">
        <v>2.9999999999999997E-4</v>
      </c>
      <c r="N3730">
        <v>2.9999999999999997E-4</v>
      </c>
      <c r="O3730">
        <v>2.9999999999999997E-4</v>
      </c>
      <c r="P3730">
        <v>2.9999999999999997E-4</v>
      </c>
      <c r="Q3730">
        <v>2.9999999999999997E-4</v>
      </c>
      <c r="R3730">
        <v>2.9999999999999997E-4</v>
      </c>
      <c r="S3730">
        <v>2.9999999999999997E-4</v>
      </c>
      <c r="T3730">
        <v>2.9999999999999997E-4</v>
      </c>
      <c r="U3730">
        <v>2.9999999999999997E-4</v>
      </c>
      <c r="V3730">
        <v>2.9999999999999997E-4</v>
      </c>
      <c r="W3730">
        <v>2.9999999999999997E-4</v>
      </c>
      <c r="X3730">
        <v>2.9999999999999997E-4</v>
      </c>
      <c r="Y3730">
        <v>2.9999999999999997E-4</v>
      </c>
    </row>
    <row r="3731" spans="1:25" hidden="1">
      <c r="A3731" t="s">
        <v>18813</v>
      </c>
      <c r="B3731" t="s">
        <v>1985</v>
      </c>
      <c r="C3731" t="s">
        <v>1959</v>
      </c>
      <c r="D3731" t="s">
        <v>1983</v>
      </c>
      <c r="E3731" t="s">
        <v>1378</v>
      </c>
      <c r="F3731" t="s">
        <v>598</v>
      </c>
      <c r="G3731" t="s">
        <v>599</v>
      </c>
      <c r="H3731" t="s">
        <v>600</v>
      </c>
      <c r="I3731" t="s">
        <v>601</v>
      </c>
      <c r="J3731">
        <v>0.1164</v>
      </c>
      <c r="K3731">
        <v>0.1178</v>
      </c>
      <c r="L3731">
        <v>0.1192</v>
      </c>
      <c r="M3731">
        <v>0.121</v>
      </c>
      <c r="N3731">
        <v>0.1226</v>
      </c>
      <c r="O3731">
        <v>0.12429999999999999</v>
      </c>
      <c r="P3731">
        <v>0.12620000000000001</v>
      </c>
      <c r="Q3731">
        <v>0.1288</v>
      </c>
      <c r="R3731">
        <v>0.12959999999999999</v>
      </c>
      <c r="S3731">
        <v>0.13039999999999999</v>
      </c>
      <c r="T3731">
        <v>0.13109999999999999</v>
      </c>
      <c r="U3731">
        <v>0.13220000000000001</v>
      </c>
      <c r="V3731">
        <v>0.13300000000000001</v>
      </c>
      <c r="W3731">
        <v>0.13420000000000001</v>
      </c>
      <c r="X3731">
        <v>0.1351</v>
      </c>
      <c r="Y3731">
        <v>0.13589999999999999</v>
      </c>
    </row>
    <row r="3732" spans="1:25" hidden="1">
      <c r="A3732" t="s">
        <v>18813</v>
      </c>
      <c r="B3732" t="s">
        <v>1997</v>
      </c>
      <c r="C3732" t="s">
        <v>1959</v>
      </c>
      <c r="D3732" t="s">
        <v>1996</v>
      </c>
      <c r="E3732" t="s">
        <v>1380</v>
      </c>
      <c r="F3732" t="s">
        <v>598</v>
      </c>
      <c r="G3732" t="s">
        <v>599</v>
      </c>
      <c r="H3732" t="s">
        <v>600</v>
      </c>
      <c r="I3732" t="s">
        <v>601</v>
      </c>
      <c r="J3732">
        <v>1.7600000000000001E-2</v>
      </c>
      <c r="K3732">
        <v>1.7899999999999999E-2</v>
      </c>
      <c r="L3732">
        <v>1.83E-2</v>
      </c>
      <c r="M3732">
        <v>1.8599999999999998E-2</v>
      </c>
      <c r="N3732">
        <v>1.9E-2</v>
      </c>
      <c r="O3732">
        <v>1.9300000000000001E-2</v>
      </c>
      <c r="P3732">
        <v>1.9800000000000002E-2</v>
      </c>
      <c r="Q3732">
        <v>2.0199999999999999E-2</v>
      </c>
      <c r="R3732">
        <v>2.0400000000000001E-2</v>
      </c>
      <c r="S3732">
        <v>2.0500000000000001E-2</v>
      </c>
      <c r="T3732">
        <v>2.06E-2</v>
      </c>
      <c r="U3732">
        <v>2.0799999999999999E-2</v>
      </c>
      <c r="V3732">
        <v>2.1000000000000001E-2</v>
      </c>
      <c r="W3732">
        <v>2.1100000000000001E-2</v>
      </c>
      <c r="X3732">
        <v>2.1299999999999999E-2</v>
      </c>
      <c r="Y3732">
        <v>2.1399999999999999E-2</v>
      </c>
    </row>
    <row r="3733" spans="1:25" hidden="1">
      <c r="A3733" t="s">
        <v>18813</v>
      </c>
      <c r="B3733" t="s">
        <v>1998</v>
      </c>
      <c r="C3733" t="s">
        <v>1959</v>
      </c>
      <c r="D3733" t="s">
        <v>1996</v>
      </c>
      <c r="E3733" t="s">
        <v>1999</v>
      </c>
      <c r="F3733" t="s">
        <v>598</v>
      </c>
      <c r="G3733" t="s">
        <v>599</v>
      </c>
      <c r="H3733" t="s">
        <v>600</v>
      </c>
      <c r="I3733" t="s">
        <v>601</v>
      </c>
      <c r="J3733">
        <v>4.0000000000000002E-4</v>
      </c>
      <c r="K3733">
        <v>4.0000000000000002E-4</v>
      </c>
      <c r="L3733">
        <v>4.0000000000000002E-4</v>
      </c>
      <c r="M3733">
        <v>4.0000000000000002E-4</v>
      </c>
      <c r="N3733">
        <v>4.0000000000000002E-4</v>
      </c>
      <c r="O3733">
        <v>4.0000000000000002E-4</v>
      </c>
      <c r="P3733">
        <v>4.0000000000000002E-4</v>
      </c>
      <c r="Q3733">
        <v>4.0000000000000002E-4</v>
      </c>
      <c r="R3733">
        <v>4.0000000000000002E-4</v>
      </c>
      <c r="S3733">
        <v>4.0000000000000002E-4</v>
      </c>
      <c r="T3733">
        <v>4.0000000000000002E-4</v>
      </c>
      <c r="U3733">
        <v>5.0000000000000001E-4</v>
      </c>
      <c r="V3733">
        <v>5.0000000000000001E-4</v>
      </c>
      <c r="W3733">
        <v>5.0000000000000001E-4</v>
      </c>
      <c r="X3733">
        <v>5.0000000000000001E-4</v>
      </c>
      <c r="Y3733">
        <v>5.0000000000000001E-4</v>
      </c>
    </row>
    <row r="3734" spans="1:25" hidden="1">
      <c r="A3734" t="s">
        <v>18813</v>
      </c>
      <c r="B3734" t="s">
        <v>2004</v>
      </c>
      <c r="C3734" t="s">
        <v>1959</v>
      </c>
      <c r="D3734" t="s">
        <v>2001</v>
      </c>
      <c r="E3734" t="s">
        <v>1380</v>
      </c>
      <c r="F3734" t="s">
        <v>598</v>
      </c>
      <c r="G3734" t="s">
        <v>599</v>
      </c>
      <c r="H3734" t="s">
        <v>600</v>
      </c>
      <c r="I3734" t="s">
        <v>601</v>
      </c>
      <c r="J3734">
        <v>9.4000000000000004E-3</v>
      </c>
      <c r="K3734">
        <v>9.4000000000000004E-3</v>
      </c>
      <c r="L3734">
        <v>9.4999999999999998E-3</v>
      </c>
      <c r="M3734">
        <v>9.5999999999999992E-3</v>
      </c>
      <c r="N3734">
        <v>9.5999999999999992E-3</v>
      </c>
      <c r="O3734">
        <v>9.7000000000000003E-3</v>
      </c>
      <c r="P3734">
        <v>0.01</v>
      </c>
      <c r="Q3734">
        <v>0.01</v>
      </c>
      <c r="R3734">
        <v>1.0200000000000001E-2</v>
      </c>
      <c r="S3734">
        <v>1.01E-2</v>
      </c>
      <c r="T3734">
        <v>1.01E-2</v>
      </c>
      <c r="U3734">
        <v>1.01E-2</v>
      </c>
      <c r="V3734">
        <v>1.0200000000000001E-2</v>
      </c>
      <c r="W3734">
        <v>1.03E-2</v>
      </c>
      <c r="X3734">
        <v>1.04E-2</v>
      </c>
      <c r="Y3734">
        <v>1.04E-2</v>
      </c>
    </row>
    <row r="3735" spans="1:25" hidden="1">
      <c r="A3735" t="s">
        <v>18813</v>
      </c>
      <c r="B3735" t="s">
        <v>2005</v>
      </c>
      <c r="C3735" t="s">
        <v>1959</v>
      </c>
      <c r="D3735" t="s">
        <v>2001</v>
      </c>
      <c r="E3735" t="s">
        <v>1976</v>
      </c>
      <c r="F3735" t="s">
        <v>598</v>
      </c>
      <c r="G3735" t="s">
        <v>599</v>
      </c>
      <c r="H3735" t="s">
        <v>600</v>
      </c>
      <c r="I3735" t="s">
        <v>601</v>
      </c>
      <c r="J3735">
        <v>0.25130000000000002</v>
      </c>
      <c r="K3735">
        <v>0.25430000000000003</v>
      </c>
      <c r="L3735">
        <v>0.25609999999999999</v>
      </c>
      <c r="M3735">
        <v>0.2596</v>
      </c>
      <c r="N3735">
        <v>0.26129999999999998</v>
      </c>
      <c r="O3735">
        <v>0.26240000000000002</v>
      </c>
      <c r="P3735">
        <v>0.26629999999999998</v>
      </c>
      <c r="Q3735">
        <v>0.2712</v>
      </c>
      <c r="R3735">
        <v>0.2727</v>
      </c>
      <c r="S3735">
        <v>0.2757</v>
      </c>
      <c r="T3735">
        <v>0.2782</v>
      </c>
      <c r="U3735">
        <v>0.2797</v>
      </c>
      <c r="V3735">
        <v>0.28139999999999998</v>
      </c>
      <c r="W3735">
        <v>0.2833</v>
      </c>
      <c r="X3735">
        <v>0.28520000000000001</v>
      </c>
      <c r="Y3735">
        <v>0.2868</v>
      </c>
    </row>
    <row r="3736" spans="1:25" hidden="1">
      <c r="A3736" t="s">
        <v>18813</v>
      </c>
      <c r="B3736" t="s">
        <v>2008</v>
      </c>
      <c r="C3736" t="s">
        <v>1959</v>
      </c>
      <c r="D3736" t="s">
        <v>2009</v>
      </c>
      <c r="E3736" t="s">
        <v>2010</v>
      </c>
      <c r="F3736" t="s">
        <v>598</v>
      </c>
      <c r="G3736" t="s">
        <v>599</v>
      </c>
      <c r="H3736" t="s">
        <v>600</v>
      </c>
      <c r="I3736" t="s">
        <v>601</v>
      </c>
      <c r="J3736">
        <v>3.0999999999999999E-3</v>
      </c>
      <c r="K3736">
        <v>3.0999999999999999E-3</v>
      </c>
      <c r="L3736">
        <v>3.2000000000000002E-3</v>
      </c>
      <c r="M3736">
        <v>3.2000000000000002E-3</v>
      </c>
      <c r="N3736">
        <v>3.3E-3</v>
      </c>
      <c r="O3736">
        <v>3.3999999999999998E-3</v>
      </c>
      <c r="P3736">
        <v>3.5000000000000001E-3</v>
      </c>
      <c r="Q3736">
        <v>3.5000000000000001E-3</v>
      </c>
      <c r="R3736">
        <v>3.5000000000000001E-3</v>
      </c>
      <c r="S3736">
        <v>3.5999999999999999E-3</v>
      </c>
      <c r="T3736">
        <v>3.5999999999999999E-3</v>
      </c>
      <c r="U3736">
        <v>3.5999999999999999E-3</v>
      </c>
      <c r="V3736">
        <v>3.5999999999999999E-3</v>
      </c>
      <c r="W3736">
        <v>3.5999999999999999E-3</v>
      </c>
      <c r="X3736">
        <v>3.5999999999999999E-3</v>
      </c>
      <c r="Y3736">
        <v>3.7000000000000002E-3</v>
      </c>
    </row>
    <row r="3737" spans="1:25" hidden="1">
      <c r="A3737" t="s">
        <v>18813</v>
      </c>
      <c r="B3737" t="s">
        <v>2014</v>
      </c>
      <c r="C3737" t="s">
        <v>1959</v>
      </c>
      <c r="D3737" t="s">
        <v>2012</v>
      </c>
      <c r="E3737" t="s">
        <v>1970</v>
      </c>
      <c r="F3737" t="s">
        <v>598</v>
      </c>
      <c r="G3737" t="s">
        <v>599</v>
      </c>
      <c r="H3737" t="s">
        <v>600</v>
      </c>
      <c r="I3737" t="s">
        <v>601</v>
      </c>
      <c r="J3737">
        <v>8.0000000000000004E-4</v>
      </c>
      <c r="K3737">
        <v>8.0000000000000004E-4</v>
      </c>
      <c r="L3737">
        <v>8.0000000000000004E-4</v>
      </c>
      <c r="M3737">
        <v>8.0000000000000004E-4</v>
      </c>
      <c r="N3737">
        <v>8.0000000000000004E-4</v>
      </c>
      <c r="O3737">
        <v>8.0000000000000004E-4</v>
      </c>
      <c r="P3737">
        <v>8.0000000000000004E-4</v>
      </c>
      <c r="Q3737">
        <v>8.9999999999999998E-4</v>
      </c>
      <c r="R3737">
        <v>8.9999999999999998E-4</v>
      </c>
      <c r="S3737">
        <v>8.9999999999999998E-4</v>
      </c>
      <c r="T3737">
        <v>8.9999999999999998E-4</v>
      </c>
      <c r="U3737">
        <v>8.9999999999999998E-4</v>
      </c>
      <c r="V3737">
        <v>8.9999999999999998E-4</v>
      </c>
      <c r="W3737">
        <v>8.9999999999999998E-4</v>
      </c>
      <c r="X3737">
        <v>8.9999999999999998E-4</v>
      </c>
      <c r="Y3737">
        <v>8.9999999999999998E-4</v>
      </c>
    </row>
    <row r="3738" spans="1:25" hidden="1">
      <c r="A3738" t="s">
        <v>18813</v>
      </c>
      <c r="B3738" t="s">
        <v>2016</v>
      </c>
      <c r="C3738" t="s">
        <v>1959</v>
      </c>
      <c r="D3738" t="s">
        <v>1817</v>
      </c>
      <c r="E3738" t="s">
        <v>1378</v>
      </c>
      <c r="F3738" t="s">
        <v>598</v>
      </c>
      <c r="G3738" t="s">
        <v>599</v>
      </c>
      <c r="H3738" t="s">
        <v>600</v>
      </c>
      <c r="I3738" t="s">
        <v>601</v>
      </c>
      <c r="J3738">
        <v>1.843</v>
      </c>
      <c r="K3738">
        <v>1.843</v>
      </c>
      <c r="L3738">
        <v>1.8431</v>
      </c>
      <c r="M3738">
        <v>1.8431</v>
      </c>
      <c r="N3738">
        <v>1.8431</v>
      </c>
      <c r="O3738">
        <v>1.8431</v>
      </c>
      <c r="P3738">
        <v>1.8431</v>
      </c>
      <c r="Q3738">
        <v>1.8431</v>
      </c>
      <c r="R3738">
        <v>1.8431</v>
      </c>
      <c r="S3738">
        <v>1.8431</v>
      </c>
      <c r="T3738">
        <v>1.8431</v>
      </c>
      <c r="U3738">
        <v>1.8431</v>
      </c>
      <c r="V3738">
        <v>1.8431</v>
      </c>
      <c r="W3738">
        <v>1.8431</v>
      </c>
      <c r="X3738">
        <v>1.8431</v>
      </c>
      <c r="Y3738">
        <v>1.8431</v>
      </c>
    </row>
    <row r="3739" spans="1:25" hidden="1">
      <c r="A3739" t="s">
        <v>18813</v>
      </c>
      <c r="B3739" t="s">
        <v>2017</v>
      </c>
      <c r="C3739" t="s">
        <v>1959</v>
      </c>
      <c r="D3739" t="s">
        <v>1817</v>
      </c>
      <c r="E3739" t="s">
        <v>1962</v>
      </c>
      <c r="F3739" t="s">
        <v>598</v>
      </c>
      <c r="G3739" t="s">
        <v>599</v>
      </c>
      <c r="H3739" t="s">
        <v>600</v>
      </c>
      <c r="I3739" t="s">
        <v>601</v>
      </c>
      <c r="J3739">
        <v>4.7399999999999998E-2</v>
      </c>
      <c r="K3739">
        <v>4.7500000000000001E-2</v>
      </c>
      <c r="L3739">
        <v>4.7600000000000003E-2</v>
      </c>
      <c r="M3739">
        <v>4.7600000000000003E-2</v>
      </c>
      <c r="N3739">
        <v>4.7699999999999999E-2</v>
      </c>
      <c r="O3739">
        <v>4.7800000000000002E-2</v>
      </c>
      <c r="P3739">
        <v>4.7899999999999998E-2</v>
      </c>
      <c r="Q3739">
        <v>4.8000000000000001E-2</v>
      </c>
      <c r="R3739">
        <v>4.8099999999999997E-2</v>
      </c>
      <c r="S3739">
        <v>4.82E-2</v>
      </c>
      <c r="T3739">
        <v>4.8300000000000003E-2</v>
      </c>
      <c r="U3739">
        <v>4.8399999999999999E-2</v>
      </c>
      <c r="V3739">
        <v>4.8500000000000001E-2</v>
      </c>
      <c r="W3739">
        <v>4.8599999999999997E-2</v>
      </c>
      <c r="X3739">
        <v>4.87E-2</v>
      </c>
      <c r="Y3739">
        <v>4.8800000000000003E-2</v>
      </c>
    </row>
    <row r="3740" spans="1:25" hidden="1">
      <c r="A3740" t="s">
        <v>18813</v>
      </c>
      <c r="B3740" t="s">
        <v>2019</v>
      </c>
      <c r="C3740" t="s">
        <v>1959</v>
      </c>
      <c r="D3740" t="s">
        <v>1817</v>
      </c>
      <c r="E3740" t="s">
        <v>1976</v>
      </c>
      <c r="F3740" t="s">
        <v>598</v>
      </c>
      <c r="G3740" t="s">
        <v>599</v>
      </c>
      <c r="H3740" t="s">
        <v>600</v>
      </c>
      <c r="I3740" t="s">
        <v>601</v>
      </c>
      <c r="J3740">
        <v>3.0000000000000001E-3</v>
      </c>
      <c r="K3740">
        <v>3.0000000000000001E-3</v>
      </c>
      <c r="L3740">
        <v>3.0000000000000001E-3</v>
      </c>
      <c r="M3740">
        <v>3.0000000000000001E-3</v>
      </c>
      <c r="N3740">
        <v>3.0000000000000001E-3</v>
      </c>
      <c r="O3740">
        <v>3.0999999999999999E-3</v>
      </c>
      <c r="P3740">
        <v>3.0999999999999999E-3</v>
      </c>
      <c r="Q3740">
        <v>3.0999999999999999E-3</v>
      </c>
      <c r="R3740">
        <v>3.0999999999999999E-3</v>
      </c>
      <c r="S3740">
        <v>3.2000000000000002E-3</v>
      </c>
      <c r="T3740">
        <v>3.2000000000000002E-3</v>
      </c>
      <c r="U3740">
        <v>3.2000000000000002E-3</v>
      </c>
      <c r="V3740">
        <v>3.2000000000000002E-3</v>
      </c>
      <c r="W3740">
        <v>3.3E-3</v>
      </c>
      <c r="X3740">
        <v>3.3E-3</v>
      </c>
      <c r="Y3740">
        <v>3.3999999999999998E-3</v>
      </c>
    </row>
    <row r="3741" spans="1:25" hidden="1">
      <c r="A3741" t="s">
        <v>18813</v>
      </c>
      <c r="B3741" t="s">
        <v>2020</v>
      </c>
      <c r="C3741" t="s">
        <v>1959</v>
      </c>
      <c r="D3741" t="s">
        <v>1817</v>
      </c>
      <c r="E3741" t="s">
        <v>1999</v>
      </c>
      <c r="F3741" t="s">
        <v>598</v>
      </c>
      <c r="G3741" t="s">
        <v>599</v>
      </c>
      <c r="H3741" t="s">
        <v>600</v>
      </c>
      <c r="I3741" t="s">
        <v>601</v>
      </c>
      <c r="J3741">
        <v>2.0000000000000001E-4</v>
      </c>
      <c r="K3741">
        <v>2.0000000000000001E-4</v>
      </c>
      <c r="L3741">
        <v>2.0000000000000001E-4</v>
      </c>
      <c r="M3741">
        <v>2.9999999999999997E-4</v>
      </c>
      <c r="N3741">
        <v>2.9999999999999997E-4</v>
      </c>
      <c r="O3741">
        <v>2.9999999999999997E-4</v>
      </c>
      <c r="P3741">
        <v>2.9999999999999997E-4</v>
      </c>
      <c r="Q3741">
        <v>2.9999999999999997E-4</v>
      </c>
      <c r="R3741">
        <v>2.9999999999999997E-4</v>
      </c>
      <c r="S3741">
        <v>2.9999999999999997E-4</v>
      </c>
      <c r="T3741">
        <v>2.9999999999999997E-4</v>
      </c>
      <c r="U3741">
        <v>2.9999999999999997E-4</v>
      </c>
      <c r="V3741">
        <v>2.9999999999999997E-4</v>
      </c>
      <c r="W3741">
        <v>2.9999999999999997E-4</v>
      </c>
      <c r="X3741">
        <v>2.9999999999999997E-4</v>
      </c>
      <c r="Y3741">
        <v>2.9999999999999997E-4</v>
      </c>
    </row>
    <row r="3742" spans="1:25" hidden="1">
      <c r="A3742" t="s">
        <v>18813</v>
      </c>
      <c r="B3742" t="s">
        <v>2028</v>
      </c>
      <c r="C3742" t="s">
        <v>1959</v>
      </c>
      <c r="D3742" t="s">
        <v>1817</v>
      </c>
      <c r="E3742" t="s">
        <v>1966</v>
      </c>
      <c r="F3742" t="s">
        <v>598</v>
      </c>
      <c r="G3742" t="s">
        <v>599</v>
      </c>
      <c r="H3742" t="s">
        <v>600</v>
      </c>
      <c r="I3742" t="s">
        <v>601</v>
      </c>
      <c r="J3742">
        <v>9.9000000000000008E-3</v>
      </c>
      <c r="K3742">
        <v>0.01</v>
      </c>
      <c r="L3742">
        <v>1.01E-2</v>
      </c>
      <c r="M3742">
        <v>1.01E-2</v>
      </c>
      <c r="N3742">
        <v>1.01E-2</v>
      </c>
      <c r="O3742">
        <v>1.0200000000000001E-2</v>
      </c>
      <c r="P3742">
        <v>1.0200000000000001E-2</v>
      </c>
      <c r="Q3742">
        <v>1.04E-2</v>
      </c>
      <c r="R3742">
        <v>1.06E-2</v>
      </c>
      <c r="S3742">
        <v>1.06E-2</v>
      </c>
      <c r="T3742">
        <v>1.06E-2</v>
      </c>
      <c r="U3742">
        <v>1.0800000000000001E-2</v>
      </c>
      <c r="V3742">
        <v>1.0800000000000001E-2</v>
      </c>
      <c r="W3742">
        <v>1.0800000000000001E-2</v>
      </c>
      <c r="X3742">
        <v>1.09E-2</v>
      </c>
      <c r="Y3742">
        <v>1.09E-2</v>
      </c>
    </row>
    <row r="3743" spans="1:25" hidden="1">
      <c r="A3743" t="s">
        <v>18813</v>
      </c>
      <c r="B3743" t="s">
        <v>2039</v>
      </c>
      <c r="C3743" t="s">
        <v>1959</v>
      </c>
      <c r="D3743" t="s">
        <v>648</v>
      </c>
      <c r="E3743" t="s">
        <v>1378</v>
      </c>
      <c r="F3743" t="s">
        <v>598</v>
      </c>
      <c r="G3743" t="s">
        <v>599</v>
      </c>
      <c r="H3743" t="s">
        <v>600</v>
      </c>
      <c r="I3743" t="s">
        <v>601</v>
      </c>
      <c r="J3743">
        <v>0.1086</v>
      </c>
      <c r="K3743">
        <v>0.1103</v>
      </c>
      <c r="L3743">
        <v>0.1118</v>
      </c>
      <c r="M3743">
        <v>0.1135</v>
      </c>
      <c r="N3743">
        <v>0.1154</v>
      </c>
      <c r="O3743">
        <v>0.1169</v>
      </c>
      <c r="P3743">
        <v>0.11890000000000001</v>
      </c>
      <c r="Q3743">
        <v>0.1206</v>
      </c>
      <c r="R3743">
        <v>0.1211</v>
      </c>
      <c r="S3743">
        <v>0.1222</v>
      </c>
      <c r="T3743">
        <v>0.12280000000000001</v>
      </c>
      <c r="U3743">
        <v>0.12330000000000001</v>
      </c>
      <c r="V3743">
        <v>0.12470000000000001</v>
      </c>
      <c r="W3743">
        <v>0.12529999999999999</v>
      </c>
      <c r="X3743">
        <v>0.12620000000000001</v>
      </c>
      <c r="Y3743">
        <v>0.127</v>
      </c>
    </row>
    <row r="3744" spans="1:25" hidden="1">
      <c r="A3744" t="s">
        <v>18813</v>
      </c>
      <c r="B3744" t="s">
        <v>2040</v>
      </c>
      <c r="C3744" t="s">
        <v>1959</v>
      </c>
      <c r="D3744" t="s">
        <v>648</v>
      </c>
      <c r="E3744" t="s">
        <v>1962</v>
      </c>
      <c r="F3744" t="s">
        <v>598</v>
      </c>
      <c r="G3744" t="s">
        <v>599</v>
      </c>
      <c r="H3744" t="s">
        <v>600</v>
      </c>
      <c r="I3744" t="s">
        <v>601</v>
      </c>
      <c r="J3744">
        <v>8.5000000000000006E-2</v>
      </c>
      <c r="K3744">
        <v>8.7099999999999997E-2</v>
      </c>
      <c r="L3744">
        <v>8.8800000000000004E-2</v>
      </c>
      <c r="M3744">
        <v>9.06E-2</v>
      </c>
      <c r="N3744">
        <v>9.2299999999999993E-2</v>
      </c>
      <c r="O3744">
        <v>9.4E-2</v>
      </c>
      <c r="P3744">
        <v>9.4700000000000006E-2</v>
      </c>
      <c r="Q3744">
        <v>9.5399999999999999E-2</v>
      </c>
      <c r="R3744">
        <v>9.6100000000000005E-2</v>
      </c>
      <c r="S3744">
        <v>9.6799999999999997E-2</v>
      </c>
      <c r="T3744">
        <v>9.7500000000000003E-2</v>
      </c>
      <c r="U3744">
        <v>9.8100000000000007E-2</v>
      </c>
      <c r="V3744">
        <v>9.8599999999999993E-2</v>
      </c>
      <c r="W3744">
        <v>9.9199999999999997E-2</v>
      </c>
      <c r="X3744">
        <v>9.9699999999999997E-2</v>
      </c>
      <c r="Y3744">
        <v>0.1003</v>
      </c>
    </row>
    <row r="3745" spans="1:25" hidden="1">
      <c r="A3745" t="s">
        <v>18813</v>
      </c>
      <c r="B3745" t="s">
        <v>2042</v>
      </c>
      <c r="C3745" t="s">
        <v>1959</v>
      </c>
      <c r="D3745" t="s">
        <v>648</v>
      </c>
      <c r="E3745" t="s">
        <v>1380</v>
      </c>
      <c r="F3745" t="s">
        <v>598</v>
      </c>
      <c r="G3745" t="s">
        <v>599</v>
      </c>
      <c r="H3745" t="s">
        <v>600</v>
      </c>
      <c r="I3745" t="s">
        <v>601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hidden="1">
      <c r="A3746" t="s">
        <v>18813</v>
      </c>
      <c r="B3746" t="s">
        <v>2043</v>
      </c>
      <c r="C3746" t="s">
        <v>1959</v>
      </c>
      <c r="D3746" t="s">
        <v>648</v>
      </c>
      <c r="E3746" t="s">
        <v>1976</v>
      </c>
      <c r="F3746" t="s">
        <v>598</v>
      </c>
      <c r="G3746" t="s">
        <v>599</v>
      </c>
      <c r="H3746" t="s">
        <v>600</v>
      </c>
      <c r="I3746" t="s">
        <v>601</v>
      </c>
      <c r="J3746">
        <v>2.8E-3</v>
      </c>
      <c r="K3746">
        <v>3.0000000000000001E-3</v>
      </c>
      <c r="L3746">
        <v>3.0999999999999999E-3</v>
      </c>
      <c r="M3746">
        <v>3.2000000000000002E-3</v>
      </c>
      <c r="N3746">
        <v>3.3E-3</v>
      </c>
      <c r="O3746">
        <v>3.3999999999999998E-3</v>
      </c>
      <c r="P3746">
        <v>3.3999999999999998E-3</v>
      </c>
      <c r="Q3746">
        <v>3.5999999999999999E-3</v>
      </c>
      <c r="R3746">
        <v>3.5999999999999999E-3</v>
      </c>
      <c r="S3746">
        <v>3.7000000000000002E-3</v>
      </c>
      <c r="T3746">
        <v>3.7000000000000002E-3</v>
      </c>
      <c r="U3746">
        <v>3.8E-3</v>
      </c>
      <c r="V3746">
        <v>3.8E-3</v>
      </c>
      <c r="W3746">
        <v>3.8999999999999998E-3</v>
      </c>
      <c r="X3746">
        <v>3.8999999999999998E-3</v>
      </c>
      <c r="Y3746">
        <v>4.0000000000000001E-3</v>
      </c>
    </row>
    <row r="3747" spans="1:25" hidden="1">
      <c r="A3747" t="s">
        <v>18813</v>
      </c>
      <c r="B3747" t="s">
        <v>2046</v>
      </c>
      <c r="C3747" t="s">
        <v>1959</v>
      </c>
      <c r="D3747" t="s">
        <v>648</v>
      </c>
      <c r="E3747" t="s">
        <v>2047</v>
      </c>
      <c r="F3747" t="s">
        <v>598</v>
      </c>
      <c r="G3747" t="s">
        <v>599</v>
      </c>
      <c r="H3747" t="s">
        <v>600</v>
      </c>
      <c r="I3747" t="s">
        <v>601</v>
      </c>
      <c r="J3747">
        <v>1E-4</v>
      </c>
      <c r="K3747">
        <v>1E-4</v>
      </c>
      <c r="L3747">
        <v>1E-4</v>
      </c>
      <c r="M3747">
        <v>1E-4</v>
      </c>
      <c r="N3747">
        <v>1E-4</v>
      </c>
      <c r="O3747">
        <v>1E-4</v>
      </c>
      <c r="P3747">
        <v>1E-4</v>
      </c>
      <c r="Q3747">
        <v>1E-4</v>
      </c>
      <c r="R3747">
        <v>1E-4</v>
      </c>
      <c r="S3747">
        <v>1E-4</v>
      </c>
      <c r="T3747">
        <v>1E-4</v>
      </c>
      <c r="U3747">
        <v>1E-4</v>
      </c>
      <c r="V3747">
        <v>1E-4</v>
      </c>
      <c r="W3747">
        <v>1E-4</v>
      </c>
      <c r="X3747">
        <v>1E-4</v>
      </c>
      <c r="Y3747">
        <v>1E-4</v>
      </c>
    </row>
    <row r="3748" spans="1:25" hidden="1">
      <c r="A3748" t="s">
        <v>18813</v>
      </c>
      <c r="B3748" t="s">
        <v>2056</v>
      </c>
      <c r="C3748" t="s">
        <v>1959</v>
      </c>
      <c r="D3748" t="s">
        <v>648</v>
      </c>
      <c r="E3748" t="s">
        <v>2057</v>
      </c>
      <c r="F3748" t="s">
        <v>598</v>
      </c>
      <c r="G3748" t="s">
        <v>599</v>
      </c>
      <c r="H3748" t="s">
        <v>600</v>
      </c>
      <c r="I3748" t="s">
        <v>601</v>
      </c>
      <c r="J3748">
        <v>1.1299999999999999E-2</v>
      </c>
      <c r="K3748">
        <v>1.17E-2</v>
      </c>
      <c r="L3748">
        <v>1.21E-2</v>
      </c>
      <c r="M3748">
        <v>1.26E-2</v>
      </c>
      <c r="N3748">
        <v>1.3100000000000001E-2</v>
      </c>
      <c r="O3748">
        <v>1.37E-2</v>
      </c>
      <c r="P3748">
        <v>1.4200000000000001E-2</v>
      </c>
      <c r="Q3748">
        <v>1.4800000000000001E-2</v>
      </c>
      <c r="R3748">
        <v>1.49E-2</v>
      </c>
      <c r="S3748">
        <v>1.52E-2</v>
      </c>
      <c r="T3748">
        <v>1.54E-2</v>
      </c>
      <c r="U3748">
        <v>1.5599999999999999E-2</v>
      </c>
      <c r="V3748">
        <v>1.5800000000000002E-2</v>
      </c>
      <c r="W3748">
        <v>1.61E-2</v>
      </c>
      <c r="X3748">
        <v>1.6299999999999999E-2</v>
      </c>
      <c r="Y3748">
        <v>1.66E-2</v>
      </c>
    </row>
    <row r="3749" spans="1:25" hidden="1">
      <c r="A3749" t="s">
        <v>18813</v>
      </c>
      <c r="B3749" t="s">
        <v>2059</v>
      </c>
      <c r="C3749" t="s">
        <v>1959</v>
      </c>
      <c r="D3749" t="s">
        <v>648</v>
      </c>
      <c r="E3749" t="s">
        <v>2060</v>
      </c>
      <c r="F3749" t="s">
        <v>598</v>
      </c>
      <c r="G3749" t="s">
        <v>599</v>
      </c>
      <c r="H3749" t="s">
        <v>600</v>
      </c>
      <c r="I3749" t="s">
        <v>601</v>
      </c>
      <c r="J3749">
        <v>1E-4</v>
      </c>
      <c r="K3749">
        <v>1E-4</v>
      </c>
      <c r="L3749">
        <v>1E-4</v>
      </c>
      <c r="M3749">
        <v>1E-4</v>
      </c>
      <c r="N3749">
        <v>1E-4</v>
      </c>
      <c r="O3749">
        <v>2.0000000000000001E-4</v>
      </c>
      <c r="P3749">
        <v>2.0000000000000001E-4</v>
      </c>
      <c r="Q3749">
        <v>2.0000000000000001E-4</v>
      </c>
      <c r="R3749">
        <v>2.0000000000000001E-4</v>
      </c>
      <c r="S3749">
        <v>2.0000000000000001E-4</v>
      </c>
      <c r="T3749">
        <v>2.0000000000000001E-4</v>
      </c>
      <c r="U3749">
        <v>2.0000000000000001E-4</v>
      </c>
      <c r="V3749">
        <v>2.0000000000000001E-4</v>
      </c>
      <c r="W3749">
        <v>2.0000000000000001E-4</v>
      </c>
      <c r="X3749">
        <v>2.0000000000000001E-4</v>
      </c>
      <c r="Y3749">
        <v>2.0000000000000001E-4</v>
      </c>
    </row>
    <row r="3750" spans="1:25" hidden="1">
      <c r="A3750" t="s">
        <v>18813</v>
      </c>
      <c r="B3750" t="s">
        <v>2072</v>
      </c>
      <c r="C3750" t="s">
        <v>1959</v>
      </c>
      <c r="D3750" t="s">
        <v>648</v>
      </c>
      <c r="E3750" t="s">
        <v>1966</v>
      </c>
      <c r="F3750" t="s">
        <v>598</v>
      </c>
      <c r="G3750" t="s">
        <v>599</v>
      </c>
      <c r="H3750" t="s">
        <v>600</v>
      </c>
      <c r="I3750" t="s">
        <v>601</v>
      </c>
      <c r="J3750">
        <v>3.7000000000000002E-3</v>
      </c>
      <c r="K3750">
        <v>3.8E-3</v>
      </c>
      <c r="L3750">
        <v>3.8999999999999998E-3</v>
      </c>
      <c r="M3750">
        <v>3.8999999999999998E-3</v>
      </c>
      <c r="N3750">
        <v>4.0000000000000001E-3</v>
      </c>
      <c r="O3750">
        <v>4.0000000000000001E-3</v>
      </c>
      <c r="P3750">
        <v>4.0000000000000001E-3</v>
      </c>
      <c r="Q3750">
        <v>4.1999999999999997E-3</v>
      </c>
      <c r="R3750">
        <v>4.1999999999999997E-3</v>
      </c>
      <c r="S3750">
        <v>4.3E-3</v>
      </c>
      <c r="T3750">
        <v>4.3E-3</v>
      </c>
      <c r="U3750">
        <v>4.3E-3</v>
      </c>
      <c r="V3750">
        <v>4.3E-3</v>
      </c>
      <c r="W3750">
        <v>4.4999999999999997E-3</v>
      </c>
      <c r="X3750">
        <v>4.7000000000000002E-3</v>
      </c>
      <c r="Y3750">
        <v>4.7000000000000002E-3</v>
      </c>
    </row>
    <row r="3751" spans="1:25" hidden="1">
      <c r="A3751" t="s">
        <v>18813</v>
      </c>
      <c r="B3751" t="s">
        <v>2074</v>
      </c>
      <c r="C3751" t="s">
        <v>2075</v>
      </c>
      <c r="D3751" t="s">
        <v>1332</v>
      </c>
      <c r="E3751" t="s">
        <v>1684</v>
      </c>
      <c r="F3751" t="s">
        <v>598</v>
      </c>
      <c r="G3751" t="s">
        <v>599</v>
      </c>
      <c r="H3751" t="s">
        <v>600</v>
      </c>
      <c r="I3751" t="s">
        <v>601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hidden="1">
      <c r="A3752" t="s">
        <v>18813</v>
      </c>
      <c r="B3752" t="s">
        <v>2076</v>
      </c>
      <c r="C3752" t="s">
        <v>2075</v>
      </c>
      <c r="D3752" t="s">
        <v>1435</v>
      </c>
      <c r="E3752" t="s">
        <v>973</v>
      </c>
      <c r="F3752" t="s">
        <v>598</v>
      </c>
      <c r="G3752" t="s">
        <v>599</v>
      </c>
      <c r="H3752" t="s">
        <v>600</v>
      </c>
      <c r="I3752" t="s">
        <v>601</v>
      </c>
      <c r="J3752">
        <v>7.0099999999999996E-2</v>
      </c>
      <c r="K3752">
        <v>7.1999999999999995E-2</v>
      </c>
      <c r="L3752">
        <v>7.3499999999999996E-2</v>
      </c>
      <c r="M3752">
        <v>7.4499999999999997E-2</v>
      </c>
      <c r="N3752">
        <v>7.5999999999999998E-2</v>
      </c>
      <c r="O3752">
        <v>7.7399999999999997E-2</v>
      </c>
      <c r="P3752">
        <v>7.9000000000000001E-2</v>
      </c>
      <c r="Q3752">
        <v>8.0500000000000002E-2</v>
      </c>
      <c r="R3752">
        <v>8.1199999999999994E-2</v>
      </c>
      <c r="S3752">
        <v>8.2199999999999995E-2</v>
      </c>
      <c r="T3752">
        <v>8.3000000000000004E-2</v>
      </c>
      <c r="U3752">
        <v>8.3699999999999997E-2</v>
      </c>
      <c r="V3752">
        <v>8.4500000000000006E-2</v>
      </c>
      <c r="W3752">
        <v>8.5099999999999995E-2</v>
      </c>
      <c r="X3752">
        <v>8.5699999999999998E-2</v>
      </c>
      <c r="Y3752">
        <v>8.6499999999999994E-2</v>
      </c>
    </row>
    <row r="3753" spans="1:25" hidden="1">
      <c r="A3753" t="s">
        <v>18813</v>
      </c>
      <c r="B3753" t="s">
        <v>2078</v>
      </c>
      <c r="C3753" t="s">
        <v>2075</v>
      </c>
      <c r="D3753" t="s">
        <v>2079</v>
      </c>
      <c r="E3753" t="s">
        <v>1378</v>
      </c>
      <c r="F3753" t="s">
        <v>598</v>
      </c>
      <c r="G3753" t="s">
        <v>599</v>
      </c>
      <c r="H3753" t="s">
        <v>600</v>
      </c>
      <c r="I3753" t="s">
        <v>601</v>
      </c>
      <c r="J3753">
        <v>3.3300000000000003E-2</v>
      </c>
      <c r="K3753">
        <v>3.4200000000000001E-2</v>
      </c>
      <c r="L3753">
        <v>3.5000000000000003E-2</v>
      </c>
      <c r="M3753">
        <v>3.5900000000000001E-2</v>
      </c>
      <c r="N3753">
        <v>3.6600000000000001E-2</v>
      </c>
      <c r="O3753">
        <v>3.7400000000000003E-2</v>
      </c>
      <c r="P3753">
        <v>3.8399999999999997E-2</v>
      </c>
      <c r="Q3753">
        <v>3.9199999999999999E-2</v>
      </c>
      <c r="R3753">
        <v>3.9600000000000003E-2</v>
      </c>
      <c r="S3753">
        <v>0.04</v>
      </c>
      <c r="T3753">
        <v>4.0500000000000001E-2</v>
      </c>
      <c r="U3753">
        <v>4.0899999999999999E-2</v>
      </c>
      <c r="V3753">
        <v>4.1300000000000003E-2</v>
      </c>
      <c r="W3753">
        <v>4.1700000000000001E-2</v>
      </c>
      <c r="X3753">
        <v>4.2299999999999997E-2</v>
      </c>
      <c r="Y3753">
        <v>4.2700000000000002E-2</v>
      </c>
    </row>
    <row r="3754" spans="1:25" hidden="1">
      <c r="A3754" t="s">
        <v>18813</v>
      </c>
      <c r="B3754" t="s">
        <v>2085</v>
      </c>
      <c r="C3754" t="s">
        <v>2075</v>
      </c>
      <c r="D3754" t="s">
        <v>2079</v>
      </c>
      <c r="E3754" t="s">
        <v>2086</v>
      </c>
      <c r="F3754" t="s">
        <v>598</v>
      </c>
      <c r="G3754" t="s">
        <v>599</v>
      </c>
      <c r="H3754" t="s">
        <v>600</v>
      </c>
      <c r="I3754" t="s">
        <v>601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hidden="1">
      <c r="A3755" t="s">
        <v>18813</v>
      </c>
      <c r="B3755" t="s">
        <v>2092</v>
      </c>
      <c r="C3755" t="s">
        <v>2075</v>
      </c>
      <c r="D3755" t="s">
        <v>2090</v>
      </c>
      <c r="E3755" t="s">
        <v>1378</v>
      </c>
      <c r="F3755" t="s">
        <v>598</v>
      </c>
      <c r="G3755" t="s">
        <v>599</v>
      </c>
      <c r="H3755" t="s">
        <v>600</v>
      </c>
      <c r="I3755" t="s">
        <v>601</v>
      </c>
      <c r="J3755">
        <v>1.09E-2</v>
      </c>
      <c r="K3755">
        <v>1.11E-2</v>
      </c>
      <c r="L3755">
        <v>1.11E-2</v>
      </c>
      <c r="M3755">
        <v>1.1599999999999999E-2</v>
      </c>
      <c r="N3755">
        <v>1.1599999999999999E-2</v>
      </c>
      <c r="O3755">
        <v>1.1900000000000001E-2</v>
      </c>
      <c r="P3755">
        <v>1.2200000000000001E-2</v>
      </c>
      <c r="Q3755">
        <v>1.24E-2</v>
      </c>
      <c r="R3755">
        <v>1.2500000000000001E-2</v>
      </c>
      <c r="S3755">
        <v>1.2500000000000001E-2</v>
      </c>
      <c r="T3755">
        <v>1.26E-2</v>
      </c>
      <c r="U3755">
        <v>1.2800000000000001E-2</v>
      </c>
      <c r="V3755">
        <v>1.2800000000000001E-2</v>
      </c>
      <c r="W3755">
        <v>1.29E-2</v>
      </c>
      <c r="X3755">
        <v>1.2999999999999999E-2</v>
      </c>
      <c r="Y3755">
        <v>1.3100000000000001E-2</v>
      </c>
    </row>
    <row r="3756" spans="1:25" hidden="1">
      <c r="A3756" t="s">
        <v>18813</v>
      </c>
      <c r="B3756" t="s">
        <v>2101</v>
      </c>
      <c r="C3756" t="s">
        <v>2075</v>
      </c>
      <c r="D3756" t="s">
        <v>2090</v>
      </c>
      <c r="E3756" t="s">
        <v>2102</v>
      </c>
      <c r="F3756" t="s">
        <v>598</v>
      </c>
      <c r="G3756" t="s">
        <v>599</v>
      </c>
      <c r="H3756" t="s">
        <v>600</v>
      </c>
      <c r="I3756" t="s">
        <v>601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hidden="1">
      <c r="A3757" t="s">
        <v>18813</v>
      </c>
      <c r="B3757" t="s">
        <v>2104</v>
      </c>
      <c r="C3757" t="s">
        <v>2075</v>
      </c>
      <c r="D3757" t="s">
        <v>648</v>
      </c>
      <c r="E3757" t="s">
        <v>605</v>
      </c>
      <c r="F3757" t="s">
        <v>598</v>
      </c>
      <c r="G3757" t="s">
        <v>599</v>
      </c>
      <c r="H3757" t="s">
        <v>600</v>
      </c>
      <c r="I3757" t="s">
        <v>601</v>
      </c>
      <c r="J3757">
        <v>1.1000000000000001E-3</v>
      </c>
      <c r="K3757">
        <v>1.1000000000000001E-3</v>
      </c>
      <c r="L3757">
        <v>1.1000000000000001E-3</v>
      </c>
      <c r="M3757">
        <v>1.1000000000000001E-3</v>
      </c>
      <c r="N3757">
        <v>1.1000000000000001E-3</v>
      </c>
      <c r="O3757">
        <v>1.1000000000000001E-3</v>
      </c>
      <c r="P3757">
        <v>1.1000000000000001E-3</v>
      </c>
      <c r="Q3757">
        <v>1.1000000000000001E-3</v>
      </c>
      <c r="R3757">
        <v>1.1000000000000001E-3</v>
      </c>
      <c r="S3757">
        <v>1.1000000000000001E-3</v>
      </c>
      <c r="T3757">
        <v>1.1000000000000001E-3</v>
      </c>
      <c r="U3757">
        <v>1.1000000000000001E-3</v>
      </c>
      <c r="V3757">
        <v>1.1000000000000001E-3</v>
      </c>
      <c r="W3757">
        <v>1.1000000000000001E-3</v>
      </c>
      <c r="X3757">
        <v>1.1000000000000001E-3</v>
      </c>
      <c r="Y3757">
        <v>1.1999999999999999E-3</v>
      </c>
    </row>
    <row r="3758" spans="1:25" hidden="1">
      <c r="A3758" t="s">
        <v>18813</v>
      </c>
      <c r="B3758" t="s">
        <v>2106</v>
      </c>
      <c r="C3758" t="s">
        <v>2075</v>
      </c>
      <c r="D3758" t="s">
        <v>648</v>
      </c>
      <c r="E3758" t="s">
        <v>1378</v>
      </c>
      <c r="F3758" t="s">
        <v>598</v>
      </c>
      <c r="G3758" t="s">
        <v>599</v>
      </c>
      <c r="H3758" t="s">
        <v>600</v>
      </c>
      <c r="I3758" t="s">
        <v>601</v>
      </c>
      <c r="J3758">
        <v>7.6E-3</v>
      </c>
      <c r="K3758">
        <v>7.9000000000000008E-3</v>
      </c>
      <c r="L3758">
        <v>8.3000000000000001E-3</v>
      </c>
      <c r="M3758">
        <v>8.6999999999999994E-3</v>
      </c>
      <c r="N3758">
        <v>9.1000000000000004E-3</v>
      </c>
      <c r="O3758">
        <v>9.5999999999999992E-3</v>
      </c>
      <c r="P3758">
        <v>0.01</v>
      </c>
      <c r="Q3758">
        <v>1.0500000000000001E-2</v>
      </c>
      <c r="R3758">
        <v>1.0800000000000001E-2</v>
      </c>
      <c r="S3758">
        <v>1.0999999999999999E-2</v>
      </c>
      <c r="T3758">
        <v>1.1299999999999999E-2</v>
      </c>
      <c r="U3758">
        <v>1.15E-2</v>
      </c>
      <c r="V3758">
        <v>1.18E-2</v>
      </c>
      <c r="W3758">
        <v>1.21E-2</v>
      </c>
      <c r="X3758">
        <v>1.2500000000000001E-2</v>
      </c>
      <c r="Y3758">
        <v>1.2699999999999999E-2</v>
      </c>
    </row>
    <row r="3759" spans="1:25" hidden="1">
      <c r="A3759" t="s">
        <v>18813</v>
      </c>
      <c r="B3759" t="s">
        <v>2109</v>
      </c>
      <c r="C3759" t="s">
        <v>2075</v>
      </c>
      <c r="D3759" t="s">
        <v>648</v>
      </c>
      <c r="E3759" t="s">
        <v>2022</v>
      </c>
      <c r="F3759" t="s">
        <v>598</v>
      </c>
      <c r="G3759" t="s">
        <v>599</v>
      </c>
      <c r="H3759" t="s">
        <v>600</v>
      </c>
      <c r="I3759" t="s">
        <v>601</v>
      </c>
      <c r="J3759">
        <v>5.2200000000000003E-2</v>
      </c>
      <c r="K3759">
        <v>5.2999999999999999E-2</v>
      </c>
      <c r="L3759">
        <v>5.3699999999999998E-2</v>
      </c>
      <c r="M3759">
        <v>5.4399999999999997E-2</v>
      </c>
      <c r="N3759">
        <v>5.5300000000000002E-2</v>
      </c>
      <c r="O3759">
        <v>5.6000000000000001E-2</v>
      </c>
      <c r="P3759">
        <v>5.7299999999999997E-2</v>
      </c>
      <c r="Q3759">
        <v>5.8500000000000003E-2</v>
      </c>
      <c r="R3759">
        <v>5.8999999999999997E-2</v>
      </c>
      <c r="S3759">
        <v>5.9799999999999999E-2</v>
      </c>
      <c r="T3759">
        <v>6.0400000000000002E-2</v>
      </c>
      <c r="U3759">
        <v>6.1100000000000002E-2</v>
      </c>
      <c r="V3759">
        <v>6.1699999999999998E-2</v>
      </c>
      <c r="W3759">
        <v>6.25E-2</v>
      </c>
      <c r="X3759">
        <v>6.3200000000000006E-2</v>
      </c>
      <c r="Y3759">
        <v>6.4000000000000001E-2</v>
      </c>
    </row>
    <row r="3760" spans="1:25" hidden="1">
      <c r="A3760" t="s">
        <v>18813</v>
      </c>
      <c r="B3760" t="s">
        <v>2111</v>
      </c>
      <c r="C3760" t="s">
        <v>2075</v>
      </c>
      <c r="D3760" t="s">
        <v>648</v>
      </c>
      <c r="E3760" t="s">
        <v>2099</v>
      </c>
      <c r="F3760" t="s">
        <v>598</v>
      </c>
      <c r="G3760" t="s">
        <v>599</v>
      </c>
      <c r="H3760" t="s">
        <v>600</v>
      </c>
      <c r="I3760" t="s">
        <v>601</v>
      </c>
      <c r="J3760">
        <v>3.8600000000000002E-2</v>
      </c>
      <c r="K3760">
        <v>3.9399999999999998E-2</v>
      </c>
      <c r="L3760">
        <v>4.0399999999999998E-2</v>
      </c>
      <c r="M3760">
        <v>4.1300000000000003E-2</v>
      </c>
      <c r="N3760">
        <v>4.2099999999999999E-2</v>
      </c>
      <c r="O3760">
        <v>4.3099999999999999E-2</v>
      </c>
      <c r="P3760">
        <v>4.41E-2</v>
      </c>
      <c r="Q3760">
        <v>4.48E-2</v>
      </c>
      <c r="R3760">
        <v>4.5499999999999999E-2</v>
      </c>
      <c r="S3760">
        <v>4.5900000000000003E-2</v>
      </c>
      <c r="T3760">
        <v>4.6600000000000003E-2</v>
      </c>
      <c r="U3760">
        <v>4.7300000000000002E-2</v>
      </c>
      <c r="V3760">
        <v>4.7600000000000003E-2</v>
      </c>
      <c r="W3760">
        <v>4.8000000000000001E-2</v>
      </c>
      <c r="X3760">
        <v>4.87E-2</v>
      </c>
      <c r="Y3760">
        <v>4.9200000000000001E-2</v>
      </c>
    </row>
    <row r="3761" spans="1:25" hidden="1">
      <c r="A3761" t="s">
        <v>18813</v>
      </c>
      <c r="B3761" t="s">
        <v>2115</v>
      </c>
      <c r="C3761" t="s">
        <v>2116</v>
      </c>
      <c r="D3761" t="s">
        <v>1435</v>
      </c>
      <c r="E3761" t="s">
        <v>973</v>
      </c>
      <c r="F3761" t="s">
        <v>598</v>
      </c>
      <c r="G3761" t="s">
        <v>599</v>
      </c>
      <c r="H3761" t="s">
        <v>600</v>
      </c>
      <c r="I3761" t="s">
        <v>601</v>
      </c>
      <c r="J3761">
        <v>4.5999999999999999E-3</v>
      </c>
      <c r="K3761">
        <v>4.7999999999999996E-3</v>
      </c>
      <c r="L3761">
        <v>4.8999999999999998E-3</v>
      </c>
      <c r="M3761">
        <v>5.0000000000000001E-3</v>
      </c>
      <c r="N3761">
        <v>5.1000000000000004E-3</v>
      </c>
      <c r="O3761">
        <v>5.1999999999999998E-3</v>
      </c>
      <c r="P3761">
        <v>5.3E-3</v>
      </c>
      <c r="Q3761">
        <v>5.4999999999999997E-3</v>
      </c>
      <c r="R3761">
        <v>5.4999999999999997E-3</v>
      </c>
      <c r="S3761">
        <v>5.5999999999999999E-3</v>
      </c>
      <c r="T3761">
        <v>5.5999999999999999E-3</v>
      </c>
      <c r="U3761">
        <v>5.5999999999999999E-3</v>
      </c>
      <c r="V3761">
        <v>5.5999999999999999E-3</v>
      </c>
      <c r="W3761">
        <v>5.5999999999999999E-3</v>
      </c>
      <c r="X3761">
        <v>5.7000000000000002E-3</v>
      </c>
      <c r="Y3761">
        <v>5.7000000000000002E-3</v>
      </c>
    </row>
    <row r="3762" spans="1:25" hidden="1">
      <c r="A3762" t="s">
        <v>18813</v>
      </c>
      <c r="B3762" t="s">
        <v>2117</v>
      </c>
      <c r="C3762" t="s">
        <v>2116</v>
      </c>
      <c r="D3762" t="s">
        <v>2118</v>
      </c>
      <c r="E3762" t="s">
        <v>2119</v>
      </c>
      <c r="F3762" t="s">
        <v>598</v>
      </c>
      <c r="G3762" t="s">
        <v>599</v>
      </c>
      <c r="H3762" t="s">
        <v>600</v>
      </c>
      <c r="I3762" t="s">
        <v>601</v>
      </c>
      <c r="J3762">
        <v>4.9799999999999997E-2</v>
      </c>
      <c r="K3762">
        <v>5.0999999999999997E-2</v>
      </c>
      <c r="L3762">
        <v>5.2200000000000003E-2</v>
      </c>
      <c r="M3762">
        <v>5.33E-2</v>
      </c>
      <c r="N3762">
        <v>5.4600000000000003E-2</v>
      </c>
      <c r="O3762">
        <v>5.5800000000000002E-2</v>
      </c>
      <c r="P3762">
        <v>5.6899999999999999E-2</v>
      </c>
      <c r="Q3762">
        <v>5.7799999999999997E-2</v>
      </c>
      <c r="R3762">
        <v>5.8299999999999998E-2</v>
      </c>
      <c r="S3762">
        <v>5.8799999999999998E-2</v>
      </c>
      <c r="T3762">
        <v>5.9299999999999999E-2</v>
      </c>
      <c r="U3762">
        <v>5.9499999999999997E-2</v>
      </c>
      <c r="V3762">
        <v>5.9900000000000002E-2</v>
      </c>
      <c r="W3762">
        <v>6.0400000000000002E-2</v>
      </c>
      <c r="X3762">
        <v>6.0600000000000001E-2</v>
      </c>
      <c r="Y3762">
        <v>6.0999999999999999E-2</v>
      </c>
    </row>
    <row r="3763" spans="1:25" hidden="1">
      <c r="A3763" t="s">
        <v>18813</v>
      </c>
      <c r="B3763" t="s">
        <v>2120</v>
      </c>
      <c r="C3763" t="s">
        <v>2116</v>
      </c>
      <c r="D3763" t="s">
        <v>2121</v>
      </c>
      <c r="E3763" t="s">
        <v>2119</v>
      </c>
      <c r="F3763" t="s">
        <v>598</v>
      </c>
      <c r="G3763" t="s">
        <v>599</v>
      </c>
      <c r="H3763" t="s">
        <v>600</v>
      </c>
      <c r="I3763" t="s">
        <v>601</v>
      </c>
      <c r="J3763">
        <v>3.0999999999999999E-3</v>
      </c>
      <c r="K3763">
        <v>3.2000000000000002E-3</v>
      </c>
      <c r="L3763">
        <v>3.3E-3</v>
      </c>
      <c r="M3763">
        <v>3.3E-3</v>
      </c>
      <c r="N3763">
        <v>3.3999999999999998E-3</v>
      </c>
      <c r="O3763">
        <v>3.5000000000000001E-3</v>
      </c>
      <c r="P3763">
        <v>3.5999999999999999E-3</v>
      </c>
      <c r="Q3763">
        <v>3.5999999999999999E-3</v>
      </c>
      <c r="R3763">
        <v>3.7000000000000002E-3</v>
      </c>
      <c r="S3763">
        <v>3.7000000000000002E-3</v>
      </c>
      <c r="T3763">
        <v>3.7000000000000002E-3</v>
      </c>
      <c r="U3763">
        <v>3.8E-3</v>
      </c>
      <c r="V3763">
        <v>3.8E-3</v>
      </c>
      <c r="W3763">
        <v>3.8E-3</v>
      </c>
      <c r="X3763">
        <v>3.8E-3</v>
      </c>
      <c r="Y3763">
        <v>3.8999999999999998E-3</v>
      </c>
    </row>
    <row r="3764" spans="1:25" hidden="1">
      <c r="A3764" t="s">
        <v>18813</v>
      </c>
      <c r="B3764" t="s">
        <v>2126</v>
      </c>
      <c r="C3764" t="s">
        <v>2116</v>
      </c>
      <c r="D3764" t="s">
        <v>2127</v>
      </c>
      <c r="E3764" t="s">
        <v>656</v>
      </c>
      <c r="F3764" t="s">
        <v>598</v>
      </c>
      <c r="G3764" t="s">
        <v>599</v>
      </c>
      <c r="H3764" t="s">
        <v>600</v>
      </c>
      <c r="I3764" t="s">
        <v>601</v>
      </c>
      <c r="J3764">
        <v>1.41E-2</v>
      </c>
      <c r="K3764">
        <v>1.47E-2</v>
      </c>
      <c r="L3764">
        <v>1.5100000000000001E-2</v>
      </c>
      <c r="M3764">
        <v>1.54E-2</v>
      </c>
      <c r="N3764">
        <v>1.5900000000000001E-2</v>
      </c>
      <c r="O3764">
        <v>1.6199999999999999E-2</v>
      </c>
      <c r="P3764">
        <v>1.67E-2</v>
      </c>
      <c r="Q3764">
        <v>1.72E-2</v>
      </c>
      <c r="R3764">
        <v>1.7399999999999999E-2</v>
      </c>
      <c r="S3764">
        <v>1.7500000000000002E-2</v>
      </c>
      <c r="T3764">
        <v>1.77E-2</v>
      </c>
      <c r="U3764">
        <v>1.7899999999999999E-2</v>
      </c>
      <c r="V3764">
        <v>1.7899999999999999E-2</v>
      </c>
      <c r="W3764">
        <v>1.8100000000000002E-2</v>
      </c>
      <c r="X3764">
        <v>1.83E-2</v>
      </c>
      <c r="Y3764">
        <v>1.84E-2</v>
      </c>
    </row>
    <row r="3765" spans="1:25" hidden="1">
      <c r="A3765" t="s">
        <v>18813</v>
      </c>
      <c r="B3765" t="s">
        <v>2128</v>
      </c>
      <c r="C3765" t="s">
        <v>2116</v>
      </c>
      <c r="D3765" t="s">
        <v>648</v>
      </c>
      <c r="E3765" t="s">
        <v>656</v>
      </c>
      <c r="F3765" t="s">
        <v>598</v>
      </c>
      <c r="G3765" t="s">
        <v>599</v>
      </c>
      <c r="H3765" t="s">
        <v>600</v>
      </c>
      <c r="I3765" t="s">
        <v>601</v>
      </c>
      <c r="J3765">
        <v>2.4868000000000001</v>
      </c>
      <c r="K3765">
        <v>2.5552000000000001</v>
      </c>
      <c r="L3765">
        <v>2.6246</v>
      </c>
      <c r="M3765">
        <v>2.6955</v>
      </c>
      <c r="N3765">
        <v>2.7702</v>
      </c>
      <c r="O3765">
        <v>2.8448000000000002</v>
      </c>
      <c r="P3765">
        <v>2.9175</v>
      </c>
      <c r="Q3765">
        <v>2.99</v>
      </c>
      <c r="R3765">
        <v>3.0173000000000001</v>
      </c>
      <c r="S3765">
        <v>3.0436000000000001</v>
      </c>
      <c r="T3765">
        <v>3.0682999999999998</v>
      </c>
      <c r="U3765">
        <v>3.0943000000000001</v>
      </c>
      <c r="V3765">
        <v>3.1194999999999999</v>
      </c>
      <c r="W3765">
        <v>3.1435</v>
      </c>
      <c r="X3765">
        <v>3.1686000000000001</v>
      </c>
      <c r="Y3765">
        <v>3.1924999999999999</v>
      </c>
    </row>
    <row r="3766" spans="1:25" hidden="1">
      <c r="A3766" t="s">
        <v>18813</v>
      </c>
      <c r="B3766" t="s">
        <v>2129</v>
      </c>
      <c r="C3766" t="s">
        <v>2116</v>
      </c>
      <c r="D3766" t="s">
        <v>648</v>
      </c>
      <c r="E3766" t="s">
        <v>2119</v>
      </c>
      <c r="F3766" t="s">
        <v>598</v>
      </c>
      <c r="G3766" t="s">
        <v>599</v>
      </c>
      <c r="H3766" t="s">
        <v>600</v>
      </c>
      <c r="I3766" t="s">
        <v>601</v>
      </c>
      <c r="J3766">
        <v>3.3999999999999998E-3</v>
      </c>
      <c r="K3766">
        <v>3.5000000000000001E-3</v>
      </c>
      <c r="L3766">
        <v>3.5999999999999999E-3</v>
      </c>
      <c r="M3766">
        <v>3.7000000000000002E-3</v>
      </c>
      <c r="N3766">
        <v>3.8E-3</v>
      </c>
      <c r="O3766">
        <v>3.8999999999999998E-3</v>
      </c>
      <c r="P3766">
        <v>4.0000000000000001E-3</v>
      </c>
      <c r="Q3766">
        <v>4.1000000000000003E-3</v>
      </c>
      <c r="R3766">
        <v>4.1000000000000003E-3</v>
      </c>
      <c r="S3766">
        <v>4.1000000000000003E-3</v>
      </c>
      <c r="T3766">
        <v>4.1000000000000003E-3</v>
      </c>
      <c r="U3766">
        <v>4.1999999999999997E-3</v>
      </c>
      <c r="V3766">
        <v>4.1999999999999997E-3</v>
      </c>
      <c r="W3766">
        <v>4.1999999999999997E-3</v>
      </c>
      <c r="X3766">
        <v>4.1999999999999997E-3</v>
      </c>
      <c r="Y3766">
        <v>4.1999999999999997E-3</v>
      </c>
    </row>
    <row r="3767" spans="1:25" hidden="1">
      <c r="A3767" t="s">
        <v>18813</v>
      </c>
      <c r="B3767" t="s">
        <v>2132</v>
      </c>
      <c r="C3767" t="s">
        <v>2131</v>
      </c>
      <c r="D3767" t="s">
        <v>1435</v>
      </c>
      <c r="E3767" t="s">
        <v>973</v>
      </c>
      <c r="F3767" t="s">
        <v>598</v>
      </c>
      <c r="G3767" t="s">
        <v>599</v>
      </c>
      <c r="H3767" t="s">
        <v>600</v>
      </c>
      <c r="I3767" t="s">
        <v>601</v>
      </c>
      <c r="J3767">
        <v>1.23E-2</v>
      </c>
      <c r="K3767">
        <v>1.2500000000000001E-2</v>
      </c>
      <c r="L3767">
        <v>1.2800000000000001E-2</v>
      </c>
      <c r="M3767">
        <v>1.3100000000000001E-2</v>
      </c>
      <c r="N3767">
        <v>1.34E-2</v>
      </c>
      <c r="O3767">
        <v>1.37E-2</v>
      </c>
      <c r="P3767">
        <v>1.3899999999999999E-2</v>
      </c>
      <c r="Q3767">
        <v>1.4200000000000001E-2</v>
      </c>
      <c r="R3767">
        <v>1.43E-2</v>
      </c>
      <c r="S3767">
        <v>1.44E-2</v>
      </c>
      <c r="T3767">
        <v>1.4500000000000001E-2</v>
      </c>
      <c r="U3767">
        <v>1.46E-2</v>
      </c>
      <c r="V3767">
        <v>1.47E-2</v>
      </c>
      <c r="W3767">
        <v>1.4800000000000001E-2</v>
      </c>
      <c r="X3767">
        <v>1.49E-2</v>
      </c>
      <c r="Y3767">
        <v>1.4999999999999999E-2</v>
      </c>
    </row>
    <row r="3768" spans="1:25" hidden="1">
      <c r="A3768" t="s">
        <v>18813</v>
      </c>
      <c r="B3768" t="s">
        <v>2136</v>
      </c>
      <c r="C3768" t="s">
        <v>2131</v>
      </c>
      <c r="D3768" t="s">
        <v>2134</v>
      </c>
      <c r="E3768" t="s">
        <v>2137</v>
      </c>
      <c r="F3768" t="s">
        <v>598</v>
      </c>
      <c r="G3768" t="s">
        <v>599</v>
      </c>
      <c r="H3768" t="s">
        <v>600</v>
      </c>
      <c r="I3768" t="s">
        <v>601</v>
      </c>
      <c r="J3768">
        <v>9.7100000000000006E-2</v>
      </c>
      <c r="K3768">
        <v>9.9199999999999997E-2</v>
      </c>
      <c r="L3768">
        <v>0.1012</v>
      </c>
      <c r="M3768">
        <v>0.10349999999999999</v>
      </c>
      <c r="N3768">
        <v>0.10580000000000001</v>
      </c>
      <c r="O3768">
        <v>0.1081</v>
      </c>
      <c r="P3768">
        <v>0.11020000000000001</v>
      </c>
      <c r="Q3768">
        <v>0.1124</v>
      </c>
      <c r="R3768">
        <v>0.11310000000000001</v>
      </c>
      <c r="S3768">
        <v>0.114</v>
      </c>
      <c r="T3768">
        <v>0.1147</v>
      </c>
      <c r="U3768">
        <v>0.1154</v>
      </c>
      <c r="V3768">
        <v>0.11609999999999999</v>
      </c>
      <c r="W3768">
        <v>0.1169</v>
      </c>
      <c r="X3768">
        <v>0.1177</v>
      </c>
      <c r="Y3768">
        <v>0.11840000000000001</v>
      </c>
    </row>
    <row r="3769" spans="1:25" hidden="1">
      <c r="A3769" t="s">
        <v>18813</v>
      </c>
      <c r="B3769" t="s">
        <v>2143</v>
      </c>
      <c r="C3769" t="s">
        <v>2144</v>
      </c>
      <c r="D3769" t="s">
        <v>1324</v>
      </c>
      <c r="E3769" t="s">
        <v>954</v>
      </c>
      <c r="F3769" t="s">
        <v>598</v>
      </c>
      <c r="G3769" t="s">
        <v>599</v>
      </c>
      <c r="H3769" t="s">
        <v>600</v>
      </c>
      <c r="I3769" t="s">
        <v>601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hidden="1">
      <c r="A3770" t="s">
        <v>18813</v>
      </c>
      <c r="B3770" t="s">
        <v>2146</v>
      </c>
      <c r="C3770" t="s">
        <v>2144</v>
      </c>
      <c r="D3770" t="s">
        <v>2147</v>
      </c>
      <c r="E3770" t="s">
        <v>973</v>
      </c>
      <c r="F3770" t="s">
        <v>598</v>
      </c>
      <c r="G3770" t="s">
        <v>599</v>
      </c>
      <c r="H3770" t="s">
        <v>600</v>
      </c>
      <c r="I3770" t="s">
        <v>601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hidden="1">
      <c r="A3771" t="s">
        <v>18813</v>
      </c>
      <c r="B3771" t="s">
        <v>2148</v>
      </c>
      <c r="C3771" t="s">
        <v>2144</v>
      </c>
      <c r="D3771" t="s">
        <v>2147</v>
      </c>
      <c r="E3771" t="s">
        <v>1393</v>
      </c>
      <c r="F3771" t="s">
        <v>598</v>
      </c>
      <c r="G3771" t="s">
        <v>599</v>
      </c>
      <c r="H3771" t="s">
        <v>600</v>
      </c>
      <c r="I3771" t="s">
        <v>601</v>
      </c>
      <c r="J3771">
        <v>8.9999999999999993E-3</v>
      </c>
      <c r="K3771">
        <v>9.4999999999999998E-3</v>
      </c>
      <c r="L3771">
        <v>9.9000000000000008E-3</v>
      </c>
      <c r="M3771">
        <v>1.04E-2</v>
      </c>
      <c r="N3771">
        <v>1.09E-2</v>
      </c>
      <c r="O3771">
        <v>1.15E-2</v>
      </c>
      <c r="P3771">
        <v>1.21E-2</v>
      </c>
      <c r="Q3771">
        <v>1.26E-2</v>
      </c>
      <c r="R3771">
        <v>1.29E-2</v>
      </c>
      <c r="S3771">
        <v>1.3100000000000001E-2</v>
      </c>
      <c r="T3771">
        <v>1.35E-2</v>
      </c>
      <c r="U3771">
        <v>1.37E-2</v>
      </c>
      <c r="V3771">
        <v>1.41E-2</v>
      </c>
      <c r="W3771">
        <v>1.44E-2</v>
      </c>
      <c r="X3771">
        <v>1.46E-2</v>
      </c>
      <c r="Y3771">
        <v>1.4999999999999999E-2</v>
      </c>
    </row>
    <row r="3772" spans="1:25" hidden="1">
      <c r="A3772" t="s">
        <v>18813</v>
      </c>
      <c r="B3772" t="s">
        <v>2152</v>
      </c>
      <c r="C3772" t="s">
        <v>2144</v>
      </c>
      <c r="D3772" t="s">
        <v>648</v>
      </c>
      <c r="E3772" t="s">
        <v>1378</v>
      </c>
      <c r="F3772" t="s">
        <v>598</v>
      </c>
      <c r="G3772" t="s">
        <v>599</v>
      </c>
      <c r="H3772" t="s">
        <v>600</v>
      </c>
      <c r="I3772" t="s">
        <v>601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1E-4</v>
      </c>
      <c r="P3772">
        <v>1E-4</v>
      </c>
      <c r="Q3772">
        <v>1E-4</v>
      </c>
      <c r="R3772">
        <v>1E-4</v>
      </c>
      <c r="S3772">
        <v>1E-4</v>
      </c>
      <c r="T3772">
        <v>1E-4</v>
      </c>
      <c r="U3772">
        <v>1E-4</v>
      </c>
      <c r="V3772">
        <v>1E-4</v>
      </c>
      <c r="W3772">
        <v>1E-4</v>
      </c>
      <c r="X3772">
        <v>1E-4</v>
      </c>
      <c r="Y3772">
        <v>1E-4</v>
      </c>
    </row>
    <row r="3773" spans="1:25" hidden="1">
      <c r="A3773" t="s">
        <v>18813</v>
      </c>
      <c r="B3773" t="s">
        <v>2153</v>
      </c>
      <c r="C3773" t="s">
        <v>2154</v>
      </c>
      <c r="D3773" t="s">
        <v>1392</v>
      </c>
      <c r="E3773" t="s">
        <v>1393</v>
      </c>
      <c r="F3773" t="s">
        <v>598</v>
      </c>
      <c r="G3773" t="s">
        <v>599</v>
      </c>
      <c r="H3773" t="s">
        <v>600</v>
      </c>
      <c r="I3773" t="s">
        <v>601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hidden="1">
      <c r="A3774" t="s">
        <v>18813</v>
      </c>
      <c r="B3774" t="s">
        <v>2155</v>
      </c>
      <c r="C3774" t="s">
        <v>2154</v>
      </c>
      <c r="D3774" t="s">
        <v>1316</v>
      </c>
      <c r="E3774" t="s">
        <v>1393</v>
      </c>
      <c r="F3774" t="s">
        <v>598</v>
      </c>
      <c r="G3774" t="s">
        <v>599</v>
      </c>
      <c r="H3774" t="s">
        <v>600</v>
      </c>
      <c r="I3774" t="s">
        <v>601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hidden="1">
      <c r="A3775" t="s">
        <v>18813</v>
      </c>
      <c r="B3775" t="s">
        <v>2156</v>
      </c>
      <c r="C3775" t="s">
        <v>2154</v>
      </c>
      <c r="D3775" t="s">
        <v>1320</v>
      </c>
      <c r="E3775" t="s">
        <v>973</v>
      </c>
      <c r="F3775" t="s">
        <v>598</v>
      </c>
      <c r="G3775" t="s">
        <v>599</v>
      </c>
      <c r="H3775" t="s">
        <v>600</v>
      </c>
      <c r="I3775" t="s">
        <v>601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hidden="1">
      <c r="A3776" t="s">
        <v>18813</v>
      </c>
      <c r="B3776" t="s">
        <v>2158</v>
      </c>
      <c r="C3776" t="s">
        <v>2154</v>
      </c>
      <c r="D3776" t="s">
        <v>1320</v>
      </c>
      <c r="E3776" t="s">
        <v>626</v>
      </c>
      <c r="F3776" t="s">
        <v>598</v>
      </c>
      <c r="G3776" t="s">
        <v>599</v>
      </c>
      <c r="H3776" t="s">
        <v>600</v>
      </c>
      <c r="I3776" t="s">
        <v>601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hidden="1">
      <c r="A3777" t="s">
        <v>18813</v>
      </c>
      <c r="B3777" t="s">
        <v>2159</v>
      </c>
      <c r="C3777" t="s">
        <v>2154</v>
      </c>
      <c r="D3777" t="s">
        <v>1320</v>
      </c>
      <c r="E3777" t="s">
        <v>1393</v>
      </c>
      <c r="F3777" t="s">
        <v>598</v>
      </c>
      <c r="G3777" t="s">
        <v>599</v>
      </c>
      <c r="H3777" t="s">
        <v>600</v>
      </c>
      <c r="I3777" t="s">
        <v>601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hidden="1">
      <c r="A3778" t="s">
        <v>18813</v>
      </c>
      <c r="B3778" t="s">
        <v>2163</v>
      </c>
      <c r="C3778" t="s">
        <v>2154</v>
      </c>
      <c r="D3778" t="s">
        <v>1324</v>
      </c>
      <c r="E3778" t="s">
        <v>954</v>
      </c>
      <c r="F3778" t="s">
        <v>598</v>
      </c>
      <c r="G3778" t="s">
        <v>599</v>
      </c>
      <c r="H3778" t="s">
        <v>600</v>
      </c>
      <c r="I3778" t="s">
        <v>601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hidden="1">
      <c r="A3779" t="s">
        <v>18813</v>
      </c>
      <c r="B3779" t="s">
        <v>2167</v>
      </c>
      <c r="C3779" t="s">
        <v>2154</v>
      </c>
      <c r="D3779" t="s">
        <v>1332</v>
      </c>
      <c r="E3779" t="s">
        <v>1684</v>
      </c>
      <c r="F3779" t="s">
        <v>598</v>
      </c>
      <c r="G3779" t="s">
        <v>599</v>
      </c>
      <c r="H3779" t="s">
        <v>600</v>
      </c>
      <c r="I3779" t="s">
        <v>601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hidden="1">
      <c r="A3780" t="s">
        <v>18813</v>
      </c>
      <c r="B3780" t="s">
        <v>2168</v>
      </c>
      <c r="C3780" t="s">
        <v>2154</v>
      </c>
      <c r="D3780" t="s">
        <v>1332</v>
      </c>
      <c r="E3780" t="s">
        <v>954</v>
      </c>
      <c r="F3780" t="s">
        <v>598</v>
      </c>
      <c r="G3780" t="s">
        <v>599</v>
      </c>
      <c r="H3780" t="s">
        <v>600</v>
      </c>
      <c r="I3780" t="s">
        <v>601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hidden="1">
      <c r="A3781" t="s">
        <v>18813</v>
      </c>
      <c r="B3781" t="s">
        <v>2170</v>
      </c>
      <c r="C3781" t="s">
        <v>2154</v>
      </c>
      <c r="D3781" t="s">
        <v>1332</v>
      </c>
      <c r="E3781" t="s">
        <v>1000</v>
      </c>
      <c r="F3781" t="s">
        <v>598</v>
      </c>
      <c r="G3781" t="s">
        <v>599</v>
      </c>
      <c r="H3781" t="s">
        <v>600</v>
      </c>
      <c r="I3781" t="s">
        <v>601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hidden="1">
      <c r="A3782" t="s">
        <v>18813</v>
      </c>
      <c r="B3782" t="s">
        <v>2172</v>
      </c>
      <c r="C3782" t="s">
        <v>2154</v>
      </c>
      <c r="D3782" t="s">
        <v>1435</v>
      </c>
      <c r="E3782" t="s">
        <v>973</v>
      </c>
      <c r="F3782" t="s">
        <v>598</v>
      </c>
      <c r="G3782" t="s">
        <v>599</v>
      </c>
      <c r="H3782" t="s">
        <v>600</v>
      </c>
      <c r="I3782" t="s">
        <v>601</v>
      </c>
      <c r="J3782">
        <v>0.42670000000000002</v>
      </c>
      <c r="K3782">
        <v>0.4325</v>
      </c>
      <c r="L3782">
        <v>0.43559999999999999</v>
      </c>
      <c r="M3782">
        <v>0.44340000000000002</v>
      </c>
      <c r="N3782">
        <v>0.4496</v>
      </c>
      <c r="O3782">
        <v>0.45669999999999999</v>
      </c>
      <c r="P3782">
        <v>0.46710000000000002</v>
      </c>
      <c r="Q3782">
        <v>0.47670000000000001</v>
      </c>
      <c r="R3782">
        <v>0.48259999999999997</v>
      </c>
      <c r="S3782">
        <v>0.48820000000000002</v>
      </c>
      <c r="T3782">
        <v>0.49359999999999998</v>
      </c>
      <c r="U3782">
        <v>0.49730000000000002</v>
      </c>
      <c r="V3782">
        <v>0.50129999999999997</v>
      </c>
      <c r="W3782">
        <v>0.50470000000000004</v>
      </c>
      <c r="X3782">
        <v>0.50870000000000004</v>
      </c>
      <c r="Y3782">
        <v>0.51170000000000004</v>
      </c>
    </row>
    <row r="3783" spans="1:25" hidden="1">
      <c r="A3783" t="s">
        <v>18813</v>
      </c>
      <c r="B3783" t="s">
        <v>2176</v>
      </c>
      <c r="C3783" t="s">
        <v>2154</v>
      </c>
      <c r="D3783" t="s">
        <v>1365</v>
      </c>
      <c r="E3783" t="s">
        <v>1393</v>
      </c>
      <c r="F3783" t="s">
        <v>598</v>
      </c>
      <c r="G3783" t="s">
        <v>599</v>
      </c>
      <c r="H3783" t="s">
        <v>600</v>
      </c>
      <c r="I3783" t="s">
        <v>601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hidden="1">
      <c r="A3784" t="s">
        <v>18813</v>
      </c>
      <c r="B3784" t="s">
        <v>2178</v>
      </c>
      <c r="C3784" t="s">
        <v>2154</v>
      </c>
      <c r="D3784" t="s">
        <v>2179</v>
      </c>
      <c r="E3784" t="s">
        <v>2180</v>
      </c>
      <c r="F3784" t="s">
        <v>598</v>
      </c>
      <c r="G3784" t="s">
        <v>599</v>
      </c>
      <c r="H3784" t="s">
        <v>600</v>
      </c>
      <c r="I3784" t="s">
        <v>601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hidden="1">
      <c r="A3785" t="s">
        <v>18813</v>
      </c>
      <c r="B3785" t="s">
        <v>2184</v>
      </c>
      <c r="C3785" t="s">
        <v>2154</v>
      </c>
      <c r="D3785" t="s">
        <v>2185</v>
      </c>
      <c r="E3785" t="s">
        <v>2186</v>
      </c>
      <c r="F3785" t="s">
        <v>598</v>
      </c>
      <c r="G3785" t="s">
        <v>599</v>
      </c>
      <c r="H3785" t="s">
        <v>600</v>
      </c>
      <c r="I3785" t="s">
        <v>601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hidden="1">
      <c r="A3786" t="s">
        <v>18813</v>
      </c>
      <c r="B3786" t="s">
        <v>2187</v>
      </c>
      <c r="C3786" t="s">
        <v>2154</v>
      </c>
      <c r="D3786" t="s">
        <v>648</v>
      </c>
      <c r="E3786" t="s">
        <v>920</v>
      </c>
      <c r="F3786" t="s">
        <v>598</v>
      </c>
      <c r="G3786" t="s">
        <v>599</v>
      </c>
      <c r="H3786" t="s">
        <v>600</v>
      </c>
      <c r="I3786" t="s">
        <v>601</v>
      </c>
      <c r="J3786">
        <v>1.0999999999999999E-2</v>
      </c>
      <c r="K3786">
        <v>1.1299999999999999E-2</v>
      </c>
      <c r="L3786">
        <v>1.17E-2</v>
      </c>
      <c r="M3786">
        <v>1.21E-2</v>
      </c>
      <c r="N3786">
        <v>1.26E-2</v>
      </c>
      <c r="O3786">
        <v>1.29E-2</v>
      </c>
      <c r="P3786">
        <v>1.34E-2</v>
      </c>
      <c r="Q3786">
        <v>1.38E-2</v>
      </c>
      <c r="R3786">
        <v>1.4E-2</v>
      </c>
      <c r="S3786">
        <v>1.41E-2</v>
      </c>
      <c r="T3786">
        <v>1.4200000000000001E-2</v>
      </c>
      <c r="U3786">
        <v>1.4500000000000001E-2</v>
      </c>
      <c r="V3786">
        <v>1.4800000000000001E-2</v>
      </c>
      <c r="W3786">
        <v>1.52E-2</v>
      </c>
      <c r="X3786">
        <v>1.5299999999999999E-2</v>
      </c>
      <c r="Y3786">
        <v>1.5699999999999999E-2</v>
      </c>
    </row>
    <row r="3787" spans="1:25" hidden="1">
      <c r="A3787" t="s">
        <v>18813</v>
      </c>
      <c r="B3787" t="s">
        <v>2188</v>
      </c>
      <c r="C3787" t="s">
        <v>2154</v>
      </c>
      <c r="D3787" t="s">
        <v>648</v>
      </c>
      <c r="E3787" t="s">
        <v>973</v>
      </c>
      <c r="F3787" t="s">
        <v>598</v>
      </c>
      <c r="G3787" t="s">
        <v>599</v>
      </c>
      <c r="H3787" t="s">
        <v>600</v>
      </c>
      <c r="I3787" t="s">
        <v>601</v>
      </c>
      <c r="J3787">
        <v>8.3999999999999995E-3</v>
      </c>
      <c r="K3787">
        <v>8.5000000000000006E-3</v>
      </c>
      <c r="L3787">
        <v>8.8000000000000005E-3</v>
      </c>
      <c r="M3787">
        <v>8.8999999999999999E-3</v>
      </c>
      <c r="N3787">
        <v>9.1000000000000004E-3</v>
      </c>
      <c r="O3787">
        <v>9.1999999999999998E-3</v>
      </c>
      <c r="P3787">
        <v>9.4999999999999998E-3</v>
      </c>
      <c r="Q3787">
        <v>9.5999999999999992E-3</v>
      </c>
      <c r="R3787">
        <v>9.7000000000000003E-3</v>
      </c>
      <c r="S3787">
        <v>9.7999999999999997E-3</v>
      </c>
      <c r="T3787">
        <v>9.9000000000000008E-3</v>
      </c>
      <c r="U3787">
        <v>9.9000000000000008E-3</v>
      </c>
      <c r="V3787">
        <v>9.9000000000000008E-3</v>
      </c>
      <c r="W3787">
        <v>1.01E-2</v>
      </c>
      <c r="X3787">
        <v>1.01E-2</v>
      </c>
      <c r="Y3787">
        <v>1.0200000000000001E-2</v>
      </c>
    </row>
    <row r="3788" spans="1:25" hidden="1">
      <c r="A3788" t="s">
        <v>18813</v>
      </c>
      <c r="B3788" t="s">
        <v>2196</v>
      </c>
      <c r="C3788" t="s">
        <v>2154</v>
      </c>
      <c r="D3788" t="s">
        <v>648</v>
      </c>
      <c r="E3788" t="s">
        <v>1393</v>
      </c>
      <c r="F3788" t="s">
        <v>598</v>
      </c>
      <c r="G3788" t="s">
        <v>599</v>
      </c>
      <c r="H3788" t="s">
        <v>600</v>
      </c>
      <c r="I3788" t="s">
        <v>601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25" hidden="1">
      <c r="A3789" t="s">
        <v>18813</v>
      </c>
      <c r="B3789" t="s">
        <v>2199</v>
      </c>
      <c r="C3789" t="s">
        <v>2154</v>
      </c>
      <c r="D3789" t="s">
        <v>648</v>
      </c>
      <c r="E3789" t="s">
        <v>1014</v>
      </c>
      <c r="F3789" t="s">
        <v>598</v>
      </c>
      <c r="G3789" t="s">
        <v>599</v>
      </c>
      <c r="H3789" t="s">
        <v>600</v>
      </c>
      <c r="I3789" t="s">
        <v>601</v>
      </c>
      <c r="J3789">
        <v>1E-4</v>
      </c>
      <c r="K3789">
        <v>1E-4</v>
      </c>
      <c r="L3789">
        <v>1E-4</v>
      </c>
      <c r="M3789">
        <v>1E-4</v>
      </c>
      <c r="N3789">
        <v>1E-4</v>
      </c>
      <c r="O3789">
        <v>1E-4</v>
      </c>
      <c r="P3789">
        <v>1E-4</v>
      </c>
      <c r="Q3789">
        <v>1E-4</v>
      </c>
      <c r="R3789">
        <v>1E-4</v>
      </c>
      <c r="S3789">
        <v>1E-4</v>
      </c>
      <c r="T3789">
        <v>1E-4</v>
      </c>
      <c r="U3789">
        <v>1E-4</v>
      </c>
      <c r="V3789">
        <v>1E-4</v>
      </c>
      <c r="W3789">
        <v>1E-4</v>
      </c>
      <c r="X3789">
        <v>1E-4</v>
      </c>
      <c r="Y3789">
        <v>1E-4</v>
      </c>
    </row>
    <row r="3790" spans="1:25" hidden="1">
      <c r="A3790" t="s">
        <v>18813</v>
      </c>
      <c r="B3790" t="s">
        <v>2200</v>
      </c>
      <c r="C3790" t="s">
        <v>2154</v>
      </c>
      <c r="D3790" t="s">
        <v>648</v>
      </c>
      <c r="E3790" t="s">
        <v>1774</v>
      </c>
      <c r="F3790" t="s">
        <v>598</v>
      </c>
      <c r="G3790" t="s">
        <v>599</v>
      </c>
      <c r="H3790" t="s">
        <v>600</v>
      </c>
      <c r="I3790" t="s">
        <v>601</v>
      </c>
      <c r="J3790">
        <v>8.9999999999999998E-4</v>
      </c>
      <c r="K3790">
        <v>1E-3</v>
      </c>
      <c r="L3790">
        <v>1E-3</v>
      </c>
      <c r="M3790">
        <v>1.1000000000000001E-3</v>
      </c>
      <c r="N3790">
        <v>1.1000000000000001E-3</v>
      </c>
      <c r="O3790">
        <v>1.1999999999999999E-3</v>
      </c>
      <c r="P3790">
        <v>1.2999999999999999E-3</v>
      </c>
      <c r="Q3790">
        <v>1.2999999999999999E-3</v>
      </c>
      <c r="R3790">
        <v>1.4E-3</v>
      </c>
      <c r="S3790">
        <v>1.4E-3</v>
      </c>
      <c r="T3790">
        <v>1.4E-3</v>
      </c>
      <c r="U3790">
        <v>1.4E-3</v>
      </c>
      <c r="V3790">
        <v>1.4E-3</v>
      </c>
      <c r="W3790">
        <v>1.5E-3</v>
      </c>
      <c r="X3790">
        <v>1.5E-3</v>
      </c>
      <c r="Y3790">
        <v>1.5E-3</v>
      </c>
    </row>
    <row r="3791" spans="1:25" hidden="1">
      <c r="A3791" t="s">
        <v>18813</v>
      </c>
      <c r="B3791" t="s">
        <v>2203</v>
      </c>
      <c r="C3791" t="s">
        <v>2154</v>
      </c>
      <c r="D3791" t="s">
        <v>648</v>
      </c>
      <c r="E3791" t="s">
        <v>2204</v>
      </c>
      <c r="F3791" t="s">
        <v>598</v>
      </c>
      <c r="G3791" t="s">
        <v>599</v>
      </c>
      <c r="H3791" t="s">
        <v>600</v>
      </c>
      <c r="I3791" t="s">
        <v>601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hidden="1">
      <c r="A3792" t="s">
        <v>18813</v>
      </c>
      <c r="B3792" t="s">
        <v>2207</v>
      </c>
      <c r="C3792" t="s">
        <v>2154</v>
      </c>
      <c r="D3792" t="s">
        <v>648</v>
      </c>
      <c r="E3792" t="s">
        <v>1378</v>
      </c>
      <c r="F3792" t="s">
        <v>598</v>
      </c>
      <c r="G3792" t="s">
        <v>599</v>
      </c>
      <c r="H3792" t="s">
        <v>600</v>
      </c>
      <c r="I3792" t="s">
        <v>601</v>
      </c>
      <c r="J3792">
        <v>8.9999999999999998E-4</v>
      </c>
      <c r="K3792">
        <v>8.9999999999999998E-4</v>
      </c>
      <c r="L3792">
        <v>1E-3</v>
      </c>
      <c r="M3792">
        <v>1E-3</v>
      </c>
      <c r="N3792">
        <v>1E-3</v>
      </c>
      <c r="O3792">
        <v>1E-3</v>
      </c>
      <c r="P3792">
        <v>1E-3</v>
      </c>
      <c r="Q3792">
        <v>1E-3</v>
      </c>
      <c r="R3792">
        <v>1E-3</v>
      </c>
      <c r="S3792">
        <v>1E-3</v>
      </c>
      <c r="T3792">
        <v>1E-3</v>
      </c>
      <c r="U3792">
        <v>1E-3</v>
      </c>
      <c r="V3792">
        <v>1E-3</v>
      </c>
      <c r="W3792">
        <v>1E-3</v>
      </c>
      <c r="X3792">
        <v>1E-3</v>
      </c>
      <c r="Y3792">
        <v>1E-3</v>
      </c>
    </row>
    <row r="3793" spans="1:25" hidden="1">
      <c r="A3793" t="s">
        <v>18813</v>
      </c>
      <c r="B3793" t="s">
        <v>2208</v>
      </c>
      <c r="C3793" t="s">
        <v>2154</v>
      </c>
      <c r="D3793" t="s">
        <v>648</v>
      </c>
      <c r="E3793" t="s">
        <v>2060</v>
      </c>
      <c r="F3793" t="s">
        <v>598</v>
      </c>
      <c r="G3793" t="s">
        <v>599</v>
      </c>
      <c r="H3793" t="s">
        <v>600</v>
      </c>
      <c r="I3793" t="s">
        <v>601</v>
      </c>
      <c r="J3793">
        <v>1E-3</v>
      </c>
      <c r="K3793">
        <v>1E-3</v>
      </c>
      <c r="L3793">
        <v>1E-3</v>
      </c>
      <c r="M3793">
        <v>1E-3</v>
      </c>
      <c r="N3793">
        <v>1E-3</v>
      </c>
      <c r="O3793">
        <v>1E-3</v>
      </c>
      <c r="P3793">
        <v>1E-3</v>
      </c>
      <c r="Q3793">
        <v>1E-3</v>
      </c>
      <c r="R3793">
        <v>1E-3</v>
      </c>
      <c r="S3793">
        <v>1E-3</v>
      </c>
      <c r="T3793">
        <v>1E-3</v>
      </c>
      <c r="U3793">
        <v>1E-3</v>
      </c>
      <c r="V3793">
        <v>1E-3</v>
      </c>
      <c r="W3793">
        <v>1E-3</v>
      </c>
      <c r="X3793">
        <v>1E-3</v>
      </c>
      <c r="Y3793">
        <v>1E-3</v>
      </c>
    </row>
    <row r="3794" spans="1:25" hidden="1">
      <c r="A3794" t="s">
        <v>18813</v>
      </c>
      <c r="B3794" t="s">
        <v>2209</v>
      </c>
      <c r="C3794" t="s">
        <v>2154</v>
      </c>
      <c r="D3794" t="s">
        <v>648</v>
      </c>
      <c r="E3794" t="s">
        <v>1004</v>
      </c>
      <c r="F3794" t="s">
        <v>598</v>
      </c>
      <c r="G3794" t="s">
        <v>599</v>
      </c>
      <c r="H3794" t="s">
        <v>600</v>
      </c>
      <c r="I3794" t="s">
        <v>601</v>
      </c>
      <c r="J3794">
        <v>1.8599999999999998E-2</v>
      </c>
      <c r="K3794">
        <v>1.9099999999999999E-2</v>
      </c>
      <c r="L3794">
        <v>1.95E-2</v>
      </c>
      <c r="M3794">
        <v>1.9900000000000001E-2</v>
      </c>
      <c r="N3794">
        <v>2.0400000000000001E-2</v>
      </c>
      <c r="O3794">
        <v>2.0899999999999998E-2</v>
      </c>
      <c r="P3794">
        <v>2.1299999999999999E-2</v>
      </c>
      <c r="Q3794">
        <v>2.1700000000000001E-2</v>
      </c>
      <c r="R3794">
        <v>2.1899999999999999E-2</v>
      </c>
      <c r="S3794">
        <v>2.2100000000000002E-2</v>
      </c>
      <c r="T3794">
        <v>2.2200000000000001E-2</v>
      </c>
      <c r="U3794">
        <v>2.23E-2</v>
      </c>
      <c r="V3794">
        <v>2.24E-2</v>
      </c>
      <c r="W3794">
        <v>2.2700000000000001E-2</v>
      </c>
      <c r="X3794">
        <v>2.2800000000000001E-2</v>
      </c>
      <c r="Y3794">
        <v>2.2800000000000001E-2</v>
      </c>
    </row>
    <row r="3795" spans="1:25">
      <c r="J3795">
        <f>SUBTOTAL(109,Table118[2015])</f>
        <v>0.98929999999999985</v>
      </c>
      <c r="K3795">
        <f>SUBTOTAL(109,Table118[2016])</f>
        <v>0.9839</v>
      </c>
      <c r="L3795">
        <f>SUBTOTAL(109,Table118[2017])</f>
        <v>0.95919999999999994</v>
      </c>
      <c r="M3795">
        <f>SUBTOTAL(109,Table118[2018])</f>
        <v>0.96599999999999997</v>
      </c>
      <c r="N3795">
        <f>SUBTOTAL(109,Table118[2019])</f>
        <v>0.96419999999999995</v>
      </c>
      <c r="O3795">
        <f>SUBTOTAL(109,Table118[2020])</f>
        <v>0.96360000000000001</v>
      </c>
      <c r="P3795">
        <f>SUBTOTAL(109,Table118[2021])</f>
        <v>1.0001</v>
      </c>
      <c r="Q3795">
        <f>SUBTOTAL(109,Table118[2022])</f>
        <v>1.0253999999999999</v>
      </c>
      <c r="R3795">
        <f>SUBTOTAL(109,Table118[2023])</f>
        <v>1.0430999999999999</v>
      </c>
      <c r="S3795">
        <f>SUBTOTAL(109,Table118[2024])</f>
        <v>1.0549999999999999</v>
      </c>
      <c r="T3795">
        <f>SUBTOTAL(109,Table118[2025])</f>
        <v>1.0631999999999999</v>
      </c>
      <c r="U3795">
        <f>SUBTOTAL(109,Table118[2026])</f>
        <v>1.0636999999999999</v>
      </c>
      <c r="V3795">
        <f>SUBTOTAL(109,Table118[2027])</f>
        <v>1.0640000000000001</v>
      </c>
      <c r="W3795">
        <f>SUBTOTAL(109,Table118[2028])</f>
        <v>1.0642999999999998</v>
      </c>
      <c r="X3795">
        <f>SUBTOTAL(109,Table118[2029])</f>
        <v>1.0647999999999997</v>
      </c>
      <c r="Y3795">
        <f>SUBTOTAL(109,Table118[2030])</f>
        <v>1.0650999999999999</v>
      </c>
    </row>
    <row r="3797" spans="1:25">
      <c r="A3797" s="2" t="s">
        <v>18814</v>
      </c>
      <c r="B3797" s="2" t="s">
        <v>18815</v>
      </c>
      <c r="C3797" s="31" t="s">
        <v>578</v>
      </c>
      <c r="D3797" s="31" t="s">
        <v>579</v>
      </c>
      <c r="E3797" s="31" t="s">
        <v>580</v>
      </c>
      <c r="F3797" s="31" t="s">
        <v>581</v>
      </c>
      <c r="G3797" s="31" t="s">
        <v>582</v>
      </c>
      <c r="H3797" s="31" t="s">
        <v>583</v>
      </c>
      <c r="I3797" s="31" t="s">
        <v>584</v>
      </c>
      <c r="J3797" s="31" t="s">
        <v>585</v>
      </c>
      <c r="K3797" s="31" t="s">
        <v>586</v>
      </c>
      <c r="L3797" s="31" t="s">
        <v>587</v>
      </c>
      <c r="M3797" s="31" t="s">
        <v>588</v>
      </c>
      <c r="N3797" s="31" t="s">
        <v>589</v>
      </c>
      <c r="O3797" s="31" t="s">
        <v>590</v>
      </c>
      <c r="P3797" s="31" t="s">
        <v>591</v>
      </c>
      <c r="Q3797" s="31" t="s">
        <v>592</v>
      </c>
      <c r="R3797" s="31" t="s">
        <v>593</v>
      </c>
    </row>
    <row r="3798" spans="1:25">
      <c r="A3798" s="2" t="s">
        <v>18762</v>
      </c>
      <c r="B3798" s="2" t="s">
        <v>18756</v>
      </c>
      <c r="C3798">
        <f>Table103[[#Totals],[2015]]</f>
        <v>0.30859999999999999</v>
      </c>
      <c r="D3798">
        <f>Table103[[#Totals],[2016]]</f>
        <v>0.30859999999999999</v>
      </c>
      <c r="E3798">
        <f>Table103[[#Totals],[2017]]</f>
        <v>0.30859999999999999</v>
      </c>
      <c r="F3798">
        <f>Table103[[#Totals],[2018]]</f>
        <v>0.30859999999999999</v>
      </c>
      <c r="G3798">
        <f>Table103[[#Totals],[2019]]</f>
        <v>0.30859999999999999</v>
      </c>
      <c r="H3798">
        <f>Table103[[#Totals],[2020]]</f>
        <v>0.30859999999999999</v>
      </c>
      <c r="I3798">
        <f>Table103[[#Totals],[2021]]</f>
        <v>0.30859999999999999</v>
      </c>
      <c r="J3798">
        <f>Table103[[#Totals],[2022]]</f>
        <v>0.30859999999999999</v>
      </c>
      <c r="K3798">
        <f>Table103[[#Totals],[2023]]</f>
        <v>0.30859999999999999</v>
      </c>
      <c r="L3798">
        <f>Table103[[#Totals],[2024]]</f>
        <v>0.30859999999999999</v>
      </c>
      <c r="M3798">
        <f>Table103[[#Totals],[2025]]</f>
        <v>0.30859999999999999</v>
      </c>
      <c r="N3798">
        <f>Table103[[#Totals],[2026]]</f>
        <v>0.30859999999999999</v>
      </c>
      <c r="O3798">
        <f>Table103[[#Totals],[2027]]</f>
        <v>0.30859999999999999</v>
      </c>
      <c r="P3798">
        <f>Table103[[#Totals],[2028]]</f>
        <v>0.30859999999999999</v>
      </c>
      <c r="Q3798">
        <f>Table103[[#Totals],[2029]]</f>
        <v>0.30859999999999999</v>
      </c>
      <c r="R3798">
        <f>Table103[[#Totals],[2030]]</f>
        <v>0.30859999999999999</v>
      </c>
    </row>
    <row r="3799" spans="1:25">
      <c r="A3799" s="2" t="s">
        <v>416</v>
      </c>
      <c r="B3799" s="2" t="s">
        <v>18756</v>
      </c>
      <c r="C3799">
        <f>Table104[[#Totals],[2015]]</f>
        <v>0.1179</v>
      </c>
      <c r="D3799">
        <f>Table104[[#Totals],[2016]]</f>
        <v>0.1179</v>
      </c>
      <c r="E3799">
        <f>Table104[[#Totals],[2017]]</f>
        <v>0.1179</v>
      </c>
      <c r="F3799">
        <f>Table104[[#Totals],[2018]]</f>
        <v>0.1179</v>
      </c>
      <c r="G3799">
        <f>Table104[[#Totals],[2019]]</f>
        <v>0.1179</v>
      </c>
      <c r="H3799">
        <f>Table104[[#Totals],[2020]]</f>
        <v>0.1179</v>
      </c>
      <c r="I3799">
        <f>Table104[[#Totals],[2021]]</f>
        <v>0.1179</v>
      </c>
      <c r="J3799">
        <f>Table104[[#Totals],[2022]]</f>
        <v>0.1179</v>
      </c>
      <c r="K3799">
        <f>Table104[[#Totals],[2023]]</f>
        <v>0.1179</v>
      </c>
      <c r="L3799">
        <f>Table104[[#Totals],[2024]]</f>
        <v>0.1179</v>
      </c>
      <c r="M3799">
        <f>Table104[[#Totals],[2025]]</f>
        <v>0.1179</v>
      </c>
      <c r="N3799">
        <f>Table104[[#Totals],[2026]]</f>
        <v>0.1179</v>
      </c>
      <c r="O3799">
        <f>Table104[[#Totals],[2027]]</f>
        <v>0.1179</v>
      </c>
      <c r="P3799">
        <f>Table104[[#Totals],[2028]]</f>
        <v>0.1179</v>
      </c>
      <c r="Q3799">
        <f>Table104[[#Totals],[2029]]</f>
        <v>0.1179</v>
      </c>
      <c r="R3799">
        <f>Table104[[#Totals],[2030]]</f>
        <v>0.1179</v>
      </c>
    </row>
    <row r="3800" spans="1:25">
      <c r="A3800" s="2" t="s">
        <v>253</v>
      </c>
      <c r="B3800" s="2" t="s">
        <v>18756</v>
      </c>
      <c r="C3800">
        <f>J140</f>
        <v>0</v>
      </c>
      <c r="D3800">
        <f t="shared" ref="D3800:R3800" si="0">K140</f>
        <v>0</v>
      </c>
      <c r="E3800">
        <f t="shared" si="0"/>
        <v>0</v>
      </c>
      <c r="F3800">
        <f t="shared" si="0"/>
        <v>0</v>
      </c>
      <c r="G3800">
        <f t="shared" si="0"/>
        <v>0</v>
      </c>
      <c r="H3800">
        <f t="shared" si="0"/>
        <v>0</v>
      </c>
      <c r="I3800">
        <f t="shared" si="0"/>
        <v>0</v>
      </c>
      <c r="J3800">
        <f t="shared" si="0"/>
        <v>0</v>
      </c>
      <c r="K3800">
        <f t="shared" si="0"/>
        <v>0</v>
      </c>
      <c r="L3800">
        <f t="shared" si="0"/>
        <v>0</v>
      </c>
      <c r="M3800">
        <f t="shared" si="0"/>
        <v>0</v>
      </c>
      <c r="N3800">
        <f t="shared" si="0"/>
        <v>0</v>
      </c>
      <c r="O3800">
        <f t="shared" si="0"/>
        <v>0</v>
      </c>
      <c r="P3800">
        <f t="shared" si="0"/>
        <v>0</v>
      </c>
      <c r="Q3800">
        <f t="shared" si="0"/>
        <v>0</v>
      </c>
      <c r="R3800">
        <f t="shared" si="0"/>
        <v>0</v>
      </c>
    </row>
    <row r="3801" spans="1:25">
      <c r="A3801" s="2" t="s">
        <v>18816</v>
      </c>
      <c r="B3801" s="2" t="s">
        <v>18756</v>
      </c>
      <c r="C3801">
        <f>Table106[[#Totals],[2015]]</f>
        <v>0.49680000000000002</v>
      </c>
      <c r="D3801">
        <f>Table106[[#Totals],[2016]]</f>
        <v>0.49369999999999997</v>
      </c>
      <c r="E3801">
        <f>Table106[[#Totals],[2017]]</f>
        <v>0.48049999999999998</v>
      </c>
      <c r="F3801">
        <f>Table106[[#Totals],[2018]]</f>
        <v>0.48399999999999999</v>
      </c>
      <c r="G3801">
        <f>Table106[[#Totals],[2019]]</f>
        <v>0.48289999999999994</v>
      </c>
      <c r="H3801">
        <f>Table106[[#Totals],[2020]]</f>
        <v>0.48209999999999992</v>
      </c>
      <c r="I3801">
        <f>Table106[[#Totals],[2021]]</f>
        <v>0.50109999999999999</v>
      </c>
      <c r="J3801">
        <f>Table106[[#Totals],[2022]]</f>
        <v>0.51380000000000003</v>
      </c>
      <c r="K3801">
        <f>Table106[[#Totals],[2023]]</f>
        <v>0.52279999999999993</v>
      </c>
      <c r="L3801">
        <f>Table106[[#Totals],[2024]]</f>
        <v>0.52900000000000003</v>
      </c>
      <c r="M3801">
        <f>Table106[[#Totals],[2025]]</f>
        <v>0.53320000000000001</v>
      </c>
      <c r="N3801">
        <f>Table106[[#Totals],[2026]]</f>
        <v>0.53320000000000001</v>
      </c>
      <c r="O3801">
        <f>Table106[[#Totals],[2027]]</f>
        <v>0.53320000000000001</v>
      </c>
      <c r="P3801">
        <f>Table106[[#Totals],[2028]]</f>
        <v>0.53320000000000001</v>
      </c>
      <c r="Q3801">
        <f>Table106[[#Totals],[2029]]</f>
        <v>0.53320000000000001</v>
      </c>
      <c r="R3801">
        <f>Table106[[#Totals],[2030]]</f>
        <v>0.53320000000000001</v>
      </c>
    </row>
    <row r="3802" spans="1:25">
      <c r="A3802" s="2" t="s">
        <v>419</v>
      </c>
      <c r="B3802" s="2" t="s">
        <v>18756</v>
      </c>
      <c r="C3802">
        <f>Table107[[#Totals],[2015]]</f>
        <v>0.17380000000000001</v>
      </c>
      <c r="D3802">
        <f>Table107[[#Totals],[2016]]</f>
        <v>0.17950000000000002</v>
      </c>
      <c r="E3802">
        <f>Table107[[#Totals],[2017]]</f>
        <v>0.1804</v>
      </c>
      <c r="F3802">
        <f>Table107[[#Totals],[2018]]</f>
        <v>0.1837</v>
      </c>
      <c r="G3802">
        <f>Table107[[#Totals],[2019]]</f>
        <v>0.18590000000000001</v>
      </c>
      <c r="H3802">
        <f>Table107[[#Totals],[2020]]</f>
        <v>0.19290000000000002</v>
      </c>
      <c r="I3802">
        <f>Table107[[#Totals],[2021]]</f>
        <v>0.19410000000000002</v>
      </c>
      <c r="J3802">
        <f>Table107[[#Totals],[2022]]</f>
        <v>0.19720000000000001</v>
      </c>
      <c r="K3802">
        <f>Table107[[#Totals],[2023]]</f>
        <v>0.1993</v>
      </c>
      <c r="L3802">
        <f>Table107[[#Totals],[2024]]</f>
        <v>0.20430000000000001</v>
      </c>
      <c r="M3802">
        <f>Table107[[#Totals],[2025]]</f>
        <v>0.21000000000000002</v>
      </c>
      <c r="N3802">
        <f>Table107[[#Totals],[2026]]</f>
        <v>0.21410000000000001</v>
      </c>
      <c r="O3802">
        <f>Table107[[#Totals],[2027]]</f>
        <v>0.21590000000000001</v>
      </c>
      <c r="P3802">
        <f>Table107[[#Totals],[2028]]</f>
        <v>0.22040000000000001</v>
      </c>
      <c r="Q3802">
        <f>Table107[[#Totals],[2029]]</f>
        <v>0.22500000000000001</v>
      </c>
      <c r="R3802">
        <f>Table107[[#Totals],[2030]]</f>
        <v>0.2278</v>
      </c>
    </row>
    <row r="3803" spans="1:25">
      <c r="A3803" s="2" t="s">
        <v>420</v>
      </c>
      <c r="B3803" s="2" t="s">
        <v>18756</v>
      </c>
      <c r="C3803">
        <f>Table108[[#Totals],[2015]]</f>
        <v>0.27059999999999995</v>
      </c>
      <c r="D3803">
        <f>Table108[[#Totals],[2016]]</f>
        <v>0.2787</v>
      </c>
      <c r="E3803">
        <f>Table108[[#Totals],[2017]]</f>
        <v>0.28610000000000002</v>
      </c>
      <c r="F3803">
        <f>Table108[[#Totals],[2018]]</f>
        <v>0.28690000000000004</v>
      </c>
      <c r="G3803">
        <f>Table108[[#Totals],[2019]]</f>
        <v>0.28699999999999998</v>
      </c>
      <c r="H3803">
        <f>Table108[[#Totals],[2020]]</f>
        <v>0.2717</v>
      </c>
      <c r="I3803">
        <f>Table108[[#Totals],[2021]]</f>
        <v>0.27239999999999998</v>
      </c>
      <c r="J3803">
        <f>Table108[[#Totals],[2022]]</f>
        <v>0.2737</v>
      </c>
      <c r="K3803">
        <f>Table108[[#Totals],[2023]]</f>
        <v>0.27450000000000002</v>
      </c>
      <c r="L3803">
        <f>Table108[[#Totals],[2024]]</f>
        <v>0.2762</v>
      </c>
      <c r="M3803">
        <f>Table108[[#Totals],[2025]]</f>
        <v>0.27810000000000001</v>
      </c>
      <c r="N3803">
        <f>Table108[[#Totals],[2026]]</f>
        <v>0.2797</v>
      </c>
      <c r="O3803">
        <f>Table108[[#Totals],[2027]]</f>
        <v>0.28039999999999998</v>
      </c>
      <c r="P3803">
        <f>Table108[[#Totals],[2028]]</f>
        <v>0.28170000000000001</v>
      </c>
      <c r="Q3803">
        <f>Table108[[#Totals],[2029]]</f>
        <v>0.28339999999999999</v>
      </c>
      <c r="R3803">
        <f>Table108[[#Totals],[2030]]</f>
        <v>0.28439999999999999</v>
      </c>
    </row>
    <row r="3804" spans="1:25">
      <c r="A3804" s="2" t="s">
        <v>258</v>
      </c>
      <c r="B3804" s="2" t="s">
        <v>18756</v>
      </c>
      <c r="C3804">
        <f>Table109[[#Totals],[2015]]</f>
        <v>0.26639999999999997</v>
      </c>
      <c r="D3804">
        <f>Table109[[#Totals],[2016]]</f>
        <v>0.27200000000000002</v>
      </c>
      <c r="E3804">
        <f>Table109[[#Totals],[2017]]</f>
        <v>0.27330000000000004</v>
      </c>
      <c r="F3804">
        <f>Table109[[#Totals],[2018]]</f>
        <v>0.2762</v>
      </c>
      <c r="G3804">
        <f>Table109[[#Totals],[2019]]</f>
        <v>0.27800000000000002</v>
      </c>
      <c r="H3804">
        <f>Table109[[#Totals],[2020]]</f>
        <v>0.28249999999999997</v>
      </c>
      <c r="I3804">
        <f>Table109[[#Totals],[2021]]</f>
        <v>0.28349999999999997</v>
      </c>
      <c r="J3804">
        <f>Table109[[#Totals],[2022]]</f>
        <v>0.28610000000000002</v>
      </c>
      <c r="K3804">
        <f>Table109[[#Totals],[2023]]</f>
        <v>0.28800000000000003</v>
      </c>
      <c r="L3804">
        <f>Table109[[#Totals],[2024]]</f>
        <v>0.2923</v>
      </c>
      <c r="M3804">
        <f>Table109[[#Totals],[2025]]</f>
        <v>0.29720000000000002</v>
      </c>
      <c r="N3804">
        <f>Table109[[#Totals],[2026]]</f>
        <v>0.30080000000000001</v>
      </c>
      <c r="O3804">
        <f>Table109[[#Totals],[2027]]</f>
        <v>0.30230000000000001</v>
      </c>
      <c r="P3804">
        <f>Table109[[#Totals],[2028]]</f>
        <v>0.30620000000000003</v>
      </c>
      <c r="Q3804">
        <f>Table109[[#Totals],[2029]]</f>
        <v>0.31020000000000003</v>
      </c>
      <c r="R3804">
        <f>Table109[[#Totals],[2030]]</f>
        <v>0.31259999999999999</v>
      </c>
    </row>
    <row r="3805" spans="1:25">
      <c r="A3805" s="2" t="s">
        <v>18817</v>
      </c>
      <c r="B3805" s="2" t="s">
        <v>18756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</row>
    <row r="3806" spans="1:25">
      <c r="A3806" s="2" t="s">
        <v>490</v>
      </c>
      <c r="B3806" s="2" t="s">
        <v>18756</v>
      </c>
      <c r="C3806">
        <f>Table112[[#Totals],[2015]]</f>
        <v>0.67049999999999998</v>
      </c>
      <c r="D3806">
        <f>Table112[[#Totals],[2016]]</f>
        <v>0.69200000000000006</v>
      </c>
      <c r="E3806">
        <f>Table112[[#Totals],[2017]]</f>
        <v>0.70130000000000003</v>
      </c>
      <c r="F3806">
        <f>Table112[[#Totals],[2018]]</f>
        <v>0.71</v>
      </c>
      <c r="G3806">
        <f>Table112[[#Totals],[2019]]</f>
        <v>0.71550000000000002</v>
      </c>
      <c r="H3806">
        <f>Table112[[#Totals],[2020]]</f>
        <v>0.71860000000000002</v>
      </c>
      <c r="I3806">
        <f>Table112[[#Totals],[2021]]</f>
        <v>0.72219999999999995</v>
      </c>
      <c r="J3806">
        <f>Table112[[#Totals],[2022]]</f>
        <v>0.73080000000000001</v>
      </c>
      <c r="K3806">
        <f>Table112[[#Totals],[2023]]</f>
        <v>0.73670000000000002</v>
      </c>
      <c r="L3806">
        <f>Table112[[#Totals],[2024]]</f>
        <v>0.75049999999999994</v>
      </c>
      <c r="M3806">
        <f>Table112[[#Totals],[2025]]</f>
        <v>0.76630000000000009</v>
      </c>
      <c r="N3806">
        <f>Table112[[#Totals],[2026]]</f>
        <v>0.77760000000000007</v>
      </c>
      <c r="O3806">
        <f>Table112[[#Totals],[2027]]</f>
        <v>0.78310000000000013</v>
      </c>
      <c r="P3806">
        <f>Table112[[#Totals],[2028]]</f>
        <v>0.79510000000000003</v>
      </c>
      <c r="Q3806">
        <f>Table112[[#Totals],[2029]]</f>
        <v>0.80770000000000008</v>
      </c>
      <c r="R3806">
        <f>Table112[[#Totals],[2030]]</f>
        <v>0.81599999999999995</v>
      </c>
    </row>
    <row r="3807" spans="1:25">
      <c r="A3807" s="2" t="s">
        <v>261</v>
      </c>
      <c r="B3807" s="2" t="s">
        <v>18756</v>
      </c>
      <c r="C3807">
        <f>Table113[[#Totals],[2015]]</f>
        <v>8.14E-2</v>
      </c>
      <c r="D3807">
        <f>Table113[[#Totals],[2016]]</f>
        <v>8.09E-2</v>
      </c>
      <c r="E3807">
        <f>Table113[[#Totals],[2017]]</f>
        <v>7.8700000000000006E-2</v>
      </c>
      <c r="F3807">
        <f>Table113[[#Totals],[2018]]</f>
        <v>7.9399999999999998E-2</v>
      </c>
      <c r="G3807">
        <f>Table113[[#Totals],[2019]]</f>
        <v>7.9100000000000004E-2</v>
      </c>
      <c r="H3807">
        <f>Table113[[#Totals],[2020]]</f>
        <v>7.8899999999999998E-2</v>
      </c>
      <c r="I3807">
        <f>Table113[[#Totals],[2021]]</f>
        <v>8.2000000000000003E-2</v>
      </c>
      <c r="J3807">
        <f>Table113[[#Totals],[2022]]</f>
        <v>8.43E-2</v>
      </c>
      <c r="K3807">
        <f>Table113[[#Totals],[2023]]</f>
        <v>8.5699999999999998E-2</v>
      </c>
      <c r="L3807">
        <f>Table113[[#Totals],[2024]]</f>
        <v>8.6599999999999996E-2</v>
      </c>
      <c r="M3807">
        <f>Table113[[#Totals],[2025]]</f>
        <v>8.7400000000000005E-2</v>
      </c>
      <c r="N3807">
        <f>Table113[[#Totals],[2026]]</f>
        <v>8.7400000000000005E-2</v>
      </c>
      <c r="O3807">
        <f>Table113[[#Totals],[2027]]</f>
        <v>8.7400000000000005E-2</v>
      </c>
      <c r="P3807">
        <f>Table113[[#Totals],[2028]]</f>
        <v>8.7400000000000005E-2</v>
      </c>
      <c r="Q3807">
        <f>Table113[[#Totals],[2029]]</f>
        <v>8.7400000000000005E-2</v>
      </c>
      <c r="R3807">
        <f>Table113[[#Totals],[2030]]</f>
        <v>8.7400000000000005E-2</v>
      </c>
    </row>
    <row r="3808" spans="1:25">
      <c r="A3808" s="2" t="s">
        <v>262</v>
      </c>
      <c r="B3808" s="2" t="s">
        <v>18756</v>
      </c>
      <c r="C3808">
        <f>Table114[[#Totals],[2015]]</f>
        <v>0.2969</v>
      </c>
      <c r="D3808">
        <f>Table114[[#Totals],[2016]]</f>
        <v>0.30890000000000001</v>
      </c>
      <c r="E3808">
        <f>Table114[[#Totals],[2017]]</f>
        <v>0.315</v>
      </c>
      <c r="F3808">
        <f>Table114[[#Totals],[2018]]</f>
        <v>0.31059999999999999</v>
      </c>
      <c r="G3808">
        <f>Table114[[#Totals],[2019]]</f>
        <v>0.31639999999999996</v>
      </c>
      <c r="H3808">
        <f>Table114[[#Totals],[2020]]</f>
        <v>0.3029</v>
      </c>
      <c r="I3808">
        <f>Table114[[#Totals],[2021]]</f>
        <v>0.30349999999999999</v>
      </c>
      <c r="J3808">
        <f>Table114[[#Totals],[2022]]</f>
        <v>0.30409999999999998</v>
      </c>
      <c r="K3808">
        <f>Table114[[#Totals],[2023]]</f>
        <v>0.3044</v>
      </c>
      <c r="L3808">
        <f>Table114[[#Totals],[2024]]</f>
        <v>0.30499999999999999</v>
      </c>
      <c r="M3808">
        <f>Table114[[#Totals],[2025]]</f>
        <v>0.30560000000000004</v>
      </c>
      <c r="N3808">
        <f>Table114[[#Totals],[2026]]</f>
        <v>0.30620000000000003</v>
      </c>
      <c r="O3808">
        <f>Table114[[#Totals],[2027]]</f>
        <v>0.30680000000000002</v>
      </c>
      <c r="P3808">
        <f>Table114[[#Totals],[2028]]</f>
        <v>0.30709999999999998</v>
      </c>
      <c r="Q3808">
        <f>Table114[[#Totals],[2029]]</f>
        <v>0.30779999999999996</v>
      </c>
      <c r="R3808">
        <f>Table114[[#Totals],[2030]]</f>
        <v>0.30840000000000001</v>
      </c>
    </row>
    <row r="3809" spans="1:18">
      <c r="A3809" s="2" t="s">
        <v>18766</v>
      </c>
      <c r="B3809" s="2" t="s">
        <v>18756</v>
      </c>
      <c r="C3809">
        <f>Table115[[#Totals],[2015]]</f>
        <v>0.29830000000000001</v>
      </c>
      <c r="D3809">
        <f>Table115[[#Totals],[2016]]</f>
        <v>0.30159999999999992</v>
      </c>
      <c r="E3809">
        <f>Table115[[#Totals],[2017]]</f>
        <v>0.3049</v>
      </c>
      <c r="F3809">
        <f>Table115[[#Totals],[2018]]</f>
        <v>0.30840000000000001</v>
      </c>
      <c r="G3809">
        <f>Table115[[#Totals],[2019]]</f>
        <v>0.31159999999999999</v>
      </c>
      <c r="H3809">
        <f>Table115[[#Totals],[2020]]</f>
        <v>0.31439999999999996</v>
      </c>
      <c r="I3809">
        <f>Table115[[#Totals],[2021]]</f>
        <v>0.31840000000000002</v>
      </c>
      <c r="J3809">
        <f>Table115[[#Totals],[2022]]</f>
        <v>0.32290000000000002</v>
      </c>
      <c r="K3809">
        <f>Table115[[#Totals],[2023]]</f>
        <v>0.32739999999999997</v>
      </c>
      <c r="L3809">
        <f>Table115[[#Totals],[2024]]</f>
        <v>0.33189999999999997</v>
      </c>
      <c r="M3809">
        <f>Table115[[#Totals],[2025]]</f>
        <v>0.33639999999999992</v>
      </c>
      <c r="N3809">
        <f>Table115[[#Totals],[2026]]</f>
        <v>0.34129999999999999</v>
      </c>
      <c r="O3809">
        <f>Table115[[#Totals],[2027]]</f>
        <v>0.34569999999999995</v>
      </c>
      <c r="P3809">
        <f>Table115[[#Totals],[2028]]</f>
        <v>0.3508</v>
      </c>
      <c r="Q3809">
        <f>Table115[[#Totals],[2029]]</f>
        <v>0.35569999999999996</v>
      </c>
      <c r="R3809">
        <f>Table115[[#Totals],[2030]]</f>
        <v>0.36019999999999996</v>
      </c>
    </row>
    <row r="3810" spans="1:18">
      <c r="A3810" s="2" t="s">
        <v>265</v>
      </c>
      <c r="B3810" s="2" t="s">
        <v>18756</v>
      </c>
      <c r="C3810">
        <f>Table116[[#Totals],[2015]]</f>
        <v>1.1658999999999999</v>
      </c>
      <c r="D3810">
        <f>Table116[[#Totals],[2016]]</f>
        <v>1.2017</v>
      </c>
      <c r="E3810">
        <f>Table116[[#Totals],[2017]]</f>
        <v>1.2262999999999999</v>
      </c>
      <c r="F3810">
        <f>Table116[[#Totals],[2018]]</f>
        <v>1.2350000000000001</v>
      </c>
      <c r="G3810">
        <f>Table116[[#Totals],[2019]]</f>
        <v>1.2402</v>
      </c>
      <c r="H3810">
        <f>Table116[[#Totals],[2020]]</f>
        <v>1.2089000000000001</v>
      </c>
      <c r="I3810">
        <f>Table116[[#Totals],[2021]]</f>
        <v>1.2133999999999998</v>
      </c>
      <c r="J3810">
        <f>Table116[[#Totals],[2022]]</f>
        <v>1.2232000000000001</v>
      </c>
      <c r="K3810">
        <f>Table116[[#Totals],[2023]]</f>
        <v>1.2295999999999998</v>
      </c>
      <c r="L3810">
        <f>Table116[[#Totals],[2024]]</f>
        <v>1.2449999999999999</v>
      </c>
      <c r="M3810">
        <f>Table116[[#Totals],[2025]]</f>
        <v>1.262</v>
      </c>
      <c r="N3810">
        <f>Table116[[#Totals],[2026]]</f>
        <v>1.2746</v>
      </c>
      <c r="O3810">
        <f>Table116[[#Totals],[2027]]</f>
        <v>1.2806999999999999</v>
      </c>
      <c r="P3810">
        <f>Table116[[#Totals],[2028]]</f>
        <v>1.2937999999999998</v>
      </c>
      <c r="Q3810">
        <f>Table116[[#Totals],[2029]]</f>
        <v>1.3082</v>
      </c>
      <c r="R3810">
        <f>Table116[[#Totals],[2030]]</f>
        <v>1.3171000000000002</v>
      </c>
    </row>
    <row r="3811" spans="1:18">
      <c r="A3811" s="2" t="s">
        <v>267</v>
      </c>
      <c r="B3811" s="2" t="s">
        <v>18756</v>
      </c>
      <c r="C3811">
        <f>Table117[[#Totals],[2015]]</f>
        <v>0.12470000000000001</v>
      </c>
      <c r="D3811">
        <f>Table117[[#Totals],[2016]]</f>
        <v>0.12810000000000002</v>
      </c>
      <c r="E3811">
        <f>Table117[[#Totals],[2017]]</f>
        <v>0.1295</v>
      </c>
      <c r="F3811">
        <f>Table117[[#Totals],[2018]]</f>
        <v>0.12930000000000003</v>
      </c>
      <c r="G3811">
        <f>Table117[[#Totals],[2019]]</f>
        <v>0.13230000000000003</v>
      </c>
      <c r="H3811">
        <f>Table117[[#Totals],[2020]]</f>
        <v>0.1331</v>
      </c>
      <c r="I3811">
        <f>Table117[[#Totals],[2021]]</f>
        <v>0.13390000000000002</v>
      </c>
      <c r="J3811">
        <f>Table117[[#Totals],[2022]]</f>
        <v>0.13450000000000001</v>
      </c>
      <c r="K3811">
        <f>Table117[[#Totals],[2023]]</f>
        <v>0.13490000000000002</v>
      </c>
      <c r="L3811">
        <f>Table117[[#Totals],[2024]]</f>
        <v>0.13580000000000003</v>
      </c>
      <c r="M3811">
        <f>Table117[[#Totals],[2025]]</f>
        <v>0.13640000000000002</v>
      </c>
      <c r="N3811">
        <f>Table117[[#Totals],[2026]]</f>
        <v>0.13690000000000002</v>
      </c>
      <c r="O3811">
        <f>Table117[[#Totals],[2027]]</f>
        <v>0.13740000000000002</v>
      </c>
      <c r="P3811">
        <f>Table117[[#Totals],[2028]]</f>
        <v>0.13800000000000001</v>
      </c>
      <c r="Q3811">
        <f>Table117[[#Totals],[2029]]</f>
        <v>0.13880000000000003</v>
      </c>
      <c r="R3811">
        <f>Table117[[#Totals],[2030]]</f>
        <v>0.13930000000000003</v>
      </c>
    </row>
    <row r="3812" spans="1:18">
      <c r="A3812" s="2" t="s">
        <v>268</v>
      </c>
      <c r="B3812" s="2" t="s">
        <v>18756</v>
      </c>
      <c r="C3812">
        <f>Table118[[#Totals],[2015]]</f>
        <v>0.98929999999999985</v>
      </c>
      <c r="D3812">
        <f>Table118[[#Totals],[2016]]</f>
        <v>0.9839</v>
      </c>
      <c r="E3812">
        <f>Table118[[#Totals],[2017]]</f>
        <v>0.95919999999999994</v>
      </c>
      <c r="F3812">
        <f>Table118[[#Totals],[2018]]</f>
        <v>0.96599999999999997</v>
      </c>
      <c r="G3812">
        <f>Table118[[#Totals],[2019]]</f>
        <v>0.96419999999999995</v>
      </c>
      <c r="H3812">
        <f>Table118[[#Totals],[2020]]</f>
        <v>0.96360000000000001</v>
      </c>
      <c r="I3812">
        <f>Table118[[#Totals],[2021]]</f>
        <v>1.0001</v>
      </c>
      <c r="J3812">
        <f>Table118[[#Totals],[2022]]</f>
        <v>1.0253999999999999</v>
      </c>
      <c r="K3812">
        <f>Table118[[#Totals],[2023]]</f>
        <v>1.0430999999999999</v>
      </c>
      <c r="L3812">
        <f>Table118[[#Totals],[2024]]</f>
        <v>1.0549999999999999</v>
      </c>
      <c r="M3812">
        <f>Table118[[#Totals],[2025]]</f>
        <v>1.0631999999999999</v>
      </c>
      <c r="N3812">
        <f>Table118[[#Totals],[2026]]</f>
        <v>1.0636999999999999</v>
      </c>
      <c r="O3812">
        <f>Table118[[#Totals],[2027]]</f>
        <v>1.0640000000000001</v>
      </c>
      <c r="P3812">
        <f>Table118[[#Totals],[2028]]</f>
        <v>1.0642999999999998</v>
      </c>
      <c r="Q3812">
        <f>Table118[[#Totals],[2029]]</f>
        <v>1.0647999999999997</v>
      </c>
      <c r="R3812">
        <f>Table118[[#Totals],[2030]]</f>
        <v>1.0650999999999999</v>
      </c>
    </row>
    <row r="3813" spans="1:18">
      <c r="A3813" s="2" t="s">
        <v>18818</v>
      </c>
      <c r="B3813" s="2" t="s">
        <v>18756</v>
      </c>
      <c r="C3813">
        <f>SUM(C3798:C3812)</f>
        <v>5.261099999999999</v>
      </c>
      <c r="D3813">
        <f t="shared" ref="D3813:R3813" si="1">SUM(D3798:D3812)</f>
        <v>5.3475000000000001</v>
      </c>
      <c r="E3813">
        <f t="shared" si="1"/>
        <v>5.3617000000000008</v>
      </c>
      <c r="F3813">
        <f t="shared" si="1"/>
        <v>5.3960000000000008</v>
      </c>
      <c r="G3813">
        <f t="shared" si="1"/>
        <v>5.4195999999999991</v>
      </c>
      <c r="H3813">
        <f t="shared" si="1"/>
        <v>5.3760999999999992</v>
      </c>
      <c r="I3813">
        <f t="shared" si="1"/>
        <v>5.4510999999999994</v>
      </c>
      <c r="J3813">
        <f t="shared" si="1"/>
        <v>5.5225000000000009</v>
      </c>
      <c r="K3813">
        <f t="shared" si="1"/>
        <v>5.5728999999999997</v>
      </c>
      <c r="L3813">
        <f t="shared" si="1"/>
        <v>5.6380999999999988</v>
      </c>
      <c r="M3813">
        <f t="shared" si="1"/>
        <v>5.702300000000001</v>
      </c>
      <c r="N3813">
        <f t="shared" si="1"/>
        <v>5.742</v>
      </c>
      <c r="O3813">
        <f t="shared" si="1"/>
        <v>5.7634000000000007</v>
      </c>
      <c r="P3813">
        <f t="shared" si="1"/>
        <v>5.8044999999999991</v>
      </c>
      <c r="Q3813">
        <f t="shared" si="1"/>
        <v>5.8487</v>
      </c>
      <c r="R3813">
        <f t="shared" si="1"/>
        <v>5.8780000000000001</v>
      </c>
    </row>
    <row r="3815" spans="1:18">
      <c r="A3815" s="2" t="s">
        <v>18814</v>
      </c>
      <c r="B3815" s="2" t="s">
        <v>18815</v>
      </c>
      <c r="C3815" s="31" t="s">
        <v>578</v>
      </c>
      <c r="D3815" s="31" t="s">
        <v>579</v>
      </c>
      <c r="E3815" s="31" t="s">
        <v>580</v>
      </c>
      <c r="F3815" s="31" t="s">
        <v>581</v>
      </c>
      <c r="G3815" s="31" t="s">
        <v>582</v>
      </c>
      <c r="H3815" s="31" t="s">
        <v>583</v>
      </c>
      <c r="I3815" s="31" t="s">
        <v>584</v>
      </c>
      <c r="J3815" s="31" t="s">
        <v>585</v>
      </c>
      <c r="K3815" s="31" t="s">
        <v>586</v>
      </c>
      <c r="L3815" s="31" t="s">
        <v>587</v>
      </c>
      <c r="M3815" s="31" t="s">
        <v>588</v>
      </c>
      <c r="N3815" s="31" t="s">
        <v>589</v>
      </c>
      <c r="O3815" s="31" t="s">
        <v>590</v>
      </c>
      <c r="P3815" s="31" t="s">
        <v>591</v>
      </c>
      <c r="Q3815" s="31" t="s">
        <v>592</v>
      </c>
      <c r="R3815" s="31" t="s">
        <v>593</v>
      </c>
    </row>
    <row r="3816" spans="1:18">
      <c r="A3816" s="2" t="s">
        <v>18762</v>
      </c>
      <c r="B3816" s="2" t="s">
        <v>101</v>
      </c>
      <c r="C3816" s="14">
        <f>C3798/C$3813</f>
        <v>5.8656934861530868E-2</v>
      </c>
      <c r="D3816" s="14">
        <f t="shared" ref="D3816:R3816" si="2">D3798/D$3813</f>
        <v>5.770920991117344E-2</v>
      </c>
      <c r="E3816" s="14">
        <f t="shared" si="2"/>
        <v>5.7556372046179374E-2</v>
      </c>
      <c r="F3816" s="14">
        <f t="shared" si="2"/>
        <v>5.7190511489992574E-2</v>
      </c>
      <c r="G3816" s="14">
        <f t="shared" si="2"/>
        <v>5.6941471695328073E-2</v>
      </c>
      <c r="H3816" s="14">
        <f t="shared" si="2"/>
        <v>5.7402206060155135E-2</v>
      </c>
      <c r="I3816" s="14">
        <f t="shared" si="2"/>
        <v>5.6612426849626682E-2</v>
      </c>
      <c r="J3816" s="14">
        <f t="shared" si="2"/>
        <v>5.588048890900859E-2</v>
      </c>
      <c r="K3816" s="14">
        <f t="shared" si="2"/>
        <v>5.5375118878860201E-2</v>
      </c>
      <c r="L3816" s="14">
        <f t="shared" si="2"/>
        <v>5.4734751068622418E-2</v>
      </c>
      <c r="M3816" s="14">
        <f t="shared" si="2"/>
        <v>5.4118513582238736E-2</v>
      </c>
      <c r="N3816" s="14">
        <f t="shared" si="2"/>
        <v>5.3744339951236501E-2</v>
      </c>
      <c r="O3816" s="14">
        <f t="shared" si="2"/>
        <v>5.3544782593607933E-2</v>
      </c>
      <c r="P3816" s="14">
        <f t="shared" si="2"/>
        <v>5.3165647342579038E-2</v>
      </c>
      <c r="Q3816" s="14">
        <f t="shared" si="2"/>
        <v>5.2763862054815598E-2</v>
      </c>
      <c r="R3816" s="14">
        <f t="shared" si="2"/>
        <v>5.2500850629465801E-2</v>
      </c>
    </row>
    <row r="3817" spans="1:18">
      <c r="A3817" s="2" t="s">
        <v>416</v>
      </c>
      <c r="B3817" s="2" t="s">
        <v>101</v>
      </c>
      <c r="C3817" s="14">
        <f t="shared" ref="C3817:R3830" si="3">C3799/C$3813</f>
        <v>2.2409762217026861E-2</v>
      </c>
      <c r="D3817" s="14">
        <f t="shared" si="3"/>
        <v>2.2047685834502104E-2</v>
      </c>
      <c r="E3817" s="14">
        <f t="shared" si="3"/>
        <v>2.1989294440196205E-2</v>
      </c>
      <c r="F3817" s="14">
        <f t="shared" si="3"/>
        <v>2.1849518161601182E-2</v>
      </c>
      <c r="G3817" s="14">
        <f t="shared" si="3"/>
        <v>2.1754373016458783E-2</v>
      </c>
      <c r="H3817" s="14">
        <f t="shared" si="3"/>
        <v>2.1930395639962057E-2</v>
      </c>
      <c r="I3817" s="14">
        <f t="shared" si="3"/>
        <v>2.1628662104896262E-2</v>
      </c>
      <c r="J3817" s="14">
        <f t="shared" si="3"/>
        <v>2.134902670891806E-2</v>
      </c>
      <c r="K3817" s="14">
        <f t="shared" si="3"/>
        <v>2.1155951120601483E-2</v>
      </c>
      <c r="L3817" s="14">
        <f t="shared" si="3"/>
        <v>2.0911299905996706E-2</v>
      </c>
      <c r="M3817" s="14">
        <f t="shared" si="3"/>
        <v>2.0675867632358871E-2</v>
      </c>
      <c r="N3817" s="14">
        <f t="shared" si="3"/>
        <v>2.0532915360501568E-2</v>
      </c>
      <c r="O3817" s="14">
        <f t="shared" si="3"/>
        <v>2.0456674879411458E-2</v>
      </c>
      <c r="P3817" s="14">
        <f t="shared" si="3"/>
        <v>2.0311827030752006E-2</v>
      </c>
      <c r="Q3817" s="14">
        <f t="shared" si="3"/>
        <v>2.0158325781797666E-2</v>
      </c>
      <c r="R3817" s="14">
        <f t="shared" si="3"/>
        <v>2.005784280367472E-2</v>
      </c>
    </row>
    <row r="3818" spans="1:18">
      <c r="A3818" s="2" t="s">
        <v>253</v>
      </c>
      <c r="B3818" s="2" t="s">
        <v>101</v>
      </c>
      <c r="C3818" s="14">
        <f t="shared" si="3"/>
        <v>0</v>
      </c>
      <c r="D3818" s="14">
        <f t="shared" si="3"/>
        <v>0</v>
      </c>
      <c r="E3818" s="14">
        <f t="shared" si="3"/>
        <v>0</v>
      </c>
      <c r="F3818" s="14">
        <f t="shared" si="3"/>
        <v>0</v>
      </c>
      <c r="G3818" s="14">
        <f t="shared" si="3"/>
        <v>0</v>
      </c>
      <c r="H3818" s="14">
        <f t="shared" si="3"/>
        <v>0</v>
      </c>
      <c r="I3818" s="14">
        <f t="shared" si="3"/>
        <v>0</v>
      </c>
      <c r="J3818" s="14">
        <f t="shared" si="3"/>
        <v>0</v>
      </c>
      <c r="K3818" s="14">
        <f t="shared" si="3"/>
        <v>0</v>
      </c>
      <c r="L3818" s="14">
        <f t="shared" si="3"/>
        <v>0</v>
      </c>
      <c r="M3818" s="14">
        <f t="shared" si="3"/>
        <v>0</v>
      </c>
      <c r="N3818" s="14">
        <f t="shared" si="3"/>
        <v>0</v>
      </c>
      <c r="O3818" s="14">
        <f t="shared" si="3"/>
        <v>0</v>
      </c>
      <c r="P3818" s="14">
        <f t="shared" si="3"/>
        <v>0</v>
      </c>
      <c r="Q3818" s="14">
        <f t="shared" si="3"/>
        <v>0</v>
      </c>
      <c r="R3818" s="14">
        <f t="shared" si="3"/>
        <v>0</v>
      </c>
    </row>
    <row r="3819" spans="1:18">
      <c r="A3819" s="2" t="s">
        <v>18816</v>
      </c>
      <c r="B3819" s="2" t="s">
        <v>101</v>
      </c>
      <c r="C3819" s="14">
        <f t="shared" si="3"/>
        <v>9.4428921708388E-2</v>
      </c>
      <c r="D3819" s="14">
        <f t="shared" si="3"/>
        <v>9.2323515661524067E-2</v>
      </c>
      <c r="E3819" s="14">
        <f t="shared" si="3"/>
        <v>8.9617099054404376E-2</v>
      </c>
      <c r="F3819" s="14">
        <f t="shared" si="3"/>
        <v>8.9696071163825039E-2</v>
      </c>
      <c r="G3819" s="14">
        <f t="shared" si="3"/>
        <v>8.9102516790907083E-2</v>
      </c>
      <c r="H3819" s="14">
        <f t="shared" si="3"/>
        <v>8.9674671230073846E-2</v>
      </c>
      <c r="I3819" s="14">
        <f t="shared" si="3"/>
        <v>9.1926400176111256E-2</v>
      </c>
      <c r="J3819" s="14">
        <f t="shared" si="3"/>
        <v>9.3037573562698039E-2</v>
      </c>
      <c r="K3819" s="14">
        <f t="shared" si="3"/>
        <v>9.3811121678120904E-2</v>
      </c>
      <c r="L3819" s="14">
        <f t="shared" si="3"/>
        <v>9.3825934268636627E-2</v>
      </c>
      <c r="M3819" s="14">
        <f t="shared" si="3"/>
        <v>9.3506129105799404E-2</v>
      </c>
      <c r="N3819" s="14">
        <f t="shared" si="3"/>
        <v>9.2859630790665268E-2</v>
      </c>
      <c r="O3819" s="14">
        <f t="shared" si="3"/>
        <v>9.2514834993233153E-2</v>
      </c>
      <c r="P3819" s="14">
        <f t="shared" si="3"/>
        <v>9.1859763976225361E-2</v>
      </c>
      <c r="Q3819" s="14">
        <f t="shared" si="3"/>
        <v>9.1165558158223192E-2</v>
      </c>
      <c r="R3819" s="14">
        <f t="shared" si="3"/>
        <v>9.0711126233412723E-2</v>
      </c>
    </row>
    <row r="3820" spans="1:18">
      <c r="A3820" s="2" t="s">
        <v>419</v>
      </c>
      <c r="B3820" s="2" t="s">
        <v>101</v>
      </c>
      <c r="C3820" s="14">
        <f t="shared" si="3"/>
        <v>3.3034916652411102E-2</v>
      </c>
      <c r="D3820" s="14">
        <f t="shared" si="3"/>
        <v>3.3567087424029925E-2</v>
      </c>
      <c r="E3820" s="14">
        <f t="shared" si="3"/>
        <v>3.364604509763694E-2</v>
      </c>
      <c r="F3820" s="14">
        <f t="shared" si="3"/>
        <v>3.4043736100815417E-2</v>
      </c>
      <c r="G3820" s="14">
        <f t="shared" si="3"/>
        <v>3.4301424459369706E-2</v>
      </c>
      <c r="H3820" s="14">
        <f t="shared" si="3"/>
        <v>3.5881028998716549E-2</v>
      </c>
      <c r="I3820" s="14">
        <f t="shared" si="3"/>
        <v>3.5607492065821589E-2</v>
      </c>
      <c r="J3820" s="14">
        <f t="shared" si="3"/>
        <v>3.5708465368945223E-2</v>
      </c>
      <c r="K3820" s="14">
        <f t="shared" si="3"/>
        <v>3.5762349943476469E-2</v>
      </c>
      <c r="L3820" s="14">
        <f t="shared" si="3"/>
        <v>3.6235611287490477E-2</v>
      </c>
      <c r="M3820" s="14">
        <f t="shared" si="3"/>
        <v>3.6827245146695192E-2</v>
      </c>
      <c r="N3820" s="14">
        <f t="shared" si="3"/>
        <v>3.7286659700452807E-2</v>
      </c>
      <c r="O3820" s="14">
        <f t="shared" si="3"/>
        <v>3.7460526772391291E-2</v>
      </c>
      <c r="P3820" s="14">
        <f t="shared" si="3"/>
        <v>3.7970540098199682E-2</v>
      </c>
      <c r="Q3820" s="14">
        <f t="shared" si="3"/>
        <v>3.8470087369842872E-2</v>
      </c>
      <c r="R3820" s="14">
        <f t="shared" si="3"/>
        <v>3.8754678462061924E-2</v>
      </c>
    </row>
    <row r="3821" spans="1:18">
      <c r="A3821" s="2" t="s">
        <v>420</v>
      </c>
      <c r="B3821" s="2" t="s">
        <v>101</v>
      </c>
      <c r="C3821" s="14">
        <f t="shared" si="3"/>
        <v>5.1434110737298283E-2</v>
      </c>
      <c r="D3821" s="14">
        <f t="shared" si="3"/>
        <v>5.211781206171108E-2</v>
      </c>
      <c r="E3821" s="14">
        <f t="shared" si="3"/>
        <v>5.3359941809500717E-2</v>
      </c>
      <c r="F3821" s="14">
        <f t="shared" si="3"/>
        <v>5.3169014084507041E-2</v>
      </c>
      <c r="G3821" s="14">
        <f t="shared" si="3"/>
        <v>5.2955937707579899E-2</v>
      </c>
      <c r="H3821" s="14">
        <f t="shared" si="3"/>
        <v>5.0538494447647929E-2</v>
      </c>
      <c r="I3821" s="14">
        <f t="shared" si="3"/>
        <v>4.9971565372126728E-2</v>
      </c>
      <c r="J3821" s="14">
        <f t="shared" si="3"/>
        <v>4.9560887279311898E-2</v>
      </c>
      <c r="K3821" s="14">
        <f t="shared" si="3"/>
        <v>4.9256222074682846E-2</v>
      </c>
      <c r="L3821" s="14">
        <f t="shared" si="3"/>
        <v>4.8988134300562258E-2</v>
      </c>
      <c r="M3821" s="14">
        <f t="shared" si="3"/>
        <v>4.876979464426634E-2</v>
      </c>
      <c r="N3821" s="14">
        <f t="shared" si="3"/>
        <v>4.8711250435388369E-2</v>
      </c>
      <c r="O3821" s="14">
        <f t="shared" si="3"/>
        <v>4.865183745705659E-2</v>
      </c>
      <c r="P3821" s="14">
        <f t="shared" si="3"/>
        <v>4.8531311913170824E-2</v>
      </c>
      <c r="Q3821" s="14">
        <f t="shared" si="3"/>
        <v>4.8455212269393193E-2</v>
      </c>
      <c r="R3821" s="14">
        <f t="shared" si="3"/>
        <v>4.8383804014971075E-2</v>
      </c>
    </row>
    <row r="3822" spans="1:18">
      <c r="A3822" s="2" t="s">
        <v>258</v>
      </c>
      <c r="B3822" s="2" t="s">
        <v>101</v>
      </c>
      <c r="C3822" s="14">
        <f t="shared" si="3"/>
        <v>5.0635798597251529E-2</v>
      </c>
      <c r="D3822" s="14">
        <f t="shared" si="3"/>
        <v>5.0864890135577372E-2</v>
      </c>
      <c r="E3822" s="14">
        <f t="shared" si="3"/>
        <v>5.0972639274856853E-2</v>
      </c>
      <c r="F3822" s="14">
        <f t="shared" si="3"/>
        <v>5.1186063750926603E-2</v>
      </c>
      <c r="G3822" s="14">
        <f t="shared" si="3"/>
        <v>5.1295298546018171E-2</v>
      </c>
      <c r="H3822" s="14">
        <f t="shared" si="3"/>
        <v>5.2547385651308572E-2</v>
      </c>
      <c r="I3822" s="14">
        <f t="shared" si="3"/>
        <v>5.2007851626277267E-2</v>
      </c>
      <c r="J3822" s="14">
        <f t="shared" si="3"/>
        <v>5.1806247170665454E-2</v>
      </c>
      <c r="K3822" s="14">
        <f t="shared" si="3"/>
        <v>5.1678659225896761E-2</v>
      </c>
      <c r="L3822" s="14">
        <f t="shared" si="3"/>
        <v>5.1843706213085983E-2</v>
      </c>
      <c r="M3822" s="14">
        <f t="shared" si="3"/>
        <v>5.2119320274275287E-2</v>
      </c>
      <c r="N3822" s="14">
        <f t="shared" si="3"/>
        <v>5.2385928247997218E-2</v>
      </c>
      <c r="O3822" s="14">
        <f t="shared" si="3"/>
        <v>5.2451677829059233E-2</v>
      </c>
      <c r="P3822" s="14">
        <f t="shared" si="3"/>
        <v>5.275217503660954E-2</v>
      </c>
      <c r="Q3822" s="14">
        <f t="shared" si="3"/>
        <v>5.3037427120556709E-2</v>
      </c>
      <c r="R3822" s="14">
        <f t="shared" si="3"/>
        <v>5.3181354202109558E-2</v>
      </c>
    </row>
    <row r="3823" spans="1:18">
      <c r="A3823" s="2" t="s">
        <v>18817</v>
      </c>
      <c r="B3823" s="2" t="s">
        <v>101</v>
      </c>
      <c r="C3823" s="14">
        <f t="shared" si="3"/>
        <v>0</v>
      </c>
      <c r="D3823" s="14">
        <f t="shared" si="3"/>
        <v>0</v>
      </c>
      <c r="E3823" s="14">
        <f t="shared" si="3"/>
        <v>0</v>
      </c>
      <c r="F3823" s="14">
        <f t="shared" si="3"/>
        <v>0</v>
      </c>
      <c r="G3823" s="14">
        <f t="shared" si="3"/>
        <v>0</v>
      </c>
      <c r="H3823" s="14">
        <f t="shared" si="3"/>
        <v>0</v>
      </c>
      <c r="I3823" s="14">
        <f t="shared" si="3"/>
        <v>0</v>
      </c>
      <c r="J3823" s="14">
        <f t="shared" si="3"/>
        <v>0</v>
      </c>
      <c r="K3823" s="14">
        <f t="shared" si="3"/>
        <v>0</v>
      </c>
      <c r="L3823" s="14">
        <f t="shared" si="3"/>
        <v>0</v>
      </c>
      <c r="M3823" s="14">
        <f t="shared" si="3"/>
        <v>0</v>
      </c>
      <c r="N3823" s="14">
        <f t="shared" si="3"/>
        <v>0</v>
      </c>
      <c r="O3823" s="14">
        <f t="shared" si="3"/>
        <v>0</v>
      </c>
      <c r="P3823" s="14">
        <f t="shared" si="3"/>
        <v>0</v>
      </c>
      <c r="Q3823" s="14">
        <f t="shared" si="3"/>
        <v>0</v>
      </c>
      <c r="R3823" s="14">
        <f t="shared" si="3"/>
        <v>0</v>
      </c>
    </row>
    <row r="3824" spans="1:18">
      <c r="A3824" s="2" t="s">
        <v>490</v>
      </c>
      <c r="B3824" s="2" t="s">
        <v>101</v>
      </c>
      <c r="C3824" s="14">
        <f t="shared" si="3"/>
        <v>0.12744483092889322</v>
      </c>
      <c r="D3824" s="14">
        <f t="shared" si="3"/>
        <v>0.12940626460963067</v>
      </c>
      <c r="E3824" s="14">
        <f t="shared" si="3"/>
        <v>0.130798067777011</v>
      </c>
      <c r="F3824" s="14">
        <f t="shared" si="3"/>
        <v>0.13157894736842102</v>
      </c>
      <c r="G3824" s="14">
        <f t="shared" si="3"/>
        <v>0.13202081334415827</v>
      </c>
      <c r="H3824" s="14">
        <f t="shared" si="3"/>
        <v>0.13366566842134636</v>
      </c>
      <c r="I3824" s="14">
        <f t="shared" si="3"/>
        <v>0.13248702096824494</v>
      </c>
      <c r="J3824" s="14">
        <f t="shared" si="3"/>
        <v>0.13233137166138523</v>
      </c>
      <c r="K3824" s="14">
        <f t="shared" si="3"/>
        <v>0.13219329254068798</v>
      </c>
      <c r="L3824" s="14">
        <f t="shared" si="3"/>
        <v>0.13311221865522074</v>
      </c>
      <c r="M3824" s="14">
        <f t="shared" si="3"/>
        <v>0.13438437121863106</v>
      </c>
      <c r="N3824" s="14">
        <f t="shared" si="3"/>
        <v>0.13542319749216303</v>
      </c>
      <c r="O3824" s="14">
        <f t="shared" si="3"/>
        <v>0.13587465732033174</v>
      </c>
      <c r="P3824" s="14">
        <f t="shared" si="3"/>
        <v>0.13697992936514775</v>
      </c>
      <c r="Q3824" s="14">
        <f t="shared" si="3"/>
        <v>0.13809906474943151</v>
      </c>
      <c r="R3824" s="14">
        <f t="shared" si="3"/>
        <v>0.13882272881932628</v>
      </c>
    </row>
    <row r="3825" spans="1:18">
      <c r="A3825" s="2" t="s">
        <v>261</v>
      </c>
      <c r="B3825" s="2" t="s">
        <v>101</v>
      </c>
      <c r="C3825" s="14">
        <f t="shared" si="3"/>
        <v>1.5472049571382413E-2</v>
      </c>
      <c r="D3825" s="14">
        <f t="shared" si="3"/>
        <v>1.5128564749883123E-2</v>
      </c>
      <c r="E3825" s="14">
        <f t="shared" si="3"/>
        <v>1.4678180427849375E-2</v>
      </c>
      <c r="F3825" s="14">
        <f t="shared" si="3"/>
        <v>1.4714603409933281E-2</v>
      </c>
      <c r="G3825" s="14">
        <f t="shared" si="3"/>
        <v>1.4595173075503729E-2</v>
      </c>
      <c r="H3825" s="14">
        <f t="shared" si="3"/>
        <v>1.4676066293409723E-2</v>
      </c>
      <c r="I3825" s="14">
        <f t="shared" si="3"/>
        <v>1.5042835391021999E-2</v>
      </c>
      <c r="J3825" s="14">
        <f t="shared" si="3"/>
        <v>1.5264825712992302E-2</v>
      </c>
      <c r="K3825" s="14">
        <f t="shared" si="3"/>
        <v>1.537798991548386E-2</v>
      </c>
      <c r="L3825" s="14">
        <f t="shared" si="3"/>
        <v>1.5359784324506486E-2</v>
      </c>
      <c r="M3825" s="14">
        <f t="shared" si="3"/>
        <v>1.5327148694386474E-2</v>
      </c>
      <c r="N3825" s="14">
        <f t="shared" si="3"/>
        <v>1.5221177290142808E-2</v>
      </c>
      <c r="O3825" s="14">
        <f t="shared" si="3"/>
        <v>1.5164659749453446E-2</v>
      </c>
      <c r="P3825" s="14">
        <f t="shared" si="3"/>
        <v>1.5057283142389528E-2</v>
      </c>
      <c r="Q3825" s="14">
        <f t="shared" si="3"/>
        <v>1.4943491716107853E-2</v>
      </c>
      <c r="R3825" s="14">
        <f t="shared" si="3"/>
        <v>1.4869003062266078E-2</v>
      </c>
    </row>
    <row r="3826" spans="1:18">
      <c r="A3826" s="2" t="s">
        <v>262</v>
      </c>
      <c r="B3826" s="2" t="s">
        <v>101</v>
      </c>
      <c r="C3826" s="14">
        <f t="shared" si="3"/>
        <v>5.6433065328543468E-2</v>
      </c>
      <c r="D3826" s="14">
        <f t="shared" si="3"/>
        <v>5.7765310892940624E-2</v>
      </c>
      <c r="E3826" s="14">
        <f t="shared" si="3"/>
        <v>5.8750023313501307E-2</v>
      </c>
      <c r="F3826" s="14">
        <f t="shared" si="3"/>
        <v>5.7561156412157144E-2</v>
      </c>
      <c r="G3826" s="14">
        <f t="shared" si="3"/>
        <v>5.8380692302014911E-2</v>
      </c>
      <c r="H3826" s="14">
        <f t="shared" si="3"/>
        <v>5.6341957924889802E-2</v>
      </c>
      <c r="I3826" s="14">
        <f t="shared" si="3"/>
        <v>5.5676835867989952E-2</v>
      </c>
      <c r="J3826" s="14">
        <f t="shared" si="3"/>
        <v>5.506564056133996E-2</v>
      </c>
      <c r="K3826" s="14">
        <f t="shared" si="3"/>
        <v>5.4621471765149206E-2</v>
      </c>
      <c r="L3826" s="14">
        <f t="shared" si="3"/>
        <v>5.4096238094393512E-2</v>
      </c>
      <c r="M3826" s="14">
        <f t="shared" si="3"/>
        <v>5.3592410080143101E-2</v>
      </c>
      <c r="N3826" s="14">
        <f t="shared" si="3"/>
        <v>5.3326367119470572E-2</v>
      </c>
      <c r="O3826" s="14">
        <f t="shared" si="3"/>
        <v>5.3232466946594018E-2</v>
      </c>
      <c r="P3826" s="14">
        <f t="shared" si="3"/>
        <v>5.2907227151348095E-2</v>
      </c>
      <c r="Q3826" s="14">
        <f t="shared" si="3"/>
        <v>5.2627079521945043E-2</v>
      </c>
      <c r="R3826" s="14">
        <f t="shared" si="3"/>
        <v>5.2466825450833615E-2</v>
      </c>
    </row>
    <row r="3827" spans="1:18">
      <c r="A3827" s="2" t="s">
        <v>18766</v>
      </c>
      <c r="B3827" s="2" t="s">
        <v>101</v>
      </c>
      <c r="C3827" s="14">
        <f t="shared" si="3"/>
        <v>5.6699169375225726E-2</v>
      </c>
      <c r="D3827" s="14">
        <f t="shared" si="3"/>
        <v>5.6400187003272539E-2</v>
      </c>
      <c r="E3827" s="14">
        <f t="shared" si="3"/>
        <v>5.6866292407258885E-2</v>
      </c>
      <c r="F3827" s="14">
        <f t="shared" si="3"/>
        <v>5.7153446997776122E-2</v>
      </c>
      <c r="G3827" s="14">
        <f t="shared" si="3"/>
        <v>5.7495018082515323E-2</v>
      </c>
      <c r="H3827" s="14">
        <f t="shared" si="3"/>
        <v>5.848105503989881E-2</v>
      </c>
      <c r="I3827" s="14">
        <f t="shared" si="3"/>
        <v>5.8410229128065906E-2</v>
      </c>
      <c r="J3827" s="14">
        <f t="shared" si="3"/>
        <v>5.8469895880488905E-2</v>
      </c>
      <c r="K3827" s="14">
        <f t="shared" si="3"/>
        <v>5.8748586911661786E-2</v>
      </c>
      <c r="L3827" s="14">
        <f t="shared" si="3"/>
        <v>5.8867348929603949E-2</v>
      </c>
      <c r="M3827" s="14">
        <f t="shared" si="3"/>
        <v>5.8993739368325041E-2</v>
      </c>
      <c r="N3827" s="14">
        <f t="shared" si="3"/>
        <v>5.943921978404737E-2</v>
      </c>
      <c r="O3827" s="14">
        <f t="shared" si="3"/>
        <v>5.9981955095950293E-2</v>
      </c>
      <c r="P3827" s="14">
        <f t="shared" si="3"/>
        <v>6.0435868722542863E-2</v>
      </c>
      <c r="Q3827" s="14">
        <f t="shared" si="3"/>
        <v>6.0816933677569365E-2</v>
      </c>
      <c r="R3827" s="14">
        <f t="shared" si="3"/>
        <v>6.1279346716570253E-2</v>
      </c>
    </row>
    <row r="3828" spans="1:18">
      <c r="A3828" s="2" t="s">
        <v>265</v>
      </c>
      <c r="B3828" s="2" t="s">
        <v>101</v>
      </c>
      <c r="C3828" s="14">
        <f t="shared" si="3"/>
        <v>0.22160764859059895</v>
      </c>
      <c r="D3828" s="14">
        <f t="shared" si="3"/>
        <v>0.22472183263207104</v>
      </c>
      <c r="E3828" s="14">
        <f t="shared" si="3"/>
        <v>0.22871477329951317</v>
      </c>
      <c r="F3828" s="14">
        <f t="shared" si="3"/>
        <v>0.22887323943661969</v>
      </c>
      <c r="G3828" s="14">
        <f t="shared" si="3"/>
        <v>0.22883607646320764</v>
      </c>
      <c r="H3828" s="14">
        <f t="shared" si="3"/>
        <v>0.22486560889864404</v>
      </c>
      <c r="I3828" s="14">
        <f t="shared" si="3"/>
        <v>0.22259727394470841</v>
      </c>
      <c r="J3828" s="14">
        <f t="shared" si="3"/>
        <v>0.22149388863739247</v>
      </c>
      <c r="K3828" s="14">
        <f t="shared" si="3"/>
        <v>0.22063916452834248</v>
      </c>
      <c r="L3828" s="14">
        <f t="shared" si="3"/>
        <v>0.22081907025416367</v>
      </c>
      <c r="M3828" s="14">
        <f t="shared" si="3"/>
        <v>0.22131420654823489</v>
      </c>
      <c r="N3828" s="14">
        <f t="shared" si="3"/>
        <v>0.22197840473702543</v>
      </c>
      <c r="O3828" s="14">
        <f t="shared" si="3"/>
        <v>0.22221258285040077</v>
      </c>
      <c r="P3828" s="14">
        <f t="shared" si="3"/>
        <v>0.22289602894306143</v>
      </c>
      <c r="Q3828" s="14">
        <f t="shared" si="3"/>
        <v>0.22367363687657085</v>
      </c>
      <c r="R3828" s="14">
        <f t="shared" si="3"/>
        <v>0.2240728138822729</v>
      </c>
    </row>
    <row r="3829" spans="1:18">
      <c r="A3829" s="2" t="s">
        <v>267</v>
      </c>
      <c r="B3829" s="2" t="s">
        <v>101</v>
      </c>
      <c r="C3829" s="14">
        <f t="shared" si="3"/>
        <v>2.3702267586626375E-2</v>
      </c>
      <c r="D3829" s="14">
        <f t="shared" si="3"/>
        <v>2.3955119214586259E-2</v>
      </c>
      <c r="E3829" s="14">
        <f t="shared" si="3"/>
        <v>2.4152787362217206E-2</v>
      </c>
      <c r="F3829" s="14">
        <f t="shared" si="3"/>
        <v>2.3962194217939214E-2</v>
      </c>
      <c r="G3829" s="14">
        <f t="shared" si="3"/>
        <v>2.4411395674957571E-2</v>
      </c>
      <c r="H3829" s="14">
        <f t="shared" si="3"/>
        <v>2.4757724000669633E-2</v>
      </c>
      <c r="I3829" s="14">
        <f t="shared" si="3"/>
        <v>2.4563849498266409E-2</v>
      </c>
      <c r="J3829" s="14">
        <f t="shared" si="3"/>
        <v>2.4354911724762333E-2</v>
      </c>
      <c r="K3829" s="14">
        <f t="shared" si="3"/>
        <v>2.4206427533241225E-2</v>
      </c>
      <c r="L3829" s="14">
        <f t="shared" si="3"/>
        <v>2.4086128305634887E-2</v>
      </c>
      <c r="M3829" s="14">
        <f t="shared" si="3"/>
        <v>2.3920172561948685E-2</v>
      </c>
      <c r="N3829" s="14">
        <f t="shared" si="3"/>
        <v>2.3841866945315225E-2</v>
      </c>
      <c r="O3829" s="14">
        <f t="shared" si="3"/>
        <v>2.3840094388728875E-2</v>
      </c>
      <c r="P3829" s="14">
        <f t="shared" si="3"/>
        <v>2.3774657593246623E-2</v>
      </c>
      <c r="Q3829" s="14">
        <f t="shared" si="3"/>
        <v>2.3731769453040851E-2</v>
      </c>
      <c r="R3829" s="14">
        <f t="shared" si="3"/>
        <v>2.3698536917318821E-2</v>
      </c>
    </row>
    <row r="3830" spans="1:18">
      <c r="A3830" s="2" t="s">
        <v>268</v>
      </c>
      <c r="B3830" s="2" t="s">
        <v>101</v>
      </c>
      <c r="C3830" s="14">
        <f t="shared" si="3"/>
        <v>0.18804052384482334</v>
      </c>
      <c r="D3830" s="14">
        <f t="shared" si="3"/>
        <v>0.1839925198690977</v>
      </c>
      <c r="E3830" s="14">
        <f t="shared" si="3"/>
        <v>0.17889848368987443</v>
      </c>
      <c r="F3830" s="14">
        <f t="shared" si="3"/>
        <v>0.17902149740548551</v>
      </c>
      <c r="G3830" s="14">
        <f t="shared" si="3"/>
        <v>0.17790980884198099</v>
      </c>
      <c r="H3830" s="14">
        <f t="shared" si="3"/>
        <v>0.1792377373932777</v>
      </c>
      <c r="I3830" s="14">
        <f t="shared" si="3"/>
        <v>0.18346755700684267</v>
      </c>
      <c r="J3830" s="14">
        <f t="shared" si="3"/>
        <v>0.18567677682209138</v>
      </c>
      <c r="K3830" s="14">
        <f t="shared" si="3"/>
        <v>0.18717364388379479</v>
      </c>
      <c r="L3830" s="14">
        <f t="shared" si="3"/>
        <v>0.18711977439208247</v>
      </c>
      <c r="M3830" s="14">
        <f t="shared" si="3"/>
        <v>0.18645108114269676</v>
      </c>
      <c r="N3830" s="14">
        <f t="shared" si="3"/>
        <v>0.18524904214559385</v>
      </c>
      <c r="O3830" s="14">
        <f t="shared" si="3"/>
        <v>0.18461324912378108</v>
      </c>
      <c r="P3830" s="14">
        <f t="shared" si="3"/>
        <v>0.18335773968472735</v>
      </c>
      <c r="Q3830" s="14">
        <f t="shared" si="3"/>
        <v>0.18205755125070525</v>
      </c>
      <c r="R3830" s="14">
        <f t="shared" si="3"/>
        <v>0.18120108880571623</v>
      </c>
    </row>
    <row r="3831" spans="1:18">
      <c r="A3831" s="2" t="s">
        <v>18818</v>
      </c>
      <c r="B3831" s="2" t="s">
        <v>101</v>
      </c>
      <c r="C3831" s="14">
        <f>C3813/C$3813</f>
        <v>1</v>
      </c>
      <c r="D3831" s="14">
        <f t="shared" ref="D3831:R3831" si="4">D3813/D$3813</f>
        <v>1</v>
      </c>
      <c r="E3831" s="14">
        <f t="shared" si="4"/>
        <v>1</v>
      </c>
      <c r="F3831" s="14">
        <f t="shared" si="4"/>
        <v>1</v>
      </c>
      <c r="G3831" s="14">
        <f t="shared" si="4"/>
        <v>1</v>
      </c>
      <c r="H3831" s="14">
        <f t="shared" si="4"/>
        <v>1</v>
      </c>
      <c r="I3831" s="14">
        <f t="shared" si="4"/>
        <v>1</v>
      </c>
      <c r="J3831" s="14">
        <f t="shared" si="4"/>
        <v>1</v>
      </c>
      <c r="K3831" s="14">
        <f t="shared" si="4"/>
        <v>1</v>
      </c>
      <c r="L3831" s="14">
        <f t="shared" si="4"/>
        <v>1</v>
      </c>
      <c r="M3831" s="14">
        <f t="shared" si="4"/>
        <v>1</v>
      </c>
      <c r="N3831" s="14">
        <f t="shared" si="4"/>
        <v>1</v>
      </c>
      <c r="O3831" s="14">
        <f t="shared" si="4"/>
        <v>1</v>
      </c>
      <c r="P3831" s="14">
        <f t="shared" si="4"/>
        <v>1</v>
      </c>
      <c r="Q3831" s="14">
        <f t="shared" si="4"/>
        <v>1</v>
      </c>
      <c r="R3831" s="14">
        <f t="shared" si="4"/>
        <v>1</v>
      </c>
    </row>
  </sheetData>
  <pageMargins left="0.7" right="0.7" top="0.75" bottom="0.75" header="0.3" footer="0.3"/>
  <tableParts count="15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>
    <tabColor rgb="FFFFC000"/>
  </sheetPr>
  <dimension ref="A1:AI31"/>
  <sheetViews>
    <sheetView topLeftCell="A9" workbookViewId="0">
      <selection activeCell="F28" sqref="F28"/>
    </sheetView>
  </sheetViews>
  <sheetFormatPr defaultRowHeight="15"/>
  <cols>
    <col min="1" max="1" width="24.85546875" customWidth="1"/>
    <col min="13" max="13" width="9.7109375" bestFit="1" customWidth="1"/>
    <col min="15" max="15" width="17.7109375" customWidth="1"/>
  </cols>
  <sheetData>
    <row r="1" spans="1:35">
      <c r="A1" s="4" t="s">
        <v>18846</v>
      </c>
    </row>
    <row r="2" spans="1:35">
      <c r="A2" s="514" t="s">
        <v>18847</v>
      </c>
      <c r="B2" s="514" t="s">
        <v>18848</v>
      </c>
      <c r="C2" s="514" t="s">
        <v>500</v>
      </c>
      <c r="D2" s="514" t="s">
        <v>18849</v>
      </c>
      <c r="E2" s="514" t="s">
        <v>18850</v>
      </c>
      <c r="F2" s="514" t="s">
        <v>18851</v>
      </c>
      <c r="G2" s="514" t="s">
        <v>18852</v>
      </c>
      <c r="H2" s="351" t="s">
        <v>18853</v>
      </c>
      <c r="I2" s="451" t="s">
        <v>18851</v>
      </c>
      <c r="J2" s="451" t="s">
        <v>18852</v>
      </c>
      <c r="K2" s="451" t="s">
        <v>18854</v>
      </c>
      <c r="L2" s="451" t="s">
        <v>18855</v>
      </c>
    </row>
    <row r="3" spans="1:35">
      <c r="A3" s="514"/>
      <c r="B3" s="514"/>
      <c r="C3" s="514"/>
      <c r="D3" s="514"/>
      <c r="E3" s="514"/>
      <c r="F3" s="514"/>
      <c r="G3" s="514"/>
      <c r="H3" s="351"/>
      <c r="I3" s="451" t="s">
        <v>18856</v>
      </c>
      <c r="J3" s="451" t="s">
        <v>18856</v>
      </c>
      <c r="K3" s="451" t="s">
        <v>477</v>
      </c>
      <c r="L3" s="451" t="s">
        <v>18857</v>
      </c>
      <c r="M3" s="451" t="s">
        <v>18858</v>
      </c>
    </row>
    <row r="4" spans="1:35" ht="60">
      <c r="A4" s="74" t="s">
        <v>18859</v>
      </c>
      <c r="B4" s="74" t="s">
        <v>18860</v>
      </c>
      <c r="C4" s="74" t="s">
        <v>18861</v>
      </c>
      <c r="D4" s="74" t="s">
        <v>18862</v>
      </c>
      <c r="E4" s="74">
        <v>95076</v>
      </c>
      <c r="F4" s="74" t="b">
        <v>0</v>
      </c>
      <c r="G4" s="74" t="b">
        <v>1</v>
      </c>
      <c r="H4" s="77" t="s">
        <v>18863</v>
      </c>
      <c r="I4" s="56"/>
      <c r="J4" s="56"/>
      <c r="K4" s="56"/>
      <c r="L4" s="75">
        <v>42887</v>
      </c>
    </row>
    <row r="5" spans="1:35" ht="60">
      <c r="A5" s="74" t="s">
        <v>18864</v>
      </c>
      <c r="B5" s="74" t="s">
        <v>18865</v>
      </c>
      <c r="C5" s="74" t="s">
        <v>18866</v>
      </c>
      <c r="D5" s="74" t="s">
        <v>18862</v>
      </c>
      <c r="E5" s="74">
        <v>90058</v>
      </c>
      <c r="F5" s="74" t="b">
        <v>0</v>
      </c>
      <c r="G5" s="74" t="b">
        <v>0</v>
      </c>
      <c r="H5" s="77" t="s">
        <v>18867</v>
      </c>
      <c r="I5" s="56"/>
      <c r="J5" s="56"/>
      <c r="K5" s="56"/>
      <c r="L5" s="75">
        <v>42917</v>
      </c>
    </row>
    <row r="6" spans="1:35" ht="45">
      <c r="A6" s="74" t="s">
        <v>18868</v>
      </c>
      <c r="B6" s="74" t="s">
        <v>18869</v>
      </c>
      <c r="C6" s="74" t="s">
        <v>18870</v>
      </c>
      <c r="D6" s="74" t="s">
        <v>18862</v>
      </c>
      <c r="E6" s="74">
        <v>95110</v>
      </c>
      <c r="F6" s="74" t="b">
        <v>0</v>
      </c>
      <c r="G6" s="74" t="b">
        <v>0</v>
      </c>
      <c r="H6" s="77" t="s">
        <v>18871</v>
      </c>
      <c r="I6" s="56"/>
      <c r="J6" s="56"/>
      <c r="K6" s="76">
        <v>3000000</v>
      </c>
      <c r="L6" s="75">
        <v>42917</v>
      </c>
      <c r="M6" t="s">
        <v>18766</v>
      </c>
      <c r="N6" s="14">
        <f>K6/SUM(K$4:K$14)</f>
        <v>4.2553191489361701E-2</v>
      </c>
    </row>
    <row r="7" spans="1:35" ht="39">
      <c r="A7" s="74" t="s">
        <v>18872</v>
      </c>
      <c r="B7" s="74" t="s">
        <v>18873</v>
      </c>
      <c r="C7" s="74" t="s">
        <v>18874</v>
      </c>
      <c r="D7" s="74" t="s">
        <v>18862</v>
      </c>
      <c r="E7" s="74">
        <v>93624</v>
      </c>
      <c r="F7" s="74" t="b">
        <v>0</v>
      </c>
      <c r="G7" s="74" t="b">
        <v>0</v>
      </c>
      <c r="H7" s="77" t="s">
        <v>18875</v>
      </c>
      <c r="I7" s="56"/>
      <c r="J7" s="56"/>
      <c r="L7" s="56"/>
    </row>
    <row r="8" spans="1:35" ht="90">
      <c r="A8" s="74" t="s">
        <v>18876</v>
      </c>
      <c r="B8" s="74" t="s">
        <v>18877</v>
      </c>
      <c r="C8" s="74" t="s">
        <v>18878</v>
      </c>
      <c r="D8" s="74" t="s">
        <v>18862</v>
      </c>
      <c r="E8" s="74">
        <v>93043</v>
      </c>
      <c r="F8" s="74" t="b">
        <v>0</v>
      </c>
      <c r="G8" s="74" t="b">
        <v>0</v>
      </c>
      <c r="H8" s="77" t="s">
        <v>18875</v>
      </c>
      <c r="I8" s="56"/>
      <c r="J8" s="56"/>
      <c r="K8" s="56"/>
      <c r="L8" s="75">
        <v>42826</v>
      </c>
    </row>
    <row r="9" spans="1:35" ht="60">
      <c r="A9" s="74" t="s">
        <v>18879</v>
      </c>
      <c r="B9" s="74" t="s">
        <v>18880</v>
      </c>
      <c r="C9" s="74" t="s">
        <v>375</v>
      </c>
      <c r="D9" s="74" t="s">
        <v>18862</v>
      </c>
      <c r="E9" s="74">
        <v>95203</v>
      </c>
      <c r="F9" s="74" t="b">
        <v>1</v>
      </c>
      <c r="G9" s="74" t="b">
        <v>1</v>
      </c>
      <c r="H9" s="77" t="s">
        <v>18881</v>
      </c>
      <c r="I9" s="56"/>
      <c r="J9" s="56"/>
      <c r="K9" s="76">
        <v>20000000</v>
      </c>
      <c r="L9" s="75">
        <v>42917</v>
      </c>
      <c r="M9" t="s">
        <v>265</v>
      </c>
      <c r="N9" s="14">
        <f>K9/SUM(K$4:K$14)</f>
        <v>0.28368794326241137</v>
      </c>
    </row>
    <row r="10" spans="1:35" ht="60">
      <c r="A10" s="74" t="s">
        <v>18882</v>
      </c>
      <c r="B10" s="74" t="s">
        <v>18883</v>
      </c>
      <c r="C10" s="74" t="s">
        <v>378</v>
      </c>
      <c r="D10" s="74" t="s">
        <v>18862</v>
      </c>
      <c r="E10" s="74">
        <v>93311</v>
      </c>
      <c r="F10" s="74" t="b">
        <v>1</v>
      </c>
      <c r="G10" s="74" t="b">
        <v>1</v>
      </c>
      <c r="H10" s="77" t="s">
        <v>18884</v>
      </c>
      <c r="I10" s="56"/>
      <c r="J10" s="56"/>
      <c r="K10" s="92">
        <v>30000000</v>
      </c>
      <c r="L10" s="75">
        <v>42917</v>
      </c>
      <c r="M10" t="s">
        <v>265</v>
      </c>
      <c r="N10" s="14">
        <f>K10/SUM(K6:K14)</f>
        <v>0.42553191489361702</v>
      </c>
    </row>
    <row r="11" spans="1:35" ht="45">
      <c r="A11" s="74" t="s">
        <v>18885</v>
      </c>
      <c r="B11" s="74" t="s">
        <v>18886</v>
      </c>
      <c r="C11" s="74" t="s">
        <v>18866</v>
      </c>
      <c r="D11" s="74" t="s">
        <v>18862</v>
      </c>
      <c r="E11" s="74">
        <v>90058</v>
      </c>
      <c r="F11" s="74" t="b">
        <v>0</v>
      </c>
      <c r="G11" s="74" t="b">
        <v>1</v>
      </c>
      <c r="H11" s="77" t="s">
        <v>18887</v>
      </c>
      <c r="I11" s="56"/>
      <c r="J11" s="56"/>
      <c r="K11" s="56"/>
      <c r="L11" s="75">
        <v>42917</v>
      </c>
    </row>
    <row r="12" spans="1:35" ht="45">
      <c r="A12" s="74" t="s">
        <v>18888</v>
      </c>
      <c r="B12" s="74" t="s">
        <v>18889</v>
      </c>
      <c r="C12" s="74" t="s">
        <v>18890</v>
      </c>
      <c r="D12" s="74" t="s">
        <v>18862</v>
      </c>
      <c r="E12" s="74">
        <v>92236</v>
      </c>
      <c r="F12" s="74" t="b">
        <v>1</v>
      </c>
      <c r="G12" s="74" t="b">
        <v>1</v>
      </c>
      <c r="H12" s="77" t="s">
        <v>18891</v>
      </c>
      <c r="I12" s="56"/>
      <c r="J12" s="56"/>
      <c r="K12" s="76">
        <v>10500000</v>
      </c>
      <c r="L12" s="75">
        <v>42917</v>
      </c>
      <c r="M12" t="s">
        <v>18892</v>
      </c>
      <c r="N12" s="14">
        <f>K12/SUM(K$4:K$14)</f>
        <v>0.14893617021276595</v>
      </c>
    </row>
    <row r="13" spans="1:35" ht="45">
      <c r="A13" s="74" t="s">
        <v>18893</v>
      </c>
      <c r="B13" s="74" t="s">
        <v>18894</v>
      </c>
      <c r="C13" s="74" t="s">
        <v>373</v>
      </c>
      <c r="D13" s="74" t="s">
        <v>18862</v>
      </c>
      <c r="E13" s="74">
        <v>92113</v>
      </c>
      <c r="F13" s="74" t="b">
        <v>0</v>
      </c>
      <c r="G13" s="74" t="b">
        <v>1</v>
      </c>
      <c r="H13" s="77" t="s">
        <v>18895</v>
      </c>
      <c r="I13" s="56"/>
      <c r="J13" s="56"/>
      <c r="K13" s="76">
        <v>6000000</v>
      </c>
      <c r="L13" s="75">
        <v>42917</v>
      </c>
      <c r="M13" t="s">
        <v>262</v>
      </c>
      <c r="N13" s="14">
        <f>K13/SUM(K$4:K$14)</f>
        <v>8.5106382978723402E-2</v>
      </c>
    </row>
    <row r="14" spans="1:35" ht="45">
      <c r="A14" s="74" t="s">
        <v>18896</v>
      </c>
      <c r="B14" s="74" t="s">
        <v>18897</v>
      </c>
      <c r="C14" s="74" t="s">
        <v>18898</v>
      </c>
      <c r="D14" s="74" t="s">
        <v>18862</v>
      </c>
      <c r="E14" s="74">
        <v>96105</v>
      </c>
      <c r="F14" s="74" t="b">
        <v>0</v>
      </c>
      <c r="G14" s="74" t="b">
        <v>1</v>
      </c>
      <c r="H14" s="77" t="s">
        <v>18899</v>
      </c>
      <c r="I14" s="56"/>
      <c r="J14" s="56"/>
      <c r="K14" s="76">
        <v>1000000</v>
      </c>
      <c r="L14" s="75">
        <v>42917</v>
      </c>
      <c r="M14" t="s">
        <v>256</v>
      </c>
      <c r="N14" s="14">
        <f>K14/SUM(K$4:K$14)</f>
        <v>1.4184397163120567E-2</v>
      </c>
    </row>
    <row r="16" spans="1:35">
      <c r="A16" s="2"/>
      <c r="B16" s="2" t="s">
        <v>1</v>
      </c>
      <c r="C16" s="31" t="s">
        <v>578</v>
      </c>
      <c r="D16" s="31" t="s">
        <v>579</v>
      </c>
      <c r="E16" s="31" t="s">
        <v>580</v>
      </c>
      <c r="F16" s="31" t="s">
        <v>581</v>
      </c>
      <c r="G16" s="31" t="s">
        <v>582</v>
      </c>
      <c r="H16" s="31" t="s">
        <v>583</v>
      </c>
      <c r="I16" s="31" t="s">
        <v>584</v>
      </c>
      <c r="J16" s="31" t="s">
        <v>585</v>
      </c>
      <c r="K16" s="31" t="s">
        <v>586</v>
      </c>
      <c r="L16" s="31" t="s">
        <v>587</v>
      </c>
      <c r="M16" s="31" t="s">
        <v>588</v>
      </c>
      <c r="N16" s="31" t="s">
        <v>589</v>
      </c>
      <c r="O16" s="31" t="s">
        <v>590</v>
      </c>
      <c r="P16" s="31" t="s">
        <v>591</v>
      </c>
      <c r="Q16" s="31" t="s">
        <v>592</v>
      </c>
      <c r="R16" s="31" t="s">
        <v>593</v>
      </c>
      <c r="S16" s="31" t="s">
        <v>2248</v>
      </c>
      <c r="T16" s="31" t="s">
        <v>2249</v>
      </c>
      <c r="U16" s="31" t="s">
        <v>2250</v>
      </c>
      <c r="V16" s="31" t="s">
        <v>2251</v>
      </c>
      <c r="W16" s="31" t="s">
        <v>2252</v>
      </c>
      <c r="X16" s="31" t="s">
        <v>2253</v>
      </c>
      <c r="Y16" s="31" t="s">
        <v>2254</v>
      </c>
      <c r="Z16" s="31" t="s">
        <v>2255</v>
      </c>
      <c r="AA16" s="31" t="s">
        <v>2256</v>
      </c>
      <c r="AB16" s="31" t="s">
        <v>2257</v>
      </c>
      <c r="AC16" s="31" t="s">
        <v>2258</v>
      </c>
      <c r="AD16" s="31" t="s">
        <v>2259</v>
      </c>
      <c r="AE16" s="31" t="s">
        <v>2260</v>
      </c>
      <c r="AF16" s="31" t="s">
        <v>2261</v>
      </c>
      <c r="AG16" s="31" t="s">
        <v>2262</v>
      </c>
      <c r="AH16" s="31" t="s">
        <v>2263</v>
      </c>
      <c r="AI16" s="31"/>
    </row>
    <row r="17" spans="1:35">
      <c r="A17" s="2" t="s">
        <v>18762</v>
      </c>
      <c r="B17" s="2" t="s">
        <v>101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/>
    </row>
    <row r="18" spans="1:35">
      <c r="A18" s="2" t="s">
        <v>251</v>
      </c>
      <c r="B18" s="2" t="s">
        <v>101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/>
    </row>
    <row r="19" spans="1:35">
      <c r="A19" s="2" t="s">
        <v>253</v>
      </c>
      <c r="B19" s="2" t="s">
        <v>101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/>
    </row>
    <row r="20" spans="1:35">
      <c r="A20" s="2" t="s">
        <v>255</v>
      </c>
      <c r="B20" s="2" t="s">
        <v>101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/>
    </row>
    <row r="21" spans="1:35">
      <c r="A21" s="2" t="s">
        <v>256</v>
      </c>
      <c r="B21" s="2" t="s">
        <v>101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/>
    </row>
    <row r="22" spans="1:35">
      <c r="A22" s="2" t="s">
        <v>18764</v>
      </c>
      <c r="B22" s="2" t="s">
        <v>101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/>
    </row>
    <row r="23" spans="1:35">
      <c r="A23" s="2" t="s">
        <v>258</v>
      </c>
      <c r="B23" s="2" t="s">
        <v>101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/>
    </row>
    <row r="24" spans="1:35">
      <c r="A24" s="2" t="s">
        <v>18765</v>
      </c>
      <c r="B24" s="2" t="s">
        <v>101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/>
    </row>
    <row r="25" spans="1:35">
      <c r="A25" s="2" t="s">
        <v>260</v>
      </c>
      <c r="B25" s="2" t="s">
        <v>101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/>
    </row>
    <row r="26" spans="1:35">
      <c r="A26" s="2" t="s">
        <v>261</v>
      </c>
      <c r="B26" s="2" t="s">
        <v>101</v>
      </c>
      <c r="C26" s="14">
        <f t="shared" ref="C26:AH26" si="0">$N$12</f>
        <v>0.14893617021276595</v>
      </c>
      <c r="D26" s="14">
        <f t="shared" si="0"/>
        <v>0.14893617021276595</v>
      </c>
      <c r="E26" s="14">
        <f t="shared" si="0"/>
        <v>0.14893617021276595</v>
      </c>
      <c r="F26" s="14">
        <f t="shared" si="0"/>
        <v>0.14893617021276595</v>
      </c>
      <c r="G26" s="14">
        <f t="shared" si="0"/>
        <v>0.14893617021276595</v>
      </c>
      <c r="H26" s="14">
        <f t="shared" si="0"/>
        <v>0.14893617021276595</v>
      </c>
      <c r="I26" s="14">
        <f t="shared" si="0"/>
        <v>0.14893617021276595</v>
      </c>
      <c r="J26" s="14">
        <f t="shared" si="0"/>
        <v>0.14893617021276595</v>
      </c>
      <c r="K26" s="14">
        <f t="shared" si="0"/>
        <v>0.14893617021276595</v>
      </c>
      <c r="L26" s="14">
        <f t="shared" si="0"/>
        <v>0.14893617021276595</v>
      </c>
      <c r="M26" s="14">
        <f t="shared" si="0"/>
        <v>0.14893617021276595</v>
      </c>
      <c r="N26" s="14">
        <f t="shared" si="0"/>
        <v>0.14893617021276595</v>
      </c>
      <c r="O26" s="14">
        <f t="shared" si="0"/>
        <v>0.14893617021276595</v>
      </c>
      <c r="P26" s="14">
        <f t="shared" si="0"/>
        <v>0.14893617021276595</v>
      </c>
      <c r="Q26" s="14">
        <f t="shared" si="0"/>
        <v>0.14893617021276595</v>
      </c>
      <c r="R26" s="14">
        <f t="shared" si="0"/>
        <v>0.14893617021276595</v>
      </c>
      <c r="S26" s="14">
        <f t="shared" si="0"/>
        <v>0.14893617021276595</v>
      </c>
      <c r="T26" s="14">
        <f t="shared" si="0"/>
        <v>0.14893617021276595</v>
      </c>
      <c r="U26" s="14">
        <f t="shared" si="0"/>
        <v>0.14893617021276595</v>
      </c>
      <c r="V26" s="14">
        <f t="shared" si="0"/>
        <v>0.14893617021276595</v>
      </c>
      <c r="W26" s="14">
        <f t="shared" si="0"/>
        <v>0.14893617021276595</v>
      </c>
      <c r="X26" s="14">
        <f t="shared" si="0"/>
        <v>0.14893617021276595</v>
      </c>
      <c r="Y26" s="14">
        <f t="shared" si="0"/>
        <v>0.14893617021276595</v>
      </c>
      <c r="Z26" s="14">
        <f t="shared" si="0"/>
        <v>0.14893617021276595</v>
      </c>
      <c r="AA26" s="14">
        <f t="shared" si="0"/>
        <v>0.14893617021276595</v>
      </c>
      <c r="AB26" s="14">
        <f t="shared" si="0"/>
        <v>0.14893617021276595</v>
      </c>
      <c r="AC26" s="14">
        <f t="shared" si="0"/>
        <v>0.14893617021276595</v>
      </c>
      <c r="AD26" s="14">
        <f t="shared" si="0"/>
        <v>0.14893617021276595</v>
      </c>
      <c r="AE26" s="14">
        <f t="shared" si="0"/>
        <v>0.14893617021276595</v>
      </c>
      <c r="AF26" s="14">
        <f t="shared" si="0"/>
        <v>0.14893617021276595</v>
      </c>
      <c r="AG26" s="14">
        <f t="shared" si="0"/>
        <v>0.14893617021276595</v>
      </c>
      <c r="AH26" s="14">
        <f t="shared" si="0"/>
        <v>0.14893617021276595</v>
      </c>
      <c r="AI26" s="14"/>
    </row>
    <row r="27" spans="1:35">
      <c r="A27" s="2" t="s">
        <v>262</v>
      </c>
      <c r="B27" s="2" t="s">
        <v>101</v>
      </c>
      <c r="C27" s="14">
        <f t="shared" ref="C27:AH27" si="1">$N$13</f>
        <v>8.5106382978723402E-2</v>
      </c>
      <c r="D27" s="14">
        <f t="shared" si="1"/>
        <v>8.5106382978723402E-2</v>
      </c>
      <c r="E27" s="14">
        <f t="shared" si="1"/>
        <v>8.5106382978723402E-2</v>
      </c>
      <c r="F27" s="14">
        <f t="shared" si="1"/>
        <v>8.5106382978723402E-2</v>
      </c>
      <c r="G27" s="14">
        <f t="shared" si="1"/>
        <v>8.5106382978723402E-2</v>
      </c>
      <c r="H27" s="14">
        <f t="shared" si="1"/>
        <v>8.5106382978723402E-2</v>
      </c>
      <c r="I27" s="14">
        <f t="shared" si="1"/>
        <v>8.5106382978723402E-2</v>
      </c>
      <c r="J27" s="14">
        <f t="shared" si="1"/>
        <v>8.5106382978723402E-2</v>
      </c>
      <c r="K27" s="14">
        <f t="shared" si="1"/>
        <v>8.5106382978723402E-2</v>
      </c>
      <c r="L27" s="14">
        <f t="shared" si="1"/>
        <v>8.5106382978723402E-2</v>
      </c>
      <c r="M27" s="14">
        <f t="shared" si="1"/>
        <v>8.5106382978723402E-2</v>
      </c>
      <c r="N27" s="14">
        <f t="shared" si="1"/>
        <v>8.5106382978723402E-2</v>
      </c>
      <c r="O27" s="14">
        <f t="shared" si="1"/>
        <v>8.5106382978723402E-2</v>
      </c>
      <c r="P27" s="14">
        <f t="shared" si="1"/>
        <v>8.5106382978723402E-2</v>
      </c>
      <c r="Q27" s="14">
        <f t="shared" si="1"/>
        <v>8.5106382978723402E-2</v>
      </c>
      <c r="R27" s="14">
        <f t="shared" si="1"/>
        <v>8.5106382978723402E-2</v>
      </c>
      <c r="S27" s="14">
        <f t="shared" si="1"/>
        <v>8.5106382978723402E-2</v>
      </c>
      <c r="T27" s="14">
        <f t="shared" si="1"/>
        <v>8.5106382978723402E-2</v>
      </c>
      <c r="U27" s="14">
        <f t="shared" si="1"/>
        <v>8.5106382978723402E-2</v>
      </c>
      <c r="V27" s="14">
        <f t="shared" si="1"/>
        <v>8.5106382978723402E-2</v>
      </c>
      <c r="W27" s="14">
        <f t="shared" si="1"/>
        <v>8.5106382978723402E-2</v>
      </c>
      <c r="X27" s="14">
        <f t="shared" si="1"/>
        <v>8.5106382978723402E-2</v>
      </c>
      <c r="Y27" s="14">
        <f t="shared" si="1"/>
        <v>8.5106382978723402E-2</v>
      </c>
      <c r="Z27" s="14">
        <f t="shared" si="1"/>
        <v>8.5106382978723402E-2</v>
      </c>
      <c r="AA27" s="14">
        <f t="shared" si="1"/>
        <v>8.5106382978723402E-2</v>
      </c>
      <c r="AB27" s="14">
        <f t="shared" si="1"/>
        <v>8.5106382978723402E-2</v>
      </c>
      <c r="AC27" s="14">
        <f t="shared" si="1"/>
        <v>8.5106382978723402E-2</v>
      </c>
      <c r="AD27" s="14">
        <f t="shared" si="1"/>
        <v>8.5106382978723402E-2</v>
      </c>
      <c r="AE27" s="14">
        <f t="shared" si="1"/>
        <v>8.5106382978723402E-2</v>
      </c>
      <c r="AF27" s="14">
        <f t="shared" si="1"/>
        <v>8.5106382978723402E-2</v>
      </c>
      <c r="AG27" s="14">
        <f t="shared" si="1"/>
        <v>8.5106382978723402E-2</v>
      </c>
      <c r="AH27" s="14">
        <f t="shared" si="1"/>
        <v>8.5106382978723402E-2</v>
      </c>
      <c r="AI27" s="14"/>
    </row>
    <row r="28" spans="1:35">
      <c r="A28" s="2" t="s">
        <v>18766</v>
      </c>
      <c r="B28" s="2" t="s">
        <v>101</v>
      </c>
      <c r="C28" s="14">
        <f t="shared" ref="C28:AH28" si="2">$N$6</f>
        <v>4.2553191489361701E-2</v>
      </c>
      <c r="D28" s="14">
        <f t="shared" si="2"/>
        <v>4.2553191489361701E-2</v>
      </c>
      <c r="E28" s="14">
        <f t="shared" si="2"/>
        <v>4.2553191489361701E-2</v>
      </c>
      <c r="F28" s="14">
        <f t="shared" si="2"/>
        <v>4.2553191489361701E-2</v>
      </c>
      <c r="G28" s="14">
        <f t="shared" si="2"/>
        <v>4.2553191489361701E-2</v>
      </c>
      <c r="H28" s="14">
        <f t="shared" si="2"/>
        <v>4.2553191489361701E-2</v>
      </c>
      <c r="I28" s="14">
        <f t="shared" si="2"/>
        <v>4.2553191489361701E-2</v>
      </c>
      <c r="J28" s="14">
        <f t="shared" si="2"/>
        <v>4.2553191489361701E-2</v>
      </c>
      <c r="K28" s="14">
        <f t="shared" si="2"/>
        <v>4.2553191489361701E-2</v>
      </c>
      <c r="L28" s="14">
        <f t="shared" si="2"/>
        <v>4.2553191489361701E-2</v>
      </c>
      <c r="M28" s="14">
        <f t="shared" si="2"/>
        <v>4.2553191489361701E-2</v>
      </c>
      <c r="N28" s="14">
        <f t="shared" si="2"/>
        <v>4.2553191489361701E-2</v>
      </c>
      <c r="O28" s="14">
        <f t="shared" si="2"/>
        <v>4.2553191489361701E-2</v>
      </c>
      <c r="P28" s="14">
        <f t="shared" si="2"/>
        <v>4.2553191489361701E-2</v>
      </c>
      <c r="Q28" s="14">
        <f t="shared" si="2"/>
        <v>4.2553191489361701E-2</v>
      </c>
      <c r="R28" s="14">
        <f t="shared" si="2"/>
        <v>4.2553191489361701E-2</v>
      </c>
      <c r="S28" s="14">
        <f t="shared" si="2"/>
        <v>4.2553191489361701E-2</v>
      </c>
      <c r="T28" s="14">
        <f t="shared" si="2"/>
        <v>4.2553191489361701E-2</v>
      </c>
      <c r="U28" s="14">
        <f t="shared" si="2"/>
        <v>4.2553191489361701E-2</v>
      </c>
      <c r="V28" s="14">
        <f t="shared" si="2"/>
        <v>4.2553191489361701E-2</v>
      </c>
      <c r="W28" s="14">
        <f t="shared" si="2"/>
        <v>4.2553191489361701E-2</v>
      </c>
      <c r="X28" s="14">
        <f t="shared" si="2"/>
        <v>4.2553191489361701E-2</v>
      </c>
      <c r="Y28" s="14">
        <f t="shared" si="2"/>
        <v>4.2553191489361701E-2</v>
      </c>
      <c r="Z28" s="14">
        <f t="shared" si="2"/>
        <v>4.2553191489361701E-2</v>
      </c>
      <c r="AA28" s="14">
        <f t="shared" si="2"/>
        <v>4.2553191489361701E-2</v>
      </c>
      <c r="AB28" s="14">
        <f t="shared" si="2"/>
        <v>4.2553191489361701E-2</v>
      </c>
      <c r="AC28" s="14">
        <f t="shared" si="2"/>
        <v>4.2553191489361701E-2</v>
      </c>
      <c r="AD28" s="14">
        <f t="shared" si="2"/>
        <v>4.2553191489361701E-2</v>
      </c>
      <c r="AE28" s="14">
        <f t="shared" si="2"/>
        <v>4.2553191489361701E-2</v>
      </c>
      <c r="AF28" s="14">
        <f t="shared" si="2"/>
        <v>4.2553191489361701E-2</v>
      </c>
      <c r="AG28" s="14">
        <f t="shared" si="2"/>
        <v>4.2553191489361701E-2</v>
      </c>
      <c r="AH28" s="14">
        <f t="shared" si="2"/>
        <v>4.2553191489361701E-2</v>
      </c>
      <c r="AI28" s="14"/>
    </row>
    <row r="29" spans="1:35">
      <c r="A29" s="2" t="s">
        <v>265</v>
      </c>
      <c r="B29" s="2" t="s">
        <v>101</v>
      </c>
      <c r="C29" s="14">
        <f t="shared" ref="C29:AH29" si="3">$N$9</f>
        <v>0.28368794326241137</v>
      </c>
      <c r="D29" s="14">
        <f t="shared" si="3"/>
        <v>0.28368794326241137</v>
      </c>
      <c r="E29" s="14">
        <f t="shared" si="3"/>
        <v>0.28368794326241137</v>
      </c>
      <c r="F29" s="14">
        <f t="shared" si="3"/>
        <v>0.28368794326241137</v>
      </c>
      <c r="G29" s="14">
        <f t="shared" si="3"/>
        <v>0.28368794326241137</v>
      </c>
      <c r="H29" s="14">
        <f t="shared" si="3"/>
        <v>0.28368794326241137</v>
      </c>
      <c r="I29" s="14">
        <f t="shared" si="3"/>
        <v>0.28368794326241137</v>
      </c>
      <c r="J29" s="14">
        <f t="shared" si="3"/>
        <v>0.28368794326241137</v>
      </c>
      <c r="K29" s="14">
        <f t="shared" si="3"/>
        <v>0.28368794326241137</v>
      </c>
      <c r="L29" s="14">
        <f t="shared" si="3"/>
        <v>0.28368794326241137</v>
      </c>
      <c r="M29" s="14">
        <f t="shared" si="3"/>
        <v>0.28368794326241137</v>
      </c>
      <c r="N29" s="14">
        <f t="shared" si="3"/>
        <v>0.28368794326241137</v>
      </c>
      <c r="O29" s="14">
        <f t="shared" si="3"/>
        <v>0.28368794326241137</v>
      </c>
      <c r="P29" s="14">
        <f t="shared" si="3"/>
        <v>0.28368794326241137</v>
      </c>
      <c r="Q29" s="14">
        <f t="shared" si="3"/>
        <v>0.28368794326241137</v>
      </c>
      <c r="R29" s="14">
        <f t="shared" si="3"/>
        <v>0.28368794326241137</v>
      </c>
      <c r="S29" s="14">
        <f t="shared" si="3"/>
        <v>0.28368794326241137</v>
      </c>
      <c r="T29" s="14">
        <f t="shared" si="3"/>
        <v>0.28368794326241137</v>
      </c>
      <c r="U29" s="14">
        <f t="shared" si="3"/>
        <v>0.28368794326241137</v>
      </c>
      <c r="V29" s="14">
        <f t="shared" si="3"/>
        <v>0.28368794326241137</v>
      </c>
      <c r="W29" s="14">
        <f t="shared" si="3"/>
        <v>0.28368794326241137</v>
      </c>
      <c r="X29" s="14">
        <f t="shared" si="3"/>
        <v>0.28368794326241137</v>
      </c>
      <c r="Y29" s="14">
        <f t="shared" si="3"/>
        <v>0.28368794326241137</v>
      </c>
      <c r="Z29" s="14">
        <f t="shared" si="3"/>
        <v>0.28368794326241137</v>
      </c>
      <c r="AA29" s="14">
        <f t="shared" si="3"/>
        <v>0.28368794326241137</v>
      </c>
      <c r="AB29" s="14">
        <f t="shared" si="3"/>
        <v>0.28368794326241137</v>
      </c>
      <c r="AC29" s="14">
        <f t="shared" si="3"/>
        <v>0.28368794326241137</v>
      </c>
      <c r="AD29" s="14">
        <f t="shared" si="3"/>
        <v>0.28368794326241137</v>
      </c>
      <c r="AE29" s="14">
        <f t="shared" si="3"/>
        <v>0.28368794326241137</v>
      </c>
      <c r="AF29" s="14">
        <f t="shared" si="3"/>
        <v>0.28368794326241137</v>
      </c>
      <c r="AG29" s="14">
        <f t="shared" si="3"/>
        <v>0.28368794326241137</v>
      </c>
      <c r="AH29" s="14">
        <f t="shared" si="3"/>
        <v>0.28368794326241137</v>
      </c>
      <c r="AI29" s="14"/>
    </row>
    <row r="30" spans="1:35">
      <c r="A30" s="2" t="s">
        <v>267</v>
      </c>
      <c r="B30" s="2" t="s">
        <v>101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/>
    </row>
    <row r="31" spans="1:35">
      <c r="A31" s="2" t="s">
        <v>268</v>
      </c>
      <c r="B31" s="2" t="s">
        <v>101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/>
    </row>
  </sheetData>
  <mergeCells count="7">
    <mergeCell ref="G2:G3"/>
    <mergeCell ref="A2:A3"/>
    <mergeCell ref="B2:B3"/>
    <mergeCell ref="C2:C3"/>
    <mergeCell ref="D2:D3"/>
    <mergeCell ref="E2:E3"/>
    <mergeCell ref="F2:F3"/>
  </mergeCells>
  <phoneticPr fontId="98" type="noConversion"/>
  <hyperlinks>
    <hyperlink ref="H4" r:id="rId1" display="http://www.northstarbiofuels.com/" xr:uid="{00000000-0004-0000-2C00-000000000000}"/>
    <hyperlink ref="H5" r:id="rId2" display="http://www.bakercommodities.com/" xr:uid="{00000000-0004-0000-2C00-000001000000}"/>
    <hyperlink ref="H6" r:id="rId3" display="http://www.baybiodiesel.com/" xr:uid="{00000000-0004-0000-2C00-000002000000}"/>
    <hyperlink ref="H7" r:id="rId4" display="http://www.biodico.com/" xr:uid="{00000000-0004-0000-2C00-000003000000}"/>
    <hyperlink ref="H8" r:id="rId5" display="http://www.biodico.com/" xr:uid="{00000000-0004-0000-2C00-000004000000}"/>
    <hyperlink ref="H9" r:id="rId6" display="http://www.communityfuels.com/" xr:uid="{00000000-0004-0000-2C00-000005000000}"/>
    <hyperlink ref="H10" r:id="rId7" display="http://www.crimsonrenewable.com/" xr:uid="{00000000-0004-0000-2C00-000006000000}"/>
    <hyperlink ref="H11" r:id="rId8" display="http://www.geogreen.com/" xr:uid="{00000000-0004-0000-2C00-000007000000}"/>
    <hyperlink ref="H12" r:id="rId9" display="http://www.biotanefuels.com/" xr:uid="{00000000-0004-0000-2C00-000008000000}"/>
    <hyperlink ref="H13" r:id="rId10" display="http://www.newleafbiofuel.com/" xr:uid="{00000000-0004-0000-2C00-000009000000}"/>
    <hyperlink ref="H14" r:id="rId11" display="http://www.simplefuels.com/" xr:uid="{00000000-0004-0000-2C00-00000A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>
    <tabColor rgb="FFFFC000"/>
  </sheetPr>
  <dimension ref="B4:AH57"/>
  <sheetViews>
    <sheetView topLeftCell="A12" zoomScale="90" zoomScaleNormal="90" workbookViewId="0">
      <selection activeCell="H46" sqref="H46"/>
    </sheetView>
  </sheetViews>
  <sheetFormatPr defaultRowHeight="15" outlineLevelCol="1"/>
  <cols>
    <col min="2" max="2" width="22.28515625" customWidth="1"/>
    <col min="3" max="3" width="47" customWidth="1"/>
    <col min="4" max="4" width="11.28515625" hidden="1" customWidth="1" outlineLevel="1"/>
    <col min="5" max="5" width="10.28515625" bestFit="1" customWidth="1" collapsed="1"/>
    <col min="6" max="11" width="10.28515625" bestFit="1" customWidth="1"/>
    <col min="12" max="12" width="12.5703125" customWidth="1"/>
    <col min="13" max="14" width="11.7109375" bestFit="1" customWidth="1"/>
    <col min="15" max="19" width="9.28515625" customWidth="1" outlineLevel="1"/>
  </cols>
  <sheetData>
    <row r="4" spans="2:34">
      <c r="B4" s="2" t="s">
        <v>18900</v>
      </c>
    </row>
    <row r="6" spans="2:34">
      <c r="B6" s="2" t="s">
        <v>474</v>
      </c>
      <c r="D6" s="2">
        <v>2006</v>
      </c>
      <c r="E6" s="2">
        <v>2022</v>
      </c>
      <c r="F6" s="2">
        <v>2023</v>
      </c>
      <c r="G6" s="2">
        <v>2024</v>
      </c>
      <c r="H6" s="2">
        <v>2025</v>
      </c>
      <c r="I6" s="2">
        <v>2026</v>
      </c>
      <c r="J6" s="2">
        <v>2027</v>
      </c>
      <c r="K6" s="2">
        <v>2028</v>
      </c>
      <c r="L6" s="2">
        <v>2029</v>
      </c>
      <c r="M6" s="2">
        <v>2030</v>
      </c>
      <c r="N6" s="2">
        <v>2031</v>
      </c>
      <c r="O6" s="2">
        <v>2032</v>
      </c>
      <c r="P6" s="2">
        <v>2033</v>
      </c>
      <c r="Q6" s="2">
        <v>2034</v>
      </c>
      <c r="R6" s="2">
        <v>2035</v>
      </c>
      <c r="S6" s="2">
        <v>2036</v>
      </c>
      <c r="T6" s="2">
        <v>2037</v>
      </c>
      <c r="U6" s="2">
        <v>2038</v>
      </c>
      <c r="V6" s="2">
        <v>2039</v>
      </c>
      <c r="W6" s="2">
        <v>2040</v>
      </c>
      <c r="X6" s="2">
        <v>2041</v>
      </c>
      <c r="Y6" s="2">
        <v>2042</v>
      </c>
      <c r="Z6" s="2">
        <v>2043</v>
      </c>
      <c r="AA6" s="2">
        <v>2044</v>
      </c>
      <c r="AB6" s="2">
        <v>2045</v>
      </c>
      <c r="AC6" s="2">
        <v>2046</v>
      </c>
      <c r="AD6" s="2">
        <v>2047</v>
      </c>
      <c r="AE6" s="2">
        <v>2048</v>
      </c>
      <c r="AF6" s="2">
        <v>2049</v>
      </c>
      <c r="AG6" s="2">
        <v>2050</v>
      </c>
      <c r="AH6" t="s">
        <v>495</v>
      </c>
    </row>
    <row r="7" spans="2:34">
      <c r="B7" t="s">
        <v>415</v>
      </c>
      <c r="C7" t="s">
        <v>18901</v>
      </c>
      <c r="D7" s="184">
        <v>2.6190077521028401E-3</v>
      </c>
      <c r="E7" s="184"/>
      <c r="F7" s="184">
        <v>4.7000000000000002E-3</v>
      </c>
      <c r="G7" s="184">
        <v>4.5999999999999999E-3</v>
      </c>
      <c r="H7" s="184">
        <v>4.5999999999999999E-3</v>
      </c>
      <c r="I7" s="184">
        <v>4.4999999999999997E-3</v>
      </c>
      <c r="J7" s="184">
        <v>4.4000000000000003E-3</v>
      </c>
      <c r="K7" s="184">
        <v>4.4000000000000003E-3</v>
      </c>
      <c r="L7" s="184">
        <v>4.3E-3</v>
      </c>
      <c r="M7" s="184">
        <v>4.3E-3</v>
      </c>
      <c r="N7" s="98">
        <v>4.1999999999999997E-3</v>
      </c>
      <c r="O7" s="98">
        <v>4.1000000000000003E-3</v>
      </c>
      <c r="P7" s="98">
        <v>4.0000000000000001E-3</v>
      </c>
      <c r="Q7" s="98">
        <v>3.8999999999999998E-3</v>
      </c>
      <c r="R7" s="98">
        <v>3.8E-3</v>
      </c>
      <c r="S7" s="98">
        <v>3.8E-3</v>
      </c>
      <c r="T7" s="98">
        <v>3.7000000000000002E-3</v>
      </c>
      <c r="U7" s="98">
        <v>3.5999999999999999E-3</v>
      </c>
      <c r="V7" s="98">
        <v>3.5999999999999999E-3</v>
      </c>
      <c r="W7" s="98">
        <v>3.5000000000000001E-3</v>
      </c>
      <c r="X7" s="98">
        <v>3.3999999999999998E-3</v>
      </c>
      <c r="Y7" s="98">
        <v>3.3999999999999998E-3</v>
      </c>
      <c r="Z7" s="98">
        <v>3.3E-3</v>
      </c>
      <c r="AA7" s="98">
        <v>3.3E-3</v>
      </c>
      <c r="AB7" s="98">
        <v>3.2000000000000002E-3</v>
      </c>
      <c r="AC7" s="98">
        <v>3.0999999999999999E-3</v>
      </c>
      <c r="AD7" s="98">
        <v>3.0999999999999999E-3</v>
      </c>
      <c r="AE7" s="98">
        <v>3.0000000000000001E-3</v>
      </c>
      <c r="AF7" s="98">
        <v>3.0000000000000001E-3</v>
      </c>
      <c r="AG7" s="98">
        <v>2.8999999999999998E-3</v>
      </c>
      <c r="AH7" s="98">
        <v>3.8E-3</v>
      </c>
    </row>
    <row r="8" spans="2:34">
      <c r="C8" t="s">
        <v>18902</v>
      </c>
      <c r="D8" s="184" t="e">
        <v>#DIV/0!</v>
      </c>
      <c r="E8" s="184"/>
      <c r="F8" s="184">
        <v>3.8E-3</v>
      </c>
      <c r="G8" s="184">
        <v>3.8E-3</v>
      </c>
      <c r="H8" s="184">
        <v>3.8E-3</v>
      </c>
      <c r="I8" s="184">
        <v>3.7000000000000002E-3</v>
      </c>
      <c r="J8" s="184">
        <v>3.7000000000000002E-3</v>
      </c>
      <c r="K8" s="184">
        <v>3.7000000000000002E-3</v>
      </c>
      <c r="L8" s="184">
        <v>3.7000000000000002E-3</v>
      </c>
      <c r="M8" s="184">
        <v>3.7000000000000002E-3</v>
      </c>
      <c r="N8" s="98">
        <v>3.7000000000000002E-3</v>
      </c>
      <c r="O8" s="98">
        <v>3.7000000000000002E-3</v>
      </c>
      <c r="P8" s="98">
        <v>3.5999999999999999E-3</v>
      </c>
      <c r="Q8" s="98">
        <v>3.5999999999999999E-3</v>
      </c>
      <c r="R8" s="98">
        <v>3.5999999999999999E-3</v>
      </c>
      <c r="S8" s="98">
        <v>3.5000000000000001E-3</v>
      </c>
      <c r="T8" s="98">
        <v>3.5000000000000001E-3</v>
      </c>
      <c r="U8" s="98">
        <v>3.5000000000000001E-3</v>
      </c>
      <c r="V8" s="98">
        <v>3.3999999999999998E-3</v>
      </c>
      <c r="W8" s="98">
        <v>3.3999999999999998E-3</v>
      </c>
      <c r="X8" s="98">
        <v>3.3E-3</v>
      </c>
      <c r="Y8" s="98">
        <v>3.3E-3</v>
      </c>
      <c r="Z8" s="98">
        <v>3.2000000000000002E-3</v>
      </c>
      <c r="AA8" s="98">
        <v>3.2000000000000002E-3</v>
      </c>
      <c r="AB8" s="98">
        <v>3.0999999999999999E-3</v>
      </c>
      <c r="AC8" s="98">
        <v>3.0999999999999999E-3</v>
      </c>
      <c r="AD8" s="98">
        <v>3.0000000000000001E-3</v>
      </c>
      <c r="AE8" s="98">
        <v>3.0000000000000001E-3</v>
      </c>
      <c r="AF8" s="98">
        <v>2.8999999999999998E-3</v>
      </c>
      <c r="AG8" s="98">
        <v>2.8999999999999998E-3</v>
      </c>
      <c r="AH8" s="98">
        <v>3.3999999999999998E-3</v>
      </c>
    </row>
    <row r="9" spans="2:34">
      <c r="C9" t="s">
        <v>18903</v>
      </c>
      <c r="D9" s="184">
        <v>2.6190077521028401E-3</v>
      </c>
      <c r="E9" s="184"/>
      <c r="F9" s="184">
        <v>6.4000000000000003E-3</v>
      </c>
      <c r="G9" s="184">
        <v>6.4000000000000003E-3</v>
      </c>
      <c r="H9" s="184">
        <v>6.4000000000000003E-3</v>
      </c>
      <c r="I9" s="184">
        <v>6.4000000000000003E-3</v>
      </c>
      <c r="J9" s="184">
        <v>6.4000000000000003E-3</v>
      </c>
      <c r="K9" s="184">
        <v>6.4000000000000003E-3</v>
      </c>
      <c r="L9" s="184">
        <v>6.3E-3</v>
      </c>
      <c r="M9" s="184">
        <v>6.3E-3</v>
      </c>
      <c r="N9" s="98">
        <v>6.3E-3</v>
      </c>
      <c r="O9" s="98">
        <v>6.3E-3</v>
      </c>
      <c r="P9" s="98">
        <v>6.3E-3</v>
      </c>
      <c r="Q9" s="98">
        <v>6.1000000000000004E-3</v>
      </c>
      <c r="R9" s="98">
        <v>6.0000000000000001E-3</v>
      </c>
      <c r="S9" s="98">
        <v>5.7999999999999996E-3</v>
      </c>
      <c r="T9" s="98">
        <v>5.7999999999999996E-3</v>
      </c>
      <c r="U9" s="98">
        <v>5.7999999999999996E-3</v>
      </c>
      <c r="V9" s="98">
        <v>5.7000000000000002E-3</v>
      </c>
      <c r="W9" s="98">
        <v>5.5999999999999999E-3</v>
      </c>
      <c r="X9" s="98">
        <v>5.4999999999999997E-3</v>
      </c>
      <c r="Y9" s="98">
        <v>5.4000000000000003E-3</v>
      </c>
      <c r="Z9" s="98">
        <v>5.4000000000000003E-3</v>
      </c>
      <c r="AA9" s="98">
        <v>5.4999999999999997E-3</v>
      </c>
      <c r="AB9" s="98">
        <v>5.5999999999999999E-3</v>
      </c>
      <c r="AC9" s="98">
        <v>5.7000000000000002E-3</v>
      </c>
      <c r="AD9" s="98">
        <v>5.8999999999999999E-3</v>
      </c>
      <c r="AE9" s="98">
        <v>6.1000000000000004E-3</v>
      </c>
      <c r="AF9" s="98">
        <v>6.1999999999999998E-3</v>
      </c>
      <c r="AG9" s="98">
        <v>6.1999999999999998E-3</v>
      </c>
      <c r="AH9" s="98">
        <v>6.3E-3</v>
      </c>
    </row>
    <row r="10" spans="2:34">
      <c r="B10" t="s">
        <v>416</v>
      </c>
      <c r="C10" t="s">
        <v>18901</v>
      </c>
      <c r="D10" s="184">
        <v>1.5234498923949521E-3</v>
      </c>
      <c r="E10" s="184"/>
      <c r="F10" s="184">
        <v>3.0000000000000001E-3</v>
      </c>
      <c r="G10" s="184">
        <v>2.8E-3</v>
      </c>
      <c r="H10" s="184">
        <v>2.7000000000000001E-3</v>
      </c>
      <c r="I10" s="184">
        <v>2.5999999999999999E-3</v>
      </c>
      <c r="J10" s="184">
        <v>2.5000000000000001E-3</v>
      </c>
      <c r="K10" s="184">
        <v>2.3E-3</v>
      </c>
      <c r="L10" s="184">
        <v>2.2000000000000001E-3</v>
      </c>
      <c r="M10" s="184">
        <v>2.0999999999999999E-3</v>
      </c>
      <c r="N10" s="98">
        <v>2E-3</v>
      </c>
      <c r="O10" s="98">
        <v>1.9E-3</v>
      </c>
      <c r="P10" s="98">
        <v>1.8E-3</v>
      </c>
      <c r="Q10" s="98">
        <v>1.6999999999999999E-3</v>
      </c>
      <c r="R10" s="98">
        <v>1.5E-3</v>
      </c>
      <c r="S10" s="98">
        <v>1.5E-3</v>
      </c>
      <c r="T10" s="98">
        <v>1.4E-3</v>
      </c>
      <c r="U10" s="98">
        <v>1.2999999999999999E-3</v>
      </c>
      <c r="V10" s="98">
        <v>1.1999999999999999E-3</v>
      </c>
      <c r="W10" s="98">
        <v>1.1000000000000001E-3</v>
      </c>
      <c r="X10" s="98">
        <v>1E-3</v>
      </c>
      <c r="Y10" s="98">
        <v>1E-3</v>
      </c>
      <c r="Z10" s="98">
        <v>8.9999999999999998E-4</v>
      </c>
      <c r="AA10" s="98">
        <v>8.9999999999999998E-4</v>
      </c>
      <c r="AB10" s="98">
        <v>8.0000000000000004E-4</v>
      </c>
      <c r="AC10" s="98">
        <v>8.0000000000000004E-4</v>
      </c>
      <c r="AD10" s="98">
        <v>6.9999999999999999E-4</v>
      </c>
      <c r="AE10" s="98">
        <v>6.9999999999999999E-4</v>
      </c>
      <c r="AF10" s="98">
        <v>6.9999999999999999E-4</v>
      </c>
      <c r="AG10" s="98">
        <v>5.9999999999999995E-4</v>
      </c>
      <c r="AH10" s="98">
        <v>1.6000000000000001E-3</v>
      </c>
    </row>
    <row r="11" spans="2:34">
      <c r="C11" t="s">
        <v>18902</v>
      </c>
      <c r="D11" s="184" t="e">
        <v>#DIV/0!</v>
      </c>
      <c r="E11" s="184"/>
      <c r="F11" s="184">
        <v>1.1000000000000001E-3</v>
      </c>
      <c r="G11" s="184">
        <v>1.1000000000000001E-3</v>
      </c>
      <c r="H11" s="184">
        <v>1.1000000000000001E-3</v>
      </c>
      <c r="I11" s="184">
        <v>1.1000000000000001E-3</v>
      </c>
      <c r="J11" s="184">
        <v>1.1000000000000001E-3</v>
      </c>
      <c r="K11" s="184">
        <v>1.1000000000000001E-3</v>
      </c>
      <c r="L11" s="184">
        <v>1.1000000000000001E-3</v>
      </c>
      <c r="M11" s="184">
        <v>1.1000000000000001E-3</v>
      </c>
      <c r="N11" s="98">
        <v>1E-3</v>
      </c>
      <c r="O11" s="98">
        <v>1E-3</v>
      </c>
      <c r="P11" s="98">
        <v>1E-3</v>
      </c>
      <c r="Q11" s="98">
        <v>1E-3</v>
      </c>
      <c r="R11" s="98">
        <v>8.9999999999999998E-4</v>
      </c>
      <c r="S11" s="98">
        <v>8.9999999999999998E-4</v>
      </c>
      <c r="T11" s="98">
        <v>8.9999999999999998E-4</v>
      </c>
      <c r="U11" s="98">
        <v>8.9999999999999998E-4</v>
      </c>
      <c r="V11" s="98">
        <v>8.0000000000000004E-4</v>
      </c>
      <c r="W11" s="98">
        <v>8.0000000000000004E-4</v>
      </c>
      <c r="X11" s="98">
        <v>8.0000000000000004E-4</v>
      </c>
      <c r="Y11" s="98">
        <v>8.0000000000000004E-4</v>
      </c>
      <c r="Z11" s="98">
        <v>6.9999999999999999E-4</v>
      </c>
      <c r="AA11" s="98">
        <v>6.9999999999999999E-4</v>
      </c>
      <c r="AB11" s="98">
        <v>6.9999999999999999E-4</v>
      </c>
      <c r="AC11" s="98">
        <v>6.9999999999999999E-4</v>
      </c>
      <c r="AD11" s="98">
        <v>6.9999999999999999E-4</v>
      </c>
      <c r="AE11" s="98">
        <v>5.9999999999999995E-4</v>
      </c>
      <c r="AF11" s="98">
        <v>5.9999999999999995E-4</v>
      </c>
      <c r="AG11" s="98">
        <v>5.9999999999999995E-4</v>
      </c>
      <c r="AH11" s="98">
        <v>8.9999999999999998E-4</v>
      </c>
    </row>
    <row r="12" spans="2:34">
      <c r="C12" t="s">
        <v>18903</v>
      </c>
      <c r="D12" s="184">
        <v>1.5234498923949521E-3</v>
      </c>
      <c r="E12" s="184"/>
      <c r="F12" s="184">
        <v>6.3E-3</v>
      </c>
      <c r="G12" s="184">
        <v>6.3E-3</v>
      </c>
      <c r="H12" s="184">
        <v>6.3E-3</v>
      </c>
      <c r="I12" s="184">
        <v>6.3E-3</v>
      </c>
      <c r="J12" s="184">
        <v>6.3E-3</v>
      </c>
      <c r="K12" s="184">
        <v>6.3E-3</v>
      </c>
      <c r="L12" s="184">
        <v>6.3E-3</v>
      </c>
      <c r="M12" s="184">
        <v>6.3E-3</v>
      </c>
      <c r="N12" s="98">
        <v>6.3E-3</v>
      </c>
      <c r="O12" s="98">
        <v>6.3E-3</v>
      </c>
      <c r="P12" s="98">
        <v>6.3E-3</v>
      </c>
      <c r="Q12" s="98">
        <v>6.3E-3</v>
      </c>
      <c r="R12" s="98">
        <v>6.3E-3</v>
      </c>
      <c r="S12" s="98">
        <v>6.3E-3</v>
      </c>
      <c r="T12" s="98">
        <v>6.3E-3</v>
      </c>
      <c r="U12" s="98">
        <v>6.3E-3</v>
      </c>
      <c r="V12" s="98">
        <v>6.3E-3</v>
      </c>
      <c r="W12" s="98">
        <v>6.3E-3</v>
      </c>
      <c r="X12" s="98">
        <v>6.1999999999999998E-3</v>
      </c>
      <c r="Y12" s="98">
        <v>6.1999999999999998E-3</v>
      </c>
      <c r="Z12" s="98">
        <v>6.1000000000000004E-3</v>
      </c>
      <c r="AA12" s="98">
        <v>6.1000000000000004E-3</v>
      </c>
      <c r="AB12" s="98">
        <v>6.0000000000000001E-3</v>
      </c>
      <c r="AC12" s="98">
        <v>5.7000000000000002E-3</v>
      </c>
      <c r="AD12" s="98">
        <v>5.7999999999999996E-3</v>
      </c>
      <c r="AE12" s="98">
        <v>5.7000000000000002E-3</v>
      </c>
      <c r="AF12" s="98">
        <v>5.4000000000000003E-3</v>
      </c>
      <c r="AG12" s="98">
        <v>5.3E-3</v>
      </c>
      <c r="AH12" s="98">
        <v>6.3E-3</v>
      </c>
    </row>
    <row r="13" spans="2:34">
      <c r="B13" t="s">
        <v>417</v>
      </c>
      <c r="C13" t="s">
        <v>18901</v>
      </c>
      <c r="D13" s="184">
        <v>1.8562808791461644E-3</v>
      </c>
      <c r="E13" s="184"/>
      <c r="F13" s="184">
        <v>1.2999999999999999E-3</v>
      </c>
      <c r="G13" s="184">
        <v>1.2999999999999999E-3</v>
      </c>
      <c r="H13" s="184">
        <v>1.2999999999999999E-3</v>
      </c>
      <c r="I13" s="184">
        <v>1.1999999999999999E-3</v>
      </c>
      <c r="J13" s="184">
        <v>1.1999999999999999E-3</v>
      </c>
      <c r="K13" s="184">
        <v>1.1000000000000001E-3</v>
      </c>
      <c r="L13" s="184">
        <v>1.1000000000000001E-3</v>
      </c>
      <c r="M13" s="184">
        <v>1.1000000000000001E-3</v>
      </c>
      <c r="N13" s="98">
        <v>1E-3</v>
      </c>
      <c r="O13" s="98">
        <v>1E-3</v>
      </c>
      <c r="P13" s="98">
        <v>1E-3</v>
      </c>
      <c r="Q13" s="98">
        <v>8.9999999999999998E-4</v>
      </c>
      <c r="R13" s="98">
        <v>8.9999999999999998E-4</v>
      </c>
      <c r="S13" s="98">
        <v>8.0000000000000004E-4</v>
      </c>
      <c r="T13" s="98">
        <v>8.0000000000000004E-4</v>
      </c>
      <c r="U13" s="98">
        <v>8.0000000000000004E-4</v>
      </c>
      <c r="V13" s="98">
        <v>8.0000000000000004E-4</v>
      </c>
      <c r="W13" s="98">
        <v>6.9999999999999999E-4</v>
      </c>
      <c r="X13" s="98">
        <v>6.9999999999999999E-4</v>
      </c>
      <c r="Y13" s="98">
        <v>6.9999999999999999E-4</v>
      </c>
      <c r="Z13" s="98">
        <v>6.9999999999999999E-4</v>
      </c>
      <c r="AA13" s="98">
        <v>6.9999999999999999E-4</v>
      </c>
      <c r="AB13" s="98">
        <v>5.9999999999999995E-4</v>
      </c>
      <c r="AC13" s="98">
        <v>5.9999999999999995E-4</v>
      </c>
      <c r="AD13" s="98">
        <v>5.9999999999999995E-4</v>
      </c>
      <c r="AE13" s="98">
        <v>5.9999999999999995E-4</v>
      </c>
      <c r="AF13" s="98">
        <v>5.9999999999999995E-4</v>
      </c>
      <c r="AG13" s="98">
        <v>5.9999999999999995E-4</v>
      </c>
      <c r="AH13" s="98">
        <v>8.9999999999999998E-4</v>
      </c>
    </row>
    <row r="14" spans="2:34">
      <c r="C14" t="s">
        <v>18902</v>
      </c>
      <c r="D14" s="184" t="e">
        <v>#DIV/0!</v>
      </c>
      <c r="E14" s="184"/>
      <c r="F14" s="184">
        <v>6.9999999999999999E-4</v>
      </c>
      <c r="G14" s="184">
        <v>6.9999999999999999E-4</v>
      </c>
      <c r="H14" s="184">
        <v>6.9999999999999999E-4</v>
      </c>
      <c r="I14" s="184">
        <v>6.9999999999999999E-4</v>
      </c>
      <c r="J14" s="184">
        <v>6.9999999999999999E-4</v>
      </c>
      <c r="K14" s="184">
        <v>6.9999999999999999E-4</v>
      </c>
      <c r="L14" s="184">
        <v>6.9999999999999999E-4</v>
      </c>
      <c r="M14" s="184">
        <v>6.9999999999999999E-4</v>
      </c>
      <c r="N14" s="98">
        <v>6.9999999999999999E-4</v>
      </c>
      <c r="O14" s="98">
        <v>6.9999999999999999E-4</v>
      </c>
      <c r="P14" s="98">
        <v>6.9999999999999999E-4</v>
      </c>
      <c r="Q14" s="98">
        <v>5.9999999999999995E-4</v>
      </c>
      <c r="R14" s="98">
        <v>5.9999999999999995E-4</v>
      </c>
      <c r="S14" s="98">
        <v>5.9999999999999995E-4</v>
      </c>
      <c r="T14" s="98">
        <v>5.9999999999999995E-4</v>
      </c>
      <c r="U14" s="98">
        <v>5.9999999999999995E-4</v>
      </c>
      <c r="V14" s="98">
        <v>5.9999999999999995E-4</v>
      </c>
      <c r="W14" s="98">
        <v>5.9999999999999995E-4</v>
      </c>
      <c r="X14" s="98">
        <v>5.9999999999999995E-4</v>
      </c>
      <c r="Y14" s="98">
        <v>5.9999999999999995E-4</v>
      </c>
      <c r="Z14" s="98">
        <v>5.9999999999999995E-4</v>
      </c>
      <c r="AA14" s="98">
        <v>5.9999999999999995E-4</v>
      </c>
      <c r="AB14" s="98">
        <v>5.9999999999999995E-4</v>
      </c>
      <c r="AC14" s="98">
        <v>5.9999999999999995E-4</v>
      </c>
      <c r="AD14" s="98">
        <v>5.9999999999999995E-4</v>
      </c>
      <c r="AE14" s="98">
        <v>5.9999999999999995E-4</v>
      </c>
      <c r="AF14" s="98">
        <v>5.9999999999999995E-4</v>
      </c>
      <c r="AG14" s="98">
        <v>5.9999999999999995E-4</v>
      </c>
      <c r="AH14" s="98">
        <v>5.9999999999999995E-4</v>
      </c>
    </row>
    <row r="15" spans="2:34">
      <c r="C15" t="s">
        <v>18903</v>
      </c>
      <c r="D15" s="184">
        <v>1.8562808791461644E-3</v>
      </c>
      <c r="E15" s="184"/>
      <c r="F15" s="184">
        <v>2.5999999999999999E-3</v>
      </c>
      <c r="G15" s="184">
        <v>2.5999999999999999E-3</v>
      </c>
      <c r="H15" s="184">
        <v>2.7000000000000001E-3</v>
      </c>
      <c r="I15" s="184">
        <v>2.7000000000000001E-3</v>
      </c>
      <c r="J15" s="184">
        <v>2.7000000000000001E-3</v>
      </c>
      <c r="K15" s="184">
        <v>2.7000000000000001E-3</v>
      </c>
      <c r="L15" s="184">
        <v>2.7000000000000001E-3</v>
      </c>
      <c r="M15" s="184">
        <v>2.7000000000000001E-3</v>
      </c>
      <c r="N15" s="98">
        <v>2.7000000000000001E-3</v>
      </c>
      <c r="O15" s="98">
        <v>2.7000000000000001E-3</v>
      </c>
      <c r="P15" s="98">
        <v>2.7000000000000001E-3</v>
      </c>
      <c r="Q15" s="98">
        <v>2.8E-3</v>
      </c>
      <c r="R15" s="98">
        <v>2.8E-3</v>
      </c>
      <c r="S15" s="98">
        <v>2.7000000000000001E-3</v>
      </c>
      <c r="T15" s="98">
        <v>2.7000000000000001E-3</v>
      </c>
      <c r="U15" s="98">
        <v>2.7000000000000001E-3</v>
      </c>
      <c r="V15" s="98">
        <v>2.7000000000000001E-3</v>
      </c>
      <c r="W15" s="98">
        <v>2.5999999999999999E-3</v>
      </c>
      <c r="X15" s="98">
        <v>2.5999999999999999E-3</v>
      </c>
      <c r="Y15" s="98">
        <v>2.5000000000000001E-3</v>
      </c>
      <c r="Z15" s="98">
        <v>2.5000000000000001E-3</v>
      </c>
      <c r="AA15" s="98">
        <v>2.3999999999999998E-3</v>
      </c>
      <c r="AB15" s="98">
        <v>2.5000000000000001E-3</v>
      </c>
      <c r="AC15" s="98">
        <v>2.5000000000000001E-3</v>
      </c>
      <c r="AD15" s="98">
        <v>2.5000000000000001E-3</v>
      </c>
      <c r="AE15" s="98">
        <v>2.5999999999999999E-3</v>
      </c>
      <c r="AF15" s="98">
        <v>2.5999999999999999E-3</v>
      </c>
      <c r="AG15" s="98">
        <v>2.3999999999999998E-3</v>
      </c>
      <c r="AH15" s="98">
        <v>2.7000000000000001E-3</v>
      </c>
    </row>
    <row r="16" spans="2:34">
      <c r="B16" t="s">
        <v>418</v>
      </c>
      <c r="C16" t="s">
        <v>18901</v>
      </c>
      <c r="D16" s="184">
        <v>0.10276501757761554</v>
      </c>
      <c r="E16" s="184"/>
      <c r="F16" s="184">
        <v>7.4700000000000003E-2</v>
      </c>
      <c r="G16" s="184">
        <v>7.5700000000000003E-2</v>
      </c>
      <c r="H16" s="184">
        <v>7.6700000000000004E-2</v>
      </c>
      <c r="I16" s="184">
        <v>7.7799999999999994E-2</v>
      </c>
      <c r="J16" s="184">
        <v>7.8899999999999998E-2</v>
      </c>
      <c r="K16" s="184">
        <v>8.0299999999999996E-2</v>
      </c>
      <c r="L16" s="184">
        <v>8.1799999999999998E-2</v>
      </c>
      <c r="M16" s="184">
        <v>8.3400000000000002E-2</v>
      </c>
      <c r="N16" s="98">
        <v>8.5199999999999998E-2</v>
      </c>
      <c r="O16" s="98">
        <v>8.6900000000000005E-2</v>
      </c>
      <c r="P16" s="98">
        <v>8.8599999999999998E-2</v>
      </c>
      <c r="Q16" s="98">
        <v>9.0499999999999997E-2</v>
      </c>
      <c r="R16" s="98">
        <v>9.2499999999999999E-2</v>
      </c>
      <c r="S16" s="98">
        <v>9.4299999999999995E-2</v>
      </c>
      <c r="T16" s="98">
        <v>9.6299999999999997E-2</v>
      </c>
      <c r="U16" s="98">
        <v>9.7699999999999995E-2</v>
      </c>
      <c r="V16" s="98">
        <v>9.9699999999999997E-2</v>
      </c>
      <c r="W16" s="98">
        <v>0.1016</v>
      </c>
      <c r="X16" s="98">
        <v>0.10340000000000001</v>
      </c>
      <c r="Y16" s="98">
        <v>0.1052</v>
      </c>
      <c r="Z16" s="98">
        <v>0.10680000000000001</v>
      </c>
      <c r="AA16" s="98">
        <v>0.1085</v>
      </c>
      <c r="AB16" s="98">
        <v>0.11</v>
      </c>
      <c r="AC16" s="98">
        <v>0.1115</v>
      </c>
      <c r="AD16" s="98">
        <v>0.1128</v>
      </c>
      <c r="AE16" s="98">
        <v>0.114</v>
      </c>
      <c r="AF16" s="98">
        <v>0.11509999999999999</v>
      </c>
      <c r="AG16" s="98">
        <v>0.1162</v>
      </c>
      <c r="AH16" s="98">
        <v>9.4299999999999995E-2</v>
      </c>
    </row>
    <row r="17" spans="2:34">
      <c r="C17" t="s">
        <v>18902</v>
      </c>
      <c r="D17" s="184" t="e">
        <v>#DIV/0!</v>
      </c>
      <c r="E17" s="184"/>
      <c r="F17" s="184">
        <v>9.3200000000000005E-2</v>
      </c>
      <c r="G17" s="184">
        <v>9.2499999999999999E-2</v>
      </c>
      <c r="H17" s="184">
        <v>9.2200000000000004E-2</v>
      </c>
      <c r="I17" s="184">
        <v>9.2100000000000001E-2</v>
      </c>
      <c r="J17" s="184">
        <v>9.1999999999999998E-2</v>
      </c>
      <c r="K17" s="184">
        <v>9.2399999999999996E-2</v>
      </c>
      <c r="L17" s="184">
        <v>9.2999999999999999E-2</v>
      </c>
      <c r="M17" s="184">
        <v>9.3700000000000006E-2</v>
      </c>
      <c r="N17" s="98">
        <v>9.4600000000000004E-2</v>
      </c>
      <c r="O17" s="98">
        <v>9.5500000000000002E-2</v>
      </c>
      <c r="P17" s="98">
        <v>9.6299999999999997E-2</v>
      </c>
      <c r="Q17" s="98">
        <v>9.7500000000000003E-2</v>
      </c>
      <c r="R17" s="98">
        <v>9.8799999999999999E-2</v>
      </c>
      <c r="S17" s="98">
        <v>9.9900000000000003E-2</v>
      </c>
      <c r="T17" s="98">
        <v>0.1014</v>
      </c>
      <c r="U17" s="98">
        <v>0.1022</v>
      </c>
      <c r="V17" s="98">
        <v>0.1036</v>
      </c>
      <c r="W17" s="98">
        <v>0.1051</v>
      </c>
      <c r="X17" s="98">
        <v>0.1065</v>
      </c>
      <c r="Y17" s="98">
        <v>0.10780000000000001</v>
      </c>
      <c r="Z17" s="98">
        <v>0.1091</v>
      </c>
      <c r="AA17" s="98">
        <v>0.1104</v>
      </c>
      <c r="AB17" s="98">
        <v>0.1116</v>
      </c>
      <c r="AC17" s="98">
        <v>0.11269999999999999</v>
      </c>
      <c r="AD17" s="98">
        <v>0.1138</v>
      </c>
      <c r="AE17" s="98">
        <v>0.1148</v>
      </c>
      <c r="AF17" s="98">
        <v>0.1157</v>
      </c>
      <c r="AG17" s="98">
        <v>0.1166</v>
      </c>
      <c r="AH17" s="98">
        <v>0.10249999999999999</v>
      </c>
    </row>
    <row r="18" spans="2:34">
      <c r="C18" t="s">
        <v>18903</v>
      </c>
      <c r="D18" s="184">
        <v>0.10276501757761554</v>
      </c>
      <c r="E18" s="184"/>
      <c r="F18" s="184">
        <v>4.1300000000000003E-2</v>
      </c>
      <c r="G18" s="184">
        <v>4.1399999999999999E-2</v>
      </c>
      <c r="H18" s="184">
        <v>4.1500000000000002E-2</v>
      </c>
      <c r="I18" s="184">
        <v>4.1599999999999998E-2</v>
      </c>
      <c r="J18" s="184">
        <v>4.1599999999999998E-2</v>
      </c>
      <c r="K18" s="184">
        <v>4.1599999999999998E-2</v>
      </c>
      <c r="L18" s="184">
        <v>4.1700000000000001E-2</v>
      </c>
      <c r="M18" s="184">
        <v>4.1799999999999997E-2</v>
      </c>
      <c r="N18" s="98">
        <v>4.2000000000000003E-2</v>
      </c>
      <c r="O18" s="98">
        <v>4.2099999999999999E-2</v>
      </c>
      <c r="P18" s="98">
        <v>4.2099999999999999E-2</v>
      </c>
      <c r="Q18" s="98">
        <v>4.2299999999999997E-2</v>
      </c>
      <c r="R18" s="98">
        <v>4.2299999999999997E-2</v>
      </c>
      <c r="S18" s="98">
        <v>4.24E-2</v>
      </c>
      <c r="T18" s="98">
        <v>4.2299999999999997E-2</v>
      </c>
      <c r="U18" s="98">
        <v>4.2000000000000003E-2</v>
      </c>
      <c r="V18" s="98">
        <v>4.1700000000000001E-2</v>
      </c>
      <c r="W18" s="98">
        <v>4.1500000000000002E-2</v>
      </c>
      <c r="X18" s="98">
        <v>4.1099999999999998E-2</v>
      </c>
      <c r="Y18" s="98">
        <v>4.0800000000000003E-2</v>
      </c>
      <c r="Z18" s="98">
        <v>4.0800000000000003E-2</v>
      </c>
      <c r="AA18" s="98">
        <v>4.0099999999999997E-2</v>
      </c>
      <c r="AB18" s="98">
        <v>3.9300000000000002E-2</v>
      </c>
      <c r="AC18" s="98">
        <v>3.8100000000000002E-2</v>
      </c>
      <c r="AD18" s="98">
        <v>3.7400000000000003E-2</v>
      </c>
      <c r="AE18" s="98">
        <v>3.4799999999999998E-2</v>
      </c>
      <c r="AF18" s="98">
        <v>3.4200000000000001E-2</v>
      </c>
      <c r="AG18" s="98">
        <v>3.2199999999999999E-2</v>
      </c>
      <c r="AH18" s="98">
        <v>4.1599999999999998E-2</v>
      </c>
    </row>
    <row r="19" spans="2:34">
      <c r="B19" t="s">
        <v>419</v>
      </c>
      <c r="C19" t="s">
        <v>18901</v>
      </c>
      <c r="D19" s="184">
        <v>2.0279545846707589E-2</v>
      </c>
      <c r="E19" s="184"/>
      <c r="F19" s="184">
        <v>2.7E-2</v>
      </c>
      <c r="G19" s="184">
        <v>2.63E-2</v>
      </c>
      <c r="H19" s="184">
        <v>2.5499999999999998E-2</v>
      </c>
      <c r="I19" s="184">
        <v>2.47E-2</v>
      </c>
      <c r="J19" s="184">
        <v>2.4E-2</v>
      </c>
      <c r="K19" s="184">
        <v>2.3300000000000001E-2</v>
      </c>
      <c r="L19" s="184">
        <v>2.2700000000000001E-2</v>
      </c>
      <c r="M19" s="184">
        <v>2.2100000000000002E-2</v>
      </c>
      <c r="N19" s="98">
        <v>2.1499999999999998E-2</v>
      </c>
      <c r="O19" s="98">
        <v>2.1000000000000001E-2</v>
      </c>
      <c r="P19" s="98">
        <v>2.0500000000000001E-2</v>
      </c>
      <c r="Q19" s="98">
        <v>0.02</v>
      </c>
      <c r="R19" s="98">
        <v>1.9599999999999999E-2</v>
      </c>
      <c r="S19" s="98">
        <v>1.9300000000000001E-2</v>
      </c>
      <c r="T19" s="98">
        <v>1.9E-2</v>
      </c>
      <c r="U19" s="98">
        <v>1.8700000000000001E-2</v>
      </c>
      <c r="V19" s="98">
        <v>1.8599999999999998E-2</v>
      </c>
      <c r="W19" s="98">
        <v>1.84E-2</v>
      </c>
      <c r="X19" s="98">
        <v>1.83E-2</v>
      </c>
      <c r="Y19" s="98">
        <v>1.8200000000000001E-2</v>
      </c>
      <c r="Z19" s="98">
        <v>1.8100000000000002E-2</v>
      </c>
      <c r="AA19" s="98">
        <v>1.8100000000000002E-2</v>
      </c>
      <c r="AB19" s="98">
        <v>1.8100000000000002E-2</v>
      </c>
      <c r="AC19" s="98">
        <v>1.8100000000000002E-2</v>
      </c>
      <c r="AD19" s="98">
        <v>1.8100000000000002E-2</v>
      </c>
      <c r="AE19" s="98">
        <v>1.8200000000000001E-2</v>
      </c>
      <c r="AF19" s="98">
        <v>1.83E-2</v>
      </c>
      <c r="AG19" s="98">
        <v>1.84E-2</v>
      </c>
      <c r="AH19" s="98">
        <v>2.0799999999999999E-2</v>
      </c>
    </row>
    <row r="20" spans="2:34">
      <c r="C20" t="s">
        <v>18902</v>
      </c>
      <c r="D20" s="184" t="e">
        <v>#DIV/0!</v>
      </c>
      <c r="E20" s="184"/>
      <c r="F20" s="184">
        <v>1.61E-2</v>
      </c>
      <c r="G20" s="184">
        <v>1.6E-2</v>
      </c>
      <c r="H20" s="184">
        <v>1.6E-2</v>
      </c>
      <c r="I20" s="184">
        <v>1.6E-2</v>
      </c>
      <c r="J20" s="184">
        <v>1.6E-2</v>
      </c>
      <c r="K20" s="184">
        <v>1.6E-2</v>
      </c>
      <c r="L20" s="184">
        <v>1.6E-2</v>
      </c>
      <c r="M20" s="184">
        <v>1.6E-2</v>
      </c>
      <c r="N20" s="98">
        <v>1.61E-2</v>
      </c>
      <c r="O20" s="98">
        <v>1.61E-2</v>
      </c>
      <c r="P20" s="98">
        <v>1.6199999999999999E-2</v>
      </c>
      <c r="Q20" s="98">
        <v>1.6199999999999999E-2</v>
      </c>
      <c r="R20" s="98">
        <v>1.6299999999999999E-2</v>
      </c>
      <c r="S20" s="98">
        <v>1.6400000000000001E-2</v>
      </c>
      <c r="T20" s="98">
        <v>1.6500000000000001E-2</v>
      </c>
      <c r="U20" s="98">
        <v>1.66E-2</v>
      </c>
      <c r="V20" s="98">
        <v>1.6799999999999999E-2</v>
      </c>
      <c r="W20" s="98">
        <v>1.6899999999999998E-2</v>
      </c>
      <c r="X20" s="98">
        <v>1.7000000000000001E-2</v>
      </c>
      <c r="Y20" s="98">
        <v>1.7100000000000001E-2</v>
      </c>
      <c r="Z20" s="98">
        <v>1.7299999999999999E-2</v>
      </c>
      <c r="AA20" s="98">
        <v>1.7399999999999999E-2</v>
      </c>
      <c r="AB20" s="98">
        <v>1.7500000000000002E-2</v>
      </c>
      <c r="AC20" s="98">
        <v>1.77E-2</v>
      </c>
      <c r="AD20" s="98">
        <v>1.78E-2</v>
      </c>
      <c r="AE20" s="98">
        <v>1.7999999999999999E-2</v>
      </c>
      <c r="AF20" s="98">
        <v>1.8100000000000002E-2</v>
      </c>
      <c r="AG20" s="98">
        <v>1.83E-2</v>
      </c>
      <c r="AH20" s="98">
        <v>1.6799999999999999E-2</v>
      </c>
    </row>
    <row r="21" spans="2:34">
      <c r="C21" t="s">
        <v>18903</v>
      </c>
      <c r="D21" s="184">
        <v>2.0279545846707589E-2</v>
      </c>
      <c r="E21" s="184"/>
      <c r="F21" s="184">
        <v>4.6899999999999997E-2</v>
      </c>
      <c r="G21" s="184">
        <v>4.7E-2</v>
      </c>
      <c r="H21" s="184">
        <v>4.6899999999999997E-2</v>
      </c>
      <c r="I21" s="184">
        <v>4.6899999999999997E-2</v>
      </c>
      <c r="J21" s="184">
        <v>4.6800000000000001E-2</v>
      </c>
      <c r="K21" s="184">
        <v>4.6699999999999998E-2</v>
      </c>
      <c r="L21" s="184">
        <v>4.6699999999999998E-2</v>
      </c>
      <c r="M21" s="184">
        <v>4.6699999999999998E-2</v>
      </c>
      <c r="N21" s="98">
        <v>4.65E-2</v>
      </c>
      <c r="O21" s="98">
        <v>4.6399999999999997E-2</v>
      </c>
      <c r="P21" s="98">
        <v>4.6199999999999998E-2</v>
      </c>
      <c r="Q21" s="98">
        <v>4.6199999999999998E-2</v>
      </c>
      <c r="R21" s="98">
        <v>4.5999999999999999E-2</v>
      </c>
      <c r="S21" s="98">
        <v>4.5900000000000003E-2</v>
      </c>
      <c r="T21" s="98">
        <v>4.5199999999999997E-2</v>
      </c>
      <c r="U21" s="98">
        <v>4.4999999999999998E-2</v>
      </c>
      <c r="V21" s="98">
        <v>4.4699999999999997E-2</v>
      </c>
      <c r="W21" s="98">
        <v>4.4600000000000001E-2</v>
      </c>
      <c r="X21" s="98">
        <v>4.3900000000000002E-2</v>
      </c>
      <c r="Y21" s="98">
        <v>4.3200000000000002E-2</v>
      </c>
      <c r="Z21" s="98">
        <v>4.2900000000000001E-2</v>
      </c>
      <c r="AA21" s="98">
        <v>4.2299999999999997E-2</v>
      </c>
      <c r="AB21" s="98">
        <v>4.2099999999999999E-2</v>
      </c>
      <c r="AC21" s="98">
        <v>4.1599999999999998E-2</v>
      </c>
      <c r="AD21" s="98">
        <v>4.2299999999999997E-2</v>
      </c>
      <c r="AE21" s="98">
        <v>4.1799999999999997E-2</v>
      </c>
      <c r="AF21" s="98">
        <v>4.1300000000000003E-2</v>
      </c>
      <c r="AG21" s="98">
        <v>4.0099999999999997E-2</v>
      </c>
      <c r="AH21" s="98">
        <v>4.6399999999999997E-2</v>
      </c>
    </row>
    <row r="22" spans="2:34">
      <c r="B22" t="s">
        <v>420</v>
      </c>
      <c r="C22" t="s">
        <v>18901</v>
      </c>
      <c r="D22" s="184">
        <v>1.5704567849357396E-2</v>
      </c>
      <c r="E22" s="184"/>
      <c r="F22" s="184">
        <v>2.07E-2</v>
      </c>
      <c r="G22" s="184">
        <v>2.0400000000000001E-2</v>
      </c>
      <c r="H22" s="184">
        <v>2.0199999999999999E-2</v>
      </c>
      <c r="I22" s="184">
        <v>1.9900000000000001E-2</v>
      </c>
      <c r="J22" s="184">
        <v>1.9699999999999999E-2</v>
      </c>
      <c r="K22" s="184">
        <v>1.9400000000000001E-2</v>
      </c>
      <c r="L22" s="184">
        <v>1.9199999999999998E-2</v>
      </c>
      <c r="M22" s="184">
        <v>1.89E-2</v>
      </c>
      <c r="N22" s="98">
        <v>1.8599999999999998E-2</v>
      </c>
      <c r="O22" s="98">
        <v>1.83E-2</v>
      </c>
      <c r="P22" s="98">
        <v>1.7999999999999999E-2</v>
      </c>
      <c r="Q22" s="98">
        <v>1.77E-2</v>
      </c>
      <c r="R22" s="98">
        <v>1.7399999999999999E-2</v>
      </c>
      <c r="S22" s="98">
        <v>1.7100000000000001E-2</v>
      </c>
      <c r="T22" s="98">
        <v>1.6799999999999999E-2</v>
      </c>
      <c r="U22" s="98">
        <v>1.66E-2</v>
      </c>
      <c r="V22" s="98">
        <v>1.6299999999999999E-2</v>
      </c>
      <c r="W22" s="98">
        <v>1.6E-2</v>
      </c>
      <c r="X22" s="98">
        <v>1.5800000000000002E-2</v>
      </c>
      <c r="Y22" s="98">
        <v>1.55E-2</v>
      </c>
      <c r="Z22" s="98">
        <v>1.5299999999999999E-2</v>
      </c>
      <c r="AA22" s="98">
        <v>1.4999999999999999E-2</v>
      </c>
      <c r="AB22" s="98">
        <v>1.4800000000000001E-2</v>
      </c>
      <c r="AC22" s="98">
        <v>1.4500000000000001E-2</v>
      </c>
      <c r="AD22" s="98">
        <v>1.43E-2</v>
      </c>
      <c r="AE22" s="98">
        <v>1.41E-2</v>
      </c>
      <c r="AF22" s="98">
        <v>1.3899999999999999E-2</v>
      </c>
      <c r="AG22" s="98">
        <v>1.37E-2</v>
      </c>
      <c r="AH22" s="98">
        <v>1.72E-2</v>
      </c>
    </row>
    <row r="23" spans="2:34">
      <c r="C23" t="s">
        <v>18902</v>
      </c>
      <c r="D23" s="184" t="e">
        <v>#DIV/0!</v>
      </c>
      <c r="E23" s="184"/>
      <c r="F23" s="184">
        <v>8.8999999999999999E-3</v>
      </c>
      <c r="G23" s="184">
        <v>8.3000000000000001E-3</v>
      </c>
      <c r="H23" s="184">
        <v>7.7000000000000002E-3</v>
      </c>
      <c r="I23" s="184">
        <v>7.1000000000000004E-3</v>
      </c>
      <c r="J23" s="184">
        <v>6.4999999999999997E-3</v>
      </c>
      <c r="K23" s="184">
        <v>5.8999999999999999E-3</v>
      </c>
      <c r="L23" s="184">
        <v>5.4000000000000003E-3</v>
      </c>
      <c r="M23" s="184">
        <v>4.8999999999999998E-3</v>
      </c>
      <c r="N23" s="98">
        <v>4.4000000000000003E-3</v>
      </c>
      <c r="O23" s="98">
        <v>3.8999999999999998E-3</v>
      </c>
      <c r="P23" s="98">
        <v>3.5000000000000001E-3</v>
      </c>
      <c r="Q23" s="98">
        <v>3.0999999999999999E-3</v>
      </c>
      <c r="R23" s="98">
        <v>2.7000000000000001E-3</v>
      </c>
      <c r="S23" s="98">
        <v>2.3999999999999998E-3</v>
      </c>
      <c r="T23" s="98">
        <v>2.0999999999999999E-3</v>
      </c>
      <c r="U23" s="98">
        <v>1.8E-3</v>
      </c>
      <c r="V23" s="98">
        <v>1.5E-3</v>
      </c>
      <c r="W23" s="98">
        <v>1.2999999999999999E-3</v>
      </c>
      <c r="X23" s="98">
        <v>1.1000000000000001E-3</v>
      </c>
      <c r="Y23" s="98">
        <v>8.9999999999999998E-4</v>
      </c>
      <c r="Z23" s="98">
        <v>8.0000000000000004E-4</v>
      </c>
      <c r="AA23" s="98">
        <v>5.9999999999999995E-4</v>
      </c>
      <c r="AB23" s="98">
        <v>5.0000000000000001E-4</v>
      </c>
      <c r="AC23" s="98">
        <v>4.0000000000000002E-4</v>
      </c>
      <c r="AD23" s="98">
        <v>2.9999999999999997E-4</v>
      </c>
      <c r="AE23" s="98">
        <v>2.0000000000000001E-4</v>
      </c>
      <c r="AF23" s="98">
        <v>2.0000000000000001E-4</v>
      </c>
      <c r="AG23" s="98">
        <v>1E-4</v>
      </c>
      <c r="AH23" s="98">
        <v>3.3E-3</v>
      </c>
    </row>
    <row r="24" spans="2:34">
      <c r="C24" t="s">
        <v>18903</v>
      </c>
      <c r="D24" s="184">
        <v>1.5704567849357396E-2</v>
      </c>
      <c r="E24" s="184"/>
      <c r="F24" s="184">
        <v>1.17E-2</v>
      </c>
      <c r="G24" s="184">
        <v>1.21E-2</v>
      </c>
      <c r="H24" s="184">
        <v>1.2500000000000001E-2</v>
      </c>
      <c r="I24" s="184">
        <v>1.29E-2</v>
      </c>
      <c r="J24" s="184">
        <v>1.32E-2</v>
      </c>
      <c r="K24" s="184">
        <v>1.35E-2</v>
      </c>
      <c r="L24" s="184">
        <v>1.38E-2</v>
      </c>
      <c r="M24" s="184">
        <v>1.4E-2</v>
      </c>
      <c r="N24" s="98">
        <v>1.4200000000000001E-2</v>
      </c>
      <c r="O24" s="98">
        <v>1.44E-2</v>
      </c>
      <c r="P24" s="98">
        <v>1.4500000000000001E-2</v>
      </c>
      <c r="Q24" s="98">
        <v>1.46E-2</v>
      </c>
      <c r="R24" s="98">
        <v>1.47E-2</v>
      </c>
      <c r="S24" s="98">
        <v>1.4800000000000001E-2</v>
      </c>
      <c r="T24" s="98">
        <v>1.4800000000000001E-2</v>
      </c>
      <c r="U24" s="98">
        <v>1.4800000000000001E-2</v>
      </c>
      <c r="V24" s="98">
        <v>1.4800000000000001E-2</v>
      </c>
      <c r="W24" s="98">
        <v>1.47E-2</v>
      </c>
      <c r="X24" s="98">
        <v>1.47E-2</v>
      </c>
      <c r="Y24" s="98">
        <v>1.46E-2</v>
      </c>
      <c r="Z24" s="98">
        <v>1.4500000000000001E-2</v>
      </c>
      <c r="AA24" s="98">
        <v>1.44E-2</v>
      </c>
      <c r="AB24" s="98">
        <v>1.43E-2</v>
      </c>
      <c r="AC24" s="98">
        <v>1.4200000000000001E-2</v>
      </c>
      <c r="AD24" s="98">
        <v>1.4E-2</v>
      </c>
      <c r="AE24" s="98">
        <v>1.3899999999999999E-2</v>
      </c>
      <c r="AF24" s="98">
        <v>1.37E-2</v>
      </c>
      <c r="AG24" s="98">
        <v>1.3599999999999999E-2</v>
      </c>
      <c r="AH24" s="98">
        <v>1.3899999999999999E-2</v>
      </c>
    </row>
    <row r="25" spans="2:34">
      <c r="B25" t="s">
        <v>258</v>
      </c>
      <c r="C25" t="s">
        <v>18901</v>
      </c>
      <c r="D25" s="184">
        <v>1.3429763109686512E-2</v>
      </c>
      <c r="E25" s="184"/>
      <c r="F25" s="184">
        <v>2.1499999999999998E-2</v>
      </c>
      <c r="G25" s="184">
        <v>2.0899999999999998E-2</v>
      </c>
      <c r="H25" s="184">
        <v>2.0299999999999999E-2</v>
      </c>
      <c r="I25" s="184">
        <v>1.9699999999999999E-2</v>
      </c>
      <c r="J25" s="184">
        <v>1.9099999999999999E-2</v>
      </c>
      <c r="K25" s="184">
        <v>1.8499999999999999E-2</v>
      </c>
      <c r="L25" s="184">
        <v>1.7899999999999999E-2</v>
      </c>
      <c r="M25" s="184">
        <v>1.7399999999999999E-2</v>
      </c>
      <c r="N25" s="98">
        <v>1.6799999999999999E-2</v>
      </c>
      <c r="O25" s="98">
        <v>1.6199999999999999E-2</v>
      </c>
      <c r="P25" s="98">
        <v>1.5599999999999999E-2</v>
      </c>
      <c r="Q25" s="98">
        <v>1.5100000000000001E-2</v>
      </c>
      <c r="R25" s="98">
        <v>1.4500000000000001E-2</v>
      </c>
      <c r="S25" s="98">
        <v>1.41E-2</v>
      </c>
      <c r="T25" s="98">
        <v>1.3599999999999999E-2</v>
      </c>
      <c r="U25" s="98">
        <v>1.32E-2</v>
      </c>
      <c r="V25" s="98">
        <v>1.2800000000000001E-2</v>
      </c>
      <c r="W25" s="98">
        <v>1.24E-2</v>
      </c>
      <c r="X25" s="98">
        <v>1.2E-2</v>
      </c>
      <c r="Y25" s="98">
        <v>1.1599999999999999E-2</v>
      </c>
      <c r="Z25" s="98">
        <v>1.1299999999999999E-2</v>
      </c>
      <c r="AA25" s="98">
        <v>1.0999999999999999E-2</v>
      </c>
      <c r="AB25" s="98">
        <v>1.0699999999999999E-2</v>
      </c>
      <c r="AC25" s="98">
        <v>1.04E-2</v>
      </c>
      <c r="AD25" s="98">
        <v>1.0200000000000001E-2</v>
      </c>
      <c r="AE25" s="98">
        <v>9.9000000000000008E-3</v>
      </c>
      <c r="AF25" s="98">
        <v>9.7000000000000003E-3</v>
      </c>
      <c r="AG25" s="98">
        <v>9.4999999999999998E-3</v>
      </c>
      <c r="AH25" s="98">
        <v>1.4800000000000001E-2</v>
      </c>
    </row>
    <row r="26" spans="2:34">
      <c r="C26" t="s">
        <v>18902</v>
      </c>
      <c r="D26" s="184" t="e">
        <v>#DIV/0!</v>
      </c>
      <c r="E26" s="184"/>
      <c r="F26" s="184">
        <v>1.37E-2</v>
      </c>
      <c r="G26" s="184">
        <v>1.3599999999999999E-2</v>
      </c>
      <c r="H26" s="184">
        <v>1.35E-2</v>
      </c>
      <c r="I26" s="184">
        <v>1.34E-2</v>
      </c>
      <c r="J26" s="184">
        <v>1.34E-2</v>
      </c>
      <c r="K26" s="184">
        <v>1.3299999999999999E-2</v>
      </c>
      <c r="L26" s="184">
        <v>1.32E-2</v>
      </c>
      <c r="M26" s="184">
        <v>1.3100000000000001E-2</v>
      </c>
      <c r="N26" s="98">
        <v>1.29E-2</v>
      </c>
      <c r="O26" s="98">
        <v>1.2699999999999999E-2</v>
      </c>
      <c r="P26" s="98">
        <v>1.2500000000000001E-2</v>
      </c>
      <c r="Q26" s="98">
        <v>1.24E-2</v>
      </c>
      <c r="R26" s="98">
        <v>1.2200000000000001E-2</v>
      </c>
      <c r="S26" s="98">
        <v>1.2E-2</v>
      </c>
      <c r="T26" s="98">
        <v>1.18E-2</v>
      </c>
      <c r="U26" s="98">
        <v>1.1599999999999999E-2</v>
      </c>
      <c r="V26" s="98">
        <v>1.14E-2</v>
      </c>
      <c r="W26" s="98">
        <v>1.12E-2</v>
      </c>
      <c r="X26" s="98">
        <v>1.11E-2</v>
      </c>
      <c r="Y26" s="98">
        <v>1.09E-2</v>
      </c>
      <c r="Z26" s="98">
        <v>1.0699999999999999E-2</v>
      </c>
      <c r="AA26" s="98">
        <v>1.0500000000000001E-2</v>
      </c>
      <c r="AB26" s="98">
        <v>1.03E-2</v>
      </c>
      <c r="AC26" s="98">
        <v>1.01E-2</v>
      </c>
      <c r="AD26" s="98">
        <v>9.9000000000000008E-3</v>
      </c>
      <c r="AE26" s="98">
        <v>9.7000000000000003E-3</v>
      </c>
      <c r="AF26" s="98">
        <v>9.5999999999999992E-3</v>
      </c>
      <c r="AG26" s="98">
        <v>9.4000000000000004E-3</v>
      </c>
      <c r="AH26" s="98">
        <v>1.17E-2</v>
      </c>
    </row>
    <row r="27" spans="2:34">
      <c r="C27" t="s">
        <v>18903</v>
      </c>
      <c r="D27" s="184">
        <v>1.3429763109686512E-2</v>
      </c>
      <c r="E27" s="184"/>
      <c r="F27" s="184">
        <v>3.56E-2</v>
      </c>
      <c r="G27" s="184">
        <v>3.5700000000000003E-2</v>
      </c>
      <c r="H27" s="184">
        <v>3.56E-2</v>
      </c>
      <c r="I27" s="184">
        <v>3.5400000000000001E-2</v>
      </c>
      <c r="J27" s="184">
        <v>3.5299999999999998E-2</v>
      </c>
      <c r="K27" s="184">
        <v>3.5099999999999999E-2</v>
      </c>
      <c r="L27" s="184">
        <v>3.5000000000000003E-2</v>
      </c>
      <c r="M27" s="184">
        <v>3.4700000000000002E-2</v>
      </c>
      <c r="N27" s="98">
        <v>3.4500000000000003E-2</v>
      </c>
      <c r="O27" s="98">
        <v>3.4299999999999997E-2</v>
      </c>
      <c r="P27" s="98">
        <v>3.39E-2</v>
      </c>
      <c r="Q27" s="98">
        <v>3.3700000000000001E-2</v>
      </c>
      <c r="R27" s="98">
        <v>3.3399999999999999E-2</v>
      </c>
      <c r="S27" s="98">
        <v>3.32E-2</v>
      </c>
      <c r="T27" s="98">
        <v>3.3000000000000002E-2</v>
      </c>
      <c r="U27" s="98">
        <v>3.2599999999999997E-2</v>
      </c>
      <c r="V27" s="98">
        <v>3.2199999999999999E-2</v>
      </c>
      <c r="W27" s="98">
        <v>3.2000000000000001E-2</v>
      </c>
      <c r="X27" s="98">
        <v>3.15E-2</v>
      </c>
      <c r="Y27" s="98">
        <v>3.1E-2</v>
      </c>
      <c r="Z27" s="98">
        <v>3.0700000000000002E-2</v>
      </c>
      <c r="AA27" s="98">
        <v>3.0300000000000001E-2</v>
      </c>
      <c r="AB27" s="98">
        <v>3.0200000000000001E-2</v>
      </c>
      <c r="AC27" s="98">
        <v>2.9700000000000001E-2</v>
      </c>
      <c r="AD27" s="98">
        <v>2.87E-2</v>
      </c>
      <c r="AE27" s="98">
        <v>2.8199999999999999E-2</v>
      </c>
      <c r="AF27" s="98">
        <v>2.76E-2</v>
      </c>
      <c r="AG27" s="98">
        <v>2.7099999999999999E-2</v>
      </c>
      <c r="AH27" s="98">
        <v>3.4599999999999999E-2</v>
      </c>
    </row>
    <row r="28" spans="2:34">
      <c r="B28" t="s">
        <v>259</v>
      </c>
      <c r="C28" t="s">
        <v>18901</v>
      </c>
      <c r="D28" s="184">
        <v>1.1135062869520372E-2</v>
      </c>
      <c r="E28" s="184"/>
      <c r="F28" s="184">
        <v>1.2200000000000001E-2</v>
      </c>
      <c r="G28" s="184">
        <v>1.1900000000000001E-2</v>
      </c>
      <c r="H28" s="184">
        <v>1.17E-2</v>
      </c>
      <c r="I28" s="184">
        <v>1.14E-2</v>
      </c>
      <c r="J28" s="184">
        <v>1.12E-2</v>
      </c>
      <c r="K28" s="184">
        <v>1.0999999999999999E-2</v>
      </c>
      <c r="L28" s="184">
        <v>1.09E-2</v>
      </c>
      <c r="M28" s="184">
        <v>1.0699999999999999E-2</v>
      </c>
      <c r="N28" s="98">
        <v>1.0500000000000001E-2</v>
      </c>
      <c r="O28" s="98">
        <v>1.04E-2</v>
      </c>
      <c r="P28" s="98">
        <v>1.03E-2</v>
      </c>
      <c r="Q28" s="98">
        <v>1.01E-2</v>
      </c>
      <c r="R28" s="98">
        <v>0.01</v>
      </c>
      <c r="S28" s="98">
        <v>0.01</v>
      </c>
      <c r="T28" s="98">
        <v>9.9000000000000008E-3</v>
      </c>
      <c r="U28" s="98">
        <v>9.7999999999999997E-3</v>
      </c>
      <c r="V28" s="98">
        <v>9.7999999999999997E-3</v>
      </c>
      <c r="W28" s="98">
        <v>9.7000000000000003E-3</v>
      </c>
      <c r="X28" s="98">
        <v>9.5999999999999992E-3</v>
      </c>
      <c r="Y28" s="98">
        <v>9.5999999999999992E-3</v>
      </c>
      <c r="Z28" s="98">
        <v>9.4999999999999998E-3</v>
      </c>
      <c r="AA28" s="98">
        <v>9.4000000000000004E-3</v>
      </c>
      <c r="AB28" s="98">
        <v>9.4000000000000004E-3</v>
      </c>
      <c r="AC28" s="98">
        <v>9.2999999999999992E-3</v>
      </c>
      <c r="AD28" s="98">
        <v>9.2999999999999992E-3</v>
      </c>
      <c r="AE28" s="98">
        <v>9.1999999999999998E-3</v>
      </c>
      <c r="AF28" s="98">
        <v>9.1999999999999998E-3</v>
      </c>
      <c r="AG28" s="98">
        <v>9.1000000000000004E-3</v>
      </c>
      <c r="AH28" s="98">
        <v>1.03E-2</v>
      </c>
    </row>
    <row r="29" spans="2:34">
      <c r="C29" t="s">
        <v>18902</v>
      </c>
      <c r="D29" s="184" t="e">
        <v>#DIV/0!</v>
      </c>
      <c r="E29" s="184"/>
      <c r="F29" s="184">
        <v>9.7999999999999997E-3</v>
      </c>
      <c r="G29" s="184">
        <v>9.7000000000000003E-3</v>
      </c>
      <c r="H29" s="184">
        <v>9.5999999999999992E-3</v>
      </c>
      <c r="I29" s="184">
        <v>9.5999999999999992E-3</v>
      </c>
      <c r="J29" s="184">
        <v>9.4999999999999998E-3</v>
      </c>
      <c r="K29" s="184">
        <v>9.4999999999999998E-3</v>
      </c>
      <c r="L29" s="184">
        <v>9.4999999999999998E-3</v>
      </c>
      <c r="M29" s="184">
        <v>9.4999999999999998E-3</v>
      </c>
      <c r="N29" s="98">
        <v>9.4999999999999998E-3</v>
      </c>
      <c r="O29" s="98">
        <v>9.4999999999999998E-3</v>
      </c>
      <c r="P29" s="98">
        <v>9.4000000000000004E-3</v>
      </c>
      <c r="Q29" s="98">
        <v>9.4000000000000004E-3</v>
      </c>
      <c r="R29" s="98">
        <v>9.4000000000000004E-3</v>
      </c>
      <c r="S29" s="98">
        <v>9.4999999999999998E-3</v>
      </c>
      <c r="T29" s="98">
        <v>9.4999999999999998E-3</v>
      </c>
      <c r="U29" s="98">
        <v>9.4999999999999998E-3</v>
      </c>
      <c r="V29" s="98">
        <v>9.4999999999999998E-3</v>
      </c>
      <c r="W29" s="98">
        <v>9.4999999999999998E-3</v>
      </c>
      <c r="X29" s="98">
        <v>9.4000000000000004E-3</v>
      </c>
      <c r="Y29" s="98">
        <v>9.4000000000000004E-3</v>
      </c>
      <c r="Z29" s="98">
        <v>9.4000000000000004E-3</v>
      </c>
      <c r="AA29" s="98">
        <v>9.4000000000000004E-3</v>
      </c>
      <c r="AB29" s="98">
        <v>9.2999999999999992E-3</v>
      </c>
      <c r="AC29" s="98">
        <v>9.2999999999999992E-3</v>
      </c>
      <c r="AD29" s="98">
        <v>9.2999999999999992E-3</v>
      </c>
      <c r="AE29" s="98">
        <v>9.1999999999999998E-3</v>
      </c>
      <c r="AF29" s="98">
        <v>9.1999999999999998E-3</v>
      </c>
      <c r="AG29" s="98">
        <v>9.1000000000000004E-3</v>
      </c>
      <c r="AH29" s="98">
        <v>9.4000000000000004E-3</v>
      </c>
    </row>
    <row r="30" spans="2:34">
      <c r="C30" t="s">
        <v>18903</v>
      </c>
      <c r="D30" s="184">
        <v>1.1135062869520372E-2</v>
      </c>
      <c r="E30" s="184"/>
      <c r="F30" s="184">
        <v>1.66E-2</v>
      </c>
      <c r="G30" s="184">
        <v>1.6500000000000001E-2</v>
      </c>
      <c r="H30" s="184">
        <v>1.6299999999999999E-2</v>
      </c>
      <c r="I30" s="184">
        <v>1.61E-2</v>
      </c>
      <c r="J30" s="184">
        <v>1.6E-2</v>
      </c>
      <c r="K30" s="184">
        <v>1.5900000000000001E-2</v>
      </c>
      <c r="L30" s="184">
        <v>1.5800000000000002E-2</v>
      </c>
      <c r="M30" s="184">
        <v>1.5599999999999999E-2</v>
      </c>
      <c r="N30" s="98">
        <v>1.54E-2</v>
      </c>
      <c r="O30" s="98">
        <v>1.5299999999999999E-2</v>
      </c>
      <c r="P30" s="98">
        <v>1.5100000000000001E-2</v>
      </c>
      <c r="Q30" s="98">
        <v>1.4999999999999999E-2</v>
      </c>
      <c r="R30" s="98">
        <v>1.49E-2</v>
      </c>
      <c r="S30" s="98">
        <v>1.4800000000000001E-2</v>
      </c>
      <c r="T30" s="98">
        <v>1.4500000000000001E-2</v>
      </c>
      <c r="U30" s="98">
        <v>1.43E-2</v>
      </c>
      <c r="V30" s="98">
        <v>1.4E-2</v>
      </c>
      <c r="W30" s="98">
        <v>1.35E-2</v>
      </c>
      <c r="X30" s="98">
        <v>1.3100000000000001E-2</v>
      </c>
      <c r="Y30" s="98">
        <v>1.2699999999999999E-2</v>
      </c>
      <c r="Z30" s="98">
        <v>1.24E-2</v>
      </c>
      <c r="AA30" s="98">
        <v>1.2E-2</v>
      </c>
      <c r="AB30" s="98">
        <v>1.1900000000000001E-2</v>
      </c>
      <c r="AC30" s="98">
        <v>1.1900000000000001E-2</v>
      </c>
      <c r="AD30" s="98">
        <v>1.14E-2</v>
      </c>
      <c r="AE30" s="98">
        <v>1.12E-2</v>
      </c>
      <c r="AF30" s="98">
        <v>1.0999999999999999E-2</v>
      </c>
      <c r="AG30" s="98">
        <v>1.0800000000000001E-2</v>
      </c>
      <c r="AH30" s="98">
        <v>1.5599999999999999E-2</v>
      </c>
    </row>
    <row r="31" spans="2:34">
      <c r="B31" t="s">
        <v>18904</v>
      </c>
      <c r="C31" t="s">
        <v>18901</v>
      </c>
      <c r="D31" s="184">
        <v>0</v>
      </c>
      <c r="E31" s="184"/>
      <c r="F31" s="184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</row>
    <row r="32" spans="2:34">
      <c r="C32" t="s">
        <v>18902</v>
      </c>
      <c r="D32" s="184" t="e">
        <v>#DIV/0!</v>
      </c>
      <c r="E32" s="184"/>
      <c r="F32" s="184">
        <v>0</v>
      </c>
      <c r="G32" s="184">
        <v>0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</row>
    <row r="33" spans="2:34">
      <c r="C33" t="s">
        <v>18903</v>
      </c>
      <c r="D33" s="184">
        <v>0</v>
      </c>
      <c r="E33" s="184"/>
      <c r="F33" s="184">
        <v>0</v>
      </c>
      <c r="G33" s="184">
        <v>0</v>
      </c>
      <c r="H33" s="184">
        <v>0</v>
      </c>
      <c r="I33" s="184">
        <v>0</v>
      </c>
      <c r="J33" s="184">
        <v>0</v>
      </c>
      <c r="K33" s="184">
        <v>0</v>
      </c>
      <c r="L33" s="184">
        <v>0</v>
      </c>
      <c r="M33" s="184">
        <v>0</v>
      </c>
    </row>
    <row r="34" spans="2:34">
      <c r="B34" t="s">
        <v>381</v>
      </c>
      <c r="C34" t="s">
        <v>18901</v>
      </c>
      <c r="D34" s="184">
        <v>9.7007055328657027E-2</v>
      </c>
      <c r="E34" s="184"/>
      <c r="F34" s="184">
        <v>0.1134</v>
      </c>
      <c r="G34" s="184">
        <v>0.112</v>
      </c>
      <c r="H34" s="184">
        <v>0.1105</v>
      </c>
      <c r="I34" s="184">
        <v>0.109</v>
      </c>
      <c r="J34" s="184">
        <v>0.1076</v>
      </c>
      <c r="K34" s="184">
        <v>0.1062</v>
      </c>
      <c r="L34" s="184">
        <v>0.10489999999999999</v>
      </c>
      <c r="M34" s="184">
        <v>0.10349999999999999</v>
      </c>
      <c r="N34" s="98">
        <v>0.1019</v>
      </c>
      <c r="O34" s="98">
        <v>0.1004</v>
      </c>
      <c r="P34" s="98">
        <v>9.9000000000000005E-2</v>
      </c>
      <c r="Q34" s="98">
        <v>9.7600000000000006E-2</v>
      </c>
      <c r="R34" s="98">
        <v>9.6299999999999997E-2</v>
      </c>
      <c r="S34" s="98">
        <v>9.5200000000000007E-2</v>
      </c>
      <c r="T34" s="98">
        <v>9.4E-2</v>
      </c>
      <c r="U34" s="98">
        <v>9.2899999999999996E-2</v>
      </c>
      <c r="V34" s="98">
        <v>9.1999999999999998E-2</v>
      </c>
      <c r="W34" s="98">
        <v>9.0999999999999998E-2</v>
      </c>
      <c r="X34" s="98">
        <v>9.0200000000000002E-2</v>
      </c>
      <c r="Y34" s="98">
        <v>8.9300000000000004E-2</v>
      </c>
      <c r="Z34" s="98">
        <v>8.8700000000000001E-2</v>
      </c>
      <c r="AA34" s="98">
        <v>8.7900000000000006E-2</v>
      </c>
      <c r="AB34" s="98">
        <v>8.72E-2</v>
      </c>
      <c r="AC34" s="98">
        <v>8.6499999999999994E-2</v>
      </c>
      <c r="AD34" s="98">
        <v>8.5999999999999993E-2</v>
      </c>
      <c r="AE34" s="98">
        <v>8.5500000000000007E-2</v>
      </c>
      <c r="AF34" s="98">
        <v>8.5000000000000006E-2</v>
      </c>
      <c r="AG34" s="98">
        <v>8.4500000000000006E-2</v>
      </c>
      <c r="AH34" s="98">
        <v>9.7100000000000006E-2</v>
      </c>
    </row>
    <row r="35" spans="2:34">
      <c r="C35" t="s">
        <v>18902</v>
      </c>
      <c r="D35" s="184" t="e">
        <v>#DIV/0!</v>
      </c>
      <c r="E35" s="184"/>
      <c r="F35" s="184">
        <v>9.0499999999999997E-2</v>
      </c>
      <c r="G35" s="184">
        <v>9.0399999999999994E-2</v>
      </c>
      <c r="H35" s="184">
        <v>9.0300000000000005E-2</v>
      </c>
      <c r="I35" s="184">
        <v>9.01E-2</v>
      </c>
      <c r="J35" s="184">
        <v>0.09</v>
      </c>
      <c r="K35" s="184">
        <v>8.9899999999999994E-2</v>
      </c>
      <c r="L35" s="184">
        <v>8.9899999999999994E-2</v>
      </c>
      <c r="M35" s="184">
        <v>8.9800000000000005E-2</v>
      </c>
      <c r="N35" s="98">
        <v>8.9499999999999996E-2</v>
      </c>
      <c r="O35" s="98">
        <v>8.9300000000000004E-2</v>
      </c>
      <c r="P35" s="98">
        <v>8.8999999999999996E-2</v>
      </c>
      <c r="Q35" s="98">
        <v>8.8700000000000001E-2</v>
      </c>
      <c r="R35" s="98">
        <v>8.8400000000000006E-2</v>
      </c>
      <c r="S35" s="98">
        <v>8.8300000000000003E-2</v>
      </c>
      <c r="T35" s="98">
        <v>8.8099999999999998E-2</v>
      </c>
      <c r="U35" s="98">
        <v>8.7900000000000006E-2</v>
      </c>
      <c r="V35" s="98">
        <v>8.7599999999999997E-2</v>
      </c>
      <c r="W35" s="98">
        <v>8.7300000000000003E-2</v>
      </c>
      <c r="X35" s="98">
        <v>8.6999999999999994E-2</v>
      </c>
      <c r="Y35" s="98">
        <v>8.6699999999999999E-2</v>
      </c>
      <c r="Z35" s="98">
        <v>8.6300000000000002E-2</v>
      </c>
      <c r="AA35" s="98">
        <v>8.5999999999999993E-2</v>
      </c>
      <c r="AB35" s="98">
        <v>8.5699999999999998E-2</v>
      </c>
      <c r="AC35" s="98">
        <v>8.5300000000000001E-2</v>
      </c>
      <c r="AD35" s="98">
        <v>8.5000000000000006E-2</v>
      </c>
      <c r="AE35" s="98">
        <v>8.4699999999999998E-2</v>
      </c>
      <c r="AF35" s="98">
        <v>8.4400000000000003E-2</v>
      </c>
      <c r="AG35" s="98">
        <v>8.4000000000000005E-2</v>
      </c>
      <c r="AH35" s="98">
        <v>8.77E-2</v>
      </c>
    </row>
    <row r="36" spans="2:34">
      <c r="C36" t="s">
        <v>18903</v>
      </c>
      <c r="D36" s="184">
        <v>9.7007055328657027E-2</v>
      </c>
      <c r="E36" s="184"/>
      <c r="F36" s="184">
        <v>0.155</v>
      </c>
      <c r="G36" s="184">
        <v>0.15579999999999999</v>
      </c>
      <c r="H36" s="184">
        <v>0.15640000000000001</v>
      </c>
      <c r="I36" s="184">
        <v>0.15690000000000001</v>
      </c>
      <c r="J36" s="184">
        <v>0.15759999999999999</v>
      </c>
      <c r="K36" s="184">
        <v>0.15809999999999999</v>
      </c>
      <c r="L36" s="184">
        <v>0.1588</v>
      </c>
      <c r="M36" s="184">
        <v>0.15890000000000001</v>
      </c>
      <c r="N36" s="98">
        <v>0.15870000000000001</v>
      </c>
      <c r="O36" s="98">
        <v>0.159</v>
      </c>
      <c r="P36" s="98">
        <v>0.15909999999999999</v>
      </c>
      <c r="Q36" s="98">
        <v>0.15920000000000001</v>
      </c>
      <c r="R36" s="98">
        <v>0.15890000000000001</v>
      </c>
      <c r="S36" s="98">
        <v>0.15909999999999999</v>
      </c>
      <c r="T36" s="98">
        <v>0.15740000000000001</v>
      </c>
      <c r="U36" s="98">
        <v>0.15570000000000001</v>
      </c>
      <c r="V36" s="98">
        <v>0.1555</v>
      </c>
      <c r="W36" s="98">
        <v>0.15479999999999999</v>
      </c>
      <c r="X36" s="98">
        <v>0.15459999999999999</v>
      </c>
      <c r="Y36" s="98">
        <v>0.15440000000000001</v>
      </c>
      <c r="Z36" s="98">
        <v>0.15540000000000001</v>
      </c>
      <c r="AA36" s="98">
        <v>0.15559999999999999</v>
      </c>
      <c r="AB36" s="98">
        <v>0.15759999999999999</v>
      </c>
      <c r="AC36" s="98">
        <v>0.1595</v>
      </c>
      <c r="AD36" s="98">
        <v>0.16200000000000001</v>
      </c>
      <c r="AE36" s="98">
        <v>0.1673</v>
      </c>
      <c r="AF36" s="98">
        <v>0.1681</v>
      </c>
      <c r="AG36" s="98">
        <v>0.17399999999999999</v>
      </c>
      <c r="AH36" s="98">
        <v>0.1573</v>
      </c>
    </row>
    <row r="37" spans="2:34">
      <c r="B37" t="s">
        <v>261</v>
      </c>
      <c r="C37" t="s">
        <v>18901</v>
      </c>
      <c r="D37" s="184">
        <v>4.1977001604424927E-2</v>
      </c>
      <c r="E37" s="184"/>
      <c r="F37" s="184">
        <v>3.5000000000000003E-2</v>
      </c>
      <c r="G37" s="184">
        <v>3.56E-2</v>
      </c>
      <c r="H37" s="184">
        <v>3.6400000000000002E-2</v>
      </c>
      <c r="I37" s="184">
        <v>3.73E-2</v>
      </c>
      <c r="J37" s="184">
        <v>3.8100000000000002E-2</v>
      </c>
      <c r="K37" s="184">
        <v>3.9100000000000003E-2</v>
      </c>
      <c r="L37" s="184">
        <v>4.02E-2</v>
      </c>
      <c r="M37" s="184">
        <v>4.1399999999999999E-2</v>
      </c>
      <c r="N37" s="98">
        <v>4.2500000000000003E-2</v>
      </c>
      <c r="O37" s="98">
        <v>4.36E-2</v>
      </c>
      <c r="P37" s="98">
        <v>4.48E-2</v>
      </c>
      <c r="Q37" s="98">
        <v>4.6100000000000002E-2</v>
      </c>
      <c r="R37" s="98">
        <v>4.7300000000000002E-2</v>
      </c>
      <c r="S37" s="98">
        <v>4.8599999999999997E-2</v>
      </c>
      <c r="T37" s="98">
        <v>4.99E-2</v>
      </c>
      <c r="U37" s="98">
        <v>5.1999999999999998E-2</v>
      </c>
      <c r="V37" s="98">
        <v>5.33E-2</v>
      </c>
      <c r="W37" s="98">
        <v>5.45E-2</v>
      </c>
      <c r="X37" s="98">
        <v>5.57E-2</v>
      </c>
      <c r="Y37" s="98">
        <v>5.6899999999999999E-2</v>
      </c>
      <c r="Z37" s="98">
        <v>5.8000000000000003E-2</v>
      </c>
      <c r="AA37" s="98">
        <v>5.9200000000000003E-2</v>
      </c>
      <c r="AB37" s="98">
        <v>6.0199999999999997E-2</v>
      </c>
      <c r="AC37" s="98">
        <v>6.13E-2</v>
      </c>
      <c r="AD37" s="98">
        <v>6.2199999999999998E-2</v>
      </c>
      <c r="AE37" s="98">
        <v>6.3100000000000003E-2</v>
      </c>
      <c r="AF37" s="98">
        <v>6.4000000000000001E-2</v>
      </c>
      <c r="AG37" s="98">
        <v>6.4899999999999999E-2</v>
      </c>
      <c r="AH37" s="98">
        <v>4.9000000000000002E-2</v>
      </c>
    </row>
    <row r="38" spans="2:34">
      <c r="C38" t="s">
        <v>18902</v>
      </c>
      <c r="D38" s="184" t="e">
        <v>#DIV/0!</v>
      </c>
      <c r="E38" s="184"/>
      <c r="F38" s="184">
        <v>4.4999999999999998E-2</v>
      </c>
      <c r="G38" s="184">
        <v>4.4999999999999998E-2</v>
      </c>
      <c r="H38" s="184">
        <v>4.5199999999999997E-2</v>
      </c>
      <c r="I38" s="184">
        <v>4.5400000000000003E-2</v>
      </c>
      <c r="J38" s="184">
        <v>4.5699999999999998E-2</v>
      </c>
      <c r="K38" s="184">
        <v>4.6199999999999998E-2</v>
      </c>
      <c r="L38" s="184">
        <v>4.6800000000000001E-2</v>
      </c>
      <c r="M38" s="184">
        <v>4.7500000000000001E-2</v>
      </c>
      <c r="N38" s="98">
        <v>4.8099999999999997E-2</v>
      </c>
      <c r="O38" s="98">
        <v>4.8800000000000003E-2</v>
      </c>
      <c r="P38" s="98">
        <v>4.9599999999999998E-2</v>
      </c>
      <c r="Q38" s="98">
        <v>5.0299999999999997E-2</v>
      </c>
      <c r="R38" s="98">
        <v>5.1200000000000002E-2</v>
      </c>
      <c r="S38" s="98">
        <v>5.2200000000000003E-2</v>
      </c>
      <c r="T38" s="98">
        <v>5.3100000000000001E-2</v>
      </c>
      <c r="U38" s="98">
        <v>5.4899999999999997E-2</v>
      </c>
      <c r="V38" s="98">
        <v>5.5800000000000002E-2</v>
      </c>
      <c r="W38" s="98">
        <v>5.6800000000000003E-2</v>
      </c>
      <c r="X38" s="98">
        <v>5.7700000000000001E-2</v>
      </c>
      <c r="Y38" s="98">
        <v>5.8599999999999999E-2</v>
      </c>
      <c r="Z38" s="98">
        <v>5.9499999999999997E-2</v>
      </c>
      <c r="AA38" s="98">
        <v>6.0400000000000002E-2</v>
      </c>
      <c r="AB38" s="98">
        <v>6.1199999999999997E-2</v>
      </c>
      <c r="AC38" s="98">
        <v>6.2E-2</v>
      </c>
      <c r="AD38" s="98">
        <v>6.2799999999999995E-2</v>
      </c>
      <c r="AE38" s="98">
        <v>6.3600000000000004E-2</v>
      </c>
      <c r="AF38" s="98">
        <v>6.4399999999999999E-2</v>
      </c>
      <c r="AG38" s="98">
        <v>6.5100000000000005E-2</v>
      </c>
      <c r="AH38" s="98">
        <v>5.4100000000000002E-2</v>
      </c>
    </row>
    <row r="39" spans="2:34">
      <c r="C39" t="s">
        <v>18903</v>
      </c>
      <c r="D39" s="184">
        <v>4.1977001604424927E-2</v>
      </c>
      <c r="E39" s="184"/>
      <c r="F39" s="184">
        <v>1.67E-2</v>
      </c>
      <c r="G39" s="184">
        <v>1.67E-2</v>
      </c>
      <c r="H39" s="184">
        <v>1.67E-2</v>
      </c>
      <c r="I39" s="184">
        <v>1.66E-2</v>
      </c>
      <c r="J39" s="184">
        <v>1.66E-2</v>
      </c>
      <c r="K39" s="184">
        <v>1.66E-2</v>
      </c>
      <c r="L39" s="184">
        <v>1.67E-2</v>
      </c>
      <c r="M39" s="184">
        <v>1.67E-2</v>
      </c>
      <c r="N39" s="98">
        <v>1.66E-2</v>
      </c>
      <c r="O39" s="98">
        <v>1.66E-2</v>
      </c>
      <c r="P39" s="98">
        <v>1.6400000000000001E-2</v>
      </c>
      <c r="Q39" s="98">
        <v>1.6400000000000001E-2</v>
      </c>
      <c r="R39" s="98">
        <v>1.6299999999999999E-2</v>
      </c>
      <c r="S39" s="98">
        <v>1.6E-2</v>
      </c>
      <c r="T39" s="98">
        <v>1.6E-2</v>
      </c>
      <c r="U39" s="98">
        <v>1.6E-2</v>
      </c>
      <c r="V39" s="98">
        <v>1.61E-2</v>
      </c>
      <c r="W39" s="98">
        <v>1.6199999999999999E-2</v>
      </c>
      <c r="X39" s="98">
        <v>1.6199999999999999E-2</v>
      </c>
      <c r="Y39" s="98">
        <v>1.6199999999999999E-2</v>
      </c>
      <c r="Z39" s="98">
        <v>1.6299999999999999E-2</v>
      </c>
      <c r="AA39" s="98">
        <v>1.61E-2</v>
      </c>
      <c r="AB39" s="98">
        <v>1.5800000000000002E-2</v>
      </c>
      <c r="AC39" s="98">
        <v>1.5599999999999999E-2</v>
      </c>
      <c r="AD39" s="98">
        <v>1.4800000000000001E-2</v>
      </c>
      <c r="AE39" s="98">
        <v>1.4200000000000001E-2</v>
      </c>
      <c r="AF39" s="98">
        <v>1.44E-2</v>
      </c>
      <c r="AG39" s="98">
        <v>1.38E-2</v>
      </c>
      <c r="AH39" s="98">
        <v>1.6500000000000001E-2</v>
      </c>
    </row>
    <row r="40" spans="2:34">
      <c r="B40" t="s">
        <v>373</v>
      </c>
      <c r="C40" t="s">
        <v>18901</v>
      </c>
      <c r="D40" s="184">
        <v>5.3457400867532472E-2</v>
      </c>
      <c r="E40" s="184"/>
      <c r="F40" s="184">
        <v>5.9499999999999997E-2</v>
      </c>
      <c r="G40" s="184">
        <v>5.8999999999999997E-2</v>
      </c>
      <c r="H40" s="184">
        <v>5.8299999999999998E-2</v>
      </c>
      <c r="I40" s="184">
        <v>5.7599999999999998E-2</v>
      </c>
      <c r="J40" s="184">
        <v>5.6899999999999999E-2</v>
      </c>
      <c r="K40" s="184">
        <v>5.6099999999999997E-2</v>
      </c>
      <c r="L40" s="184">
        <v>5.5300000000000002E-2</v>
      </c>
      <c r="M40" s="184">
        <v>5.4399999999999997E-2</v>
      </c>
      <c r="N40" s="98">
        <v>5.3800000000000001E-2</v>
      </c>
      <c r="O40" s="98">
        <v>5.3100000000000001E-2</v>
      </c>
      <c r="P40" s="98">
        <v>5.2499999999999998E-2</v>
      </c>
      <c r="Q40" s="98">
        <v>5.1900000000000002E-2</v>
      </c>
      <c r="R40" s="98">
        <v>5.1400000000000001E-2</v>
      </c>
      <c r="S40" s="98">
        <v>5.0900000000000001E-2</v>
      </c>
      <c r="T40" s="98">
        <v>5.04E-2</v>
      </c>
      <c r="U40" s="98">
        <v>0.05</v>
      </c>
      <c r="V40" s="98">
        <v>4.9599999999999998E-2</v>
      </c>
      <c r="W40" s="98">
        <v>4.9200000000000001E-2</v>
      </c>
      <c r="X40" s="98">
        <v>4.8899999999999999E-2</v>
      </c>
      <c r="Y40" s="98">
        <v>4.8599999999999997E-2</v>
      </c>
      <c r="Z40" s="98">
        <v>4.8399999999999999E-2</v>
      </c>
      <c r="AA40" s="98">
        <v>4.8099999999999997E-2</v>
      </c>
      <c r="AB40" s="98">
        <v>4.8000000000000001E-2</v>
      </c>
      <c r="AC40" s="98">
        <v>4.7800000000000002E-2</v>
      </c>
      <c r="AD40" s="98">
        <v>4.7699999999999999E-2</v>
      </c>
      <c r="AE40" s="98">
        <v>4.7699999999999999E-2</v>
      </c>
      <c r="AF40" s="98">
        <v>4.7600000000000003E-2</v>
      </c>
      <c r="AG40" s="98">
        <v>4.7600000000000003E-2</v>
      </c>
      <c r="AH40" s="98">
        <v>5.21E-2</v>
      </c>
    </row>
    <row r="41" spans="2:34">
      <c r="C41" t="s">
        <v>18902</v>
      </c>
      <c r="D41" s="184" t="e">
        <v>#DIV/0!</v>
      </c>
      <c r="E41" s="184"/>
      <c r="F41" s="184">
        <v>4.8500000000000001E-2</v>
      </c>
      <c r="G41" s="184">
        <v>4.8500000000000001E-2</v>
      </c>
      <c r="H41" s="184">
        <v>4.8500000000000001E-2</v>
      </c>
      <c r="I41" s="184">
        <v>4.8500000000000001E-2</v>
      </c>
      <c r="J41" s="184">
        <v>4.8399999999999999E-2</v>
      </c>
      <c r="K41" s="184">
        <v>4.82E-2</v>
      </c>
      <c r="L41" s="184">
        <v>4.8000000000000001E-2</v>
      </c>
      <c r="M41" s="184">
        <v>4.7800000000000002E-2</v>
      </c>
      <c r="N41" s="98">
        <v>4.7800000000000002E-2</v>
      </c>
      <c r="O41" s="98">
        <v>4.7800000000000002E-2</v>
      </c>
      <c r="P41" s="98">
        <v>4.7800000000000002E-2</v>
      </c>
      <c r="Q41" s="98">
        <v>4.7699999999999999E-2</v>
      </c>
      <c r="R41" s="98">
        <v>4.7600000000000003E-2</v>
      </c>
      <c r="S41" s="98">
        <v>4.7600000000000003E-2</v>
      </c>
      <c r="T41" s="98">
        <v>4.7500000000000001E-2</v>
      </c>
      <c r="U41" s="98">
        <v>4.7500000000000001E-2</v>
      </c>
      <c r="V41" s="98">
        <v>4.7399999999999998E-2</v>
      </c>
      <c r="W41" s="98">
        <v>4.7300000000000002E-2</v>
      </c>
      <c r="X41" s="98">
        <v>4.7300000000000002E-2</v>
      </c>
      <c r="Y41" s="98">
        <v>4.7199999999999999E-2</v>
      </c>
      <c r="Z41" s="98">
        <v>4.7199999999999999E-2</v>
      </c>
      <c r="AA41" s="98">
        <v>4.7199999999999999E-2</v>
      </c>
      <c r="AB41" s="98">
        <v>4.7199999999999999E-2</v>
      </c>
      <c r="AC41" s="98">
        <v>4.7199999999999999E-2</v>
      </c>
      <c r="AD41" s="98">
        <v>4.7199999999999999E-2</v>
      </c>
      <c r="AE41" s="98">
        <v>4.7300000000000002E-2</v>
      </c>
      <c r="AF41" s="98">
        <v>4.7300000000000002E-2</v>
      </c>
      <c r="AG41" s="98">
        <v>4.7399999999999998E-2</v>
      </c>
      <c r="AH41" s="98">
        <v>4.7600000000000003E-2</v>
      </c>
    </row>
    <row r="42" spans="2:34">
      <c r="C42" t="s">
        <v>18903</v>
      </c>
      <c r="D42" s="184">
        <v>5.3457400867532472E-2</v>
      </c>
      <c r="E42" s="184"/>
      <c r="F42" s="184">
        <v>7.9600000000000004E-2</v>
      </c>
      <c r="G42" s="184">
        <v>8.0199999999999994E-2</v>
      </c>
      <c r="H42" s="184">
        <v>8.0399999999999999E-2</v>
      </c>
      <c r="I42" s="184">
        <v>8.0699999999999994E-2</v>
      </c>
      <c r="J42" s="184">
        <v>8.1000000000000003E-2</v>
      </c>
      <c r="K42" s="184">
        <v>8.1199999999999994E-2</v>
      </c>
      <c r="L42" s="184">
        <v>8.1100000000000005E-2</v>
      </c>
      <c r="M42" s="184">
        <v>8.1100000000000005E-2</v>
      </c>
      <c r="N42" s="98">
        <v>8.1000000000000003E-2</v>
      </c>
      <c r="O42" s="98">
        <v>8.1199999999999994E-2</v>
      </c>
      <c r="P42" s="98">
        <v>8.1100000000000005E-2</v>
      </c>
      <c r="Q42" s="98">
        <v>8.1199999999999994E-2</v>
      </c>
      <c r="R42" s="98">
        <v>8.14E-2</v>
      </c>
      <c r="S42" s="98">
        <v>8.14E-2</v>
      </c>
      <c r="T42" s="98">
        <v>8.1699999999999995E-2</v>
      </c>
      <c r="U42" s="98">
        <v>8.2000000000000003E-2</v>
      </c>
      <c r="V42" s="98">
        <v>8.1900000000000001E-2</v>
      </c>
      <c r="W42" s="98">
        <v>8.2100000000000006E-2</v>
      </c>
      <c r="X42" s="98">
        <v>8.2699999999999996E-2</v>
      </c>
      <c r="Y42" s="98">
        <v>8.3500000000000005E-2</v>
      </c>
      <c r="Z42" s="98">
        <v>8.2900000000000001E-2</v>
      </c>
      <c r="AA42" s="98">
        <v>8.3099999999999993E-2</v>
      </c>
      <c r="AB42" s="98">
        <v>8.4000000000000005E-2</v>
      </c>
      <c r="AC42" s="98">
        <v>8.6599999999999996E-2</v>
      </c>
      <c r="AD42" s="98">
        <v>8.8800000000000004E-2</v>
      </c>
      <c r="AE42" s="98">
        <v>9.0300000000000005E-2</v>
      </c>
      <c r="AF42" s="98">
        <v>8.9800000000000005E-2</v>
      </c>
      <c r="AG42" s="98">
        <v>8.9499999999999996E-2</v>
      </c>
      <c r="AH42" s="98">
        <v>8.1000000000000003E-2</v>
      </c>
    </row>
    <row r="43" spans="2:34">
      <c r="B43" t="s">
        <v>421</v>
      </c>
      <c r="C43" t="s">
        <v>18901</v>
      </c>
      <c r="D43" s="184">
        <v>0.12107126441874588</v>
      </c>
      <c r="E43" s="184"/>
      <c r="F43" s="184">
        <v>0.11899999999999999</v>
      </c>
      <c r="G43" s="184">
        <v>0.11799999999999999</v>
      </c>
      <c r="H43" s="184">
        <v>0.1174</v>
      </c>
      <c r="I43" s="184">
        <v>0.1168</v>
      </c>
      <c r="J43" s="184">
        <v>0.11600000000000001</v>
      </c>
      <c r="K43" s="184">
        <v>0.11509999999999999</v>
      </c>
      <c r="L43" s="184">
        <v>0.114</v>
      </c>
      <c r="M43" s="184">
        <v>0.113</v>
      </c>
      <c r="N43" s="98">
        <v>0.1118</v>
      </c>
      <c r="O43" s="98">
        <v>0.11070000000000001</v>
      </c>
      <c r="P43" s="98">
        <v>0.1096</v>
      </c>
      <c r="Q43" s="98">
        <v>0.1085</v>
      </c>
      <c r="R43" s="98">
        <v>0.1071</v>
      </c>
      <c r="S43" s="98">
        <v>0.106</v>
      </c>
      <c r="T43" s="98">
        <v>0.1047</v>
      </c>
      <c r="U43" s="98">
        <v>0.10349999999999999</v>
      </c>
      <c r="V43" s="98">
        <v>0.1022</v>
      </c>
      <c r="W43" s="98">
        <v>0.1009</v>
      </c>
      <c r="X43" s="98">
        <v>9.9599999999999994E-2</v>
      </c>
      <c r="Y43" s="98">
        <v>9.8299999999999998E-2</v>
      </c>
      <c r="Z43" s="98">
        <v>9.7000000000000003E-2</v>
      </c>
      <c r="AA43" s="98">
        <v>9.5799999999999996E-2</v>
      </c>
      <c r="AB43" s="98">
        <v>9.4600000000000004E-2</v>
      </c>
      <c r="AC43" s="98">
        <v>9.3399999999999997E-2</v>
      </c>
      <c r="AD43" s="98">
        <v>9.2299999999999993E-2</v>
      </c>
      <c r="AE43" s="98">
        <v>9.1200000000000003E-2</v>
      </c>
      <c r="AF43" s="98">
        <v>9.0200000000000002E-2</v>
      </c>
      <c r="AG43" s="98">
        <v>8.9200000000000002E-2</v>
      </c>
      <c r="AH43" s="98">
        <v>0.1055</v>
      </c>
    </row>
    <row r="44" spans="2:34">
      <c r="C44" t="s">
        <v>18902</v>
      </c>
      <c r="D44" s="184" t="e">
        <v>#DIV/0!</v>
      </c>
      <c r="E44" s="184"/>
      <c r="F44" s="184">
        <v>0.1149</v>
      </c>
      <c r="G44" s="184">
        <v>0.1148</v>
      </c>
      <c r="H44" s="184">
        <v>0.1144</v>
      </c>
      <c r="I44" s="184">
        <v>0.1138</v>
      </c>
      <c r="J44" s="184">
        <v>0.11310000000000001</v>
      </c>
      <c r="K44" s="184">
        <v>0.11219999999999999</v>
      </c>
      <c r="L44" s="184">
        <v>0.11119999999999999</v>
      </c>
      <c r="M44" s="184">
        <v>0.11020000000000001</v>
      </c>
      <c r="N44" s="98">
        <v>0.1091</v>
      </c>
      <c r="O44" s="98">
        <v>0.108</v>
      </c>
      <c r="P44" s="98">
        <v>0.107</v>
      </c>
      <c r="Q44" s="98">
        <v>0.10589999999999999</v>
      </c>
      <c r="R44" s="98">
        <v>0.1047</v>
      </c>
      <c r="S44" s="98">
        <v>0.1037</v>
      </c>
      <c r="T44" s="98">
        <v>0.1026</v>
      </c>
      <c r="U44" s="98">
        <v>0.10150000000000001</v>
      </c>
      <c r="V44" s="98">
        <v>0.1003</v>
      </c>
      <c r="W44" s="98">
        <v>9.9199999999999997E-2</v>
      </c>
      <c r="X44" s="98">
        <v>9.8000000000000004E-2</v>
      </c>
      <c r="Y44" s="98">
        <v>9.69E-2</v>
      </c>
      <c r="Z44" s="98">
        <v>9.5699999999999993E-2</v>
      </c>
      <c r="AA44" s="98">
        <v>9.4600000000000004E-2</v>
      </c>
      <c r="AB44" s="98">
        <v>9.3600000000000003E-2</v>
      </c>
      <c r="AC44" s="98">
        <v>9.2600000000000002E-2</v>
      </c>
      <c r="AD44" s="98">
        <v>9.1600000000000001E-2</v>
      </c>
      <c r="AE44" s="98">
        <v>9.0700000000000003E-2</v>
      </c>
      <c r="AF44" s="98">
        <v>8.9800000000000005E-2</v>
      </c>
      <c r="AG44" s="98">
        <v>8.8900000000000007E-2</v>
      </c>
      <c r="AH44" s="98">
        <v>0.1023</v>
      </c>
    </row>
    <row r="45" spans="2:34">
      <c r="C45" t="s">
        <v>18903</v>
      </c>
      <c r="D45" s="184">
        <v>0.12107126441874588</v>
      </c>
      <c r="E45" s="184"/>
      <c r="F45" s="184">
        <v>0.12620000000000001</v>
      </c>
      <c r="G45" s="184">
        <v>0.12429999999999999</v>
      </c>
      <c r="H45" s="184">
        <v>0.12429999999999999</v>
      </c>
      <c r="I45" s="184">
        <v>0.12429999999999999</v>
      </c>
      <c r="J45" s="184">
        <v>0.12429999999999999</v>
      </c>
      <c r="K45" s="184">
        <v>0.1242</v>
      </c>
      <c r="L45" s="184">
        <v>0.1241</v>
      </c>
      <c r="M45" s="184">
        <v>0.1241</v>
      </c>
      <c r="N45" s="98">
        <v>0.12429999999999999</v>
      </c>
      <c r="O45" s="98">
        <v>0.12470000000000001</v>
      </c>
      <c r="P45" s="98">
        <v>0.12520000000000001</v>
      </c>
      <c r="Q45" s="98">
        <v>0.12609999999999999</v>
      </c>
      <c r="R45" s="98">
        <v>0.12690000000000001</v>
      </c>
      <c r="S45" s="98">
        <v>0.1275</v>
      </c>
      <c r="T45" s="98">
        <v>0.12820000000000001</v>
      </c>
      <c r="U45" s="98">
        <v>0.129</v>
      </c>
      <c r="V45" s="98">
        <v>0.12989999999999999</v>
      </c>
      <c r="W45" s="98">
        <v>0.13150000000000001</v>
      </c>
      <c r="X45" s="98">
        <v>0.13300000000000001</v>
      </c>
      <c r="Y45" s="98">
        <v>0.1343</v>
      </c>
      <c r="Z45" s="98">
        <v>0.13469999999999999</v>
      </c>
      <c r="AA45" s="98">
        <v>0.13739999999999999</v>
      </c>
      <c r="AB45" s="98">
        <v>0.13969999999999999</v>
      </c>
      <c r="AC45" s="98">
        <v>0.1419</v>
      </c>
      <c r="AD45" s="98">
        <v>0.1434</v>
      </c>
      <c r="AE45" s="98">
        <v>0.1479</v>
      </c>
      <c r="AF45" s="98">
        <v>0.1515</v>
      </c>
      <c r="AG45" s="98">
        <v>0.1583</v>
      </c>
      <c r="AH45" s="98">
        <v>0.1258</v>
      </c>
    </row>
    <row r="46" spans="2:34">
      <c r="B46" t="s">
        <v>422</v>
      </c>
      <c r="C46" t="s">
        <v>18901</v>
      </c>
      <c r="D46" s="184">
        <v>0.23696520269970447</v>
      </c>
      <c r="E46" s="184"/>
      <c r="F46" s="184">
        <v>0.21</v>
      </c>
      <c r="G46" s="184">
        <v>0.21249999999999999</v>
      </c>
      <c r="H46" s="184">
        <v>0.21490000000000001</v>
      </c>
      <c r="I46" s="184">
        <v>0.2175</v>
      </c>
      <c r="J46" s="184">
        <v>0.2198</v>
      </c>
      <c r="K46" s="184">
        <v>0.22220000000000001</v>
      </c>
      <c r="L46" s="184">
        <v>0.2248</v>
      </c>
      <c r="M46" s="184">
        <v>0.22739999999999999</v>
      </c>
      <c r="N46" s="98">
        <v>0.23019999999999999</v>
      </c>
      <c r="O46" s="98">
        <v>0.2329</v>
      </c>
      <c r="P46" s="98">
        <v>0.23569999999999999</v>
      </c>
      <c r="Q46" s="98">
        <v>0.2384</v>
      </c>
      <c r="R46" s="98">
        <v>0.24110000000000001</v>
      </c>
      <c r="S46" s="98">
        <v>0.24390000000000001</v>
      </c>
      <c r="T46" s="98">
        <v>0.24640000000000001</v>
      </c>
      <c r="U46" s="98">
        <v>0.24879999999999999</v>
      </c>
      <c r="V46" s="98">
        <v>0.251</v>
      </c>
      <c r="W46" s="98">
        <v>0.253</v>
      </c>
      <c r="X46" s="98">
        <v>0.25490000000000002</v>
      </c>
      <c r="Y46" s="98">
        <v>0.25659999999999999</v>
      </c>
      <c r="Z46" s="98">
        <v>0.25800000000000001</v>
      </c>
      <c r="AA46" s="98">
        <v>0.2596</v>
      </c>
      <c r="AB46" s="98">
        <v>0.26090000000000002</v>
      </c>
      <c r="AC46" s="98">
        <v>0.26219999999999999</v>
      </c>
      <c r="AD46" s="98">
        <v>0.26319999999999999</v>
      </c>
      <c r="AE46" s="98">
        <v>0.26419999999999999</v>
      </c>
      <c r="AF46" s="98">
        <v>0.26490000000000002</v>
      </c>
      <c r="AG46" s="98">
        <v>0.2656</v>
      </c>
      <c r="AH46" s="98">
        <v>0.2407</v>
      </c>
    </row>
    <row r="47" spans="2:34">
      <c r="C47" t="s">
        <v>18902</v>
      </c>
      <c r="D47" s="184" t="e">
        <v>#DIV/0!</v>
      </c>
      <c r="E47" s="184"/>
      <c r="F47" s="184">
        <v>0.24790000000000001</v>
      </c>
      <c r="G47" s="184">
        <v>0.24740000000000001</v>
      </c>
      <c r="H47" s="184">
        <v>0.2472</v>
      </c>
      <c r="I47" s="184">
        <v>0.24709999999999999</v>
      </c>
      <c r="J47" s="184">
        <v>0.24709999999999999</v>
      </c>
      <c r="K47" s="184">
        <v>0.24740000000000001</v>
      </c>
      <c r="L47" s="184">
        <v>0.24779999999999999</v>
      </c>
      <c r="M47" s="184">
        <v>0.24840000000000001</v>
      </c>
      <c r="N47" s="98">
        <v>0.2492</v>
      </c>
      <c r="O47" s="98">
        <v>0.25009999999999999</v>
      </c>
      <c r="P47" s="98">
        <v>0.25109999999999999</v>
      </c>
      <c r="Q47" s="98">
        <v>0.25209999999999999</v>
      </c>
      <c r="R47" s="98">
        <v>0.25309999999999999</v>
      </c>
      <c r="S47" s="98">
        <v>0.25459999999999999</v>
      </c>
      <c r="T47" s="98">
        <v>0.25580000000000003</v>
      </c>
      <c r="U47" s="98">
        <v>0.2571</v>
      </c>
      <c r="V47" s="98">
        <v>0.25819999999999999</v>
      </c>
      <c r="W47" s="98">
        <v>0.25929999999999997</v>
      </c>
      <c r="X47" s="98">
        <v>0.26019999999999999</v>
      </c>
      <c r="Y47" s="98">
        <v>0.2611</v>
      </c>
      <c r="Z47" s="98">
        <v>0.26200000000000001</v>
      </c>
      <c r="AA47" s="98">
        <v>0.26269999999999999</v>
      </c>
      <c r="AB47" s="98">
        <v>0.26340000000000002</v>
      </c>
      <c r="AC47" s="98">
        <v>0.2641</v>
      </c>
      <c r="AD47" s="98">
        <v>0.26469999999999999</v>
      </c>
      <c r="AE47" s="98">
        <v>0.26519999999999999</v>
      </c>
      <c r="AF47" s="98">
        <v>0.26569999999999999</v>
      </c>
      <c r="AG47" s="98">
        <v>0.2661</v>
      </c>
      <c r="AH47" s="98">
        <v>0.25600000000000001</v>
      </c>
    </row>
    <row r="48" spans="2:34">
      <c r="C48" t="s">
        <v>18903</v>
      </c>
      <c r="D48" s="184">
        <v>0.23696520269970447</v>
      </c>
      <c r="E48" s="184"/>
      <c r="F48" s="184">
        <v>0.14130000000000001</v>
      </c>
      <c r="G48" s="184">
        <v>0.14169999999999999</v>
      </c>
      <c r="H48" s="184">
        <v>0.1419</v>
      </c>
      <c r="I48" s="184">
        <v>0.1421</v>
      </c>
      <c r="J48" s="184">
        <v>0.14199999999999999</v>
      </c>
      <c r="K48" s="184">
        <v>0.1421</v>
      </c>
      <c r="L48" s="184">
        <v>0.14230000000000001</v>
      </c>
      <c r="M48" s="184">
        <v>0.14249999999999999</v>
      </c>
      <c r="N48" s="98">
        <v>0.14269999999999999</v>
      </c>
      <c r="O48" s="98">
        <v>0.14280000000000001</v>
      </c>
      <c r="P48" s="98">
        <v>0.14330000000000001</v>
      </c>
      <c r="Q48" s="98">
        <v>0.14410000000000001</v>
      </c>
      <c r="R48" s="98">
        <v>0.14460000000000001</v>
      </c>
      <c r="S48" s="98">
        <v>0.1449</v>
      </c>
      <c r="T48" s="98">
        <v>0.14530000000000001</v>
      </c>
      <c r="U48" s="98">
        <v>0.1454</v>
      </c>
      <c r="V48" s="98">
        <v>0.14530000000000001</v>
      </c>
      <c r="W48" s="98">
        <v>0.14530000000000001</v>
      </c>
      <c r="X48" s="98">
        <v>0.1459</v>
      </c>
      <c r="Y48" s="98">
        <v>0.14560000000000001</v>
      </c>
      <c r="Z48" s="98">
        <v>0.14549999999999999</v>
      </c>
      <c r="AA48" s="98">
        <v>0.1464</v>
      </c>
      <c r="AB48" s="98">
        <v>0.14699999999999999</v>
      </c>
      <c r="AC48" s="98">
        <v>0.14860000000000001</v>
      </c>
      <c r="AD48" s="98">
        <v>0.1515</v>
      </c>
      <c r="AE48" s="98">
        <v>0.1537</v>
      </c>
      <c r="AF48" s="98">
        <v>0.15340000000000001</v>
      </c>
      <c r="AG48" s="98">
        <v>0.15260000000000001</v>
      </c>
      <c r="AH48" s="98">
        <v>0.14280000000000001</v>
      </c>
    </row>
    <row r="49" spans="2:34">
      <c r="B49" t="s">
        <v>267</v>
      </c>
      <c r="C49" t="s">
        <v>18901</v>
      </c>
      <c r="D49" s="184">
        <v>2.3740949663668395E-2</v>
      </c>
      <c r="E49" s="184"/>
      <c r="F49" s="184">
        <v>3.2099999999999997E-2</v>
      </c>
      <c r="G49" s="184">
        <v>3.1399999999999997E-2</v>
      </c>
      <c r="H49" s="184">
        <v>3.0700000000000002E-2</v>
      </c>
      <c r="I49" s="184">
        <v>0.03</v>
      </c>
      <c r="J49" s="184">
        <v>2.93E-2</v>
      </c>
      <c r="K49" s="184">
        <v>2.8500000000000001E-2</v>
      </c>
      <c r="L49" s="184">
        <v>2.7699999999999999E-2</v>
      </c>
      <c r="M49" s="184">
        <v>2.7E-2</v>
      </c>
      <c r="N49" s="98">
        <v>2.6100000000000002E-2</v>
      </c>
      <c r="O49" s="98">
        <v>2.53E-2</v>
      </c>
      <c r="P49" s="98">
        <v>2.4500000000000001E-2</v>
      </c>
      <c r="Q49" s="98">
        <v>2.3699999999999999E-2</v>
      </c>
      <c r="R49" s="98">
        <v>2.29E-2</v>
      </c>
      <c r="S49" s="98">
        <v>2.2200000000000001E-2</v>
      </c>
      <c r="T49" s="98">
        <v>2.1399999999999999E-2</v>
      </c>
      <c r="U49" s="98">
        <v>2.0799999999999999E-2</v>
      </c>
      <c r="V49" s="98">
        <v>2.01E-2</v>
      </c>
      <c r="W49" s="98">
        <v>1.95E-2</v>
      </c>
      <c r="X49" s="98">
        <v>1.89E-2</v>
      </c>
      <c r="Y49" s="98">
        <v>1.83E-2</v>
      </c>
      <c r="Z49" s="98">
        <v>1.77E-2</v>
      </c>
      <c r="AA49" s="98">
        <v>1.72E-2</v>
      </c>
      <c r="AB49" s="98">
        <v>1.67E-2</v>
      </c>
      <c r="AC49" s="98">
        <v>1.6199999999999999E-2</v>
      </c>
      <c r="AD49" s="98">
        <v>1.5800000000000002E-2</v>
      </c>
      <c r="AE49" s="98">
        <v>1.55E-2</v>
      </c>
      <c r="AF49" s="98">
        <v>1.5100000000000001E-2</v>
      </c>
      <c r="AG49" s="98">
        <v>1.4800000000000001E-2</v>
      </c>
      <c r="AH49" s="98">
        <v>2.29E-2</v>
      </c>
    </row>
    <row r="50" spans="2:34">
      <c r="C50" t="s">
        <v>18902</v>
      </c>
      <c r="D50" s="184" t="e">
        <v>#DIV/0!</v>
      </c>
      <c r="E50" s="184"/>
      <c r="F50" s="184">
        <v>2.18E-2</v>
      </c>
      <c r="G50" s="184">
        <v>2.1899999999999999E-2</v>
      </c>
      <c r="H50" s="184">
        <v>2.18E-2</v>
      </c>
      <c r="I50" s="184">
        <v>2.1700000000000001E-2</v>
      </c>
      <c r="J50" s="184">
        <v>2.1600000000000001E-2</v>
      </c>
      <c r="K50" s="184">
        <v>2.1399999999999999E-2</v>
      </c>
      <c r="L50" s="184">
        <v>2.1100000000000001E-2</v>
      </c>
      <c r="M50" s="184">
        <v>2.0899999999999998E-2</v>
      </c>
      <c r="N50" s="98">
        <v>2.06E-2</v>
      </c>
      <c r="O50" s="98">
        <v>2.0299999999999999E-2</v>
      </c>
      <c r="P50" s="98">
        <v>1.9900000000000001E-2</v>
      </c>
      <c r="Q50" s="98">
        <v>1.9599999999999999E-2</v>
      </c>
      <c r="R50" s="98">
        <v>1.9199999999999998E-2</v>
      </c>
      <c r="S50" s="98">
        <v>1.89E-2</v>
      </c>
      <c r="T50" s="98">
        <v>1.8499999999999999E-2</v>
      </c>
      <c r="U50" s="98">
        <v>1.83E-2</v>
      </c>
      <c r="V50" s="98">
        <v>1.7899999999999999E-2</v>
      </c>
      <c r="W50" s="98">
        <v>1.7600000000000001E-2</v>
      </c>
      <c r="X50" s="98">
        <v>1.72E-2</v>
      </c>
      <c r="Y50" s="98">
        <v>1.6899999999999998E-2</v>
      </c>
      <c r="Z50" s="98">
        <v>1.6500000000000001E-2</v>
      </c>
      <c r="AA50" s="98">
        <v>1.6199999999999999E-2</v>
      </c>
      <c r="AB50" s="98">
        <v>1.5900000000000001E-2</v>
      </c>
      <c r="AC50" s="98">
        <v>1.5599999999999999E-2</v>
      </c>
      <c r="AD50" s="98">
        <v>1.54E-2</v>
      </c>
      <c r="AE50" s="98">
        <v>1.5100000000000001E-2</v>
      </c>
      <c r="AF50" s="98">
        <v>1.49E-2</v>
      </c>
      <c r="AG50" s="98">
        <v>1.47E-2</v>
      </c>
      <c r="AH50" s="98">
        <v>1.8499999999999999E-2</v>
      </c>
    </row>
    <row r="51" spans="2:34">
      <c r="C51" t="s">
        <v>18903</v>
      </c>
      <c r="D51" s="184">
        <v>2.3740949663668395E-2</v>
      </c>
      <c r="E51" s="184"/>
      <c r="F51" s="184">
        <v>5.0700000000000002E-2</v>
      </c>
      <c r="G51" s="184">
        <v>5.0900000000000001E-2</v>
      </c>
      <c r="H51" s="184">
        <v>5.0999999999999997E-2</v>
      </c>
      <c r="I51" s="184">
        <v>5.11E-2</v>
      </c>
      <c r="J51" s="184">
        <v>5.1200000000000002E-2</v>
      </c>
      <c r="K51" s="184">
        <v>5.1200000000000002E-2</v>
      </c>
      <c r="L51" s="184">
        <v>5.1299999999999998E-2</v>
      </c>
      <c r="M51" s="184">
        <v>5.1400000000000001E-2</v>
      </c>
      <c r="N51" s="98">
        <v>5.16E-2</v>
      </c>
      <c r="O51" s="98">
        <v>5.1700000000000003E-2</v>
      </c>
      <c r="P51" s="98">
        <v>5.1799999999999999E-2</v>
      </c>
      <c r="Q51" s="98">
        <v>5.2299999999999999E-2</v>
      </c>
      <c r="R51" s="98">
        <v>5.2600000000000001E-2</v>
      </c>
      <c r="S51" s="98">
        <v>5.2699999999999997E-2</v>
      </c>
      <c r="T51" s="98">
        <v>5.2699999999999997E-2</v>
      </c>
      <c r="U51" s="98">
        <v>5.28E-2</v>
      </c>
      <c r="V51" s="98">
        <v>5.28E-2</v>
      </c>
      <c r="W51" s="98">
        <v>5.28E-2</v>
      </c>
      <c r="X51" s="98">
        <v>5.2600000000000001E-2</v>
      </c>
      <c r="Y51" s="98">
        <v>5.1999999999999998E-2</v>
      </c>
      <c r="Z51" s="98">
        <v>5.1999999999999998E-2</v>
      </c>
      <c r="AA51" s="98">
        <v>5.11E-2</v>
      </c>
      <c r="AB51" s="98">
        <v>5.04E-2</v>
      </c>
      <c r="AC51" s="98">
        <v>5.0799999999999998E-2</v>
      </c>
      <c r="AD51" s="98">
        <v>5.0799999999999998E-2</v>
      </c>
      <c r="AE51" s="98">
        <v>4.99E-2</v>
      </c>
      <c r="AF51" s="98">
        <v>4.8899999999999999E-2</v>
      </c>
      <c r="AG51" s="98">
        <v>4.6899999999999997E-2</v>
      </c>
      <c r="AH51" s="98">
        <v>5.1400000000000001E-2</v>
      </c>
    </row>
    <row r="52" spans="2:34">
      <c r="B52" t="s">
        <v>268</v>
      </c>
      <c r="C52" t="s">
        <v>18901</v>
      </c>
      <c r="D52" s="184">
        <v>0.25646842964073546</v>
      </c>
      <c r="E52" s="184"/>
      <c r="F52" s="184">
        <v>0.26590000000000003</v>
      </c>
      <c r="G52" s="184">
        <v>0.26750000000000002</v>
      </c>
      <c r="H52" s="184">
        <v>0.26879999999999998</v>
      </c>
      <c r="I52" s="184">
        <v>0.27010000000000001</v>
      </c>
      <c r="J52" s="184">
        <v>0.27139999999999997</v>
      </c>
      <c r="K52" s="184">
        <v>0.27239999999999998</v>
      </c>
      <c r="L52" s="184">
        <v>0.27289999999999998</v>
      </c>
      <c r="M52" s="184">
        <v>0.27350000000000002</v>
      </c>
      <c r="N52" s="98">
        <v>0.27400000000000002</v>
      </c>
      <c r="O52" s="98">
        <v>0.27410000000000001</v>
      </c>
      <c r="P52" s="98">
        <v>0.2742</v>
      </c>
      <c r="Q52" s="98">
        <v>0.27379999999999999</v>
      </c>
      <c r="R52" s="98">
        <v>0.27360000000000001</v>
      </c>
      <c r="S52" s="98">
        <v>0.27239999999999998</v>
      </c>
      <c r="T52" s="98">
        <v>0.27150000000000002</v>
      </c>
      <c r="U52" s="98">
        <v>0.27010000000000001</v>
      </c>
      <c r="V52" s="98">
        <v>0.26919999999999999</v>
      </c>
      <c r="W52" s="98">
        <v>0.26829999999999998</v>
      </c>
      <c r="X52" s="98">
        <v>0.26750000000000002</v>
      </c>
      <c r="Y52" s="98">
        <v>0.26679999999999998</v>
      </c>
      <c r="Z52" s="98">
        <v>0.2661</v>
      </c>
      <c r="AA52" s="98">
        <v>0.26550000000000001</v>
      </c>
      <c r="AB52" s="98">
        <v>0.26479999999999998</v>
      </c>
      <c r="AC52" s="98">
        <v>0.26419999999999999</v>
      </c>
      <c r="AD52" s="98">
        <v>0.2636</v>
      </c>
      <c r="AE52" s="98">
        <v>0.2631</v>
      </c>
      <c r="AF52" s="98">
        <v>0.26279999999999998</v>
      </c>
      <c r="AG52" s="98">
        <v>0.26240000000000002</v>
      </c>
      <c r="AH52" s="98">
        <v>0.26889999999999997</v>
      </c>
    </row>
    <row r="53" spans="2:34">
      <c r="C53" t="s">
        <v>18902</v>
      </c>
      <c r="D53" s="184" t="e">
        <v>#DIV/0!</v>
      </c>
      <c r="E53" s="184"/>
      <c r="F53" s="184">
        <v>0.27489999999999998</v>
      </c>
      <c r="G53" s="184">
        <v>0.27650000000000002</v>
      </c>
      <c r="H53" s="184">
        <v>0.27779999999999999</v>
      </c>
      <c r="I53" s="184">
        <v>0.27889999999999998</v>
      </c>
      <c r="J53" s="184">
        <v>0.27989999999999998</v>
      </c>
      <c r="K53" s="184">
        <v>0.28029999999999999</v>
      </c>
      <c r="L53" s="184">
        <v>0.28029999999999999</v>
      </c>
      <c r="M53" s="184">
        <v>0.2802</v>
      </c>
      <c r="N53" s="98">
        <v>0.28000000000000003</v>
      </c>
      <c r="O53" s="98">
        <v>0.27950000000000003</v>
      </c>
      <c r="P53" s="98">
        <v>0.27889999999999998</v>
      </c>
      <c r="Q53" s="98">
        <v>0.27810000000000001</v>
      </c>
      <c r="R53" s="98">
        <v>0.27729999999999999</v>
      </c>
      <c r="S53" s="98">
        <v>0.27550000000000002</v>
      </c>
      <c r="T53" s="98">
        <v>0.27400000000000002</v>
      </c>
      <c r="U53" s="98">
        <v>0.27200000000000002</v>
      </c>
      <c r="V53" s="98">
        <v>0.2707</v>
      </c>
      <c r="W53" s="98">
        <v>0.26960000000000001</v>
      </c>
      <c r="X53" s="98">
        <v>0.26850000000000002</v>
      </c>
      <c r="Y53" s="98">
        <v>0.2676</v>
      </c>
      <c r="Z53" s="98">
        <v>0.26669999999999999</v>
      </c>
      <c r="AA53" s="98">
        <v>0.26600000000000001</v>
      </c>
      <c r="AB53" s="98">
        <v>0.26519999999999999</v>
      </c>
      <c r="AC53" s="98">
        <v>0.2646</v>
      </c>
      <c r="AD53" s="98">
        <v>0.26400000000000001</v>
      </c>
      <c r="AE53" s="98">
        <v>0.26350000000000001</v>
      </c>
      <c r="AF53" s="98">
        <v>0.26300000000000001</v>
      </c>
      <c r="AG53" s="98">
        <v>0.26269999999999999</v>
      </c>
      <c r="AH53" s="98">
        <v>0.27229999999999999</v>
      </c>
    </row>
    <row r="54" spans="2:34">
      <c r="C54" t="s">
        <v>18903</v>
      </c>
      <c r="D54" s="184">
        <v>0.25646842964073546</v>
      </c>
      <c r="E54" s="184"/>
      <c r="F54" s="184">
        <v>0.24970000000000001</v>
      </c>
      <c r="G54" s="184">
        <v>0.2492</v>
      </c>
      <c r="H54" s="184">
        <v>0.24859999999999999</v>
      </c>
      <c r="I54" s="184">
        <v>0.24790000000000001</v>
      </c>
      <c r="J54" s="184">
        <v>0.24729999999999999</v>
      </c>
      <c r="K54" s="184">
        <v>0.2472</v>
      </c>
      <c r="L54" s="184">
        <v>0.2465</v>
      </c>
      <c r="M54" s="184">
        <v>0.24640000000000001</v>
      </c>
      <c r="N54" s="98">
        <v>0.24640000000000001</v>
      </c>
      <c r="O54" s="98">
        <v>0.246</v>
      </c>
      <c r="P54" s="98">
        <v>0.24590000000000001</v>
      </c>
      <c r="Q54" s="98">
        <v>0.24399999999999999</v>
      </c>
      <c r="R54" s="98">
        <v>0.2432</v>
      </c>
      <c r="S54" s="98">
        <v>0.24299999999999999</v>
      </c>
      <c r="T54" s="98">
        <v>0.2447</v>
      </c>
      <c r="U54" s="98">
        <v>0.2465</v>
      </c>
      <c r="V54" s="98">
        <v>0.2472</v>
      </c>
      <c r="W54" s="98">
        <v>0.24729999999999999</v>
      </c>
      <c r="X54" s="98">
        <v>0.24729999999999999</v>
      </c>
      <c r="Y54" s="98">
        <v>0.24829999999999999</v>
      </c>
      <c r="Z54" s="98">
        <v>0.24859999999999999</v>
      </c>
      <c r="AA54" s="98">
        <v>0.24790000000000001</v>
      </c>
      <c r="AB54" s="98">
        <v>0.24399999999999999</v>
      </c>
      <c r="AC54" s="98">
        <v>0.2384</v>
      </c>
      <c r="AD54" s="98">
        <v>0.23230000000000001</v>
      </c>
      <c r="AE54" s="98">
        <v>0.22409999999999999</v>
      </c>
      <c r="AF54" s="98">
        <v>0.2238</v>
      </c>
      <c r="AG54" s="98">
        <v>0.21820000000000001</v>
      </c>
      <c r="AH54" s="98">
        <v>0.24709999999999999</v>
      </c>
    </row>
    <row r="55" spans="2:34">
      <c r="B55" t="s">
        <v>423</v>
      </c>
      <c r="C55" t="s">
        <v>18901</v>
      </c>
      <c r="D55" s="98">
        <v>1</v>
      </c>
      <c r="E55" s="98"/>
      <c r="F55" s="98">
        <f t="shared" ref="F55:AH55" si="0">F7+F10+F13+F16+F19+F22+F25+F28+F31+F34+F37+F40+F43+F46+F49+F52</f>
        <v>1</v>
      </c>
      <c r="G55" s="98">
        <f t="shared" si="0"/>
        <v>0.99990000000000001</v>
      </c>
      <c r="H55" s="98">
        <f t="shared" si="0"/>
        <v>1</v>
      </c>
      <c r="I55" s="98">
        <f t="shared" si="0"/>
        <v>1.0001</v>
      </c>
      <c r="J55" s="98">
        <f t="shared" si="0"/>
        <v>1.0001</v>
      </c>
      <c r="K55" s="98">
        <f t="shared" si="0"/>
        <v>0.99990000000000001</v>
      </c>
      <c r="L55" s="98">
        <f t="shared" si="0"/>
        <v>0.99990000000000001</v>
      </c>
      <c r="M55" s="98">
        <f t="shared" si="0"/>
        <v>1.0002</v>
      </c>
      <c r="N55" s="98">
        <f t="shared" si="0"/>
        <v>1.0001000000000002</v>
      </c>
      <c r="O55" s="98">
        <f t="shared" si="0"/>
        <v>0.9998999999999999</v>
      </c>
      <c r="P55" s="98">
        <f t="shared" si="0"/>
        <v>1.0001</v>
      </c>
      <c r="Q55" s="98">
        <f t="shared" si="0"/>
        <v>0.99990000000000001</v>
      </c>
      <c r="R55" s="98">
        <f t="shared" si="0"/>
        <v>0.99990000000000001</v>
      </c>
      <c r="S55" s="98">
        <f t="shared" si="0"/>
        <v>1.0001</v>
      </c>
      <c r="T55" s="98">
        <f t="shared" si="0"/>
        <v>0.99980000000000002</v>
      </c>
      <c r="U55" s="98">
        <f t="shared" si="0"/>
        <v>0.99980000000000002</v>
      </c>
      <c r="V55" s="98">
        <f t="shared" si="0"/>
        <v>1.0002</v>
      </c>
      <c r="W55" s="98">
        <f t="shared" si="0"/>
        <v>0.99979999999999991</v>
      </c>
      <c r="X55" s="98">
        <f t="shared" si="0"/>
        <v>0.99990000000000001</v>
      </c>
      <c r="Y55" s="98">
        <f t="shared" si="0"/>
        <v>1</v>
      </c>
      <c r="Z55" s="98">
        <f t="shared" si="0"/>
        <v>0.99980000000000013</v>
      </c>
      <c r="AA55" s="98">
        <f t="shared" si="0"/>
        <v>1.0002</v>
      </c>
      <c r="AB55" s="98">
        <f t="shared" si="0"/>
        <v>1</v>
      </c>
      <c r="AC55" s="98">
        <f t="shared" si="0"/>
        <v>0.99990000000000001</v>
      </c>
      <c r="AD55" s="98">
        <f t="shared" si="0"/>
        <v>0.99990000000000001</v>
      </c>
      <c r="AE55" s="98">
        <f t="shared" si="0"/>
        <v>1</v>
      </c>
      <c r="AF55" s="98">
        <f t="shared" si="0"/>
        <v>1.0001</v>
      </c>
      <c r="AG55" s="98">
        <f t="shared" si="0"/>
        <v>1</v>
      </c>
      <c r="AH55" s="98">
        <f t="shared" si="0"/>
        <v>0.99990000000000001</v>
      </c>
    </row>
    <row r="56" spans="2:34">
      <c r="C56" t="s">
        <v>18902</v>
      </c>
      <c r="D56" s="98" t="e">
        <v>#DIV/0!</v>
      </c>
      <c r="E56" s="98"/>
      <c r="F56" s="98">
        <f t="shared" ref="F56:AH56" si="1">F8+F11+F14+F17+F20+F23+F26+F29+F32+F35+F38+F41+F44+F47+F50+F53</f>
        <v>0.9907999999999999</v>
      </c>
      <c r="G56" s="98">
        <f t="shared" si="1"/>
        <v>0.99019999999999997</v>
      </c>
      <c r="H56" s="98">
        <f t="shared" si="1"/>
        <v>0.98980000000000001</v>
      </c>
      <c r="I56" s="98">
        <f t="shared" si="1"/>
        <v>0.98920000000000008</v>
      </c>
      <c r="J56" s="98">
        <f t="shared" si="1"/>
        <v>0.98869999999999991</v>
      </c>
      <c r="K56" s="98">
        <f t="shared" si="1"/>
        <v>0.98820000000000008</v>
      </c>
      <c r="L56" s="98">
        <f t="shared" si="1"/>
        <v>0.98770000000000002</v>
      </c>
      <c r="M56" s="98">
        <f t="shared" si="1"/>
        <v>0.98750000000000016</v>
      </c>
      <c r="N56" s="98">
        <f t="shared" si="1"/>
        <v>0.98719999999999997</v>
      </c>
      <c r="O56" s="98">
        <f t="shared" si="1"/>
        <v>0.98690000000000011</v>
      </c>
      <c r="P56" s="98">
        <f t="shared" si="1"/>
        <v>0.98649999999999993</v>
      </c>
      <c r="Q56" s="98">
        <f t="shared" si="1"/>
        <v>0.98619999999999997</v>
      </c>
      <c r="R56" s="98">
        <f t="shared" si="1"/>
        <v>0.98599999999999999</v>
      </c>
      <c r="S56" s="98">
        <f t="shared" si="1"/>
        <v>0.98599999999999999</v>
      </c>
      <c r="T56" s="98">
        <f t="shared" si="1"/>
        <v>0.9859</v>
      </c>
      <c r="U56" s="98">
        <f t="shared" si="1"/>
        <v>0.9859</v>
      </c>
      <c r="V56" s="98">
        <f t="shared" si="1"/>
        <v>0.98550000000000004</v>
      </c>
      <c r="W56" s="98">
        <f t="shared" si="1"/>
        <v>0.9859</v>
      </c>
      <c r="X56" s="98">
        <f t="shared" si="1"/>
        <v>0.98570000000000002</v>
      </c>
      <c r="Y56" s="98">
        <f t="shared" si="1"/>
        <v>0.98580000000000001</v>
      </c>
      <c r="Z56" s="98">
        <f t="shared" si="1"/>
        <v>0.98570000000000002</v>
      </c>
      <c r="AA56" s="98">
        <f t="shared" si="1"/>
        <v>0.9859</v>
      </c>
      <c r="AB56" s="98">
        <f t="shared" si="1"/>
        <v>0.98580000000000012</v>
      </c>
      <c r="AC56" s="98">
        <f t="shared" si="1"/>
        <v>0.98599999999999999</v>
      </c>
      <c r="AD56" s="98">
        <f t="shared" si="1"/>
        <v>0.98610000000000009</v>
      </c>
      <c r="AE56" s="98">
        <f t="shared" si="1"/>
        <v>0.98619999999999997</v>
      </c>
      <c r="AF56" s="98">
        <f t="shared" si="1"/>
        <v>0.98639999999999994</v>
      </c>
      <c r="AG56" s="98">
        <f t="shared" si="1"/>
        <v>0.98649999999999993</v>
      </c>
      <c r="AH56" s="98">
        <f t="shared" si="1"/>
        <v>0.98709999999999987</v>
      </c>
    </row>
    <row r="57" spans="2:34">
      <c r="C57" t="s">
        <v>18903</v>
      </c>
      <c r="D57" s="98">
        <v>1</v>
      </c>
      <c r="E57" s="98"/>
      <c r="F57" s="98">
        <f t="shared" ref="F57:AH57" si="2">F9+F12+F15+F18+F21+F24+F27+F30+F33+F36+F39+F42+F45+F48+F51+F54</f>
        <v>0.98660000000000003</v>
      </c>
      <c r="G57" s="98">
        <f t="shared" si="2"/>
        <v>0.98679999999999979</v>
      </c>
      <c r="H57" s="98">
        <f t="shared" si="2"/>
        <v>0.98750000000000004</v>
      </c>
      <c r="I57" s="98">
        <f t="shared" si="2"/>
        <v>0.98790000000000011</v>
      </c>
      <c r="J57" s="98">
        <f t="shared" si="2"/>
        <v>0.98829999999999996</v>
      </c>
      <c r="K57" s="98">
        <f t="shared" si="2"/>
        <v>0.98880000000000001</v>
      </c>
      <c r="L57" s="98">
        <f t="shared" si="2"/>
        <v>0.98910000000000009</v>
      </c>
      <c r="M57" s="98">
        <f t="shared" si="2"/>
        <v>0.98920000000000008</v>
      </c>
      <c r="N57" s="98">
        <f t="shared" si="2"/>
        <v>0.98920000000000008</v>
      </c>
      <c r="O57" s="98">
        <f t="shared" si="2"/>
        <v>0.98980000000000001</v>
      </c>
      <c r="P57" s="98">
        <f t="shared" si="2"/>
        <v>0.9899</v>
      </c>
      <c r="Q57" s="98">
        <f t="shared" si="2"/>
        <v>0.99030000000000007</v>
      </c>
      <c r="R57" s="98">
        <f t="shared" si="2"/>
        <v>0.99030000000000007</v>
      </c>
      <c r="S57" s="98">
        <f t="shared" si="2"/>
        <v>0.99050000000000005</v>
      </c>
      <c r="T57" s="98">
        <f t="shared" si="2"/>
        <v>0.99060000000000004</v>
      </c>
      <c r="U57" s="98">
        <f t="shared" si="2"/>
        <v>0.99089999999999989</v>
      </c>
      <c r="V57" s="98">
        <f t="shared" si="2"/>
        <v>0.9907999999999999</v>
      </c>
      <c r="W57" s="98">
        <f t="shared" si="2"/>
        <v>0.9907999999999999</v>
      </c>
      <c r="X57" s="98">
        <f t="shared" si="2"/>
        <v>0.9909</v>
      </c>
      <c r="Y57" s="98">
        <f t="shared" si="2"/>
        <v>0.99069999999999991</v>
      </c>
      <c r="Z57" s="98">
        <f t="shared" si="2"/>
        <v>0.99069999999999991</v>
      </c>
      <c r="AA57" s="98">
        <f t="shared" si="2"/>
        <v>0.99070000000000003</v>
      </c>
      <c r="AB57" s="98">
        <f t="shared" si="2"/>
        <v>0.99039999999999995</v>
      </c>
      <c r="AC57" s="98">
        <f t="shared" si="2"/>
        <v>0.9907999999999999</v>
      </c>
      <c r="AD57" s="98">
        <f t="shared" si="2"/>
        <v>0.99159999999999981</v>
      </c>
      <c r="AE57" s="98">
        <f t="shared" si="2"/>
        <v>0.99170000000000003</v>
      </c>
      <c r="AF57" s="98">
        <f t="shared" si="2"/>
        <v>0.9919</v>
      </c>
      <c r="AG57" s="98">
        <f t="shared" si="2"/>
        <v>0.99099999999999988</v>
      </c>
      <c r="AH57" s="98">
        <f t="shared" si="2"/>
        <v>0.98930000000000007</v>
      </c>
    </row>
  </sheetData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>
    <tabColor rgb="FFFFC000"/>
    <pageSetUpPr fitToPage="1"/>
  </sheetPr>
  <dimension ref="A1:Z108"/>
  <sheetViews>
    <sheetView topLeftCell="A40" zoomScale="90" zoomScaleNormal="90" workbookViewId="0">
      <selection activeCell="D74" sqref="D74"/>
    </sheetView>
  </sheetViews>
  <sheetFormatPr defaultRowHeight="15" outlineLevelRow="2"/>
  <cols>
    <col min="1" max="1" width="59.7109375" customWidth="1"/>
  </cols>
  <sheetData>
    <row r="1" spans="1:26">
      <c r="A1" s="2" t="s">
        <v>18905</v>
      </c>
    </row>
    <row r="2" spans="1:26">
      <c r="A2" s="2"/>
    </row>
    <row r="4" spans="1:26">
      <c r="A4" s="2" t="s">
        <v>18906</v>
      </c>
      <c r="B4" s="2">
        <v>2022</v>
      </c>
      <c r="C4" s="2">
        <v>2023</v>
      </c>
      <c r="D4" s="2">
        <v>2024</v>
      </c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2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2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</row>
    <row r="5" spans="1:26">
      <c r="A5" s="95" t="s">
        <v>415</v>
      </c>
      <c r="B5" s="134"/>
      <c r="C5" s="134"/>
      <c r="D5" s="134"/>
      <c r="E5" s="134"/>
      <c r="F5" s="134"/>
      <c r="G5" s="134"/>
      <c r="H5" s="134"/>
      <c r="I5" s="134"/>
      <c r="J5" s="158"/>
    </row>
    <row r="6" spans="1:26">
      <c r="A6" s="178" t="s">
        <v>18907</v>
      </c>
      <c r="B6">
        <v>8.5417943777439103</v>
      </c>
      <c r="C6">
        <v>8.2922993160763738</v>
      </c>
      <c r="D6">
        <v>8.0578184909162189</v>
      </c>
      <c r="E6">
        <v>7.8221949963958384</v>
      </c>
      <c r="F6">
        <v>7.6214222207560569</v>
      </c>
      <c r="G6">
        <v>7.4438285746253898</v>
      </c>
      <c r="H6">
        <v>7.2590788029152415</v>
      </c>
      <c r="I6">
        <v>7.0818373230277247</v>
      </c>
      <c r="J6">
        <v>6.9098130059032838</v>
      </c>
      <c r="K6">
        <v>6.7167640788637408</v>
      </c>
      <c r="L6">
        <v>6.5484477860388086</v>
      </c>
      <c r="M6">
        <v>6.3864400247830329</v>
      </c>
      <c r="N6">
        <v>6.2353460734210406</v>
      </c>
      <c r="O6">
        <v>6.0969509364700203</v>
      </c>
      <c r="P6">
        <v>5.9669736610371533</v>
      </c>
      <c r="Q6">
        <v>5.8604955117084536</v>
      </c>
      <c r="R6">
        <v>5.7632264506226827</v>
      </c>
      <c r="S6">
        <v>5.679206973685635</v>
      </c>
      <c r="T6">
        <v>5.6060175593066717</v>
      </c>
      <c r="U6">
        <v>5.5418802133563441</v>
      </c>
      <c r="V6">
        <v>5.4713223558327622</v>
      </c>
      <c r="W6">
        <v>5.4290285109928194</v>
      </c>
      <c r="X6">
        <v>5.3904601072107692</v>
      </c>
      <c r="Y6">
        <v>5.3670337322708237</v>
      </c>
      <c r="Z6">
        <v>5.3493027544158505</v>
      </c>
    </row>
    <row r="7" spans="1:26">
      <c r="A7" s="178" t="s">
        <v>18908</v>
      </c>
      <c r="B7">
        <v>4.050605716805264</v>
      </c>
      <c r="C7">
        <v>3.8905867677050199</v>
      </c>
      <c r="D7">
        <v>3.7158798416092496</v>
      </c>
      <c r="E7">
        <v>2.9876371170471949</v>
      </c>
      <c r="F7">
        <v>2.8074209502784995</v>
      </c>
      <c r="G7">
        <v>2.413703884961683</v>
      </c>
      <c r="H7">
        <v>2.2618007779845759</v>
      </c>
      <c r="I7">
        <v>2.1059143168554146</v>
      </c>
      <c r="J7">
        <v>2.0007275907514694</v>
      </c>
      <c r="K7">
        <v>1.8729064888057909</v>
      </c>
      <c r="L7">
        <v>1.7865689676766412</v>
      </c>
      <c r="M7">
        <v>1.6979897613323782</v>
      </c>
      <c r="N7">
        <v>1.6170584183610688</v>
      </c>
      <c r="O7">
        <v>1.4818250933565182</v>
      </c>
      <c r="P7">
        <v>1.4078458195685499</v>
      </c>
      <c r="Q7">
        <v>1.338721652374586</v>
      </c>
      <c r="R7">
        <v>1.2900978119671203</v>
      </c>
      <c r="S7">
        <v>1.234464699608341</v>
      </c>
      <c r="T7">
        <v>1.1987407470768703</v>
      </c>
      <c r="U7">
        <v>1.1668351867640259</v>
      </c>
      <c r="V7">
        <v>1.1383901448506768</v>
      </c>
      <c r="W7">
        <v>1.1088888399619896</v>
      </c>
      <c r="X7">
        <v>1.0863135358569813</v>
      </c>
      <c r="Y7">
        <v>1.0665274999322591</v>
      </c>
      <c r="Z7">
        <v>1.0504800191489685</v>
      </c>
    </row>
    <row r="8" spans="1:26">
      <c r="A8" s="178" t="s">
        <v>18909</v>
      </c>
      <c r="B8">
        <f>B6+B7</f>
        <v>12.592400094549173</v>
      </c>
      <c r="C8">
        <f>C6+C7</f>
        <v>12.182886083781394</v>
      </c>
      <c r="D8">
        <f t="shared" ref="D8:Z8" si="0">D6+D7</f>
        <v>11.773698332525468</v>
      </c>
      <c r="E8">
        <f t="shared" si="0"/>
        <v>10.809832113443033</v>
      </c>
      <c r="F8">
        <f t="shared" si="0"/>
        <v>10.428843171034556</v>
      </c>
      <c r="G8">
        <f t="shared" si="0"/>
        <v>9.8575324595870732</v>
      </c>
      <c r="H8">
        <f t="shared" si="0"/>
        <v>9.5208795808998179</v>
      </c>
      <c r="I8">
        <f t="shared" si="0"/>
        <v>9.1877516398831389</v>
      </c>
      <c r="J8" s="5">
        <f t="shared" si="0"/>
        <v>8.9105405966547533</v>
      </c>
      <c r="K8" s="5">
        <f t="shared" si="0"/>
        <v>8.5896705676695326</v>
      </c>
      <c r="L8" s="5">
        <f t="shared" si="0"/>
        <v>8.3350167537154505</v>
      </c>
      <c r="M8" s="5">
        <f t="shared" si="0"/>
        <v>8.0844297861154111</v>
      </c>
      <c r="N8" s="5">
        <f t="shared" si="0"/>
        <v>7.8524044917821092</v>
      </c>
      <c r="O8" s="5">
        <f t="shared" si="0"/>
        <v>7.578776029826539</v>
      </c>
      <c r="P8" s="5">
        <f t="shared" si="0"/>
        <v>7.3748194806057032</v>
      </c>
      <c r="Q8" s="5">
        <f t="shared" si="0"/>
        <v>7.1992171640830396</v>
      </c>
      <c r="R8" s="5">
        <f t="shared" si="0"/>
        <v>7.0533242625898032</v>
      </c>
      <c r="S8" s="5">
        <f t="shared" si="0"/>
        <v>6.913671673293976</v>
      </c>
      <c r="T8" s="5">
        <f t="shared" si="0"/>
        <v>6.8047583063835422</v>
      </c>
      <c r="U8" s="5">
        <f t="shared" si="0"/>
        <v>6.7087154001203704</v>
      </c>
      <c r="V8" s="5">
        <f t="shared" si="0"/>
        <v>6.6097125006834387</v>
      </c>
      <c r="W8" s="5">
        <f t="shared" si="0"/>
        <v>6.5379173509548085</v>
      </c>
      <c r="X8" s="5">
        <f t="shared" si="0"/>
        <v>6.4767736430677507</v>
      </c>
      <c r="Y8" s="5">
        <f t="shared" si="0"/>
        <v>6.4335612322030826</v>
      </c>
      <c r="Z8" s="5">
        <f t="shared" si="0"/>
        <v>6.3997827735648194</v>
      </c>
    </row>
    <row r="9" spans="1:26">
      <c r="A9" s="179" t="s">
        <v>18910</v>
      </c>
      <c r="B9" s="180">
        <f t="shared" ref="B9:J9" si="1">B8/B$88</f>
        <v>2.4506740383336695E-3</v>
      </c>
      <c r="C9" s="180">
        <f>C8/C$88</f>
        <v>2.471946636751772E-3</v>
      </c>
      <c r="D9" s="180">
        <f t="shared" si="1"/>
        <v>2.4649446340814555E-3</v>
      </c>
      <c r="E9" s="180">
        <f t="shared" si="1"/>
        <v>2.3799666147995748E-3</v>
      </c>
      <c r="F9" s="98">
        <f t="shared" si="1"/>
        <v>2.3719894883848292E-3</v>
      </c>
      <c r="G9" s="98">
        <f t="shared" si="1"/>
        <v>2.320470833569537E-3</v>
      </c>
      <c r="H9" s="98">
        <f t="shared" si="1"/>
        <v>2.3022060749620377E-3</v>
      </c>
      <c r="I9" s="98">
        <f t="shared" si="1"/>
        <v>2.2795044223139684E-3</v>
      </c>
      <c r="J9" s="181">
        <f t="shared" si="1"/>
        <v>2.2633041019392507E-3</v>
      </c>
      <c r="K9" s="181">
        <f t="shared" ref="K9:Z9" si="2">K8/K$88</f>
        <v>2.2289723632208693E-3</v>
      </c>
      <c r="L9" s="181">
        <f t="shared" si="2"/>
        <v>2.2111208525998653E-3</v>
      </c>
      <c r="M9" s="181">
        <f t="shared" si="2"/>
        <v>2.194708060706835E-3</v>
      </c>
      <c r="N9" s="181">
        <f t="shared" si="2"/>
        <v>2.1838814430676988E-3</v>
      </c>
      <c r="O9" s="181">
        <f t="shared" si="2"/>
        <v>2.1477160555516362E-3</v>
      </c>
      <c r="P9" s="181">
        <f t="shared" si="2"/>
        <v>2.1522105207209849E-3</v>
      </c>
      <c r="Q9" s="181">
        <f t="shared" si="2"/>
        <v>2.1501728592508832E-3</v>
      </c>
      <c r="R9" s="181">
        <f t="shared" si="2"/>
        <v>2.1438065148644404E-3</v>
      </c>
      <c r="S9" s="181">
        <f t="shared" si="2"/>
        <v>2.1352556827622959E-3</v>
      </c>
      <c r="T9" s="181">
        <f t="shared" si="2"/>
        <v>2.128103770404195E-3</v>
      </c>
      <c r="U9" s="181">
        <f t="shared" si="2"/>
        <v>2.1211595961914071E-3</v>
      </c>
      <c r="V9" s="181">
        <f t="shared" si="2"/>
        <v>2.1125804904467754E-3</v>
      </c>
      <c r="W9" s="181">
        <f t="shared" si="2"/>
        <v>2.1141337073641948E-3</v>
      </c>
      <c r="X9" s="181">
        <f t="shared" si="2"/>
        <v>2.1142189259559505E-3</v>
      </c>
      <c r="Y9" s="181">
        <f t="shared" si="2"/>
        <v>2.0996269161061691E-3</v>
      </c>
      <c r="Z9" s="181">
        <f t="shared" si="2"/>
        <v>2.084737295382937E-3</v>
      </c>
    </row>
    <row r="10" spans="1:26">
      <c r="A10" s="53" t="s">
        <v>416</v>
      </c>
      <c r="F10" s="134"/>
      <c r="G10" s="134"/>
      <c r="H10" s="134"/>
      <c r="I10" s="134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>
      <c r="A11" s="178" t="s">
        <v>18911</v>
      </c>
      <c r="B11">
        <v>5.2387528438148925</v>
      </c>
      <c r="C11">
        <v>4.9630182675836574</v>
      </c>
      <c r="D11">
        <v>4.6839462784654895</v>
      </c>
      <c r="E11">
        <v>4.3848662797656601</v>
      </c>
      <c r="F11">
        <v>4.0971911371053666</v>
      </c>
      <c r="G11">
        <v>3.8186490182240731</v>
      </c>
      <c r="H11">
        <v>3.5484316457536562</v>
      </c>
      <c r="I11">
        <v>3.3013992185427941</v>
      </c>
      <c r="J11">
        <v>3.0637230032811611</v>
      </c>
      <c r="K11">
        <v>2.8508124284032084</v>
      </c>
      <c r="L11">
        <v>2.6598457628823358</v>
      </c>
      <c r="M11">
        <v>2.4856461322779486</v>
      </c>
      <c r="N11">
        <v>2.3307512901759457</v>
      </c>
      <c r="O11">
        <v>2.1787229963893338</v>
      </c>
      <c r="P11">
        <v>2.0449377416511783</v>
      </c>
      <c r="Q11">
        <v>1.9183772514008488</v>
      </c>
      <c r="R11">
        <v>1.8020860911644176</v>
      </c>
      <c r="S11">
        <v>1.6999797640877874</v>
      </c>
      <c r="T11">
        <v>1.6093902947822896</v>
      </c>
      <c r="U11">
        <v>1.5330600039096876</v>
      </c>
      <c r="V11">
        <v>1.4638094024275163</v>
      </c>
      <c r="W11">
        <v>1.4061261853194069</v>
      </c>
      <c r="X11">
        <v>1.3519041306880157</v>
      </c>
      <c r="Y11">
        <v>1.3075822111401014</v>
      </c>
      <c r="Z11">
        <v>1.2649965572774473</v>
      </c>
    </row>
    <row r="12" spans="1:26">
      <c r="A12" s="178" t="s">
        <v>18912</v>
      </c>
      <c r="B12">
        <v>8.6017635453352668</v>
      </c>
      <c r="C12">
        <v>8.0618675894222118</v>
      </c>
      <c r="D12">
        <v>7.5679881401231377</v>
      </c>
      <c r="E12">
        <v>6.7003802875516971</v>
      </c>
      <c r="F12">
        <v>6.2725534399921532</v>
      </c>
      <c r="G12">
        <v>5.8575138145224912</v>
      </c>
      <c r="H12">
        <v>5.5016024949067406</v>
      </c>
      <c r="I12">
        <v>5.1608145363583313</v>
      </c>
      <c r="J12" s="5">
        <v>4.8540995918556558</v>
      </c>
      <c r="K12" s="5">
        <v>4.5866715546445818</v>
      </c>
      <c r="L12" s="5">
        <v>4.3284226247151416</v>
      </c>
      <c r="M12" s="5">
        <v>4.0788819274995607</v>
      </c>
      <c r="N12" s="5">
        <v>3.8412443917610011</v>
      </c>
      <c r="O12" s="5">
        <v>3.6175617348873192</v>
      </c>
      <c r="P12" s="5">
        <v>3.4071386319756143</v>
      </c>
      <c r="Q12" s="5">
        <v>3.2051384618655505</v>
      </c>
      <c r="R12" s="5">
        <v>3.0257364421875557</v>
      </c>
      <c r="S12" s="5">
        <v>2.8602293549762901</v>
      </c>
      <c r="T12" s="5">
        <v>2.7080211187030843</v>
      </c>
      <c r="U12" s="5">
        <v>2.5664774557142653</v>
      </c>
      <c r="V12" s="5">
        <v>2.4283232874483591</v>
      </c>
      <c r="W12" s="5">
        <v>2.3003906640333138</v>
      </c>
      <c r="X12" s="5">
        <v>2.1813540478860114</v>
      </c>
      <c r="Y12" s="5">
        <v>2.0701842605994321</v>
      </c>
      <c r="Z12" s="5">
        <v>1.9705309428906617</v>
      </c>
    </row>
    <row r="13" spans="1:26">
      <c r="A13" s="178" t="s">
        <v>18913</v>
      </c>
      <c r="B13">
        <f t="shared" ref="B13:J13" si="3">SUM(B11:B12)</f>
        <v>13.84051638915016</v>
      </c>
      <c r="C13">
        <f t="shared" si="3"/>
        <v>13.02488585700587</v>
      </c>
      <c r="D13">
        <f t="shared" si="3"/>
        <v>12.251934418588627</v>
      </c>
      <c r="E13">
        <f t="shared" si="3"/>
        <v>11.085246567317357</v>
      </c>
      <c r="F13">
        <f t="shared" si="3"/>
        <v>10.369744577097521</v>
      </c>
      <c r="G13">
        <f t="shared" si="3"/>
        <v>9.6761628327465647</v>
      </c>
      <c r="H13">
        <f t="shared" si="3"/>
        <v>9.0500341406603972</v>
      </c>
      <c r="I13">
        <f t="shared" si="3"/>
        <v>8.4622137549011249</v>
      </c>
      <c r="J13" s="5">
        <f t="shared" si="3"/>
        <v>7.9178225951368173</v>
      </c>
      <c r="K13" s="5">
        <f t="shared" ref="K13:Z13" si="4">SUM(K11:K12)</f>
        <v>7.4374839830477901</v>
      </c>
      <c r="L13" s="5">
        <f t="shared" si="4"/>
        <v>6.9882683875974774</v>
      </c>
      <c r="M13" s="5">
        <f t="shared" si="4"/>
        <v>6.5645280597775093</v>
      </c>
      <c r="N13" s="5">
        <f t="shared" si="4"/>
        <v>6.1719956819369468</v>
      </c>
      <c r="O13" s="5">
        <f t="shared" si="4"/>
        <v>5.7962847312766534</v>
      </c>
      <c r="P13" s="5">
        <f t="shared" si="4"/>
        <v>5.4520763736267925</v>
      </c>
      <c r="Q13" s="5">
        <f t="shared" si="4"/>
        <v>5.1235157132663991</v>
      </c>
      <c r="R13" s="5">
        <f t="shared" si="4"/>
        <v>4.8278225333519735</v>
      </c>
      <c r="S13" s="5">
        <f t="shared" si="4"/>
        <v>4.5602091190640772</v>
      </c>
      <c r="T13" s="5">
        <f t="shared" si="4"/>
        <v>4.3174114134853738</v>
      </c>
      <c r="U13" s="5">
        <f t="shared" si="4"/>
        <v>4.0995374596239529</v>
      </c>
      <c r="V13" s="5">
        <f t="shared" si="4"/>
        <v>3.8921326898758757</v>
      </c>
      <c r="W13" s="5">
        <f t="shared" si="4"/>
        <v>3.7065168493527207</v>
      </c>
      <c r="X13" s="5">
        <f t="shared" si="4"/>
        <v>3.5332581785740271</v>
      </c>
      <c r="Y13" s="5">
        <f t="shared" si="4"/>
        <v>3.3777664717395335</v>
      </c>
      <c r="Z13" s="5">
        <f t="shared" si="4"/>
        <v>3.235527500168109</v>
      </c>
    </row>
    <row r="14" spans="1:26">
      <c r="A14" s="178" t="s">
        <v>18910</v>
      </c>
      <c r="B14" s="98">
        <f t="shared" ref="B14:J14" si="5">B13/B$88</f>
        <v>2.6935765967842917E-3</v>
      </c>
      <c r="C14" s="98">
        <f t="shared" si="5"/>
        <v>2.6427910896387489E-3</v>
      </c>
      <c r="D14" s="98">
        <f t="shared" si="5"/>
        <v>2.5650682690576405E-3</v>
      </c>
      <c r="E14" s="98">
        <f t="shared" si="5"/>
        <v>2.4406037457536255E-3</v>
      </c>
      <c r="F14" s="98">
        <f t="shared" si="5"/>
        <v>2.3585478015842915E-3</v>
      </c>
      <c r="G14" s="98">
        <f t="shared" si="5"/>
        <v>2.2777762818747592E-3</v>
      </c>
      <c r="H14" s="98">
        <f t="shared" si="5"/>
        <v>2.1883528092341538E-3</v>
      </c>
      <c r="I14" s="98">
        <f t="shared" si="5"/>
        <v>2.099496637798598E-3</v>
      </c>
      <c r="J14" s="181">
        <f t="shared" si="5"/>
        <v>2.0111507448524767E-3</v>
      </c>
      <c r="K14" s="181">
        <f t="shared" ref="K14:Z14" si="6">K13/K$88</f>
        <v>1.9299862689156851E-3</v>
      </c>
      <c r="L14" s="181">
        <f t="shared" si="6"/>
        <v>1.8538542167288766E-3</v>
      </c>
      <c r="M14" s="181">
        <f t="shared" si="6"/>
        <v>1.7820950925040574E-3</v>
      </c>
      <c r="N14" s="181">
        <f t="shared" si="6"/>
        <v>1.7165324138080688E-3</v>
      </c>
      <c r="O14" s="181">
        <f t="shared" si="6"/>
        <v>1.6425836745826876E-3</v>
      </c>
      <c r="P14" s="181">
        <f t="shared" si="6"/>
        <v>1.591091980210771E-3</v>
      </c>
      <c r="Q14" s="181">
        <f t="shared" si="6"/>
        <v>1.5302281039071837E-3</v>
      </c>
      <c r="R14" s="181">
        <f t="shared" si="6"/>
        <v>1.4673814806026059E-3</v>
      </c>
      <c r="S14" s="181">
        <f t="shared" si="6"/>
        <v>1.4083996024397234E-3</v>
      </c>
      <c r="T14" s="181">
        <f t="shared" si="6"/>
        <v>1.3502168767412595E-3</v>
      </c>
      <c r="U14" s="181">
        <f t="shared" si="6"/>
        <v>1.2961905079877838E-3</v>
      </c>
      <c r="V14" s="181">
        <f t="shared" si="6"/>
        <v>1.2439941352988817E-3</v>
      </c>
      <c r="W14" s="181">
        <f t="shared" si="6"/>
        <v>1.1985578568051995E-3</v>
      </c>
      <c r="X14" s="181">
        <f t="shared" si="6"/>
        <v>1.1533645798205822E-3</v>
      </c>
      <c r="Y14" s="181">
        <f t="shared" si="6"/>
        <v>1.102352048020645E-3</v>
      </c>
      <c r="Z14" s="181">
        <f t="shared" si="6"/>
        <v>1.0539771564903196E-3</v>
      </c>
    </row>
    <row r="15" spans="1:26">
      <c r="A15" s="95" t="s">
        <v>417</v>
      </c>
      <c r="B15" s="134"/>
      <c r="C15" s="134"/>
      <c r="D15" s="134"/>
      <c r="E15" s="134"/>
      <c r="F15" s="134"/>
      <c r="G15" s="134"/>
      <c r="H15" s="134"/>
      <c r="I15" s="134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</row>
    <row r="16" spans="1:26">
      <c r="A16" s="178" t="s">
        <v>18911</v>
      </c>
      <c r="B16">
        <v>2.2637793567444158</v>
      </c>
      <c r="C16">
        <v>2.1919298599076646</v>
      </c>
      <c r="D16">
        <v>2.1176954333235432</v>
      </c>
      <c r="E16">
        <v>2.0296627302914336</v>
      </c>
      <c r="F16">
        <v>1.9438478772840881</v>
      </c>
      <c r="G16">
        <v>1.8591574760483889</v>
      </c>
      <c r="H16">
        <v>1.7735219204540618</v>
      </c>
      <c r="I16">
        <v>1.6954499859725021</v>
      </c>
      <c r="J16">
        <v>1.6218065341985717</v>
      </c>
      <c r="K16">
        <v>1.5557814374116068</v>
      </c>
      <c r="L16">
        <v>1.4923088606679613</v>
      </c>
      <c r="M16">
        <v>1.4391373214274747</v>
      </c>
      <c r="N16">
        <v>1.3871629589483263</v>
      </c>
      <c r="O16">
        <v>1.3395378210897946</v>
      </c>
      <c r="P16">
        <v>1.2956766257891537</v>
      </c>
      <c r="Q16">
        <v>1.2568173816526067</v>
      </c>
      <c r="R16">
        <v>1.2221690712133289</v>
      </c>
      <c r="S16">
        <v>1.1931131510368664</v>
      </c>
      <c r="T16">
        <v>1.1670894308362547</v>
      </c>
      <c r="U16">
        <v>1.1483384098054512</v>
      </c>
      <c r="V16">
        <v>1.133312768465178</v>
      </c>
      <c r="W16">
        <v>1.1240847012740063</v>
      </c>
      <c r="X16">
        <v>1.1162645222293874</v>
      </c>
      <c r="Y16">
        <v>1.1140821717950722</v>
      </c>
      <c r="Z16">
        <v>1.1129712049057121</v>
      </c>
    </row>
    <row r="17" spans="1:26">
      <c r="A17" s="178" t="s">
        <v>18912</v>
      </c>
      <c r="B17">
        <v>7.2122231376211889</v>
      </c>
      <c r="C17">
        <v>6.7564784662985824</v>
      </c>
      <c r="D17">
        <v>6.3846694689294736</v>
      </c>
      <c r="E17">
        <v>5.9130826029335948</v>
      </c>
      <c r="F17">
        <v>5.5412409921614794</v>
      </c>
      <c r="G17">
        <v>5.1948880188886992</v>
      </c>
      <c r="H17">
        <v>4.8994815720816325</v>
      </c>
      <c r="I17">
        <v>4.6279868246099101</v>
      </c>
      <c r="J17" s="5">
        <v>4.3883340347652684</v>
      </c>
      <c r="K17" s="5">
        <v>4.1748040320908331</v>
      </c>
      <c r="L17" s="5">
        <v>3.9658816416211469</v>
      </c>
      <c r="M17" s="5">
        <v>3.7522147786392757</v>
      </c>
      <c r="N17" s="5">
        <v>3.5631481483198768</v>
      </c>
      <c r="O17" s="5">
        <v>3.3799427227135985</v>
      </c>
      <c r="P17" s="5">
        <v>3.2096984405531392</v>
      </c>
      <c r="Q17" s="5">
        <v>3.0478969089018624</v>
      </c>
      <c r="R17" s="5">
        <v>2.9057831723157328</v>
      </c>
      <c r="S17" s="5">
        <v>2.7747898807301614</v>
      </c>
      <c r="T17" s="5">
        <v>2.6544492998578426</v>
      </c>
      <c r="U17" s="5">
        <v>2.5402413044559466</v>
      </c>
      <c r="V17" s="5">
        <v>2.4321186658074523</v>
      </c>
      <c r="W17" s="5">
        <v>2.3281552428940224</v>
      </c>
      <c r="X17" s="5">
        <v>2.2308513163255421</v>
      </c>
      <c r="Y17" s="5">
        <v>2.1418453237991733</v>
      </c>
      <c r="Z17" s="5">
        <v>2.0624586929905595</v>
      </c>
    </row>
    <row r="18" spans="1:26">
      <c r="A18" s="178" t="s">
        <v>18913</v>
      </c>
      <c r="B18">
        <f t="shared" ref="B18:J18" si="7">SUM(B16:B17)</f>
        <v>9.4760024943656056</v>
      </c>
      <c r="C18">
        <f t="shared" si="7"/>
        <v>8.9484083262062466</v>
      </c>
      <c r="D18">
        <f t="shared" si="7"/>
        <v>8.5023649022530172</v>
      </c>
      <c r="E18">
        <f t="shared" si="7"/>
        <v>7.9427453332250284</v>
      </c>
      <c r="F18">
        <f t="shared" si="7"/>
        <v>7.4850888694455673</v>
      </c>
      <c r="G18">
        <f t="shared" si="7"/>
        <v>7.0540454949370881</v>
      </c>
      <c r="H18">
        <f t="shared" si="7"/>
        <v>6.6730034925356945</v>
      </c>
      <c r="I18">
        <f t="shared" si="7"/>
        <v>6.3234368105824119</v>
      </c>
      <c r="J18" s="5">
        <f t="shared" si="7"/>
        <v>6.0101405689638403</v>
      </c>
      <c r="K18" s="5">
        <f t="shared" ref="K18:Z18" si="8">SUM(K16:K17)</f>
        <v>5.7305854695024401</v>
      </c>
      <c r="L18" s="5">
        <f t="shared" si="8"/>
        <v>5.4581905022891082</v>
      </c>
      <c r="M18" s="5">
        <f t="shared" si="8"/>
        <v>5.1913521000667506</v>
      </c>
      <c r="N18" s="5">
        <f t="shared" si="8"/>
        <v>4.9503111072682033</v>
      </c>
      <c r="O18" s="5">
        <f t="shared" si="8"/>
        <v>4.7194805438033933</v>
      </c>
      <c r="P18" s="5">
        <f t="shared" si="8"/>
        <v>4.5053750663422925</v>
      </c>
      <c r="Q18" s="5">
        <f t="shared" si="8"/>
        <v>4.3047142905544691</v>
      </c>
      <c r="R18" s="5">
        <f t="shared" si="8"/>
        <v>4.1279522435290614</v>
      </c>
      <c r="S18" s="5">
        <f t="shared" si="8"/>
        <v>3.9679030317670279</v>
      </c>
      <c r="T18" s="5">
        <f t="shared" si="8"/>
        <v>3.8215387306940976</v>
      </c>
      <c r="U18" s="5">
        <f t="shared" si="8"/>
        <v>3.6885797142613979</v>
      </c>
      <c r="V18" s="5">
        <f t="shared" si="8"/>
        <v>3.5654314342726305</v>
      </c>
      <c r="W18" s="5">
        <f t="shared" si="8"/>
        <v>3.4522399441680287</v>
      </c>
      <c r="X18" s="5">
        <f t="shared" si="8"/>
        <v>3.3471158385549296</v>
      </c>
      <c r="Y18" s="5">
        <f t="shared" si="8"/>
        <v>3.2559274955942454</v>
      </c>
      <c r="Z18" s="5">
        <f t="shared" si="8"/>
        <v>3.1754298978962714</v>
      </c>
    </row>
    <row r="19" spans="1:26">
      <c r="A19" s="179" t="s">
        <v>18910</v>
      </c>
      <c r="B19" s="180">
        <f t="shared" ref="B19:J19" si="9">B18/B$88</f>
        <v>1.8441753061975185E-3</v>
      </c>
      <c r="C19" s="180">
        <f t="shared" si="9"/>
        <v>1.8156607321227905E-3</v>
      </c>
      <c r="D19" s="180">
        <f t="shared" si="9"/>
        <v>1.7800573915601244E-3</v>
      </c>
      <c r="E19" s="180">
        <f t="shared" si="9"/>
        <v>1.7487291684597458E-3</v>
      </c>
      <c r="F19" s="98">
        <f t="shared" si="9"/>
        <v>1.7024469374765652E-3</v>
      </c>
      <c r="G19" s="98">
        <f t="shared" si="9"/>
        <v>1.6605278143167056E-3</v>
      </c>
      <c r="H19" s="98">
        <f t="shared" si="9"/>
        <v>1.6135724696674137E-3</v>
      </c>
      <c r="I19" s="98">
        <f t="shared" si="9"/>
        <v>1.5688606678672566E-3</v>
      </c>
      <c r="J19" s="181">
        <f t="shared" si="9"/>
        <v>1.5265937745768416E-3</v>
      </c>
      <c r="K19" s="181">
        <f t="shared" ref="K19:Z19" si="10">K18/K$88</f>
        <v>1.4870554738936352E-3</v>
      </c>
      <c r="L19" s="181">
        <f t="shared" si="10"/>
        <v>1.4479537586645137E-3</v>
      </c>
      <c r="M19" s="181">
        <f t="shared" si="10"/>
        <v>1.4093142746507124E-3</v>
      </c>
      <c r="N19" s="181">
        <f t="shared" si="10"/>
        <v>1.3767620575186902E-3</v>
      </c>
      <c r="O19" s="181">
        <f t="shared" si="10"/>
        <v>1.3374328648714676E-3</v>
      </c>
      <c r="P19" s="181">
        <f t="shared" si="10"/>
        <v>1.3148139616265563E-3</v>
      </c>
      <c r="Q19" s="181">
        <f t="shared" si="10"/>
        <v>1.2856786541399681E-3</v>
      </c>
      <c r="R19" s="181">
        <f t="shared" si="10"/>
        <v>1.2546610056855037E-3</v>
      </c>
      <c r="S19" s="181">
        <f t="shared" si="10"/>
        <v>1.2254685928979939E-3</v>
      </c>
      <c r="T19" s="181">
        <f t="shared" si="10"/>
        <v>1.1951388448148924E-3</v>
      </c>
      <c r="U19" s="181">
        <f t="shared" si="10"/>
        <v>1.1662540129638143E-3</v>
      </c>
      <c r="V19" s="181">
        <f t="shared" si="10"/>
        <v>1.1395746618769263E-3</v>
      </c>
      <c r="W19" s="181">
        <f t="shared" si="10"/>
        <v>1.1163336029031982E-3</v>
      </c>
      <c r="X19" s="181">
        <f t="shared" si="10"/>
        <v>1.0926019717879044E-3</v>
      </c>
      <c r="Y19" s="181">
        <f t="shared" si="10"/>
        <v>1.0625892503239385E-3</v>
      </c>
      <c r="Z19" s="181">
        <f t="shared" si="10"/>
        <v>1.034400286891447E-3</v>
      </c>
    </row>
    <row r="20" spans="1:26">
      <c r="A20" s="53" t="s">
        <v>418</v>
      </c>
      <c r="F20" s="134"/>
      <c r="G20" s="134"/>
      <c r="H20" s="134"/>
      <c r="I20" s="134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</row>
    <row r="21" spans="1:26">
      <c r="A21" s="178" t="s">
        <v>18911</v>
      </c>
      <c r="B21">
        <v>135.27002899215407</v>
      </c>
      <c r="C21">
        <v>134.9506097283388</v>
      </c>
      <c r="D21">
        <v>135.41120751056548</v>
      </c>
      <c r="E21">
        <v>135.65407504409177</v>
      </c>
      <c r="F21">
        <v>136.6227673790244</v>
      </c>
      <c r="G21">
        <v>137.3352626827299</v>
      </c>
      <c r="H21">
        <v>138.31370984958448</v>
      </c>
      <c r="I21">
        <v>139.24910501086131</v>
      </c>
      <c r="J21">
        <v>140.1424414090923</v>
      </c>
      <c r="K21">
        <v>142.2204276911244</v>
      </c>
      <c r="L21">
        <v>144.21580240067939</v>
      </c>
      <c r="M21">
        <v>146.12079727414488</v>
      </c>
      <c r="N21">
        <v>148.60419654289291</v>
      </c>
      <c r="O21">
        <v>151.23458038574688</v>
      </c>
      <c r="P21">
        <v>153.45433395513066</v>
      </c>
      <c r="Q21">
        <v>156.43197227821088</v>
      </c>
      <c r="R21">
        <v>157.88909997201458</v>
      </c>
      <c r="S21">
        <v>161.30779315947117</v>
      </c>
      <c r="T21">
        <v>164.97503445919486</v>
      </c>
      <c r="U21">
        <v>168.91934139877102</v>
      </c>
      <c r="V21">
        <v>173.14160742020528</v>
      </c>
      <c r="W21">
        <v>177.67928735441544</v>
      </c>
      <c r="X21">
        <v>182.46514768911936</v>
      </c>
      <c r="Y21">
        <v>187.56875178751417</v>
      </c>
      <c r="Z21">
        <v>192.94138346053634</v>
      </c>
    </row>
    <row r="22" spans="1:26">
      <c r="A22" s="178" t="s">
        <v>18912</v>
      </c>
      <c r="B22">
        <v>280.04754816258827</v>
      </c>
      <c r="C22">
        <v>276.30275287352498</v>
      </c>
      <c r="D22">
        <v>271.61153417469222</v>
      </c>
      <c r="E22">
        <v>261.1456734981079</v>
      </c>
      <c r="F22">
        <v>257.81685987476783</v>
      </c>
      <c r="G22">
        <v>255.81203037114037</v>
      </c>
      <c r="H22">
        <v>254.04448928929799</v>
      </c>
      <c r="I22">
        <v>253.83117404298432</v>
      </c>
      <c r="J22" s="5">
        <v>253.52344996587277</v>
      </c>
      <c r="K22" s="5">
        <v>248.1473767937822</v>
      </c>
      <c r="L22" s="5">
        <v>241.36893245361119</v>
      </c>
      <c r="M22" s="5">
        <v>234.1842083990627</v>
      </c>
      <c r="N22" s="5">
        <v>223.98547676208918</v>
      </c>
      <c r="O22" s="5">
        <v>219.43702201735201</v>
      </c>
      <c r="P22" s="5">
        <v>199.84042683621422</v>
      </c>
      <c r="Q22" s="5">
        <v>186.56875439416936</v>
      </c>
      <c r="R22" s="5">
        <v>177.56347834419472</v>
      </c>
      <c r="S22" s="5">
        <v>166.50075213676897</v>
      </c>
      <c r="T22" s="5">
        <v>157.13557920803962</v>
      </c>
      <c r="U22" s="5">
        <v>147.01803478772771</v>
      </c>
      <c r="V22" s="5">
        <v>136.28430162839277</v>
      </c>
      <c r="W22" s="5">
        <v>123.73531359485918</v>
      </c>
      <c r="X22" s="5">
        <v>111.97784303472072</v>
      </c>
      <c r="Y22" s="5">
        <v>108.29585470816367</v>
      </c>
      <c r="Z22" s="5">
        <v>105.07479421186271</v>
      </c>
    </row>
    <row r="23" spans="1:26">
      <c r="A23" s="178" t="s">
        <v>18913</v>
      </c>
      <c r="B23">
        <f t="shared" ref="B23:J23" si="11">SUM(B21:B22)</f>
        <v>415.31757715474237</v>
      </c>
      <c r="C23">
        <f t="shared" si="11"/>
        <v>411.25336260186378</v>
      </c>
      <c r="D23">
        <f t="shared" si="11"/>
        <v>407.0227416852577</v>
      </c>
      <c r="E23">
        <f t="shared" si="11"/>
        <v>396.79974854219967</v>
      </c>
      <c r="F23">
        <f t="shared" si="11"/>
        <v>394.4396272537922</v>
      </c>
      <c r="G23">
        <f t="shared" si="11"/>
        <v>393.14729305387027</v>
      </c>
      <c r="H23">
        <f t="shared" si="11"/>
        <v>392.35819913888247</v>
      </c>
      <c r="I23">
        <f t="shared" si="11"/>
        <v>393.08027905384563</v>
      </c>
      <c r="J23" s="5">
        <f t="shared" si="11"/>
        <v>393.6658913749651</v>
      </c>
      <c r="K23" s="5">
        <f t="shared" ref="K23:Z23" si="12">SUM(K21:K22)</f>
        <v>390.36780448490663</v>
      </c>
      <c r="L23" s="5">
        <f t="shared" si="12"/>
        <v>385.58473485429056</v>
      </c>
      <c r="M23" s="5">
        <f t="shared" si="12"/>
        <v>380.30500567320757</v>
      </c>
      <c r="N23" s="5">
        <f t="shared" si="12"/>
        <v>372.58967330498206</v>
      </c>
      <c r="O23" s="5">
        <f t="shared" si="12"/>
        <v>370.67160240309886</v>
      </c>
      <c r="P23" s="5">
        <f t="shared" si="12"/>
        <v>353.29476079134486</v>
      </c>
      <c r="Q23" s="5">
        <f t="shared" si="12"/>
        <v>343.00072667238021</v>
      </c>
      <c r="R23" s="5">
        <f t="shared" si="12"/>
        <v>335.45257831620927</v>
      </c>
      <c r="S23" s="5">
        <f t="shared" si="12"/>
        <v>327.80854529624014</v>
      </c>
      <c r="T23" s="5">
        <f t="shared" si="12"/>
        <v>322.11061366723447</v>
      </c>
      <c r="U23" s="5">
        <f t="shared" si="12"/>
        <v>315.93737618649874</v>
      </c>
      <c r="V23" s="5">
        <f t="shared" si="12"/>
        <v>309.42590904859804</v>
      </c>
      <c r="W23" s="5">
        <f t="shared" si="12"/>
        <v>301.41460094927459</v>
      </c>
      <c r="X23" s="5">
        <f t="shared" si="12"/>
        <v>294.44299072384007</v>
      </c>
      <c r="Y23" s="5">
        <f t="shared" si="12"/>
        <v>295.86460649567783</v>
      </c>
      <c r="Z23" s="5">
        <f t="shared" si="12"/>
        <v>298.01617767239907</v>
      </c>
    </row>
    <row r="24" spans="1:26">
      <c r="A24" s="178" t="s">
        <v>18910</v>
      </c>
      <c r="B24" s="98">
        <f t="shared" ref="B24:J24" si="13">B23/B$88</f>
        <v>8.0827165302454346E-2</v>
      </c>
      <c r="C24" s="98">
        <f t="shared" si="13"/>
        <v>8.344462548081194E-2</v>
      </c>
      <c r="D24" s="98">
        <f t="shared" si="13"/>
        <v>8.5214390137257068E-2</v>
      </c>
      <c r="E24" s="98">
        <f t="shared" si="13"/>
        <v>8.7362148124103534E-2</v>
      </c>
      <c r="F24" s="98">
        <f t="shared" si="13"/>
        <v>8.9713368424890388E-2</v>
      </c>
      <c r="G24" s="98">
        <f t="shared" si="13"/>
        <v>9.2547179587632478E-2</v>
      </c>
      <c r="H24" s="98">
        <f t="shared" si="13"/>
        <v>9.4874577705070642E-2</v>
      </c>
      <c r="I24" s="98">
        <f t="shared" si="13"/>
        <v>9.7524211531587135E-2</v>
      </c>
      <c r="J24" s="181">
        <f t="shared" si="13"/>
        <v>9.9992320003236282E-2</v>
      </c>
      <c r="K24" s="181">
        <f t="shared" ref="K24:Z24" si="14">K23/K$88</f>
        <v>0.10129830251733821</v>
      </c>
      <c r="L24" s="181">
        <f t="shared" si="14"/>
        <v>0.10228827042254773</v>
      </c>
      <c r="M24" s="181">
        <f t="shared" si="14"/>
        <v>0.10324271266622044</v>
      </c>
      <c r="N24" s="181">
        <f t="shared" si="14"/>
        <v>0.10362324995623585</v>
      </c>
      <c r="O24" s="181">
        <f t="shared" si="14"/>
        <v>0.10504299753484188</v>
      </c>
      <c r="P24" s="181">
        <f t="shared" si="14"/>
        <v>0.10310282212199808</v>
      </c>
      <c r="Q24" s="181">
        <f t="shared" si="14"/>
        <v>0.10244320130718251</v>
      </c>
      <c r="R24" s="181">
        <f t="shared" si="14"/>
        <v>0.1019583668705898</v>
      </c>
      <c r="S24" s="181">
        <f t="shared" si="14"/>
        <v>0.10124216079071469</v>
      </c>
      <c r="T24" s="181">
        <f t="shared" si="14"/>
        <v>0.10073609973617983</v>
      </c>
      <c r="U24" s="181">
        <f t="shared" si="14"/>
        <v>9.9892983577974145E-2</v>
      </c>
      <c r="V24" s="181">
        <f t="shared" si="14"/>
        <v>9.8897968501237499E-2</v>
      </c>
      <c r="W24" s="181">
        <f t="shared" si="14"/>
        <v>9.746693534838384E-2</v>
      </c>
      <c r="X24" s="181">
        <f t="shared" si="14"/>
        <v>9.6115284848608248E-2</v>
      </c>
      <c r="Y24" s="181">
        <f t="shared" si="14"/>
        <v>9.6556987475622774E-2</v>
      </c>
      <c r="Z24" s="181">
        <f t="shared" si="14"/>
        <v>9.7079145059020253E-2</v>
      </c>
    </row>
    <row r="25" spans="1:26">
      <c r="A25" s="95" t="s">
        <v>419</v>
      </c>
      <c r="B25" s="134"/>
      <c r="C25" s="134"/>
      <c r="D25" s="134"/>
      <c r="E25" s="134"/>
      <c r="F25" s="134"/>
      <c r="G25" s="134"/>
      <c r="H25" s="134"/>
      <c r="I25" s="134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</row>
    <row r="26" spans="1:26">
      <c r="A26" s="178" t="s">
        <v>18911</v>
      </c>
      <c r="B26">
        <v>47.408046785273562</v>
      </c>
      <c r="C26">
        <v>45.527121100067951</v>
      </c>
      <c r="D26">
        <v>43.73145792724258</v>
      </c>
      <c r="E26">
        <v>41.841593632486408</v>
      </c>
      <c r="F26">
        <v>40.085865198847557</v>
      </c>
      <c r="G26">
        <v>38.427845715907345</v>
      </c>
      <c r="H26">
        <v>36.847377635729472</v>
      </c>
      <c r="I26">
        <v>35.361014607256251</v>
      </c>
      <c r="J26">
        <v>33.960519848629147</v>
      </c>
      <c r="K26">
        <v>32.818808979506755</v>
      </c>
      <c r="L26">
        <v>31.847998399309986</v>
      </c>
      <c r="M26">
        <v>31.03662302564295</v>
      </c>
      <c r="N26">
        <v>30.383538361875299</v>
      </c>
      <c r="O26">
        <v>29.749463536575028</v>
      </c>
      <c r="P26">
        <v>29.289011707703445</v>
      </c>
      <c r="Q26">
        <v>28.891881582324494</v>
      </c>
      <c r="R26">
        <v>28.619571043136794</v>
      </c>
      <c r="S26">
        <v>28.473535810824739</v>
      </c>
      <c r="T26">
        <v>28.422396540913045</v>
      </c>
      <c r="U26">
        <v>28.511313403592776</v>
      </c>
      <c r="V26">
        <v>28.693303531089384</v>
      </c>
      <c r="W26">
        <v>29.016107884030255</v>
      </c>
      <c r="X26">
        <v>29.388337795805636</v>
      </c>
      <c r="Y26">
        <v>29.889647349633197</v>
      </c>
      <c r="Z26">
        <v>30.458391168123402</v>
      </c>
    </row>
    <row r="27" spans="1:26">
      <c r="A27" s="178" t="s">
        <v>18912</v>
      </c>
      <c r="B27">
        <v>76.667028505682836</v>
      </c>
      <c r="C27">
        <v>73.182771003767343</v>
      </c>
      <c r="D27">
        <v>69.638643179753387</v>
      </c>
      <c r="E27">
        <v>65.473404451313669</v>
      </c>
      <c r="F27">
        <v>62.389468735645472</v>
      </c>
      <c r="G27">
        <v>59.692488364921751</v>
      </c>
      <c r="H27">
        <v>57.563217503648296</v>
      </c>
      <c r="I27">
        <v>55.747996349361387</v>
      </c>
      <c r="J27" s="5">
        <v>54.067067962238788</v>
      </c>
      <c r="K27" s="5">
        <v>52.141968902404059</v>
      </c>
      <c r="L27" s="5">
        <v>49.292120538557199</v>
      </c>
      <c r="M27" s="5">
        <v>46.851693395203618</v>
      </c>
      <c r="N27" s="5">
        <v>43.869123114878349</v>
      </c>
      <c r="O27" s="5">
        <v>42.499254403961665</v>
      </c>
      <c r="P27" s="5">
        <v>39.163377434676384</v>
      </c>
      <c r="Q27" s="5">
        <v>36.426823926863321</v>
      </c>
      <c r="R27" s="5">
        <v>34.959333889669885</v>
      </c>
      <c r="S27" s="5">
        <v>32.683692290966434</v>
      </c>
      <c r="T27" s="5">
        <v>30.24580082456124</v>
      </c>
      <c r="U27" s="5">
        <v>28.725368705469613</v>
      </c>
      <c r="V27" s="5">
        <v>26.562925206471977</v>
      </c>
      <c r="W27" s="5">
        <v>24.431209184986084</v>
      </c>
      <c r="X27" s="5">
        <v>22.726508653850789</v>
      </c>
      <c r="Y27" s="5">
        <v>21.809368709875869</v>
      </c>
      <c r="Z27" s="5">
        <v>20.646427053215046</v>
      </c>
    </row>
    <row r="28" spans="1:26">
      <c r="A28" s="178" t="s">
        <v>18913</v>
      </c>
      <c r="B28">
        <f t="shared" ref="B28:J28" si="15">SUM(B26:B27)</f>
        <v>124.07507529095639</v>
      </c>
      <c r="C28">
        <f t="shared" si="15"/>
        <v>118.7098921038353</v>
      </c>
      <c r="D28">
        <f t="shared" si="15"/>
        <v>113.37010110699597</v>
      </c>
      <c r="E28">
        <f t="shared" si="15"/>
        <v>107.31499808380008</v>
      </c>
      <c r="F28">
        <f t="shared" si="15"/>
        <v>102.47533393449302</v>
      </c>
      <c r="G28">
        <f t="shared" si="15"/>
        <v>98.120334080829096</v>
      </c>
      <c r="H28">
        <f t="shared" si="15"/>
        <v>94.410595139377762</v>
      </c>
      <c r="I28">
        <f t="shared" si="15"/>
        <v>91.109010956617638</v>
      </c>
      <c r="J28" s="5">
        <f t="shared" si="15"/>
        <v>88.027587810867942</v>
      </c>
      <c r="K28" s="5">
        <f t="shared" ref="K28:Z28" si="16">SUM(K26:K27)</f>
        <v>84.960777881910815</v>
      </c>
      <c r="L28" s="5">
        <f t="shared" si="16"/>
        <v>81.140118937867186</v>
      </c>
      <c r="M28" s="5">
        <f t="shared" si="16"/>
        <v>77.888316420846564</v>
      </c>
      <c r="N28" s="5">
        <f t="shared" si="16"/>
        <v>74.252661476753644</v>
      </c>
      <c r="O28" s="5">
        <f t="shared" si="16"/>
        <v>72.248717940536693</v>
      </c>
      <c r="P28" s="5">
        <f t="shared" si="16"/>
        <v>68.452389142379829</v>
      </c>
      <c r="Q28" s="5">
        <f t="shared" si="16"/>
        <v>65.318705509187822</v>
      </c>
      <c r="R28" s="5">
        <f t="shared" si="16"/>
        <v>63.57890493280668</v>
      </c>
      <c r="S28" s="5">
        <f t="shared" si="16"/>
        <v>61.157228101791176</v>
      </c>
      <c r="T28" s="5">
        <f t="shared" si="16"/>
        <v>58.668197365474285</v>
      </c>
      <c r="U28" s="5">
        <f t="shared" si="16"/>
        <v>57.236682109062386</v>
      </c>
      <c r="V28" s="5">
        <f t="shared" si="16"/>
        <v>55.256228737561358</v>
      </c>
      <c r="W28" s="5">
        <f t="shared" si="16"/>
        <v>53.447317069016336</v>
      </c>
      <c r="X28" s="5">
        <f t="shared" si="16"/>
        <v>52.114846449656426</v>
      </c>
      <c r="Y28" s="5">
        <f t="shared" si="16"/>
        <v>51.699016059509063</v>
      </c>
      <c r="Z28" s="5">
        <f t="shared" si="16"/>
        <v>51.104818221338448</v>
      </c>
    </row>
    <row r="29" spans="1:26">
      <c r="A29" s="179" t="s">
        <v>18910</v>
      </c>
      <c r="B29" s="180">
        <f t="shared" ref="B29:J29" si="17">B28/B$88</f>
        <v>2.4146911115972468E-2</v>
      </c>
      <c r="C29" s="180">
        <f t="shared" si="17"/>
        <v>2.4086617614022737E-2</v>
      </c>
      <c r="D29" s="180">
        <f t="shared" si="17"/>
        <v>2.3735194710821108E-2</v>
      </c>
      <c r="E29" s="180">
        <f t="shared" si="17"/>
        <v>2.3627204384525383E-2</v>
      </c>
      <c r="F29" s="98">
        <f t="shared" si="17"/>
        <v>2.3307514642319595E-2</v>
      </c>
      <c r="G29" s="98">
        <f t="shared" si="17"/>
        <v>2.3097603213390844E-2</v>
      </c>
      <c r="H29" s="98">
        <f t="shared" si="17"/>
        <v>2.2829051016115775E-2</v>
      </c>
      <c r="I29" s="98">
        <f t="shared" si="17"/>
        <v>2.2604376078988492E-2</v>
      </c>
      <c r="J29" s="181">
        <f t="shared" si="17"/>
        <v>2.2359271967286955E-2</v>
      </c>
      <c r="K29" s="181">
        <f t="shared" ref="K29:Z29" si="18">K28/K$88</f>
        <v>2.2046855506812013E-2</v>
      </c>
      <c r="L29" s="181">
        <f t="shared" si="18"/>
        <v>2.1524924816255057E-2</v>
      </c>
      <c r="M29" s="181">
        <f t="shared" si="18"/>
        <v>2.114461012170589E-2</v>
      </c>
      <c r="N29" s="181">
        <f t="shared" si="18"/>
        <v>2.0650873202873937E-2</v>
      </c>
      <c r="O29" s="181">
        <f t="shared" si="18"/>
        <v>2.0474246884092665E-2</v>
      </c>
      <c r="P29" s="181">
        <f t="shared" si="18"/>
        <v>1.9976618067486157E-2</v>
      </c>
      <c r="Q29" s="181">
        <f t="shared" si="18"/>
        <v>1.9508580528442135E-2</v>
      </c>
      <c r="R29" s="181">
        <f t="shared" si="18"/>
        <v>1.9324344880303521E-2</v>
      </c>
      <c r="S29" s="181">
        <f t="shared" si="18"/>
        <v>1.8888128481826291E-2</v>
      </c>
      <c r="T29" s="181">
        <f t="shared" si="18"/>
        <v>1.8347751146305907E-2</v>
      </c>
      <c r="U29" s="181">
        <f t="shared" si="18"/>
        <v>1.8097076752967695E-2</v>
      </c>
      <c r="V29" s="181">
        <f t="shared" si="18"/>
        <v>1.7660863584394396E-2</v>
      </c>
      <c r="W29" s="181">
        <f t="shared" si="18"/>
        <v>1.7282992200457713E-2</v>
      </c>
      <c r="X29" s="181">
        <f t="shared" si="18"/>
        <v>1.7011895236617169E-2</v>
      </c>
      <c r="Y29" s="181">
        <f t="shared" si="18"/>
        <v>1.6872248780568359E-2</v>
      </c>
      <c r="Z29" s="181">
        <f t="shared" si="18"/>
        <v>1.6647458873114935E-2</v>
      </c>
    </row>
    <row r="30" spans="1:26">
      <c r="A30" s="53" t="s">
        <v>420</v>
      </c>
      <c r="F30" s="134"/>
      <c r="G30" s="134"/>
      <c r="H30" s="134"/>
      <c r="I30" s="134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</row>
    <row r="31" spans="1:26">
      <c r="A31" s="178" t="s">
        <v>18911</v>
      </c>
      <c r="B31">
        <v>35.975794460729645</v>
      </c>
      <c r="C31">
        <v>34.783022503764741</v>
      </c>
      <c r="D31">
        <v>33.824588109809554</v>
      </c>
      <c r="E31">
        <v>32.820825800418312</v>
      </c>
      <c r="F31">
        <v>31.936847695013501</v>
      </c>
      <c r="G31">
        <v>31.102259946897231</v>
      </c>
      <c r="H31">
        <v>30.275103440598546</v>
      </c>
      <c r="I31">
        <v>29.506520505507236</v>
      </c>
      <c r="J31">
        <v>28.706955059436293</v>
      </c>
      <c r="K31">
        <v>28.052794091269686</v>
      </c>
      <c r="L31">
        <v>27.455099835825873</v>
      </c>
      <c r="M31">
        <v>26.832733641432174</v>
      </c>
      <c r="N31">
        <v>26.339761415038229</v>
      </c>
      <c r="O31">
        <v>25.802366074557881</v>
      </c>
      <c r="P31">
        <v>25.412965639769013</v>
      </c>
      <c r="Q31">
        <v>25.05087923685134</v>
      </c>
      <c r="R31">
        <v>24.719728337505838</v>
      </c>
      <c r="S31">
        <v>24.476886147245327</v>
      </c>
      <c r="T31">
        <v>24.27719521126421</v>
      </c>
      <c r="U31">
        <v>24.143288929812993</v>
      </c>
      <c r="V31">
        <v>24.044484912484339</v>
      </c>
      <c r="W31">
        <v>24.012206805323377</v>
      </c>
      <c r="X31">
        <v>24.009818078433909</v>
      </c>
      <c r="Y31">
        <v>24.066721645643721</v>
      </c>
      <c r="Z31">
        <v>24.14410297557971</v>
      </c>
    </row>
    <row r="32" spans="1:26">
      <c r="A32" s="178" t="s">
        <v>18912</v>
      </c>
      <c r="B32">
        <v>59.853955218134701</v>
      </c>
      <c r="C32">
        <v>56.307483387049253</v>
      </c>
      <c r="D32">
        <v>53.204038052009345</v>
      </c>
      <c r="E32">
        <v>49.376734518507341</v>
      </c>
      <c r="F32">
        <v>46.218501007714707</v>
      </c>
      <c r="G32">
        <v>43.3215651766915</v>
      </c>
      <c r="H32">
        <v>40.770141390275406</v>
      </c>
      <c r="I32">
        <v>38.349556681301991</v>
      </c>
      <c r="J32" s="5">
        <v>36.27130572790503</v>
      </c>
      <c r="K32" s="5">
        <v>34.424534274870631</v>
      </c>
      <c r="L32" s="5">
        <v>32.616280720692679</v>
      </c>
      <c r="M32" s="5">
        <v>30.902344706041841</v>
      </c>
      <c r="N32" s="5">
        <v>29.270477265632842</v>
      </c>
      <c r="O32" s="5">
        <v>27.771107918219037</v>
      </c>
      <c r="P32" s="5">
        <v>26.334323300142803</v>
      </c>
      <c r="Q32" s="5">
        <v>24.93853383576943</v>
      </c>
      <c r="R32" s="5">
        <v>23.702407403896011</v>
      </c>
      <c r="S32" s="5">
        <v>22.523389233187235</v>
      </c>
      <c r="T32" s="5">
        <v>21.488158881884903</v>
      </c>
      <c r="U32" s="5">
        <v>20.534542010984982</v>
      </c>
      <c r="V32" s="5">
        <v>19.627316190026718</v>
      </c>
      <c r="W32" s="5">
        <v>18.763719837890289</v>
      </c>
      <c r="X32" s="5">
        <v>17.970872967695065</v>
      </c>
      <c r="Y32" s="5">
        <v>17.232923895813894</v>
      </c>
      <c r="Z32" s="5">
        <v>16.5694181500997</v>
      </c>
    </row>
    <row r="33" spans="1:26">
      <c r="A33" s="178" t="s">
        <v>18913</v>
      </c>
      <c r="B33">
        <f t="shared" ref="B33:J33" si="19">SUM(B31:B32)</f>
        <v>95.829749678864346</v>
      </c>
      <c r="C33">
        <f t="shared" si="19"/>
        <v>91.090505890814001</v>
      </c>
      <c r="D33">
        <f t="shared" si="19"/>
        <v>87.028626161818892</v>
      </c>
      <c r="E33">
        <f t="shared" si="19"/>
        <v>82.197560318925653</v>
      </c>
      <c r="F33">
        <f t="shared" si="19"/>
        <v>78.155348702728205</v>
      </c>
      <c r="G33">
        <f t="shared" si="19"/>
        <v>74.423825123588728</v>
      </c>
      <c r="H33">
        <f t="shared" si="19"/>
        <v>71.045244830873955</v>
      </c>
      <c r="I33">
        <f t="shared" si="19"/>
        <v>67.85607718680923</v>
      </c>
      <c r="J33" s="5">
        <f t="shared" si="19"/>
        <v>64.978260787341327</v>
      </c>
      <c r="K33" s="5">
        <f t="shared" ref="K33:Z33" si="20">SUM(K31:K32)</f>
        <v>62.477328366140313</v>
      </c>
      <c r="L33" s="5">
        <f t="shared" si="20"/>
        <v>60.071380556518548</v>
      </c>
      <c r="M33" s="5">
        <f t="shared" si="20"/>
        <v>57.735078347474015</v>
      </c>
      <c r="N33" s="5">
        <f t="shared" si="20"/>
        <v>55.610238680671074</v>
      </c>
      <c r="O33" s="5">
        <f t="shared" si="20"/>
        <v>53.573473992776918</v>
      </c>
      <c r="P33" s="5">
        <f t="shared" si="20"/>
        <v>51.747288939911812</v>
      </c>
      <c r="Q33" s="5">
        <f t="shared" si="20"/>
        <v>49.989413072620771</v>
      </c>
      <c r="R33" s="5">
        <f t="shared" si="20"/>
        <v>48.422135741401846</v>
      </c>
      <c r="S33" s="5">
        <f t="shared" si="20"/>
        <v>47.000275380432562</v>
      </c>
      <c r="T33" s="5">
        <f t="shared" si="20"/>
        <v>45.765354093149114</v>
      </c>
      <c r="U33" s="5">
        <f t="shared" si="20"/>
        <v>44.677830940797975</v>
      </c>
      <c r="V33" s="5">
        <f t="shared" si="20"/>
        <v>43.671801102511054</v>
      </c>
      <c r="W33" s="5">
        <f t="shared" si="20"/>
        <v>42.775926643213666</v>
      </c>
      <c r="X33" s="5">
        <f t="shared" si="20"/>
        <v>41.980691046128975</v>
      </c>
      <c r="Y33" s="5">
        <f t="shared" si="20"/>
        <v>41.299645541457615</v>
      </c>
      <c r="Z33" s="5">
        <f t="shared" si="20"/>
        <v>40.713521125679407</v>
      </c>
    </row>
    <row r="34" spans="1:26">
      <c r="A34" s="178" t="s">
        <v>18910</v>
      </c>
      <c r="B34" s="98">
        <f t="shared" ref="B34:J34" si="21">B33/B$88</f>
        <v>1.8649937889097464E-2</v>
      </c>
      <c r="C34" s="98">
        <f t="shared" si="21"/>
        <v>1.8482555621740272E-2</v>
      </c>
      <c r="D34" s="98">
        <f t="shared" si="21"/>
        <v>1.8220336466106955E-2</v>
      </c>
      <c r="E34" s="98">
        <f t="shared" si="21"/>
        <v>1.8097177395913152E-2</v>
      </c>
      <c r="F34" s="98">
        <f t="shared" si="21"/>
        <v>1.7776052678480529E-2</v>
      </c>
      <c r="G34" s="98">
        <f t="shared" si="21"/>
        <v>1.7519426512667208E-2</v>
      </c>
      <c r="H34" s="98">
        <f t="shared" si="21"/>
        <v>1.7179168464112136E-2</v>
      </c>
      <c r="I34" s="98">
        <f t="shared" si="21"/>
        <v>1.6835264392298811E-2</v>
      </c>
      <c r="J34" s="181">
        <f t="shared" si="21"/>
        <v>1.6504673603314281E-2</v>
      </c>
      <c r="K34" s="181">
        <f t="shared" ref="K34:Z34" si="22">K33/K$88</f>
        <v>1.6212523770138577E-2</v>
      </c>
      <c r="L34" s="181">
        <f t="shared" si="22"/>
        <v>1.5935790666979959E-2</v>
      </c>
      <c r="M34" s="181">
        <f t="shared" si="22"/>
        <v>1.5673541014897867E-2</v>
      </c>
      <c r="N34" s="181">
        <f t="shared" si="22"/>
        <v>1.5466112122265471E-2</v>
      </c>
      <c r="O34" s="181">
        <f t="shared" si="22"/>
        <v>1.5181951517387497E-2</v>
      </c>
      <c r="P34" s="181">
        <f t="shared" si="22"/>
        <v>1.5101530277202095E-2</v>
      </c>
      <c r="Q34" s="181">
        <f t="shared" si="22"/>
        <v>1.4930217659619788E-2</v>
      </c>
      <c r="R34" s="181">
        <f t="shared" si="22"/>
        <v>1.4717555325884306E-2</v>
      </c>
      <c r="S34" s="181">
        <f t="shared" si="22"/>
        <v>1.4515818777614398E-2</v>
      </c>
      <c r="T34" s="181">
        <f t="shared" si="22"/>
        <v>1.431254692883786E-2</v>
      </c>
      <c r="U34" s="181">
        <f t="shared" si="22"/>
        <v>1.4126223007670085E-2</v>
      </c>
      <c r="V34" s="181">
        <f t="shared" si="22"/>
        <v>1.395827654868456E-2</v>
      </c>
      <c r="W34" s="181">
        <f t="shared" si="22"/>
        <v>1.3832237932305615E-2</v>
      </c>
      <c r="X34" s="181">
        <f t="shared" si="22"/>
        <v>1.370379396066026E-2</v>
      </c>
      <c r="Y34" s="181">
        <f t="shared" si="22"/>
        <v>1.3478358917366613E-2</v>
      </c>
      <c r="Z34" s="181">
        <f t="shared" si="22"/>
        <v>1.3262480762262906E-2</v>
      </c>
    </row>
    <row r="35" spans="1:26">
      <c r="A35" s="95" t="s">
        <v>258</v>
      </c>
      <c r="B35" s="134"/>
      <c r="C35" s="134"/>
      <c r="D35" s="134"/>
      <c r="E35" s="134"/>
      <c r="F35" s="134"/>
      <c r="G35" s="134"/>
      <c r="H35" s="134"/>
      <c r="I35" s="134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</row>
    <row r="36" spans="1:26">
      <c r="A36" s="178" t="s">
        <v>18911</v>
      </c>
      <c r="B36">
        <v>37.765989126542934</v>
      </c>
      <c r="C36">
        <v>36.102800772967328</v>
      </c>
      <c r="D36">
        <v>34.559504505479765</v>
      </c>
      <c r="E36">
        <v>32.965007316076935</v>
      </c>
      <c r="F36">
        <v>31.465195693650465</v>
      </c>
      <c r="G36">
        <v>30.019775689470332</v>
      </c>
      <c r="H36">
        <v>28.657926049450555</v>
      </c>
      <c r="I36">
        <v>27.356246834216385</v>
      </c>
      <c r="J36">
        <v>26.103816052605737</v>
      </c>
      <c r="K36">
        <v>24.947738433980849</v>
      </c>
      <c r="L36">
        <v>23.918434692619332</v>
      </c>
      <c r="M36">
        <v>22.980233735151682</v>
      </c>
      <c r="N36">
        <v>22.1537126372416</v>
      </c>
      <c r="O36">
        <v>21.349804529674799</v>
      </c>
      <c r="P36">
        <v>20.651755432289544</v>
      </c>
      <c r="Q36">
        <v>20.00028215501019</v>
      </c>
      <c r="R36">
        <v>19.412487487629434</v>
      </c>
      <c r="S36">
        <v>18.901650696787975</v>
      </c>
      <c r="T36">
        <v>18.463603398240895</v>
      </c>
      <c r="U36">
        <v>18.099980617639908</v>
      </c>
      <c r="V36">
        <v>17.785809486985244</v>
      </c>
      <c r="W36">
        <v>17.545794330339223</v>
      </c>
      <c r="X36">
        <v>17.328040947391109</v>
      </c>
      <c r="Y36">
        <v>17.188157809969912</v>
      </c>
      <c r="Z36">
        <v>17.072333987795631</v>
      </c>
    </row>
    <row r="37" spans="1:26">
      <c r="A37" s="178" t="s">
        <v>18912</v>
      </c>
      <c r="B37">
        <v>86.865557044323651</v>
      </c>
      <c r="C37">
        <v>81.986526574817759</v>
      </c>
      <c r="D37">
        <v>77.329326001209296</v>
      </c>
      <c r="E37">
        <v>72.467618173885668</v>
      </c>
      <c r="F37">
        <v>68.016913373191798</v>
      </c>
      <c r="G37">
        <v>64.134356427555815</v>
      </c>
      <c r="H37">
        <v>60.474352672678648</v>
      </c>
      <c r="I37">
        <v>57.080807794282798</v>
      </c>
      <c r="J37" s="5">
        <v>53.832387079338517</v>
      </c>
      <c r="K37" s="5">
        <v>51.082596824912265</v>
      </c>
      <c r="L37" s="5">
        <v>48.049485024044266</v>
      </c>
      <c r="M37" s="5">
        <v>45.286323392983626</v>
      </c>
      <c r="N37" s="5">
        <v>42.788483314720473</v>
      </c>
      <c r="O37" s="5">
        <v>40.483486896446578</v>
      </c>
      <c r="P37" s="5">
        <v>38.49989635099552</v>
      </c>
      <c r="Q37" s="5">
        <v>36.160583240192786</v>
      </c>
      <c r="R37" s="5">
        <v>34.071074716453104</v>
      </c>
      <c r="S37" s="5">
        <v>32.389289596515454</v>
      </c>
      <c r="T37" s="5">
        <v>30.504154689510621</v>
      </c>
      <c r="U37" s="5">
        <v>28.917867155666226</v>
      </c>
      <c r="V37" s="5">
        <v>27.447577084610565</v>
      </c>
      <c r="W37" s="5">
        <v>25.782278206105175</v>
      </c>
      <c r="X37" s="5">
        <v>24.510710775207777</v>
      </c>
      <c r="Y37" s="5">
        <v>23.329174371047849</v>
      </c>
      <c r="Z37" s="5">
        <v>22.335139447354191</v>
      </c>
    </row>
    <row r="38" spans="1:26">
      <c r="A38" s="178" t="s">
        <v>18913</v>
      </c>
      <c r="B38">
        <f t="shared" ref="B38:J38" si="23">SUM(B36:B37)</f>
        <v>124.63154617086659</v>
      </c>
      <c r="C38">
        <f t="shared" si="23"/>
        <v>118.08932734778509</v>
      </c>
      <c r="D38">
        <f t="shared" si="23"/>
        <v>111.88883050668906</v>
      </c>
      <c r="E38">
        <f t="shared" si="23"/>
        <v>105.4326254899626</v>
      </c>
      <c r="F38">
        <f t="shared" si="23"/>
        <v>99.48210906684227</v>
      </c>
      <c r="G38">
        <f t="shared" si="23"/>
        <v>94.154132117026151</v>
      </c>
      <c r="H38">
        <f t="shared" si="23"/>
        <v>89.1322787221292</v>
      </c>
      <c r="I38">
        <f t="shared" si="23"/>
        <v>84.437054628499183</v>
      </c>
      <c r="J38" s="5">
        <f t="shared" si="23"/>
        <v>79.936203131944254</v>
      </c>
      <c r="K38" s="5">
        <f t="shared" ref="K38:Z38" si="24">SUM(K36:K37)</f>
        <v>76.030335258893118</v>
      </c>
      <c r="L38" s="5">
        <f t="shared" si="24"/>
        <v>71.967919716663602</v>
      </c>
      <c r="M38" s="5">
        <f t="shared" si="24"/>
        <v>68.266557128135304</v>
      </c>
      <c r="N38" s="5">
        <f t="shared" si="24"/>
        <v>64.942195951962077</v>
      </c>
      <c r="O38" s="5">
        <f t="shared" si="24"/>
        <v>61.833291426121377</v>
      </c>
      <c r="P38" s="5">
        <f t="shared" si="24"/>
        <v>59.151651783285061</v>
      </c>
      <c r="Q38" s="5">
        <f t="shared" si="24"/>
        <v>56.160865395202975</v>
      </c>
      <c r="R38" s="5">
        <f t="shared" si="24"/>
        <v>53.483562204082538</v>
      </c>
      <c r="S38" s="5">
        <f t="shared" si="24"/>
        <v>51.290940293303429</v>
      </c>
      <c r="T38" s="5">
        <f t="shared" si="24"/>
        <v>48.96775808775152</v>
      </c>
      <c r="U38" s="5">
        <f t="shared" si="24"/>
        <v>47.01784777330613</v>
      </c>
      <c r="V38" s="5">
        <f t="shared" si="24"/>
        <v>45.233386571595808</v>
      </c>
      <c r="W38" s="5">
        <f t="shared" si="24"/>
        <v>43.328072536444395</v>
      </c>
      <c r="X38" s="5">
        <f t="shared" si="24"/>
        <v>41.838751722598886</v>
      </c>
      <c r="Y38" s="5">
        <f t="shared" si="24"/>
        <v>40.517332181017764</v>
      </c>
      <c r="Z38" s="5">
        <f t="shared" si="24"/>
        <v>39.407473435149825</v>
      </c>
    </row>
    <row r="39" spans="1:26">
      <c r="A39" s="179" t="s">
        <v>18910</v>
      </c>
      <c r="B39" s="180">
        <f t="shared" ref="B39:J39" si="25">B38/B$88</f>
        <v>2.4255208877181224E-2</v>
      </c>
      <c r="C39" s="180">
        <f t="shared" si="25"/>
        <v>2.3960703035896033E-2</v>
      </c>
      <c r="D39" s="180">
        <f t="shared" si="25"/>
        <v>2.3425075501484618E-2</v>
      </c>
      <c r="E39" s="180">
        <f t="shared" si="25"/>
        <v>2.3212768352315817E-2</v>
      </c>
      <c r="F39" s="98">
        <f t="shared" si="25"/>
        <v>2.262672025256799E-2</v>
      </c>
      <c r="G39" s="98">
        <f t="shared" si="25"/>
        <v>2.2163956175982411E-2</v>
      </c>
      <c r="H39" s="98">
        <f t="shared" si="25"/>
        <v>2.155272228849069E-2</v>
      </c>
      <c r="I39" s="98">
        <f t="shared" si="25"/>
        <v>2.0949046837238861E-2</v>
      </c>
      <c r="J39" s="181">
        <f t="shared" si="25"/>
        <v>2.0304035931321678E-2</v>
      </c>
      <c r="K39" s="181">
        <f t="shared" ref="K39:Z39" si="26">K38/K$88</f>
        <v>1.9729454665741483E-2</v>
      </c>
      <c r="L39" s="181">
        <f t="shared" si="26"/>
        <v>1.9091715434502703E-2</v>
      </c>
      <c r="M39" s="181">
        <f t="shared" si="26"/>
        <v>1.8532557913130639E-2</v>
      </c>
      <c r="N39" s="181">
        <f t="shared" si="26"/>
        <v>1.8061481264749352E-2</v>
      </c>
      <c r="O39" s="181">
        <f t="shared" si="26"/>
        <v>1.7522664905367802E-2</v>
      </c>
      <c r="P39" s="181">
        <f t="shared" si="26"/>
        <v>1.7262362505387648E-2</v>
      </c>
      <c r="Q39" s="181">
        <f t="shared" si="26"/>
        <v>1.6773430467865062E-2</v>
      </c>
      <c r="R39" s="181">
        <f t="shared" si="26"/>
        <v>1.6255939018628079E-2</v>
      </c>
      <c r="S39" s="181">
        <f t="shared" si="26"/>
        <v>1.5840970892289707E-2</v>
      </c>
      <c r="T39" s="181">
        <f t="shared" si="26"/>
        <v>1.5314059063203843E-2</v>
      </c>
      <c r="U39" s="181">
        <f t="shared" si="26"/>
        <v>1.4866088818557671E-2</v>
      </c>
      <c r="V39" s="181">
        <f t="shared" si="26"/>
        <v>1.4457386758971697E-2</v>
      </c>
      <c r="W39" s="181">
        <f t="shared" si="26"/>
        <v>1.4010782594405285E-2</v>
      </c>
      <c r="X39" s="181">
        <f t="shared" si="26"/>
        <v>1.3657460582240297E-2</v>
      </c>
      <c r="Y39" s="181">
        <f t="shared" si="26"/>
        <v>1.3223046792537965E-2</v>
      </c>
      <c r="Z39" s="181">
        <f t="shared" si="26"/>
        <v>1.2837034082847079E-2</v>
      </c>
    </row>
    <row r="40" spans="1:26">
      <c r="A40" s="53" t="s">
        <v>259</v>
      </c>
      <c r="F40" s="134"/>
      <c r="G40" s="134"/>
      <c r="H40" s="134"/>
      <c r="I40" s="134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</row>
    <row r="41" spans="1:26">
      <c r="A41" s="178" t="s">
        <v>18911</v>
      </c>
      <c r="B41">
        <v>21.153451723397158</v>
      </c>
      <c r="C41">
        <v>20.418214867536278</v>
      </c>
      <c r="D41">
        <v>19.752559699349487</v>
      </c>
      <c r="E41">
        <v>19.063686446358872</v>
      </c>
      <c r="F41">
        <v>18.463128234855311</v>
      </c>
      <c r="G41">
        <v>17.908482179358383</v>
      </c>
      <c r="H41">
        <v>17.395221221670877</v>
      </c>
      <c r="I41">
        <v>16.907325706600865</v>
      </c>
      <c r="J41">
        <v>16.445935226695937</v>
      </c>
      <c r="K41">
        <v>16.068591483496366</v>
      </c>
      <c r="L41">
        <v>15.752479391745743</v>
      </c>
      <c r="M41">
        <v>15.482812953410804</v>
      </c>
      <c r="N41">
        <v>15.267946220390927</v>
      </c>
      <c r="O41">
        <v>15.071204217988516</v>
      </c>
      <c r="P41">
        <v>14.932436783187232</v>
      </c>
      <c r="Q41">
        <v>14.81484467588402</v>
      </c>
      <c r="R41">
        <v>14.735557015032835</v>
      </c>
      <c r="S41">
        <v>14.690215647111584</v>
      </c>
      <c r="T41">
        <v>14.675438082360369</v>
      </c>
      <c r="U41">
        <v>14.704337690798072</v>
      </c>
      <c r="V41">
        <v>14.760897073248682</v>
      </c>
      <c r="W41">
        <v>14.854620462931004</v>
      </c>
      <c r="X41">
        <v>14.967147522279808</v>
      </c>
      <c r="Y41">
        <v>15.116518019265662</v>
      </c>
      <c r="Z41">
        <v>15.282619787086528</v>
      </c>
    </row>
    <row r="42" spans="1:26">
      <c r="A42" s="178" t="s">
        <v>18912</v>
      </c>
      <c r="B42">
        <v>63.781260338922515</v>
      </c>
      <c r="C42">
        <v>61.001347115776696</v>
      </c>
      <c r="D42">
        <v>58.488836701143732</v>
      </c>
      <c r="E42">
        <v>55.49123219736682</v>
      </c>
      <c r="F42">
        <v>53.033917474587426</v>
      </c>
      <c r="G42">
        <v>51.345498112621861</v>
      </c>
      <c r="H42">
        <v>49.469465965770063</v>
      </c>
      <c r="I42">
        <v>47.634136607543539</v>
      </c>
      <c r="J42" s="5">
        <v>46.596866848386064</v>
      </c>
      <c r="K42" s="5">
        <v>44.445050384624764</v>
      </c>
      <c r="L42" s="5">
        <v>42.570165676780327</v>
      </c>
      <c r="M42" s="5">
        <v>40.818777455736537</v>
      </c>
      <c r="N42" s="5">
        <v>38.50345123953521</v>
      </c>
      <c r="O42" s="5">
        <v>36.655255161954905</v>
      </c>
      <c r="P42" s="5">
        <v>33.853807560104777</v>
      </c>
      <c r="Q42" s="5">
        <v>31.300324528089476</v>
      </c>
      <c r="R42" s="5">
        <v>29.630832172604755</v>
      </c>
      <c r="S42" s="5">
        <v>27.80466809047147</v>
      </c>
      <c r="T42" s="5">
        <v>26.281492203011997</v>
      </c>
      <c r="U42" s="5">
        <v>24.148287196399028</v>
      </c>
      <c r="V42" s="5">
        <v>22.4167126599211</v>
      </c>
      <c r="W42" s="5">
        <v>20.721904950112521</v>
      </c>
      <c r="X42" s="5">
        <v>18.703867060048285</v>
      </c>
      <c r="Y42" s="5">
        <v>18.230016752312423</v>
      </c>
      <c r="Z42" s="5">
        <v>17.088292678088141</v>
      </c>
    </row>
    <row r="43" spans="1:26">
      <c r="A43" s="178" t="s">
        <v>18913</v>
      </c>
      <c r="B43">
        <f t="shared" ref="B43:J43" si="27">SUM(B41:B42)</f>
        <v>84.934712062319676</v>
      </c>
      <c r="C43">
        <f t="shared" si="27"/>
        <v>81.419561983312974</v>
      </c>
      <c r="D43">
        <f t="shared" si="27"/>
        <v>78.241396400493215</v>
      </c>
      <c r="E43">
        <f t="shared" si="27"/>
        <v>74.554918643725699</v>
      </c>
      <c r="F43">
        <f t="shared" si="27"/>
        <v>71.497045709442745</v>
      </c>
      <c r="G43">
        <f t="shared" si="27"/>
        <v>69.253980291980241</v>
      </c>
      <c r="H43">
        <f t="shared" si="27"/>
        <v>66.864687187440936</v>
      </c>
      <c r="I43">
        <f t="shared" si="27"/>
        <v>64.541462314144411</v>
      </c>
      <c r="J43" s="5">
        <f t="shared" si="27"/>
        <v>63.042802075082001</v>
      </c>
      <c r="K43" s="5">
        <f t="shared" ref="K43:Z43" si="28">SUM(K41:K42)</f>
        <v>60.513641868121127</v>
      </c>
      <c r="L43" s="5">
        <f t="shared" si="28"/>
        <v>58.322645068526072</v>
      </c>
      <c r="M43" s="5">
        <f t="shared" si="28"/>
        <v>56.301590409147337</v>
      </c>
      <c r="N43" s="5">
        <f t="shared" si="28"/>
        <v>53.771397459926135</v>
      </c>
      <c r="O43" s="5">
        <f t="shared" si="28"/>
        <v>51.726459379943421</v>
      </c>
      <c r="P43" s="5">
        <f t="shared" si="28"/>
        <v>48.786244343292012</v>
      </c>
      <c r="Q43" s="5">
        <f t="shared" si="28"/>
        <v>46.115169203973494</v>
      </c>
      <c r="R43" s="5">
        <f t="shared" si="28"/>
        <v>44.366389187637594</v>
      </c>
      <c r="S43" s="5">
        <f t="shared" si="28"/>
        <v>42.494883737583052</v>
      </c>
      <c r="T43" s="5">
        <f t="shared" si="28"/>
        <v>40.956930285372366</v>
      </c>
      <c r="U43" s="5">
        <f t="shared" si="28"/>
        <v>38.852624887197102</v>
      </c>
      <c r="V43" s="5">
        <f t="shared" si="28"/>
        <v>37.177609733169781</v>
      </c>
      <c r="W43" s="5">
        <f t="shared" si="28"/>
        <v>35.576525413043527</v>
      </c>
      <c r="X43" s="5">
        <f t="shared" si="28"/>
        <v>33.671014582328091</v>
      </c>
      <c r="Y43" s="5">
        <f t="shared" si="28"/>
        <v>33.346534771578085</v>
      </c>
      <c r="Z43" s="5">
        <f t="shared" si="28"/>
        <v>32.370912465174669</v>
      </c>
    </row>
    <row r="44" spans="1:26">
      <c r="A44" s="178" t="s">
        <v>18910</v>
      </c>
      <c r="B44" s="98">
        <f t="shared" ref="B44:J44" si="29">B43/B$88</f>
        <v>1.6529596601252555E-2</v>
      </c>
      <c r="C44" s="98">
        <f t="shared" si="29"/>
        <v>1.6520290104196984E-2</v>
      </c>
      <c r="D44" s="98">
        <f t="shared" si="29"/>
        <v>1.6380639691408422E-2</v>
      </c>
      <c r="E44" s="98">
        <f t="shared" si="29"/>
        <v>1.6414521102552981E-2</v>
      </c>
      <c r="F44" s="98">
        <f t="shared" si="29"/>
        <v>1.6261654153971159E-2</v>
      </c>
      <c r="G44" s="98">
        <f t="shared" si="29"/>
        <v>1.6302441004883223E-2</v>
      </c>
      <c r="H44" s="98">
        <f t="shared" si="29"/>
        <v>1.616828442533608E-2</v>
      </c>
      <c r="I44" s="98">
        <f t="shared" si="29"/>
        <v>1.6012900058057489E-2</v>
      </c>
      <c r="J44" s="181">
        <f t="shared" si="29"/>
        <v>1.6013061271259461E-2</v>
      </c>
      <c r="K44" s="181">
        <f t="shared" ref="K44:Z44" si="30">K43/K$88</f>
        <v>1.57029579026664E-2</v>
      </c>
      <c r="L44" s="181">
        <f t="shared" si="30"/>
        <v>1.5471884520485658E-2</v>
      </c>
      <c r="M44" s="181">
        <f t="shared" si="30"/>
        <v>1.5284387096018539E-2</v>
      </c>
      <c r="N44" s="181">
        <f t="shared" si="30"/>
        <v>1.4954700461934478E-2</v>
      </c>
      <c r="O44" s="181">
        <f t="shared" si="30"/>
        <v>1.4658534157749309E-2</v>
      </c>
      <c r="P44" s="181">
        <f t="shared" si="30"/>
        <v>1.4237401826339221E-2</v>
      </c>
      <c r="Q44" s="181">
        <f t="shared" si="30"/>
        <v>1.3773106570091271E-2</v>
      </c>
      <c r="R44" s="181">
        <f t="shared" si="30"/>
        <v>1.3484840713468867E-2</v>
      </c>
      <c r="S44" s="181">
        <f t="shared" si="30"/>
        <v>1.312434930045875E-2</v>
      </c>
      <c r="T44" s="181">
        <f t="shared" si="30"/>
        <v>1.2808772015123204E-2</v>
      </c>
      <c r="U44" s="181">
        <f t="shared" si="30"/>
        <v>1.2284411128131108E-2</v>
      </c>
      <c r="V44" s="181">
        <f t="shared" si="30"/>
        <v>1.1882618645760701E-2</v>
      </c>
      <c r="W44" s="181">
        <f t="shared" si="30"/>
        <v>1.1504203483947361E-2</v>
      </c>
      <c r="X44" s="181">
        <f t="shared" si="30"/>
        <v>1.0991258952254876E-2</v>
      </c>
      <c r="Y44" s="181">
        <f t="shared" si="30"/>
        <v>1.0882818930022039E-2</v>
      </c>
      <c r="Z44" s="181">
        <f t="shared" si="30"/>
        <v>1.054486548832274E-2</v>
      </c>
    </row>
    <row r="45" spans="1:26">
      <c r="A45" s="95" t="s">
        <v>18904</v>
      </c>
      <c r="B45" s="134"/>
      <c r="C45" s="134"/>
      <c r="D45" s="134"/>
      <c r="E45" s="134"/>
      <c r="F45" s="134"/>
      <c r="G45" s="134"/>
      <c r="H45" s="134"/>
      <c r="I45" s="134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</row>
    <row r="46" spans="1:26">
      <c r="A46" s="178" t="s">
        <v>18911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</row>
    <row r="47" spans="1:26">
      <c r="A47" s="178" t="s">
        <v>18912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</row>
    <row r="48" spans="1:26">
      <c r="A48" s="178" t="s">
        <v>18913</v>
      </c>
      <c r="B48">
        <f t="shared" ref="B48:J48" si="31">SUM(B46:B47)</f>
        <v>0</v>
      </c>
      <c r="C48">
        <f t="shared" si="31"/>
        <v>0</v>
      </c>
      <c r="D48">
        <f t="shared" si="31"/>
        <v>0</v>
      </c>
      <c r="E48">
        <f t="shared" si="31"/>
        <v>0</v>
      </c>
      <c r="F48">
        <f t="shared" si="31"/>
        <v>0</v>
      </c>
      <c r="G48">
        <f t="shared" si="31"/>
        <v>0</v>
      </c>
      <c r="H48">
        <f t="shared" si="31"/>
        <v>0</v>
      </c>
      <c r="I48">
        <f t="shared" si="31"/>
        <v>0</v>
      </c>
      <c r="J48" s="5">
        <f t="shared" si="31"/>
        <v>0</v>
      </c>
      <c r="K48" s="5">
        <f t="shared" ref="K48:Z48" si="32">SUM(K46:K47)</f>
        <v>0</v>
      </c>
      <c r="L48" s="5">
        <f t="shared" si="32"/>
        <v>0</v>
      </c>
      <c r="M48" s="5">
        <f t="shared" si="32"/>
        <v>0</v>
      </c>
      <c r="N48" s="5">
        <f t="shared" si="32"/>
        <v>0</v>
      </c>
      <c r="O48" s="5">
        <f t="shared" si="32"/>
        <v>0</v>
      </c>
      <c r="P48" s="5">
        <f t="shared" si="32"/>
        <v>0</v>
      </c>
      <c r="Q48" s="5">
        <f t="shared" si="32"/>
        <v>0</v>
      </c>
      <c r="R48" s="5">
        <f t="shared" si="32"/>
        <v>0</v>
      </c>
      <c r="S48" s="5">
        <f t="shared" si="32"/>
        <v>0</v>
      </c>
      <c r="T48" s="5">
        <f t="shared" si="32"/>
        <v>0</v>
      </c>
      <c r="U48" s="5">
        <f t="shared" si="32"/>
        <v>0</v>
      </c>
      <c r="V48" s="5">
        <f t="shared" si="32"/>
        <v>0</v>
      </c>
      <c r="W48" s="5">
        <f t="shared" si="32"/>
        <v>0</v>
      </c>
      <c r="X48" s="5">
        <f t="shared" si="32"/>
        <v>0</v>
      </c>
      <c r="Y48" s="5">
        <f t="shared" si="32"/>
        <v>0</v>
      </c>
      <c r="Z48" s="5">
        <f t="shared" si="32"/>
        <v>0</v>
      </c>
    </row>
    <row r="49" spans="1:26">
      <c r="A49" s="179" t="s">
        <v>18910</v>
      </c>
      <c r="B49" s="180">
        <f t="shared" ref="B49:J49" si="33">B48/B$88</f>
        <v>0</v>
      </c>
      <c r="C49" s="180">
        <f t="shared" si="33"/>
        <v>0</v>
      </c>
      <c r="D49" s="180">
        <f t="shared" si="33"/>
        <v>0</v>
      </c>
      <c r="E49" s="180">
        <f t="shared" si="33"/>
        <v>0</v>
      </c>
      <c r="F49" s="98">
        <f t="shared" si="33"/>
        <v>0</v>
      </c>
      <c r="G49" s="98">
        <f t="shared" si="33"/>
        <v>0</v>
      </c>
      <c r="H49" s="98">
        <f t="shared" si="33"/>
        <v>0</v>
      </c>
      <c r="I49" s="98">
        <f t="shared" si="33"/>
        <v>0</v>
      </c>
      <c r="J49" s="181">
        <f t="shared" si="33"/>
        <v>0</v>
      </c>
      <c r="K49" s="181">
        <f t="shared" ref="K49:Z49" si="34">K48/K$88</f>
        <v>0</v>
      </c>
      <c r="L49" s="181">
        <f t="shared" si="34"/>
        <v>0</v>
      </c>
      <c r="M49" s="181">
        <f t="shared" si="34"/>
        <v>0</v>
      </c>
      <c r="N49" s="181">
        <f t="shared" si="34"/>
        <v>0</v>
      </c>
      <c r="O49" s="181">
        <f t="shared" si="34"/>
        <v>0</v>
      </c>
      <c r="P49" s="181">
        <f t="shared" si="34"/>
        <v>0</v>
      </c>
      <c r="Q49" s="181">
        <f t="shared" si="34"/>
        <v>0</v>
      </c>
      <c r="R49" s="181">
        <f t="shared" si="34"/>
        <v>0</v>
      </c>
      <c r="S49" s="181">
        <f t="shared" si="34"/>
        <v>0</v>
      </c>
      <c r="T49" s="181">
        <f t="shared" si="34"/>
        <v>0</v>
      </c>
      <c r="U49" s="181">
        <f t="shared" si="34"/>
        <v>0</v>
      </c>
      <c r="V49" s="181">
        <f t="shared" si="34"/>
        <v>0</v>
      </c>
      <c r="W49" s="181">
        <f t="shared" si="34"/>
        <v>0</v>
      </c>
      <c r="X49" s="181">
        <f t="shared" si="34"/>
        <v>0</v>
      </c>
      <c r="Y49" s="181">
        <f t="shared" si="34"/>
        <v>0</v>
      </c>
      <c r="Z49" s="181">
        <f t="shared" si="34"/>
        <v>0</v>
      </c>
    </row>
    <row r="50" spans="1:26">
      <c r="A50" s="53" t="s">
        <v>381</v>
      </c>
      <c r="F50" s="134"/>
      <c r="G50" s="134"/>
      <c r="H50" s="134"/>
      <c r="I50" s="134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</row>
    <row r="51" spans="1:26">
      <c r="A51" s="178" t="s">
        <v>18911</v>
      </c>
      <c r="B51">
        <v>183.07073577889702</v>
      </c>
      <c r="C51">
        <v>178.07884134320571</v>
      </c>
      <c r="D51">
        <v>174.02605561010006</v>
      </c>
      <c r="E51">
        <v>169.52293706974629</v>
      </c>
      <c r="F51">
        <v>165.59074802158889</v>
      </c>
      <c r="G51">
        <v>161.87078805132285</v>
      </c>
      <c r="H51">
        <v>158.18800117519186</v>
      </c>
      <c r="I51">
        <v>154.63087760870292</v>
      </c>
      <c r="J51">
        <v>151.02961311451028</v>
      </c>
      <c r="K51">
        <v>148.15683333227855</v>
      </c>
      <c r="L51">
        <v>145.6802141527713</v>
      </c>
      <c r="M51">
        <v>143.50967865095768</v>
      </c>
      <c r="N51">
        <v>141.68353079905779</v>
      </c>
      <c r="O51">
        <v>139.89981463252224</v>
      </c>
      <c r="P51">
        <v>138.63580748445872</v>
      </c>
      <c r="Q51">
        <v>137.53976420825759</v>
      </c>
      <c r="R51">
        <v>136.75054684833356</v>
      </c>
      <c r="S51">
        <v>136.34391155804144</v>
      </c>
      <c r="T51">
        <v>136.24563843783798</v>
      </c>
      <c r="U51">
        <v>136.52833243621288</v>
      </c>
      <c r="V51">
        <v>137.06611762245731</v>
      </c>
      <c r="W51">
        <v>138.02079364981827</v>
      </c>
      <c r="X51">
        <v>139.12403962986713</v>
      </c>
      <c r="Y51">
        <v>140.61638953765032</v>
      </c>
      <c r="Z51">
        <v>142.29902032274532</v>
      </c>
    </row>
    <row r="52" spans="1:26">
      <c r="A52" s="178" t="s">
        <v>18912</v>
      </c>
      <c r="B52">
        <v>336.39633327385809</v>
      </c>
      <c r="C52">
        <v>317.1690204061793</v>
      </c>
      <c r="D52">
        <v>300.75619036316607</v>
      </c>
      <c r="E52">
        <v>276.9578946472223</v>
      </c>
      <c r="F52">
        <v>260.71095341497397</v>
      </c>
      <c r="G52">
        <v>246.12425265053386</v>
      </c>
      <c r="H52">
        <v>233.63806795279373</v>
      </c>
      <c r="I52">
        <v>222.1293589028146</v>
      </c>
      <c r="J52">
        <v>211.19890133024307</v>
      </c>
      <c r="K52">
        <v>201.17596631292972</v>
      </c>
      <c r="L52">
        <v>190.79664753080351</v>
      </c>
      <c r="M52">
        <v>181.41207759476211</v>
      </c>
      <c r="N52">
        <v>171.76704023862789</v>
      </c>
      <c r="O52">
        <v>162.81769063921945</v>
      </c>
      <c r="P52">
        <v>152.04493147247817</v>
      </c>
      <c r="Q52">
        <v>143.31004476725161</v>
      </c>
      <c r="R52">
        <v>135.39672135310391</v>
      </c>
      <c r="S52">
        <v>128.37053071899479</v>
      </c>
      <c r="T52">
        <v>121.2767572535748</v>
      </c>
      <c r="U52">
        <v>114.67351418066899</v>
      </c>
      <c r="V52">
        <v>109.03699291477882</v>
      </c>
      <c r="W52">
        <v>102.92819420009629</v>
      </c>
      <c r="X52">
        <v>97.25508924196825</v>
      </c>
      <c r="Y52">
        <v>93.631969976818226</v>
      </c>
      <c r="Z52">
        <v>90.492908079966256</v>
      </c>
    </row>
    <row r="53" spans="1:26">
      <c r="A53" s="178" t="s">
        <v>18913</v>
      </c>
      <c r="B53">
        <f t="shared" ref="B53:J53" si="35">SUM(B51:B52)</f>
        <v>519.46706905275505</v>
      </c>
      <c r="C53">
        <f t="shared" si="35"/>
        <v>495.24786174938504</v>
      </c>
      <c r="D53">
        <f t="shared" si="35"/>
        <v>474.78224597326613</v>
      </c>
      <c r="E53">
        <f t="shared" si="35"/>
        <v>446.48083171696862</v>
      </c>
      <c r="F53">
        <f t="shared" si="35"/>
        <v>426.30170143656289</v>
      </c>
      <c r="G53">
        <f t="shared" si="35"/>
        <v>407.99504070185674</v>
      </c>
      <c r="H53">
        <f t="shared" si="35"/>
        <v>391.82606912798559</v>
      </c>
      <c r="I53">
        <f t="shared" si="35"/>
        <v>376.76023651151752</v>
      </c>
      <c r="J53" s="5">
        <f t="shared" si="35"/>
        <v>362.22851444475339</v>
      </c>
      <c r="K53" s="5">
        <f t="shared" ref="K53:Z53" si="36">SUM(K51:K52)</f>
        <v>349.3327996452083</v>
      </c>
      <c r="L53" s="5">
        <f t="shared" si="36"/>
        <v>336.47686168357484</v>
      </c>
      <c r="M53" s="5">
        <f t="shared" si="36"/>
        <v>324.92175624571979</v>
      </c>
      <c r="N53" s="5">
        <f t="shared" si="36"/>
        <v>313.45057103768568</v>
      </c>
      <c r="O53" s="5">
        <f t="shared" si="36"/>
        <v>302.71750527174169</v>
      </c>
      <c r="P53" s="5">
        <f t="shared" si="36"/>
        <v>290.68073895693692</v>
      </c>
      <c r="Q53" s="5">
        <f t="shared" si="36"/>
        <v>280.84980897550918</v>
      </c>
      <c r="R53" s="5">
        <f t="shared" si="36"/>
        <v>272.14726820143744</v>
      </c>
      <c r="S53" s="5">
        <f t="shared" si="36"/>
        <v>264.71444227703626</v>
      </c>
      <c r="T53" s="5">
        <f t="shared" si="36"/>
        <v>257.52239569141278</v>
      </c>
      <c r="U53" s="5">
        <f t="shared" si="36"/>
        <v>251.20184661688188</v>
      </c>
      <c r="V53" s="5">
        <f t="shared" si="36"/>
        <v>246.10311053723615</v>
      </c>
      <c r="W53" s="5">
        <f t="shared" si="36"/>
        <v>240.94898784991454</v>
      </c>
      <c r="X53" s="5">
        <f t="shared" si="36"/>
        <v>236.37912887183538</v>
      </c>
      <c r="Y53" s="5">
        <f t="shared" si="36"/>
        <v>234.24835951446855</v>
      </c>
      <c r="Z53" s="5">
        <f t="shared" si="36"/>
        <v>232.79192840271156</v>
      </c>
    </row>
    <row r="54" spans="1:26">
      <c r="A54" s="178" t="s">
        <v>18910</v>
      </c>
      <c r="B54" s="98">
        <f t="shared" ref="B54:J54" si="37">B53/B$88</f>
        <v>0.10109625252837451</v>
      </c>
      <c r="C54" s="98">
        <f t="shared" si="37"/>
        <v>0.10048737858918864</v>
      </c>
      <c r="D54" s="98">
        <f t="shared" si="37"/>
        <v>9.9400538090558599E-2</v>
      </c>
      <c r="E54" s="98">
        <f t="shared" si="37"/>
        <v>9.8300275386597219E-2</v>
      </c>
      <c r="F54" s="98">
        <f t="shared" si="37"/>
        <v>9.6960241716606818E-2</v>
      </c>
      <c r="G54" s="98">
        <f t="shared" si="37"/>
        <v>9.6042350970795901E-2</v>
      </c>
      <c r="H54" s="98">
        <f t="shared" si="37"/>
        <v>9.4745905460731569E-2</v>
      </c>
      <c r="I54" s="98">
        <f t="shared" si="37"/>
        <v>9.3475167695214759E-2</v>
      </c>
      <c r="J54" s="181">
        <f t="shared" si="37"/>
        <v>9.2007131743494661E-2</v>
      </c>
      <c r="K54" s="181">
        <f t="shared" ref="K54:Z54" si="38">K53/K$88</f>
        <v>9.0649944004429855E-2</v>
      </c>
      <c r="L54" s="181">
        <f t="shared" si="38"/>
        <v>8.9260889002324859E-2</v>
      </c>
      <c r="M54" s="181">
        <f t="shared" si="38"/>
        <v>8.8207630766517303E-2</v>
      </c>
      <c r="N54" s="181">
        <f t="shared" si="38"/>
        <v>8.71757034580396E-2</v>
      </c>
      <c r="O54" s="181">
        <f t="shared" si="38"/>
        <v>8.5785784381272601E-2</v>
      </c>
      <c r="P54" s="181">
        <f t="shared" si="38"/>
        <v>8.4830028206017594E-2</v>
      </c>
      <c r="Q54" s="181">
        <f t="shared" si="38"/>
        <v>8.3880736338622489E-2</v>
      </c>
      <c r="R54" s="181">
        <f t="shared" si="38"/>
        <v>8.2717179141652081E-2</v>
      </c>
      <c r="S54" s="181">
        <f t="shared" si="38"/>
        <v>8.1755837403252277E-2</v>
      </c>
      <c r="T54" s="181">
        <f t="shared" si="38"/>
        <v>8.0536935561738562E-2</v>
      </c>
      <c r="U54" s="181">
        <f t="shared" si="38"/>
        <v>7.9424923514096399E-2</v>
      </c>
      <c r="V54" s="181">
        <f t="shared" si="38"/>
        <v>7.8658887191458443E-2</v>
      </c>
      <c r="W54" s="181">
        <f t="shared" si="38"/>
        <v>7.791447178425967E-2</v>
      </c>
      <c r="X54" s="181">
        <f t="shared" si="38"/>
        <v>7.7161447273476569E-2</v>
      </c>
      <c r="Y54" s="181">
        <f t="shared" si="38"/>
        <v>7.6448197652712963E-2</v>
      </c>
      <c r="Z54" s="181">
        <f t="shared" si="38"/>
        <v>7.5832263746495723E-2</v>
      </c>
    </row>
    <row r="55" spans="1:26">
      <c r="A55" s="95" t="s">
        <v>261</v>
      </c>
      <c r="B55" s="134"/>
      <c r="C55" s="134"/>
      <c r="D55" s="134"/>
      <c r="E55" s="134"/>
      <c r="F55" s="134"/>
      <c r="G55" s="134"/>
      <c r="H55" s="134"/>
      <c r="I55" s="134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</row>
    <row r="56" spans="1:26">
      <c r="A56" s="178" t="s">
        <v>18911</v>
      </c>
      <c r="B56">
        <v>61.837830364885626</v>
      </c>
      <c r="C56">
        <v>62.222561534296986</v>
      </c>
      <c r="D56">
        <v>63.059155749438133</v>
      </c>
      <c r="E56">
        <v>63.864648225685904</v>
      </c>
      <c r="F56">
        <v>64.987901346387758</v>
      </c>
      <c r="G56">
        <v>66.102163830861883</v>
      </c>
      <c r="H56">
        <v>67.302625477383799</v>
      </c>
      <c r="I56">
        <v>68.499335122820582</v>
      </c>
      <c r="J56">
        <v>69.652427835195482</v>
      </c>
      <c r="K56">
        <v>71.115080914405794</v>
      </c>
      <c r="L56">
        <v>72.612418367049415</v>
      </c>
      <c r="M56">
        <v>74.201970470627089</v>
      </c>
      <c r="N56">
        <v>75.87088751814413</v>
      </c>
      <c r="O56">
        <v>77.628556406004492</v>
      </c>
      <c r="P56">
        <v>79.462876834665281</v>
      </c>
      <c r="Q56">
        <v>81.402464929442914</v>
      </c>
      <c r="R56">
        <v>83.526376629934475</v>
      </c>
      <c r="S56">
        <v>85.736989662204991</v>
      </c>
      <c r="T56">
        <v>88.086693899218133</v>
      </c>
      <c r="U56">
        <v>90.586909839828621</v>
      </c>
      <c r="V56">
        <v>93.231419395413326</v>
      </c>
      <c r="W56">
        <v>96.07253278165453</v>
      </c>
      <c r="X56">
        <v>99.076140368671162</v>
      </c>
      <c r="Y56">
        <v>102.26771511484932</v>
      </c>
      <c r="Z56">
        <v>105.63675062730032</v>
      </c>
    </row>
    <row r="57" spans="1:26">
      <c r="A57" s="178" t="s">
        <v>18912</v>
      </c>
      <c r="B57">
        <v>132.58277076545625</v>
      </c>
      <c r="C57">
        <v>127.23985968038029</v>
      </c>
      <c r="D57">
        <v>122.96898682960683</v>
      </c>
      <c r="E57">
        <v>114.75601684479993</v>
      </c>
      <c r="F57">
        <v>111.10648947582065</v>
      </c>
      <c r="G57">
        <v>106.9346864065084</v>
      </c>
      <c r="H57">
        <v>104.88228855426641</v>
      </c>
      <c r="I57">
        <v>103.06070323306261</v>
      </c>
      <c r="J57" s="5">
        <v>101.61895828170654</v>
      </c>
      <c r="K57" s="5">
        <v>98.554548128159865</v>
      </c>
      <c r="L57" s="5">
        <v>95.514108573468064</v>
      </c>
      <c r="M57" s="5">
        <v>92.109625172264614</v>
      </c>
      <c r="N57" s="5">
        <v>87.793185857456123</v>
      </c>
      <c r="O57" s="5">
        <v>85.353841245188775</v>
      </c>
      <c r="P57" s="5">
        <v>77.962172059626013</v>
      </c>
      <c r="Q57" s="5">
        <v>73.16867788412803</v>
      </c>
      <c r="R57" s="5">
        <v>69.714119765170892</v>
      </c>
      <c r="S57" s="5">
        <v>65.262826537636585</v>
      </c>
      <c r="T57" s="5">
        <v>61.701487945336055</v>
      </c>
      <c r="U57" s="5">
        <v>58.191956968740534</v>
      </c>
      <c r="V57" s="5">
        <v>53.97507553697956</v>
      </c>
      <c r="W57" s="5">
        <v>49.43174336648508</v>
      </c>
      <c r="X57" s="5">
        <v>45.326305220030115</v>
      </c>
      <c r="Y57" s="5">
        <v>43.828495699498319</v>
      </c>
      <c r="Z57" s="5">
        <v>42.388777308225933</v>
      </c>
    </row>
    <row r="58" spans="1:26">
      <c r="A58" s="178" t="s">
        <v>18913</v>
      </c>
      <c r="B58">
        <f t="shared" ref="B58:J58" si="39">SUM(B56:B57)</f>
        <v>194.42060113034188</v>
      </c>
      <c r="C58">
        <f t="shared" si="39"/>
        <v>189.46242121467728</v>
      </c>
      <c r="D58">
        <f t="shared" si="39"/>
        <v>186.02814257904498</v>
      </c>
      <c r="E58">
        <f t="shared" si="39"/>
        <v>178.62066507048584</v>
      </c>
      <c r="F58">
        <f t="shared" si="39"/>
        <v>176.09439082220842</v>
      </c>
      <c r="G58">
        <f t="shared" si="39"/>
        <v>173.03685023737029</v>
      </c>
      <c r="H58">
        <f t="shared" si="39"/>
        <v>172.18491403165021</v>
      </c>
      <c r="I58">
        <f t="shared" si="39"/>
        <v>171.56003835588319</v>
      </c>
      <c r="J58" s="5">
        <f t="shared" si="39"/>
        <v>171.27138611690202</v>
      </c>
      <c r="K58" s="5">
        <f t="shared" ref="K58:Z58" si="40">SUM(K56:K57)</f>
        <v>169.66962904256565</v>
      </c>
      <c r="L58" s="5">
        <f t="shared" si="40"/>
        <v>168.12652694051746</v>
      </c>
      <c r="M58" s="5">
        <f t="shared" si="40"/>
        <v>166.31159564289169</v>
      </c>
      <c r="N58" s="5">
        <f t="shared" si="40"/>
        <v>163.66407337560025</v>
      </c>
      <c r="O58" s="5">
        <f t="shared" si="40"/>
        <v>162.98239765119325</v>
      </c>
      <c r="P58" s="5">
        <f t="shared" si="40"/>
        <v>157.42504889429131</v>
      </c>
      <c r="Q58" s="5">
        <f t="shared" si="40"/>
        <v>154.57114281357093</v>
      </c>
      <c r="R58" s="5">
        <f t="shared" si="40"/>
        <v>153.24049639510537</v>
      </c>
      <c r="S58" s="5">
        <f t="shared" si="40"/>
        <v>150.99981619984158</v>
      </c>
      <c r="T58" s="5">
        <f t="shared" si="40"/>
        <v>149.78818184455417</v>
      </c>
      <c r="U58" s="5">
        <f t="shared" si="40"/>
        <v>148.77886680856915</v>
      </c>
      <c r="V58" s="5">
        <f t="shared" si="40"/>
        <v>147.2064949323929</v>
      </c>
      <c r="W58" s="5">
        <f t="shared" si="40"/>
        <v>145.50427614813961</v>
      </c>
      <c r="X58" s="5">
        <f t="shared" si="40"/>
        <v>144.40244558870128</v>
      </c>
      <c r="Y58" s="5">
        <f t="shared" si="40"/>
        <v>146.09621081434764</v>
      </c>
      <c r="Z58" s="5">
        <f t="shared" si="40"/>
        <v>148.02552793552624</v>
      </c>
    </row>
    <row r="59" spans="1:26">
      <c r="A59" s="179" t="s">
        <v>18910</v>
      </c>
      <c r="B59" s="180">
        <f t="shared" ref="B59:J59" si="41">B58/B$88</f>
        <v>3.7837228497337748E-2</v>
      </c>
      <c r="C59" s="180">
        <f t="shared" si="41"/>
        <v>3.8442532556875283E-2</v>
      </c>
      <c r="D59" s="180">
        <f t="shared" si="41"/>
        <v>3.8946901720047528E-2</v>
      </c>
      <c r="E59" s="180">
        <f t="shared" si="41"/>
        <v>3.932634800612559E-2</v>
      </c>
      <c r="F59" s="98">
        <f t="shared" si="41"/>
        <v>4.0051809883758414E-2</v>
      </c>
      <c r="G59" s="98">
        <f t="shared" si="41"/>
        <v>4.0733009579699372E-2</v>
      </c>
      <c r="H59" s="98">
        <f t="shared" si="41"/>
        <v>4.1635350151442319E-2</v>
      </c>
      <c r="I59" s="98">
        <f t="shared" si="41"/>
        <v>4.2564479477980741E-2</v>
      </c>
      <c r="J59" s="181">
        <f t="shared" si="41"/>
        <v>4.3503447017427352E-2</v>
      </c>
      <c r="K59" s="181">
        <f t="shared" ref="K59:Z59" si="42">K58/K$88</f>
        <v>4.402833741229524E-2</v>
      </c>
      <c r="L59" s="181">
        <f t="shared" si="42"/>
        <v>4.4600758532088045E-2</v>
      </c>
      <c r="M59" s="181">
        <f t="shared" si="42"/>
        <v>4.5149182960726307E-2</v>
      </c>
      <c r="N59" s="181">
        <f t="shared" si="42"/>
        <v>4.5517641521893408E-2</v>
      </c>
      <c r="O59" s="181">
        <f t="shared" si="42"/>
        <v>4.6186865904227103E-2</v>
      </c>
      <c r="P59" s="181">
        <f t="shared" si="42"/>
        <v>4.594171387466723E-2</v>
      </c>
      <c r="Q59" s="181">
        <f t="shared" si="42"/>
        <v>4.6165391114919123E-2</v>
      </c>
      <c r="R59" s="181">
        <f t="shared" si="42"/>
        <v>4.6576332277152979E-2</v>
      </c>
      <c r="S59" s="181">
        <f t="shared" si="42"/>
        <v>4.6635598401674944E-2</v>
      </c>
      <c r="T59" s="181">
        <f t="shared" si="42"/>
        <v>4.6844396258181827E-2</v>
      </c>
      <c r="U59" s="181">
        <f t="shared" si="42"/>
        <v>4.7040856888312388E-2</v>
      </c>
      <c r="V59" s="181">
        <f t="shared" si="42"/>
        <v>4.7049787601059753E-2</v>
      </c>
      <c r="W59" s="181">
        <f t="shared" si="42"/>
        <v>4.7050991662579721E-2</v>
      </c>
      <c r="X59" s="181">
        <f t="shared" si="42"/>
        <v>4.7137417523418462E-2</v>
      </c>
      <c r="Y59" s="181">
        <f t="shared" si="42"/>
        <v>4.7679275209429245E-2</v>
      </c>
      <c r="Z59" s="181">
        <f t="shared" si="42"/>
        <v>4.8219502079138006E-2</v>
      </c>
    </row>
    <row r="60" spans="1:26">
      <c r="A60" s="53" t="s">
        <v>373</v>
      </c>
      <c r="F60" s="134"/>
      <c r="G60" s="134"/>
      <c r="H60" s="134"/>
      <c r="I60" s="134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</row>
    <row r="61" spans="1:26">
      <c r="A61" s="178" t="s">
        <v>18911</v>
      </c>
      <c r="B61">
        <v>103.67410635629392</v>
      </c>
      <c r="C61">
        <v>101.46900112066641</v>
      </c>
      <c r="D61">
        <v>100.05388323421722</v>
      </c>
      <c r="E61">
        <v>98.262359263953911</v>
      </c>
      <c r="F61">
        <v>96.689984969962225</v>
      </c>
      <c r="G61">
        <v>95.141171874071901</v>
      </c>
      <c r="H61">
        <v>93.518543514884598</v>
      </c>
      <c r="I61">
        <v>91.856260524163332</v>
      </c>
      <c r="J61">
        <v>90.165552375235492</v>
      </c>
      <c r="K61">
        <v>89.172826530623468</v>
      </c>
      <c r="L61">
        <v>88.327169281766913</v>
      </c>
      <c r="M61">
        <v>87.583886839052113</v>
      </c>
      <c r="N61">
        <v>86.910651021105465</v>
      </c>
      <c r="O61">
        <v>86.213644015460289</v>
      </c>
      <c r="P61">
        <v>85.628359146164613</v>
      </c>
      <c r="Q61">
        <v>85.181942810177702</v>
      </c>
      <c r="R61">
        <v>84.896003945168559</v>
      </c>
      <c r="S61">
        <v>84.805435154844872</v>
      </c>
      <c r="T61">
        <v>84.895421325617335</v>
      </c>
      <c r="U61">
        <v>85.192262386936562</v>
      </c>
      <c r="V61">
        <v>85.64959988052577</v>
      </c>
      <c r="W61">
        <v>86.328151486045002</v>
      </c>
      <c r="X61">
        <v>87.106743983306501</v>
      </c>
      <c r="Y61">
        <v>88.107181432792459</v>
      </c>
      <c r="Z61">
        <v>89.237891244259544</v>
      </c>
    </row>
    <row r="62" spans="1:26">
      <c r="A62" s="178" t="s">
        <v>18912</v>
      </c>
      <c r="B62">
        <v>141.19002908692013</v>
      </c>
      <c r="C62">
        <v>132.92359585126351</v>
      </c>
      <c r="D62">
        <v>127.26221842801486</v>
      </c>
      <c r="E62">
        <v>117.58296300255131</v>
      </c>
      <c r="F62">
        <v>111.55337232830074</v>
      </c>
      <c r="G62">
        <v>105.37563409663512</v>
      </c>
      <c r="H62">
        <v>100.82502181490862</v>
      </c>
      <c r="I62">
        <v>96.748368051040586</v>
      </c>
      <c r="J62" s="5">
        <v>90.980168504556218</v>
      </c>
      <c r="K62" s="5">
        <v>87.958767343324723</v>
      </c>
      <c r="L62" s="5">
        <v>84.714476375378482</v>
      </c>
      <c r="M62" s="5">
        <v>81.439405163770957</v>
      </c>
      <c r="N62" s="5">
        <v>78.451999746526354</v>
      </c>
      <c r="O62" s="5">
        <v>75.596038685992824</v>
      </c>
      <c r="P62" s="5">
        <v>72.926004675120197</v>
      </c>
      <c r="Q62" s="5">
        <v>70.400440664520403</v>
      </c>
      <c r="R62" s="5">
        <v>68.281820761713831</v>
      </c>
      <c r="S62" s="5">
        <v>66.51174237979194</v>
      </c>
      <c r="T62" s="5">
        <v>65.048619386139364</v>
      </c>
      <c r="U62" s="5">
        <v>63.616413261289949</v>
      </c>
      <c r="V62" s="5">
        <v>62.259287543142889</v>
      </c>
      <c r="W62" s="5">
        <v>60.935573894797365</v>
      </c>
      <c r="X62" s="5">
        <v>59.729191384811237</v>
      </c>
      <c r="Y62" s="5">
        <v>58.597485335834179</v>
      </c>
      <c r="Z62" s="5">
        <v>57.655804996443003</v>
      </c>
    </row>
    <row r="63" spans="1:26">
      <c r="A63" s="178" t="s">
        <v>18913</v>
      </c>
      <c r="B63">
        <f t="shared" ref="B63:J63" si="43">SUM(B61:B62)</f>
        <v>244.86413544321405</v>
      </c>
      <c r="C63">
        <f t="shared" si="43"/>
        <v>234.39259697192992</v>
      </c>
      <c r="D63">
        <f t="shared" si="43"/>
        <v>227.31610166223209</v>
      </c>
      <c r="E63">
        <f t="shared" si="43"/>
        <v>215.84532226650521</v>
      </c>
      <c r="F63">
        <f t="shared" si="43"/>
        <v>208.24335729826296</v>
      </c>
      <c r="G63">
        <f t="shared" si="43"/>
        <v>200.51680597070703</v>
      </c>
      <c r="H63">
        <f t="shared" si="43"/>
        <v>194.34356532979322</v>
      </c>
      <c r="I63">
        <f t="shared" si="43"/>
        <v>188.60462857520392</v>
      </c>
      <c r="J63" s="5">
        <f t="shared" si="43"/>
        <v>181.14572087979172</v>
      </c>
      <c r="K63" s="5">
        <f t="shared" ref="K63:Z63" si="44">SUM(K61:K62)</f>
        <v>177.13159387394819</v>
      </c>
      <c r="L63" s="5">
        <f t="shared" si="44"/>
        <v>173.04164565714541</v>
      </c>
      <c r="M63" s="5">
        <f t="shared" si="44"/>
        <v>169.02329200282307</v>
      </c>
      <c r="N63" s="5">
        <f t="shared" si="44"/>
        <v>165.36265076763181</v>
      </c>
      <c r="O63" s="5">
        <f t="shared" si="44"/>
        <v>161.80968270145311</v>
      </c>
      <c r="P63" s="5">
        <f t="shared" si="44"/>
        <v>158.55436382128482</v>
      </c>
      <c r="Q63" s="5">
        <f t="shared" si="44"/>
        <v>155.5823834746981</v>
      </c>
      <c r="R63" s="5">
        <f t="shared" si="44"/>
        <v>153.1778247068824</v>
      </c>
      <c r="S63" s="5">
        <f t="shared" si="44"/>
        <v>151.31717753463681</v>
      </c>
      <c r="T63" s="5">
        <f t="shared" si="44"/>
        <v>149.94404071175671</v>
      </c>
      <c r="U63" s="5">
        <f t="shared" si="44"/>
        <v>148.80867564822651</v>
      </c>
      <c r="V63" s="5">
        <f t="shared" si="44"/>
        <v>147.90888742366866</v>
      </c>
      <c r="W63" s="5">
        <f t="shared" si="44"/>
        <v>147.26372538084237</v>
      </c>
      <c r="X63" s="5">
        <f t="shared" si="44"/>
        <v>146.83593536811773</v>
      </c>
      <c r="Y63" s="5">
        <f t="shared" si="44"/>
        <v>146.70466676862662</v>
      </c>
      <c r="Z63" s="5">
        <f t="shared" si="44"/>
        <v>146.89369624070255</v>
      </c>
    </row>
    <row r="64" spans="1:26">
      <c r="A64" s="178" t="s">
        <v>18910</v>
      </c>
      <c r="B64" s="98">
        <f t="shared" ref="B64:J64" si="45">B63/B$88</f>
        <v>4.7654313327406057E-2</v>
      </c>
      <c r="C64" s="98">
        <f t="shared" si="45"/>
        <v>4.7559009234734335E-2</v>
      </c>
      <c r="D64" s="98">
        <f t="shared" si="45"/>
        <v>4.7590959884262984E-2</v>
      </c>
      <c r="E64" s="98">
        <f t="shared" si="45"/>
        <v>4.7521983280026901E-2</v>
      </c>
      <c r="F64" s="98">
        <f t="shared" si="45"/>
        <v>4.7363935427599806E-2</v>
      </c>
      <c r="G64" s="98">
        <f t="shared" si="45"/>
        <v>4.7201812604027532E-2</v>
      </c>
      <c r="H64" s="98">
        <f t="shared" si="45"/>
        <v>4.6993445608703527E-2</v>
      </c>
      <c r="I64" s="98">
        <f t="shared" si="45"/>
        <v>4.6793285425761583E-2</v>
      </c>
      <c r="J64" s="181">
        <f t="shared" si="45"/>
        <v>4.6011557735329237E-2</v>
      </c>
      <c r="K64" s="181">
        <f t="shared" ref="K64:Z64" si="46">K63/K$88</f>
        <v>4.5964676326977309E-2</v>
      </c>
      <c r="L64" s="181">
        <f t="shared" si="46"/>
        <v>4.5904645711738336E-2</v>
      </c>
      <c r="M64" s="181">
        <f t="shared" si="46"/>
        <v>4.5885336532070567E-2</v>
      </c>
      <c r="N64" s="181">
        <f t="shared" si="46"/>
        <v>4.5990043529450991E-2</v>
      </c>
      <c r="O64" s="181">
        <f t="shared" si="46"/>
        <v>4.5854535364806215E-2</v>
      </c>
      <c r="P64" s="181">
        <f t="shared" si="46"/>
        <v>4.6271284445645197E-2</v>
      </c>
      <c r="Q64" s="181">
        <f t="shared" si="46"/>
        <v>4.6467415928752275E-2</v>
      </c>
      <c r="R64" s="181">
        <f t="shared" si="46"/>
        <v>4.6557283674181112E-2</v>
      </c>
      <c r="S64" s="181">
        <f t="shared" si="46"/>
        <v>4.6733613989575679E-2</v>
      </c>
      <c r="T64" s="181">
        <f t="shared" si="46"/>
        <v>4.689313918599948E-2</v>
      </c>
      <c r="U64" s="181">
        <f t="shared" si="46"/>
        <v>4.7050281838175279E-2</v>
      </c>
      <c r="V64" s="181">
        <f t="shared" si="46"/>
        <v>4.7274284608085707E-2</v>
      </c>
      <c r="W64" s="181">
        <f t="shared" si="46"/>
        <v>4.7619935980713346E-2</v>
      </c>
      <c r="X64" s="181">
        <f t="shared" si="46"/>
        <v>4.7931783735871994E-2</v>
      </c>
      <c r="Y64" s="181">
        <f t="shared" si="46"/>
        <v>4.7877848045337693E-2</v>
      </c>
      <c r="Z64" s="181">
        <f t="shared" si="46"/>
        <v>4.7850806479649538E-2</v>
      </c>
    </row>
    <row r="65" spans="1:26">
      <c r="A65" s="95" t="s">
        <v>421</v>
      </c>
      <c r="B65" s="134"/>
      <c r="C65" s="134"/>
      <c r="D65" s="134"/>
      <c r="E65" s="134"/>
      <c r="F65" s="134"/>
      <c r="G65" s="134"/>
      <c r="H65" s="134"/>
      <c r="I65" s="134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</row>
    <row r="66" spans="1:26">
      <c r="A66" s="178" t="s">
        <v>18911</v>
      </c>
      <c r="B66">
        <v>204.39378460406911</v>
      </c>
      <c r="C66">
        <v>198.81618874418211</v>
      </c>
      <c r="D66">
        <v>196.02847012748188</v>
      </c>
      <c r="E66">
        <v>192.90855698582553</v>
      </c>
      <c r="F66">
        <v>190.37283066392308</v>
      </c>
      <c r="G66">
        <v>187.74944792344954</v>
      </c>
      <c r="H66">
        <v>184.70106577207829</v>
      </c>
      <c r="I66">
        <v>181.47352934227882</v>
      </c>
      <c r="J66">
        <v>178.05602319240472</v>
      </c>
      <c r="K66">
        <v>175.45842102269532</v>
      </c>
      <c r="L66">
        <v>173.02125422452357</v>
      </c>
      <c r="M66">
        <v>171.18983443414729</v>
      </c>
      <c r="N66">
        <v>169.58771811758496</v>
      </c>
      <c r="O66">
        <v>167.31005256514956</v>
      </c>
      <c r="P66">
        <v>165.86953793964267</v>
      </c>
      <c r="Q66">
        <v>164.60079253338128</v>
      </c>
      <c r="R66">
        <v>163.63443775397724</v>
      </c>
      <c r="S66">
        <v>162.67535110216289</v>
      </c>
      <c r="T66">
        <v>162.09805740256101</v>
      </c>
      <c r="U66">
        <v>161.83591533715895</v>
      </c>
      <c r="V66">
        <v>161.78678660547737</v>
      </c>
      <c r="W66">
        <v>161.93997261549035</v>
      </c>
      <c r="X66">
        <v>162.30014930217092</v>
      </c>
      <c r="Y66">
        <v>163.16649864640405</v>
      </c>
      <c r="Z66">
        <v>164.19356283270034</v>
      </c>
    </row>
    <row r="67" spans="1:26">
      <c r="A67" s="178" t="s">
        <v>18912</v>
      </c>
      <c r="B67">
        <v>450.58387200062538</v>
      </c>
      <c r="C67">
        <v>432.02366415071458</v>
      </c>
      <c r="D67">
        <v>421.72880931439306</v>
      </c>
      <c r="E67">
        <v>405.48968037357031</v>
      </c>
      <c r="F67">
        <v>395.64820160960596</v>
      </c>
      <c r="G67">
        <v>381.56491835561894</v>
      </c>
      <c r="H67">
        <v>373.06346768587019</v>
      </c>
      <c r="I67">
        <v>365.66304236190831</v>
      </c>
      <c r="J67" s="5">
        <v>360.18741024905887</v>
      </c>
      <c r="K67" s="5">
        <v>354.52516318872921</v>
      </c>
      <c r="L67" s="5">
        <v>349.93221217817933</v>
      </c>
      <c r="M67" s="5">
        <v>345.0984661659071</v>
      </c>
      <c r="N67" s="5">
        <v>341.01443551278135</v>
      </c>
      <c r="O67" s="5">
        <v>335.84194298653824</v>
      </c>
      <c r="P67" s="5">
        <v>331.78888239823709</v>
      </c>
      <c r="Q67" s="5">
        <v>328.89235505996737</v>
      </c>
      <c r="R67" s="5">
        <v>326.57524126642204</v>
      </c>
      <c r="S67" s="5">
        <v>325.92214527937961</v>
      </c>
      <c r="T67" s="5">
        <v>325.6031924097224</v>
      </c>
      <c r="U67" s="5">
        <v>325.3526902169769</v>
      </c>
      <c r="V67" s="5">
        <v>325.7106042777333</v>
      </c>
      <c r="W67" s="5">
        <v>325.15852547936851</v>
      </c>
      <c r="X67" s="5">
        <v>325.45153886086899</v>
      </c>
      <c r="Y67" s="5">
        <v>326.63396091730323</v>
      </c>
      <c r="Z67" s="5">
        <v>328.3221004886438</v>
      </c>
    </row>
    <row r="68" spans="1:26">
      <c r="A68" s="178" t="s">
        <v>18913</v>
      </c>
      <c r="B68">
        <f t="shared" ref="B68:J68" si="47">SUM(B66:B67)</f>
        <v>654.97765660469452</v>
      </c>
      <c r="C68">
        <f t="shared" si="47"/>
        <v>630.83985289489669</v>
      </c>
      <c r="D68">
        <f t="shared" si="47"/>
        <v>617.75727944187497</v>
      </c>
      <c r="E68">
        <f t="shared" si="47"/>
        <v>598.39823735939581</v>
      </c>
      <c r="F68">
        <f t="shared" si="47"/>
        <v>586.02103227352904</v>
      </c>
      <c r="G68">
        <f t="shared" si="47"/>
        <v>569.31436627906851</v>
      </c>
      <c r="H68">
        <f t="shared" si="47"/>
        <v>557.76453345794846</v>
      </c>
      <c r="I68">
        <f t="shared" si="47"/>
        <v>547.13657170418719</v>
      </c>
      <c r="J68" s="5">
        <f t="shared" si="47"/>
        <v>538.24343344146359</v>
      </c>
      <c r="K68" s="5">
        <f t="shared" ref="K68:Z68" si="48">SUM(K66:K67)</f>
        <v>529.9835842114245</v>
      </c>
      <c r="L68" s="5">
        <f t="shared" si="48"/>
        <v>522.95346640270293</v>
      </c>
      <c r="M68" s="5">
        <f t="shared" si="48"/>
        <v>516.28830060005441</v>
      </c>
      <c r="N68" s="5">
        <f t="shared" si="48"/>
        <v>510.60215363036627</v>
      </c>
      <c r="O68" s="5">
        <f t="shared" si="48"/>
        <v>503.15199555168783</v>
      </c>
      <c r="P68" s="5">
        <f t="shared" si="48"/>
        <v>497.65842033787976</v>
      </c>
      <c r="Q68" s="5">
        <f t="shared" si="48"/>
        <v>493.49314759334868</v>
      </c>
      <c r="R68" s="5">
        <f t="shared" si="48"/>
        <v>490.20967902039928</v>
      </c>
      <c r="S68" s="5">
        <f t="shared" si="48"/>
        <v>488.5974963815425</v>
      </c>
      <c r="T68" s="5">
        <f t="shared" si="48"/>
        <v>487.70124981228344</v>
      </c>
      <c r="U68" s="5">
        <f t="shared" si="48"/>
        <v>487.18860555413585</v>
      </c>
      <c r="V68" s="5">
        <f t="shared" si="48"/>
        <v>487.49739088321064</v>
      </c>
      <c r="W68" s="5">
        <f t="shared" si="48"/>
        <v>487.09849809485888</v>
      </c>
      <c r="X68" s="5">
        <f t="shared" si="48"/>
        <v>487.75168816303994</v>
      </c>
      <c r="Y68" s="5">
        <f t="shared" si="48"/>
        <v>489.80045956370725</v>
      </c>
      <c r="Z68" s="5">
        <f t="shared" si="48"/>
        <v>492.51566332134416</v>
      </c>
    </row>
    <row r="69" spans="1:26">
      <c r="A69" s="179" t="s">
        <v>18910</v>
      </c>
      <c r="B69" s="180">
        <f t="shared" ref="B69:J69" si="49">B68/B$88</f>
        <v>0.12746868958083374</v>
      </c>
      <c r="C69" s="180">
        <f t="shared" si="49"/>
        <v>0.12799942821171861</v>
      </c>
      <c r="D69" s="180">
        <f t="shared" si="49"/>
        <v>0.12933382936425036</v>
      </c>
      <c r="E69" s="180">
        <f t="shared" si="49"/>
        <v>0.13174745105422944</v>
      </c>
      <c r="F69" s="98">
        <f t="shared" si="49"/>
        <v>0.13328762411405062</v>
      </c>
      <c r="G69" s="98">
        <f t="shared" si="49"/>
        <v>0.13401704610141776</v>
      </c>
      <c r="H69" s="98">
        <f t="shared" si="49"/>
        <v>0.1348708264204195</v>
      </c>
      <c r="I69" s="98">
        <f t="shared" si="49"/>
        <v>0.13574596742421977</v>
      </c>
      <c r="J69" s="181">
        <f t="shared" si="49"/>
        <v>0.13671545037427668</v>
      </c>
      <c r="K69" s="181">
        <f t="shared" ref="K69:Z69" si="50">K68/K$88</f>
        <v>0.13752783099905419</v>
      </c>
      <c r="L69" s="181">
        <f t="shared" si="50"/>
        <v>0.13872957291740975</v>
      </c>
      <c r="M69" s="181">
        <f t="shared" si="50"/>
        <v>0.14015856714119987</v>
      </c>
      <c r="N69" s="181">
        <f t="shared" si="50"/>
        <v>0.1420067661148576</v>
      </c>
      <c r="O69" s="181">
        <f t="shared" si="50"/>
        <v>0.14258603433804581</v>
      </c>
      <c r="P69" s="181">
        <f t="shared" si="50"/>
        <v>0.14523280072051375</v>
      </c>
      <c r="Q69" s="181">
        <f t="shared" si="50"/>
        <v>0.14739041037341175</v>
      </c>
      <c r="R69" s="181">
        <f t="shared" si="50"/>
        <v>0.14899565997660072</v>
      </c>
      <c r="S69" s="181">
        <f t="shared" si="50"/>
        <v>0.15090108845667158</v>
      </c>
      <c r="T69" s="181">
        <f t="shared" si="50"/>
        <v>0.15252251760106228</v>
      </c>
      <c r="U69" s="181">
        <f t="shared" si="50"/>
        <v>0.15403914523005757</v>
      </c>
      <c r="V69" s="181">
        <f t="shared" si="50"/>
        <v>0.15581274934682679</v>
      </c>
      <c r="W69" s="181">
        <f t="shared" si="50"/>
        <v>0.15751061054303825</v>
      </c>
      <c r="X69" s="181">
        <f t="shared" si="50"/>
        <v>0.15921721324706128</v>
      </c>
      <c r="Y69" s="181">
        <f t="shared" si="50"/>
        <v>0.15984898430335923</v>
      </c>
      <c r="Z69" s="181">
        <f t="shared" si="50"/>
        <v>0.16043759737087784</v>
      </c>
    </row>
    <row r="70" spans="1:26">
      <c r="A70" s="53" t="s">
        <v>422</v>
      </c>
      <c r="F70" s="134"/>
      <c r="G70" s="134"/>
      <c r="H70" s="134"/>
      <c r="I70" s="134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</row>
    <row r="71" spans="1:26">
      <c r="A71" s="178" t="s">
        <v>18911</v>
      </c>
      <c r="B71">
        <v>360.34623561983375</v>
      </c>
      <c r="C71">
        <v>354.08194013067646</v>
      </c>
      <c r="D71">
        <v>351.8845161643136</v>
      </c>
      <c r="E71">
        <v>349.00214798614428</v>
      </c>
      <c r="F71">
        <v>347.93176996738907</v>
      </c>
      <c r="G71">
        <v>346.24268996533681</v>
      </c>
      <c r="H71">
        <v>344.86514501590142</v>
      </c>
      <c r="I71">
        <v>343.4973806539611</v>
      </c>
      <c r="J71">
        <v>342.01358626266136</v>
      </c>
      <c r="K71">
        <v>342.99410887859403</v>
      </c>
      <c r="L71">
        <v>344.23353131519826</v>
      </c>
      <c r="M71">
        <v>345.93773906676643</v>
      </c>
      <c r="N71">
        <v>348.20392481746984</v>
      </c>
      <c r="O71">
        <v>350.72916651844554</v>
      </c>
      <c r="P71">
        <v>353.65772616292332</v>
      </c>
      <c r="Q71">
        <v>357.04644936556474</v>
      </c>
      <c r="R71">
        <v>360.96457583416134</v>
      </c>
      <c r="S71">
        <v>365.45046790360544</v>
      </c>
      <c r="T71">
        <v>370.49121078886026</v>
      </c>
      <c r="U71">
        <v>376.22932562198542</v>
      </c>
      <c r="V71">
        <v>382.52706643265981</v>
      </c>
      <c r="W71">
        <v>389.57751302287733</v>
      </c>
      <c r="X71">
        <v>397.14283880407987</v>
      </c>
      <c r="Y71">
        <v>405.43344301994091</v>
      </c>
      <c r="Z71">
        <v>414.2788775757619</v>
      </c>
    </row>
    <row r="72" spans="1:26">
      <c r="A72" s="178" t="s">
        <v>18912</v>
      </c>
      <c r="B72">
        <v>908.79543395122175</v>
      </c>
      <c r="C72">
        <v>856.72935522626835</v>
      </c>
      <c r="D72">
        <v>809.58069978711069</v>
      </c>
      <c r="E72">
        <v>745.89640999156575</v>
      </c>
      <c r="F72">
        <v>700.56478653711883</v>
      </c>
      <c r="G72">
        <v>655.08993178913681</v>
      </c>
      <c r="H72">
        <v>620.40848344884125</v>
      </c>
      <c r="I72">
        <v>587.14781408828185</v>
      </c>
      <c r="J72" s="5">
        <v>556.91440667895847</v>
      </c>
      <c r="K72" s="5">
        <v>527.46795564934041</v>
      </c>
      <c r="L72" s="5">
        <v>499.02775668877911</v>
      </c>
      <c r="M72" s="5">
        <v>470.84914952247487</v>
      </c>
      <c r="N72" s="5">
        <v>443.21328616707029</v>
      </c>
      <c r="O72" s="5">
        <v>419.05843005344855</v>
      </c>
      <c r="P72" s="5">
        <v>390.40822670041183</v>
      </c>
      <c r="Q72" s="5">
        <v>364.91405077127274</v>
      </c>
      <c r="R72" s="5">
        <v>342.41826436478379</v>
      </c>
      <c r="S72" s="5">
        <v>321.45125735298819</v>
      </c>
      <c r="T72" s="5">
        <v>303.52323484934658</v>
      </c>
      <c r="U72" s="5">
        <v>286.63748629270088</v>
      </c>
      <c r="V72" s="5">
        <v>269.731134012567</v>
      </c>
      <c r="W72" s="5">
        <v>253.09289815605524</v>
      </c>
      <c r="X72" s="5">
        <v>237.04595086498037</v>
      </c>
      <c r="Y72" s="5">
        <v>226.5756922400997</v>
      </c>
      <c r="Z72" s="5">
        <v>216.71608284558914</v>
      </c>
    </row>
    <row r="73" spans="1:26">
      <c r="A73" s="178" t="s">
        <v>18913</v>
      </c>
      <c r="B73">
        <f t="shared" ref="B73:J73" si="51">SUM(B71:B72)</f>
        <v>1269.1416695710554</v>
      </c>
      <c r="C73">
        <f t="shared" si="51"/>
        <v>1210.8112953569448</v>
      </c>
      <c r="D73">
        <f t="shared" si="51"/>
        <v>1161.4652159514244</v>
      </c>
      <c r="E73">
        <f t="shared" si="51"/>
        <v>1094.89855797771</v>
      </c>
      <c r="F73">
        <f t="shared" si="51"/>
        <v>1048.4965565045079</v>
      </c>
      <c r="G73">
        <f t="shared" si="51"/>
        <v>1001.3326217544736</v>
      </c>
      <c r="H73">
        <f t="shared" si="51"/>
        <v>965.27362846474261</v>
      </c>
      <c r="I73">
        <f t="shared" si="51"/>
        <v>930.64519474224289</v>
      </c>
      <c r="J73" s="5">
        <f t="shared" si="51"/>
        <v>898.92799294161978</v>
      </c>
      <c r="K73" s="5">
        <f t="shared" ref="K73:Z73" si="52">SUM(K71:K72)</f>
        <v>870.46206452793444</v>
      </c>
      <c r="L73" s="5">
        <f t="shared" si="52"/>
        <v>843.26128800397737</v>
      </c>
      <c r="M73" s="5">
        <f t="shared" si="52"/>
        <v>816.78688858924124</v>
      </c>
      <c r="N73" s="5">
        <f t="shared" si="52"/>
        <v>791.41721098454013</v>
      </c>
      <c r="O73" s="5">
        <f t="shared" si="52"/>
        <v>769.78759657189403</v>
      </c>
      <c r="P73" s="5">
        <f t="shared" si="52"/>
        <v>744.06595286333516</v>
      </c>
      <c r="Q73" s="5">
        <f t="shared" si="52"/>
        <v>721.96050013683748</v>
      </c>
      <c r="R73" s="5">
        <f t="shared" si="52"/>
        <v>703.38284019894513</v>
      </c>
      <c r="S73" s="5">
        <f t="shared" si="52"/>
        <v>686.90172525659364</v>
      </c>
      <c r="T73" s="5">
        <f t="shared" si="52"/>
        <v>674.01444563820678</v>
      </c>
      <c r="U73" s="5">
        <f t="shared" si="52"/>
        <v>662.86681191468631</v>
      </c>
      <c r="V73" s="5">
        <f t="shared" si="52"/>
        <v>652.25820044522675</v>
      </c>
      <c r="W73" s="5">
        <f t="shared" si="52"/>
        <v>642.67041117893257</v>
      </c>
      <c r="X73" s="5">
        <f t="shared" si="52"/>
        <v>634.18878966906027</v>
      </c>
      <c r="Y73" s="5">
        <f t="shared" si="52"/>
        <v>632.00913526004058</v>
      </c>
      <c r="Z73" s="5">
        <f t="shared" si="52"/>
        <v>630.99496042135104</v>
      </c>
    </row>
    <row r="74" spans="1:26">
      <c r="A74" s="178" t="s">
        <v>18910</v>
      </c>
      <c r="B74" s="98">
        <f t="shared" ref="B74:J74" si="53">B73/B$88</f>
        <v>0.24699441863601185</v>
      </c>
      <c r="C74" s="98">
        <f t="shared" si="53"/>
        <v>0.24567749289580917</v>
      </c>
      <c r="D74" s="98">
        <f t="shared" si="53"/>
        <v>0.24316466847317444</v>
      </c>
      <c r="E74" s="98">
        <f t="shared" si="53"/>
        <v>0.24106035942395107</v>
      </c>
      <c r="F74" s="98">
        <f t="shared" si="53"/>
        <v>0.23847542530353982</v>
      </c>
      <c r="G74" s="98">
        <f t="shared" si="53"/>
        <v>0.23571448057704961</v>
      </c>
      <c r="H74" s="98">
        <f t="shared" si="53"/>
        <v>0.23340898207664904</v>
      </c>
      <c r="I74" s="98">
        <f t="shared" si="53"/>
        <v>0.23089542688674264</v>
      </c>
      <c r="J74" s="181">
        <f t="shared" si="53"/>
        <v>0.22833041291979606</v>
      </c>
      <c r="K74" s="181">
        <f t="shared" ref="K74:Z74" si="54">K73/K$88</f>
        <v>0.22588012773944519</v>
      </c>
      <c r="L74" s="181">
        <f t="shared" si="54"/>
        <v>0.22370112420765856</v>
      </c>
      <c r="M74" s="181">
        <f t="shared" si="54"/>
        <v>0.2217359561147004</v>
      </c>
      <c r="N74" s="181">
        <f t="shared" si="54"/>
        <v>0.22010600225731342</v>
      </c>
      <c r="O74" s="181">
        <f t="shared" si="54"/>
        <v>0.21814672633356635</v>
      </c>
      <c r="P74" s="181">
        <f t="shared" si="54"/>
        <v>0.21714247732762543</v>
      </c>
      <c r="Q74" s="181">
        <f t="shared" si="54"/>
        <v>0.21562620455319217</v>
      </c>
      <c r="R74" s="181">
        <f t="shared" si="54"/>
        <v>0.21378808900934937</v>
      </c>
      <c r="S74" s="181">
        <f t="shared" si="54"/>
        <v>0.21214643703995295</v>
      </c>
      <c r="T74" s="181">
        <f t="shared" si="54"/>
        <v>0.21078965901316091</v>
      </c>
      <c r="U74" s="181">
        <f t="shared" si="54"/>
        <v>0.20958502712224367</v>
      </c>
      <c r="V74" s="181">
        <f t="shared" si="54"/>
        <v>0.20847320497707419</v>
      </c>
      <c r="W74" s="181">
        <f t="shared" si="54"/>
        <v>0.20781712372068495</v>
      </c>
      <c r="X74" s="181">
        <f t="shared" si="54"/>
        <v>0.20701880529398009</v>
      </c>
      <c r="Y74" s="181">
        <f t="shared" si="54"/>
        <v>0.2062595417565582</v>
      </c>
      <c r="Z74" s="181">
        <f t="shared" si="54"/>
        <v>0.20554740273728564</v>
      </c>
    </row>
    <row r="75" spans="1:26">
      <c r="A75" s="95" t="s">
        <v>267</v>
      </c>
      <c r="B75" s="134"/>
      <c r="C75" s="134"/>
      <c r="D75" s="134"/>
      <c r="E75" s="134"/>
      <c r="F75" s="134"/>
      <c r="G75" s="134"/>
      <c r="H75" s="134"/>
      <c r="I75" s="134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</row>
    <row r="76" spans="1:26">
      <c r="A76" s="178" t="s">
        <v>18911</v>
      </c>
      <c r="B76">
        <v>55.368085682676266</v>
      </c>
      <c r="C76">
        <v>53.466055123998451</v>
      </c>
      <c r="D76">
        <v>51.843275444100698</v>
      </c>
      <c r="E76">
        <v>50.092547538492944</v>
      </c>
      <c r="F76">
        <v>48.417190712820805</v>
      </c>
      <c r="G76">
        <v>46.773790835031143</v>
      </c>
      <c r="H76">
        <v>45.132732291996568</v>
      </c>
      <c r="I76">
        <v>43.444114933044006</v>
      </c>
      <c r="J76">
        <v>41.865945696390696</v>
      </c>
      <c r="K76">
        <v>40.475416004595964</v>
      </c>
      <c r="L76">
        <v>39.185333546526678</v>
      </c>
      <c r="M76">
        <v>37.96209195326184</v>
      </c>
      <c r="N76">
        <v>36.897953649278342</v>
      </c>
      <c r="O76">
        <v>35.765995285537549</v>
      </c>
      <c r="P76">
        <v>34.764590279249745</v>
      </c>
      <c r="Q76">
        <v>33.831522527235144</v>
      </c>
      <c r="R76">
        <v>33.116429965208809</v>
      </c>
      <c r="S76">
        <v>32.387292260923381</v>
      </c>
      <c r="T76">
        <v>31.750529646133678</v>
      </c>
      <c r="U76">
        <v>31.205845176243667</v>
      </c>
      <c r="V76">
        <v>30.746517027948677</v>
      </c>
      <c r="W76">
        <v>30.368128203026174</v>
      </c>
      <c r="X76">
        <v>30.05439087426835</v>
      </c>
      <c r="Y76">
        <v>29.858585049294526</v>
      </c>
      <c r="Z76">
        <v>29.714817075675509</v>
      </c>
    </row>
    <row r="77" spans="1:26">
      <c r="A77" s="178" t="s">
        <v>18912</v>
      </c>
      <c r="B77">
        <v>141.53897334637864</v>
      </c>
      <c r="C77">
        <v>134.74954151277345</v>
      </c>
      <c r="D77">
        <v>129.1571680637411</v>
      </c>
      <c r="E77">
        <v>121.11033931658825</v>
      </c>
      <c r="F77">
        <v>115.55898577930715</v>
      </c>
      <c r="G77">
        <v>110.10298637817108</v>
      </c>
      <c r="H77">
        <v>105.51907004957985</v>
      </c>
      <c r="I77">
        <v>101.27601682852399</v>
      </c>
      <c r="J77" s="5">
        <v>97.753831449247087</v>
      </c>
      <c r="K77" s="5">
        <v>94.631540883986546</v>
      </c>
      <c r="L77" s="5">
        <v>91.632513260904702</v>
      </c>
      <c r="M77" s="5">
        <v>88.447408211879619</v>
      </c>
      <c r="N77" s="5">
        <v>85.70314863658389</v>
      </c>
      <c r="O77" s="5">
        <v>83.17094330569914</v>
      </c>
      <c r="P77" s="5">
        <v>80.460818610991467</v>
      </c>
      <c r="Q77" s="5">
        <v>78.040821623346616</v>
      </c>
      <c r="R77" s="5">
        <v>76.083347499586225</v>
      </c>
      <c r="S77" s="5">
        <v>74.323377144722443</v>
      </c>
      <c r="T77" s="5">
        <v>72.770843951010704</v>
      </c>
      <c r="U77" s="5">
        <v>71.264682387817246</v>
      </c>
      <c r="V77" s="5">
        <v>69.952989767694135</v>
      </c>
      <c r="W77" s="5">
        <v>68.265587437521575</v>
      </c>
      <c r="X77" s="5">
        <v>66.722647515405754</v>
      </c>
      <c r="Y77" s="5">
        <v>65.566537802854853</v>
      </c>
      <c r="Z77" s="5">
        <v>64.644326407746064</v>
      </c>
    </row>
    <row r="78" spans="1:26">
      <c r="A78" s="178" t="s">
        <v>18913</v>
      </c>
      <c r="B78">
        <f t="shared" ref="B78:J78" si="55">SUM(B76:B77)</f>
        <v>196.90705902905489</v>
      </c>
      <c r="C78">
        <f t="shared" si="55"/>
        <v>188.21559663677189</v>
      </c>
      <c r="D78">
        <f t="shared" si="55"/>
        <v>181.00044350784179</v>
      </c>
      <c r="E78">
        <f t="shared" si="55"/>
        <v>171.2028868550812</v>
      </c>
      <c r="F78">
        <f t="shared" si="55"/>
        <v>163.97617649212796</v>
      </c>
      <c r="G78">
        <f t="shared" si="55"/>
        <v>156.87677721320222</v>
      </c>
      <c r="H78">
        <f t="shared" si="55"/>
        <v>150.65180234157643</v>
      </c>
      <c r="I78">
        <f t="shared" si="55"/>
        <v>144.72013176156798</v>
      </c>
      <c r="J78" s="5">
        <f t="shared" si="55"/>
        <v>139.61977714563778</v>
      </c>
      <c r="K78" s="5">
        <f t="shared" ref="K78:Z78" si="56">SUM(K76:K77)</f>
        <v>135.10695688858252</v>
      </c>
      <c r="L78" s="5">
        <f t="shared" si="56"/>
        <v>130.81784680743138</v>
      </c>
      <c r="M78" s="5">
        <f t="shared" si="56"/>
        <v>126.40950016514145</v>
      </c>
      <c r="N78" s="5">
        <f t="shared" si="56"/>
        <v>122.60110228586223</v>
      </c>
      <c r="O78" s="5">
        <f t="shared" si="56"/>
        <v>118.9369385912367</v>
      </c>
      <c r="P78" s="5">
        <f t="shared" si="56"/>
        <v>115.22540889024121</v>
      </c>
      <c r="Q78" s="5">
        <f t="shared" si="56"/>
        <v>111.87234415058177</v>
      </c>
      <c r="R78" s="5">
        <f t="shared" si="56"/>
        <v>109.19977746479503</v>
      </c>
      <c r="S78" s="5">
        <f t="shared" si="56"/>
        <v>106.71066940564583</v>
      </c>
      <c r="T78" s="5">
        <f t="shared" si="56"/>
        <v>104.52137359714439</v>
      </c>
      <c r="U78" s="5">
        <f t="shared" si="56"/>
        <v>102.47052756406092</v>
      </c>
      <c r="V78" s="5">
        <f t="shared" si="56"/>
        <v>100.6995067956428</v>
      </c>
      <c r="W78" s="5">
        <f t="shared" si="56"/>
        <v>98.633715640547749</v>
      </c>
      <c r="X78" s="5">
        <f t="shared" si="56"/>
        <v>96.777038389674104</v>
      </c>
      <c r="Y78" s="5">
        <f t="shared" si="56"/>
        <v>95.425122852149372</v>
      </c>
      <c r="Z78" s="5">
        <f t="shared" si="56"/>
        <v>94.359143483421576</v>
      </c>
    </row>
    <row r="79" spans="1:26">
      <c r="A79" s="179" t="s">
        <v>18910</v>
      </c>
      <c r="B79" s="180">
        <f t="shared" ref="B79:J79" si="57">B78/B$88</f>
        <v>3.8321131309671616E-2</v>
      </c>
      <c r="C79" s="180">
        <f t="shared" si="57"/>
        <v>3.8189547853515401E-2</v>
      </c>
      <c r="D79" s="180">
        <f t="shared" si="57"/>
        <v>3.78943012968566E-2</v>
      </c>
      <c r="E79" s="180">
        <f t="shared" si="57"/>
        <v>3.7693199190919097E-2</v>
      </c>
      <c r="F79" s="98">
        <f t="shared" si="57"/>
        <v>3.7295581169074062E-2</v>
      </c>
      <c r="G79" s="98">
        <f t="shared" si="57"/>
        <v>3.6928915778875443E-2</v>
      </c>
      <c r="H79" s="98">
        <f t="shared" si="57"/>
        <v>3.6428513942193812E-2</v>
      </c>
      <c r="I79" s="98">
        <f t="shared" si="57"/>
        <v>3.5905430760267087E-2</v>
      </c>
      <c r="J79" s="181">
        <f t="shared" si="57"/>
        <v>3.5463843175149369E-2</v>
      </c>
      <c r="K79" s="181">
        <f t="shared" ref="K79:Z79" si="58">K78/K$88</f>
        <v>3.5059513704403793E-2</v>
      </c>
      <c r="L79" s="181">
        <f t="shared" si="58"/>
        <v>3.4703477811149831E-2</v>
      </c>
      <c r="M79" s="181">
        <f t="shared" si="58"/>
        <v>3.4316823363205275E-2</v>
      </c>
      <c r="N79" s="181">
        <f t="shared" si="58"/>
        <v>3.4097361191969634E-2</v>
      </c>
      <c r="O79" s="181">
        <f t="shared" si="58"/>
        <v>3.3705016694681837E-2</v>
      </c>
      <c r="P79" s="181">
        <f t="shared" si="58"/>
        <v>3.3626495932560341E-2</v>
      </c>
      <c r="Q79" s="181">
        <f t="shared" si="58"/>
        <v>3.3412643709851655E-2</v>
      </c>
      <c r="R79" s="181">
        <f t="shared" si="58"/>
        <v>3.3190476665369971E-2</v>
      </c>
      <c r="S79" s="181">
        <f t="shared" si="58"/>
        <v>3.295709921255402E-2</v>
      </c>
      <c r="T79" s="181">
        <f t="shared" si="58"/>
        <v>3.2687763359830826E-2</v>
      </c>
      <c r="U79" s="181">
        <f t="shared" si="58"/>
        <v>3.2399100260745002E-2</v>
      </c>
      <c r="V79" s="181">
        <f t="shared" si="58"/>
        <v>3.2185335357943441E-2</v>
      </c>
      <c r="W79" s="181">
        <f t="shared" si="58"/>
        <v>3.1894692411155008E-2</v>
      </c>
      <c r="X79" s="181">
        <f t="shared" si="58"/>
        <v>3.1591013896311068E-2</v>
      </c>
      <c r="Y79" s="181">
        <f t="shared" si="58"/>
        <v>3.114249622902885E-2</v>
      </c>
      <c r="Z79" s="181">
        <f t="shared" si="58"/>
        <v>3.0737609781512125E-2</v>
      </c>
    </row>
    <row r="80" spans="1:26">
      <c r="A80" s="53" t="s">
        <v>268</v>
      </c>
      <c r="F80" s="134"/>
      <c r="G80" s="134"/>
      <c r="H80" s="134"/>
      <c r="I80" s="134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</row>
    <row r="81" spans="1:26">
      <c r="A81" s="178" t="s">
        <v>18911</v>
      </c>
      <c r="B81">
        <v>438.79960040818997</v>
      </c>
      <c r="C81">
        <v>432.72949217566844</v>
      </c>
      <c r="D81">
        <v>434.78020059996572</v>
      </c>
      <c r="E81">
        <v>435.26777661515649</v>
      </c>
      <c r="F81">
        <v>436.88739652635934</v>
      </c>
      <c r="G81">
        <v>438.79095013988484</v>
      </c>
      <c r="H81">
        <v>439.30012717967713</v>
      </c>
      <c r="I81">
        <v>439.24004448049635</v>
      </c>
      <c r="J81">
        <v>438.48896002869986</v>
      </c>
      <c r="K81">
        <v>440.07877210381918</v>
      </c>
      <c r="L81">
        <v>441.26419960506468</v>
      </c>
      <c r="M81">
        <v>443.02739532805026</v>
      </c>
      <c r="N81">
        <v>444.21084691076561</v>
      </c>
      <c r="O81">
        <v>445.31720063131996</v>
      </c>
      <c r="P81">
        <v>444.75610471137901</v>
      </c>
      <c r="Q81">
        <v>445.23564406806662</v>
      </c>
      <c r="R81">
        <v>446.36840309945535</v>
      </c>
      <c r="S81">
        <v>448.16168696603785</v>
      </c>
      <c r="T81">
        <v>450.58721211511192</v>
      </c>
      <c r="U81">
        <v>453.74203951073832</v>
      </c>
      <c r="V81">
        <v>457.5440270799038</v>
      </c>
      <c r="W81">
        <v>462.1758441912674</v>
      </c>
      <c r="X81">
        <v>467.3639935786357</v>
      </c>
      <c r="Y81">
        <v>473.34992695850002</v>
      </c>
      <c r="Z81">
        <v>479.93665146300646</v>
      </c>
    </row>
    <row r="82" spans="1:26">
      <c r="A82" s="178" t="s">
        <v>18912</v>
      </c>
      <c r="B82">
        <v>739.06612142980623</v>
      </c>
      <c r="C82">
        <v>692.0404194429027</v>
      </c>
      <c r="D82">
        <v>663.246167792493</v>
      </c>
      <c r="E82">
        <v>605.15802576731903</v>
      </c>
      <c r="F82">
        <v>576.31125034853926</v>
      </c>
      <c r="G82">
        <v>544.52355966756943</v>
      </c>
      <c r="H82">
        <v>525.14663608491651</v>
      </c>
      <c r="I82">
        <v>506.92758296169438</v>
      </c>
      <c r="J82" s="5">
        <v>494.54623830812409</v>
      </c>
      <c r="K82" s="5">
        <v>485.77303285574226</v>
      </c>
      <c r="L82" s="5">
        <v>475.77884945694041</v>
      </c>
      <c r="M82" s="5">
        <v>460.49585956867747</v>
      </c>
      <c r="N82" s="5">
        <v>444.16900061771628</v>
      </c>
      <c r="O82" s="5">
        <v>435.90930507339311</v>
      </c>
      <c r="P82" s="5">
        <v>419.4948690481329</v>
      </c>
      <c r="Q82" s="5">
        <v>407.42660691225376</v>
      </c>
      <c r="R82" s="5">
        <v>401.0547200413713</v>
      </c>
      <c r="S82" s="5">
        <v>395.2692810002315</v>
      </c>
      <c r="T82" s="5">
        <v>392.07737951051308</v>
      </c>
      <c r="U82" s="5">
        <v>389.48186468889946</v>
      </c>
      <c r="V82" s="5">
        <v>384.68894741056124</v>
      </c>
      <c r="W82" s="5">
        <v>377.94596569326279</v>
      </c>
      <c r="X82" s="5">
        <v>372.33119451929645</v>
      </c>
      <c r="Y82" s="5">
        <v>370.71668770314631</v>
      </c>
      <c r="Z82" s="5">
        <v>369.88575508098569</v>
      </c>
    </row>
    <row r="83" spans="1:26">
      <c r="A83" s="178" t="s">
        <v>18913</v>
      </c>
      <c r="B83">
        <f t="shared" ref="B83:J83" si="59">SUM(B81:B82)</f>
        <v>1177.8657218379963</v>
      </c>
      <c r="C83">
        <f t="shared" si="59"/>
        <v>1124.7699116185711</v>
      </c>
      <c r="D83">
        <f t="shared" si="59"/>
        <v>1098.0263683924586</v>
      </c>
      <c r="E83">
        <f t="shared" si="59"/>
        <v>1040.4258023824755</v>
      </c>
      <c r="F83">
        <f t="shared" si="59"/>
        <v>1013.1986468748986</v>
      </c>
      <c r="G83">
        <f t="shared" si="59"/>
        <v>983.31450980745421</v>
      </c>
      <c r="H83">
        <f t="shared" si="59"/>
        <v>964.44676326459364</v>
      </c>
      <c r="I83">
        <f t="shared" si="59"/>
        <v>946.16762744219068</v>
      </c>
      <c r="J83" s="5">
        <f t="shared" si="59"/>
        <v>933.0351983368239</v>
      </c>
      <c r="K83" s="5">
        <f t="shared" ref="K83:Z83" si="60">SUM(K81:K82)</f>
        <v>925.85180495956138</v>
      </c>
      <c r="L83" s="5">
        <f t="shared" si="60"/>
        <v>917.04304906200514</v>
      </c>
      <c r="M83" s="5">
        <f t="shared" si="60"/>
        <v>903.52325489672774</v>
      </c>
      <c r="N83" s="5">
        <f t="shared" si="60"/>
        <v>888.37984752848183</v>
      </c>
      <c r="O83" s="5">
        <f t="shared" si="60"/>
        <v>881.22650570471308</v>
      </c>
      <c r="P83" s="5">
        <f t="shared" si="60"/>
        <v>864.25097375951191</v>
      </c>
      <c r="Q83" s="5">
        <f t="shared" si="60"/>
        <v>852.66225098032032</v>
      </c>
      <c r="R83" s="5">
        <f t="shared" si="60"/>
        <v>847.42312314082665</v>
      </c>
      <c r="S83" s="5">
        <f t="shared" si="60"/>
        <v>843.43096796626935</v>
      </c>
      <c r="T83" s="5">
        <f t="shared" si="60"/>
        <v>842.66459162562501</v>
      </c>
      <c r="U83" s="5">
        <f t="shared" si="60"/>
        <v>843.22390419963779</v>
      </c>
      <c r="V83" s="5">
        <f t="shared" si="60"/>
        <v>842.23297449046504</v>
      </c>
      <c r="W83" s="5">
        <f t="shared" si="60"/>
        <v>840.12180988453019</v>
      </c>
      <c r="X83" s="5">
        <f t="shared" si="60"/>
        <v>839.69518809793215</v>
      </c>
      <c r="Y83" s="5">
        <f t="shared" si="60"/>
        <v>844.06661466164633</v>
      </c>
      <c r="Z83" s="5">
        <f t="shared" si="60"/>
        <v>849.8224065439922</v>
      </c>
    </row>
    <row r="84" spans="1:26">
      <c r="A84" s="179" t="s">
        <v>18910</v>
      </c>
      <c r="B84" s="180">
        <f>B83/B$88</f>
        <v>0.22923072039309025</v>
      </c>
      <c r="C84" s="180">
        <f t="shared" ref="C84:J84" si="61">C83/C$88</f>
        <v>0.22821942034297729</v>
      </c>
      <c r="D84" s="180">
        <f>D83/D$88</f>
        <v>0.22988309436907203</v>
      </c>
      <c r="E84" s="180">
        <f t="shared" si="61"/>
        <v>0.22906726476972686</v>
      </c>
      <c r="F84" s="98">
        <f t="shared" si="61"/>
        <v>0.23044708800569502</v>
      </c>
      <c r="G84" s="98">
        <f t="shared" si="61"/>
        <v>0.23147300296381731</v>
      </c>
      <c r="H84" s="98">
        <f t="shared" si="61"/>
        <v>0.23320904108687152</v>
      </c>
      <c r="I84" s="98">
        <f t="shared" si="61"/>
        <v>0.23474658170366278</v>
      </c>
      <c r="J84" s="181">
        <f t="shared" si="61"/>
        <v>0.23699374563673931</v>
      </c>
      <c r="K84" s="181">
        <f t="shared" ref="K84:Z84" si="62">K83/K$88</f>
        <v>0.24025346134466757</v>
      </c>
      <c r="L84" s="181">
        <f t="shared" si="62"/>
        <v>0.2432740171288664</v>
      </c>
      <c r="M84" s="181">
        <f t="shared" si="62"/>
        <v>0.24528257688174526</v>
      </c>
      <c r="N84" s="181">
        <f t="shared" si="62"/>
        <v>0.2470728890040218</v>
      </c>
      <c r="O84" s="181">
        <f t="shared" si="62"/>
        <v>0.2497269093889552</v>
      </c>
      <c r="P84" s="181">
        <f t="shared" si="62"/>
        <v>0.2522163482319989</v>
      </c>
      <c r="Q84" s="181">
        <f t="shared" si="62"/>
        <v>0.25466258183075174</v>
      </c>
      <c r="R84" s="181">
        <f t="shared" si="62"/>
        <v>0.25756808344566662</v>
      </c>
      <c r="S84" s="181">
        <f t="shared" si="62"/>
        <v>0.2604897733753147</v>
      </c>
      <c r="T84" s="181">
        <f t="shared" si="62"/>
        <v>0.26353290063841506</v>
      </c>
      <c r="U84" s="181">
        <f t="shared" si="62"/>
        <v>0.26661027774392598</v>
      </c>
      <c r="V84" s="181">
        <f t="shared" si="62"/>
        <v>0.26919248759088027</v>
      </c>
      <c r="W84" s="181">
        <f t="shared" si="62"/>
        <v>0.27166599717099665</v>
      </c>
      <c r="X84" s="181">
        <f t="shared" si="62"/>
        <v>0.27410243997193517</v>
      </c>
      <c r="Y84" s="181">
        <f t="shared" si="62"/>
        <v>0.27546562769300525</v>
      </c>
      <c r="Z84" s="181">
        <f t="shared" si="62"/>
        <v>0.27683071880070853</v>
      </c>
    </row>
    <row r="85" spans="1:26">
      <c r="A85" s="53" t="s">
        <v>18914</v>
      </c>
      <c r="F85" s="134"/>
      <c r="G85" s="134"/>
      <c r="H85" s="134"/>
      <c r="I85" s="134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</row>
    <row r="86" spans="1:26">
      <c r="A86" s="178" t="s">
        <v>18911</v>
      </c>
      <c r="B86" s="248">
        <v>1701.1080164812499</v>
      </c>
      <c r="C86" s="248">
        <v>1668.0930965889374</v>
      </c>
      <c r="D86" s="248">
        <v>1653.8143348847698</v>
      </c>
      <c r="E86" s="248">
        <v>1635.5028859308904</v>
      </c>
      <c r="F86" s="248">
        <v>1623.1140876449681</v>
      </c>
      <c r="G86" s="248">
        <v>1610.58626390322</v>
      </c>
      <c r="H86" s="248">
        <v>1597.0786109932706</v>
      </c>
      <c r="I86" s="248">
        <v>1583.1004418574521</v>
      </c>
      <c r="J86" s="248">
        <v>1568.2271186449404</v>
      </c>
      <c r="K86" s="248">
        <v>1562.6831774110688</v>
      </c>
      <c r="L86" s="248">
        <v>1558.2145376226702</v>
      </c>
      <c r="M86" s="248">
        <v>1556.1770208511334</v>
      </c>
      <c r="N86" s="248">
        <v>1556.0679283333905</v>
      </c>
      <c r="O86" s="248">
        <v>1555.6870605529321</v>
      </c>
      <c r="P86" s="248">
        <v>1555.8230941050408</v>
      </c>
      <c r="Q86" s="248">
        <v>1559.0641305151689</v>
      </c>
      <c r="R86" s="248">
        <v>1563.4206995445593</v>
      </c>
      <c r="S86" s="248">
        <v>1571.9835159580721</v>
      </c>
      <c r="T86" s="248">
        <v>1583.3509285922387</v>
      </c>
      <c r="U86" s="248">
        <v>1597.9221709767908</v>
      </c>
      <c r="V86" s="248">
        <v>1615.0460809951244</v>
      </c>
      <c r="W86" s="248">
        <v>1635.5501921848045</v>
      </c>
      <c r="X86" s="248">
        <v>1658.1854173341576</v>
      </c>
      <c r="Y86" s="248">
        <v>1684.4182344866642</v>
      </c>
      <c r="Z86" s="248">
        <v>1712.9236730371699</v>
      </c>
    </row>
    <row r="87" spans="1:26">
      <c r="A87" s="178" t="s">
        <v>18912</v>
      </c>
      <c r="B87">
        <v>3437.2334755236802</v>
      </c>
      <c r="C87">
        <v>3260.3652700488437</v>
      </c>
      <c r="D87">
        <v>3122.6411561379955</v>
      </c>
      <c r="E87">
        <v>2906.5070927903307</v>
      </c>
      <c r="F87">
        <v>2773.5509153420062</v>
      </c>
      <c r="G87">
        <v>2637.4880135154776</v>
      </c>
      <c r="H87">
        <v>2538.4675872578196</v>
      </c>
      <c r="I87">
        <v>2447.4912735806242</v>
      </c>
      <c r="J87" s="5">
        <v>2368.7341536030081</v>
      </c>
      <c r="K87" s="5">
        <v>2290.9628836183479</v>
      </c>
      <c r="L87" s="5">
        <v>2211.3744217121521</v>
      </c>
      <c r="M87" s="5">
        <v>2127.4244252162366</v>
      </c>
      <c r="N87" s="5">
        <v>2039.5505594320603</v>
      </c>
      <c r="O87" s="5">
        <v>1973.0736479383716</v>
      </c>
      <c r="P87" s="5">
        <v>1870.8024193392287</v>
      </c>
      <c r="Q87" s="5">
        <v>1789.1397746309667</v>
      </c>
      <c r="R87" s="5">
        <v>1726.672979005441</v>
      </c>
      <c r="S87" s="5">
        <v>1665.8824356969697</v>
      </c>
      <c r="T87" s="5">
        <v>1614.2179122782893</v>
      </c>
      <c r="U87" s="5">
        <v>1564.8362618002757</v>
      </c>
      <c r="V87" s="5">
        <v>1513.6926963309866</v>
      </c>
      <c r="W87" s="5">
        <v>1456.9303487484297</v>
      </c>
      <c r="X87" s="5">
        <v>1405.2502389989525</v>
      </c>
      <c r="Y87" s="5">
        <v>1379.7267251970995</v>
      </c>
      <c r="Z87" s="5">
        <v>1356.9032964032499</v>
      </c>
    </row>
    <row r="88" spans="1:26">
      <c r="A88" s="178" t="s">
        <v>18915</v>
      </c>
      <c r="B88">
        <f>SUM(B86:B87)</f>
        <v>5138.3414920049299</v>
      </c>
      <c r="C88">
        <f t="shared" ref="C88:J88" si="63">SUM(C86:C87)</f>
        <v>4928.4583666377812</v>
      </c>
      <c r="D88">
        <f t="shared" si="63"/>
        <v>4776.4554910227653</v>
      </c>
      <c r="E88">
        <f t="shared" si="63"/>
        <v>4542.0099787212212</v>
      </c>
      <c r="F88">
        <f t="shared" si="63"/>
        <v>4396.6650029869743</v>
      </c>
      <c r="G88">
        <f t="shared" si="63"/>
        <v>4248.0742774186974</v>
      </c>
      <c r="H88">
        <f t="shared" si="63"/>
        <v>4135.5461982510897</v>
      </c>
      <c r="I88">
        <f t="shared" si="63"/>
        <v>4030.5917154380763</v>
      </c>
      <c r="J88" s="5">
        <f t="shared" si="63"/>
        <v>3936.9612722479487</v>
      </c>
      <c r="K88" s="5">
        <f t="shared" ref="K88:Z88" si="64">SUM(K86:K87)</f>
        <v>3853.6460610294166</v>
      </c>
      <c r="L88" s="5">
        <f t="shared" si="64"/>
        <v>3769.588959334822</v>
      </c>
      <c r="M88" s="5">
        <f t="shared" si="64"/>
        <v>3683.60144606737</v>
      </c>
      <c r="N88" s="5">
        <f t="shared" si="64"/>
        <v>3595.6184877654505</v>
      </c>
      <c r="O88" s="5">
        <f t="shared" si="64"/>
        <v>3528.7607084913034</v>
      </c>
      <c r="P88" s="5">
        <f t="shared" si="64"/>
        <v>3426.6255134442695</v>
      </c>
      <c r="Q88" s="5">
        <f t="shared" si="64"/>
        <v>3348.2039051461356</v>
      </c>
      <c r="R88" s="5">
        <f t="shared" si="64"/>
        <v>3290.0936785500003</v>
      </c>
      <c r="S88" s="5">
        <f t="shared" si="64"/>
        <v>3237.8659516550415</v>
      </c>
      <c r="T88" s="5">
        <f t="shared" si="64"/>
        <v>3197.5688408705282</v>
      </c>
      <c r="U88" s="5">
        <f t="shared" si="64"/>
        <v>3162.7584327770664</v>
      </c>
      <c r="V88" s="5">
        <f t="shared" si="64"/>
        <v>3128.7387773261107</v>
      </c>
      <c r="W88" s="5">
        <f t="shared" si="64"/>
        <v>3092.4805409332339</v>
      </c>
      <c r="X88" s="5">
        <f t="shared" si="64"/>
        <v>3063.4356563331103</v>
      </c>
      <c r="Y88" s="5">
        <f t="shared" si="64"/>
        <v>3064.1449596837638</v>
      </c>
      <c r="Z88" s="5">
        <f t="shared" si="64"/>
        <v>3069.8269694404198</v>
      </c>
    </row>
    <row r="89" spans="1:26">
      <c r="A89" s="179"/>
      <c r="B89" s="180">
        <v>1</v>
      </c>
      <c r="C89" s="180">
        <v>1</v>
      </c>
      <c r="D89" s="180">
        <v>1</v>
      </c>
      <c r="E89" s="180">
        <v>1</v>
      </c>
      <c r="F89" s="180">
        <v>1</v>
      </c>
      <c r="G89" s="180">
        <v>1</v>
      </c>
      <c r="H89" s="180">
        <v>1</v>
      </c>
      <c r="I89" s="180">
        <v>1</v>
      </c>
      <c r="J89" s="180">
        <v>1</v>
      </c>
      <c r="K89" s="180">
        <v>1</v>
      </c>
      <c r="L89" s="180">
        <v>1</v>
      </c>
      <c r="M89" s="180">
        <v>1</v>
      </c>
      <c r="N89" s="180">
        <v>1</v>
      </c>
      <c r="O89" s="180">
        <v>1</v>
      </c>
      <c r="P89" s="180">
        <v>1</v>
      </c>
      <c r="Q89" s="180">
        <v>1</v>
      </c>
      <c r="R89" s="180">
        <v>1</v>
      </c>
      <c r="S89" s="180">
        <v>1</v>
      </c>
      <c r="T89" s="180">
        <v>1</v>
      </c>
      <c r="U89" s="180">
        <v>1</v>
      </c>
      <c r="V89" s="180">
        <v>1</v>
      </c>
      <c r="W89" s="180">
        <v>1</v>
      </c>
      <c r="X89" s="180">
        <v>1</v>
      </c>
      <c r="Y89" s="180">
        <v>1</v>
      </c>
      <c r="Z89" s="180">
        <v>1</v>
      </c>
    </row>
    <row r="90" spans="1:26" hidden="1" outlineLevel="1" collapsed="1">
      <c r="A90" s="182" t="s">
        <v>18916</v>
      </c>
      <c r="B90" s="134"/>
      <c r="C90" s="134"/>
      <c r="D90" s="134"/>
      <c r="E90" s="134"/>
      <c r="F90" s="134"/>
      <c r="G90" s="134"/>
      <c r="H90" s="134"/>
      <c r="I90" s="158"/>
    </row>
    <row r="91" spans="1:26" hidden="1" outlineLevel="1">
      <c r="A91" s="178" t="s">
        <v>18911</v>
      </c>
      <c r="B91" t="e">
        <f>SUM(#REF!,#REF!,#REF!,#REF!,#REF!,#REF!,#REF!,#REF!,#REF!,#REF!,#REF!,#REF!,#REF!,#REF!,#REF!,#REF!)</f>
        <v>#REF!</v>
      </c>
      <c r="C91" t="e">
        <f>SUM(#REF!,#REF!,#REF!,#REF!,#REF!,#REF!,#REF!,#REF!,#REF!,#REF!,#REF!,#REF!,#REF!,#REF!,#REF!,#REF!)</f>
        <v>#REF!</v>
      </c>
      <c r="D91" t="e">
        <f>SUM(#REF!,#REF!,#REF!,#REF!,#REF!,#REF!,#REF!,#REF!,#REF!,#REF!,#REF!,#REF!,#REF!,#REF!,#REF!,#REF!)</f>
        <v>#REF!</v>
      </c>
      <c r="E91" t="e">
        <f>SUM(#REF!,#REF!,#REF!,#REF!,#REF!,#REF!,#REF!,#REF!,#REF!,#REF!,#REF!,#REF!,#REF!,#REF!,#REF!,#REF!)</f>
        <v>#REF!</v>
      </c>
      <c r="F91" t="e">
        <f>SUM(#REF!,#REF!,#REF!,#REF!,#REF!,#REF!,#REF!,#REF!,#REF!,#REF!,#REF!,#REF!,#REF!,#REF!,#REF!,#REF!)</f>
        <v>#REF!</v>
      </c>
      <c r="G91" t="e">
        <f>SUM(#REF!,#REF!,#REF!,#REF!,#REF!,#REF!,#REF!,#REF!,#REF!,#REF!,#REF!,#REF!,#REF!,#REF!,#REF!,#REF!)</f>
        <v>#REF!</v>
      </c>
      <c r="H91">
        <f t="shared" ref="H91:P92" si="65">SUM(B6,B11,B16,B21,B26,B31,B36,B41,B46,B51,B56,B61,B66,B71,B76,B81)</f>
        <v>1701.1080164812463</v>
      </c>
      <c r="I91">
        <f t="shared" si="65"/>
        <v>1668.0930965889374</v>
      </c>
      <c r="J91">
        <f t="shared" si="65"/>
        <v>1653.8143348847698</v>
      </c>
      <c r="K91">
        <f t="shared" si="65"/>
        <v>1635.5028859308904</v>
      </c>
      <c r="L91">
        <f t="shared" si="65"/>
        <v>1623.1140876449681</v>
      </c>
      <c r="M91">
        <f t="shared" si="65"/>
        <v>1610.58626390322</v>
      </c>
      <c r="N91">
        <f t="shared" si="65"/>
        <v>1597.0786109932706</v>
      </c>
      <c r="O91">
        <f t="shared" si="65"/>
        <v>1583.1004418574521</v>
      </c>
      <c r="P91">
        <f t="shared" si="65"/>
        <v>1568.2271186449404</v>
      </c>
    </row>
    <row r="92" spans="1:26" hidden="1" outlineLevel="1">
      <c r="A92" s="178" t="s">
        <v>18912</v>
      </c>
      <c r="B92" t="e">
        <f>SUM(#REF!,#REF!,#REF!,#REF!,#REF!,#REF!,#REF!,#REF!,#REF!,#REF!,#REF!,#REF!,#REF!,#REF!,#REF!,#REF!)</f>
        <v>#REF!</v>
      </c>
      <c r="C92" t="e">
        <f>SUM(#REF!,#REF!,#REF!,#REF!,#REF!,#REF!,#REF!,#REF!,#REF!,#REF!,#REF!,#REF!,#REF!,#REF!,#REF!,#REF!)</f>
        <v>#REF!</v>
      </c>
      <c r="D92" t="e">
        <f>SUM(#REF!,#REF!,#REF!,#REF!,#REF!,#REF!,#REF!,#REF!,#REF!,#REF!,#REF!,#REF!,#REF!,#REF!,#REF!,#REF!)</f>
        <v>#REF!</v>
      </c>
      <c r="E92" t="e">
        <f>SUM(#REF!,#REF!,#REF!,#REF!,#REF!,#REF!,#REF!,#REF!,#REF!,#REF!,#REF!,#REF!,#REF!,#REF!,#REF!,#REF!)</f>
        <v>#REF!</v>
      </c>
      <c r="F92" t="e">
        <f>SUM(#REF!,#REF!,#REF!,#REF!,#REF!,#REF!,#REF!,#REF!,#REF!,#REF!,#REF!,#REF!,#REF!,#REF!,#REF!,#REF!)</f>
        <v>#REF!</v>
      </c>
      <c r="G92" t="e">
        <f>SUM(#REF!,#REF!,#REF!,#REF!,#REF!,#REF!,#REF!,#REF!,#REF!,#REF!,#REF!,#REF!,#REF!,#REF!,#REF!,#REF!)</f>
        <v>#REF!</v>
      </c>
      <c r="H92">
        <f t="shared" si="65"/>
        <v>3437.2334755236798</v>
      </c>
      <c r="I92">
        <f t="shared" si="65"/>
        <v>3260.3652700488437</v>
      </c>
      <c r="J92">
        <f t="shared" si="65"/>
        <v>3122.6411561379959</v>
      </c>
      <c r="K92">
        <f t="shared" si="65"/>
        <v>2906.5070927903307</v>
      </c>
      <c r="L92">
        <f t="shared" si="65"/>
        <v>2773.5509153420062</v>
      </c>
      <c r="M92">
        <f t="shared" si="65"/>
        <v>2637.4880135154776</v>
      </c>
      <c r="N92">
        <f t="shared" si="65"/>
        <v>2538.46758725782</v>
      </c>
      <c r="O92">
        <f t="shared" si="65"/>
        <v>2447.4912735806242</v>
      </c>
      <c r="P92">
        <f t="shared" si="65"/>
        <v>2368.7341536030081</v>
      </c>
    </row>
    <row r="93" spans="1:26" hidden="1" outlineLevel="1">
      <c r="A93" s="178" t="s">
        <v>18913</v>
      </c>
      <c r="B93" t="e">
        <f t="shared" ref="B93:P93" si="66">SUM(B91:B92)</f>
        <v>#REF!</v>
      </c>
      <c r="C93" t="e">
        <f t="shared" si="66"/>
        <v>#REF!</v>
      </c>
      <c r="D93" t="e">
        <f t="shared" si="66"/>
        <v>#REF!</v>
      </c>
      <c r="E93" t="e">
        <f t="shared" si="66"/>
        <v>#REF!</v>
      </c>
      <c r="F93" t="e">
        <f t="shared" si="66"/>
        <v>#REF!</v>
      </c>
      <c r="G93" t="e">
        <f t="shared" si="66"/>
        <v>#REF!</v>
      </c>
      <c r="H93">
        <f t="shared" si="66"/>
        <v>5138.3414920049263</v>
      </c>
      <c r="I93">
        <f t="shared" si="66"/>
        <v>4928.4583666377812</v>
      </c>
      <c r="J93">
        <f t="shared" si="66"/>
        <v>4776.4554910227653</v>
      </c>
      <c r="K93">
        <f t="shared" si="66"/>
        <v>4542.0099787212212</v>
      </c>
      <c r="L93">
        <f t="shared" si="66"/>
        <v>4396.6650029869743</v>
      </c>
      <c r="M93">
        <f t="shared" si="66"/>
        <v>4248.0742774186974</v>
      </c>
      <c r="N93">
        <f t="shared" si="66"/>
        <v>4135.5461982510906</v>
      </c>
      <c r="O93">
        <f t="shared" si="66"/>
        <v>4030.5917154380763</v>
      </c>
      <c r="P93">
        <f t="shared" si="66"/>
        <v>3936.9612722479487</v>
      </c>
    </row>
    <row r="94" spans="1:26" hidden="1" outlineLevel="2">
      <c r="A94" s="179" t="s">
        <v>18910</v>
      </c>
      <c r="B94" s="98" t="e">
        <f>SUM(#REF!,#REF!,#REF!,#REF!,#REF!,#REF!,#REF!,#REF!,#REF!,#REF!,#REF!,#REF!,#REF!,#REF!,#REF!,#REF!)</f>
        <v>#REF!</v>
      </c>
      <c r="C94" s="98" t="e">
        <f>SUM(#REF!,#REF!,#REF!,#REF!,#REF!,#REF!,#REF!,#REF!,#REF!,#REF!,#REF!,#REF!,#REF!,#REF!,#REF!,#REF!)</f>
        <v>#REF!</v>
      </c>
      <c r="D94" s="98" t="e">
        <f>SUM(#REF!,#REF!,#REF!,#REF!,#REF!,#REF!,#REF!,#REF!,#REF!,#REF!,#REF!,#REF!,#REF!,#REF!,#REF!,#REF!)</f>
        <v>#REF!</v>
      </c>
      <c r="E94" s="98" t="e">
        <f>SUM(#REF!,#REF!,#REF!,#REF!,#REF!,#REF!,#REF!,#REF!,#REF!,#REF!,#REF!,#REF!,#REF!,#REF!,#REF!,#REF!)</f>
        <v>#REF!</v>
      </c>
      <c r="F94" s="98" t="e">
        <f>SUM(#REF!,#REF!,#REF!,#REF!,#REF!,#REF!,#REF!,#REF!,#REF!,#REF!,#REF!,#REF!,#REF!,#REF!,#REF!,#REF!)</f>
        <v>#REF!</v>
      </c>
      <c r="G94" s="98" t="e">
        <f>SUM(#REF!,#REF!,#REF!,#REF!,#REF!,#REF!,#REF!,#REF!,#REF!,#REF!,#REF!,#REF!,#REF!,#REF!,#REF!,#REF!)</f>
        <v>#REF!</v>
      </c>
      <c r="H94" s="98">
        <f t="shared" ref="H94:P94" si="67">SUM(B9,B14,B19,B24,B29,B34,B39,B44,B49,B54,B59,B64,B69,B74,B79,B84)</f>
        <v>0.99999999999999922</v>
      </c>
      <c r="I94" s="98">
        <f t="shared" si="67"/>
        <v>1</v>
      </c>
      <c r="J94" s="98">
        <f t="shared" si="67"/>
        <v>1</v>
      </c>
      <c r="K94" s="98">
        <f t="shared" si="67"/>
        <v>0.99999999999999989</v>
      </c>
      <c r="L94" s="98">
        <f t="shared" si="67"/>
        <v>0.99999999999999989</v>
      </c>
      <c r="M94" s="98">
        <f t="shared" si="67"/>
        <v>1</v>
      </c>
      <c r="N94" s="98">
        <f t="shared" si="67"/>
        <v>1.0000000000000002</v>
      </c>
      <c r="O94" s="98">
        <f t="shared" si="67"/>
        <v>0.99999999999999989</v>
      </c>
      <c r="P94" s="98">
        <f t="shared" si="67"/>
        <v>1</v>
      </c>
    </row>
    <row r="95" spans="1:26" hidden="1" outlineLevel="1" collapsed="1">
      <c r="A95" s="120" t="s">
        <v>18917</v>
      </c>
      <c r="B95" s="134"/>
      <c r="C95" s="134"/>
      <c r="D95" s="134"/>
      <c r="E95" s="134"/>
      <c r="F95" s="134"/>
      <c r="G95" s="134"/>
      <c r="H95" s="134"/>
      <c r="I95" s="158"/>
      <c r="J95" s="158"/>
      <c r="K95" s="158"/>
      <c r="L95" s="158"/>
      <c r="M95" s="158"/>
      <c r="N95" s="158"/>
      <c r="O95" s="158"/>
      <c r="P95" s="158"/>
    </row>
    <row r="96" spans="1:26" hidden="1" outlineLevel="1">
      <c r="A96" s="178" t="s">
        <v>18911</v>
      </c>
      <c r="B96" t="e">
        <f>IF(#REF!=B91,"ok","ERROR")</f>
        <v>#REF!</v>
      </c>
      <c r="C96" t="e">
        <f>IF(#REF!=C91,"ok","ERROR")</f>
        <v>#REF!</v>
      </c>
      <c r="D96" t="e">
        <f>IF(#REF!=D91,"ok","ERROR")</f>
        <v>#REF!</v>
      </c>
      <c r="E96" t="e">
        <f>IF(#REF!=E91,"ok","ERROR")</f>
        <v>#REF!</v>
      </c>
      <c r="F96" t="e">
        <f>IF(#REF!=F91,"ok","ERROR")</f>
        <v>#REF!</v>
      </c>
      <c r="G96" t="e">
        <f>IF(#REF!=G91,"ok","ERROR")</f>
        <v>#REF!</v>
      </c>
      <c r="H96" t="str">
        <f t="shared" ref="H96:P98" si="68">IF(B86=H91,"ok","ERROR")</f>
        <v>ok</v>
      </c>
      <c r="I96" s="5" t="str">
        <f t="shared" si="68"/>
        <v>ok</v>
      </c>
      <c r="J96" s="5" t="str">
        <f t="shared" si="68"/>
        <v>ok</v>
      </c>
      <c r="K96" s="5" t="str">
        <f t="shared" si="68"/>
        <v>ok</v>
      </c>
      <c r="L96" s="5" t="str">
        <f t="shared" si="68"/>
        <v>ok</v>
      </c>
      <c r="M96" s="5" t="str">
        <f t="shared" si="68"/>
        <v>ok</v>
      </c>
      <c r="N96" s="5" t="str">
        <f t="shared" si="68"/>
        <v>ok</v>
      </c>
      <c r="O96" s="5" t="str">
        <f t="shared" si="68"/>
        <v>ok</v>
      </c>
      <c r="P96" s="5" t="str">
        <f t="shared" si="68"/>
        <v>ok</v>
      </c>
    </row>
    <row r="97" spans="1:26" hidden="1" outlineLevel="1">
      <c r="A97" s="178" t="s">
        <v>18912</v>
      </c>
      <c r="B97" t="e">
        <f>IF(#REF!=B92,"ok","ERROR")</f>
        <v>#REF!</v>
      </c>
      <c r="C97" t="e">
        <f>IF(#REF!=C92,"ok","ERROR")</f>
        <v>#REF!</v>
      </c>
      <c r="D97" t="e">
        <f>IF(#REF!=D92,"ok","ERROR")</f>
        <v>#REF!</v>
      </c>
      <c r="E97" t="e">
        <f>IF(#REF!=E92,"ok","ERROR")</f>
        <v>#REF!</v>
      </c>
      <c r="F97" t="e">
        <f>IF(#REF!=F92,"ok","ERROR")</f>
        <v>#REF!</v>
      </c>
      <c r="G97" t="e">
        <f>IF(#REF!=G92,"ok","ERROR")</f>
        <v>#REF!</v>
      </c>
      <c r="H97" t="str">
        <f t="shared" si="68"/>
        <v>ok</v>
      </c>
      <c r="I97" s="5" t="str">
        <f t="shared" si="68"/>
        <v>ok</v>
      </c>
      <c r="J97" s="5" t="str">
        <f t="shared" si="68"/>
        <v>ok</v>
      </c>
      <c r="K97" s="5" t="str">
        <f t="shared" si="68"/>
        <v>ok</v>
      </c>
      <c r="L97" s="5" t="str">
        <f t="shared" si="68"/>
        <v>ok</v>
      </c>
      <c r="M97" s="5" t="str">
        <f t="shared" si="68"/>
        <v>ok</v>
      </c>
      <c r="N97" s="5" t="str">
        <f t="shared" si="68"/>
        <v>ok</v>
      </c>
      <c r="O97" s="5" t="str">
        <f t="shared" si="68"/>
        <v>ok</v>
      </c>
      <c r="P97" s="5" t="str">
        <f t="shared" si="68"/>
        <v>ok</v>
      </c>
    </row>
    <row r="98" spans="1:26" hidden="1" outlineLevel="1">
      <c r="A98" s="178" t="s">
        <v>18913</v>
      </c>
      <c r="B98" t="e">
        <f>IF(#REF!=B93,"ok","ERROR")</f>
        <v>#REF!</v>
      </c>
      <c r="C98" t="e">
        <f>IF(#REF!=C93,"ok","ERROR")</f>
        <v>#REF!</v>
      </c>
      <c r="D98" t="e">
        <f>IF(#REF!=D93,"ok","ERROR")</f>
        <v>#REF!</v>
      </c>
      <c r="E98" t="e">
        <f>IF(#REF!=E93,"ok","ERROR")</f>
        <v>#REF!</v>
      </c>
      <c r="F98" t="e">
        <f>IF(#REF!=F93,"ok","ERROR")</f>
        <v>#REF!</v>
      </c>
      <c r="G98" t="e">
        <f>IF(#REF!=G93,"ok","ERROR")</f>
        <v>#REF!</v>
      </c>
      <c r="H98" t="str">
        <f t="shared" si="68"/>
        <v>ok</v>
      </c>
      <c r="I98" s="5" t="str">
        <f t="shared" si="68"/>
        <v>ok</v>
      </c>
      <c r="J98" s="5" t="str">
        <f t="shared" si="68"/>
        <v>ok</v>
      </c>
      <c r="K98" s="5" t="str">
        <f t="shared" si="68"/>
        <v>ok</v>
      </c>
      <c r="L98" s="5" t="str">
        <f t="shared" si="68"/>
        <v>ok</v>
      </c>
      <c r="M98" s="5" t="str">
        <f t="shared" si="68"/>
        <v>ok</v>
      </c>
      <c r="N98" s="5" t="str">
        <f t="shared" si="68"/>
        <v>ok</v>
      </c>
      <c r="O98" s="5" t="str">
        <f t="shared" si="68"/>
        <v>ok</v>
      </c>
      <c r="P98" s="5" t="str">
        <f t="shared" si="68"/>
        <v>ok</v>
      </c>
    </row>
    <row r="99" spans="1:26" hidden="1" outlineLevel="2">
      <c r="A99" s="179" t="s">
        <v>18918</v>
      </c>
      <c r="B99" s="20"/>
      <c r="C99" s="20"/>
      <c r="D99" s="20"/>
      <c r="E99" s="20"/>
      <c r="F99" s="20"/>
      <c r="G99" s="20"/>
      <c r="H99" s="20"/>
      <c r="I99" s="96"/>
    </row>
    <row r="100" spans="1:26" hidden="1" outlineLevel="2">
      <c r="A100" s="183"/>
    </row>
    <row r="101" spans="1:26" collapsed="1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>
      <c r="A102" s="452" t="s">
        <v>18919</v>
      </c>
    </row>
    <row r="103" spans="1:26">
      <c r="A103" s="515" t="s">
        <v>18920</v>
      </c>
      <c r="B103" s="516"/>
      <c r="C103" s="516"/>
      <c r="D103" s="516"/>
      <c r="E103" s="516"/>
      <c r="F103" s="516"/>
      <c r="G103" s="516"/>
      <c r="H103" s="516"/>
      <c r="I103" s="516"/>
    </row>
    <row r="104" spans="1:26" ht="24" customHeight="1">
      <c r="A104" s="515" t="s">
        <v>18921</v>
      </c>
      <c r="B104" s="516"/>
      <c r="C104" s="516"/>
      <c r="D104" s="516"/>
      <c r="E104" s="516"/>
      <c r="F104" s="516"/>
      <c r="G104" s="516"/>
      <c r="H104" s="516"/>
      <c r="I104" s="516"/>
    </row>
    <row r="105" spans="1:26">
      <c r="A105" s="517" t="s">
        <v>18922</v>
      </c>
      <c r="B105" s="517"/>
      <c r="C105" s="517"/>
      <c r="D105" s="517"/>
      <c r="E105" s="517"/>
      <c r="F105" s="517"/>
      <c r="G105" s="517"/>
      <c r="H105" s="517"/>
      <c r="I105" s="517"/>
    </row>
    <row r="106" spans="1:26">
      <c r="A106" s="517" t="s">
        <v>18923</v>
      </c>
      <c r="B106" s="517"/>
      <c r="C106" s="517"/>
      <c r="D106" s="517"/>
      <c r="E106" s="517"/>
      <c r="F106" s="517"/>
      <c r="G106" s="517"/>
      <c r="H106" s="517"/>
      <c r="I106" s="517"/>
    </row>
    <row r="107" spans="1:26">
      <c r="A107" s="517" t="s">
        <v>18924</v>
      </c>
      <c r="B107" s="517"/>
      <c r="C107" s="517"/>
      <c r="D107" s="517"/>
      <c r="E107" s="517"/>
      <c r="F107" s="517"/>
      <c r="G107" s="517"/>
      <c r="H107" s="517"/>
      <c r="I107" s="517"/>
    </row>
    <row r="108" spans="1:26">
      <c r="B108" s="2"/>
      <c r="C108" s="2"/>
      <c r="D108" s="2"/>
      <c r="E108" s="2"/>
      <c r="F108" s="2"/>
      <c r="G108" s="2"/>
      <c r="H108" s="2"/>
      <c r="I108" s="2"/>
    </row>
  </sheetData>
  <mergeCells count="5">
    <mergeCell ref="A103:I103"/>
    <mergeCell ref="A104:I104"/>
    <mergeCell ref="A105:I105"/>
    <mergeCell ref="A106:I106"/>
    <mergeCell ref="A107:I107"/>
  </mergeCells>
  <pageMargins left="0.7" right="0.7" top="0.75" bottom="0.75" header="0.3" footer="0.3"/>
  <pageSetup scale="64" fitToHeight="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0">
    <tabColor rgb="FFB889DB"/>
  </sheetPr>
  <dimension ref="A1:AC155"/>
  <sheetViews>
    <sheetView topLeftCell="G153" zoomScale="96" zoomScaleNormal="96" workbookViewId="0">
      <selection activeCell="P7" sqref="P7"/>
    </sheetView>
  </sheetViews>
  <sheetFormatPr defaultRowHeight="15"/>
  <cols>
    <col min="1" max="1" width="30" customWidth="1"/>
    <col min="2" max="2" width="30" bestFit="1" customWidth="1"/>
    <col min="4" max="4" width="12.7109375" bestFit="1" customWidth="1"/>
    <col min="5" max="5" width="10.7109375" customWidth="1"/>
    <col min="6" max="6" width="10.28515625" customWidth="1"/>
    <col min="7" max="7" width="10.5703125" customWidth="1"/>
    <col min="8" max="8" width="9" bestFit="1" customWidth="1"/>
    <col min="9" max="17" width="11.28515625" bestFit="1" customWidth="1"/>
    <col min="18" max="22" width="12.28515625" bestFit="1" customWidth="1"/>
    <col min="23" max="23" width="11.28515625" bestFit="1" customWidth="1"/>
    <col min="24" max="28" width="12" bestFit="1" customWidth="1"/>
    <col min="29" max="29" width="13.7109375" bestFit="1" customWidth="1"/>
  </cols>
  <sheetData>
    <row r="1" spans="1:28" ht="15.75" customHeight="1">
      <c r="A1" s="520" t="s">
        <v>18925</v>
      </c>
      <c r="B1" s="86"/>
      <c r="C1" s="87"/>
      <c r="D1" s="518" t="s">
        <v>18926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</row>
    <row r="2" spans="1:28">
      <c r="A2" s="520"/>
      <c r="B2" s="88" t="s">
        <v>18814</v>
      </c>
      <c r="C2" s="88" t="s">
        <v>1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8">
      <c r="A3" s="520"/>
      <c r="B3" s="2" t="s">
        <v>249</v>
      </c>
      <c r="C3" s="2" t="s">
        <v>240</v>
      </c>
      <c r="D3">
        <f>'Air Basin Summary NOx BAU tpd'!D3*365.25</f>
        <v>0</v>
      </c>
      <c r="E3">
        <f>'Air Basin Summary NOx BAU tpd'!E3*365.25</f>
        <v>0</v>
      </c>
      <c r="F3" s="60">
        <f>'Air Basin Summary NOx BAU tpd'!F3*365.25</f>
        <v>0</v>
      </c>
      <c r="G3" s="60">
        <f>'Air Basin Summary NOx BAU tpd'!G3*365.25</f>
        <v>0</v>
      </c>
      <c r="H3" s="60">
        <f>'Air Basin Summary NOx BAU tpd'!H3*365.25</f>
        <v>0</v>
      </c>
      <c r="I3" s="60">
        <f>'Air Basin Summary NOx BAU tpd'!I3*365.25</f>
        <v>0</v>
      </c>
      <c r="J3" s="60">
        <f>'Air Basin Summary NOx BAU tpd'!J3*365.25</f>
        <v>0</v>
      </c>
      <c r="K3" s="60">
        <f>'Air Basin Summary NOx BAU tpd'!K3*365.25</f>
        <v>0</v>
      </c>
      <c r="L3" s="60">
        <f>'Air Basin Summary NOx BAU tpd'!L3*365.25</f>
        <v>0</v>
      </c>
      <c r="M3" s="60">
        <f>'Air Basin Summary NOx BAU tpd'!M3*365.25</f>
        <v>0</v>
      </c>
      <c r="N3" s="60">
        <f>'Air Basin Summary NOx BAU tpd'!N3*365.25</f>
        <v>0</v>
      </c>
      <c r="O3" s="60">
        <f>'Air Basin Summary NOx BAU tpd'!O3*365.25</f>
        <v>0</v>
      </c>
      <c r="P3" s="60">
        <f>'Air Basin Summary NOx BAU tpd'!P3*365.25</f>
        <v>0</v>
      </c>
      <c r="Q3" s="60">
        <f>'Air Basin Summary NOx BAU tpd'!Q3*365.25</f>
        <v>0</v>
      </c>
      <c r="R3" s="60">
        <f>'Air Basin Summary NOx BAU tpd'!R3*365.25</f>
        <v>0</v>
      </c>
      <c r="S3" s="60">
        <f>'Air Basin Summary NOx BAU tpd'!S3*365.25</f>
        <v>0</v>
      </c>
      <c r="T3" s="60">
        <f>'Air Basin Summary NOx BAU tpd'!T3*365.25</f>
        <v>0</v>
      </c>
      <c r="U3" s="60">
        <f>'Air Basin Summary NOx BAU tpd'!U3*365.25</f>
        <v>0</v>
      </c>
      <c r="V3" s="60">
        <f>'Air Basin Summary NOx BAU tpd'!V3*365.25</f>
        <v>0</v>
      </c>
      <c r="W3" s="60">
        <f>'Air Basin Summary NOx BAU tpd'!W3*365.25</f>
        <v>0</v>
      </c>
      <c r="X3" s="60">
        <f>'Air Basin Summary NOx BAU tpd'!X3*365.25</f>
        <v>0</v>
      </c>
      <c r="Y3" s="60">
        <f>'Air Basin Summary NOx BAU tpd'!Y3*365.25</f>
        <v>0</v>
      </c>
      <c r="Z3" s="60">
        <f>'Air Basin Summary NOx BAU tpd'!Z3*365.25</f>
        <v>0</v>
      </c>
      <c r="AA3" s="60">
        <f>'Air Basin Summary NOx BAU tpd'!AA3*365.25</f>
        <v>0</v>
      </c>
      <c r="AB3" s="60">
        <f>'Air Basin Summary NOx BAU tpd'!AB3*365.25</f>
        <v>0</v>
      </c>
    </row>
    <row r="4" spans="1:28">
      <c r="A4" s="520"/>
      <c r="B4" s="2" t="s">
        <v>416</v>
      </c>
      <c r="C4" s="2" t="s">
        <v>240</v>
      </c>
      <c r="D4">
        <f>'Air Basin Summary NOx BAU tpd'!D4*365.25</f>
        <v>0</v>
      </c>
      <c r="E4">
        <f>'Air Basin Summary NOx BAU tpd'!E4*365.25</f>
        <v>0</v>
      </c>
      <c r="F4" s="60">
        <f>'Air Basin Summary NOx BAU tpd'!F4*365.25</f>
        <v>0</v>
      </c>
      <c r="G4" s="60">
        <f>'Air Basin Summary NOx BAU tpd'!G4*365.25</f>
        <v>0</v>
      </c>
      <c r="H4" s="60">
        <f>'Air Basin Summary NOx BAU tpd'!H4*365.25</f>
        <v>0</v>
      </c>
      <c r="I4" s="60">
        <f>'Air Basin Summary NOx BAU tpd'!I4*365.25</f>
        <v>0</v>
      </c>
      <c r="J4" s="60">
        <f>'Air Basin Summary NOx BAU tpd'!J4*365.25</f>
        <v>0</v>
      </c>
      <c r="K4" s="60">
        <f>'Air Basin Summary NOx BAU tpd'!K4*365.25</f>
        <v>0</v>
      </c>
      <c r="L4" s="60">
        <f>'Air Basin Summary NOx BAU tpd'!L4*365.25</f>
        <v>0</v>
      </c>
      <c r="M4" s="60">
        <f>'Air Basin Summary NOx BAU tpd'!M4*365.25</f>
        <v>0</v>
      </c>
      <c r="N4" s="60">
        <f>'Air Basin Summary NOx BAU tpd'!N4*365.25</f>
        <v>0</v>
      </c>
      <c r="O4" s="60">
        <f>'Air Basin Summary NOx BAU tpd'!O4*365.25</f>
        <v>0</v>
      </c>
      <c r="P4" s="60">
        <f>'Air Basin Summary NOx BAU tpd'!P4*365.25</f>
        <v>0</v>
      </c>
      <c r="Q4" s="60">
        <f>'Air Basin Summary NOx BAU tpd'!Q4*365.25</f>
        <v>0</v>
      </c>
      <c r="R4" s="60">
        <f>'Air Basin Summary NOx BAU tpd'!R4*365.25</f>
        <v>0</v>
      </c>
      <c r="S4" s="60">
        <f>'Air Basin Summary NOx BAU tpd'!S4*365.25</f>
        <v>0</v>
      </c>
      <c r="T4" s="60">
        <f>'Air Basin Summary NOx BAU tpd'!T4*365.25</f>
        <v>0</v>
      </c>
      <c r="U4" s="60">
        <f>'Air Basin Summary NOx BAU tpd'!U4*365.25</f>
        <v>0</v>
      </c>
      <c r="V4" s="60">
        <f>'Air Basin Summary NOx BAU tpd'!V4*365.25</f>
        <v>0</v>
      </c>
      <c r="W4" s="60">
        <f>'Air Basin Summary NOx BAU tpd'!W4*365.25</f>
        <v>0</v>
      </c>
      <c r="X4" s="60">
        <f>'Air Basin Summary NOx BAU tpd'!X4*365.25</f>
        <v>0</v>
      </c>
      <c r="Y4" s="60">
        <f>'Air Basin Summary NOx BAU tpd'!Y4*365.25</f>
        <v>0</v>
      </c>
      <c r="Z4" s="60">
        <f>'Air Basin Summary NOx BAU tpd'!Z4*365.25</f>
        <v>0</v>
      </c>
      <c r="AA4" s="60">
        <f>'Air Basin Summary NOx BAU tpd'!AA4*365.25</f>
        <v>0</v>
      </c>
      <c r="AB4" s="60">
        <f>'Air Basin Summary NOx BAU tpd'!AB4*365.25</f>
        <v>0</v>
      </c>
    </row>
    <row r="5" spans="1:28">
      <c r="A5" s="520"/>
      <c r="B5" s="2" t="s">
        <v>417</v>
      </c>
      <c r="C5" s="2" t="s">
        <v>240</v>
      </c>
      <c r="D5">
        <f>'Air Basin Summary NOx BAU tpd'!D5*365.25</f>
        <v>0</v>
      </c>
      <c r="E5">
        <f>'Air Basin Summary NOx BAU tpd'!E5*365.25</f>
        <v>0</v>
      </c>
      <c r="F5" s="60">
        <f>'Air Basin Summary NOx BAU tpd'!F5*365.25</f>
        <v>0</v>
      </c>
      <c r="G5" s="60">
        <f>'Air Basin Summary NOx BAU tpd'!G5*365.25</f>
        <v>0</v>
      </c>
      <c r="H5" s="60">
        <f>'Air Basin Summary NOx BAU tpd'!H5*365.25</f>
        <v>0</v>
      </c>
      <c r="I5" s="60">
        <f>'Air Basin Summary NOx BAU tpd'!I5*365.25</f>
        <v>0</v>
      </c>
      <c r="J5" s="60">
        <f>'Air Basin Summary NOx BAU tpd'!J5*365.25</f>
        <v>0</v>
      </c>
      <c r="K5" s="60">
        <f>'Air Basin Summary NOx BAU tpd'!K5*365.25</f>
        <v>0</v>
      </c>
      <c r="L5" s="60">
        <f>'Air Basin Summary NOx BAU tpd'!L5*365.25</f>
        <v>0</v>
      </c>
      <c r="M5" s="60">
        <f>'Air Basin Summary NOx BAU tpd'!M5*365.25</f>
        <v>0</v>
      </c>
      <c r="N5" s="60">
        <f>'Air Basin Summary NOx BAU tpd'!N5*365.25</f>
        <v>0</v>
      </c>
      <c r="O5" s="60">
        <f>'Air Basin Summary NOx BAU tpd'!O5*365.25</f>
        <v>0</v>
      </c>
      <c r="P5" s="60">
        <f>'Air Basin Summary NOx BAU tpd'!P5*365.25</f>
        <v>0</v>
      </c>
      <c r="Q5" s="60">
        <f>'Air Basin Summary NOx BAU tpd'!Q5*365.25</f>
        <v>0</v>
      </c>
      <c r="R5" s="60">
        <f>'Air Basin Summary NOx BAU tpd'!R5*365.25</f>
        <v>0</v>
      </c>
      <c r="S5" s="60">
        <f>'Air Basin Summary NOx BAU tpd'!S5*365.25</f>
        <v>0</v>
      </c>
      <c r="T5" s="60">
        <f>'Air Basin Summary NOx BAU tpd'!T5*365.25</f>
        <v>0</v>
      </c>
      <c r="U5" s="60">
        <f>'Air Basin Summary NOx BAU tpd'!U5*365.25</f>
        <v>0</v>
      </c>
      <c r="V5" s="60">
        <f>'Air Basin Summary NOx BAU tpd'!V5*365.25</f>
        <v>0</v>
      </c>
      <c r="W5" s="60">
        <f>'Air Basin Summary NOx BAU tpd'!W5*365.25</f>
        <v>0</v>
      </c>
      <c r="X5" s="60">
        <f>'Air Basin Summary NOx BAU tpd'!X5*365.25</f>
        <v>0</v>
      </c>
      <c r="Y5" s="60">
        <f>'Air Basin Summary NOx BAU tpd'!Y5*365.25</f>
        <v>0</v>
      </c>
      <c r="Z5" s="60">
        <f>'Air Basin Summary NOx BAU tpd'!Z5*365.25</f>
        <v>0</v>
      </c>
      <c r="AA5" s="60">
        <f>'Air Basin Summary NOx BAU tpd'!AA5*365.25</f>
        <v>0</v>
      </c>
      <c r="AB5" s="60">
        <f>'Air Basin Summary NOx BAU tpd'!AB5*365.25</f>
        <v>0</v>
      </c>
    </row>
    <row r="6" spans="1:28">
      <c r="A6" s="520"/>
      <c r="B6" s="2" t="s">
        <v>255</v>
      </c>
      <c r="C6" s="2" t="s">
        <v>240</v>
      </c>
      <c r="D6">
        <f>'Air Basin Summary NOx BAU tpd'!D6*365.25</f>
        <v>0</v>
      </c>
      <c r="E6">
        <f>'Air Basin Summary NOx BAU tpd'!E6*365.25</f>
        <v>0</v>
      </c>
      <c r="F6" s="60">
        <f>'Air Basin Summary NOx BAU tpd'!F6*365.25</f>
        <v>-5.8133353896115771</v>
      </c>
      <c r="G6" s="60">
        <f>'Air Basin Summary NOx BAU tpd'!G6*365.25</f>
        <v>-11.626670779223154</v>
      </c>
      <c r="H6" s="60">
        <f>'Air Basin Summary NOx BAU tpd'!H6*365.25</f>
        <v>-17.440006168834731</v>
      </c>
      <c r="I6" s="60">
        <f>'Air Basin Summary NOx BAU tpd'!I6*365.25</f>
        <v>-23.253341558446309</v>
      </c>
      <c r="J6" s="60">
        <f>'Air Basin Summary NOx BAU tpd'!J6*365.25</f>
        <v>-29.066676948057886</v>
      </c>
      <c r="K6" s="60">
        <f>'Air Basin Summary NOx BAU tpd'!K6*365.25</f>
        <v>-34.88001233766947</v>
      </c>
      <c r="L6" s="60">
        <f>'Air Basin Summary NOx BAU tpd'!L6*365.25</f>
        <v>-40.693347727281044</v>
      </c>
      <c r="M6" s="60">
        <f>'Air Basin Summary NOx BAU tpd'!M6*365.25</f>
        <v>-46.506683116892624</v>
      </c>
      <c r="N6" s="60">
        <f>'Air Basin Summary NOx BAU tpd'!N6*365.25</f>
        <v>-52.320018506504205</v>
      </c>
      <c r="O6" s="60">
        <f>'Air Basin Summary NOx BAU tpd'!O6*365.25</f>
        <v>-58.133353896115786</v>
      </c>
      <c r="P6" s="60">
        <f>'Air Basin Summary NOx BAU tpd'!P6*365.25</f>
        <v>-63.946689285727366</v>
      </c>
      <c r="Q6" s="60">
        <f>'Air Basin Summary NOx BAU tpd'!Q6*365.25</f>
        <v>-69.76002467533894</v>
      </c>
      <c r="R6" s="60">
        <f>'Air Basin Summary NOx BAU tpd'!R6*365.25</f>
        <v>-75.573360064950521</v>
      </c>
      <c r="S6" s="60">
        <f>'Air Basin Summary NOx BAU tpd'!S6*365.25</f>
        <v>-81.386695454562101</v>
      </c>
      <c r="T6" s="60">
        <f>'Air Basin Summary NOx BAU tpd'!T6*365.25</f>
        <v>-87.200030844173682</v>
      </c>
      <c r="U6" s="60">
        <f>'Air Basin Summary NOx BAU tpd'!U6*365.25</f>
        <v>-93.013366233785248</v>
      </c>
      <c r="V6" s="60">
        <f>'Air Basin Summary NOx BAU tpd'!V6*365.25</f>
        <v>-98.826701623396829</v>
      </c>
      <c r="W6" s="60">
        <f>'Air Basin Summary NOx BAU tpd'!W6*365.25</f>
        <v>-104.64003701300841</v>
      </c>
      <c r="X6" s="60">
        <f>'Air Basin Summary NOx BAU tpd'!X6*365.25</f>
        <v>-110.45337240261999</v>
      </c>
      <c r="Y6" s="60">
        <f>'Air Basin Summary NOx BAU tpd'!Y6*365.25</f>
        <v>-116.26670779223157</v>
      </c>
      <c r="Z6" s="60">
        <f>'Air Basin Summary NOx BAU tpd'!Z6*365.25</f>
        <v>-122.08004318184315</v>
      </c>
      <c r="AA6" s="60">
        <f>'Air Basin Summary NOx BAU tpd'!AA6*365.25</f>
        <v>-127.89337857145473</v>
      </c>
      <c r="AB6" s="60">
        <f>'Air Basin Summary NOx BAU tpd'!AB6*365.25</f>
        <v>-133.7067139610663</v>
      </c>
    </row>
    <row r="7" spans="1:28">
      <c r="A7" s="520"/>
      <c r="B7" s="2" t="s">
        <v>419</v>
      </c>
      <c r="C7" s="2" t="s">
        <v>240</v>
      </c>
      <c r="D7">
        <f>'Air Basin Summary NOx BAU tpd'!D7*365.25</f>
        <v>0</v>
      </c>
      <c r="E7">
        <f>'Air Basin Summary NOx BAU tpd'!E7*365.25</f>
        <v>0</v>
      </c>
      <c r="F7" s="60">
        <f>'Air Basin Summary NOx BAU tpd'!F7*365.25</f>
        <v>0</v>
      </c>
      <c r="G7" s="60">
        <f>'Air Basin Summary NOx BAU tpd'!G7*365.25</f>
        <v>0</v>
      </c>
      <c r="H7" s="60">
        <f>'Air Basin Summary NOx BAU tpd'!H7*365.25</f>
        <v>0</v>
      </c>
      <c r="I7" s="60">
        <f>'Air Basin Summary NOx BAU tpd'!I7*365.25</f>
        <v>0</v>
      </c>
      <c r="J7" s="60">
        <f>'Air Basin Summary NOx BAU tpd'!J7*365.25</f>
        <v>0</v>
      </c>
      <c r="K7" s="60">
        <f>'Air Basin Summary NOx BAU tpd'!K7*365.25</f>
        <v>0</v>
      </c>
      <c r="L7" s="60">
        <f>'Air Basin Summary NOx BAU tpd'!L7*365.25</f>
        <v>0</v>
      </c>
      <c r="M7" s="60">
        <f>'Air Basin Summary NOx BAU tpd'!M7*365.25</f>
        <v>0</v>
      </c>
      <c r="N7" s="60">
        <f>'Air Basin Summary NOx BAU tpd'!N7*365.25</f>
        <v>0</v>
      </c>
      <c r="O7" s="60">
        <f>'Air Basin Summary NOx BAU tpd'!O7*365.25</f>
        <v>0</v>
      </c>
      <c r="P7" s="60">
        <f>'Air Basin Summary NOx BAU tpd'!P7*365.25</f>
        <v>0</v>
      </c>
      <c r="Q7" s="60">
        <f>'Air Basin Summary NOx BAU tpd'!Q7*365.25</f>
        <v>0</v>
      </c>
      <c r="R7" s="60">
        <f>'Air Basin Summary NOx BAU tpd'!R7*365.25</f>
        <v>0</v>
      </c>
      <c r="S7" s="60">
        <f>'Air Basin Summary NOx BAU tpd'!S7*365.25</f>
        <v>0</v>
      </c>
      <c r="T7" s="60">
        <f>'Air Basin Summary NOx BAU tpd'!T7*365.25</f>
        <v>0</v>
      </c>
      <c r="U7" s="60">
        <f>'Air Basin Summary NOx BAU tpd'!U7*365.25</f>
        <v>0</v>
      </c>
      <c r="V7" s="60">
        <f>'Air Basin Summary NOx BAU tpd'!V7*365.25</f>
        <v>0</v>
      </c>
      <c r="W7" s="60">
        <f>'Air Basin Summary NOx BAU tpd'!W7*365.25</f>
        <v>0</v>
      </c>
      <c r="X7" s="60">
        <f>'Air Basin Summary NOx BAU tpd'!X7*365.25</f>
        <v>0</v>
      </c>
      <c r="Y7" s="60">
        <f>'Air Basin Summary NOx BAU tpd'!Y7*365.25</f>
        <v>0</v>
      </c>
      <c r="Z7" s="60">
        <f>'Air Basin Summary NOx BAU tpd'!Z7*365.25</f>
        <v>0</v>
      </c>
      <c r="AA7" s="60">
        <f>'Air Basin Summary NOx BAU tpd'!AA7*365.25</f>
        <v>0</v>
      </c>
      <c r="AB7" s="60">
        <f>'Air Basin Summary NOx BAU tpd'!AB7*365.25</f>
        <v>0</v>
      </c>
    </row>
    <row r="8" spans="1:28">
      <c r="A8" s="520"/>
      <c r="B8" s="2" t="s">
        <v>420</v>
      </c>
      <c r="C8" s="2" t="s">
        <v>240</v>
      </c>
      <c r="D8">
        <f>'Air Basin Summary NOx BAU tpd'!D8*365.25</f>
        <v>0</v>
      </c>
      <c r="E8">
        <f>'Air Basin Summary NOx BAU tpd'!E8*365.25</f>
        <v>0</v>
      </c>
      <c r="F8" s="60">
        <f>'Air Basin Summary NOx BAU tpd'!F8*365.25</f>
        <v>-1.4470198490880823</v>
      </c>
      <c r="G8" s="60">
        <f>'Air Basin Summary NOx BAU tpd'!G8*365.25</f>
        <v>-2.8940396981761647</v>
      </c>
      <c r="H8" s="60">
        <f>'Air Basin Summary NOx BAU tpd'!H8*365.25</f>
        <v>-4.3410595472642468</v>
      </c>
      <c r="I8" s="60">
        <f>'Air Basin Summary NOx BAU tpd'!I8*365.25</f>
        <v>-5.7880793963523294</v>
      </c>
      <c r="J8" s="60">
        <f>'Air Basin Summary NOx BAU tpd'!J8*365.25</f>
        <v>-7.2350992454404111</v>
      </c>
      <c r="K8" s="60">
        <f>'Air Basin Summary NOx BAU tpd'!K8*365.25</f>
        <v>-8.6821190945284936</v>
      </c>
      <c r="L8" s="60">
        <f>'Air Basin Summary NOx BAU tpd'!L8*365.25</f>
        <v>-10.129138943616576</v>
      </c>
      <c r="M8" s="60">
        <f>'Air Basin Summary NOx BAU tpd'!M8*365.25</f>
        <v>-11.576158792704659</v>
      </c>
      <c r="N8" s="60">
        <f>'Air Basin Summary NOx BAU tpd'!N8*365.25</f>
        <v>-13.023178641792741</v>
      </c>
      <c r="O8" s="60">
        <f>'Air Basin Summary NOx BAU tpd'!O8*365.25</f>
        <v>-14.470198490880826</v>
      </c>
      <c r="P8" s="60">
        <f>'Air Basin Summary NOx BAU tpd'!P8*365.25</f>
        <v>-15.917218339968908</v>
      </c>
      <c r="Q8" s="60">
        <f>'Air Basin Summary NOx BAU tpd'!Q8*365.25</f>
        <v>-17.364238189056991</v>
      </c>
      <c r="R8" s="60">
        <f>'Air Basin Summary NOx BAU tpd'!R8*365.25</f>
        <v>-18.811258038145077</v>
      </c>
      <c r="S8" s="60">
        <f>'Air Basin Summary NOx BAU tpd'!S8*365.25</f>
        <v>-20.258277887233159</v>
      </c>
      <c r="T8" s="60">
        <f>'Air Basin Summary NOx BAU tpd'!T8*365.25</f>
        <v>-21.705297736321242</v>
      </c>
      <c r="U8" s="60">
        <f>'Air Basin Summary NOx BAU tpd'!U8*365.25</f>
        <v>-23.152317585409325</v>
      </c>
      <c r="V8" s="60">
        <f>'Air Basin Summary NOx BAU tpd'!V8*365.25</f>
        <v>-24.599337434497411</v>
      </c>
      <c r="W8" s="60">
        <f>'Air Basin Summary NOx BAU tpd'!W8*365.25</f>
        <v>-26.046357283585493</v>
      </c>
      <c r="X8" s="60">
        <f>'Air Basin Summary NOx BAU tpd'!X8*365.25</f>
        <v>-27.493377132673576</v>
      </c>
      <c r="Y8" s="60">
        <f>'Air Basin Summary NOx BAU tpd'!Y8*365.25</f>
        <v>-28.940396981761662</v>
      </c>
      <c r="Z8" s="60">
        <f>'Air Basin Summary NOx BAU tpd'!Z8*365.25</f>
        <v>-30.387416830849745</v>
      </c>
      <c r="AA8" s="60">
        <f>'Air Basin Summary NOx BAU tpd'!AA8*365.25</f>
        <v>-31.834436679937827</v>
      </c>
      <c r="AB8" s="60">
        <f>'Air Basin Summary NOx BAU tpd'!AB8*365.25</f>
        <v>-33.28145652902591</v>
      </c>
    </row>
    <row r="9" spans="1:28">
      <c r="A9" s="520"/>
      <c r="B9" s="2" t="s">
        <v>258</v>
      </c>
      <c r="C9" s="2" t="s">
        <v>240</v>
      </c>
      <c r="D9">
        <f>'Air Basin Summary NOx BAU tpd'!D9*365.25</f>
        <v>0</v>
      </c>
      <c r="E9">
        <f>'Air Basin Summary NOx BAU tpd'!E9*365.25</f>
        <v>0</v>
      </c>
      <c r="F9" s="60">
        <f>'Air Basin Summary NOx BAU tpd'!F9*365.25</f>
        <v>0</v>
      </c>
      <c r="G9" s="60">
        <f>'Air Basin Summary NOx BAU tpd'!G9*365.25</f>
        <v>0</v>
      </c>
      <c r="H9" s="60">
        <f>'Air Basin Summary NOx BAU tpd'!H9*365.25</f>
        <v>0</v>
      </c>
      <c r="I9" s="60">
        <f>'Air Basin Summary NOx BAU tpd'!I9*365.25</f>
        <v>0</v>
      </c>
      <c r="J9" s="60">
        <f>'Air Basin Summary NOx BAU tpd'!J9*365.25</f>
        <v>0</v>
      </c>
      <c r="K9" s="60">
        <f>'Air Basin Summary NOx BAU tpd'!K9*365.25</f>
        <v>0</v>
      </c>
      <c r="L9" s="60">
        <f>'Air Basin Summary NOx BAU tpd'!L9*365.25</f>
        <v>0</v>
      </c>
      <c r="M9" s="60">
        <f>'Air Basin Summary NOx BAU tpd'!M9*365.25</f>
        <v>0</v>
      </c>
      <c r="N9" s="60">
        <f>'Air Basin Summary NOx BAU tpd'!N9*365.25</f>
        <v>0</v>
      </c>
      <c r="O9" s="60">
        <f>'Air Basin Summary NOx BAU tpd'!O9*365.25</f>
        <v>0</v>
      </c>
      <c r="P9" s="60">
        <f>'Air Basin Summary NOx BAU tpd'!P9*365.25</f>
        <v>0</v>
      </c>
      <c r="Q9" s="60">
        <f>'Air Basin Summary NOx BAU tpd'!Q9*365.25</f>
        <v>0</v>
      </c>
      <c r="R9" s="60">
        <f>'Air Basin Summary NOx BAU tpd'!R9*365.25</f>
        <v>0</v>
      </c>
      <c r="S9" s="60">
        <f>'Air Basin Summary NOx BAU tpd'!S9*365.25</f>
        <v>0</v>
      </c>
      <c r="T9" s="60">
        <f>'Air Basin Summary NOx BAU tpd'!T9*365.25</f>
        <v>0</v>
      </c>
      <c r="U9" s="60">
        <f>'Air Basin Summary NOx BAU tpd'!U9*365.25</f>
        <v>0</v>
      </c>
      <c r="V9" s="60">
        <f>'Air Basin Summary NOx BAU tpd'!V9*365.25</f>
        <v>0</v>
      </c>
      <c r="W9" s="60">
        <f>'Air Basin Summary NOx BAU tpd'!W9*365.25</f>
        <v>0</v>
      </c>
      <c r="X9" s="60">
        <f>'Air Basin Summary NOx BAU tpd'!X9*365.25</f>
        <v>0</v>
      </c>
      <c r="Y9" s="60">
        <f>'Air Basin Summary NOx BAU tpd'!Y9*365.25</f>
        <v>0</v>
      </c>
      <c r="Z9" s="60">
        <f>'Air Basin Summary NOx BAU tpd'!Z9*365.25</f>
        <v>0</v>
      </c>
      <c r="AA9" s="60">
        <f>'Air Basin Summary NOx BAU tpd'!AA9*365.25</f>
        <v>0</v>
      </c>
      <c r="AB9" s="60">
        <f>'Air Basin Summary NOx BAU tpd'!AB9*365.25</f>
        <v>0</v>
      </c>
    </row>
    <row r="10" spans="1:28">
      <c r="A10" s="520"/>
      <c r="B10" s="2" t="s">
        <v>259</v>
      </c>
      <c r="C10" s="2" t="s">
        <v>240</v>
      </c>
      <c r="D10">
        <f>'Air Basin Summary NOx BAU tpd'!D10*365.25</f>
        <v>0</v>
      </c>
      <c r="E10">
        <f>'Air Basin Summary NOx BAU tpd'!E10*365.25</f>
        <v>0</v>
      </c>
      <c r="F10" s="60">
        <f>'Air Basin Summary NOx BAU tpd'!F10*365.25</f>
        <v>0</v>
      </c>
      <c r="G10" s="60">
        <f>'Air Basin Summary NOx BAU tpd'!G10*365.25</f>
        <v>0</v>
      </c>
      <c r="H10" s="60">
        <f>'Air Basin Summary NOx BAU tpd'!H10*365.25</f>
        <v>0</v>
      </c>
      <c r="I10" s="60">
        <f>'Air Basin Summary NOx BAU tpd'!I10*365.25</f>
        <v>0</v>
      </c>
      <c r="J10" s="60">
        <f>'Air Basin Summary NOx BAU tpd'!J10*365.25</f>
        <v>0</v>
      </c>
      <c r="K10" s="60">
        <f>'Air Basin Summary NOx BAU tpd'!K10*365.25</f>
        <v>0</v>
      </c>
      <c r="L10" s="60">
        <f>'Air Basin Summary NOx BAU tpd'!L10*365.25</f>
        <v>0</v>
      </c>
      <c r="M10" s="60">
        <f>'Air Basin Summary NOx BAU tpd'!M10*365.25</f>
        <v>0</v>
      </c>
      <c r="N10" s="60">
        <f>'Air Basin Summary NOx BAU tpd'!N10*365.25</f>
        <v>0</v>
      </c>
      <c r="O10" s="60">
        <f>'Air Basin Summary NOx BAU tpd'!O10*365.25</f>
        <v>0</v>
      </c>
      <c r="P10" s="60">
        <f>'Air Basin Summary NOx BAU tpd'!P10*365.25</f>
        <v>0</v>
      </c>
      <c r="Q10" s="60">
        <f>'Air Basin Summary NOx BAU tpd'!Q10*365.25</f>
        <v>0</v>
      </c>
      <c r="R10" s="60">
        <f>'Air Basin Summary NOx BAU tpd'!R10*365.25</f>
        <v>0</v>
      </c>
      <c r="S10" s="60">
        <f>'Air Basin Summary NOx BAU tpd'!S10*365.25</f>
        <v>0</v>
      </c>
      <c r="T10" s="60">
        <f>'Air Basin Summary NOx BAU tpd'!T10*365.25</f>
        <v>0</v>
      </c>
      <c r="U10" s="60">
        <f>'Air Basin Summary NOx BAU tpd'!U10*365.25</f>
        <v>0</v>
      </c>
      <c r="V10" s="60">
        <f>'Air Basin Summary NOx BAU tpd'!V10*365.25</f>
        <v>0</v>
      </c>
      <c r="W10" s="60">
        <f>'Air Basin Summary NOx BAU tpd'!W10*365.25</f>
        <v>0</v>
      </c>
      <c r="X10" s="60">
        <f>'Air Basin Summary NOx BAU tpd'!X10*365.25</f>
        <v>0</v>
      </c>
      <c r="Y10" s="60">
        <f>'Air Basin Summary NOx BAU tpd'!Y10*365.25</f>
        <v>0</v>
      </c>
      <c r="Z10" s="60">
        <f>'Air Basin Summary NOx BAU tpd'!Z10*365.25</f>
        <v>0</v>
      </c>
      <c r="AA10" s="60">
        <f>'Air Basin Summary NOx BAU tpd'!AA10*365.25</f>
        <v>0</v>
      </c>
      <c r="AB10" s="60">
        <f>'Air Basin Summary NOx BAU tpd'!AB10*365.25</f>
        <v>0</v>
      </c>
    </row>
    <row r="11" spans="1:28">
      <c r="A11" s="520"/>
      <c r="B11" s="2" t="s">
        <v>490</v>
      </c>
      <c r="C11" s="2" t="s">
        <v>240</v>
      </c>
      <c r="D11">
        <f>'Air Basin Summary NOx BAU tpd'!D11*365.25</f>
        <v>0</v>
      </c>
      <c r="E11">
        <f>'Air Basin Summary NOx BAU tpd'!E11*365.25</f>
        <v>0</v>
      </c>
      <c r="F11" s="60">
        <f>'Air Basin Summary NOx BAU tpd'!F11*365.25</f>
        <v>-0.79184967101021331</v>
      </c>
      <c r="G11" s="60">
        <f>'Air Basin Summary NOx BAU tpd'!G11*365.25</f>
        <v>-1.5836993420204266</v>
      </c>
      <c r="H11" s="60">
        <f>'Air Basin Summary NOx BAU tpd'!H11*365.25</f>
        <v>-2.37554901303064</v>
      </c>
      <c r="I11" s="60">
        <f>'Air Basin Summary NOx BAU tpd'!I11*365.25</f>
        <v>-3.1673986840408532</v>
      </c>
      <c r="J11" s="60">
        <f>'Air Basin Summary NOx BAU tpd'!J11*365.25</f>
        <v>-3.959248355051066</v>
      </c>
      <c r="K11" s="60">
        <f>'Air Basin Summary NOx BAU tpd'!K11*365.25</f>
        <v>-4.7510980260612792</v>
      </c>
      <c r="L11" s="60">
        <f>'Air Basin Summary NOx BAU tpd'!L11*365.25</f>
        <v>-5.5429476970714919</v>
      </c>
      <c r="M11" s="60">
        <f>'Air Basin Summary NOx BAU tpd'!M11*365.25</f>
        <v>-6.3347973680817047</v>
      </c>
      <c r="N11" s="60">
        <f>'Air Basin Summary NOx BAU tpd'!N11*365.25</f>
        <v>-7.1266470390919183</v>
      </c>
      <c r="O11" s="60">
        <f>'Air Basin Summary NOx BAU tpd'!O11*365.25</f>
        <v>-7.9184967101021311</v>
      </c>
      <c r="P11" s="60">
        <f>'Air Basin Summary NOx BAU tpd'!P11*365.25</f>
        <v>-8.7103463811123447</v>
      </c>
      <c r="Q11" s="60">
        <f>'Air Basin Summary NOx BAU tpd'!Q11*365.25</f>
        <v>-9.5021960521225566</v>
      </c>
      <c r="R11" s="60">
        <f>'Air Basin Summary NOx BAU tpd'!R11*365.25</f>
        <v>-10.29404572313277</v>
      </c>
      <c r="S11" s="60">
        <f>'Air Basin Summary NOx BAU tpd'!S11*365.25</f>
        <v>-11.085895394142982</v>
      </c>
      <c r="T11" s="60">
        <f>'Air Basin Summary NOx BAU tpd'!T11*365.25</f>
        <v>-11.877745065153198</v>
      </c>
      <c r="U11" s="60">
        <f>'Air Basin Summary NOx BAU tpd'!U11*365.25</f>
        <v>-12.669594736163409</v>
      </c>
      <c r="V11" s="60">
        <f>'Air Basin Summary NOx BAU tpd'!V11*365.25</f>
        <v>-13.461444407173623</v>
      </c>
      <c r="W11" s="60">
        <f>'Air Basin Summary NOx BAU tpd'!W11*365.25</f>
        <v>-14.253294078183837</v>
      </c>
      <c r="X11" s="60">
        <f>'Air Basin Summary NOx BAU tpd'!X11*365.25</f>
        <v>-15.045143749194049</v>
      </c>
      <c r="Y11" s="60">
        <f>'Air Basin Summary NOx BAU tpd'!Y11*365.25</f>
        <v>-15.836993420204262</v>
      </c>
      <c r="Z11" s="60">
        <f>'Air Basin Summary NOx BAU tpd'!Z11*365.25</f>
        <v>-16.628843091214474</v>
      </c>
      <c r="AA11" s="60">
        <f>'Air Basin Summary NOx BAU tpd'!AA11*365.25</f>
        <v>-17.420692762224689</v>
      </c>
      <c r="AB11" s="60">
        <f>'Air Basin Summary NOx BAU tpd'!AB11*365.25</f>
        <v>-18.212542433234901</v>
      </c>
    </row>
    <row r="12" spans="1:28">
      <c r="A12" s="520"/>
      <c r="B12" s="2" t="s">
        <v>261</v>
      </c>
      <c r="C12" s="2" t="s">
        <v>240</v>
      </c>
      <c r="D12">
        <f>'Air Basin Summary NOx BAU tpd'!D12*365.25</f>
        <v>0</v>
      </c>
      <c r="E12">
        <f>'Air Basin Summary NOx BAU tpd'!E12*365.25</f>
        <v>0</v>
      </c>
      <c r="F12" s="60">
        <f>'Air Basin Summary NOx BAU tpd'!F12*365.25</f>
        <v>0</v>
      </c>
      <c r="G12" s="60">
        <f>'Air Basin Summary NOx BAU tpd'!G12*365.25</f>
        <v>0</v>
      </c>
      <c r="H12" s="60">
        <f>'Air Basin Summary NOx BAU tpd'!H12*365.25</f>
        <v>0</v>
      </c>
      <c r="I12" s="60">
        <f>'Air Basin Summary NOx BAU tpd'!I12*365.25</f>
        <v>0</v>
      </c>
      <c r="J12" s="60">
        <f>'Air Basin Summary NOx BAU tpd'!J12*365.25</f>
        <v>0</v>
      </c>
      <c r="K12" s="60">
        <f>'Air Basin Summary NOx BAU tpd'!K12*365.25</f>
        <v>0</v>
      </c>
      <c r="L12" s="60">
        <f>'Air Basin Summary NOx BAU tpd'!L12*365.25</f>
        <v>0</v>
      </c>
      <c r="M12" s="60">
        <f>'Air Basin Summary NOx BAU tpd'!M12*365.25</f>
        <v>0</v>
      </c>
      <c r="N12" s="60">
        <f>'Air Basin Summary NOx BAU tpd'!N12*365.25</f>
        <v>0</v>
      </c>
      <c r="O12" s="60">
        <f>'Air Basin Summary NOx BAU tpd'!O12*365.25</f>
        <v>0</v>
      </c>
      <c r="P12" s="60">
        <f>'Air Basin Summary NOx BAU tpd'!P12*365.25</f>
        <v>0</v>
      </c>
      <c r="Q12" s="60">
        <f>'Air Basin Summary NOx BAU tpd'!Q12*365.25</f>
        <v>0</v>
      </c>
      <c r="R12" s="60">
        <f>'Air Basin Summary NOx BAU tpd'!R12*365.25</f>
        <v>0</v>
      </c>
      <c r="S12" s="60">
        <f>'Air Basin Summary NOx BAU tpd'!S12*365.25</f>
        <v>0</v>
      </c>
      <c r="T12" s="60">
        <f>'Air Basin Summary NOx BAU tpd'!T12*365.25</f>
        <v>0</v>
      </c>
      <c r="U12" s="60">
        <f>'Air Basin Summary NOx BAU tpd'!U12*365.25</f>
        <v>0</v>
      </c>
      <c r="V12" s="60">
        <f>'Air Basin Summary NOx BAU tpd'!V12*365.25</f>
        <v>0</v>
      </c>
      <c r="W12" s="60">
        <f>'Air Basin Summary NOx BAU tpd'!W12*365.25</f>
        <v>0</v>
      </c>
      <c r="X12" s="60">
        <f>'Air Basin Summary NOx BAU tpd'!X12*365.25</f>
        <v>0</v>
      </c>
      <c r="Y12" s="60">
        <f>'Air Basin Summary NOx BAU tpd'!Y12*365.25</f>
        <v>0</v>
      </c>
      <c r="Z12" s="60">
        <f>'Air Basin Summary NOx BAU tpd'!Z12*365.25</f>
        <v>0</v>
      </c>
      <c r="AA12" s="60">
        <f>'Air Basin Summary NOx BAU tpd'!AA12*365.25</f>
        <v>0</v>
      </c>
      <c r="AB12" s="60">
        <f>'Air Basin Summary NOx BAU tpd'!AB12*365.25</f>
        <v>0</v>
      </c>
    </row>
    <row r="13" spans="1:28">
      <c r="A13" s="520"/>
      <c r="B13" s="2" t="s">
        <v>373</v>
      </c>
      <c r="C13" s="2" t="s">
        <v>240</v>
      </c>
      <c r="D13">
        <f>'Air Basin Summary NOx BAU tpd'!D13*365.25</f>
        <v>0</v>
      </c>
      <c r="E13">
        <f>'Air Basin Summary NOx BAU tpd'!E13*365.25</f>
        <v>0</v>
      </c>
      <c r="F13" s="60">
        <f>'Air Basin Summary NOx BAU tpd'!F13*365.25</f>
        <v>0</v>
      </c>
      <c r="G13" s="60">
        <f>'Air Basin Summary NOx BAU tpd'!G13*365.25</f>
        <v>0</v>
      </c>
      <c r="H13" s="60">
        <f>'Air Basin Summary NOx BAU tpd'!H13*365.25</f>
        <v>0</v>
      </c>
      <c r="I13" s="60">
        <f>'Air Basin Summary NOx BAU tpd'!I13*365.25</f>
        <v>0</v>
      </c>
      <c r="J13" s="60">
        <f>'Air Basin Summary NOx BAU tpd'!J13*365.25</f>
        <v>0</v>
      </c>
      <c r="K13" s="60">
        <f>'Air Basin Summary NOx BAU tpd'!K13*365.25</f>
        <v>0</v>
      </c>
      <c r="L13" s="60">
        <f>'Air Basin Summary NOx BAU tpd'!L13*365.25</f>
        <v>0</v>
      </c>
      <c r="M13" s="60">
        <f>'Air Basin Summary NOx BAU tpd'!M13*365.25</f>
        <v>0</v>
      </c>
      <c r="N13" s="60">
        <f>'Air Basin Summary NOx BAU tpd'!N13*365.25</f>
        <v>0</v>
      </c>
      <c r="O13" s="60">
        <f>'Air Basin Summary NOx BAU tpd'!O13*365.25</f>
        <v>0</v>
      </c>
      <c r="P13" s="60">
        <f>'Air Basin Summary NOx BAU tpd'!P13*365.25</f>
        <v>0</v>
      </c>
      <c r="Q13" s="60">
        <f>'Air Basin Summary NOx BAU tpd'!Q13*365.25</f>
        <v>0</v>
      </c>
      <c r="R13" s="60">
        <f>'Air Basin Summary NOx BAU tpd'!R13*365.25</f>
        <v>0</v>
      </c>
      <c r="S13" s="60">
        <f>'Air Basin Summary NOx BAU tpd'!S13*365.25</f>
        <v>0</v>
      </c>
      <c r="T13" s="60">
        <f>'Air Basin Summary NOx BAU tpd'!T13*365.25</f>
        <v>0</v>
      </c>
      <c r="U13" s="60">
        <f>'Air Basin Summary NOx BAU tpd'!U13*365.25</f>
        <v>0</v>
      </c>
      <c r="V13" s="60">
        <f>'Air Basin Summary NOx BAU tpd'!V13*365.25</f>
        <v>0</v>
      </c>
      <c r="W13" s="60">
        <f>'Air Basin Summary NOx BAU tpd'!W13*365.25</f>
        <v>0</v>
      </c>
      <c r="X13" s="60">
        <f>'Air Basin Summary NOx BAU tpd'!X13*365.25</f>
        <v>0</v>
      </c>
      <c r="Y13" s="60">
        <f>'Air Basin Summary NOx BAU tpd'!Y13*365.25</f>
        <v>0</v>
      </c>
      <c r="Z13" s="60">
        <f>'Air Basin Summary NOx BAU tpd'!Z13*365.25</f>
        <v>0</v>
      </c>
      <c r="AA13" s="60">
        <f>'Air Basin Summary NOx BAU tpd'!AA13*365.25</f>
        <v>0</v>
      </c>
      <c r="AB13" s="60">
        <f>'Air Basin Summary NOx BAU tpd'!AB13*365.25</f>
        <v>0</v>
      </c>
    </row>
    <row r="14" spans="1:28">
      <c r="A14" s="520"/>
      <c r="B14" s="2" t="s">
        <v>18927</v>
      </c>
      <c r="C14" s="2" t="s">
        <v>240</v>
      </c>
      <c r="D14">
        <f>'Air Basin Summary NOx BAU tpd'!D14*365.25</f>
        <v>0</v>
      </c>
      <c r="E14">
        <f>'Air Basin Summary NOx BAU tpd'!E14*365.25</f>
        <v>0</v>
      </c>
      <c r="F14" s="60">
        <f>'Air Basin Summary NOx BAU tpd'!F14*365.25</f>
        <v>-4.1598106544626583E-2</v>
      </c>
      <c r="G14" s="60">
        <f>'Air Basin Summary NOx BAU tpd'!G14*365.25</f>
        <v>-8.3196213089253165E-2</v>
      </c>
      <c r="H14" s="60">
        <f>'Air Basin Summary NOx BAU tpd'!H14*365.25</f>
        <v>-0.12479431963387976</v>
      </c>
      <c r="I14" s="60">
        <f>'Air Basin Summary NOx BAU tpd'!I14*365.25</f>
        <v>-0.16639242617850633</v>
      </c>
      <c r="J14" s="60">
        <f>'Air Basin Summary NOx BAU tpd'!J14*365.25</f>
        <v>-0.20799053272313295</v>
      </c>
      <c r="K14" s="60">
        <f>'Air Basin Summary NOx BAU tpd'!K14*365.25</f>
        <v>-0.24958863926775951</v>
      </c>
      <c r="L14" s="60">
        <f>'Air Basin Summary NOx BAU tpd'!L14*365.25</f>
        <v>-0.29118674581238613</v>
      </c>
      <c r="M14" s="60">
        <f>'Air Basin Summary NOx BAU tpd'!M14*365.25</f>
        <v>-0.33278485235701266</v>
      </c>
      <c r="N14" s="60">
        <f>'Air Basin Summary NOx BAU tpd'!N14*365.25</f>
        <v>-0.37438295890163931</v>
      </c>
      <c r="O14" s="60">
        <f>'Air Basin Summary NOx BAU tpd'!O14*365.25</f>
        <v>-0.4159810654462659</v>
      </c>
      <c r="P14" s="60">
        <f>'Air Basin Summary NOx BAU tpd'!P14*365.25</f>
        <v>-0.45757917199089249</v>
      </c>
      <c r="Q14" s="60">
        <f>'Air Basin Summary NOx BAU tpd'!Q14*365.25</f>
        <v>-0.49917727853551902</v>
      </c>
      <c r="R14" s="60">
        <f>'Air Basin Summary NOx BAU tpd'!R14*365.25</f>
        <v>-0.54077538508014567</v>
      </c>
      <c r="S14" s="60">
        <f>'Air Basin Summary NOx BAU tpd'!S14*365.25</f>
        <v>-0.58237349162477225</v>
      </c>
      <c r="T14" s="60">
        <f>'Air Basin Summary NOx BAU tpd'!T14*365.25</f>
        <v>-0.62397159816939873</v>
      </c>
      <c r="U14" s="60">
        <f>'Air Basin Summary NOx BAU tpd'!U14*365.25</f>
        <v>-0.66556970471402532</v>
      </c>
      <c r="V14" s="60">
        <f>'Air Basin Summary NOx BAU tpd'!V14*365.25</f>
        <v>-0.70716781125865191</v>
      </c>
      <c r="W14" s="60">
        <f>'Air Basin Summary NOx BAU tpd'!W14*365.25</f>
        <v>-0.74876591780327861</v>
      </c>
      <c r="X14" s="60">
        <f>'Air Basin Summary NOx BAU tpd'!X14*365.25</f>
        <v>-0.79036402434790531</v>
      </c>
      <c r="Y14" s="60">
        <f>'Air Basin Summary NOx BAU tpd'!Y14*365.25</f>
        <v>-0.8319621308925319</v>
      </c>
      <c r="Z14" s="60">
        <f>'Air Basin Summary NOx BAU tpd'!Z14*365.25</f>
        <v>-0.8735602374371586</v>
      </c>
      <c r="AA14" s="60">
        <f>'Air Basin Summary NOx BAU tpd'!AA14*365.25</f>
        <v>-0.91515834398178519</v>
      </c>
      <c r="AB14" s="60">
        <f>'Air Basin Summary NOx BAU tpd'!AB14*365.25</f>
        <v>-0.95675645052641189</v>
      </c>
    </row>
    <row r="15" spans="1:28">
      <c r="A15" s="520"/>
      <c r="B15" s="2" t="s">
        <v>18845</v>
      </c>
      <c r="C15" s="2" t="s">
        <v>240</v>
      </c>
      <c r="D15">
        <f>'Air Basin Summary NOx BAU tpd'!D15*365.25</f>
        <v>0</v>
      </c>
      <c r="E15">
        <f>'Air Basin Summary NOx BAU tpd'!E15*365.25</f>
        <v>0</v>
      </c>
      <c r="F15" s="60">
        <f>'Air Basin Summary NOx BAU tpd'!F15*365.25</f>
        <v>-16.457993725049047</v>
      </c>
      <c r="G15" s="60">
        <f>'Air Basin Summary NOx BAU tpd'!G15*365.25</f>
        <v>-32.915987450098093</v>
      </c>
      <c r="H15" s="60">
        <f>'Air Basin Summary NOx BAU tpd'!H15*365.25</f>
        <v>-49.373981175147144</v>
      </c>
      <c r="I15" s="60">
        <f>'Air Basin Summary NOx BAU tpd'!I15*365.25</f>
        <v>-65.831974900196187</v>
      </c>
      <c r="J15" s="60">
        <f>'Air Basin Summary NOx BAU tpd'!J15*365.25</f>
        <v>-82.289968625245223</v>
      </c>
      <c r="K15" s="60">
        <f>'Air Basin Summary NOx BAU tpd'!K15*365.25</f>
        <v>-98.747962350294259</v>
      </c>
      <c r="L15" s="60">
        <f>'Air Basin Summary NOx BAU tpd'!L15*365.25</f>
        <v>-115.20595607534331</v>
      </c>
      <c r="M15" s="60">
        <f>'Air Basin Summary NOx BAU tpd'!M15*365.25</f>
        <v>-131.66394980039234</v>
      </c>
      <c r="N15" s="60">
        <f>'Air Basin Summary NOx BAU tpd'!N15*365.25</f>
        <v>-148.1219435254414</v>
      </c>
      <c r="O15" s="60">
        <f>'Air Basin Summary NOx BAU tpd'!O15*365.25</f>
        <v>-164.57993725049042</v>
      </c>
      <c r="P15" s="60">
        <f>'Air Basin Summary NOx BAU tpd'!P15*365.25</f>
        <v>-181.03793097553947</v>
      </c>
      <c r="Q15" s="60">
        <f>'Air Basin Summary NOx BAU tpd'!Q15*365.25</f>
        <v>-197.49592470058852</v>
      </c>
      <c r="R15" s="60">
        <f>'Air Basin Summary NOx BAU tpd'!R15*365.25</f>
        <v>-213.95391842563757</v>
      </c>
      <c r="S15" s="60">
        <f>'Air Basin Summary NOx BAU tpd'!S15*365.25</f>
        <v>-230.41191215068662</v>
      </c>
      <c r="T15" s="60">
        <f>'Air Basin Summary NOx BAU tpd'!T15*365.25</f>
        <v>-246.86990587573564</v>
      </c>
      <c r="U15" s="60">
        <f>'Air Basin Summary NOx BAU tpd'!U15*365.25</f>
        <v>-263.32789960078469</v>
      </c>
      <c r="V15" s="60">
        <f>'Air Basin Summary NOx BAU tpd'!V15*365.25</f>
        <v>-279.78589332583374</v>
      </c>
      <c r="W15" s="60">
        <f>'Air Basin Summary NOx BAU tpd'!W15*365.25</f>
        <v>-296.24388705088279</v>
      </c>
      <c r="X15" s="60">
        <f>'Air Basin Summary NOx BAU tpd'!X15*365.25</f>
        <v>-312.70188077593178</v>
      </c>
      <c r="Y15" s="60">
        <f>'Air Basin Summary NOx BAU tpd'!Y15*365.25</f>
        <v>-329.15987450098083</v>
      </c>
      <c r="Z15" s="60">
        <f>'Air Basin Summary NOx BAU tpd'!Z15*365.25</f>
        <v>-345.61786822602988</v>
      </c>
      <c r="AA15" s="60">
        <f>'Air Basin Summary NOx BAU tpd'!AA15*365.25</f>
        <v>-362.07586195107893</v>
      </c>
      <c r="AB15" s="60">
        <f>'Air Basin Summary NOx BAU tpd'!AB15*365.25</f>
        <v>-378.53385567612798</v>
      </c>
    </row>
    <row r="16" spans="1:28">
      <c r="A16" s="520"/>
      <c r="B16" s="2" t="s">
        <v>267</v>
      </c>
      <c r="C16" s="2" t="s">
        <v>240</v>
      </c>
      <c r="D16">
        <f>'Air Basin Summary NOx BAU tpd'!D16*365.25</f>
        <v>0</v>
      </c>
      <c r="E16">
        <f>'Air Basin Summary NOx BAU tpd'!E16*365.25</f>
        <v>0</v>
      </c>
      <c r="F16" s="60">
        <f>'Air Basin Summary NOx BAU tpd'!F16*365.25</f>
        <v>-4.052844094776475</v>
      </c>
      <c r="G16" s="60">
        <f>'Air Basin Summary NOx BAU tpd'!G16*365.25</f>
        <v>-8.10568818955295</v>
      </c>
      <c r="H16" s="60">
        <f>'Air Basin Summary NOx BAU tpd'!H16*365.25</f>
        <v>-12.158532284329423</v>
      </c>
      <c r="I16" s="60">
        <f>'Air Basin Summary NOx BAU tpd'!I16*365.25</f>
        <v>-16.2113763791059</v>
      </c>
      <c r="J16" s="60">
        <f>'Air Basin Summary NOx BAU tpd'!J16*365.25</f>
        <v>-20.264220473882379</v>
      </c>
      <c r="K16" s="60">
        <f>'Air Basin Summary NOx BAU tpd'!K16*365.25</f>
        <v>-24.317064568658854</v>
      </c>
      <c r="L16" s="60">
        <f>'Air Basin Summary NOx BAU tpd'!L16*365.25</f>
        <v>-28.369908663435329</v>
      </c>
      <c r="M16" s="60">
        <f>'Air Basin Summary NOx BAU tpd'!M16*365.25</f>
        <v>-32.422752758211807</v>
      </c>
      <c r="N16" s="60">
        <f>'Air Basin Summary NOx BAU tpd'!N16*365.25</f>
        <v>-36.475596852988282</v>
      </c>
      <c r="O16" s="60">
        <f>'Air Basin Summary NOx BAU tpd'!O16*365.25</f>
        <v>-40.528440947764757</v>
      </c>
      <c r="P16" s="60">
        <f>'Air Basin Summary NOx BAU tpd'!P16*365.25</f>
        <v>-44.581285042541232</v>
      </c>
      <c r="Q16" s="60">
        <f>'Air Basin Summary NOx BAU tpd'!Q16*365.25</f>
        <v>-48.634129137317707</v>
      </c>
      <c r="R16" s="60">
        <f>'Air Basin Summary NOx BAU tpd'!R16*365.25</f>
        <v>-52.686973232094175</v>
      </c>
      <c r="S16" s="60">
        <f>'Air Basin Summary NOx BAU tpd'!S16*365.25</f>
        <v>-56.73981732687065</v>
      </c>
      <c r="T16" s="60">
        <f>'Air Basin Summary NOx BAU tpd'!T16*365.25</f>
        <v>-60.792661421647118</v>
      </c>
      <c r="U16" s="60">
        <f>'Air Basin Summary NOx BAU tpd'!U16*365.25</f>
        <v>-64.845505516423586</v>
      </c>
      <c r="V16" s="60">
        <f>'Air Basin Summary NOx BAU tpd'!V16*365.25</f>
        <v>-68.898349611200061</v>
      </c>
      <c r="W16" s="60">
        <f>'Air Basin Summary NOx BAU tpd'!W16*365.25</f>
        <v>-72.951193705976536</v>
      </c>
      <c r="X16" s="60">
        <f>'Air Basin Summary NOx BAU tpd'!X16*365.25</f>
        <v>-77.004037800753011</v>
      </c>
      <c r="Y16" s="60">
        <f>'Air Basin Summary NOx BAU tpd'!Y16*365.25</f>
        <v>-81.056881895529472</v>
      </c>
      <c r="Z16" s="60">
        <f>'Air Basin Summary NOx BAU tpd'!Z16*365.25</f>
        <v>-85.109725990305947</v>
      </c>
      <c r="AA16" s="60">
        <f>'Air Basin Summary NOx BAU tpd'!AA16*365.25</f>
        <v>-89.162570085082422</v>
      </c>
      <c r="AB16" s="60">
        <f>'Air Basin Summary NOx BAU tpd'!AB16*365.25</f>
        <v>-93.215414179858897</v>
      </c>
    </row>
    <row r="17" spans="1:28">
      <c r="A17" s="520"/>
      <c r="B17" s="2" t="s">
        <v>268</v>
      </c>
      <c r="C17" s="2" t="s">
        <v>240</v>
      </c>
      <c r="D17">
        <f>'Air Basin Summary NOx BAU tpd'!D17*365.25</f>
        <v>0</v>
      </c>
      <c r="E17">
        <f>'Air Basin Summary NOx BAU tpd'!E17*365.25</f>
        <v>0</v>
      </c>
      <c r="F17" s="60">
        <f>'Air Basin Summary NOx BAU tpd'!F17*365.25</f>
        <v>-1.8867712611312775</v>
      </c>
      <c r="G17" s="60">
        <f>'Air Basin Summary NOx BAU tpd'!G17*365.25</f>
        <v>-3.7735425222625549</v>
      </c>
      <c r="H17" s="60">
        <f>'Air Basin Summary NOx BAU tpd'!H17*365.25</f>
        <v>-5.6603137833938328</v>
      </c>
      <c r="I17" s="60">
        <f>'Air Basin Summary NOx BAU tpd'!I17*365.25</f>
        <v>-7.5470850445251099</v>
      </c>
      <c r="J17" s="60">
        <f>'Air Basin Summary NOx BAU tpd'!J17*365.25</f>
        <v>-9.4338563056563878</v>
      </c>
      <c r="K17" s="60">
        <f>'Air Basin Summary NOx BAU tpd'!K17*365.25</f>
        <v>-11.320627566787664</v>
      </c>
      <c r="L17" s="60">
        <f>'Air Basin Summary NOx BAU tpd'!L17*365.25</f>
        <v>-13.20739882791894</v>
      </c>
      <c r="M17" s="60">
        <f>'Air Basin Summary NOx BAU tpd'!M17*365.25</f>
        <v>-15.094170089050218</v>
      </c>
      <c r="N17" s="60">
        <f>'Air Basin Summary NOx BAU tpd'!N17*365.25</f>
        <v>-16.980941350181496</v>
      </c>
      <c r="O17" s="60">
        <f>'Air Basin Summary NOx BAU tpd'!O17*365.25</f>
        <v>-18.867712611312772</v>
      </c>
      <c r="P17" s="60">
        <f>'Air Basin Summary NOx BAU tpd'!P17*365.25</f>
        <v>-20.754483872444048</v>
      </c>
      <c r="Q17" s="60">
        <f>'Air Basin Summary NOx BAU tpd'!Q17*365.25</f>
        <v>-22.641255133575324</v>
      </c>
      <c r="R17" s="60">
        <f>'Air Basin Summary NOx BAU tpd'!R17*365.25</f>
        <v>-24.5280263947066</v>
      </c>
      <c r="S17" s="60">
        <f>'Air Basin Summary NOx BAU tpd'!S17*365.25</f>
        <v>-26.41479765583788</v>
      </c>
      <c r="T17" s="60">
        <f>'Air Basin Summary NOx BAU tpd'!T17*365.25</f>
        <v>-28.30156891696916</v>
      </c>
      <c r="U17" s="60">
        <f>'Air Basin Summary NOx BAU tpd'!U17*365.25</f>
        <v>-30.188340178100439</v>
      </c>
      <c r="V17" s="60">
        <f>'Air Basin Summary NOx BAU tpd'!V17*365.25</f>
        <v>-32.075111439231719</v>
      </c>
      <c r="W17" s="60">
        <f>'Air Basin Summary NOx BAU tpd'!W17*365.25</f>
        <v>-33.961882700362999</v>
      </c>
      <c r="X17" s="60">
        <f>'Air Basin Summary NOx BAU tpd'!X17*365.25</f>
        <v>-35.848653961494279</v>
      </c>
      <c r="Y17" s="60">
        <f>'Air Basin Summary NOx BAU tpd'!Y17*365.25</f>
        <v>-37.735425222625558</v>
      </c>
      <c r="Z17" s="60">
        <f>'Air Basin Summary NOx BAU tpd'!Z17*365.25</f>
        <v>-39.622196483756838</v>
      </c>
      <c r="AA17" s="60">
        <f>'Air Basin Summary NOx BAU tpd'!AA17*365.25</f>
        <v>-41.508967744888118</v>
      </c>
      <c r="AB17" s="60">
        <f>'Air Basin Summary NOx BAU tpd'!AB17*365.25</f>
        <v>-43.395739006019397</v>
      </c>
    </row>
    <row r="18" spans="1:28">
      <c r="A18" s="520"/>
      <c r="B18" s="72" t="s">
        <v>270</v>
      </c>
      <c r="C18" s="72" t="s">
        <v>240</v>
      </c>
      <c r="D18" s="71">
        <f>'Air Basin Summary NOx BAU tpd'!D18*365.25</f>
        <v>0</v>
      </c>
      <c r="E18" s="71">
        <f>'Air Basin Summary NOx BAU tpd'!E18*365.25</f>
        <v>0</v>
      </c>
      <c r="F18" s="444">
        <f>'Air Basin Summary NOx BAU tpd'!F18*365.25</f>
        <v>-30.491412097211299</v>
      </c>
      <c r="G18" s="444">
        <f>'Air Basin Summary NOx BAU tpd'!G18*365.25</f>
        <v>-60.982824194422598</v>
      </c>
      <c r="H18" s="444">
        <f>'Air Basin Summary NOx BAU tpd'!H18*365.25</f>
        <v>-91.4742362916339</v>
      </c>
      <c r="I18" s="444">
        <f>'Air Basin Summary NOx BAU tpd'!I18*365.25</f>
        <v>-121.9656483888452</v>
      </c>
      <c r="J18" s="444">
        <f>'Air Basin Summary NOx BAU tpd'!J18*365.25</f>
        <v>-152.45706048605646</v>
      </c>
      <c r="K18" s="444">
        <f>'Air Basin Summary NOx BAU tpd'!K18*365.25</f>
        <v>-182.94847258326777</v>
      </c>
      <c r="L18" s="444">
        <f>'Air Basin Summary NOx BAU tpd'!L18*365.25</f>
        <v>-213.43988468047911</v>
      </c>
      <c r="M18" s="444">
        <f>'Air Basin Summary NOx BAU tpd'!M18*365.25</f>
        <v>-243.93129677769039</v>
      </c>
      <c r="N18" s="444">
        <f>'Air Basin Summary NOx BAU tpd'!N18*365.25</f>
        <v>-274.42270887490162</v>
      </c>
      <c r="O18" s="444">
        <f>'Air Basin Summary NOx BAU tpd'!O18*365.25</f>
        <v>-304.91412097211298</v>
      </c>
      <c r="P18" s="444">
        <f>'Air Basin Summary NOx BAU tpd'!P18*365.25</f>
        <v>-335.40553306932424</v>
      </c>
      <c r="Q18" s="444">
        <f>'Air Basin Summary NOx BAU tpd'!Q18*365.25</f>
        <v>-365.8969451665356</v>
      </c>
      <c r="R18" s="444">
        <f>'Air Basin Summary NOx BAU tpd'!R18*365.25</f>
        <v>-396.38835726374685</v>
      </c>
      <c r="S18" s="444">
        <f>'Air Basin Summary NOx BAU tpd'!S18*365.25</f>
        <v>-426.87976936095822</v>
      </c>
      <c r="T18" s="444">
        <f>'Air Basin Summary NOx BAU tpd'!T18*365.25</f>
        <v>-457.37118145816947</v>
      </c>
      <c r="U18" s="444">
        <f>'Air Basin Summary NOx BAU tpd'!U18*365.25</f>
        <v>-487.86259355538078</v>
      </c>
      <c r="V18" s="444">
        <f>'Air Basin Summary NOx BAU tpd'!V18*365.25</f>
        <v>-518.35400565259204</v>
      </c>
      <c r="W18" s="444">
        <f>'Air Basin Summary NOx BAU tpd'!W18*365.25</f>
        <v>-548.84541774980335</v>
      </c>
      <c r="X18" s="444">
        <f>'Air Basin Summary NOx BAU tpd'!X18*365.25</f>
        <v>-579.33682984701466</v>
      </c>
      <c r="Y18" s="444">
        <f>'Air Basin Summary NOx BAU tpd'!Y18*365.25</f>
        <v>-609.82824194422585</v>
      </c>
      <c r="Z18" s="444">
        <f>'Air Basin Summary NOx BAU tpd'!Z18*365.25</f>
        <v>-640.31965404143716</v>
      </c>
      <c r="AA18" s="444">
        <f>'Air Basin Summary NOx BAU tpd'!AA18*365.25</f>
        <v>-670.81106613864847</v>
      </c>
      <c r="AB18" s="444">
        <f>'Air Basin Summary NOx BAU tpd'!AB18*365.25</f>
        <v>-701.30247823585978</v>
      </c>
    </row>
    <row r="19" spans="1:28">
      <c r="A19" s="520"/>
    </row>
    <row r="20" spans="1:28" ht="15.75" customHeight="1">
      <c r="A20" s="520"/>
      <c r="B20" s="86"/>
      <c r="C20" s="87"/>
      <c r="D20" s="518" t="s">
        <v>18928</v>
      </c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</row>
    <row r="21" spans="1:28" ht="15" customHeight="1">
      <c r="A21" s="520"/>
      <c r="B21" s="88" t="s">
        <v>18814</v>
      </c>
      <c r="C21" s="88" t="s">
        <v>1</v>
      </c>
      <c r="D21" s="156">
        <f>'BAU Comparison - BD RD NOx'!C4</f>
        <v>2022</v>
      </c>
      <c r="E21" s="156">
        <f>'BAU Comparison - BD RD NOx'!D4</f>
        <v>2023</v>
      </c>
      <c r="F21" s="156">
        <f>'BAU Comparison - BD RD NOx'!E4</f>
        <v>2024</v>
      </c>
      <c r="G21" s="156">
        <f>'BAU Comparison - BD RD NOx'!F4</f>
        <v>2025</v>
      </c>
      <c r="H21" s="156">
        <f>'BAU Comparison - BD RD NOx'!G4</f>
        <v>2026</v>
      </c>
      <c r="I21" s="156">
        <f>'BAU Comparison - BD RD NOx'!H4</f>
        <v>2027</v>
      </c>
      <c r="J21" s="156">
        <f>'BAU Comparison - BD RD NOx'!I4</f>
        <v>2028</v>
      </c>
      <c r="K21" s="156">
        <f>'BAU Comparison - BD RD NOx'!J4</f>
        <v>2029</v>
      </c>
      <c r="L21" s="156">
        <f>'BAU Comparison - BD RD NOx'!K4</f>
        <v>2030</v>
      </c>
      <c r="M21" s="156">
        <f>'BAU Comparison - BD RD NOx'!L4</f>
        <v>2031</v>
      </c>
      <c r="N21" s="156">
        <f>'BAU Comparison - BD RD NOx'!M4</f>
        <v>2032</v>
      </c>
      <c r="O21" s="156">
        <f>'BAU Comparison - BD RD NOx'!N4</f>
        <v>2033</v>
      </c>
      <c r="P21" s="156">
        <f>'BAU Comparison - BD RD NOx'!O4</f>
        <v>2034</v>
      </c>
      <c r="Q21" s="156">
        <f>'BAU Comparison - BD RD NOx'!P4</f>
        <v>2035</v>
      </c>
      <c r="R21" s="156">
        <f>'BAU Comparison - BD RD NOx'!Q4</f>
        <v>2036</v>
      </c>
      <c r="S21" s="156">
        <f>'BAU Comparison - BD RD NOx'!R4</f>
        <v>2037</v>
      </c>
      <c r="T21" s="156">
        <f>'BAU Comparison - BD RD NOx'!S4</f>
        <v>2038</v>
      </c>
      <c r="U21" s="156">
        <f>'BAU Comparison - BD RD NOx'!T4</f>
        <v>2039</v>
      </c>
      <c r="V21" s="156">
        <f>'BAU Comparison - BD RD NOx'!U4</f>
        <v>2040</v>
      </c>
      <c r="W21" s="156">
        <f>'BAU Comparison - BD RD NOx'!V4</f>
        <v>2041</v>
      </c>
      <c r="X21" s="156">
        <f>'BAU Comparison - BD RD NOx'!W4</f>
        <v>2042</v>
      </c>
      <c r="Y21" s="156">
        <f>'BAU Comparison - BD RD NOx'!X4</f>
        <v>2043</v>
      </c>
      <c r="Z21" s="156">
        <f>'BAU Comparison - BD RD NOx'!Y4</f>
        <v>2044</v>
      </c>
      <c r="AA21" s="156">
        <f>'BAU Comparison - BD RD NOx'!Z4</f>
        <v>2045</v>
      </c>
      <c r="AB21" s="156">
        <f>'BAU Comparison - BD RD NOx'!AA4</f>
        <v>2046</v>
      </c>
    </row>
    <row r="22" spans="1:28" ht="15" customHeight="1">
      <c r="A22" s="520"/>
      <c r="B22" s="2" t="str">
        <f>'BAU Comparison - BD RD NOx'!B8</f>
        <v>Great Basin</v>
      </c>
      <c r="C22" s="2" t="s">
        <v>240</v>
      </c>
      <c r="D22" s="104">
        <f>'BAU Comparison - BD RD NOx'!C8</f>
        <v>0</v>
      </c>
      <c r="E22" s="79">
        <f>'BAU Comparison - BD RD NOx'!D8</f>
        <v>0</v>
      </c>
      <c r="F22" s="79">
        <f>'BAU Comparison - BD RD NOx'!E8</f>
        <v>-3.4438586468406487</v>
      </c>
      <c r="G22" s="79">
        <f>'BAU Comparison - BD RD NOx'!F8</f>
        <v>-9.3243514555863474</v>
      </c>
      <c r="H22" s="79">
        <f>'BAU Comparison - BD RD NOx'!G8</f>
        <v>-10.21023236664111</v>
      </c>
      <c r="I22" s="79">
        <f>'BAU Comparison - BD RD NOx'!H8</f>
        <v>-9.4604812343050959</v>
      </c>
      <c r="J22" s="79">
        <f>'BAU Comparison - BD RD NOx'!I8</f>
        <v>-8.5915939429815111</v>
      </c>
      <c r="K22" s="79">
        <f>'BAU Comparison - BD RD NOx'!J8</f>
        <v>-8.1890516825339734</v>
      </c>
      <c r="L22" s="79">
        <f>'BAU Comparison - BD RD NOx'!K8</f>
        <v>-7.8729760790563832</v>
      </c>
      <c r="M22" s="79">
        <f>'BAU Comparison - BD RD NOx'!L8</f>
        <v>-7.3137853969430084</v>
      </c>
      <c r="N22" s="79">
        <f>'BAU Comparison - BD RD NOx'!M8</f>
        <v>-6.730693797033509</v>
      </c>
      <c r="O22" s="79">
        <f>'BAU Comparison - BD RD NOx'!N8</f>
        <v>-6.1490485596114883</v>
      </c>
      <c r="P22" s="79">
        <f>'BAU Comparison - BD RD NOx'!O8</f>
        <v>-5.6145195213122374</v>
      </c>
      <c r="Q22" s="79">
        <f>'BAU Comparison - BD RD NOx'!P8</f>
        <v>-5.0865624418965165</v>
      </c>
      <c r="R22" s="79">
        <f>'BAU Comparison - BD RD NOx'!Q8</f>
        <v>-4.6598116725430589</v>
      </c>
      <c r="S22" s="79">
        <f>'BAU Comparison - BD RD NOx'!R8</f>
        <v>-4.1262873882734796</v>
      </c>
      <c r="T22" s="79">
        <f>'BAU Comparison - BD RD NOx'!S8</f>
        <v>-3.6977164286305428</v>
      </c>
      <c r="U22" s="79">
        <f>'BAU Comparison - BD RD NOx'!T8</f>
        <v>-3.6061761073277649</v>
      </c>
      <c r="V22" s="79">
        <f>'BAU Comparison - BD RD NOx'!U8</f>
        <v>-3.4093193590448463</v>
      </c>
      <c r="W22" s="79">
        <f>'BAU Comparison - BD RD NOx'!V8</f>
        <v>-3.111007945981028</v>
      </c>
      <c r="X22" s="79">
        <f>'BAU Comparison - BD RD NOx'!W8</f>
        <v>-2.8370247390250207</v>
      </c>
      <c r="Y22" s="79">
        <f>'BAU Comparison - BD RD NOx'!X8</f>
        <v>-2.5784407768493636</v>
      </c>
      <c r="Z22" s="79">
        <f>'BAU Comparison - BD RD NOx'!Y8</f>
        <v>-2.38400275818623</v>
      </c>
      <c r="AA22" s="79">
        <f>'BAU Comparison - BD RD NOx'!Z8</f>
        <v>-2.1817354309461079</v>
      </c>
      <c r="AB22" s="80">
        <f>'BAU Comparison - BD RD NOx'!AA8</f>
        <v>-1.9521895236417621</v>
      </c>
    </row>
    <row r="23" spans="1:28" ht="15" customHeight="1">
      <c r="A23" s="520"/>
      <c r="B23" s="2" t="str">
        <f>'BAU Comparison - BD RD NOx'!B9</f>
        <v>Lake County</v>
      </c>
      <c r="C23" s="2" t="s">
        <v>240</v>
      </c>
      <c r="D23" s="393">
        <f>'BAU Comparison - BD RD NOx'!C9</f>
        <v>0</v>
      </c>
      <c r="E23" s="60">
        <f>'BAU Comparison - BD RD NOx'!D9</f>
        <v>0</v>
      </c>
      <c r="F23" s="60">
        <f>'BAU Comparison - BD RD NOx'!E9</f>
        <v>-2.0962617850334384</v>
      </c>
      <c r="G23" s="60">
        <f>'BAU Comparison - BD RD NOx'!F9</f>
        <v>-5.4729888978441616</v>
      </c>
      <c r="H23" s="60">
        <f>'BAU Comparison - BD RD NOx'!G9</f>
        <v>-5.8992453673926413</v>
      </c>
      <c r="I23" s="60">
        <f>'BAU Comparison - BD RD NOx'!H9</f>
        <v>-5.3752734285824406</v>
      </c>
      <c r="J23" s="60">
        <f>'BAU Comparison - BD RD NOx'!I9</f>
        <v>-4.4910604701948804</v>
      </c>
      <c r="K23" s="60">
        <f>'BAU Comparison - BD RD NOx'!J9</f>
        <v>-4.1897473724592418</v>
      </c>
      <c r="L23" s="60">
        <f>'BAU Comparison - BD RD NOx'!K9</f>
        <v>-3.8449418060507914</v>
      </c>
      <c r="M23" s="60">
        <f>'BAU Comparison - BD RD NOx'!L9</f>
        <v>-3.482754950925242</v>
      </c>
      <c r="N23" s="60">
        <f>'BAU Comparison - BD RD NOx'!M9</f>
        <v>-3.1191020035033334</v>
      </c>
      <c r="O23" s="60">
        <f>'BAU Comparison - BD RD NOx'!N9</f>
        <v>-2.76707185182517</v>
      </c>
      <c r="P23" s="60">
        <f>'BAU Comparison - BD RD NOx'!O9</f>
        <v>-2.4473546631361036</v>
      </c>
      <c r="Q23" s="60">
        <f>'BAU Comparison - BD RD NOx'!P9</f>
        <v>-2.007853595485467</v>
      </c>
      <c r="R23" s="60">
        <f>'BAU Comparison - BD RD NOx'!Q9</f>
        <v>-1.8393993444248917</v>
      </c>
      <c r="S23" s="60">
        <f>'BAU Comparison - BD RD NOx'!R9</f>
        <v>-1.5612979306980734</v>
      </c>
      <c r="T23" s="60">
        <f>'BAU Comparison - BD RD NOx'!S9</f>
        <v>-1.3352864881165849</v>
      </c>
      <c r="U23" s="60">
        <f>'BAU Comparison - BD RD NOx'!T9</f>
        <v>-1.2020587024425884</v>
      </c>
      <c r="V23" s="60">
        <f>'BAU Comparison - BD RD NOx'!U9</f>
        <v>-1.0715003699855232</v>
      </c>
      <c r="W23" s="60">
        <f>'BAU Comparison - BD RD NOx'!V9</f>
        <v>-0.91500233705324352</v>
      </c>
      <c r="X23" s="60">
        <f>'BAU Comparison - BD RD NOx'!W9</f>
        <v>-0.83441904088971208</v>
      </c>
      <c r="Y23" s="60">
        <f>'BAU Comparison - BD RD NOx'!X9</f>
        <v>-0.70321112095891725</v>
      </c>
      <c r="Z23" s="60">
        <f>'BAU Comparison - BD RD NOx'!Y9</f>
        <v>-0.65018257041442629</v>
      </c>
      <c r="AA23" s="60">
        <f>'BAU Comparison - BD RD NOx'!Z9</f>
        <v>-0.54543385773652697</v>
      </c>
      <c r="AB23" s="61">
        <f>'BAU Comparison - BD RD NOx'!AA9</f>
        <v>-0.50379084481077741</v>
      </c>
    </row>
    <row r="24" spans="1:28" ht="15" customHeight="1">
      <c r="A24" s="520"/>
      <c r="B24" s="2" t="str">
        <f>'BAU Comparison - BD RD NOx'!B10</f>
        <v>Lake Tahoe</v>
      </c>
      <c r="C24" s="2" t="s">
        <v>240</v>
      </c>
      <c r="D24" s="393">
        <f>'BAU Comparison - BD RD NOx'!C10</f>
        <v>0</v>
      </c>
      <c r="E24" s="60">
        <f>'BAU Comparison - BD RD NOx'!D10</f>
        <v>0</v>
      </c>
      <c r="F24" s="60">
        <f>'BAU Comparison - BD RD NOx'!E10</f>
        <v>-0.97326440019409632</v>
      </c>
      <c r="G24" s="60">
        <f>'BAU Comparison - BD RD NOx'!F10</f>
        <v>-2.6351428026657069</v>
      </c>
      <c r="H24" s="60">
        <f>'BAU Comparison - BD RD NOx'!G10</f>
        <v>-2.722728631104296</v>
      </c>
      <c r="I24" s="60">
        <f>'BAU Comparison - BD RD NOx'!H10</f>
        <v>-2.5801312457195715</v>
      </c>
      <c r="J24" s="60">
        <f>'BAU Comparison - BD RD NOx'!I10</f>
        <v>-2.1478984857453778</v>
      </c>
      <c r="K24" s="60">
        <f>'BAU Comparison - BD RD NOx'!J10</f>
        <v>-2.0948736862296209</v>
      </c>
      <c r="L24" s="60">
        <f>'BAU Comparison - BD RD NOx'!K10</f>
        <v>-2.0140171365027957</v>
      </c>
      <c r="M24" s="60">
        <f>'BAU Comparison - BD RD NOx'!L10</f>
        <v>-1.741377475462621</v>
      </c>
      <c r="N24" s="60">
        <f>'BAU Comparison - BD RD NOx'!M10</f>
        <v>-1.6416326334228071</v>
      </c>
      <c r="O24" s="60">
        <f>'BAU Comparison - BD RD NOx'!N10</f>
        <v>-1.5372621399028721</v>
      </c>
      <c r="P24" s="60">
        <f>'BAU Comparison - BD RD NOx'!O10</f>
        <v>-1.295658351072055</v>
      </c>
      <c r="Q24" s="60">
        <f>'BAU Comparison - BD RD NOx'!P10</f>
        <v>-1.2047121572912802</v>
      </c>
      <c r="R24" s="60">
        <f>'BAU Comparison - BD RD NOx'!Q10</f>
        <v>-0.98101298369327561</v>
      </c>
      <c r="S24" s="60">
        <f>'BAU Comparison - BD RD NOx'!R10</f>
        <v>-0.89217024611318485</v>
      </c>
      <c r="T24" s="60">
        <f>'BAU Comparison - BD RD NOx'!S10</f>
        <v>-0.8217147619178985</v>
      </c>
      <c r="U24" s="60">
        <f>'BAU Comparison - BD RD NOx'!T10</f>
        <v>-0.80137246829505893</v>
      </c>
      <c r="V24" s="60">
        <f>'BAU Comparison - BD RD NOx'!U10</f>
        <v>-0.68186387180896924</v>
      </c>
      <c r="W24" s="60">
        <f>'BAU Comparison - BD RD NOx'!V10</f>
        <v>-0.6405016359372705</v>
      </c>
      <c r="X24" s="60">
        <f>'BAU Comparison - BD RD NOx'!W10</f>
        <v>-0.58409332862279839</v>
      </c>
      <c r="Y24" s="60">
        <f>'BAU Comparison - BD RD NOx'!X10</f>
        <v>-0.54694198296804675</v>
      </c>
      <c r="Z24" s="60">
        <f>'BAU Comparison - BD RD NOx'!Y10</f>
        <v>-0.50569755476677603</v>
      </c>
      <c r="AA24" s="60">
        <f>'BAU Comparison - BD RD NOx'!Z10</f>
        <v>-0.40907539330239523</v>
      </c>
      <c r="AB24" s="61">
        <f>'BAU Comparison - BD RD NOx'!AA10</f>
        <v>-0.37784313360808297</v>
      </c>
    </row>
    <row r="25" spans="1:28" ht="15" customHeight="1">
      <c r="A25" s="520"/>
      <c r="B25" s="2" t="str">
        <f>'BAU Comparison - BD RD NOx'!B11</f>
        <v>Mojave</v>
      </c>
      <c r="C25" s="2" t="s">
        <v>240</v>
      </c>
      <c r="D25" s="393">
        <f>'BAU Comparison - BD RD NOx'!C11</f>
        <v>0</v>
      </c>
      <c r="E25" s="60">
        <f>'BAU Comparison - BD RD NOx'!D11</f>
        <v>0</v>
      </c>
      <c r="F25" s="60">
        <f>'BAU Comparison - BD RD NOx'!E11</f>
        <v>-56.673934688225458</v>
      </c>
      <c r="G25" s="60">
        <f>'BAU Comparison - BD RD NOx'!F11</f>
        <v>-155.47342535727674</v>
      </c>
      <c r="H25" s="60">
        <f>'BAU Comparison - BD RD NOx'!G11</f>
        <v>-176.52357291659519</v>
      </c>
      <c r="I25" s="60">
        <f>'BAU Comparison - BD RD NOx'!H11</f>
        <v>-169.64362940606182</v>
      </c>
      <c r="J25" s="60">
        <f>'BAU Comparison - BD RD NOx'!I11</f>
        <v>-156.79658945941256</v>
      </c>
      <c r="K25" s="60">
        <f>'BAU Comparison - BD RD NOx'!J11</f>
        <v>-155.78242503052999</v>
      </c>
      <c r="L25" s="60">
        <f>'BAU Comparison - BD RD NOx'!K11</f>
        <v>-152.69911744030287</v>
      </c>
      <c r="M25" s="60">
        <f>'BAU Comparison - BD RD NOx'!L11</f>
        <v>-148.3653609094153</v>
      </c>
      <c r="N25" s="60">
        <f>'BAU Comparison - BD RD NOx'!M11</f>
        <v>-142.65787584444195</v>
      </c>
      <c r="O25" s="60">
        <f>'BAU Comparison - BD RD NOx'!N11</f>
        <v>-136.20142559539448</v>
      </c>
      <c r="P25" s="60">
        <f>'BAU Comparison - BD RD NOx'!O11</f>
        <v>-130.28564530224551</v>
      </c>
      <c r="Q25" s="60">
        <f>'BAU Comparison - BD RD NOx'!P11</f>
        <v>-123.81763838827045</v>
      </c>
      <c r="R25" s="60">
        <f>'BAU Comparison - BD RD NOx'!Q11</f>
        <v>-115.63690545284486</v>
      </c>
      <c r="S25" s="60">
        <f>'BAU Comparison - BD RD NOx'!R11</f>
        <v>-107.39499337587462</v>
      </c>
      <c r="T25" s="60">
        <f>'BAU Comparison - BD RD NOx'!S11</f>
        <v>-100.35191529922334</v>
      </c>
      <c r="U25" s="60">
        <f>'BAU Comparison - BD RD NOx'!T11</f>
        <v>-99.871043861271716</v>
      </c>
      <c r="V25" s="60">
        <f>'BAU Comparison - BD RD NOx'!U11</f>
        <v>-98.967670536844679</v>
      </c>
      <c r="W25" s="60">
        <f>'BAU Comparison - BD RD NOx'!V11</f>
        <v>-94.611241651305392</v>
      </c>
      <c r="X25" s="60">
        <f>'BAU Comparison - BD RD NOx'!W11</f>
        <v>-87.780883101597709</v>
      </c>
      <c r="Y25" s="60">
        <f>'BAU Comparison - BD RD NOx'!X11</f>
        <v>-83.447719687124859</v>
      </c>
      <c r="Z25" s="60">
        <f>'BAU Comparison - BD RD NOx'!Y11</f>
        <v>-78.38312098885028</v>
      </c>
      <c r="AA25" s="60">
        <f>'BAU Comparison - BD RD NOx'!Z11</f>
        <v>-74.997155438772467</v>
      </c>
      <c r="AB25" s="61">
        <f>'BAU Comparison - BD RD NOx'!AA11</f>
        <v>-70.2158489955021</v>
      </c>
    </row>
    <row r="26" spans="1:28" ht="15" customHeight="1">
      <c r="A26" s="520"/>
      <c r="B26" s="2" t="str">
        <f>'BAU Comparison - BD RD NOx'!B12</f>
        <v>Mountain Counties</v>
      </c>
      <c r="C26" s="2" t="s">
        <v>240</v>
      </c>
      <c r="D26" s="393">
        <f>'BAU Comparison - BD RD NOx'!C12</f>
        <v>0</v>
      </c>
      <c r="E26" s="60">
        <f>'BAU Comparison - BD RD NOx'!D12</f>
        <v>0</v>
      </c>
      <c r="F26" s="60">
        <f>'BAU Comparison - BD RD NOx'!E12</f>
        <v>-19.689887480849798</v>
      </c>
      <c r="G26" s="60">
        <f>'BAU Comparison - BD RD NOx'!F12</f>
        <v>-51.689339590750407</v>
      </c>
      <c r="H26" s="60">
        <f>'BAU Comparison - BD RD NOx'!G12</f>
        <v>-56.042830990230094</v>
      </c>
      <c r="I26" s="60">
        <f>'BAU Comparison - BD RD NOx'!H12</f>
        <v>-51.602624914391434</v>
      </c>
      <c r="J26" s="60">
        <f>'BAU Comparison - BD RD NOx'!I12</f>
        <v>-45.49639519806118</v>
      </c>
      <c r="K26" s="60">
        <f>'BAU Comparison - BD RD NOx'!J12</f>
        <v>-43.230575161284001</v>
      </c>
      <c r="L26" s="60">
        <f>'BAU Comparison - BD RD NOx'!K12</f>
        <v>-40.463435197010718</v>
      </c>
      <c r="M26" s="60">
        <f>'BAU Comparison - BD RD NOx'!L12</f>
        <v>-37.439615722446348</v>
      </c>
      <c r="N26" s="60">
        <f>'BAU Comparison - BD RD NOx'!M12</f>
        <v>-34.47428530187895</v>
      </c>
      <c r="O26" s="60">
        <f>'BAU Comparison - BD RD NOx'!N12</f>
        <v>-31.513873868008879</v>
      </c>
      <c r="P26" s="60">
        <f>'BAU Comparison - BD RD NOx'!O12</f>
        <v>-28.792407801601222</v>
      </c>
      <c r="Q26" s="60">
        <f>'BAU Comparison - BD RD NOx'!P12</f>
        <v>-26.235953647676766</v>
      </c>
      <c r="R26" s="60">
        <f>'BAU Comparison - BD RD NOx'!Q12</f>
        <v>-23.666938231600277</v>
      </c>
      <c r="S26" s="60">
        <f>'BAU Comparison - BD RD NOx'!R12</f>
        <v>-21.189043345188139</v>
      </c>
      <c r="T26" s="60">
        <f>'BAU Comparison - BD RD NOx'!S12</f>
        <v>-19.207582559830879</v>
      </c>
      <c r="U26" s="60">
        <f>'BAU Comparison - BD RD NOx'!T12</f>
        <v>-18.631909887860118</v>
      </c>
      <c r="V26" s="60">
        <f>'BAU Comparison - BD RD NOx'!U12</f>
        <v>-17.923278916121479</v>
      </c>
      <c r="W26" s="60">
        <f>'BAU Comparison - BD RD NOx'!V12</f>
        <v>-16.744542768074357</v>
      </c>
      <c r="X26" s="60">
        <f>'BAU Comparison - BD RD NOx'!W12</f>
        <v>-15.186426544192759</v>
      </c>
      <c r="Y26" s="60">
        <f>'BAU Comparison - BD RD NOx'!X12</f>
        <v>-14.142356988173782</v>
      </c>
      <c r="Z26" s="60">
        <f>'BAU Comparison - BD RD NOx'!Y12</f>
        <v>-13.075893916112353</v>
      </c>
      <c r="AA26" s="60">
        <f>'BAU Comparison - BD RD NOx'!Z12</f>
        <v>-12.340441031288924</v>
      </c>
      <c r="AB26" s="61">
        <f>'BAU Comparison - BD RD NOx'!AA12</f>
        <v>-11.398267863843838</v>
      </c>
    </row>
    <row r="27" spans="1:28" ht="15" customHeight="1">
      <c r="A27" s="520"/>
      <c r="B27" s="2" t="str">
        <f>'BAU Comparison - BD RD NOx'!B13</f>
        <v>North Central Coast</v>
      </c>
      <c r="C27" s="2" t="s">
        <v>240</v>
      </c>
      <c r="D27" s="393">
        <f>'BAU Comparison - BD RD NOx'!C13</f>
        <v>0</v>
      </c>
      <c r="E27" s="60">
        <f>'BAU Comparison - BD RD NOx'!D13</f>
        <v>0</v>
      </c>
      <c r="F27" s="60">
        <f>'BAU Comparison - BD RD NOx'!E13</f>
        <v>-15.272764433815052</v>
      </c>
      <c r="G27" s="60">
        <f>'BAU Comparison - BD RD NOx'!F13</f>
        <v>-40.94606508757483</v>
      </c>
      <c r="H27" s="60">
        <f>'BAU Comparison - BD RD NOx'!G13</f>
        <v>-45.15191646581291</v>
      </c>
      <c r="I27" s="60">
        <f>'BAU Comparison - BD RD NOx'!H13</f>
        <v>-42.357154617229632</v>
      </c>
      <c r="J27" s="60">
        <f>'BAU Comparison - BD RD NOx'!I13</f>
        <v>-37.881118748600294</v>
      </c>
      <c r="K27" s="60">
        <f>'BAU Comparison - BD RD NOx'!J13</f>
        <v>-36.565067977826111</v>
      </c>
      <c r="L27" s="60">
        <f>'BAU Comparison - BD RD NOx'!K13</f>
        <v>-34.604476254457126</v>
      </c>
      <c r="M27" s="60">
        <f>'BAU Comparison - BD RD NOx'!L13</f>
        <v>-32.389621043604748</v>
      </c>
      <c r="N27" s="60">
        <f>'BAU Comparison - BD RD NOx'!M13</f>
        <v>-30.041877191637369</v>
      </c>
      <c r="O27" s="60">
        <f>'BAU Comparison - BD RD NOx'!N13</f>
        <v>-27.670718518251697</v>
      </c>
      <c r="P27" s="60">
        <f>'BAU Comparison - BD RD NOx'!O13</f>
        <v>-25.48128090441708</v>
      </c>
      <c r="Q27" s="60">
        <f>'BAU Comparison - BD RD NOx'!P13</f>
        <v>-23.291101707631416</v>
      </c>
      <c r="R27" s="60">
        <f>'BAU Comparison - BD RD NOx'!Q13</f>
        <v>-20.969152526443768</v>
      </c>
      <c r="S27" s="60">
        <f>'BAU Comparison - BD RD NOx'!R13</f>
        <v>-18.735575168376879</v>
      </c>
      <c r="T27" s="60">
        <f>'BAU Comparison - BD RD NOx'!S13</f>
        <v>-17.050581309796392</v>
      </c>
      <c r="U27" s="60">
        <f>'BAU Comparison - BD RD NOx'!T13</f>
        <v>-16.327964041511823</v>
      </c>
      <c r="V27" s="60">
        <f>'BAU Comparison - BD RD NOx'!U13</f>
        <v>-15.585459927062155</v>
      </c>
      <c r="W27" s="60">
        <f>'BAU Comparison - BD RD NOx'!V13</f>
        <v>-14.457036925441249</v>
      </c>
      <c r="X27" s="60">
        <f>'BAU Comparison - BD RD NOx'!W13</f>
        <v>-12.933495133790537</v>
      </c>
      <c r="Y27" s="60">
        <f>'BAU Comparison - BD RD NOx'!X13</f>
        <v>-11.954589056301593</v>
      </c>
      <c r="Z27" s="60">
        <f>'BAU Comparison - BD RD NOx'!Y13</f>
        <v>-10.836376173573772</v>
      </c>
      <c r="AA27" s="60">
        <f>'BAU Comparison - BD RD NOx'!Z13</f>
        <v>-10.090526368125749</v>
      </c>
      <c r="AB27" s="61">
        <f>'BAU Comparison - BD RD NOx'!AA13</f>
        <v>-9.1312090621953406</v>
      </c>
    </row>
    <row r="28" spans="1:28" ht="15" customHeight="1">
      <c r="A28" s="520"/>
      <c r="B28" s="2" t="str">
        <f>'BAU Comparison - BD RD NOx'!B14</f>
        <v>North Coast</v>
      </c>
      <c r="C28" s="2" t="s">
        <v>240</v>
      </c>
      <c r="D28" s="393">
        <f>'BAU Comparison - BD RD NOx'!C14</f>
        <v>0</v>
      </c>
      <c r="E28" s="60">
        <f>'BAU Comparison - BD RD NOx'!D14</f>
        <v>0</v>
      </c>
      <c r="F28" s="60">
        <f>'BAU Comparison - BD RD NOx'!E14</f>
        <v>-15.647096895428163</v>
      </c>
      <c r="G28" s="60">
        <f>'BAU Comparison - BD RD NOx'!F14</f>
        <v>-41.148768380087574</v>
      </c>
      <c r="H28" s="60">
        <f>'BAU Comparison - BD RD NOx'!G14</f>
        <v>-44.698128360628857</v>
      </c>
      <c r="I28" s="60">
        <f>'BAU Comparison - BD RD NOx'!H14</f>
        <v>-41.067088994369847</v>
      </c>
      <c r="J28" s="60">
        <f>'BAU Comparison - BD RD NOx'!I14</f>
        <v>-36.123747260263166</v>
      </c>
      <c r="K28" s="60">
        <f>'BAU Comparison - BD RD NOx'!J14</f>
        <v>-34.089308166827465</v>
      </c>
      <c r="L28" s="60">
        <f>'BAU Comparison - BD RD NOx'!K14</f>
        <v>-31.85808925013513</v>
      </c>
      <c r="M28" s="60">
        <f>'BAU Comparison - BD RD NOx'!L14</f>
        <v>-29.255141587772034</v>
      </c>
      <c r="N28" s="60">
        <f>'BAU Comparison - BD RD NOx'!M14</f>
        <v>-26.594448661449473</v>
      </c>
      <c r="O28" s="60">
        <f>'BAU Comparison - BD RD NOx'!N14</f>
        <v>-23.981289382484803</v>
      </c>
      <c r="P28" s="60">
        <f>'BAU Comparison - BD RD NOx'!O14</f>
        <v>-21.738267890208924</v>
      </c>
      <c r="Q28" s="60">
        <f>'BAU Comparison - BD RD NOx'!P14</f>
        <v>-19.409251423026181</v>
      </c>
      <c r="R28" s="60">
        <f>'BAU Comparison - BD RD NOx'!Q14</f>
        <v>-17.290353837593983</v>
      </c>
      <c r="S28" s="60">
        <f>'BAU Comparison - BD RD NOx'!R14</f>
        <v>-15.166894183924141</v>
      </c>
      <c r="T28" s="60">
        <f>'BAU Comparison - BD RD NOx'!S14</f>
        <v>-13.558293571645324</v>
      </c>
      <c r="U28" s="60">
        <f>'BAU Comparison - BD RD NOx'!T14</f>
        <v>-12.821959492720943</v>
      </c>
      <c r="V28" s="60">
        <f>'BAU Comparison - BD RD NOx'!U14</f>
        <v>-12.078731443473169</v>
      </c>
      <c r="W28" s="60">
        <f>'BAU Comparison - BD RD NOx'!V14</f>
        <v>-10.980028044638923</v>
      </c>
      <c r="X28" s="60">
        <f>'BAU Comparison - BD RD NOx'!W14</f>
        <v>-9.6792608743206596</v>
      </c>
      <c r="Y28" s="60">
        <f>'BAU Comparison - BD RD NOx'!X14</f>
        <v>-8.829206296484184</v>
      </c>
      <c r="Z28" s="60">
        <f>'BAU Comparison - BD RD NOx'!Y14</f>
        <v>-7.9466758606207657</v>
      </c>
      <c r="AA28" s="60">
        <f>'BAU Comparison - BD RD NOx'!Z14</f>
        <v>-7.2951778472260482</v>
      </c>
      <c r="AB28" s="61">
        <f>'BAU Comparison - BD RD NOx'!AA14</f>
        <v>-6.5492809825401048</v>
      </c>
    </row>
    <row r="29" spans="1:28" ht="15" customHeight="1">
      <c r="A29" s="520"/>
      <c r="B29" s="2" t="str">
        <f>'BAU Comparison - BD RD NOx'!B15</f>
        <v>Northeast Plateau</v>
      </c>
      <c r="C29" s="2" t="s">
        <v>240</v>
      </c>
      <c r="D29" s="393">
        <f>'BAU Comparison - BD RD NOx'!C15</f>
        <v>0</v>
      </c>
      <c r="E29" s="60">
        <f>'BAU Comparison - BD RD NOx'!D15</f>
        <v>0</v>
      </c>
      <c r="F29" s="60">
        <f>'BAU Comparison - BD RD NOx'!E15</f>
        <v>-8.9091125863921139</v>
      </c>
      <c r="G29" s="60">
        <f>'BAU Comparison - BD RD NOx'!F15</f>
        <v>-23.716285223991363</v>
      </c>
      <c r="H29" s="60">
        <f>'BAU Comparison - BD RD NOx'!G15</f>
        <v>-25.865921995490815</v>
      </c>
      <c r="I29" s="60">
        <f>'BAU Comparison - BD RD NOx'!H15</f>
        <v>-24.081224960049333</v>
      </c>
      <c r="J29" s="60">
        <f>'BAU Comparison - BD RD NOx'!I15</f>
        <v>-21.478984857453774</v>
      </c>
      <c r="K29" s="60">
        <f>'BAU Comparison - BD RD NOx'!J15</f>
        <v>-20.758293799911698</v>
      </c>
      <c r="L29" s="60">
        <f>'BAU Comparison - BD RD NOx'!K15</f>
        <v>-19.590893964163556</v>
      </c>
      <c r="M29" s="60">
        <f>'BAU Comparison - BD RD NOx'!L15</f>
        <v>-18.284463492357524</v>
      </c>
      <c r="N29" s="60">
        <f>'BAU Comparison - BD RD NOx'!M15</f>
        <v>-17.07297938759719</v>
      </c>
      <c r="O29" s="60">
        <f>'BAU Comparison - BD RD NOx'!N15</f>
        <v>-15.833800040999582</v>
      </c>
      <c r="P29" s="60">
        <f>'BAU Comparison - BD RD NOx'!O15</f>
        <v>-14.540165939808617</v>
      </c>
      <c r="Q29" s="60">
        <f>'BAU Comparison - BD RD NOx'!P15</f>
        <v>-13.38569063656978</v>
      </c>
      <c r="R29" s="60">
        <f>'BAU Comparison - BD RD NOx'!Q15</f>
        <v>-12.262662296165946</v>
      </c>
      <c r="S29" s="60">
        <f>'BAU Comparison - BD RD NOx'!R15</f>
        <v>-11.040606795650664</v>
      </c>
      <c r="T29" s="60">
        <f>'BAU Comparison - BD RD NOx'!S15</f>
        <v>-10.066005833494255</v>
      </c>
      <c r="U29" s="60">
        <f>'BAU Comparison - BD RD NOx'!T15</f>
        <v>-9.8168127366144713</v>
      </c>
      <c r="V29" s="60">
        <f>'BAU Comparison - BD RD NOx'!U15</f>
        <v>-9.4486850807814324</v>
      </c>
      <c r="W29" s="60">
        <f>'BAU Comparison - BD RD NOx'!V15</f>
        <v>-8.7840224357111367</v>
      </c>
      <c r="X29" s="60">
        <f>'BAU Comparison - BD RD NOx'!W15</f>
        <v>-8.0104227925412346</v>
      </c>
      <c r="Y29" s="60">
        <f>'BAU Comparison - BD RD NOx'!X15</f>
        <v>-7.4227840545663488</v>
      </c>
      <c r="Z29" s="60">
        <f>'BAU Comparison - BD RD NOx'!Y15</f>
        <v>-6.7907957354395636</v>
      </c>
      <c r="AA29" s="60">
        <f>'BAU Comparison - BD RD NOx'!Z15</f>
        <v>-6.4088478284041921</v>
      </c>
      <c r="AB29" s="61">
        <f>'BAU Comparison - BD RD NOx'!AA15</f>
        <v>-5.8565685709252859</v>
      </c>
    </row>
    <row r="30" spans="1:28" ht="15" customHeight="1">
      <c r="A30" s="520"/>
      <c r="B30" s="2" t="str">
        <f>'BAU Comparison - BD RD NOx'!B16</f>
        <v>Sacramento</v>
      </c>
      <c r="C30" s="2" t="s">
        <v>240</v>
      </c>
      <c r="D30" s="393">
        <f>'BAU Comparison - BD RD NOx'!C16</f>
        <v>0</v>
      </c>
      <c r="E30" s="60">
        <f>'BAU Comparison - BD RD NOx'!D16</f>
        <v>0</v>
      </c>
      <c r="F30" s="60">
        <f>'BAU Comparison - BD RD NOx'!E16</f>
        <v>-83.850471401337529</v>
      </c>
      <c r="G30" s="60">
        <f>'BAU Comparison - BD RD NOx'!F16</f>
        <v>-223.9871382265851</v>
      </c>
      <c r="H30" s="60">
        <f>'BAU Comparison - BD RD NOx'!G16</f>
        <v>-247.31451732530689</v>
      </c>
      <c r="I30" s="60">
        <f>'BAU Comparison - BD RD NOx'!H16</f>
        <v>-231.35176836618825</v>
      </c>
      <c r="J30" s="60">
        <f>'BAU Comparison - BD RD NOx'!I16</f>
        <v>-207.369835623781</v>
      </c>
      <c r="K30" s="60">
        <f>'BAU Comparison - BD RD NOx'!J16</f>
        <v>-199.77477244135201</v>
      </c>
      <c r="L30" s="60">
        <f>'BAU Comparison - BD RD NOx'!K16</f>
        <v>-189.50070329821759</v>
      </c>
      <c r="M30" s="60">
        <f>'BAU Comparison - BD RD NOx'!L16</f>
        <v>-177.44636474964111</v>
      </c>
      <c r="N30" s="60">
        <f>'BAU Comparison - BD RD NOx'!M16</f>
        <v>-164.81991639564981</v>
      </c>
      <c r="O30" s="60">
        <f>'BAU Comparison - BD RD NOx'!N16</f>
        <v>-152.18895185038434</v>
      </c>
      <c r="P30" s="60">
        <f>'BAU Comparison - BD RD NOx'!O16</f>
        <v>-140.50695007181398</v>
      </c>
      <c r="Q30" s="60">
        <f>'BAU Comparison - BD RD NOx'!P16</f>
        <v>-128.90420083016699</v>
      </c>
      <c r="R30" s="60">
        <f>'BAU Comparison - BD RD NOx'!Q16</f>
        <v>-116.74054505949981</v>
      </c>
      <c r="S30" s="60">
        <f>'BAU Comparison - BD RD NOx'!R16</f>
        <v>-104.83000391829921</v>
      </c>
      <c r="T30" s="60">
        <f>'BAU Comparison - BD RD NOx'!S16</f>
        <v>-95.421626727715946</v>
      </c>
      <c r="U30" s="60">
        <f>'BAU Comparison - BD RD NOx'!T16</f>
        <v>-92.157833853931777</v>
      </c>
      <c r="V30" s="60">
        <f>'BAU Comparison - BD RD NOx'!U16</f>
        <v>-88.642303335166005</v>
      </c>
      <c r="W30" s="60">
        <f>'BAU Comparison - BD RD NOx'!V16</f>
        <v>-82.533210802202575</v>
      </c>
      <c r="X30" s="60">
        <f>'BAU Comparison - BD RD NOx'!W16</f>
        <v>-74.513620351451294</v>
      </c>
      <c r="Y30" s="60">
        <f>'BAU Comparison - BD RD NOx'!X16</f>
        <v>-69.305362698951072</v>
      </c>
      <c r="Z30" s="60">
        <f>'BAU Comparison - BD RD NOx'!Y16</f>
        <v>-63.50116437714231</v>
      </c>
      <c r="AA30" s="60">
        <f>'BAU Comparison - BD RD NOx'!Z16</f>
        <v>-59.452290493281438</v>
      </c>
      <c r="AB30" s="61">
        <f>'BAU Comparison - BD RD NOx'!AA16</f>
        <v>-54.472385095165293</v>
      </c>
    </row>
    <row r="31" spans="1:28" ht="15" customHeight="1">
      <c r="A31" s="520"/>
      <c r="B31" s="2" t="str">
        <f>'BAU Comparison - BD RD NOx'!B17</f>
        <v>Salton Sea</v>
      </c>
      <c r="C31" s="2" t="s">
        <v>240</v>
      </c>
      <c r="D31" s="393">
        <f>'BAU Comparison - BD RD NOx'!C17</f>
        <v>0</v>
      </c>
      <c r="E31" s="60">
        <f>'BAU Comparison - BD RD NOx'!D17</f>
        <v>0</v>
      </c>
      <c r="F31" s="60">
        <f>'BAU Comparison - BD RD NOx'!E17</f>
        <v>-26.652471266853716</v>
      </c>
      <c r="G31" s="60">
        <f>'BAU Comparison - BD RD NOx'!F17</f>
        <v>-73.783998474639802</v>
      </c>
      <c r="H31" s="60">
        <f>'BAU Comparison - BD RD NOx'!G17</f>
        <v>-84.631481616825198</v>
      </c>
      <c r="I31" s="60">
        <f>'BAU Comparison - BD RD NOx'!H17</f>
        <v>-81.919167051596403</v>
      </c>
      <c r="J31" s="60">
        <f>'BAU Comparison - BD RD NOx'!I17</f>
        <v>-76.348027993312968</v>
      </c>
      <c r="K31" s="60">
        <f>'BAU Comparison - BD RD NOx'!J17</f>
        <v>-76.558111078573418</v>
      </c>
      <c r="L31" s="60">
        <f>'BAU Comparison - BD RD NOx'!K17</f>
        <v>-75.800281319287038</v>
      </c>
      <c r="M31" s="60">
        <f>'BAU Comparison - BD RD NOx'!L17</f>
        <v>-74.008542707161396</v>
      </c>
      <c r="N31" s="60">
        <f>'BAU Comparison - BD RD NOx'!M17</f>
        <v>-71.575182817234378</v>
      </c>
      <c r="O31" s="60">
        <f>'BAU Comparison - BD RD NOx'!N17</f>
        <v>-68.869343867648666</v>
      </c>
      <c r="P31" s="60">
        <f>'BAU Comparison - BD RD NOx'!O17</f>
        <v>-66.366499982690812</v>
      </c>
      <c r="Q31" s="60">
        <f>'BAU Comparison - BD RD NOx'!P17</f>
        <v>-63.314316710975056</v>
      </c>
      <c r="R31" s="60">
        <f>'BAU Comparison - BD RD NOx'!Q17</f>
        <v>-59.596538759366489</v>
      </c>
      <c r="S31" s="60">
        <f>'BAU Comparison - BD RD NOx'!R17</f>
        <v>-55.649119101309907</v>
      </c>
      <c r="T31" s="60">
        <f>'BAU Comparison - BD RD NOx'!S17</f>
        <v>-53.411459524663393</v>
      </c>
      <c r="U31" s="60">
        <f>'BAU Comparison - BD RD NOx'!T17</f>
        <v>-53.391440700158299</v>
      </c>
      <c r="V31" s="60">
        <f>'BAU Comparison - BD RD NOx'!U17</f>
        <v>-53.087972876555462</v>
      </c>
      <c r="W31" s="60">
        <f>'BAU Comparison - BD RD NOx'!V17</f>
        <v>-50.965630173865662</v>
      </c>
      <c r="X31" s="60">
        <f>'BAU Comparison - BD RD NOx'!W17</f>
        <v>-47.478443426624615</v>
      </c>
      <c r="Y31" s="60">
        <f>'BAU Comparison - BD RD NOx'!X17</f>
        <v>-45.318050017352448</v>
      </c>
      <c r="Z31" s="60">
        <f>'BAU Comparison - BD RD NOx'!Y17</f>
        <v>-42.767564631704488</v>
      </c>
      <c r="AA31" s="60">
        <f>'BAU Comparison - BD RD NOx'!Z17</f>
        <v>-41.043897794673654</v>
      </c>
      <c r="AB31" s="61">
        <f>'BAU Comparison - BD RD NOx'!AA17</f>
        <v>-38.602973483625817</v>
      </c>
    </row>
    <row r="32" spans="1:28" ht="15" customHeight="1">
      <c r="A32" s="520"/>
      <c r="B32" s="2" t="str">
        <f>'BAU Comparison - BD RD NOx'!B18</f>
        <v>San Diego</v>
      </c>
      <c r="C32" s="2" t="s">
        <v>240</v>
      </c>
      <c r="D32" s="393">
        <f>'BAU Comparison - BD RD NOx'!C18</f>
        <v>0</v>
      </c>
      <c r="E32" s="60">
        <f>'BAU Comparison - BD RD NOx'!D18</f>
        <v>0</v>
      </c>
      <c r="F32" s="60">
        <f>'BAU Comparison - BD RD NOx'!E18</f>
        <v>-44.171230470347446</v>
      </c>
      <c r="G32" s="60">
        <f>'BAU Comparison - BD RD NOx'!F18</f>
        <v>-118.17601953493133</v>
      </c>
      <c r="H32" s="60">
        <f>'BAU Comparison - BD RD NOx'!G18</f>
        <v>-130.69097429300621</v>
      </c>
      <c r="I32" s="60">
        <f>'BAU Comparison - BD RD NOx'!H18</f>
        <v>-122.34122323453636</v>
      </c>
      <c r="J32" s="60">
        <f>'BAU Comparison - BD RD NOx'!I18</f>
        <v>-109.54282277301425</v>
      </c>
      <c r="K32" s="60">
        <f>'BAU Comparison - BD RD NOx'!J18</f>
        <v>-105.31501349863458</v>
      </c>
      <c r="L32" s="60">
        <f>'BAU Comparison - BD RD NOx'!K18</f>
        <v>-99.602302023410971</v>
      </c>
      <c r="M32" s="60">
        <f>'BAU Comparison - BD RD NOx'!L18</f>
        <v>-93.686108179889018</v>
      </c>
      <c r="N32" s="60">
        <f>'BAU Comparison - BD RD NOx'!M18</f>
        <v>-87.170692834751051</v>
      </c>
      <c r="O32" s="60">
        <f>'BAU Comparison - BD RD NOx'!N18</f>
        <v>-80.706262344900779</v>
      </c>
      <c r="P32" s="60">
        <f>'BAU Comparison - BD RD NOx'!O18</f>
        <v>-74.716298245155173</v>
      </c>
      <c r="Q32" s="60">
        <f>'BAU Comparison - BD RD NOx'!P18</f>
        <v>-68.802449871968662</v>
      </c>
      <c r="R32" s="60">
        <f>'BAU Comparison - BD RD NOx'!Q18</f>
        <v>-62.416951087484662</v>
      </c>
      <c r="S32" s="60">
        <f>'BAU Comparison - BD RD NOx'!R18</f>
        <v>-56.206725505130642</v>
      </c>
      <c r="T32" s="60">
        <f>'BAU Comparison - BD RD NOx'!S18</f>
        <v>-51.357172619868656</v>
      </c>
      <c r="U32" s="60">
        <f>'BAU Comparison - BD RD NOx'!T18</f>
        <v>-49.685093034293651</v>
      </c>
      <c r="V32" s="60">
        <f>'BAU Comparison - BD RD NOx'!U18</f>
        <v>-47.925289275716125</v>
      </c>
      <c r="W32" s="60">
        <f>'BAU Comparison - BD RD NOx'!V18</f>
        <v>-44.743614281903611</v>
      </c>
      <c r="X32" s="60">
        <f>'BAU Comparison - BD RD NOx'!W18</f>
        <v>-40.552765387240001</v>
      </c>
      <c r="Y32" s="60">
        <f>'BAU Comparison - BD RD NOx'!X18</f>
        <v>-37.81713139379066</v>
      </c>
      <c r="Z32" s="60">
        <f>'BAU Comparison - BD RD NOx'!Y18</f>
        <v>-34.748646263259893</v>
      </c>
      <c r="AA32" s="60">
        <f>'BAU Comparison - BD RD NOx'!Z18</f>
        <v>-32.726031464191621</v>
      </c>
      <c r="AB32" s="61">
        <f>'BAU Comparison - BD RD NOx'!AA18</f>
        <v>-30.101502977443946</v>
      </c>
    </row>
    <row r="33" spans="1:29" ht="15" customHeight="1">
      <c r="A33" s="520"/>
      <c r="B33" s="2" t="str">
        <f>'BAU Comparison - BD RD NOx'!B19</f>
        <v>San Francisco</v>
      </c>
      <c r="C33" s="2" t="s">
        <v>240</v>
      </c>
      <c r="D33" s="393">
        <f>'BAU Comparison - BD RD NOx'!C19</f>
        <v>0</v>
      </c>
      <c r="E33" s="60">
        <f>'BAU Comparison - BD RD NOx'!D19</f>
        <v>0</v>
      </c>
      <c r="F33" s="60">
        <f>'BAU Comparison - BD RD NOx'!E19</f>
        <v>-88.342460940694892</v>
      </c>
      <c r="G33" s="60">
        <f>'BAU Comparison - BD RD NOx'!F19</f>
        <v>-237.97366540996464</v>
      </c>
      <c r="H33" s="60">
        <f>'BAU Comparison - BD RD NOx'!G19</f>
        <v>-265.01225342748484</v>
      </c>
      <c r="I33" s="60">
        <f>'BAU Comparison - BD RD NOx'!H19</f>
        <v>-249.41268708622528</v>
      </c>
      <c r="J33" s="60">
        <f>'BAU Comparison - BD RD NOx'!I19</f>
        <v>-224.74828700844813</v>
      </c>
      <c r="K33" s="60">
        <f>'BAU Comparison - BD RD NOx'!J19</f>
        <v>-217.10509111834253</v>
      </c>
      <c r="L33" s="60">
        <f>'BAU Comparison - BD RD NOx'!K19</f>
        <v>-206.89448765892357</v>
      </c>
      <c r="M33" s="60">
        <f>'BAU Comparison - BD RD NOx'!L19</f>
        <v>-194.68600175672103</v>
      </c>
      <c r="N33" s="60">
        <f>'BAU Comparison - BD RD NOx'!M19</f>
        <v>-181.72873251990475</v>
      </c>
      <c r="O33" s="60">
        <f>'BAU Comparison - BD RD NOx'!N19</f>
        <v>-168.48393053335479</v>
      </c>
      <c r="P33" s="60">
        <f>'BAU Comparison - BD RD NOx'!O19</f>
        <v>-156.19881232368661</v>
      </c>
      <c r="Q33" s="60">
        <f>'BAU Comparison - BD RD NOx'!P19</f>
        <v>-143.36074671766235</v>
      </c>
      <c r="R33" s="60">
        <f>'BAU Comparison - BD RD NOx'!Q19</f>
        <v>-129.98422033935901</v>
      </c>
      <c r="S33" s="60">
        <f>'BAU Comparison - BD RD NOx'!R19</f>
        <v>-116.76278096006307</v>
      </c>
      <c r="T33" s="60">
        <f>'BAU Comparison - BD RD NOx'!S19</f>
        <v>-106.30934732312811</v>
      </c>
      <c r="U33" s="60">
        <f>'BAU Comparison - BD RD NOx'!T19</f>
        <v>-102.37533282469377</v>
      </c>
      <c r="V33" s="60">
        <f>'BAU Comparison - BD RD NOx'!U19</f>
        <v>-98.285806665035722</v>
      </c>
      <c r="W33" s="60">
        <f>'BAU Comparison - BD RD NOx'!V19</f>
        <v>-91.134232770503047</v>
      </c>
      <c r="X33" s="60">
        <f>'BAU Comparison - BD RD NOx'!W19</f>
        <v>-82.023391719458687</v>
      </c>
      <c r="Y33" s="60">
        <f>'BAU Comparison - BD RD NOx'!X19</f>
        <v>-75.790531925572196</v>
      </c>
      <c r="Z33" s="60">
        <f>'BAU Comparison - BD RD NOx'!Y19</f>
        <v>-69.208322495224479</v>
      </c>
      <c r="AA33" s="60">
        <f>'BAU Comparison - BD RD NOx'!Z19</f>
        <v>-64.497553677344314</v>
      </c>
      <c r="AB33" s="61">
        <f>'BAU Comparison - BD RD NOx'!AA19</f>
        <v>-58.817581131658251</v>
      </c>
    </row>
    <row r="34" spans="1:29" ht="15" customHeight="1">
      <c r="A34" s="520"/>
      <c r="B34" s="2" t="str">
        <f>'BAU Comparison - BD RD NOx'!B20</f>
        <v>San Joaquin</v>
      </c>
      <c r="C34" s="2" t="s">
        <v>240</v>
      </c>
      <c r="D34" s="393">
        <f>'BAU Comparison - BD RD NOx'!C20</f>
        <v>0</v>
      </c>
      <c r="E34" s="60">
        <f>'BAU Comparison - BD RD NOx'!D20</f>
        <v>0</v>
      </c>
      <c r="F34" s="60">
        <f>'BAU Comparison - BD RD NOx'!E20</f>
        <v>-159.09129618557344</v>
      </c>
      <c r="G34" s="60">
        <f>'BAU Comparison - BD RD NOx'!F20</f>
        <v>-435.60937560989265</v>
      </c>
      <c r="H34" s="60">
        <f>'BAU Comparison - BD RD NOx'!G20</f>
        <v>-493.49456438765367</v>
      </c>
      <c r="I34" s="60">
        <f>'BAU Comparison - BD RD NOx'!H20</f>
        <v>-472.59403984096821</v>
      </c>
      <c r="J34" s="60">
        <f>'BAU Comparison - BD RD NOx'!I20</f>
        <v>-433.87549412056626</v>
      </c>
      <c r="K34" s="60">
        <f>'BAU Comparison - BD RD NOx'!J20</f>
        <v>-428.11600424038073</v>
      </c>
      <c r="L34" s="60">
        <f>'BAU Comparison - BD RD NOx'!K20</f>
        <v>-416.35226985521427</v>
      </c>
      <c r="M34" s="60">
        <f>'BAU Comparison - BD RD NOx'!L20</f>
        <v>-400.86509485149537</v>
      </c>
      <c r="N34" s="60">
        <f>'BAU Comparison - BD RD NOx'!M20</f>
        <v>-382.33624032417174</v>
      </c>
      <c r="O34" s="60">
        <f>'BAU Comparison - BD RD NOx'!N20</f>
        <v>-362.33268637510696</v>
      </c>
      <c r="P34" s="60">
        <f>'BAU Comparison - BD RD NOx'!O20</f>
        <v>-343.20550099508654</v>
      </c>
      <c r="Q34" s="60">
        <f>'BAU Comparison - BD RD NOx'!P20</f>
        <v>-322.7290012476974</v>
      </c>
      <c r="R34" s="60">
        <f>'BAU Comparison - BD RD NOx'!Q20</f>
        <v>-299.0863334034874</v>
      </c>
      <c r="S34" s="60">
        <f>'BAU Comparison - BD RD NOx'!R20</f>
        <v>-274.78843580286093</v>
      </c>
      <c r="T34" s="60">
        <f>'BAU Comparison - BD RD NOx'!S20</f>
        <v>-255.55329095646641</v>
      </c>
      <c r="U34" s="60">
        <f>'BAU Comparison - BD RD NOx'!T20</f>
        <v>-251.43061192757474</v>
      </c>
      <c r="V34" s="60">
        <f>'BAU Comparison - BD RD NOx'!U20</f>
        <v>-246.44508509667031</v>
      </c>
      <c r="W34" s="60">
        <f>'BAU Comparison - BD RD NOx'!V20</f>
        <v>-233.23409571487178</v>
      </c>
      <c r="X34" s="60">
        <f>'BAU Comparison - BD RD NOx'!W20</f>
        <v>-214.11192589230012</v>
      </c>
      <c r="Y34" s="60">
        <f>'BAU Comparison - BD RD NOx'!X20</f>
        <v>-201.58718800822297</v>
      </c>
      <c r="Z34" s="60">
        <f>'BAU Comparison - BD RD NOx'!Y20</f>
        <v>-187.54155031065008</v>
      </c>
      <c r="AA34" s="60">
        <f>'BAU Comparison - BD RD NOx'!Z20</f>
        <v>-177.87961685432487</v>
      </c>
      <c r="AB34" s="61">
        <f>'BAU Comparison - BD RD NOx'!AA20</f>
        <v>-165.11744938673226</v>
      </c>
    </row>
    <row r="35" spans="1:29" ht="15" customHeight="1">
      <c r="A35" s="520"/>
      <c r="B35" s="2" t="str">
        <f>'BAU Comparison - BD RD NOx'!B21</f>
        <v>South Central Coast</v>
      </c>
      <c r="C35" s="2" t="s">
        <v>240</v>
      </c>
      <c r="D35" s="393">
        <f>'BAU Comparison - BD RD NOx'!C21</f>
        <v>0</v>
      </c>
      <c r="E35" s="60">
        <f>'BAU Comparison - BD RD NOx'!D21</f>
        <v>0</v>
      </c>
      <c r="F35" s="60">
        <f>'BAU Comparison - BD RD NOx'!E21</f>
        <v>-23.508078589303558</v>
      </c>
      <c r="G35" s="60">
        <f>'BAU Comparison - BD RD NOx'!F21</f>
        <v>-62.22991080141324</v>
      </c>
      <c r="H35" s="60">
        <f>'BAU Comparison - BD RD NOx'!G21</f>
        <v>-68.068215777607406</v>
      </c>
      <c r="I35" s="60">
        <f>'BAU Comparison - BD RD NOx'!H21</f>
        <v>-62.998204582986205</v>
      </c>
      <c r="J35" s="60">
        <f>'BAU Comparison - BD RD NOx'!I21</f>
        <v>-55.65009713067569</v>
      </c>
      <c r="K35" s="60">
        <f>'BAU Comparison - BD RD NOx'!J21</f>
        <v>-52.752728280509544</v>
      </c>
      <c r="L35" s="60">
        <f>'BAU Comparison - BD RD NOx'!K21</f>
        <v>-49.434966077795892</v>
      </c>
      <c r="M35" s="60">
        <f>'BAU Comparison - BD RD NOx'!L21</f>
        <v>-45.449952109574411</v>
      </c>
      <c r="N35" s="60">
        <f>'BAU Comparison - BD RD NOx'!M21</f>
        <v>-41.533305625597016</v>
      </c>
      <c r="O35" s="60">
        <f>'BAU Comparison - BD RD NOx'!N21</f>
        <v>-37.662922427620366</v>
      </c>
      <c r="P35" s="60">
        <f>'BAU Comparison - BD RD NOx'!O21</f>
        <v>-34.119003244897442</v>
      </c>
      <c r="Q35" s="60">
        <f>'BAU Comparison - BD RD NOx'!P21</f>
        <v>-30.653231557744796</v>
      </c>
      <c r="R35" s="60">
        <f>'BAU Comparison - BD RD NOx'!Q21</f>
        <v>-27.2231102974884</v>
      </c>
      <c r="S35" s="60">
        <f>'BAU Comparison - BD RD NOx'!R21</f>
        <v>-23.865554083527694</v>
      </c>
      <c r="T35" s="60">
        <f>'BAU Comparison - BD RD NOx'!S21</f>
        <v>-21.364583809865358</v>
      </c>
      <c r="U35" s="60">
        <f>'BAU Comparison - BD RD NOx'!T21</f>
        <v>-20.134483265913357</v>
      </c>
      <c r="V35" s="60">
        <f>'BAU Comparison - BD RD NOx'!U21</f>
        <v>-18.994779286107001</v>
      </c>
      <c r="W35" s="60">
        <f>'BAU Comparison - BD RD NOx'!V21</f>
        <v>-17.293544170306301</v>
      </c>
      <c r="X35" s="60">
        <f>'BAU Comparison - BD RD NOx'!W21</f>
        <v>-15.269868448281731</v>
      </c>
      <c r="Y35" s="60">
        <f>'BAU Comparison - BD RD NOx'!X21</f>
        <v>-13.82981871219204</v>
      </c>
      <c r="Z35" s="60">
        <f>'BAU Comparison - BD RD NOx'!Y21</f>
        <v>-12.425711345697925</v>
      </c>
      <c r="AA35" s="60">
        <f>'BAU Comparison - BD RD NOx'!Z21</f>
        <v>-11.385931780250001</v>
      </c>
      <c r="AB35" s="61">
        <f>'BAU Comparison - BD RD NOx'!AA21</f>
        <v>-10.201764607418241</v>
      </c>
    </row>
    <row r="36" spans="1:29" ht="15" customHeight="1">
      <c r="A36" s="520"/>
      <c r="B36" s="2" t="str">
        <f>'BAU Comparison - BD RD NOx'!B22</f>
        <v>South Coast</v>
      </c>
      <c r="C36" s="2" t="s">
        <v>240</v>
      </c>
      <c r="D36" s="394">
        <f>'BAU Comparison - BD RD NOx'!C22</f>
        <v>0</v>
      </c>
      <c r="E36" s="64">
        <f>'BAU Comparison - BD RD NOx'!D22</f>
        <v>0</v>
      </c>
      <c r="F36" s="64">
        <f>'BAU Comparison - BD RD NOx'!E22</f>
        <v>-200.26786696301599</v>
      </c>
      <c r="G36" s="64">
        <f>'BAU Comparison - BD RD NOx'!F22</f>
        <v>-544.86645027426312</v>
      </c>
      <c r="H36" s="64">
        <f>'BAU Comparison - BD RD NOx'!G22</f>
        <v>-612.84083605105866</v>
      </c>
      <c r="I36" s="64">
        <f>'BAU Comparison - BD RD NOx'!H22</f>
        <v>-583.53968340690972</v>
      </c>
      <c r="J36" s="64">
        <f>'BAU Comparison - BD RD NOx'!I22</f>
        <v>-531.89777047003713</v>
      </c>
      <c r="K36" s="64">
        <f>'BAU Comparison - BD RD NOx'!J22</f>
        <v>-519.71911724733047</v>
      </c>
      <c r="L36" s="64">
        <f>'BAU Comparison - BD RD NOx'!K22</f>
        <v>-500.75789712137697</v>
      </c>
      <c r="M36" s="64">
        <f>'BAU Comparison - BD RD NOx'!L22</f>
        <v>-477.13742827675821</v>
      </c>
      <c r="N36" s="64">
        <f>'BAU Comparison - BD RD NOx'!M22</f>
        <v>-449.97150482119139</v>
      </c>
      <c r="O36" s="64">
        <f>'BAU Comparison - BD RD NOx'!N22</f>
        <v>-421.51727876136755</v>
      </c>
      <c r="P36" s="64">
        <f>'BAU Comparison - BD RD NOx'!O22</f>
        <v>-394.16806280392069</v>
      </c>
      <c r="Q36" s="64">
        <f>'BAU Comparison - BD RD NOx'!P22</f>
        <v>-366.2324958165492</v>
      </c>
      <c r="R36" s="64">
        <f>'BAU Comparison - BD RD NOx'!Q22</f>
        <v>-334.03492094756029</v>
      </c>
      <c r="S36" s="64">
        <f>'BAU Comparison - BD RD NOx'!R22</f>
        <v>-302.78027727466213</v>
      </c>
      <c r="T36" s="64">
        <f>'BAU Comparison - BD RD NOx'!S22</f>
        <v>-277.43144649253048</v>
      </c>
      <c r="U36" s="64">
        <f>'BAU Comparison - BD RD NOx'!T22</f>
        <v>-269.66183558128733</v>
      </c>
      <c r="V36" s="64">
        <f>'BAU Comparison - BD RD NOx'!U22</f>
        <v>-261.34868115192347</v>
      </c>
      <c r="W36" s="64">
        <f>'BAU Comparison - BD RD NOx'!V22</f>
        <v>-244.76312516174266</v>
      </c>
      <c r="X36" s="64">
        <f>'BAU Comparison - BD RD NOx'!W22</f>
        <v>-222.62300010937517</v>
      </c>
      <c r="Y36" s="64">
        <f>'BAU Comparison - BD RD NOx'!X22</f>
        <v>-207.91608809685323</v>
      </c>
      <c r="Z36" s="64">
        <f>'BAU Comparison - BD RD NOx'!Y22</f>
        <v>-191.80385827225578</v>
      </c>
      <c r="AA36" s="64">
        <f>'BAU Comparison - BD RD NOx'!Z22</f>
        <v>-180.53860691079041</v>
      </c>
      <c r="AB36" s="65">
        <f>'BAU Comparison - BD RD NOx'!AA22</f>
        <v>-166.37692649875922</v>
      </c>
    </row>
    <row r="37" spans="1:29" ht="15" customHeight="1">
      <c r="A37" s="520"/>
      <c r="B37" s="2" t="s">
        <v>270</v>
      </c>
      <c r="C37" s="72" t="s">
        <v>240</v>
      </c>
      <c r="D37" s="64">
        <f t="shared" ref="D37:AA37" si="0">SUM(D22:D36)</f>
        <v>0</v>
      </c>
      <c r="E37" s="64">
        <f t="shared" si="0"/>
        <v>0</v>
      </c>
      <c r="F37" s="64">
        <f t="shared" si="0"/>
        <v>-748.59005673390527</v>
      </c>
      <c r="G37" s="64">
        <f t="shared" si="0"/>
        <v>-2027.032925127467</v>
      </c>
      <c r="H37" s="64">
        <f t="shared" si="0"/>
        <v>-2269.1674199728386</v>
      </c>
      <c r="I37" s="64">
        <f t="shared" si="0"/>
        <v>-2150.3243823701196</v>
      </c>
      <c r="J37" s="64">
        <f t="shared" si="0"/>
        <v>-1952.4397235425481</v>
      </c>
      <c r="K37" s="64">
        <f t="shared" si="0"/>
        <v>-1904.2401807827255</v>
      </c>
      <c r="L37" s="65">
        <f t="shared" si="0"/>
        <v>-1831.2908544819059</v>
      </c>
      <c r="M37" s="64">
        <f t="shared" si="0"/>
        <v>-1741.5516132101675</v>
      </c>
      <c r="N37" s="65">
        <f t="shared" si="0"/>
        <v>-1641.4684701594647</v>
      </c>
      <c r="O37" s="64">
        <f t="shared" si="0"/>
        <v>-1537.4158661168624</v>
      </c>
      <c r="P37" s="65">
        <f t="shared" si="0"/>
        <v>-1439.4764280410529</v>
      </c>
      <c r="Q37" s="64">
        <f t="shared" si="0"/>
        <v>-1338.4352067506122</v>
      </c>
      <c r="R37" s="65">
        <f t="shared" si="0"/>
        <v>-1226.3888562395559</v>
      </c>
      <c r="S37" s="64">
        <f t="shared" si="0"/>
        <v>-1114.9897650799528</v>
      </c>
      <c r="T37" s="65">
        <f t="shared" si="0"/>
        <v>-1026.9380237068935</v>
      </c>
      <c r="U37" s="64">
        <f t="shared" si="0"/>
        <v>-1001.9159284858974</v>
      </c>
      <c r="V37" s="65">
        <f t="shared" si="0"/>
        <v>-973.89642719229641</v>
      </c>
      <c r="W37" s="64">
        <f t="shared" si="0"/>
        <v>-914.9108368195383</v>
      </c>
      <c r="X37" s="65">
        <f t="shared" si="0"/>
        <v>-834.41904088971216</v>
      </c>
      <c r="Y37" s="64">
        <f t="shared" si="0"/>
        <v>-781.18942081636169</v>
      </c>
      <c r="Z37" s="65">
        <f t="shared" si="0"/>
        <v>-722.56956325389899</v>
      </c>
      <c r="AA37" s="64">
        <f t="shared" si="0"/>
        <v>-681.79232217065874</v>
      </c>
      <c r="AB37" s="65">
        <f>SUM(AB22:AB36)</f>
        <v>-629.67558215787028</v>
      </c>
      <c r="AC37" s="66"/>
    </row>
    <row r="38" spans="1:29" ht="15" customHeight="1">
      <c r="A38" s="520"/>
      <c r="B38" s="2"/>
      <c r="C38" s="2"/>
      <c r="G38" s="66"/>
    </row>
    <row r="39" spans="1:29" ht="15.75" customHeight="1">
      <c r="A39" s="520"/>
      <c r="B39" s="86"/>
      <c r="C39" s="86"/>
      <c r="D39" s="519" t="s">
        <v>18929</v>
      </c>
      <c r="E39" s="519"/>
      <c r="F39" s="519"/>
      <c r="G39" s="519"/>
      <c r="H39" s="519"/>
      <c r="I39" s="519"/>
      <c r="J39" s="519"/>
      <c r="K39" s="519"/>
      <c r="L39" s="519"/>
      <c r="M39" s="519"/>
      <c r="N39" s="519"/>
      <c r="O39" s="519"/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</row>
    <row r="40" spans="1:29" ht="15" customHeight="1">
      <c r="A40" s="520"/>
      <c r="B40" s="91" t="s">
        <v>18814</v>
      </c>
      <c r="C40" s="90" t="str">
        <f>'BAU Comparison - AJF'!B25</f>
        <v>Units</v>
      </c>
      <c r="D40" s="156">
        <f>'BAU Comparison - AJF'!C25</f>
        <v>2022</v>
      </c>
      <c r="E40" s="156">
        <f>'BAU Comparison - AJF'!D25</f>
        <v>2023</v>
      </c>
      <c r="F40" s="156">
        <f>'BAU Comparison - AJF'!E25</f>
        <v>2024</v>
      </c>
      <c r="G40" s="156">
        <f>'BAU Comparison - AJF'!F25</f>
        <v>2025</v>
      </c>
      <c r="H40" s="156">
        <f>'BAU Comparison - AJF'!G25</f>
        <v>2026</v>
      </c>
      <c r="I40" s="156">
        <f>'BAU Comparison - AJF'!H25</f>
        <v>2027</v>
      </c>
      <c r="J40" s="156">
        <f>'BAU Comparison - AJF'!I25</f>
        <v>2028</v>
      </c>
      <c r="K40" s="156">
        <f>'BAU Comparison - AJF'!J25</f>
        <v>2029</v>
      </c>
      <c r="L40" s="157">
        <f>'BAU Comparison - AJF'!K25</f>
        <v>2030</v>
      </c>
      <c r="M40" s="156">
        <f>'BAU Comparison - AJF'!L25</f>
        <v>2031</v>
      </c>
      <c r="N40" s="157">
        <f>'BAU Comparison - AJF'!M25</f>
        <v>2032</v>
      </c>
      <c r="O40" s="156">
        <f>'BAU Comparison - AJF'!N25</f>
        <v>2033</v>
      </c>
      <c r="P40" s="157">
        <f>'BAU Comparison - AJF'!O25</f>
        <v>2034</v>
      </c>
      <c r="Q40" s="156">
        <f>'BAU Comparison - AJF'!P25</f>
        <v>2035</v>
      </c>
      <c r="R40" s="157">
        <f>'BAU Comparison - AJF'!Q25</f>
        <v>2036</v>
      </c>
      <c r="S40" s="156">
        <f>'BAU Comparison - AJF'!R25</f>
        <v>2037</v>
      </c>
      <c r="T40" s="157">
        <f>'BAU Comparison - AJF'!S25</f>
        <v>2038</v>
      </c>
      <c r="U40" s="156">
        <f>'BAU Comparison - AJF'!T25</f>
        <v>2039</v>
      </c>
      <c r="V40" s="157">
        <f>'BAU Comparison - AJF'!U25</f>
        <v>2040</v>
      </c>
      <c r="W40" s="156">
        <f>'BAU Comparison - AJF'!V25</f>
        <v>2041</v>
      </c>
      <c r="X40" s="157">
        <f>'BAU Comparison - AJF'!W25</f>
        <v>2042</v>
      </c>
      <c r="Y40" s="156">
        <f>'BAU Comparison - AJF'!X25</f>
        <v>2043</v>
      </c>
      <c r="Z40" s="157">
        <f>'BAU Comparison - AJF'!Y25</f>
        <v>2044</v>
      </c>
      <c r="AA40" s="156">
        <f>'BAU Comparison - AJF'!Z25</f>
        <v>2045</v>
      </c>
      <c r="AB40" s="157">
        <f>'BAU Comparison - AJF'!AA25</f>
        <v>2046</v>
      </c>
      <c r="AC40" s="59"/>
    </row>
    <row r="41" spans="1:29" ht="15" customHeight="1">
      <c r="A41" s="520"/>
      <c r="B41" s="2" t="str">
        <f>'BAU Comparison - AJF'!A26</f>
        <v>Great Basin Valleys</v>
      </c>
      <c r="C41" s="2" t="str">
        <f>'BAU Comparison - AJF'!B26</f>
        <v>tons/year</v>
      </c>
      <c r="D41" s="104">
        <f>'BAU Comparison - AJF'!C26</f>
        <v>0</v>
      </c>
      <c r="E41" s="79">
        <f>'BAU Comparison - AJF'!D26</f>
        <v>0</v>
      </c>
      <c r="F41" s="79">
        <f>'BAU Comparison - AJF'!E26</f>
        <v>0</v>
      </c>
      <c r="G41" s="79">
        <f>'BAU Comparison - AJF'!F26</f>
        <v>0</v>
      </c>
      <c r="H41" s="79">
        <f>'BAU Comparison - AJF'!G26</f>
        <v>0</v>
      </c>
      <c r="I41" s="79">
        <f>'BAU Comparison - AJF'!H26</f>
        <v>0</v>
      </c>
      <c r="J41" s="79">
        <f>'BAU Comparison - AJF'!I26</f>
        <v>0</v>
      </c>
      <c r="K41" s="79">
        <f>'BAU Comparison - AJF'!J26</f>
        <v>0</v>
      </c>
      <c r="L41" s="79">
        <f>'BAU Comparison - AJF'!K26</f>
        <v>0</v>
      </c>
      <c r="M41" s="79">
        <f>'BAU Comparison - AJF'!L26</f>
        <v>0</v>
      </c>
      <c r="N41" s="79">
        <f>'BAU Comparison - AJF'!M26</f>
        <v>0</v>
      </c>
      <c r="O41" s="79">
        <f>'BAU Comparison - AJF'!N26</f>
        <v>0</v>
      </c>
      <c r="P41" s="79">
        <f>'BAU Comparison - AJF'!O26</f>
        <v>0</v>
      </c>
      <c r="Q41" s="79">
        <f>'BAU Comparison - AJF'!P26</f>
        <v>0</v>
      </c>
      <c r="R41" s="79">
        <f>'BAU Comparison - AJF'!Q26</f>
        <v>0</v>
      </c>
      <c r="S41" s="79">
        <f>'BAU Comparison - AJF'!R26</f>
        <v>0</v>
      </c>
      <c r="T41" s="79">
        <f>'BAU Comparison - AJF'!S26</f>
        <v>0</v>
      </c>
      <c r="U41" s="79">
        <f>'BAU Comparison - AJF'!T26</f>
        <v>0</v>
      </c>
      <c r="V41" s="79">
        <f>'BAU Comparison - AJF'!U26</f>
        <v>0</v>
      </c>
      <c r="W41" s="79">
        <f>'BAU Comparison - AJF'!V26</f>
        <v>0</v>
      </c>
      <c r="X41" s="79">
        <f>'BAU Comparison - AJF'!W26</f>
        <v>0</v>
      </c>
      <c r="Y41" s="79">
        <f>'BAU Comparison - AJF'!X26</f>
        <v>0</v>
      </c>
      <c r="Z41" s="79">
        <f>'BAU Comparison - AJF'!Y26</f>
        <v>0</v>
      </c>
      <c r="AA41" s="79">
        <f>'BAU Comparison - AJF'!Z26</f>
        <v>0</v>
      </c>
      <c r="AB41" s="80">
        <f>'BAU Comparison - AJF'!AA26</f>
        <v>0</v>
      </c>
      <c r="AC41" s="59"/>
    </row>
    <row r="42" spans="1:29" ht="15" customHeight="1">
      <c r="A42" s="520"/>
      <c r="B42" s="2" t="str">
        <f>'BAU Comparison - AJF'!A27</f>
        <v xml:space="preserve">Lake County </v>
      </c>
      <c r="C42" s="2" t="str">
        <f>'BAU Comparison - AJF'!B27</f>
        <v>tons/year</v>
      </c>
      <c r="D42" s="393">
        <f>'BAU Comparison - AJF'!C27</f>
        <v>0</v>
      </c>
      <c r="E42" s="60">
        <f>'BAU Comparison - AJF'!D27</f>
        <v>0</v>
      </c>
      <c r="F42" s="60">
        <f>'BAU Comparison - AJF'!E27</f>
        <v>0</v>
      </c>
      <c r="G42" s="60">
        <f>'BAU Comparison - AJF'!F27</f>
        <v>0</v>
      </c>
      <c r="H42" s="60">
        <f>'BAU Comparison - AJF'!G27</f>
        <v>0</v>
      </c>
      <c r="I42" s="60">
        <f>'BAU Comparison - AJF'!H27</f>
        <v>0</v>
      </c>
      <c r="J42" s="60">
        <f>'BAU Comparison - AJF'!I27</f>
        <v>0</v>
      </c>
      <c r="K42" s="60">
        <f>'BAU Comparison - AJF'!J27</f>
        <v>0</v>
      </c>
      <c r="L42" s="60">
        <f>'BAU Comparison - AJF'!K27</f>
        <v>0</v>
      </c>
      <c r="M42" s="60">
        <f>'BAU Comparison - AJF'!L27</f>
        <v>0</v>
      </c>
      <c r="N42" s="60">
        <f>'BAU Comparison - AJF'!M27</f>
        <v>0</v>
      </c>
      <c r="O42" s="60">
        <f>'BAU Comparison - AJF'!N27</f>
        <v>0</v>
      </c>
      <c r="P42" s="60">
        <f>'BAU Comparison - AJF'!O27</f>
        <v>0</v>
      </c>
      <c r="Q42" s="60">
        <f>'BAU Comparison - AJF'!P27</f>
        <v>0</v>
      </c>
      <c r="R42" s="60">
        <f>'BAU Comparison - AJF'!Q27</f>
        <v>0</v>
      </c>
      <c r="S42" s="60">
        <f>'BAU Comparison - AJF'!R27</f>
        <v>0</v>
      </c>
      <c r="T42" s="60">
        <f>'BAU Comparison - AJF'!S27</f>
        <v>0</v>
      </c>
      <c r="U42" s="60">
        <f>'BAU Comparison - AJF'!T27</f>
        <v>0</v>
      </c>
      <c r="V42" s="60">
        <f>'BAU Comparison - AJF'!U27</f>
        <v>0</v>
      </c>
      <c r="W42" s="60">
        <f>'BAU Comparison - AJF'!V27</f>
        <v>0</v>
      </c>
      <c r="X42" s="60">
        <f>'BAU Comparison - AJF'!W27</f>
        <v>0</v>
      </c>
      <c r="Y42" s="60">
        <f>'BAU Comparison - AJF'!X27</f>
        <v>0</v>
      </c>
      <c r="Z42" s="60">
        <f>'BAU Comparison - AJF'!Y27</f>
        <v>0</v>
      </c>
      <c r="AA42" s="60">
        <f>'BAU Comparison - AJF'!Z27</f>
        <v>0</v>
      </c>
      <c r="AB42" s="61">
        <f>'BAU Comparison - AJF'!AA27</f>
        <v>0</v>
      </c>
      <c r="AC42" s="59"/>
    </row>
    <row r="43" spans="1:29" ht="15" customHeight="1">
      <c r="A43" s="520"/>
      <c r="B43" s="2" t="str">
        <f>'BAU Comparison - AJF'!A28</f>
        <v xml:space="preserve">Lake Tahoe </v>
      </c>
      <c r="C43" s="2" t="str">
        <f>'BAU Comparison - AJF'!B28</f>
        <v>tons/year</v>
      </c>
      <c r="D43" s="393">
        <f>'BAU Comparison - AJF'!C28</f>
        <v>0</v>
      </c>
      <c r="E43" s="60">
        <f>'BAU Comparison - AJF'!D28</f>
        <v>0</v>
      </c>
      <c r="F43" s="60">
        <f>'BAU Comparison - AJF'!E28</f>
        <v>0</v>
      </c>
      <c r="G43" s="60">
        <f>'BAU Comparison - AJF'!F28</f>
        <v>0</v>
      </c>
      <c r="H43" s="60">
        <f>'BAU Comparison - AJF'!G28</f>
        <v>0</v>
      </c>
      <c r="I43" s="60">
        <f>'BAU Comparison - AJF'!H28</f>
        <v>0</v>
      </c>
      <c r="J43" s="60">
        <f>'BAU Comparison - AJF'!I28</f>
        <v>0</v>
      </c>
      <c r="K43" s="60">
        <f>'BAU Comparison - AJF'!J28</f>
        <v>0</v>
      </c>
      <c r="L43" s="60">
        <f>'BAU Comparison - AJF'!K28</f>
        <v>0</v>
      </c>
      <c r="M43" s="60">
        <f>'BAU Comparison - AJF'!L28</f>
        <v>0</v>
      </c>
      <c r="N43" s="60">
        <f>'BAU Comparison - AJF'!M28</f>
        <v>0</v>
      </c>
      <c r="O43" s="60">
        <f>'BAU Comparison - AJF'!N28</f>
        <v>0</v>
      </c>
      <c r="P43" s="60">
        <f>'BAU Comparison - AJF'!O28</f>
        <v>0</v>
      </c>
      <c r="Q43" s="60">
        <f>'BAU Comparison - AJF'!P28</f>
        <v>0</v>
      </c>
      <c r="R43" s="60">
        <f>'BAU Comparison - AJF'!Q28</f>
        <v>0</v>
      </c>
      <c r="S43" s="60">
        <f>'BAU Comparison - AJF'!R28</f>
        <v>0</v>
      </c>
      <c r="T43" s="60">
        <f>'BAU Comparison - AJF'!S28</f>
        <v>0</v>
      </c>
      <c r="U43" s="60">
        <f>'BAU Comparison - AJF'!T28</f>
        <v>0</v>
      </c>
      <c r="V43" s="60">
        <f>'BAU Comparison - AJF'!U28</f>
        <v>0</v>
      </c>
      <c r="W43" s="60">
        <f>'BAU Comparison - AJF'!V28</f>
        <v>0</v>
      </c>
      <c r="X43" s="60">
        <f>'BAU Comparison - AJF'!W28</f>
        <v>0</v>
      </c>
      <c r="Y43" s="60">
        <f>'BAU Comparison - AJF'!X28</f>
        <v>0</v>
      </c>
      <c r="Z43" s="60">
        <f>'BAU Comparison - AJF'!Y28</f>
        <v>0</v>
      </c>
      <c r="AA43" s="60">
        <f>'BAU Comparison - AJF'!Z28</f>
        <v>0</v>
      </c>
      <c r="AB43" s="61">
        <f>'BAU Comparison - AJF'!AA28</f>
        <v>0</v>
      </c>
      <c r="AC43" s="59"/>
    </row>
    <row r="44" spans="1:29" ht="15" customHeight="1">
      <c r="A44" s="520"/>
      <c r="B44" s="2" t="str">
        <f>'BAU Comparison - AJF'!A29</f>
        <v>Mojave Desert</v>
      </c>
      <c r="C44" s="2" t="str">
        <f>'BAU Comparison - AJF'!B29</f>
        <v>tons/year</v>
      </c>
      <c r="D44" s="393">
        <f>'BAU Comparison - AJF'!C29</f>
        <v>0</v>
      </c>
      <c r="E44" s="60">
        <f>'BAU Comparison - AJF'!D29</f>
        <v>0</v>
      </c>
      <c r="F44" s="60">
        <f>'BAU Comparison - AJF'!E29</f>
        <v>0</v>
      </c>
      <c r="G44" s="60">
        <f>'BAU Comparison - AJF'!F29</f>
        <v>0</v>
      </c>
      <c r="H44" s="60">
        <f>'BAU Comparison - AJF'!G29</f>
        <v>0</v>
      </c>
      <c r="I44" s="60">
        <f>'BAU Comparison - AJF'!H29</f>
        <v>0</v>
      </c>
      <c r="J44" s="60">
        <f>'BAU Comparison - AJF'!I29</f>
        <v>0</v>
      </c>
      <c r="K44" s="60">
        <f>'BAU Comparison - AJF'!J29</f>
        <v>0</v>
      </c>
      <c r="L44" s="60">
        <f>'BAU Comparison - AJF'!K29</f>
        <v>0</v>
      </c>
      <c r="M44" s="60">
        <f>'BAU Comparison - AJF'!L29</f>
        <v>0</v>
      </c>
      <c r="N44" s="60">
        <f>'BAU Comparison - AJF'!M29</f>
        <v>0</v>
      </c>
      <c r="O44" s="60">
        <f>'BAU Comparison - AJF'!N29</f>
        <v>0</v>
      </c>
      <c r="P44" s="60">
        <f>'BAU Comparison - AJF'!O29</f>
        <v>0</v>
      </c>
      <c r="Q44" s="60">
        <f>'BAU Comparison - AJF'!P29</f>
        <v>0</v>
      </c>
      <c r="R44" s="60">
        <f>'BAU Comparison - AJF'!Q29</f>
        <v>0</v>
      </c>
      <c r="S44" s="60">
        <f>'BAU Comparison - AJF'!R29</f>
        <v>0</v>
      </c>
      <c r="T44" s="60">
        <f>'BAU Comparison - AJF'!S29</f>
        <v>0</v>
      </c>
      <c r="U44" s="60">
        <f>'BAU Comparison - AJF'!T29</f>
        <v>0</v>
      </c>
      <c r="V44" s="60">
        <f>'BAU Comparison - AJF'!U29</f>
        <v>0</v>
      </c>
      <c r="W44" s="60">
        <f>'BAU Comparison - AJF'!V29</f>
        <v>0</v>
      </c>
      <c r="X44" s="60">
        <f>'BAU Comparison - AJF'!W29</f>
        <v>0</v>
      </c>
      <c r="Y44" s="60">
        <f>'BAU Comparison - AJF'!X29</f>
        <v>0</v>
      </c>
      <c r="Z44" s="60">
        <f>'BAU Comparison - AJF'!Y29</f>
        <v>0</v>
      </c>
      <c r="AA44" s="60">
        <f>'BAU Comparison - AJF'!Z29</f>
        <v>0</v>
      </c>
      <c r="AB44" s="61">
        <f>'BAU Comparison - AJF'!AA29</f>
        <v>0</v>
      </c>
      <c r="AC44" s="59"/>
    </row>
    <row r="45" spans="1:29" ht="15" customHeight="1">
      <c r="A45" s="520"/>
      <c r="B45" s="2" t="str">
        <f>'BAU Comparison - AJF'!A30</f>
        <v xml:space="preserve">Mountain Counties </v>
      </c>
      <c r="C45" s="2" t="str">
        <f>'BAU Comparison - AJF'!B30</f>
        <v>tons/year</v>
      </c>
      <c r="D45" s="393">
        <f>'BAU Comparison - AJF'!C30</f>
        <v>0</v>
      </c>
      <c r="E45" s="60">
        <f>'BAU Comparison - AJF'!D30</f>
        <v>0</v>
      </c>
      <c r="F45" s="60">
        <f>'BAU Comparison - AJF'!E30</f>
        <v>0</v>
      </c>
      <c r="G45" s="60">
        <f>'BAU Comparison - AJF'!F30</f>
        <v>0</v>
      </c>
      <c r="H45" s="60">
        <f>'BAU Comparison - AJF'!G30</f>
        <v>0</v>
      </c>
      <c r="I45" s="60">
        <f>'BAU Comparison - AJF'!H30</f>
        <v>0</v>
      </c>
      <c r="J45" s="60">
        <f>'BAU Comparison - AJF'!I30</f>
        <v>0</v>
      </c>
      <c r="K45" s="60">
        <f>'BAU Comparison - AJF'!J30</f>
        <v>0</v>
      </c>
      <c r="L45" s="60">
        <f>'BAU Comparison - AJF'!K30</f>
        <v>0</v>
      </c>
      <c r="M45" s="60">
        <f>'BAU Comparison - AJF'!L30</f>
        <v>0</v>
      </c>
      <c r="N45" s="60">
        <f>'BAU Comparison - AJF'!M30</f>
        <v>0</v>
      </c>
      <c r="O45" s="60">
        <f>'BAU Comparison - AJF'!N30</f>
        <v>0</v>
      </c>
      <c r="P45" s="60">
        <f>'BAU Comparison - AJF'!O30</f>
        <v>0</v>
      </c>
      <c r="Q45" s="60">
        <f>'BAU Comparison - AJF'!P30</f>
        <v>0</v>
      </c>
      <c r="R45" s="60">
        <f>'BAU Comparison - AJF'!Q30</f>
        <v>0</v>
      </c>
      <c r="S45" s="60">
        <f>'BAU Comparison - AJF'!R30</f>
        <v>0</v>
      </c>
      <c r="T45" s="60">
        <f>'BAU Comparison - AJF'!S30</f>
        <v>0</v>
      </c>
      <c r="U45" s="60">
        <f>'BAU Comparison - AJF'!T30</f>
        <v>0</v>
      </c>
      <c r="V45" s="60">
        <f>'BAU Comparison - AJF'!U30</f>
        <v>0</v>
      </c>
      <c r="W45" s="60">
        <f>'BAU Comparison - AJF'!V30</f>
        <v>0</v>
      </c>
      <c r="X45" s="60">
        <f>'BAU Comparison - AJF'!W30</f>
        <v>0</v>
      </c>
      <c r="Y45" s="60">
        <f>'BAU Comparison - AJF'!X30</f>
        <v>0</v>
      </c>
      <c r="Z45" s="60">
        <f>'BAU Comparison - AJF'!Y30</f>
        <v>0</v>
      </c>
      <c r="AA45" s="60">
        <f>'BAU Comparison - AJF'!Z30</f>
        <v>0</v>
      </c>
      <c r="AB45" s="61">
        <f>'BAU Comparison - AJF'!AA30</f>
        <v>0</v>
      </c>
      <c r="AC45" s="59"/>
    </row>
    <row r="46" spans="1:29" ht="15" customHeight="1">
      <c r="A46" s="520"/>
      <c r="B46" s="2" t="str">
        <f>'BAU Comparison - AJF'!A31</f>
        <v>North Central coast</v>
      </c>
      <c r="C46" s="2" t="str">
        <f>'BAU Comparison - AJF'!B31</f>
        <v>tons/year</v>
      </c>
      <c r="D46" s="393">
        <f>'BAU Comparison - AJF'!C31</f>
        <v>0</v>
      </c>
      <c r="E46" s="60">
        <f>'BAU Comparison - AJF'!D31</f>
        <v>0</v>
      </c>
      <c r="F46" s="60">
        <f>'BAU Comparison - AJF'!E31</f>
        <v>0</v>
      </c>
      <c r="G46" s="60">
        <f>'BAU Comparison - AJF'!F31</f>
        <v>0</v>
      </c>
      <c r="H46" s="60">
        <f>'BAU Comparison - AJF'!G31</f>
        <v>0</v>
      </c>
      <c r="I46" s="60">
        <f>'BAU Comparison - AJF'!H31</f>
        <v>0</v>
      </c>
      <c r="J46" s="60">
        <f>'BAU Comparison - AJF'!I31</f>
        <v>0</v>
      </c>
      <c r="K46" s="60">
        <f>'BAU Comparison - AJF'!J31</f>
        <v>0</v>
      </c>
      <c r="L46" s="60">
        <f>'BAU Comparison - AJF'!K31</f>
        <v>0</v>
      </c>
      <c r="M46" s="60">
        <f>'BAU Comparison - AJF'!L31</f>
        <v>0</v>
      </c>
      <c r="N46" s="60">
        <f>'BAU Comparison - AJF'!M31</f>
        <v>0</v>
      </c>
      <c r="O46" s="60">
        <f>'BAU Comparison - AJF'!N31</f>
        <v>0</v>
      </c>
      <c r="P46" s="60">
        <f>'BAU Comparison - AJF'!O31</f>
        <v>0</v>
      </c>
      <c r="Q46" s="60">
        <f>'BAU Comparison - AJF'!P31</f>
        <v>0</v>
      </c>
      <c r="R46" s="60">
        <f>'BAU Comparison - AJF'!Q31</f>
        <v>0</v>
      </c>
      <c r="S46" s="60">
        <f>'BAU Comparison - AJF'!R31</f>
        <v>0</v>
      </c>
      <c r="T46" s="60">
        <f>'BAU Comparison - AJF'!S31</f>
        <v>0</v>
      </c>
      <c r="U46" s="60">
        <f>'BAU Comparison - AJF'!T31</f>
        <v>0</v>
      </c>
      <c r="V46" s="60">
        <f>'BAU Comparison - AJF'!U31</f>
        <v>0</v>
      </c>
      <c r="W46" s="60">
        <f>'BAU Comparison - AJF'!V31</f>
        <v>0</v>
      </c>
      <c r="X46" s="60">
        <f>'BAU Comparison - AJF'!W31</f>
        <v>0</v>
      </c>
      <c r="Y46" s="60">
        <f>'BAU Comparison - AJF'!X31</f>
        <v>0</v>
      </c>
      <c r="Z46" s="60">
        <f>'BAU Comparison - AJF'!Y31</f>
        <v>0</v>
      </c>
      <c r="AA46" s="60">
        <f>'BAU Comparison - AJF'!Z31</f>
        <v>0</v>
      </c>
      <c r="AB46" s="61">
        <f>'BAU Comparison - AJF'!AA31</f>
        <v>0</v>
      </c>
      <c r="AC46" s="59"/>
    </row>
    <row r="47" spans="1:29" ht="15" customHeight="1">
      <c r="A47" s="520"/>
      <c r="B47" s="2" t="str">
        <f>'BAU Comparison - AJF'!A32</f>
        <v>North Coast</v>
      </c>
      <c r="C47" s="2" t="str">
        <f>'BAU Comparison - AJF'!B32</f>
        <v>tons/year</v>
      </c>
      <c r="D47" s="393">
        <f>'BAU Comparison - AJF'!C32</f>
        <v>0</v>
      </c>
      <c r="E47" s="60">
        <f>'BAU Comparison - AJF'!D32</f>
        <v>0</v>
      </c>
      <c r="F47" s="60">
        <f>'BAU Comparison - AJF'!E32</f>
        <v>0</v>
      </c>
      <c r="G47" s="60">
        <f>'BAU Comparison - AJF'!F32</f>
        <v>0</v>
      </c>
      <c r="H47" s="60">
        <f>'BAU Comparison - AJF'!G32</f>
        <v>0</v>
      </c>
      <c r="I47" s="60">
        <f>'BAU Comparison - AJF'!H32</f>
        <v>0</v>
      </c>
      <c r="J47" s="60">
        <f>'BAU Comparison - AJF'!I32</f>
        <v>0</v>
      </c>
      <c r="K47" s="60">
        <f>'BAU Comparison - AJF'!J32</f>
        <v>0</v>
      </c>
      <c r="L47" s="60">
        <f>'BAU Comparison - AJF'!K32</f>
        <v>0</v>
      </c>
      <c r="M47" s="60">
        <f>'BAU Comparison - AJF'!L32</f>
        <v>0</v>
      </c>
      <c r="N47" s="60">
        <f>'BAU Comparison - AJF'!M32</f>
        <v>0</v>
      </c>
      <c r="O47" s="60">
        <f>'BAU Comparison - AJF'!N32</f>
        <v>0</v>
      </c>
      <c r="P47" s="60">
        <f>'BAU Comparison - AJF'!O32</f>
        <v>0</v>
      </c>
      <c r="Q47" s="60">
        <f>'BAU Comparison - AJF'!P32</f>
        <v>0</v>
      </c>
      <c r="R47" s="60">
        <f>'BAU Comparison - AJF'!Q32</f>
        <v>0</v>
      </c>
      <c r="S47" s="60">
        <f>'BAU Comparison - AJF'!R32</f>
        <v>0</v>
      </c>
      <c r="T47" s="60">
        <f>'BAU Comparison - AJF'!S32</f>
        <v>0</v>
      </c>
      <c r="U47" s="60">
        <f>'BAU Comparison - AJF'!T32</f>
        <v>0</v>
      </c>
      <c r="V47" s="60">
        <f>'BAU Comparison - AJF'!U32</f>
        <v>0</v>
      </c>
      <c r="W47" s="60">
        <f>'BAU Comparison - AJF'!V32</f>
        <v>0</v>
      </c>
      <c r="X47" s="60">
        <f>'BAU Comparison - AJF'!W32</f>
        <v>0</v>
      </c>
      <c r="Y47" s="60">
        <f>'BAU Comparison - AJF'!X32</f>
        <v>0</v>
      </c>
      <c r="Z47" s="60">
        <f>'BAU Comparison - AJF'!Y32</f>
        <v>0</v>
      </c>
      <c r="AA47" s="60">
        <f>'BAU Comparison - AJF'!Z32</f>
        <v>0</v>
      </c>
      <c r="AB47" s="61">
        <f>'BAU Comparison - AJF'!AA32</f>
        <v>0</v>
      </c>
      <c r="AC47" s="59"/>
    </row>
    <row r="48" spans="1:29" ht="15" customHeight="1">
      <c r="A48" s="520"/>
      <c r="B48" s="2" t="str">
        <f>'BAU Comparison - AJF'!A33</f>
        <v>Northeast Plateau</v>
      </c>
      <c r="C48" s="2" t="str">
        <f>'BAU Comparison - AJF'!B33</f>
        <v>tons/year</v>
      </c>
      <c r="D48" s="393">
        <f>'BAU Comparison - AJF'!C33</f>
        <v>0</v>
      </c>
      <c r="E48" s="60">
        <f>'BAU Comparison - AJF'!D33</f>
        <v>0</v>
      </c>
      <c r="F48" s="60">
        <f>'BAU Comparison - AJF'!E33</f>
        <v>0</v>
      </c>
      <c r="G48" s="60">
        <f>'BAU Comparison - AJF'!F33</f>
        <v>0</v>
      </c>
      <c r="H48" s="60">
        <f>'BAU Comparison - AJF'!G33</f>
        <v>0</v>
      </c>
      <c r="I48" s="60">
        <f>'BAU Comparison - AJF'!H33</f>
        <v>0</v>
      </c>
      <c r="J48" s="60">
        <f>'BAU Comparison - AJF'!I33</f>
        <v>0</v>
      </c>
      <c r="K48" s="60">
        <f>'BAU Comparison - AJF'!J33</f>
        <v>0</v>
      </c>
      <c r="L48" s="60">
        <f>'BAU Comparison - AJF'!K33</f>
        <v>0</v>
      </c>
      <c r="M48" s="60">
        <f>'BAU Comparison - AJF'!L33</f>
        <v>0</v>
      </c>
      <c r="N48" s="60">
        <f>'BAU Comparison - AJF'!M33</f>
        <v>0</v>
      </c>
      <c r="O48" s="60">
        <f>'BAU Comparison - AJF'!N33</f>
        <v>0</v>
      </c>
      <c r="P48" s="60">
        <f>'BAU Comparison - AJF'!O33</f>
        <v>0</v>
      </c>
      <c r="Q48" s="60">
        <f>'BAU Comparison - AJF'!P33</f>
        <v>0</v>
      </c>
      <c r="R48" s="60">
        <f>'BAU Comparison - AJF'!Q33</f>
        <v>0</v>
      </c>
      <c r="S48" s="60">
        <f>'BAU Comparison - AJF'!R33</f>
        <v>0</v>
      </c>
      <c r="T48" s="60">
        <f>'BAU Comparison - AJF'!S33</f>
        <v>0</v>
      </c>
      <c r="U48" s="60">
        <f>'BAU Comparison - AJF'!T33</f>
        <v>0</v>
      </c>
      <c r="V48" s="60">
        <f>'BAU Comparison - AJF'!U33</f>
        <v>0</v>
      </c>
      <c r="W48" s="60">
        <f>'BAU Comparison - AJF'!V33</f>
        <v>0</v>
      </c>
      <c r="X48" s="60">
        <f>'BAU Comparison - AJF'!W33</f>
        <v>0</v>
      </c>
      <c r="Y48" s="60">
        <f>'BAU Comparison - AJF'!X33</f>
        <v>0</v>
      </c>
      <c r="Z48" s="60">
        <f>'BAU Comparison - AJF'!Y33</f>
        <v>0</v>
      </c>
      <c r="AA48" s="60">
        <f>'BAU Comparison - AJF'!Z33</f>
        <v>0</v>
      </c>
      <c r="AB48" s="61">
        <f>'BAU Comparison - AJF'!AA33</f>
        <v>0</v>
      </c>
      <c r="AC48" s="59"/>
    </row>
    <row r="49" spans="1:29" ht="15" customHeight="1">
      <c r="A49" s="520"/>
      <c r="B49" s="2" t="str">
        <f>'BAU Comparison - AJF'!A34</f>
        <v xml:space="preserve">Sacramento Valley </v>
      </c>
      <c r="C49" s="2" t="str">
        <f>'BAU Comparison - AJF'!B34</f>
        <v>tons/year</v>
      </c>
      <c r="D49" s="393">
        <f>'BAU Comparison - AJF'!C34</f>
        <v>0</v>
      </c>
      <c r="E49" s="60">
        <f>'BAU Comparison - AJF'!D34</f>
        <v>0</v>
      </c>
      <c r="F49" s="60">
        <f>'BAU Comparison - AJF'!E34</f>
        <v>0</v>
      </c>
      <c r="G49" s="60">
        <f>'BAU Comparison - AJF'!F34</f>
        <v>0</v>
      </c>
      <c r="H49" s="60">
        <f>'BAU Comparison - AJF'!G34</f>
        <v>0</v>
      </c>
      <c r="I49" s="60">
        <f>'BAU Comparison - AJF'!H34</f>
        <v>0</v>
      </c>
      <c r="J49" s="60">
        <f>'BAU Comparison - AJF'!I34</f>
        <v>0</v>
      </c>
      <c r="K49" s="60">
        <f>'BAU Comparison - AJF'!J34</f>
        <v>0</v>
      </c>
      <c r="L49" s="60">
        <f>'BAU Comparison - AJF'!K34</f>
        <v>0</v>
      </c>
      <c r="M49" s="60">
        <f>'BAU Comparison - AJF'!L34</f>
        <v>0</v>
      </c>
      <c r="N49" s="60">
        <f>'BAU Comparison - AJF'!M34</f>
        <v>0</v>
      </c>
      <c r="O49" s="60">
        <f>'BAU Comparison - AJF'!N34</f>
        <v>0</v>
      </c>
      <c r="P49" s="60">
        <f>'BAU Comparison - AJF'!O34</f>
        <v>0</v>
      </c>
      <c r="Q49" s="60">
        <f>'BAU Comparison - AJF'!P34</f>
        <v>0</v>
      </c>
      <c r="R49" s="60">
        <f>'BAU Comparison - AJF'!Q34</f>
        <v>0</v>
      </c>
      <c r="S49" s="60">
        <f>'BAU Comparison - AJF'!R34</f>
        <v>0</v>
      </c>
      <c r="T49" s="60">
        <f>'BAU Comparison - AJF'!S34</f>
        <v>0</v>
      </c>
      <c r="U49" s="60">
        <f>'BAU Comparison - AJF'!T34</f>
        <v>0</v>
      </c>
      <c r="V49" s="60">
        <f>'BAU Comparison - AJF'!U34</f>
        <v>0</v>
      </c>
      <c r="W49" s="60">
        <f>'BAU Comparison - AJF'!V34</f>
        <v>0</v>
      </c>
      <c r="X49" s="60">
        <f>'BAU Comparison - AJF'!W34</f>
        <v>0</v>
      </c>
      <c r="Y49" s="60">
        <f>'BAU Comparison - AJF'!X34</f>
        <v>0</v>
      </c>
      <c r="Z49" s="60">
        <f>'BAU Comparison - AJF'!Y34</f>
        <v>0</v>
      </c>
      <c r="AA49" s="60">
        <f>'BAU Comparison - AJF'!Z34</f>
        <v>0</v>
      </c>
      <c r="AB49" s="61">
        <f>'BAU Comparison - AJF'!AA34</f>
        <v>0</v>
      </c>
      <c r="AC49" s="59"/>
    </row>
    <row r="50" spans="1:29" ht="15" customHeight="1">
      <c r="A50" s="520"/>
      <c r="B50" s="2" t="str">
        <f>'BAU Comparison - AJF'!A35</f>
        <v>Salton Sea</v>
      </c>
      <c r="C50" s="2" t="str">
        <f>'BAU Comparison - AJF'!B35</f>
        <v>tons/year</v>
      </c>
      <c r="D50" s="393">
        <f>'BAU Comparison - AJF'!C35</f>
        <v>0</v>
      </c>
      <c r="E50" s="60">
        <f>'BAU Comparison - AJF'!D35</f>
        <v>0</v>
      </c>
      <c r="F50" s="60">
        <f>'BAU Comparison - AJF'!E35</f>
        <v>0</v>
      </c>
      <c r="G50" s="60">
        <f>'BAU Comparison - AJF'!F35</f>
        <v>0</v>
      </c>
      <c r="H50" s="60">
        <f>'BAU Comparison - AJF'!G35</f>
        <v>0</v>
      </c>
      <c r="I50" s="60">
        <f>'BAU Comparison - AJF'!H35</f>
        <v>0</v>
      </c>
      <c r="J50" s="60">
        <f>'BAU Comparison - AJF'!I35</f>
        <v>0</v>
      </c>
      <c r="K50" s="60">
        <f>'BAU Comparison - AJF'!J35</f>
        <v>0</v>
      </c>
      <c r="L50" s="60">
        <f>'BAU Comparison - AJF'!K35</f>
        <v>0</v>
      </c>
      <c r="M50" s="60">
        <f>'BAU Comparison - AJF'!L35</f>
        <v>0</v>
      </c>
      <c r="N50" s="60">
        <f>'BAU Comparison - AJF'!M35</f>
        <v>0</v>
      </c>
      <c r="O50" s="60">
        <f>'BAU Comparison - AJF'!N35</f>
        <v>0</v>
      </c>
      <c r="P50" s="60">
        <f>'BAU Comparison - AJF'!O35</f>
        <v>0</v>
      </c>
      <c r="Q50" s="60">
        <f>'BAU Comparison - AJF'!P35</f>
        <v>0</v>
      </c>
      <c r="R50" s="60">
        <f>'BAU Comparison - AJF'!Q35</f>
        <v>0</v>
      </c>
      <c r="S50" s="60">
        <f>'BAU Comparison - AJF'!R35</f>
        <v>0</v>
      </c>
      <c r="T50" s="60">
        <f>'BAU Comparison - AJF'!S35</f>
        <v>0</v>
      </c>
      <c r="U50" s="60">
        <f>'BAU Comparison - AJF'!T35</f>
        <v>0</v>
      </c>
      <c r="V50" s="60">
        <f>'BAU Comparison - AJF'!U35</f>
        <v>0</v>
      </c>
      <c r="W50" s="60">
        <f>'BAU Comparison - AJF'!V35</f>
        <v>0</v>
      </c>
      <c r="X50" s="60">
        <f>'BAU Comparison - AJF'!W35</f>
        <v>0</v>
      </c>
      <c r="Y50" s="60">
        <f>'BAU Comparison - AJF'!X35</f>
        <v>0</v>
      </c>
      <c r="Z50" s="60">
        <f>'BAU Comparison - AJF'!Y35</f>
        <v>0</v>
      </c>
      <c r="AA50" s="60">
        <f>'BAU Comparison - AJF'!Z35</f>
        <v>0</v>
      </c>
      <c r="AB50" s="61">
        <f>'BAU Comparison - AJF'!AA35</f>
        <v>0</v>
      </c>
      <c r="AC50" s="59"/>
    </row>
    <row r="51" spans="1:29" ht="15" customHeight="1">
      <c r="A51" s="520"/>
      <c r="B51" s="2" t="str">
        <f>'BAU Comparison - AJF'!A36</f>
        <v xml:space="preserve">San Diego </v>
      </c>
      <c r="C51" s="2" t="str">
        <f>'BAU Comparison - AJF'!B36</f>
        <v>tons/year</v>
      </c>
      <c r="D51" s="393">
        <f>'BAU Comparison - AJF'!C36</f>
        <v>0</v>
      </c>
      <c r="E51" s="60">
        <f>'BAU Comparison - AJF'!D36</f>
        <v>0</v>
      </c>
      <c r="F51" s="60">
        <f>'BAU Comparison - AJF'!E36</f>
        <v>0</v>
      </c>
      <c r="G51" s="60">
        <f>'BAU Comparison - AJF'!F36</f>
        <v>0</v>
      </c>
      <c r="H51" s="60">
        <f>'BAU Comparison - AJF'!G36</f>
        <v>0</v>
      </c>
      <c r="I51" s="60">
        <f>'BAU Comparison - AJF'!H36</f>
        <v>0</v>
      </c>
      <c r="J51" s="60">
        <f>'BAU Comparison - AJF'!I36</f>
        <v>0</v>
      </c>
      <c r="K51" s="60">
        <f>'BAU Comparison - AJF'!J36</f>
        <v>0</v>
      </c>
      <c r="L51" s="60">
        <f>'BAU Comparison - AJF'!K36</f>
        <v>0</v>
      </c>
      <c r="M51" s="60">
        <f>'BAU Comparison - AJF'!L36</f>
        <v>0</v>
      </c>
      <c r="N51" s="60">
        <f>'BAU Comparison - AJF'!M36</f>
        <v>0</v>
      </c>
      <c r="O51" s="60">
        <f>'BAU Comparison - AJF'!N36</f>
        <v>0</v>
      </c>
      <c r="P51" s="60">
        <f>'BAU Comparison - AJF'!O36</f>
        <v>0</v>
      </c>
      <c r="Q51" s="60">
        <f>'BAU Comparison - AJF'!P36</f>
        <v>0</v>
      </c>
      <c r="R51" s="60">
        <f>'BAU Comparison - AJF'!Q36</f>
        <v>0</v>
      </c>
      <c r="S51" s="60">
        <f>'BAU Comparison - AJF'!R36</f>
        <v>0</v>
      </c>
      <c r="T51" s="60">
        <f>'BAU Comparison - AJF'!S36</f>
        <v>0</v>
      </c>
      <c r="U51" s="60">
        <f>'BAU Comparison - AJF'!T36</f>
        <v>0</v>
      </c>
      <c r="V51" s="60">
        <f>'BAU Comparison - AJF'!U36</f>
        <v>0</v>
      </c>
      <c r="W51" s="60">
        <f>'BAU Comparison - AJF'!V36</f>
        <v>0</v>
      </c>
      <c r="X51" s="60">
        <f>'BAU Comparison - AJF'!W36</f>
        <v>0</v>
      </c>
      <c r="Y51" s="60">
        <f>'BAU Comparison - AJF'!X36</f>
        <v>0</v>
      </c>
      <c r="Z51" s="60">
        <f>'BAU Comparison - AJF'!Y36</f>
        <v>0</v>
      </c>
      <c r="AA51" s="60">
        <f>'BAU Comparison - AJF'!Z36</f>
        <v>0</v>
      </c>
      <c r="AB51" s="61">
        <f>'BAU Comparison - AJF'!AA36</f>
        <v>0</v>
      </c>
      <c r="AC51" s="59"/>
    </row>
    <row r="52" spans="1:29" ht="15" customHeight="1">
      <c r="A52" s="520"/>
      <c r="B52" s="2" t="str">
        <f>'BAU Comparison - AJF'!A37</f>
        <v>San Franscisco Bay Area</v>
      </c>
      <c r="C52" s="2" t="str">
        <f>'BAU Comparison - AJF'!B37</f>
        <v>tons/year</v>
      </c>
      <c r="D52" s="393">
        <f>'BAU Comparison - AJF'!C37</f>
        <v>0</v>
      </c>
      <c r="E52" s="60">
        <f>'BAU Comparison - AJF'!D37</f>
        <v>0</v>
      </c>
      <c r="F52" s="60">
        <f>'BAU Comparison - AJF'!E37</f>
        <v>0</v>
      </c>
      <c r="G52" s="60">
        <f>'BAU Comparison - AJF'!F37</f>
        <v>0</v>
      </c>
      <c r="H52" s="60">
        <f>'BAU Comparison - AJF'!G37</f>
        <v>0</v>
      </c>
      <c r="I52" s="60">
        <f>'BAU Comparison - AJF'!H37</f>
        <v>0</v>
      </c>
      <c r="J52" s="60">
        <f>'BAU Comparison - AJF'!I37</f>
        <v>0</v>
      </c>
      <c r="K52" s="60">
        <f>'BAU Comparison - AJF'!J37</f>
        <v>0</v>
      </c>
      <c r="L52" s="60">
        <f>'BAU Comparison - AJF'!K37</f>
        <v>0</v>
      </c>
      <c r="M52" s="60">
        <f>'BAU Comparison - AJF'!L37</f>
        <v>0</v>
      </c>
      <c r="N52" s="60">
        <f>'BAU Comparison - AJF'!M37</f>
        <v>0</v>
      </c>
      <c r="O52" s="60">
        <f>'BAU Comparison - AJF'!N37</f>
        <v>0</v>
      </c>
      <c r="P52" s="60">
        <f>'BAU Comparison - AJF'!O37</f>
        <v>0</v>
      </c>
      <c r="Q52" s="60">
        <f>'BAU Comparison - AJF'!P37</f>
        <v>0</v>
      </c>
      <c r="R52" s="60">
        <f>'BAU Comparison - AJF'!Q37</f>
        <v>0</v>
      </c>
      <c r="S52" s="60">
        <f>'BAU Comparison - AJF'!R37</f>
        <v>0</v>
      </c>
      <c r="T52" s="60">
        <f>'BAU Comparison - AJF'!S37</f>
        <v>0</v>
      </c>
      <c r="U52" s="60">
        <f>'BAU Comparison - AJF'!T37</f>
        <v>0</v>
      </c>
      <c r="V52" s="60">
        <f>'BAU Comparison - AJF'!U37</f>
        <v>0</v>
      </c>
      <c r="W52" s="60">
        <f>'BAU Comparison - AJF'!V37</f>
        <v>0</v>
      </c>
      <c r="X52" s="60">
        <f>'BAU Comparison - AJF'!W37</f>
        <v>0</v>
      </c>
      <c r="Y52" s="60">
        <f>'BAU Comparison - AJF'!X37</f>
        <v>0</v>
      </c>
      <c r="Z52" s="60">
        <f>'BAU Comparison - AJF'!Y37</f>
        <v>0</v>
      </c>
      <c r="AA52" s="60">
        <f>'BAU Comparison - AJF'!Z37</f>
        <v>0</v>
      </c>
      <c r="AB52" s="61">
        <f>'BAU Comparison - AJF'!AA37</f>
        <v>0</v>
      </c>
      <c r="AC52" s="59"/>
    </row>
    <row r="53" spans="1:29" ht="15" customHeight="1">
      <c r="A53" s="520"/>
      <c r="B53" s="2" t="str">
        <f>'BAU Comparison - AJF'!A38</f>
        <v xml:space="preserve">San Joaquin Valley </v>
      </c>
      <c r="C53" s="2" t="str">
        <f>'BAU Comparison - AJF'!B38</f>
        <v>tons/year</v>
      </c>
      <c r="D53" s="393">
        <f>'BAU Comparison - AJF'!C38</f>
        <v>0</v>
      </c>
      <c r="E53" s="60">
        <f>'BAU Comparison - AJF'!D38</f>
        <v>0</v>
      </c>
      <c r="F53" s="60">
        <f>'BAU Comparison - AJF'!E38</f>
        <v>0</v>
      </c>
      <c r="G53" s="60">
        <f>'BAU Comparison - AJF'!F38</f>
        <v>0</v>
      </c>
      <c r="H53" s="60">
        <f>'BAU Comparison - AJF'!G38</f>
        <v>0</v>
      </c>
      <c r="I53" s="60">
        <f>'BAU Comparison - AJF'!H38</f>
        <v>0</v>
      </c>
      <c r="J53" s="60">
        <f>'BAU Comparison - AJF'!I38</f>
        <v>0</v>
      </c>
      <c r="K53" s="60">
        <f>'BAU Comparison - AJF'!J38</f>
        <v>0</v>
      </c>
      <c r="L53" s="60">
        <f>'BAU Comparison - AJF'!K38</f>
        <v>0</v>
      </c>
      <c r="M53" s="60">
        <f>'BAU Comparison - AJF'!L38</f>
        <v>0</v>
      </c>
      <c r="N53" s="60">
        <f>'BAU Comparison - AJF'!M38</f>
        <v>0</v>
      </c>
      <c r="O53" s="60">
        <f>'BAU Comparison - AJF'!N38</f>
        <v>0</v>
      </c>
      <c r="P53" s="60">
        <f>'BAU Comparison - AJF'!O38</f>
        <v>0</v>
      </c>
      <c r="Q53" s="60">
        <f>'BAU Comparison - AJF'!P38</f>
        <v>0</v>
      </c>
      <c r="R53" s="60">
        <f>'BAU Comparison - AJF'!Q38</f>
        <v>0</v>
      </c>
      <c r="S53" s="60">
        <f>'BAU Comparison - AJF'!R38</f>
        <v>0</v>
      </c>
      <c r="T53" s="60">
        <f>'BAU Comparison - AJF'!S38</f>
        <v>0</v>
      </c>
      <c r="U53" s="60">
        <f>'BAU Comparison - AJF'!T38</f>
        <v>0</v>
      </c>
      <c r="V53" s="60">
        <f>'BAU Comparison - AJF'!U38</f>
        <v>0</v>
      </c>
      <c r="W53" s="60">
        <f>'BAU Comparison - AJF'!V38</f>
        <v>0</v>
      </c>
      <c r="X53" s="60">
        <f>'BAU Comparison - AJF'!W38</f>
        <v>0</v>
      </c>
      <c r="Y53" s="60">
        <f>'BAU Comparison - AJF'!X38</f>
        <v>0</v>
      </c>
      <c r="Z53" s="60">
        <f>'BAU Comparison - AJF'!Y38</f>
        <v>0</v>
      </c>
      <c r="AA53" s="60">
        <f>'BAU Comparison - AJF'!Z38</f>
        <v>0</v>
      </c>
      <c r="AB53" s="61">
        <f>'BAU Comparison - AJF'!AA38</f>
        <v>0</v>
      </c>
      <c r="AC53" s="59"/>
    </row>
    <row r="54" spans="1:29" ht="15" customHeight="1">
      <c r="A54" s="520"/>
      <c r="B54" s="2" t="str">
        <f>'BAU Comparison - AJF'!A39</f>
        <v>South Central Coast</v>
      </c>
      <c r="C54" s="2" t="str">
        <f>'BAU Comparison - AJF'!B39</f>
        <v>tons/year</v>
      </c>
      <c r="D54" s="393">
        <f>'BAU Comparison - AJF'!C39</f>
        <v>0</v>
      </c>
      <c r="E54" s="60">
        <f>'BAU Comparison - AJF'!D39</f>
        <v>0</v>
      </c>
      <c r="F54" s="60">
        <f>'BAU Comparison - AJF'!E39</f>
        <v>0</v>
      </c>
      <c r="G54" s="60">
        <f>'BAU Comparison - AJF'!F39</f>
        <v>0</v>
      </c>
      <c r="H54" s="60">
        <f>'BAU Comparison - AJF'!G39</f>
        <v>0</v>
      </c>
      <c r="I54" s="60">
        <f>'BAU Comparison - AJF'!H39</f>
        <v>0</v>
      </c>
      <c r="J54" s="60">
        <f>'BAU Comparison - AJF'!I39</f>
        <v>0</v>
      </c>
      <c r="K54" s="60">
        <f>'BAU Comparison - AJF'!J39</f>
        <v>0</v>
      </c>
      <c r="L54" s="60">
        <f>'BAU Comparison - AJF'!K39</f>
        <v>0</v>
      </c>
      <c r="M54" s="60">
        <f>'BAU Comparison - AJF'!L39</f>
        <v>0</v>
      </c>
      <c r="N54" s="60">
        <f>'BAU Comparison - AJF'!M39</f>
        <v>0</v>
      </c>
      <c r="O54" s="60">
        <f>'BAU Comparison - AJF'!N39</f>
        <v>0</v>
      </c>
      <c r="P54" s="60">
        <f>'BAU Comparison - AJF'!O39</f>
        <v>0</v>
      </c>
      <c r="Q54" s="60">
        <f>'BAU Comparison - AJF'!P39</f>
        <v>0</v>
      </c>
      <c r="R54" s="60">
        <f>'BAU Comparison - AJF'!Q39</f>
        <v>0</v>
      </c>
      <c r="S54" s="60">
        <f>'BAU Comparison - AJF'!R39</f>
        <v>0</v>
      </c>
      <c r="T54" s="60">
        <f>'BAU Comparison - AJF'!S39</f>
        <v>0</v>
      </c>
      <c r="U54" s="60">
        <f>'BAU Comparison - AJF'!T39</f>
        <v>0</v>
      </c>
      <c r="V54" s="60">
        <f>'BAU Comparison - AJF'!U39</f>
        <v>0</v>
      </c>
      <c r="W54" s="60">
        <f>'BAU Comparison - AJF'!V39</f>
        <v>0</v>
      </c>
      <c r="X54" s="60">
        <f>'BAU Comparison - AJF'!W39</f>
        <v>0</v>
      </c>
      <c r="Y54" s="60">
        <f>'BAU Comparison - AJF'!X39</f>
        <v>0</v>
      </c>
      <c r="Z54" s="60">
        <f>'BAU Comparison - AJF'!Y39</f>
        <v>0</v>
      </c>
      <c r="AA54" s="60">
        <f>'BAU Comparison - AJF'!Z39</f>
        <v>0</v>
      </c>
      <c r="AB54" s="61">
        <f>'BAU Comparison - AJF'!AA39</f>
        <v>0</v>
      </c>
      <c r="AC54" s="59"/>
    </row>
    <row r="55" spans="1:29" ht="15" customHeight="1">
      <c r="A55" s="520"/>
      <c r="B55" s="2" t="str">
        <f>'BAU Comparison - AJF'!A40</f>
        <v>South Coast</v>
      </c>
      <c r="C55" s="2" t="str">
        <f>'BAU Comparison - AJF'!B40</f>
        <v>tons/year</v>
      </c>
      <c r="D55" s="394">
        <f>'BAU Comparison - AJF'!C40</f>
        <v>0</v>
      </c>
      <c r="E55" s="64">
        <f>'BAU Comparison - AJF'!D40</f>
        <v>0</v>
      </c>
      <c r="F55" s="64">
        <f>'BAU Comparison - AJF'!E40</f>
        <v>0</v>
      </c>
      <c r="G55" s="64">
        <f>'BAU Comparison - AJF'!F40</f>
        <v>0</v>
      </c>
      <c r="H55" s="64">
        <f>'BAU Comparison - AJF'!G40</f>
        <v>0</v>
      </c>
      <c r="I55" s="64">
        <f>'BAU Comparison - AJF'!H40</f>
        <v>0</v>
      </c>
      <c r="J55" s="64">
        <f>'BAU Comparison - AJF'!I40</f>
        <v>0</v>
      </c>
      <c r="K55" s="64">
        <f>'BAU Comparison - AJF'!J40</f>
        <v>0</v>
      </c>
      <c r="L55" s="64">
        <f>'BAU Comparison - AJF'!K40</f>
        <v>0</v>
      </c>
      <c r="M55" s="64">
        <f>'BAU Comparison - AJF'!L40</f>
        <v>0</v>
      </c>
      <c r="N55" s="64">
        <f>'BAU Comparison - AJF'!M40</f>
        <v>0</v>
      </c>
      <c r="O55" s="64">
        <f>'BAU Comparison - AJF'!N40</f>
        <v>0</v>
      </c>
      <c r="P55" s="64">
        <f>'BAU Comparison - AJF'!O40</f>
        <v>0</v>
      </c>
      <c r="Q55" s="64">
        <f>'BAU Comparison - AJF'!P40</f>
        <v>0</v>
      </c>
      <c r="R55" s="64">
        <f>'BAU Comparison - AJF'!Q40</f>
        <v>0</v>
      </c>
      <c r="S55" s="64">
        <f>'BAU Comparison - AJF'!R40</f>
        <v>0</v>
      </c>
      <c r="T55" s="64">
        <f>'BAU Comparison - AJF'!S40</f>
        <v>0</v>
      </c>
      <c r="U55" s="64">
        <f>'BAU Comparison - AJF'!T40</f>
        <v>0</v>
      </c>
      <c r="V55" s="64">
        <f>'BAU Comparison - AJF'!U40</f>
        <v>0</v>
      </c>
      <c r="W55" s="64">
        <f>'BAU Comparison - AJF'!V40</f>
        <v>0</v>
      </c>
      <c r="X55" s="64">
        <f>'BAU Comparison - AJF'!W40</f>
        <v>0</v>
      </c>
      <c r="Y55" s="64">
        <f>'BAU Comparison - AJF'!X40</f>
        <v>0</v>
      </c>
      <c r="Z55" s="64">
        <f>'BAU Comparison - AJF'!Y40</f>
        <v>0</v>
      </c>
      <c r="AA55" s="64">
        <f>'BAU Comparison - AJF'!Z40</f>
        <v>0</v>
      </c>
      <c r="AB55" s="65">
        <f>'BAU Comparison - AJF'!AA40</f>
        <v>0</v>
      </c>
      <c r="AC55" s="59"/>
    </row>
    <row r="56" spans="1:29" ht="15" customHeight="1">
      <c r="A56" s="520"/>
      <c r="B56" s="72" t="str">
        <f>'BAU Comparison - AJF'!A41</f>
        <v>STATEWIDE</v>
      </c>
      <c r="C56" s="73" t="s">
        <v>240</v>
      </c>
      <c r="D56" s="175">
        <f>'BAU Comparison - AJF'!C41</f>
        <v>0</v>
      </c>
      <c r="E56" s="175">
        <f>'BAU Comparison - AJF'!D41</f>
        <v>0</v>
      </c>
      <c r="F56" s="175">
        <f>'BAU Comparison - AJF'!E41</f>
        <v>0</v>
      </c>
      <c r="G56" s="175">
        <f>'BAU Comparison - AJF'!F41</f>
        <v>0</v>
      </c>
      <c r="H56" s="175">
        <f>'BAU Comparison - AJF'!G41</f>
        <v>0</v>
      </c>
      <c r="I56" s="175">
        <f>'BAU Comparison - AJF'!H41</f>
        <v>0</v>
      </c>
      <c r="J56" s="175">
        <f>'BAU Comparison - AJF'!I41</f>
        <v>0</v>
      </c>
      <c r="K56" s="175">
        <f>'BAU Comparison - AJF'!J41</f>
        <v>0</v>
      </c>
      <c r="L56" s="175">
        <f>'BAU Comparison - AJF'!K41</f>
        <v>0</v>
      </c>
      <c r="M56" s="175">
        <f>'BAU Comparison - AJF'!L41</f>
        <v>0</v>
      </c>
      <c r="N56" s="175">
        <f>'BAU Comparison - AJF'!M41</f>
        <v>0</v>
      </c>
      <c r="O56" s="175">
        <f>'BAU Comparison - AJF'!N41</f>
        <v>0</v>
      </c>
      <c r="P56" s="175">
        <f>'BAU Comparison - AJF'!O41</f>
        <v>0</v>
      </c>
      <c r="Q56" s="175">
        <f>'BAU Comparison - AJF'!P41</f>
        <v>0</v>
      </c>
      <c r="R56" s="175">
        <f>'BAU Comparison - AJF'!Q41</f>
        <v>0</v>
      </c>
      <c r="S56" s="175">
        <f>'BAU Comparison - AJF'!R41</f>
        <v>0</v>
      </c>
      <c r="T56" s="175">
        <f>'BAU Comparison - AJF'!S41</f>
        <v>0</v>
      </c>
      <c r="U56" s="175">
        <f>'BAU Comparison - AJF'!T41</f>
        <v>0</v>
      </c>
      <c r="V56" s="175">
        <f>'BAU Comparison - AJF'!U41</f>
        <v>0</v>
      </c>
      <c r="W56" s="175">
        <f>'BAU Comparison - AJF'!V41</f>
        <v>0</v>
      </c>
      <c r="X56" s="175">
        <f>'BAU Comparison - AJF'!W41</f>
        <v>0</v>
      </c>
      <c r="Y56" s="175">
        <f>'BAU Comparison - AJF'!X41</f>
        <v>0</v>
      </c>
      <c r="Z56" s="175">
        <f>'BAU Comparison - AJF'!Y41</f>
        <v>0</v>
      </c>
      <c r="AA56" s="175">
        <f>'BAU Comparison - AJF'!Z41</f>
        <v>0</v>
      </c>
      <c r="AB56" s="175">
        <f>'BAU Comparison - AJF'!AA41</f>
        <v>0</v>
      </c>
      <c r="AC56" s="59"/>
    </row>
    <row r="57" spans="1:29" ht="15" customHeight="1">
      <c r="A57" s="520"/>
      <c r="B57" s="20"/>
      <c r="C57" s="20"/>
      <c r="D57" s="20"/>
      <c r="E57" s="20"/>
      <c r="F57" s="20"/>
      <c r="G57" s="188"/>
      <c r="H57" s="20"/>
      <c r="I57" s="20"/>
      <c r="J57" s="20"/>
      <c r="K57" s="20"/>
      <c r="L57" s="20"/>
      <c r="M57" s="20"/>
      <c r="N57" s="20"/>
      <c r="O57" s="20"/>
      <c r="AC57" s="59"/>
    </row>
    <row r="58" spans="1:29" ht="15.75" customHeight="1">
      <c r="A58" s="520"/>
      <c r="B58" s="86"/>
      <c r="C58" s="86"/>
      <c r="D58" s="519" t="s">
        <v>18930</v>
      </c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9"/>
    </row>
    <row r="59" spans="1:29" ht="15" customHeight="1">
      <c r="A59" s="520"/>
      <c r="B59" s="88" t="s">
        <v>18814</v>
      </c>
      <c r="C59" s="90" t="str">
        <f>'BAU Comparison - Production'!C166</f>
        <v>Units</v>
      </c>
      <c r="D59" s="89">
        <f>'BAU Comparison - Production'!D166</f>
        <v>2022</v>
      </c>
      <c r="E59" s="89">
        <f>'BAU Comparison - Production'!E166</f>
        <v>2023</v>
      </c>
      <c r="F59" s="89">
        <f>'BAU Comparison - Production'!F166</f>
        <v>2024</v>
      </c>
      <c r="G59" s="89">
        <f>'BAU Comparison - Production'!G166</f>
        <v>2025</v>
      </c>
      <c r="H59" s="89">
        <f>'BAU Comparison - Production'!H166</f>
        <v>2026</v>
      </c>
      <c r="I59" s="89">
        <f>'BAU Comparison - Production'!I166</f>
        <v>2027</v>
      </c>
      <c r="J59" s="89">
        <f>'BAU Comparison - Production'!J166</f>
        <v>2028</v>
      </c>
      <c r="K59" s="89">
        <f>'BAU Comparison - Production'!K166</f>
        <v>2029</v>
      </c>
      <c r="L59" s="90">
        <f>'BAU Comparison - Production'!L166</f>
        <v>2030</v>
      </c>
      <c r="M59" s="89">
        <f>'BAU Comparison - Production'!M166</f>
        <v>2031</v>
      </c>
      <c r="N59" s="89">
        <f>'BAU Comparison - Production'!N166</f>
        <v>2032</v>
      </c>
      <c r="O59" s="90">
        <f>'BAU Comparison - Production'!O166</f>
        <v>2033</v>
      </c>
      <c r="P59" s="89">
        <f>'BAU Comparison - Production'!P166</f>
        <v>2034</v>
      </c>
      <c r="Q59" s="89">
        <f>'BAU Comparison - Production'!Q166</f>
        <v>2035</v>
      </c>
      <c r="R59" s="90">
        <f>'BAU Comparison - Production'!R166</f>
        <v>2036</v>
      </c>
      <c r="S59" s="89">
        <f>'BAU Comparison - Production'!S166</f>
        <v>2037</v>
      </c>
      <c r="T59" s="89">
        <f>'BAU Comparison - Production'!T166</f>
        <v>2038</v>
      </c>
      <c r="U59" s="90">
        <f>'BAU Comparison - Production'!U166</f>
        <v>2039</v>
      </c>
      <c r="V59" s="89">
        <f>'BAU Comparison - Production'!V166</f>
        <v>2040</v>
      </c>
      <c r="W59" s="89">
        <f>'BAU Comparison - Production'!W166</f>
        <v>2041</v>
      </c>
      <c r="X59" s="90">
        <f>'BAU Comparison - Production'!X166</f>
        <v>2042</v>
      </c>
      <c r="Y59" s="89">
        <f>'BAU Comparison - Production'!Y166</f>
        <v>2043</v>
      </c>
      <c r="Z59" s="89">
        <f>'BAU Comparison - Production'!Z166</f>
        <v>2044</v>
      </c>
      <c r="AA59" s="90">
        <f>'BAU Comparison - Production'!AA166</f>
        <v>2045</v>
      </c>
      <c r="AB59" s="89">
        <f>'BAU Comparison - Production'!AB166</f>
        <v>2046</v>
      </c>
      <c r="AC59" s="59"/>
    </row>
    <row r="60" spans="1:29" ht="15" customHeight="1">
      <c r="A60" s="520"/>
      <c r="B60" s="2" t="str">
        <f>'BAU Comparison - Production'!B167</f>
        <v>Great Basin Valleys</v>
      </c>
      <c r="C60" s="51" t="s">
        <v>240</v>
      </c>
      <c r="D60" s="104">
        <f>'BAU Comparison - Production'!D167</f>
        <v>0</v>
      </c>
      <c r="E60" s="79">
        <f>'BAU Comparison - Production'!E167</f>
        <v>0</v>
      </c>
      <c r="F60" s="79">
        <f>'BAU Comparison - Production'!F167</f>
        <v>0</v>
      </c>
      <c r="G60" s="79">
        <f>'BAU Comparison - Production'!G167</f>
        <v>0</v>
      </c>
      <c r="H60" s="79">
        <f>'BAU Comparison - Production'!H167</f>
        <v>0</v>
      </c>
      <c r="I60" s="79">
        <f>'BAU Comparison - Production'!I167</f>
        <v>0</v>
      </c>
      <c r="J60" s="79">
        <f>'BAU Comparison - Production'!J167</f>
        <v>0</v>
      </c>
      <c r="K60" s="79">
        <f>'BAU Comparison - Production'!K167</f>
        <v>0</v>
      </c>
      <c r="L60" s="79">
        <f>'BAU Comparison - Production'!L167</f>
        <v>0</v>
      </c>
      <c r="M60" s="79">
        <f>'BAU Comparison - Production'!M167</f>
        <v>0</v>
      </c>
      <c r="N60" s="79">
        <f>'BAU Comparison - Production'!N167</f>
        <v>0</v>
      </c>
      <c r="O60" s="79">
        <f>'BAU Comparison - Production'!O167</f>
        <v>0</v>
      </c>
      <c r="P60" s="79">
        <f>'BAU Comparison - Production'!P167</f>
        <v>0</v>
      </c>
      <c r="Q60" s="79">
        <f>'BAU Comparison - Production'!Q167</f>
        <v>0</v>
      </c>
      <c r="R60" s="79">
        <f>'BAU Comparison - Production'!R167</f>
        <v>0</v>
      </c>
      <c r="S60" s="79">
        <f>'BAU Comparison - Production'!S167</f>
        <v>0</v>
      </c>
      <c r="T60" s="79">
        <f>'BAU Comparison - Production'!T167</f>
        <v>0</v>
      </c>
      <c r="U60" s="79">
        <f>'BAU Comparison - Production'!U167</f>
        <v>0</v>
      </c>
      <c r="V60" s="79">
        <f>'BAU Comparison - Production'!V167</f>
        <v>0</v>
      </c>
      <c r="W60" s="79">
        <f>'BAU Comparison - Production'!W167</f>
        <v>0</v>
      </c>
      <c r="X60" s="79">
        <f>'BAU Comparison - Production'!X167</f>
        <v>0</v>
      </c>
      <c r="Y60" s="79">
        <f>'BAU Comparison - Production'!Y167</f>
        <v>0</v>
      </c>
      <c r="Z60" s="79">
        <f>'BAU Comparison - Production'!Z167</f>
        <v>0</v>
      </c>
      <c r="AA60" s="79">
        <f>'BAU Comparison - Production'!AA167</f>
        <v>0</v>
      </c>
      <c r="AB60" s="80">
        <f>'BAU Comparison - Production'!AB167</f>
        <v>0</v>
      </c>
      <c r="AC60" s="59"/>
    </row>
    <row r="61" spans="1:29" ht="15" customHeight="1">
      <c r="A61" s="520"/>
      <c r="B61" s="2" t="str">
        <f>'BAU Comparison - Production'!B168</f>
        <v xml:space="preserve">Lake County </v>
      </c>
      <c r="C61" s="51" t="s">
        <v>240</v>
      </c>
      <c r="D61" s="393">
        <f>'BAU Comparison - Production'!D168</f>
        <v>0</v>
      </c>
      <c r="E61" s="60">
        <f>'BAU Comparison - Production'!E168</f>
        <v>0</v>
      </c>
      <c r="F61" s="60">
        <f>'BAU Comparison - Production'!F168</f>
        <v>0</v>
      </c>
      <c r="G61" s="60">
        <f>'BAU Comparison - Production'!G168</f>
        <v>0</v>
      </c>
      <c r="H61" s="60">
        <f>'BAU Comparison - Production'!H168</f>
        <v>0</v>
      </c>
      <c r="I61" s="60">
        <f>'BAU Comparison - Production'!I168</f>
        <v>0</v>
      </c>
      <c r="J61" s="60">
        <f>'BAU Comparison - Production'!J168</f>
        <v>0</v>
      </c>
      <c r="K61" s="60">
        <f>'BAU Comparison - Production'!K168</f>
        <v>0</v>
      </c>
      <c r="L61" s="60">
        <f>'BAU Comparison - Production'!L168</f>
        <v>0</v>
      </c>
      <c r="M61" s="60">
        <f>'BAU Comparison - Production'!M168</f>
        <v>0</v>
      </c>
      <c r="N61" s="60">
        <f>'BAU Comparison - Production'!N168</f>
        <v>0</v>
      </c>
      <c r="O61" s="60">
        <f>'BAU Comparison - Production'!O168</f>
        <v>0</v>
      </c>
      <c r="P61" s="60">
        <f>'BAU Comparison - Production'!P168</f>
        <v>0</v>
      </c>
      <c r="Q61" s="60">
        <f>'BAU Comparison - Production'!Q168</f>
        <v>0</v>
      </c>
      <c r="R61" s="60">
        <f>'BAU Comparison - Production'!R168</f>
        <v>0</v>
      </c>
      <c r="S61" s="60">
        <f>'BAU Comparison - Production'!S168</f>
        <v>0</v>
      </c>
      <c r="T61" s="60">
        <f>'BAU Comparison - Production'!T168</f>
        <v>0</v>
      </c>
      <c r="U61" s="60">
        <f>'BAU Comparison - Production'!U168</f>
        <v>0</v>
      </c>
      <c r="V61" s="60">
        <f>'BAU Comparison - Production'!V168</f>
        <v>0</v>
      </c>
      <c r="W61" s="60">
        <f>'BAU Comparison - Production'!W168</f>
        <v>0</v>
      </c>
      <c r="X61" s="60">
        <f>'BAU Comparison - Production'!X168</f>
        <v>0</v>
      </c>
      <c r="Y61" s="60">
        <f>'BAU Comparison - Production'!Y168</f>
        <v>0</v>
      </c>
      <c r="Z61" s="60">
        <f>'BAU Comparison - Production'!Z168</f>
        <v>0</v>
      </c>
      <c r="AA61" s="60">
        <f>'BAU Comparison - Production'!AA168</f>
        <v>0</v>
      </c>
      <c r="AB61" s="61">
        <f>'BAU Comparison - Production'!AB168</f>
        <v>0</v>
      </c>
      <c r="AC61" s="59"/>
    </row>
    <row r="62" spans="1:29" ht="15" customHeight="1">
      <c r="A62" s="520"/>
      <c r="B62" s="2" t="str">
        <f>'BAU Comparison - Production'!B169</f>
        <v xml:space="preserve">Lake Tahoe </v>
      </c>
      <c r="C62" s="51" t="s">
        <v>240</v>
      </c>
      <c r="D62" s="393">
        <f>'BAU Comparison - Production'!D169</f>
        <v>0</v>
      </c>
      <c r="E62" s="60">
        <f>'BAU Comparison - Production'!E169</f>
        <v>0</v>
      </c>
      <c r="F62" s="60">
        <f>'BAU Comparison - Production'!F169</f>
        <v>0</v>
      </c>
      <c r="G62" s="60">
        <f>'BAU Comparison - Production'!G169</f>
        <v>0</v>
      </c>
      <c r="H62" s="60">
        <f>'BAU Comparison - Production'!H169</f>
        <v>0</v>
      </c>
      <c r="I62" s="60">
        <f>'BAU Comparison - Production'!I169</f>
        <v>0</v>
      </c>
      <c r="J62" s="60">
        <f>'BAU Comparison - Production'!J169</f>
        <v>0</v>
      </c>
      <c r="K62" s="60">
        <f>'BAU Comparison - Production'!K169</f>
        <v>0</v>
      </c>
      <c r="L62" s="60">
        <f>'BAU Comparison - Production'!L169</f>
        <v>0</v>
      </c>
      <c r="M62" s="60">
        <f>'BAU Comparison - Production'!M169</f>
        <v>0</v>
      </c>
      <c r="N62" s="60">
        <f>'BAU Comparison - Production'!N169</f>
        <v>0</v>
      </c>
      <c r="O62" s="60">
        <f>'BAU Comparison - Production'!O169</f>
        <v>0</v>
      </c>
      <c r="P62" s="60">
        <f>'BAU Comparison - Production'!P169</f>
        <v>0</v>
      </c>
      <c r="Q62" s="60">
        <f>'BAU Comparison - Production'!Q169</f>
        <v>0</v>
      </c>
      <c r="R62" s="60">
        <f>'BAU Comparison - Production'!R169</f>
        <v>0</v>
      </c>
      <c r="S62" s="60">
        <f>'BAU Comparison - Production'!S169</f>
        <v>0</v>
      </c>
      <c r="T62" s="60">
        <f>'BAU Comparison - Production'!T169</f>
        <v>0</v>
      </c>
      <c r="U62" s="60">
        <f>'BAU Comparison - Production'!U169</f>
        <v>0</v>
      </c>
      <c r="V62" s="60">
        <f>'BAU Comparison - Production'!V169</f>
        <v>0</v>
      </c>
      <c r="W62" s="60">
        <f>'BAU Comparison - Production'!W169</f>
        <v>0</v>
      </c>
      <c r="X62" s="60">
        <f>'BAU Comparison - Production'!X169</f>
        <v>0</v>
      </c>
      <c r="Y62" s="60">
        <f>'BAU Comparison - Production'!Y169</f>
        <v>0</v>
      </c>
      <c r="Z62" s="60">
        <f>'BAU Comparison - Production'!Z169</f>
        <v>0</v>
      </c>
      <c r="AA62" s="60">
        <f>'BAU Comparison - Production'!AA169</f>
        <v>0</v>
      </c>
      <c r="AB62" s="61">
        <f>'BAU Comparison - Production'!AB169</f>
        <v>0</v>
      </c>
      <c r="AC62" s="59"/>
    </row>
    <row r="63" spans="1:29" ht="15" customHeight="1">
      <c r="A63" s="520"/>
      <c r="B63" s="2" t="str">
        <f>'BAU Comparison - Production'!B170</f>
        <v>Mojave Desert</v>
      </c>
      <c r="C63" s="51" t="s">
        <v>240</v>
      </c>
      <c r="D63" s="393">
        <f>'BAU Comparison - Production'!D170</f>
        <v>0</v>
      </c>
      <c r="E63" s="60">
        <f>'BAU Comparison - Production'!E170</f>
        <v>0</v>
      </c>
      <c r="F63" s="60">
        <f>'BAU Comparison - Production'!F170</f>
        <v>0</v>
      </c>
      <c r="G63" s="60">
        <f>'BAU Comparison - Production'!G170</f>
        <v>0</v>
      </c>
      <c r="H63" s="60">
        <f>'BAU Comparison - Production'!H170</f>
        <v>0</v>
      </c>
      <c r="I63" s="60">
        <f>'BAU Comparison - Production'!I170</f>
        <v>0</v>
      </c>
      <c r="J63" s="60">
        <f>'BAU Comparison - Production'!J170</f>
        <v>0</v>
      </c>
      <c r="K63" s="60">
        <f>'BAU Comparison - Production'!K170</f>
        <v>0</v>
      </c>
      <c r="L63" s="60">
        <f>'BAU Comparison - Production'!L170</f>
        <v>0</v>
      </c>
      <c r="M63" s="60">
        <f>'BAU Comparison - Production'!M170</f>
        <v>0</v>
      </c>
      <c r="N63" s="60">
        <f>'BAU Comparison - Production'!N170</f>
        <v>0</v>
      </c>
      <c r="O63" s="60">
        <f>'BAU Comparison - Production'!O170</f>
        <v>0</v>
      </c>
      <c r="P63" s="60">
        <f>'BAU Comparison - Production'!P170</f>
        <v>0</v>
      </c>
      <c r="Q63" s="60">
        <f>'BAU Comparison - Production'!Q170</f>
        <v>0</v>
      </c>
      <c r="R63" s="60">
        <f>'BAU Comparison - Production'!R170</f>
        <v>0</v>
      </c>
      <c r="S63" s="60">
        <f>'BAU Comparison - Production'!S170</f>
        <v>0</v>
      </c>
      <c r="T63" s="60">
        <f>'BAU Comparison - Production'!T170</f>
        <v>0</v>
      </c>
      <c r="U63" s="60">
        <f>'BAU Comparison - Production'!U170</f>
        <v>0</v>
      </c>
      <c r="V63" s="60">
        <f>'BAU Comparison - Production'!V170</f>
        <v>0</v>
      </c>
      <c r="W63" s="60">
        <f>'BAU Comparison - Production'!W170</f>
        <v>0</v>
      </c>
      <c r="X63" s="60">
        <f>'BAU Comparison - Production'!X170</f>
        <v>0</v>
      </c>
      <c r="Y63" s="60">
        <f>'BAU Comparison - Production'!Y170</f>
        <v>0</v>
      </c>
      <c r="Z63" s="60">
        <f>'BAU Comparison - Production'!Z170</f>
        <v>0</v>
      </c>
      <c r="AA63" s="60">
        <f>'BAU Comparison - Production'!AA170</f>
        <v>0</v>
      </c>
      <c r="AB63" s="61">
        <f>'BAU Comparison - Production'!AB170</f>
        <v>0</v>
      </c>
      <c r="AC63" s="59"/>
    </row>
    <row r="64" spans="1:29" ht="15" customHeight="1">
      <c r="A64" s="520"/>
      <c r="B64" s="2" t="str">
        <f>'BAU Comparison - Production'!B171</f>
        <v xml:space="preserve">Mountain Counties </v>
      </c>
      <c r="C64" s="51" t="s">
        <v>240</v>
      </c>
      <c r="D64" s="393">
        <f>'BAU Comparison - Production'!D171</f>
        <v>0</v>
      </c>
      <c r="E64" s="60">
        <f>'BAU Comparison - Production'!E171</f>
        <v>0</v>
      </c>
      <c r="F64" s="60">
        <f>'BAU Comparison - Production'!F171</f>
        <v>0</v>
      </c>
      <c r="G64" s="60">
        <f>'BAU Comparison - Production'!G171</f>
        <v>0</v>
      </c>
      <c r="H64" s="60">
        <f>'BAU Comparison - Production'!H171</f>
        <v>0</v>
      </c>
      <c r="I64" s="60">
        <f>'BAU Comparison - Production'!I171</f>
        <v>0</v>
      </c>
      <c r="J64" s="60">
        <f>'BAU Comparison - Production'!J171</f>
        <v>0</v>
      </c>
      <c r="K64" s="60">
        <f>'BAU Comparison - Production'!K171</f>
        <v>0</v>
      </c>
      <c r="L64" s="60">
        <f>'BAU Comparison - Production'!L171</f>
        <v>0</v>
      </c>
      <c r="M64" s="60">
        <f>'BAU Comparison - Production'!M171</f>
        <v>0</v>
      </c>
      <c r="N64" s="60">
        <f>'BAU Comparison - Production'!N171</f>
        <v>0</v>
      </c>
      <c r="O64" s="60">
        <f>'BAU Comparison - Production'!O171</f>
        <v>0</v>
      </c>
      <c r="P64" s="60">
        <f>'BAU Comparison - Production'!P171</f>
        <v>0</v>
      </c>
      <c r="Q64" s="60">
        <f>'BAU Comparison - Production'!Q171</f>
        <v>0</v>
      </c>
      <c r="R64" s="60">
        <f>'BAU Comparison - Production'!R171</f>
        <v>0</v>
      </c>
      <c r="S64" s="60">
        <f>'BAU Comparison - Production'!S171</f>
        <v>0</v>
      </c>
      <c r="T64" s="60">
        <f>'BAU Comparison - Production'!T171</f>
        <v>0</v>
      </c>
      <c r="U64" s="60">
        <f>'BAU Comparison - Production'!U171</f>
        <v>0</v>
      </c>
      <c r="V64" s="60">
        <f>'BAU Comparison - Production'!V171</f>
        <v>0</v>
      </c>
      <c r="W64" s="60">
        <f>'BAU Comparison - Production'!W171</f>
        <v>0</v>
      </c>
      <c r="X64" s="60">
        <f>'BAU Comparison - Production'!X171</f>
        <v>0</v>
      </c>
      <c r="Y64" s="60">
        <f>'BAU Comparison - Production'!Y171</f>
        <v>0</v>
      </c>
      <c r="Z64" s="60">
        <f>'BAU Comparison - Production'!Z171</f>
        <v>0</v>
      </c>
      <c r="AA64" s="60">
        <f>'BAU Comparison - Production'!AA171</f>
        <v>0</v>
      </c>
      <c r="AB64" s="61">
        <f>'BAU Comparison - Production'!AB171</f>
        <v>0</v>
      </c>
      <c r="AC64" s="59"/>
    </row>
    <row r="65" spans="1:29" ht="15" customHeight="1">
      <c r="A65" s="520"/>
      <c r="B65" s="2" t="str">
        <f>'BAU Comparison - Production'!B172</f>
        <v>North Central coast</v>
      </c>
      <c r="C65" s="51" t="s">
        <v>240</v>
      </c>
      <c r="D65" s="393">
        <f>'BAU Comparison - Production'!D172</f>
        <v>0</v>
      </c>
      <c r="E65" s="60">
        <f>'BAU Comparison - Production'!E172</f>
        <v>0</v>
      </c>
      <c r="F65" s="60">
        <f>'BAU Comparison - Production'!F172</f>
        <v>0</v>
      </c>
      <c r="G65" s="60">
        <f>'BAU Comparison - Production'!G172</f>
        <v>0</v>
      </c>
      <c r="H65" s="60">
        <f>'BAU Comparison - Production'!H172</f>
        <v>0</v>
      </c>
      <c r="I65" s="60">
        <f>'BAU Comparison - Production'!I172</f>
        <v>0</v>
      </c>
      <c r="J65" s="60">
        <f>'BAU Comparison - Production'!J172</f>
        <v>0</v>
      </c>
      <c r="K65" s="60">
        <f>'BAU Comparison - Production'!K172</f>
        <v>0</v>
      </c>
      <c r="L65" s="60">
        <f>'BAU Comparison - Production'!L172</f>
        <v>0</v>
      </c>
      <c r="M65" s="60">
        <f>'BAU Comparison - Production'!M172</f>
        <v>0</v>
      </c>
      <c r="N65" s="60">
        <f>'BAU Comparison - Production'!N172</f>
        <v>0</v>
      </c>
      <c r="O65" s="60">
        <f>'BAU Comparison - Production'!O172</f>
        <v>0</v>
      </c>
      <c r="P65" s="60">
        <f>'BAU Comparison - Production'!P172</f>
        <v>0</v>
      </c>
      <c r="Q65" s="60">
        <f>'BAU Comparison - Production'!Q172</f>
        <v>0</v>
      </c>
      <c r="R65" s="60">
        <f>'BAU Comparison - Production'!R172</f>
        <v>0</v>
      </c>
      <c r="S65" s="60">
        <f>'BAU Comparison - Production'!S172</f>
        <v>0</v>
      </c>
      <c r="T65" s="60">
        <f>'BAU Comparison - Production'!T172</f>
        <v>0</v>
      </c>
      <c r="U65" s="60">
        <f>'BAU Comparison - Production'!U172</f>
        <v>0</v>
      </c>
      <c r="V65" s="60">
        <f>'BAU Comparison - Production'!V172</f>
        <v>0</v>
      </c>
      <c r="W65" s="60">
        <f>'BAU Comparison - Production'!W172</f>
        <v>0</v>
      </c>
      <c r="X65" s="60">
        <f>'BAU Comparison - Production'!X172</f>
        <v>0</v>
      </c>
      <c r="Y65" s="60">
        <f>'BAU Comparison - Production'!Y172</f>
        <v>0</v>
      </c>
      <c r="Z65" s="60">
        <f>'BAU Comparison - Production'!Z172</f>
        <v>0</v>
      </c>
      <c r="AA65" s="60">
        <f>'BAU Comparison - Production'!AA172</f>
        <v>0</v>
      </c>
      <c r="AB65" s="61">
        <f>'BAU Comparison - Production'!AB172</f>
        <v>0</v>
      </c>
      <c r="AC65" s="59"/>
    </row>
    <row r="66" spans="1:29" ht="15" customHeight="1">
      <c r="A66" s="520"/>
      <c r="B66" s="2" t="str">
        <f>'BAU Comparison - Production'!B173</f>
        <v>North Coast</v>
      </c>
      <c r="C66" s="51" t="s">
        <v>240</v>
      </c>
      <c r="D66" s="393">
        <f>'BAU Comparison - Production'!D173</f>
        <v>0</v>
      </c>
      <c r="E66" s="60">
        <f>'BAU Comparison - Production'!E173</f>
        <v>0</v>
      </c>
      <c r="F66" s="60">
        <f>'BAU Comparison - Production'!F173</f>
        <v>0</v>
      </c>
      <c r="G66" s="60">
        <f>'BAU Comparison - Production'!G173</f>
        <v>0.10070279222592546</v>
      </c>
      <c r="H66" s="60">
        <f>'BAU Comparison - Production'!H173</f>
        <v>0.11317795639415915</v>
      </c>
      <c r="I66" s="60">
        <f>'BAU Comparison - Production'!I173</f>
        <v>4.3818218437581685E-2</v>
      </c>
      <c r="J66" s="60">
        <f>'BAU Comparison - Production'!J173</f>
        <v>7.5639402555342072E-2</v>
      </c>
      <c r="K66" s="60">
        <f>'BAU Comparison - Production'!K173</f>
        <v>1.9273999971213658E-2</v>
      </c>
      <c r="L66" s="60">
        <f>'BAU Comparison - Production'!L173</f>
        <v>0</v>
      </c>
      <c r="M66" s="60">
        <f>'BAU Comparison - Production'!M173</f>
        <v>0</v>
      </c>
      <c r="N66" s="60">
        <f>'BAU Comparison - Production'!N173</f>
        <v>0</v>
      </c>
      <c r="O66" s="60">
        <f>'BAU Comparison - Production'!O173</f>
        <v>1.4065372269881089E-3</v>
      </c>
      <c r="P66" s="60">
        <f>'BAU Comparison - Production'!P173</f>
        <v>2.020041922097536E-2</v>
      </c>
      <c r="Q66" s="60">
        <f>'BAU Comparison - Production'!Q173</f>
        <v>3.2967083086353863E-2</v>
      </c>
      <c r="R66" s="60">
        <f>'BAU Comparison - Production'!R173</f>
        <v>3.2967083086353856E-2</v>
      </c>
      <c r="S66" s="60">
        <f>'BAU Comparison - Production'!S173</f>
        <v>7.8772713999561136E-2</v>
      </c>
      <c r="T66" s="60">
        <f>'BAU Comparison - Production'!T173</f>
        <v>7.8772713999561095E-2</v>
      </c>
      <c r="U66" s="60">
        <f>'BAU Comparison - Production'!U173</f>
        <v>9.4537215730783553E-2</v>
      </c>
      <c r="V66" s="60">
        <f>'BAU Comparison - Production'!V173</f>
        <v>0.11800292712855508</v>
      </c>
      <c r="W66" s="60">
        <f>'BAU Comparison - Production'!W173</f>
        <v>0.1157879245779381</v>
      </c>
      <c r="X66" s="60">
        <f>'BAU Comparison - Production'!X173</f>
        <v>0.1164365137376917</v>
      </c>
      <c r="Y66" s="60">
        <f>'BAU Comparison - Production'!Y173</f>
        <v>0.11718658460253129</v>
      </c>
      <c r="Z66" s="60">
        <f>'BAU Comparison - Production'!Z173</f>
        <v>0.1018210363613432</v>
      </c>
      <c r="AA66" s="60">
        <f>'BAU Comparison - Production'!AA173</f>
        <v>9.4033482519986805E-2</v>
      </c>
      <c r="AB66" s="61">
        <f>'BAU Comparison - Production'!AB173</f>
        <v>8.7929175111816527E-2</v>
      </c>
      <c r="AC66" s="59"/>
    </row>
    <row r="67" spans="1:29" ht="15" customHeight="1">
      <c r="A67" s="520"/>
      <c r="B67" s="2" t="str">
        <f>'BAU Comparison - Production'!B174</f>
        <v>Northeast Plateau</v>
      </c>
      <c r="C67" s="51" t="s">
        <v>240</v>
      </c>
      <c r="D67" s="393">
        <f>'BAU Comparison - Production'!D174</f>
        <v>0</v>
      </c>
      <c r="E67" s="60">
        <f>'BAU Comparison - Production'!E174</f>
        <v>0</v>
      </c>
      <c r="F67" s="60">
        <f>'BAU Comparison - Production'!F174</f>
        <v>0</v>
      </c>
      <c r="G67" s="60">
        <f>'BAU Comparison - Production'!G174</f>
        <v>0</v>
      </c>
      <c r="H67" s="60">
        <f>'BAU Comparison - Production'!H174</f>
        <v>0</v>
      </c>
      <c r="I67" s="60">
        <f>'BAU Comparison - Production'!I174</f>
        <v>0</v>
      </c>
      <c r="J67" s="60">
        <f>'BAU Comparison - Production'!J174</f>
        <v>0</v>
      </c>
      <c r="K67" s="60">
        <f>'BAU Comparison - Production'!K174</f>
        <v>0</v>
      </c>
      <c r="L67" s="60">
        <f>'BAU Comparison - Production'!L174</f>
        <v>0</v>
      </c>
      <c r="M67" s="60">
        <f>'BAU Comparison - Production'!M174</f>
        <v>0</v>
      </c>
      <c r="N67" s="60">
        <f>'BAU Comparison - Production'!N174</f>
        <v>0</v>
      </c>
      <c r="O67" s="60">
        <f>'BAU Comparison - Production'!O174</f>
        <v>0</v>
      </c>
      <c r="P67" s="60">
        <f>'BAU Comparison - Production'!P174</f>
        <v>0</v>
      </c>
      <c r="Q67" s="60">
        <f>'BAU Comparison - Production'!Q174</f>
        <v>0</v>
      </c>
      <c r="R67" s="60">
        <f>'BAU Comparison - Production'!R174</f>
        <v>0</v>
      </c>
      <c r="S67" s="60">
        <f>'BAU Comparison - Production'!S174</f>
        <v>0</v>
      </c>
      <c r="T67" s="60">
        <f>'BAU Comparison - Production'!T174</f>
        <v>0</v>
      </c>
      <c r="U67" s="60">
        <f>'BAU Comparison - Production'!U174</f>
        <v>0</v>
      </c>
      <c r="V67" s="60">
        <f>'BAU Comparison - Production'!V174</f>
        <v>0</v>
      </c>
      <c r="W67" s="60">
        <f>'BAU Comparison - Production'!W174</f>
        <v>0</v>
      </c>
      <c r="X67" s="60">
        <f>'BAU Comparison - Production'!X174</f>
        <v>0</v>
      </c>
      <c r="Y67" s="60">
        <f>'BAU Comparison - Production'!Y174</f>
        <v>0</v>
      </c>
      <c r="Z67" s="60">
        <f>'BAU Comparison - Production'!Z174</f>
        <v>0</v>
      </c>
      <c r="AA67" s="60">
        <f>'BAU Comparison - Production'!AA174</f>
        <v>0</v>
      </c>
      <c r="AB67" s="61">
        <f>'BAU Comparison - Production'!AB174</f>
        <v>0</v>
      </c>
      <c r="AC67" s="59"/>
    </row>
    <row r="68" spans="1:29" ht="15" customHeight="1">
      <c r="A68" s="520"/>
      <c r="B68" s="2" t="str">
        <f>'BAU Comparison - Production'!B175</f>
        <v xml:space="preserve">Sacramento Valley </v>
      </c>
      <c r="C68" s="51" t="s">
        <v>240</v>
      </c>
      <c r="D68" s="393">
        <f>'BAU Comparison - Production'!D175</f>
        <v>0</v>
      </c>
      <c r="E68" s="60">
        <f>'BAU Comparison - Production'!E175</f>
        <v>0</v>
      </c>
      <c r="F68" s="60">
        <f>'BAU Comparison - Production'!F175</f>
        <v>0</v>
      </c>
      <c r="G68" s="60">
        <f>'BAU Comparison - Production'!G175</f>
        <v>0.43637876631234357</v>
      </c>
      <c r="H68" s="60">
        <f>'BAU Comparison - Production'!H175</f>
        <v>0.49043781104135625</v>
      </c>
      <c r="I68" s="60">
        <f>'BAU Comparison - Production'!I175</f>
        <v>0.18987894656285395</v>
      </c>
      <c r="J68" s="60">
        <f>'BAU Comparison - Production'!J175</f>
        <v>0.3277707444064823</v>
      </c>
      <c r="K68" s="60">
        <f>'BAU Comparison - Production'!K175</f>
        <v>8.3520666541925845E-2</v>
      </c>
      <c r="L68" s="60">
        <f>'BAU Comparison - Production'!L175</f>
        <v>0</v>
      </c>
      <c r="M68" s="60">
        <f>'BAU Comparison - Production'!M175</f>
        <v>0</v>
      </c>
      <c r="N68" s="60">
        <f>'BAU Comparison - Production'!N175</f>
        <v>0</v>
      </c>
      <c r="O68" s="60">
        <f>'BAU Comparison - Production'!O175</f>
        <v>6.0949946502818052E-3</v>
      </c>
      <c r="P68" s="60">
        <f>'BAU Comparison - Production'!P175</f>
        <v>8.7535149957559885E-2</v>
      </c>
      <c r="Q68" s="60">
        <f>'BAU Comparison - Production'!Q175</f>
        <v>0.14285736004086674</v>
      </c>
      <c r="R68" s="60">
        <f>'BAU Comparison - Production'!R175</f>
        <v>0.14285736004086669</v>
      </c>
      <c r="S68" s="60">
        <f>'BAU Comparison - Production'!S175</f>
        <v>0.34134842733143156</v>
      </c>
      <c r="T68" s="60">
        <f>'BAU Comparison - Production'!T175</f>
        <v>0.34134842733143139</v>
      </c>
      <c r="U68" s="60">
        <f>'BAU Comparison - Production'!U175</f>
        <v>0.40966126816672865</v>
      </c>
      <c r="V68" s="60">
        <f>'BAU Comparison - Production'!V175</f>
        <v>0.51134601755707199</v>
      </c>
      <c r="W68" s="60">
        <f>'BAU Comparison - Production'!W175</f>
        <v>0.50174767317106506</v>
      </c>
      <c r="X68" s="60">
        <f>'BAU Comparison - Production'!X175</f>
        <v>0.50455822619666402</v>
      </c>
      <c r="Y68" s="60">
        <f>'BAU Comparison - Production'!Y175</f>
        <v>0.50780853327763553</v>
      </c>
      <c r="Z68" s="60">
        <f>'BAU Comparison - Production'!Z175</f>
        <v>0.44122449089915378</v>
      </c>
      <c r="AA68" s="60">
        <f>'BAU Comparison - Production'!AA175</f>
        <v>0.40747842425327613</v>
      </c>
      <c r="AB68" s="61">
        <f>'BAU Comparison - Production'!AB175</f>
        <v>0.38102642548453824</v>
      </c>
      <c r="AC68" s="59"/>
    </row>
    <row r="69" spans="1:29" ht="15" customHeight="1">
      <c r="A69" s="520"/>
      <c r="B69" s="2" t="str">
        <f>'BAU Comparison - Production'!B176</f>
        <v>Salton Sea</v>
      </c>
      <c r="C69" s="51" t="s">
        <v>240</v>
      </c>
      <c r="D69" s="393">
        <f>'BAU Comparison - Production'!D176</f>
        <v>0</v>
      </c>
      <c r="E69" s="60">
        <f>'BAU Comparison - Production'!E176</f>
        <v>0</v>
      </c>
      <c r="F69" s="60">
        <f>'BAU Comparison - Production'!F176</f>
        <v>0</v>
      </c>
      <c r="G69" s="60">
        <f>'BAU Comparison - Production'!G176</f>
        <v>3.3567597408641819E-2</v>
      </c>
      <c r="H69" s="60">
        <f>'BAU Comparison - Production'!H176</f>
        <v>3.7725985464719711E-2</v>
      </c>
      <c r="I69" s="60">
        <f>'BAU Comparison - Production'!I176</f>
        <v>1.4606072812527227E-2</v>
      </c>
      <c r="J69" s="60">
        <f>'BAU Comparison - Production'!J176</f>
        <v>2.5213134185114023E-2</v>
      </c>
      <c r="K69" s="60">
        <f>'BAU Comparison - Production'!K176</f>
        <v>6.4246666570712194E-3</v>
      </c>
      <c r="L69" s="60">
        <f>'BAU Comparison - Production'!L176</f>
        <v>0</v>
      </c>
      <c r="M69" s="60">
        <f>'BAU Comparison - Production'!M176</f>
        <v>0</v>
      </c>
      <c r="N69" s="60">
        <f>'BAU Comparison - Production'!N176</f>
        <v>0</v>
      </c>
      <c r="O69" s="60">
        <f>'BAU Comparison - Production'!O176</f>
        <v>4.6884574232936965E-4</v>
      </c>
      <c r="P69" s="60">
        <f>'BAU Comparison - Production'!P176</f>
        <v>6.7334730736584528E-3</v>
      </c>
      <c r="Q69" s="60">
        <f>'BAU Comparison - Production'!Q176</f>
        <v>1.0989027695451289E-2</v>
      </c>
      <c r="R69" s="60">
        <f>'BAU Comparison - Production'!R176</f>
        <v>1.0989027695451285E-2</v>
      </c>
      <c r="S69" s="60">
        <f>'BAU Comparison - Production'!S176</f>
        <v>2.6257571333187044E-2</v>
      </c>
      <c r="T69" s="60">
        <f>'BAU Comparison - Production'!T176</f>
        <v>2.625757133318703E-2</v>
      </c>
      <c r="U69" s="60">
        <f>'BAU Comparison - Production'!U176</f>
        <v>3.1512405243594513E-2</v>
      </c>
      <c r="V69" s="60">
        <f>'BAU Comparison - Production'!V176</f>
        <v>3.9334309042851692E-2</v>
      </c>
      <c r="W69" s="60">
        <f>'BAU Comparison - Production'!W176</f>
        <v>3.8595974859312696E-2</v>
      </c>
      <c r="X69" s="60">
        <f>'BAU Comparison - Production'!X176</f>
        <v>3.8812171245897233E-2</v>
      </c>
      <c r="Y69" s="60">
        <f>'BAU Comparison - Production'!Y176</f>
        <v>3.9062194867510426E-2</v>
      </c>
      <c r="Z69" s="60">
        <f>'BAU Comparison - Production'!Z176</f>
        <v>3.3940345453781065E-2</v>
      </c>
      <c r="AA69" s="60">
        <f>'BAU Comparison - Production'!AA176</f>
        <v>3.1344494173328935E-2</v>
      </c>
      <c r="AB69" s="61">
        <f>'BAU Comparison - Production'!AB176</f>
        <v>2.9309725037272173E-2</v>
      </c>
      <c r="AC69" s="59"/>
    </row>
    <row r="70" spans="1:29" ht="15" customHeight="1">
      <c r="A70" s="520"/>
      <c r="B70" s="2" t="str">
        <f>'BAU Comparison - Production'!B177</f>
        <v xml:space="preserve">San Diego </v>
      </c>
      <c r="C70" s="51" t="s">
        <v>240</v>
      </c>
      <c r="D70" s="393">
        <f>'BAU Comparison - Production'!D177</f>
        <v>0</v>
      </c>
      <c r="E70" s="60">
        <f>'BAU Comparison - Production'!E177</f>
        <v>0</v>
      </c>
      <c r="F70" s="60">
        <f>'BAU Comparison - Production'!F177</f>
        <v>0</v>
      </c>
      <c r="G70" s="60">
        <f>'BAU Comparison - Production'!G177</f>
        <v>0</v>
      </c>
      <c r="H70" s="60">
        <f>'BAU Comparison - Production'!H177</f>
        <v>0</v>
      </c>
      <c r="I70" s="60">
        <f>'BAU Comparison - Production'!I177</f>
        <v>0</v>
      </c>
      <c r="J70" s="60">
        <f>'BAU Comparison - Production'!J177</f>
        <v>0</v>
      </c>
      <c r="K70" s="60">
        <f>'BAU Comparison - Production'!K177</f>
        <v>0</v>
      </c>
      <c r="L70" s="60">
        <f>'BAU Comparison - Production'!L177</f>
        <v>0</v>
      </c>
      <c r="M70" s="60">
        <f>'BAU Comparison - Production'!M177</f>
        <v>0</v>
      </c>
      <c r="N70" s="60">
        <f>'BAU Comparison - Production'!N177</f>
        <v>0</v>
      </c>
      <c r="O70" s="60">
        <f>'BAU Comparison - Production'!O177</f>
        <v>0</v>
      </c>
      <c r="P70" s="60">
        <f>'BAU Comparison - Production'!P177</f>
        <v>0</v>
      </c>
      <c r="Q70" s="60">
        <f>'BAU Comparison - Production'!Q177</f>
        <v>0</v>
      </c>
      <c r="R70" s="60">
        <f>'BAU Comparison - Production'!R177</f>
        <v>0</v>
      </c>
      <c r="S70" s="60">
        <f>'BAU Comparison - Production'!S177</f>
        <v>0</v>
      </c>
      <c r="T70" s="60">
        <f>'BAU Comparison - Production'!T177</f>
        <v>0</v>
      </c>
      <c r="U70" s="60">
        <f>'BAU Comparison - Production'!U177</f>
        <v>0</v>
      </c>
      <c r="V70" s="60">
        <f>'BAU Comparison - Production'!V177</f>
        <v>0</v>
      </c>
      <c r="W70" s="60">
        <f>'BAU Comparison - Production'!W177</f>
        <v>0</v>
      </c>
      <c r="X70" s="60">
        <f>'BAU Comparison - Production'!X177</f>
        <v>0</v>
      </c>
      <c r="Y70" s="60">
        <f>'BAU Comparison - Production'!Y177</f>
        <v>0</v>
      </c>
      <c r="Z70" s="60">
        <f>'BAU Comparison - Production'!Z177</f>
        <v>0</v>
      </c>
      <c r="AA70" s="60">
        <f>'BAU Comparison - Production'!AA177</f>
        <v>0</v>
      </c>
      <c r="AB70" s="61">
        <f>'BAU Comparison - Production'!AB177</f>
        <v>0</v>
      </c>
      <c r="AC70" s="59"/>
    </row>
    <row r="71" spans="1:29" ht="15" customHeight="1">
      <c r="A71" s="520"/>
      <c r="B71" s="2" t="str">
        <f>'BAU Comparison - Production'!B178</f>
        <v>San Franscisco Bay Area</v>
      </c>
      <c r="C71" s="51" t="s">
        <v>240</v>
      </c>
      <c r="D71" s="393">
        <f>'BAU Comparison - Production'!D178</f>
        <v>0</v>
      </c>
      <c r="E71" s="60">
        <f>'BAU Comparison - Production'!E178</f>
        <v>0</v>
      </c>
      <c r="F71" s="60">
        <f>'BAU Comparison - Production'!F178</f>
        <v>0</v>
      </c>
      <c r="G71" s="60">
        <f>'BAU Comparison - Production'!G178</f>
        <v>0</v>
      </c>
      <c r="H71" s="60">
        <f>'BAU Comparison - Production'!H178</f>
        <v>0</v>
      </c>
      <c r="I71" s="60">
        <f>'BAU Comparison - Production'!I178</f>
        <v>0</v>
      </c>
      <c r="J71" s="60">
        <f>'BAU Comparison - Production'!J178</f>
        <v>0</v>
      </c>
      <c r="K71" s="60">
        <f>'BAU Comparison - Production'!K178</f>
        <v>0</v>
      </c>
      <c r="L71" s="60">
        <f>'BAU Comparison - Production'!L178</f>
        <v>0</v>
      </c>
      <c r="M71" s="60">
        <f>'BAU Comparison - Production'!M178</f>
        <v>0</v>
      </c>
      <c r="N71" s="60">
        <f>'BAU Comparison - Production'!N178</f>
        <v>0</v>
      </c>
      <c r="O71" s="60">
        <f>'BAU Comparison - Production'!O178</f>
        <v>0</v>
      </c>
      <c r="P71" s="60">
        <f>'BAU Comparison - Production'!P178</f>
        <v>0</v>
      </c>
      <c r="Q71" s="60">
        <f>'BAU Comparison - Production'!Q178</f>
        <v>0</v>
      </c>
      <c r="R71" s="60">
        <f>'BAU Comparison - Production'!R178</f>
        <v>0</v>
      </c>
      <c r="S71" s="60">
        <f>'BAU Comparison - Production'!S178</f>
        <v>0</v>
      </c>
      <c r="T71" s="60">
        <f>'BAU Comparison - Production'!T178</f>
        <v>0</v>
      </c>
      <c r="U71" s="60">
        <f>'BAU Comparison - Production'!U178</f>
        <v>0</v>
      </c>
      <c r="V71" s="60">
        <f>'BAU Comparison - Production'!V178</f>
        <v>0</v>
      </c>
      <c r="W71" s="60">
        <f>'BAU Comparison - Production'!W178</f>
        <v>0</v>
      </c>
      <c r="X71" s="60">
        <f>'BAU Comparison - Production'!X178</f>
        <v>0</v>
      </c>
      <c r="Y71" s="60">
        <f>'BAU Comparison - Production'!Y178</f>
        <v>0</v>
      </c>
      <c r="Z71" s="60">
        <f>'BAU Comparison - Production'!Z178</f>
        <v>0</v>
      </c>
      <c r="AA71" s="60">
        <f>'BAU Comparison - Production'!AA178</f>
        <v>0</v>
      </c>
      <c r="AB71" s="61">
        <f>'BAU Comparison - Production'!AB178</f>
        <v>0</v>
      </c>
      <c r="AC71" s="59"/>
    </row>
    <row r="72" spans="1:29" ht="15" customHeight="1">
      <c r="A72" s="520"/>
      <c r="B72" s="2" t="str">
        <f>'BAU Comparison - Production'!B179</f>
        <v xml:space="preserve">San Joaquin Valley </v>
      </c>
      <c r="C72" s="51" t="s">
        <v>240</v>
      </c>
      <c r="D72" s="393">
        <f>'BAU Comparison - Production'!D179</f>
        <v>0</v>
      </c>
      <c r="E72" s="60">
        <f>'BAU Comparison - Production'!E179</f>
        <v>0</v>
      </c>
      <c r="F72" s="60">
        <f>'BAU Comparison - Production'!F179</f>
        <v>0</v>
      </c>
      <c r="G72" s="60">
        <f>'BAU Comparison - Production'!G179</f>
        <v>31.486406369306021</v>
      </c>
      <c r="H72" s="60">
        <f>'BAU Comparison - Production'!H179</f>
        <v>35.386974365907086</v>
      </c>
      <c r="I72" s="60">
        <f>'BAU Comparison - Production'!I179</f>
        <v>13.700496298150538</v>
      </c>
      <c r="J72" s="60">
        <f>'BAU Comparison - Production'!J179</f>
        <v>23.649919865636953</v>
      </c>
      <c r="K72" s="60">
        <f>'BAU Comparison - Production'!K179</f>
        <v>6.0263373243328031</v>
      </c>
      <c r="L72" s="60">
        <f>'BAU Comparison - Production'!L179</f>
        <v>0</v>
      </c>
      <c r="M72" s="60">
        <f>'BAU Comparison - Production'!M179</f>
        <v>0</v>
      </c>
      <c r="N72" s="60">
        <f>'BAU Comparison - Production'!N179</f>
        <v>0</v>
      </c>
      <c r="O72" s="60">
        <f>'BAU Comparison - Production'!O179</f>
        <v>0.43977730630494871</v>
      </c>
      <c r="P72" s="60">
        <f>'BAU Comparison - Production'!P179</f>
        <v>6.3159977430916285</v>
      </c>
      <c r="Q72" s="60">
        <f>'BAU Comparison - Production'!Q179</f>
        <v>10.307707978333307</v>
      </c>
      <c r="R72" s="60">
        <f>'BAU Comparison - Production'!R179</f>
        <v>10.307707978333305</v>
      </c>
      <c r="S72" s="60">
        <f>'BAU Comparison - Production'!S179</f>
        <v>24.629601910529445</v>
      </c>
      <c r="T72" s="60">
        <f>'BAU Comparison - Production'!T179</f>
        <v>24.629601910529434</v>
      </c>
      <c r="U72" s="60">
        <f>'BAU Comparison - Production'!U179</f>
        <v>29.558636118491652</v>
      </c>
      <c r="V72" s="60">
        <f>'BAU Comparison - Production'!V179</f>
        <v>36.895581882194882</v>
      </c>
      <c r="W72" s="60">
        <f>'BAU Comparison - Production'!W179</f>
        <v>36.203024418035305</v>
      </c>
      <c r="X72" s="60">
        <f>'BAU Comparison - Production'!X179</f>
        <v>36.4058166286516</v>
      </c>
      <c r="Y72" s="60">
        <f>'BAU Comparison - Production'!Y179</f>
        <v>36.640338785724779</v>
      </c>
      <c r="Z72" s="60">
        <f>'BAU Comparison - Production'!Z179</f>
        <v>31.836044035646637</v>
      </c>
      <c r="AA72" s="60">
        <f>'BAU Comparison - Production'!AA179</f>
        <v>29.401135534582536</v>
      </c>
      <c r="AB72" s="61">
        <f>'BAU Comparison - Production'!AB179</f>
        <v>27.492522084961298</v>
      </c>
      <c r="AC72" s="59"/>
    </row>
    <row r="73" spans="1:29" ht="15" customHeight="1">
      <c r="A73" s="520"/>
      <c r="B73" s="2" t="str">
        <f>'BAU Comparison - Production'!B180</f>
        <v>South Central Coast</v>
      </c>
      <c r="C73" s="51" t="s">
        <v>240</v>
      </c>
      <c r="D73" s="393">
        <f>'BAU Comparison - Production'!D180</f>
        <v>0</v>
      </c>
      <c r="E73" s="60">
        <f>'BAU Comparison - Production'!E180</f>
        <v>0</v>
      </c>
      <c r="F73" s="60">
        <f>'BAU Comparison - Production'!F180</f>
        <v>0</v>
      </c>
      <c r="G73" s="60">
        <f>'BAU Comparison - Production'!G180</f>
        <v>0</v>
      </c>
      <c r="H73" s="60">
        <f>'BAU Comparison - Production'!H180</f>
        <v>0</v>
      </c>
      <c r="I73" s="60">
        <f>'BAU Comparison - Production'!I180</f>
        <v>0</v>
      </c>
      <c r="J73" s="60">
        <f>'BAU Comparison - Production'!J180</f>
        <v>0</v>
      </c>
      <c r="K73" s="60">
        <f>'BAU Comparison - Production'!K180</f>
        <v>0</v>
      </c>
      <c r="L73" s="60">
        <f>'BAU Comparison - Production'!L180</f>
        <v>0</v>
      </c>
      <c r="M73" s="60">
        <f>'BAU Comparison - Production'!M180</f>
        <v>0</v>
      </c>
      <c r="N73" s="60">
        <f>'BAU Comparison - Production'!N180</f>
        <v>0</v>
      </c>
      <c r="O73" s="60">
        <f>'BAU Comparison - Production'!O180</f>
        <v>0</v>
      </c>
      <c r="P73" s="60">
        <f>'BAU Comparison - Production'!P180</f>
        <v>0</v>
      </c>
      <c r="Q73" s="60">
        <f>'BAU Comparison - Production'!Q180</f>
        <v>0</v>
      </c>
      <c r="R73" s="60">
        <f>'BAU Comparison - Production'!R180</f>
        <v>0</v>
      </c>
      <c r="S73" s="60">
        <f>'BAU Comparison - Production'!S180</f>
        <v>0</v>
      </c>
      <c r="T73" s="60">
        <f>'BAU Comparison - Production'!T180</f>
        <v>0</v>
      </c>
      <c r="U73" s="60">
        <f>'BAU Comparison - Production'!U180</f>
        <v>0</v>
      </c>
      <c r="V73" s="60">
        <f>'BAU Comparison - Production'!V180</f>
        <v>0</v>
      </c>
      <c r="W73" s="60">
        <f>'BAU Comparison - Production'!W180</f>
        <v>0</v>
      </c>
      <c r="X73" s="60">
        <f>'BAU Comparison - Production'!X180</f>
        <v>0</v>
      </c>
      <c r="Y73" s="60">
        <f>'BAU Comparison - Production'!Y180</f>
        <v>0</v>
      </c>
      <c r="Z73" s="60">
        <f>'BAU Comparison - Production'!Z180</f>
        <v>0</v>
      </c>
      <c r="AA73" s="60">
        <f>'BAU Comparison - Production'!AA180</f>
        <v>0</v>
      </c>
      <c r="AB73" s="61">
        <f>'BAU Comparison - Production'!AB180</f>
        <v>0</v>
      </c>
      <c r="AC73" s="59"/>
    </row>
    <row r="74" spans="1:29" ht="15" customHeight="1">
      <c r="A74" s="520"/>
      <c r="B74" s="2" t="str">
        <f>'BAU Comparison - Production'!B181</f>
        <v>South Coast</v>
      </c>
      <c r="C74" s="51" t="s">
        <v>240</v>
      </c>
      <c r="D74" s="394">
        <f>'BAU Comparison - Production'!D181</f>
        <v>0</v>
      </c>
      <c r="E74" s="64">
        <f>'BAU Comparison - Production'!E181</f>
        <v>0</v>
      </c>
      <c r="F74" s="64">
        <f>'BAU Comparison - Production'!F181</f>
        <v>0</v>
      </c>
      <c r="G74" s="64">
        <f>'BAU Comparison - Production'!G181</f>
        <v>1.5105418833888817</v>
      </c>
      <c r="H74" s="64">
        <f>'BAU Comparison - Production'!H181</f>
        <v>1.6976693459123871</v>
      </c>
      <c r="I74" s="64">
        <f>'BAU Comparison - Production'!I181</f>
        <v>0.65727327656372514</v>
      </c>
      <c r="J74" s="64">
        <f>'BAU Comparison - Production'!J181</f>
        <v>1.134591038330131</v>
      </c>
      <c r="K74" s="64">
        <f>'BAU Comparison - Production'!K181</f>
        <v>0.28910999956820482</v>
      </c>
      <c r="L74" s="64">
        <f>'BAU Comparison - Production'!L181</f>
        <v>0</v>
      </c>
      <c r="M74" s="64">
        <f>'BAU Comparison - Production'!M181</f>
        <v>0</v>
      </c>
      <c r="N74" s="64">
        <f>'BAU Comparison - Production'!N181</f>
        <v>0</v>
      </c>
      <c r="O74" s="64">
        <f>'BAU Comparison - Production'!O181</f>
        <v>2.1098058404821634E-2</v>
      </c>
      <c r="P74" s="64">
        <f>'BAU Comparison - Production'!P181</f>
        <v>0.30300628831463033</v>
      </c>
      <c r="Q74" s="64">
        <f>'BAU Comparison - Production'!Q181</f>
        <v>0.49450624629530793</v>
      </c>
      <c r="R74" s="64">
        <f>'BAU Comparison - Production'!R181</f>
        <v>0.49450624629530776</v>
      </c>
      <c r="S74" s="64">
        <f>'BAU Comparison - Production'!S181</f>
        <v>1.1815907099934169</v>
      </c>
      <c r="T74" s="64">
        <f>'BAU Comparison - Production'!T181</f>
        <v>1.1815907099934164</v>
      </c>
      <c r="U74" s="64">
        <f>'BAU Comparison - Production'!U181</f>
        <v>1.4180582359617531</v>
      </c>
      <c r="V74" s="64">
        <f>'BAU Comparison - Production'!V181</f>
        <v>1.770043906928326</v>
      </c>
      <c r="W74" s="64">
        <f>'BAU Comparison - Production'!W181</f>
        <v>1.7368188686690713</v>
      </c>
      <c r="X74" s="64">
        <f>'BAU Comparison - Production'!X181</f>
        <v>1.7465477060653753</v>
      </c>
      <c r="Y74" s="64">
        <f>'BAU Comparison - Production'!Y181</f>
        <v>1.7577987690379693</v>
      </c>
      <c r="Z74" s="64">
        <f>'BAU Comparison - Production'!Z181</f>
        <v>1.5273155454201477</v>
      </c>
      <c r="AA74" s="64">
        <f>'BAU Comparison - Production'!AA181</f>
        <v>1.410502237799802</v>
      </c>
      <c r="AB74" s="65">
        <f>'BAU Comparison - Production'!AB181</f>
        <v>1.3189376266772477</v>
      </c>
      <c r="AC74" s="59"/>
    </row>
    <row r="75" spans="1:29" ht="15.75" customHeight="1">
      <c r="A75" s="520"/>
      <c r="B75" s="72" t="str">
        <f>'BAU Comparison - Production'!B182</f>
        <v>STATEWIDE</v>
      </c>
      <c r="C75" s="73" t="s">
        <v>240</v>
      </c>
      <c r="D75" s="175">
        <f>'BAU Comparison - Production'!D182</f>
        <v>0</v>
      </c>
      <c r="E75" s="175">
        <f>'BAU Comparison - Production'!E182</f>
        <v>0</v>
      </c>
      <c r="F75" s="175">
        <f>'BAU Comparison - Production'!F182</f>
        <v>0</v>
      </c>
      <c r="G75" s="175">
        <f>'BAU Comparison - Production'!G182</f>
        <v>33.567597408641817</v>
      </c>
      <c r="H75" s="175">
        <f>'BAU Comparison - Production'!H182</f>
        <v>37.725985464719706</v>
      </c>
      <c r="I75" s="175">
        <f>'BAU Comparison - Production'!I182</f>
        <v>14.606072812527225</v>
      </c>
      <c r="J75" s="175">
        <f>'BAU Comparison - Production'!J182</f>
        <v>25.213134185114022</v>
      </c>
      <c r="K75" s="175">
        <f>'BAU Comparison - Production'!K182</f>
        <v>6.424666657071219</v>
      </c>
      <c r="L75" s="175">
        <f>'BAU Comparison - Production'!L182</f>
        <v>0</v>
      </c>
      <c r="M75" s="175">
        <f>'BAU Comparison - Production'!M182</f>
        <v>0</v>
      </c>
      <c r="N75" s="175">
        <f>'BAU Comparison - Production'!N182</f>
        <v>0</v>
      </c>
      <c r="O75" s="175">
        <f>'BAU Comparison - Production'!O182</f>
        <v>0.46884574232936965</v>
      </c>
      <c r="P75" s="175">
        <f>'BAU Comparison - Production'!P182</f>
        <v>6.7334730736584527</v>
      </c>
      <c r="Q75" s="175">
        <f>'BAU Comparison - Production'!Q182</f>
        <v>10.989027695451286</v>
      </c>
      <c r="R75" s="175">
        <f>'BAU Comparison - Production'!R182</f>
        <v>10.989027695451284</v>
      </c>
      <c r="S75" s="175">
        <f>'BAU Comparison - Production'!S182</f>
        <v>26.257571333187045</v>
      </c>
      <c r="T75" s="175">
        <f>'BAU Comparison - Production'!T182</f>
        <v>26.25757133318703</v>
      </c>
      <c r="U75" s="175">
        <f>'BAU Comparison - Production'!U182</f>
        <v>31.512405243594511</v>
      </c>
      <c r="V75" s="175">
        <f>'BAU Comparison - Production'!V182</f>
        <v>39.334309042851693</v>
      </c>
      <c r="W75" s="175">
        <f>'BAU Comparison - Production'!W182</f>
        <v>38.59597485931269</v>
      </c>
      <c r="X75" s="175">
        <f>'BAU Comparison - Production'!X182</f>
        <v>38.812171245897233</v>
      </c>
      <c r="Y75" s="175">
        <f>'BAU Comparison - Production'!Y182</f>
        <v>39.062194867510428</v>
      </c>
      <c r="Z75" s="175">
        <f>'BAU Comparison - Production'!Z182</f>
        <v>33.940345453781056</v>
      </c>
      <c r="AA75" s="175">
        <f>'BAU Comparison - Production'!AA182</f>
        <v>31.344494173328929</v>
      </c>
      <c r="AB75" s="175">
        <f>'BAU Comparison - Production'!AB182</f>
        <v>29.309725037272173</v>
      </c>
      <c r="AC75" s="59"/>
    </row>
    <row r="76" spans="1:29" ht="15.75" customHeight="1">
      <c r="A76" s="520"/>
      <c r="B76" s="72"/>
      <c r="C76" s="72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59"/>
    </row>
    <row r="77" spans="1:29" ht="15.75" customHeight="1">
      <c r="A77" s="520"/>
      <c r="B77" s="86"/>
      <c r="C77" s="86"/>
      <c r="D77" s="523" t="s">
        <v>18931</v>
      </c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  <c r="Y77" s="523"/>
      <c r="Z77" s="523"/>
      <c r="AA77" s="523"/>
      <c r="AB77" s="523"/>
      <c r="AC77" s="59"/>
    </row>
    <row r="78" spans="1:29" ht="15" customHeight="1">
      <c r="A78" s="520"/>
      <c r="B78" s="88" t="s">
        <v>18814</v>
      </c>
      <c r="C78" s="90" t="str">
        <f>'BAU Comparison - Production'!C184</f>
        <v>Units</v>
      </c>
      <c r="D78" s="89">
        <f>'BAU Comparison - Production'!D184</f>
        <v>2022</v>
      </c>
      <c r="E78" s="89">
        <f>'BAU Comparison - Production'!E184</f>
        <v>2023</v>
      </c>
      <c r="F78" s="89">
        <f>'BAU Comparison - Production'!F184</f>
        <v>2024</v>
      </c>
      <c r="G78" s="89">
        <f>'BAU Comparison - Production'!G184</f>
        <v>2025</v>
      </c>
      <c r="H78" s="89">
        <f>'BAU Comparison - Production'!H184</f>
        <v>2026</v>
      </c>
      <c r="I78" s="89">
        <f>'BAU Comparison - Production'!I184</f>
        <v>2027</v>
      </c>
      <c r="J78" s="89">
        <f>'BAU Comparison - Production'!J184</f>
        <v>2028</v>
      </c>
      <c r="K78" s="89">
        <f>'BAU Comparison - Production'!K184</f>
        <v>2029</v>
      </c>
      <c r="L78" s="90">
        <f>'BAU Comparison - Production'!L184</f>
        <v>2030</v>
      </c>
      <c r="M78" s="89">
        <f>'BAU Comparison - Production'!M184</f>
        <v>2031</v>
      </c>
      <c r="N78" s="89">
        <f>'BAU Comparison - Production'!N184</f>
        <v>2032</v>
      </c>
      <c r="O78" s="90">
        <f>'BAU Comparison - Production'!O184</f>
        <v>2033</v>
      </c>
      <c r="P78" s="89">
        <f>'BAU Comparison - Production'!P184</f>
        <v>2034</v>
      </c>
      <c r="Q78" s="89">
        <f>'BAU Comparison - Production'!Q184</f>
        <v>2035</v>
      </c>
      <c r="R78" s="90">
        <f>'BAU Comparison - Production'!R184</f>
        <v>2036</v>
      </c>
      <c r="S78" s="89">
        <f>'BAU Comparison - Production'!S184</f>
        <v>2037</v>
      </c>
      <c r="T78" s="89">
        <f>'BAU Comparison - Production'!T184</f>
        <v>2038</v>
      </c>
      <c r="U78" s="90">
        <f>'BAU Comparison - Production'!U184</f>
        <v>2039</v>
      </c>
      <c r="V78" s="89">
        <f>'BAU Comparison - Production'!V184</f>
        <v>2040</v>
      </c>
      <c r="W78" s="89">
        <f>'BAU Comparison - Production'!W184</f>
        <v>2041</v>
      </c>
      <c r="X78" s="90">
        <f>'BAU Comparison - Production'!X184</f>
        <v>2042</v>
      </c>
      <c r="Y78" s="89">
        <f>'BAU Comparison - Production'!Y184</f>
        <v>2043</v>
      </c>
      <c r="Z78" s="89">
        <f>'BAU Comparison - Production'!Z184</f>
        <v>2044</v>
      </c>
      <c r="AA78" s="90">
        <f>'BAU Comparison - Production'!AA184</f>
        <v>2045</v>
      </c>
      <c r="AB78" s="89">
        <f>'BAU Comparison - Production'!AB184</f>
        <v>2046</v>
      </c>
      <c r="AC78" s="59"/>
    </row>
    <row r="79" spans="1:29" ht="15" customHeight="1">
      <c r="A79" s="520"/>
      <c r="B79" s="2" t="str">
        <f>'BAU Comparison - Production'!B185</f>
        <v>Great Basin Valleys</v>
      </c>
      <c r="C79" s="51" t="s">
        <v>240</v>
      </c>
      <c r="D79" s="104">
        <f>'BAU Comparison - Production'!D185</f>
        <v>0</v>
      </c>
      <c r="E79" s="79">
        <f>'BAU Comparison - Production'!E185</f>
        <v>0</v>
      </c>
      <c r="F79" s="79">
        <f>'BAU Comparison - Production'!F185</f>
        <v>0</v>
      </c>
      <c r="G79" s="79">
        <f>'BAU Comparison - Production'!G185</f>
        <v>0</v>
      </c>
      <c r="H79" s="79">
        <f>'BAU Comparison - Production'!H185</f>
        <v>0</v>
      </c>
      <c r="I79" s="79">
        <f>'BAU Comparison - Production'!I185</f>
        <v>0</v>
      </c>
      <c r="J79" s="79">
        <f>'BAU Comparison - Production'!J185</f>
        <v>0</v>
      </c>
      <c r="K79" s="79">
        <f>'BAU Comparison - Production'!K185</f>
        <v>0</v>
      </c>
      <c r="L79" s="79">
        <f>'BAU Comparison - Production'!L185</f>
        <v>0</v>
      </c>
      <c r="M79" s="79">
        <f>'BAU Comparison - Production'!M185</f>
        <v>0</v>
      </c>
      <c r="N79" s="79">
        <f>'BAU Comparison - Production'!N185</f>
        <v>0</v>
      </c>
      <c r="O79" s="79">
        <f>'BAU Comparison - Production'!O185</f>
        <v>0</v>
      </c>
      <c r="P79" s="79">
        <f>'BAU Comparison - Production'!P185</f>
        <v>0</v>
      </c>
      <c r="Q79" s="79">
        <f>'BAU Comparison - Production'!Q185</f>
        <v>0</v>
      </c>
      <c r="R79" s="79">
        <f>'BAU Comparison - Production'!R185</f>
        <v>0</v>
      </c>
      <c r="S79" s="79">
        <f>'BAU Comparison - Production'!S185</f>
        <v>0</v>
      </c>
      <c r="T79" s="79">
        <f>'BAU Comparison - Production'!T185</f>
        <v>0</v>
      </c>
      <c r="U79" s="79">
        <f>'BAU Comparison - Production'!U185</f>
        <v>0</v>
      </c>
      <c r="V79" s="79">
        <f>'BAU Comparison - Production'!V185</f>
        <v>0</v>
      </c>
      <c r="W79" s="79">
        <f>'BAU Comparison - Production'!W185</f>
        <v>0</v>
      </c>
      <c r="X79" s="79">
        <f>'BAU Comparison - Production'!X185</f>
        <v>0</v>
      </c>
      <c r="Y79" s="79">
        <f>'BAU Comparison - Production'!Y185</f>
        <v>0</v>
      </c>
      <c r="Z79" s="79">
        <f>'BAU Comparison - Production'!Z185</f>
        <v>0</v>
      </c>
      <c r="AA79" s="79">
        <f>'BAU Comparison - Production'!AA185</f>
        <v>0</v>
      </c>
      <c r="AB79" s="80">
        <f>'BAU Comparison - Production'!AB185</f>
        <v>0</v>
      </c>
      <c r="AC79" s="59"/>
    </row>
    <row r="80" spans="1:29" ht="15" customHeight="1">
      <c r="A80" s="520"/>
      <c r="B80" s="2" t="str">
        <f>'BAU Comparison - Production'!B186</f>
        <v xml:space="preserve">Lake County </v>
      </c>
      <c r="C80" s="51" t="s">
        <v>240</v>
      </c>
      <c r="D80" s="393">
        <f>'BAU Comparison - Production'!D186</f>
        <v>0</v>
      </c>
      <c r="E80" s="60">
        <f>'BAU Comparison - Production'!E186</f>
        <v>0</v>
      </c>
      <c r="F80" s="60">
        <f>'BAU Comparison - Production'!F186</f>
        <v>0</v>
      </c>
      <c r="G80" s="60">
        <f>'BAU Comparison - Production'!G186</f>
        <v>0</v>
      </c>
      <c r="H80" s="60">
        <f>'BAU Comparison - Production'!H186</f>
        <v>0</v>
      </c>
      <c r="I80" s="60">
        <f>'BAU Comparison - Production'!I186</f>
        <v>0</v>
      </c>
      <c r="J80" s="60">
        <f>'BAU Comparison - Production'!J186</f>
        <v>0</v>
      </c>
      <c r="K80" s="60">
        <f>'BAU Comparison - Production'!K186</f>
        <v>0</v>
      </c>
      <c r="L80" s="60">
        <f>'BAU Comparison - Production'!L186</f>
        <v>0</v>
      </c>
      <c r="M80" s="60">
        <f>'BAU Comparison - Production'!M186</f>
        <v>0</v>
      </c>
      <c r="N80" s="60">
        <f>'BAU Comparison - Production'!N186</f>
        <v>0</v>
      </c>
      <c r="O80" s="60">
        <f>'BAU Comparison - Production'!O186</f>
        <v>0</v>
      </c>
      <c r="P80" s="60">
        <f>'BAU Comparison - Production'!P186</f>
        <v>0</v>
      </c>
      <c r="Q80" s="60">
        <f>'BAU Comparison - Production'!Q186</f>
        <v>0</v>
      </c>
      <c r="R80" s="60">
        <f>'BAU Comparison - Production'!R186</f>
        <v>0</v>
      </c>
      <c r="S80" s="60">
        <f>'BAU Comparison - Production'!S186</f>
        <v>0</v>
      </c>
      <c r="T80" s="60">
        <f>'BAU Comparison - Production'!T186</f>
        <v>0</v>
      </c>
      <c r="U80" s="60">
        <f>'BAU Comparison - Production'!U186</f>
        <v>0</v>
      </c>
      <c r="V80" s="60">
        <f>'BAU Comparison - Production'!V186</f>
        <v>0</v>
      </c>
      <c r="W80" s="60">
        <f>'BAU Comparison - Production'!W186</f>
        <v>0</v>
      </c>
      <c r="X80" s="60">
        <f>'BAU Comparison - Production'!X186</f>
        <v>0</v>
      </c>
      <c r="Y80" s="60">
        <f>'BAU Comparison - Production'!Y186</f>
        <v>0</v>
      </c>
      <c r="Z80" s="60">
        <f>'BAU Comparison - Production'!Z186</f>
        <v>0</v>
      </c>
      <c r="AA80" s="60">
        <f>'BAU Comparison - Production'!AA186</f>
        <v>0</v>
      </c>
      <c r="AB80" s="61">
        <f>'BAU Comparison - Production'!AB186</f>
        <v>0</v>
      </c>
      <c r="AC80" s="59"/>
    </row>
    <row r="81" spans="1:29" ht="15" customHeight="1">
      <c r="A81" s="520"/>
      <c r="B81" s="2" t="str">
        <f>'BAU Comparison - Production'!B187</f>
        <v xml:space="preserve">Lake Tahoe </v>
      </c>
      <c r="C81" s="51" t="s">
        <v>240</v>
      </c>
      <c r="D81" s="393">
        <f>'BAU Comparison - Production'!D187</f>
        <v>0</v>
      </c>
      <c r="E81" s="60">
        <f>'BAU Comparison - Production'!E187</f>
        <v>0</v>
      </c>
      <c r="F81" s="60">
        <f>'BAU Comparison - Production'!F187</f>
        <v>0</v>
      </c>
      <c r="G81" s="60">
        <f>'BAU Comparison - Production'!G187</f>
        <v>0</v>
      </c>
      <c r="H81" s="60">
        <f>'BAU Comparison - Production'!H187</f>
        <v>0</v>
      </c>
      <c r="I81" s="60">
        <f>'BAU Comparison - Production'!I187</f>
        <v>0</v>
      </c>
      <c r="J81" s="60">
        <f>'BAU Comparison - Production'!J187</f>
        <v>0</v>
      </c>
      <c r="K81" s="60">
        <f>'BAU Comparison - Production'!K187</f>
        <v>0</v>
      </c>
      <c r="L81" s="60">
        <f>'BAU Comparison - Production'!L187</f>
        <v>0</v>
      </c>
      <c r="M81" s="60">
        <f>'BAU Comparison - Production'!M187</f>
        <v>0</v>
      </c>
      <c r="N81" s="60">
        <f>'BAU Comparison - Production'!N187</f>
        <v>0</v>
      </c>
      <c r="O81" s="60">
        <f>'BAU Comparison - Production'!O187</f>
        <v>0</v>
      </c>
      <c r="P81" s="60">
        <f>'BAU Comparison - Production'!P187</f>
        <v>0</v>
      </c>
      <c r="Q81" s="60">
        <f>'BAU Comparison - Production'!Q187</f>
        <v>0</v>
      </c>
      <c r="R81" s="60">
        <f>'BAU Comparison - Production'!R187</f>
        <v>0</v>
      </c>
      <c r="S81" s="60">
        <f>'BAU Comparison - Production'!S187</f>
        <v>0</v>
      </c>
      <c r="T81" s="60">
        <f>'BAU Comparison - Production'!T187</f>
        <v>0</v>
      </c>
      <c r="U81" s="60">
        <f>'BAU Comparison - Production'!U187</f>
        <v>0</v>
      </c>
      <c r="V81" s="60">
        <f>'BAU Comparison - Production'!V187</f>
        <v>0</v>
      </c>
      <c r="W81" s="60">
        <f>'BAU Comparison - Production'!W187</f>
        <v>0</v>
      </c>
      <c r="X81" s="60">
        <f>'BAU Comparison - Production'!X187</f>
        <v>0</v>
      </c>
      <c r="Y81" s="60">
        <f>'BAU Comparison - Production'!Y187</f>
        <v>0</v>
      </c>
      <c r="Z81" s="60">
        <f>'BAU Comparison - Production'!Z187</f>
        <v>0</v>
      </c>
      <c r="AA81" s="60">
        <f>'BAU Comparison - Production'!AA187</f>
        <v>0</v>
      </c>
      <c r="AB81" s="61">
        <f>'BAU Comparison - Production'!AB187</f>
        <v>0</v>
      </c>
      <c r="AC81" s="59"/>
    </row>
    <row r="82" spans="1:29" ht="15" customHeight="1">
      <c r="A82" s="520"/>
      <c r="B82" s="2" t="str">
        <f>'BAU Comparison - Production'!B188</f>
        <v>Mojave Desert</v>
      </c>
      <c r="C82" s="51" t="s">
        <v>240</v>
      </c>
      <c r="D82" s="393">
        <f>'BAU Comparison - Production'!D188</f>
        <v>0</v>
      </c>
      <c r="E82" s="60">
        <f>'BAU Comparison - Production'!E188</f>
        <v>0</v>
      </c>
      <c r="F82" s="60">
        <f>'BAU Comparison - Production'!F188</f>
        <v>0</v>
      </c>
      <c r="G82" s="60">
        <f>'BAU Comparison - Production'!G188</f>
        <v>0</v>
      </c>
      <c r="H82" s="60">
        <f>'BAU Comparison - Production'!H188</f>
        <v>0</v>
      </c>
      <c r="I82" s="60">
        <f>'BAU Comparison - Production'!I188</f>
        <v>0</v>
      </c>
      <c r="J82" s="60">
        <f>'BAU Comparison - Production'!J188</f>
        <v>0</v>
      </c>
      <c r="K82" s="60">
        <f>'BAU Comparison - Production'!K188</f>
        <v>0</v>
      </c>
      <c r="L82" s="60">
        <f>'BAU Comparison - Production'!L188</f>
        <v>0</v>
      </c>
      <c r="M82" s="60">
        <f>'BAU Comparison - Production'!M188</f>
        <v>0</v>
      </c>
      <c r="N82" s="60">
        <f>'BAU Comparison - Production'!N188</f>
        <v>0</v>
      </c>
      <c r="O82" s="60">
        <f>'BAU Comparison - Production'!O188</f>
        <v>0</v>
      </c>
      <c r="P82" s="60">
        <f>'BAU Comparison - Production'!P188</f>
        <v>0</v>
      </c>
      <c r="Q82" s="60">
        <f>'BAU Comparison - Production'!Q188</f>
        <v>0</v>
      </c>
      <c r="R82" s="60">
        <f>'BAU Comparison - Production'!R188</f>
        <v>0</v>
      </c>
      <c r="S82" s="60">
        <f>'BAU Comparison - Production'!S188</f>
        <v>0</v>
      </c>
      <c r="T82" s="60">
        <f>'BAU Comparison - Production'!T188</f>
        <v>0</v>
      </c>
      <c r="U82" s="60">
        <f>'BAU Comparison - Production'!U188</f>
        <v>0</v>
      </c>
      <c r="V82" s="60">
        <f>'BAU Comparison - Production'!V188</f>
        <v>0</v>
      </c>
      <c r="W82" s="60">
        <f>'BAU Comparison - Production'!W188</f>
        <v>0</v>
      </c>
      <c r="X82" s="60">
        <f>'BAU Comparison - Production'!X188</f>
        <v>0</v>
      </c>
      <c r="Y82" s="60">
        <f>'BAU Comparison - Production'!Y188</f>
        <v>0</v>
      </c>
      <c r="Z82" s="60">
        <f>'BAU Comparison - Production'!Z188</f>
        <v>0</v>
      </c>
      <c r="AA82" s="60">
        <f>'BAU Comparison - Production'!AA188</f>
        <v>0</v>
      </c>
      <c r="AB82" s="61">
        <f>'BAU Comparison - Production'!AB188</f>
        <v>0</v>
      </c>
      <c r="AC82" s="59"/>
    </row>
    <row r="83" spans="1:29" ht="15" customHeight="1">
      <c r="A83" s="520"/>
      <c r="B83" s="2" t="str">
        <f>'BAU Comparison - Production'!B189</f>
        <v xml:space="preserve">Mountain Counties </v>
      </c>
      <c r="C83" s="51" t="s">
        <v>240</v>
      </c>
      <c r="D83" s="393">
        <f>'BAU Comparison - Production'!D189</f>
        <v>0</v>
      </c>
      <c r="E83" s="60">
        <f>'BAU Comparison - Production'!E189</f>
        <v>0</v>
      </c>
      <c r="F83" s="60">
        <f>'BAU Comparison - Production'!F189</f>
        <v>0</v>
      </c>
      <c r="G83" s="60">
        <f>'BAU Comparison - Production'!G189</f>
        <v>0</v>
      </c>
      <c r="H83" s="60">
        <f>'BAU Comparison - Production'!H189</f>
        <v>0</v>
      </c>
      <c r="I83" s="60">
        <f>'BAU Comparison - Production'!I189</f>
        <v>0</v>
      </c>
      <c r="J83" s="60">
        <f>'BAU Comparison - Production'!J189</f>
        <v>0</v>
      </c>
      <c r="K83" s="60">
        <f>'BAU Comparison - Production'!K189</f>
        <v>0</v>
      </c>
      <c r="L83" s="60">
        <f>'BAU Comparison - Production'!L189</f>
        <v>0</v>
      </c>
      <c r="M83" s="60">
        <f>'BAU Comparison - Production'!M189</f>
        <v>0</v>
      </c>
      <c r="N83" s="60">
        <f>'BAU Comparison - Production'!N189</f>
        <v>0</v>
      </c>
      <c r="O83" s="60">
        <f>'BAU Comparison - Production'!O189</f>
        <v>0</v>
      </c>
      <c r="P83" s="60">
        <f>'BAU Comparison - Production'!P189</f>
        <v>0</v>
      </c>
      <c r="Q83" s="60">
        <f>'BAU Comparison - Production'!Q189</f>
        <v>0</v>
      </c>
      <c r="R83" s="60">
        <f>'BAU Comparison - Production'!R189</f>
        <v>0</v>
      </c>
      <c r="S83" s="60">
        <f>'BAU Comparison - Production'!S189</f>
        <v>0</v>
      </c>
      <c r="T83" s="60">
        <f>'BAU Comparison - Production'!T189</f>
        <v>0</v>
      </c>
      <c r="U83" s="60">
        <f>'BAU Comparison - Production'!U189</f>
        <v>0</v>
      </c>
      <c r="V83" s="60">
        <f>'BAU Comparison - Production'!V189</f>
        <v>0</v>
      </c>
      <c r="W83" s="60">
        <f>'BAU Comparison - Production'!W189</f>
        <v>0</v>
      </c>
      <c r="X83" s="60">
        <f>'BAU Comparison - Production'!X189</f>
        <v>0</v>
      </c>
      <c r="Y83" s="60">
        <f>'BAU Comparison - Production'!Y189</f>
        <v>0</v>
      </c>
      <c r="Z83" s="60">
        <f>'BAU Comparison - Production'!Z189</f>
        <v>0</v>
      </c>
      <c r="AA83" s="60">
        <f>'BAU Comparison - Production'!AA189</f>
        <v>0</v>
      </c>
      <c r="AB83" s="61">
        <f>'BAU Comparison - Production'!AB189</f>
        <v>0</v>
      </c>
      <c r="AC83" s="59"/>
    </row>
    <row r="84" spans="1:29" ht="15" customHeight="1">
      <c r="A84" s="520"/>
      <c r="B84" s="2" t="str">
        <f>'BAU Comparison - Production'!B190</f>
        <v>North Central coast</v>
      </c>
      <c r="C84" s="51" t="s">
        <v>240</v>
      </c>
      <c r="D84" s="393">
        <f>'BAU Comparison - Production'!D190</f>
        <v>0</v>
      </c>
      <c r="E84" s="60">
        <f>'BAU Comparison - Production'!E190</f>
        <v>0</v>
      </c>
      <c r="F84" s="60">
        <f>'BAU Comparison - Production'!F190</f>
        <v>0</v>
      </c>
      <c r="G84" s="60">
        <f>'BAU Comparison - Production'!G190</f>
        <v>0</v>
      </c>
      <c r="H84" s="60">
        <f>'BAU Comparison - Production'!H190</f>
        <v>0</v>
      </c>
      <c r="I84" s="60">
        <f>'BAU Comparison - Production'!I190</f>
        <v>0</v>
      </c>
      <c r="J84" s="60">
        <f>'BAU Comparison - Production'!J190</f>
        <v>0</v>
      </c>
      <c r="K84" s="60">
        <f>'BAU Comparison - Production'!K190</f>
        <v>0</v>
      </c>
      <c r="L84" s="60">
        <f>'BAU Comparison - Production'!L190</f>
        <v>0</v>
      </c>
      <c r="M84" s="60">
        <f>'BAU Comparison - Production'!M190</f>
        <v>0</v>
      </c>
      <c r="N84" s="60">
        <f>'BAU Comparison - Production'!N190</f>
        <v>0</v>
      </c>
      <c r="O84" s="60">
        <f>'BAU Comparison - Production'!O190</f>
        <v>0</v>
      </c>
      <c r="P84" s="60">
        <f>'BAU Comparison - Production'!P190</f>
        <v>0</v>
      </c>
      <c r="Q84" s="60">
        <f>'BAU Comparison - Production'!Q190</f>
        <v>0</v>
      </c>
      <c r="R84" s="60">
        <f>'BAU Comparison - Production'!R190</f>
        <v>0</v>
      </c>
      <c r="S84" s="60">
        <f>'BAU Comparison - Production'!S190</f>
        <v>0</v>
      </c>
      <c r="T84" s="60">
        <f>'BAU Comparison - Production'!T190</f>
        <v>0</v>
      </c>
      <c r="U84" s="60">
        <f>'BAU Comparison - Production'!U190</f>
        <v>0</v>
      </c>
      <c r="V84" s="60">
        <f>'BAU Comparison - Production'!V190</f>
        <v>0</v>
      </c>
      <c r="W84" s="60">
        <f>'BAU Comparison - Production'!W190</f>
        <v>0</v>
      </c>
      <c r="X84" s="60">
        <f>'BAU Comparison - Production'!X190</f>
        <v>0</v>
      </c>
      <c r="Y84" s="60">
        <f>'BAU Comparison - Production'!Y190</f>
        <v>0</v>
      </c>
      <c r="Z84" s="60">
        <f>'BAU Comparison - Production'!Z190</f>
        <v>0</v>
      </c>
      <c r="AA84" s="60">
        <f>'BAU Comparison - Production'!AA190</f>
        <v>0</v>
      </c>
      <c r="AB84" s="61">
        <f>'BAU Comparison - Production'!AB190</f>
        <v>0</v>
      </c>
      <c r="AC84" s="59"/>
    </row>
    <row r="85" spans="1:29" ht="15" customHeight="1">
      <c r="A85" s="520"/>
      <c r="B85" s="2" t="str">
        <f>'BAU Comparison - Production'!B191</f>
        <v>North Coast</v>
      </c>
      <c r="C85" s="51" t="s">
        <v>240</v>
      </c>
      <c r="D85" s="393">
        <f>'BAU Comparison - Production'!D191</f>
        <v>0</v>
      </c>
      <c r="E85" s="60">
        <f>'BAU Comparison - Production'!E191</f>
        <v>0</v>
      </c>
      <c r="F85" s="60">
        <f>'BAU Comparison - Production'!F191</f>
        <v>0</v>
      </c>
      <c r="G85" s="60">
        <f>'BAU Comparison - Production'!G191</f>
        <v>0</v>
      </c>
      <c r="H85" s="60">
        <f>'BAU Comparison - Production'!H191</f>
        <v>0</v>
      </c>
      <c r="I85" s="60">
        <f>'BAU Comparison - Production'!I191</f>
        <v>0</v>
      </c>
      <c r="J85" s="60">
        <f>'BAU Comparison - Production'!J191</f>
        <v>0</v>
      </c>
      <c r="K85" s="60">
        <f>'BAU Comparison - Production'!K191</f>
        <v>0</v>
      </c>
      <c r="L85" s="60">
        <f>'BAU Comparison - Production'!L191</f>
        <v>0</v>
      </c>
      <c r="M85" s="60">
        <f>'BAU Comparison - Production'!M191</f>
        <v>0</v>
      </c>
      <c r="N85" s="60">
        <f>'BAU Comparison - Production'!N191</f>
        <v>0</v>
      </c>
      <c r="O85" s="60">
        <f>'BAU Comparison - Production'!O191</f>
        <v>0</v>
      </c>
      <c r="P85" s="60">
        <f>'BAU Comparison - Production'!P191</f>
        <v>0</v>
      </c>
      <c r="Q85" s="60">
        <f>'BAU Comparison - Production'!Q191</f>
        <v>0</v>
      </c>
      <c r="R85" s="60">
        <f>'BAU Comparison - Production'!R191</f>
        <v>0</v>
      </c>
      <c r="S85" s="60">
        <f>'BAU Comparison - Production'!S191</f>
        <v>0</v>
      </c>
      <c r="T85" s="60">
        <f>'BAU Comparison - Production'!T191</f>
        <v>0</v>
      </c>
      <c r="U85" s="60">
        <f>'BAU Comparison - Production'!U191</f>
        <v>0</v>
      </c>
      <c r="V85" s="60">
        <f>'BAU Comparison - Production'!V191</f>
        <v>0</v>
      </c>
      <c r="W85" s="60">
        <f>'BAU Comparison - Production'!W191</f>
        <v>0</v>
      </c>
      <c r="X85" s="60">
        <f>'BAU Comparison - Production'!X191</f>
        <v>0</v>
      </c>
      <c r="Y85" s="60">
        <f>'BAU Comparison - Production'!Y191</f>
        <v>0</v>
      </c>
      <c r="Z85" s="60">
        <f>'BAU Comparison - Production'!Z191</f>
        <v>0</v>
      </c>
      <c r="AA85" s="60">
        <f>'BAU Comparison - Production'!AA191</f>
        <v>0</v>
      </c>
      <c r="AB85" s="61">
        <f>'BAU Comparison - Production'!AB191</f>
        <v>0</v>
      </c>
      <c r="AC85" s="59"/>
    </row>
    <row r="86" spans="1:29" ht="15" customHeight="1">
      <c r="A86" s="520"/>
      <c r="B86" s="2" t="str">
        <f>'BAU Comparison - Production'!B192</f>
        <v>Northeast Plateau</v>
      </c>
      <c r="C86" s="51" t="s">
        <v>240</v>
      </c>
      <c r="D86" s="393">
        <f>'BAU Comparison - Production'!D192</f>
        <v>0</v>
      </c>
      <c r="E86" s="60">
        <f>'BAU Comparison - Production'!E192</f>
        <v>0</v>
      </c>
      <c r="F86" s="60">
        <f>'BAU Comparison - Production'!F192</f>
        <v>0</v>
      </c>
      <c r="G86" s="60">
        <f>'BAU Comparison - Production'!G192</f>
        <v>0</v>
      </c>
      <c r="H86" s="60">
        <f>'BAU Comparison - Production'!H192</f>
        <v>0</v>
      </c>
      <c r="I86" s="60">
        <f>'BAU Comparison - Production'!I192</f>
        <v>0</v>
      </c>
      <c r="J86" s="60">
        <f>'BAU Comparison - Production'!J192</f>
        <v>0</v>
      </c>
      <c r="K86" s="60">
        <f>'BAU Comparison - Production'!K192</f>
        <v>0</v>
      </c>
      <c r="L86" s="60">
        <f>'BAU Comparison - Production'!L192</f>
        <v>0</v>
      </c>
      <c r="M86" s="60">
        <f>'BAU Comparison - Production'!M192</f>
        <v>0</v>
      </c>
      <c r="N86" s="60">
        <f>'BAU Comparison - Production'!N192</f>
        <v>0</v>
      </c>
      <c r="O86" s="60">
        <f>'BAU Comparison - Production'!O192</f>
        <v>0</v>
      </c>
      <c r="P86" s="60">
        <f>'BAU Comparison - Production'!P192</f>
        <v>0</v>
      </c>
      <c r="Q86" s="60">
        <f>'BAU Comparison - Production'!Q192</f>
        <v>0</v>
      </c>
      <c r="R86" s="60">
        <f>'BAU Comparison - Production'!R192</f>
        <v>0</v>
      </c>
      <c r="S86" s="60">
        <f>'BAU Comparison - Production'!S192</f>
        <v>0</v>
      </c>
      <c r="T86" s="60">
        <f>'BAU Comparison - Production'!T192</f>
        <v>0</v>
      </c>
      <c r="U86" s="60">
        <f>'BAU Comparison - Production'!U192</f>
        <v>0</v>
      </c>
      <c r="V86" s="60">
        <f>'BAU Comparison - Production'!V192</f>
        <v>0</v>
      </c>
      <c r="W86" s="60">
        <f>'BAU Comparison - Production'!W192</f>
        <v>0</v>
      </c>
      <c r="X86" s="60">
        <f>'BAU Comparison - Production'!X192</f>
        <v>0</v>
      </c>
      <c r="Y86" s="60">
        <f>'BAU Comparison - Production'!Y192</f>
        <v>0</v>
      </c>
      <c r="Z86" s="60">
        <f>'BAU Comparison - Production'!Z192</f>
        <v>0</v>
      </c>
      <c r="AA86" s="60">
        <f>'BAU Comparison - Production'!AA192</f>
        <v>0</v>
      </c>
      <c r="AB86" s="61">
        <f>'BAU Comparison - Production'!AB192</f>
        <v>0</v>
      </c>
      <c r="AC86" s="59"/>
    </row>
    <row r="87" spans="1:29" ht="15" customHeight="1">
      <c r="A87" s="520"/>
      <c r="B87" s="2" t="str">
        <f>'BAU Comparison - Production'!B193</f>
        <v xml:space="preserve">Sacramento Valley </v>
      </c>
      <c r="C87" s="51" t="s">
        <v>240</v>
      </c>
      <c r="D87" s="393">
        <f>'BAU Comparison - Production'!D193</f>
        <v>0</v>
      </c>
      <c r="E87" s="60">
        <f>'BAU Comparison - Production'!E193</f>
        <v>0</v>
      </c>
      <c r="F87" s="60">
        <f>'BAU Comparison - Production'!F193</f>
        <v>0</v>
      </c>
      <c r="G87" s="60">
        <f>'BAU Comparison - Production'!G193</f>
        <v>0</v>
      </c>
      <c r="H87" s="60">
        <f>'BAU Comparison - Production'!H193</f>
        <v>0</v>
      </c>
      <c r="I87" s="60">
        <f>'BAU Comparison - Production'!I193</f>
        <v>0</v>
      </c>
      <c r="J87" s="60">
        <f>'BAU Comparison - Production'!J193</f>
        <v>0</v>
      </c>
      <c r="K87" s="60">
        <f>'BAU Comparison - Production'!K193</f>
        <v>0</v>
      </c>
      <c r="L87" s="60">
        <f>'BAU Comparison - Production'!L193</f>
        <v>0</v>
      </c>
      <c r="M87" s="60">
        <f>'BAU Comparison - Production'!M193</f>
        <v>0</v>
      </c>
      <c r="N87" s="60">
        <f>'BAU Comparison - Production'!N193</f>
        <v>0</v>
      </c>
      <c r="O87" s="60">
        <f>'BAU Comparison - Production'!O193</f>
        <v>0</v>
      </c>
      <c r="P87" s="60">
        <f>'BAU Comparison - Production'!P193</f>
        <v>0</v>
      </c>
      <c r="Q87" s="60">
        <f>'BAU Comparison - Production'!Q193</f>
        <v>0</v>
      </c>
      <c r="R87" s="60">
        <f>'BAU Comparison - Production'!R193</f>
        <v>0</v>
      </c>
      <c r="S87" s="60">
        <f>'BAU Comparison - Production'!S193</f>
        <v>0</v>
      </c>
      <c r="T87" s="60">
        <f>'BAU Comparison - Production'!T193</f>
        <v>0</v>
      </c>
      <c r="U87" s="60">
        <f>'BAU Comparison - Production'!U193</f>
        <v>0</v>
      </c>
      <c r="V87" s="60">
        <f>'BAU Comparison - Production'!V193</f>
        <v>0</v>
      </c>
      <c r="W87" s="60">
        <f>'BAU Comparison - Production'!W193</f>
        <v>0</v>
      </c>
      <c r="X87" s="60">
        <f>'BAU Comparison - Production'!X193</f>
        <v>0</v>
      </c>
      <c r="Y87" s="60">
        <f>'BAU Comparison - Production'!Y193</f>
        <v>0</v>
      </c>
      <c r="Z87" s="60">
        <f>'BAU Comparison - Production'!Z193</f>
        <v>0</v>
      </c>
      <c r="AA87" s="60">
        <f>'BAU Comparison - Production'!AA193</f>
        <v>0</v>
      </c>
      <c r="AB87" s="61">
        <f>'BAU Comparison - Production'!AB193</f>
        <v>0</v>
      </c>
      <c r="AC87" s="59"/>
    </row>
    <row r="88" spans="1:29" ht="15" customHeight="1">
      <c r="A88" s="520"/>
      <c r="B88" s="2" t="str">
        <f>'BAU Comparison - Production'!B194</f>
        <v>Salton Sea</v>
      </c>
      <c r="C88" s="51" t="s">
        <v>240</v>
      </c>
      <c r="D88" s="393">
        <f>'BAU Comparison - Production'!D194</f>
        <v>0</v>
      </c>
      <c r="E88" s="60">
        <f>'BAU Comparison - Production'!E194</f>
        <v>0</v>
      </c>
      <c r="F88" s="60">
        <f>'BAU Comparison - Production'!F194</f>
        <v>0</v>
      </c>
      <c r="G88" s="60">
        <f>'BAU Comparison - Production'!G194</f>
        <v>0</v>
      </c>
      <c r="H88" s="60">
        <f>'BAU Comparison - Production'!H194</f>
        <v>0</v>
      </c>
      <c r="I88" s="60">
        <f>'BAU Comparison - Production'!I194</f>
        <v>0</v>
      </c>
      <c r="J88" s="60">
        <f>'BAU Comparison - Production'!J194</f>
        <v>0</v>
      </c>
      <c r="K88" s="60">
        <f>'BAU Comparison - Production'!K194</f>
        <v>0</v>
      </c>
      <c r="L88" s="60">
        <f>'BAU Comparison - Production'!L194</f>
        <v>0</v>
      </c>
      <c r="M88" s="60">
        <f>'BAU Comparison - Production'!M194</f>
        <v>0</v>
      </c>
      <c r="N88" s="60">
        <f>'BAU Comparison - Production'!N194</f>
        <v>0</v>
      </c>
      <c r="O88" s="60">
        <f>'BAU Comparison - Production'!O194</f>
        <v>0</v>
      </c>
      <c r="P88" s="60">
        <f>'BAU Comparison - Production'!P194</f>
        <v>0</v>
      </c>
      <c r="Q88" s="60">
        <f>'BAU Comparison - Production'!Q194</f>
        <v>0</v>
      </c>
      <c r="R88" s="60">
        <f>'BAU Comparison - Production'!R194</f>
        <v>0</v>
      </c>
      <c r="S88" s="60">
        <f>'BAU Comparison - Production'!S194</f>
        <v>0</v>
      </c>
      <c r="T88" s="60">
        <f>'BAU Comparison - Production'!T194</f>
        <v>0</v>
      </c>
      <c r="U88" s="60">
        <f>'BAU Comparison - Production'!U194</f>
        <v>0</v>
      </c>
      <c r="V88" s="60">
        <f>'BAU Comparison - Production'!V194</f>
        <v>0</v>
      </c>
      <c r="W88" s="60">
        <f>'BAU Comparison - Production'!W194</f>
        <v>0</v>
      </c>
      <c r="X88" s="60">
        <f>'BAU Comparison - Production'!X194</f>
        <v>0</v>
      </c>
      <c r="Y88" s="60">
        <f>'BAU Comparison - Production'!Y194</f>
        <v>0</v>
      </c>
      <c r="Z88" s="60">
        <f>'BAU Comparison - Production'!Z194</f>
        <v>0</v>
      </c>
      <c r="AA88" s="60">
        <f>'BAU Comparison - Production'!AA194</f>
        <v>0</v>
      </c>
      <c r="AB88" s="61">
        <f>'BAU Comparison - Production'!AB194</f>
        <v>0</v>
      </c>
      <c r="AC88" s="59"/>
    </row>
    <row r="89" spans="1:29" ht="15" customHeight="1">
      <c r="A89" s="520"/>
      <c r="B89" s="2" t="str">
        <f>'BAU Comparison - Production'!B195</f>
        <v xml:space="preserve">San Diego </v>
      </c>
      <c r="C89" s="51" t="s">
        <v>240</v>
      </c>
      <c r="D89" s="393">
        <f>'BAU Comparison - Production'!D195</f>
        <v>0</v>
      </c>
      <c r="E89" s="60">
        <f>'BAU Comparison - Production'!E195</f>
        <v>0</v>
      </c>
      <c r="F89" s="60">
        <f>'BAU Comparison - Production'!F195</f>
        <v>0</v>
      </c>
      <c r="G89" s="60">
        <f>'BAU Comparison - Production'!G195</f>
        <v>0</v>
      </c>
      <c r="H89" s="60">
        <f>'BAU Comparison - Production'!H195</f>
        <v>0</v>
      </c>
      <c r="I89" s="60">
        <f>'BAU Comparison - Production'!I195</f>
        <v>0</v>
      </c>
      <c r="J89" s="60">
        <f>'BAU Comparison - Production'!J195</f>
        <v>0</v>
      </c>
      <c r="K89" s="60">
        <f>'BAU Comparison - Production'!K195</f>
        <v>0</v>
      </c>
      <c r="L89" s="60">
        <f>'BAU Comparison - Production'!L195</f>
        <v>0</v>
      </c>
      <c r="M89" s="60">
        <f>'BAU Comparison - Production'!M195</f>
        <v>0</v>
      </c>
      <c r="N89" s="60">
        <f>'BAU Comparison - Production'!N195</f>
        <v>0</v>
      </c>
      <c r="O89" s="60">
        <f>'BAU Comparison - Production'!O195</f>
        <v>0</v>
      </c>
      <c r="P89" s="60">
        <f>'BAU Comparison - Production'!P195</f>
        <v>0</v>
      </c>
      <c r="Q89" s="60">
        <f>'BAU Comparison - Production'!Q195</f>
        <v>0</v>
      </c>
      <c r="R89" s="60">
        <f>'BAU Comparison - Production'!R195</f>
        <v>0</v>
      </c>
      <c r="S89" s="60">
        <f>'BAU Comparison - Production'!S195</f>
        <v>0</v>
      </c>
      <c r="T89" s="60">
        <f>'BAU Comparison - Production'!T195</f>
        <v>0</v>
      </c>
      <c r="U89" s="60">
        <f>'BAU Comparison - Production'!U195</f>
        <v>0</v>
      </c>
      <c r="V89" s="60">
        <f>'BAU Comparison - Production'!V195</f>
        <v>0</v>
      </c>
      <c r="W89" s="60">
        <f>'BAU Comparison - Production'!W195</f>
        <v>0</v>
      </c>
      <c r="X89" s="60">
        <f>'BAU Comparison - Production'!X195</f>
        <v>0</v>
      </c>
      <c r="Y89" s="60">
        <f>'BAU Comparison - Production'!Y195</f>
        <v>0</v>
      </c>
      <c r="Z89" s="60">
        <f>'BAU Comparison - Production'!Z195</f>
        <v>0</v>
      </c>
      <c r="AA89" s="60">
        <f>'BAU Comparison - Production'!AA195</f>
        <v>0</v>
      </c>
      <c r="AB89" s="61">
        <f>'BAU Comparison - Production'!AB195</f>
        <v>0</v>
      </c>
      <c r="AC89" s="59"/>
    </row>
    <row r="90" spans="1:29" ht="15" customHeight="1">
      <c r="A90" s="520"/>
      <c r="B90" s="2" t="str">
        <f>'BAU Comparison - Production'!B196</f>
        <v>San Franscisco Bay Area</v>
      </c>
      <c r="C90" s="51" t="s">
        <v>240</v>
      </c>
      <c r="D90" s="393">
        <f>'BAU Comparison - Production'!D196</f>
        <v>0</v>
      </c>
      <c r="E90" s="60">
        <f>'BAU Comparison - Production'!E196</f>
        <v>0</v>
      </c>
      <c r="F90" s="60">
        <f>'BAU Comparison - Production'!F196</f>
        <v>0</v>
      </c>
      <c r="G90" s="60">
        <f>'BAU Comparison - Production'!G196</f>
        <v>0</v>
      </c>
      <c r="H90" s="60">
        <f>'BAU Comparison - Production'!H196</f>
        <v>0.2526822585373652</v>
      </c>
      <c r="I90" s="60">
        <f>'BAU Comparison - Production'!I196</f>
        <v>2.2228977261834375</v>
      </c>
      <c r="J90" s="60">
        <f>'BAU Comparison - Production'!J196</f>
        <v>3.4574042390681821</v>
      </c>
      <c r="K90" s="60">
        <f>'BAU Comparison - Production'!K196</f>
        <v>4.2457864921133872</v>
      </c>
      <c r="L90" s="60">
        <f>'BAU Comparison - Production'!L196</f>
        <v>4.7585872401916225</v>
      </c>
      <c r="M90" s="60">
        <f>'BAU Comparison - Production'!M196</f>
        <v>5.0431716883513191</v>
      </c>
      <c r="N90" s="60">
        <f>'BAU Comparison - Production'!N196</f>
        <v>5.2127862297375271</v>
      </c>
      <c r="O90" s="60">
        <f>'BAU Comparison - Production'!O196</f>
        <v>5.3191501591400945</v>
      </c>
      <c r="P90" s="60">
        <f>'BAU Comparison - Production'!P196</f>
        <v>5.4736615470123828</v>
      </c>
      <c r="Q90" s="60">
        <f>'BAU Comparison - Production'!Q196</f>
        <v>5.5033174449737183</v>
      </c>
      <c r="R90" s="60">
        <f>'BAU Comparison - Production'!R196</f>
        <v>5.5033043086293274</v>
      </c>
      <c r="S90" s="60">
        <f>'BAU Comparison - Production'!S196</f>
        <v>5.5032916021748619</v>
      </c>
      <c r="T90" s="60">
        <f>'BAU Comparison - Production'!T196</f>
        <v>5.5032793438948104</v>
      </c>
      <c r="U90" s="60">
        <f>'BAU Comparison - Production'!U196</f>
        <v>5.5032599414646892</v>
      </c>
      <c r="V90" s="60">
        <f>'BAU Comparison - Production'!V196</f>
        <v>5.5032476888127517</v>
      </c>
      <c r="W90" s="60">
        <f>'BAU Comparison - Production'!W196</f>
        <v>5.5032426224238788</v>
      </c>
      <c r="X90" s="60">
        <f>'BAU Comparison - Production'!X196</f>
        <v>5.5032443965734341</v>
      </c>
      <c r="Y90" s="60">
        <f>'BAU Comparison - Production'!Y196</f>
        <v>5.5032393320196409</v>
      </c>
      <c r="Z90" s="60">
        <f>'BAU Comparison - Production'!Z196</f>
        <v>5.5032411098251108</v>
      </c>
      <c r="AA90" s="60">
        <f>'BAU Comparison - Production'!AA196</f>
        <v>5.5032360452773688</v>
      </c>
      <c r="AB90" s="61">
        <f>'BAU Comparison - Production'!AB196</f>
        <v>5.5032309807389455</v>
      </c>
      <c r="AC90" s="59"/>
    </row>
    <row r="91" spans="1:29" ht="15" customHeight="1">
      <c r="A91" s="520"/>
      <c r="B91" s="2" t="str">
        <f>'BAU Comparison - Production'!B197</f>
        <v xml:space="preserve">San Joaquin Valley </v>
      </c>
      <c r="C91" s="51" t="s">
        <v>240</v>
      </c>
      <c r="D91" s="393">
        <f>'BAU Comparison - Production'!D197</f>
        <v>0</v>
      </c>
      <c r="E91" s="60">
        <f>'BAU Comparison - Production'!E197</f>
        <v>0</v>
      </c>
      <c r="F91" s="60">
        <f>'BAU Comparison - Production'!F197</f>
        <v>0</v>
      </c>
      <c r="G91" s="60">
        <f>'BAU Comparison - Production'!G197</f>
        <v>0</v>
      </c>
      <c r="H91" s="60">
        <f>'BAU Comparison - Production'!H197</f>
        <v>5.497650581333436E-3</v>
      </c>
      <c r="I91" s="60">
        <f>'BAU Comparison - Production'!I197</f>
        <v>4.6632289553981576E-2</v>
      </c>
      <c r="J91" s="60">
        <f>'BAU Comparison - Production'!J197</f>
        <v>7.0045713419834163E-2</v>
      </c>
      <c r="K91" s="60">
        <f>'BAU Comparison - Production'!K197</f>
        <v>8.288479809765173E-2</v>
      </c>
      <c r="L91" s="60">
        <f>'BAU Comparison - Production'!L197</f>
        <v>8.931736828396486E-2</v>
      </c>
      <c r="M91" s="60">
        <f>'BAU Comparison - Production'!M197</f>
        <v>9.1947443191174649E-2</v>
      </c>
      <c r="N91" s="60">
        <f>'BAU Comparison - Production'!N197</f>
        <v>9.5039866842847695E-2</v>
      </c>
      <c r="O91" s="60">
        <f>'BAU Comparison - Production'!O197</f>
        <v>9.6979101110624494E-2</v>
      </c>
      <c r="P91" s="60">
        <f>'BAU Comparison - Production'!P197</f>
        <v>9.9796163058285703E-2</v>
      </c>
      <c r="Q91" s="60">
        <f>'BAU Comparison - Production'!Q197</f>
        <v>0.10033685137143225</v>
      </c>
      <c r="R91" s="60">
        <f>'BAU Comparison - Production'!R197</f>
        <v>0.10033661186872359</v>
      </c>
      <c r="S91" s="60">
        <f>'BAU Comparison - Production'!S197</f>
        <v>0.10033638020379677</v>
      </c>
      <c r="T91" s="60">
        <f>'BAU Comparison - Production'!T197</f>
        <v>0.10033615671001582</v>
      </c>
      <c r="U91" s="60">
        <f>'BAU Comparison - Production'!U197</f>
        <v>0.10033580296361344</v>
      </c>
      <c r="V91" s="60">
        <f>'BAU Comparison - Production'!V197</f>
        <v>0.10033557957244463</v>
      </c>
      <c r="W91" s="60">
        <f>'BAU Comparison - Production'!W197</f>
        <v>0.10033548720170417</v>
      </c>
      <c r="X91" s="60">
        <f>'BAU Comparison - Production'!X197</f>
        <v>0.1003355195481174</v>
      </c>
      <c r="Y91" s="60">
        <f>'BAU Comparison - Production'!Y197</f>
        <v>0.10033542721083427</v>
      </c>
      <c r="Z91" s="60">
        <f>'BAU Comparison - Production'!Z197</f>
        <v>0.10033545962390238</v>
      </c>
      <c r="AA91" s="60">
        <f>'BAU Comparison - Production'!AA197</f>
        <v>0.10033536728672952</v>
      </c>
      <c r="AB91" s="61">
        <f>'BAU Comparison - Production'!AB197</f>
        <v>0.1003352749497266</v>
      </c>
      <c r="AC91" s="59"/>
    </row>
    <row r="92" spans="1:29" ht="15" customHeight="1">
      <c r="A92" s="520"/>
      <c r="B92" s="2" t="str">
        <f>'BAU Comparison - Production'!B198</f>
        <v>South Central Coast</v>
      </c>
      <c r="C92" s="51" t="s">
        <v>240</v>
      </c>
      <c r="D92" s="393">
        <f>'BAU Comparison - Production'!D198</f>
        <v>0</v>
      </c>
      <c r="E92" s="60">
        <f>'BAU Comparison - Production'!E198</f>
        <v>0</v>
      </c>
      <c r="F92" s="60">
        <f>'BAU Comparison - Production'!F198</f>
        <v>0</v>
      </c>
      <c r="G92" s="60">
        <f>'BAU Comparison - Production'!G198</f>
        <v>0</v>
      </c>
      <c r="H92" s="60">
        <f>'BAU Comparison - Production'!H198</f>
        <v>2.480880889851831E-2</v>
      </c>
      <c r="I92" s="60">
        <f>'BAU Comparison - Production'!I198</f>
        <v>0.21598993561410704</v>
      </c>
      <c r="J92" s="60">
        <f>'BAU Comparison - Production'!J198</f>
        <v>0.33241439555959101</v>
      </c>
      <c r="K92" s="60">
        <f>'BAU Comparison - Production'!K198</f>
        <v>0.40428139333307578</v>
      </c>
      <c r="L92" s="60">
        <f>'BAU Comparison - Production'!L198</f>
        <v>0.44827899476320127</v>
      </c>
      <c r="M92" s="60">
        <f>'BAU Comparison - Production'!M198</f>
        <v>0.47508805045703628</v>
      </c>
      <c r="N92" s="60">
        <f>'BAU Comparison - Production'!N198</f>
        <v>0.49106645586854841</v>
      </c>
      <c r="O92" s="60">
        <f>'BAU Comparison - Production'!O198</f>
        <v>0.50108638677344586</v>
      </c>
      <c r="P92" s="60">
        <f>'BAU Comparison - Production'!P198</f>
        <v>0.51564201140292465</v>
      </c>
      <c r="Q92" s="60">
        <f>'BAU Comparison - Production'!Q198</f>
        <v>0.5184357221107212</v>
      </c>
      <c r="R92" s="60">
        <f>'BAU Comparison - Production'!R198</f>
        <v>0.51843448461165675</v>
      </c>
      <c r="S92" s="60">
        <f>'BAU Comparison - Production'!S198</f>
        <v>0.51843328761003682</v>
      </c>
      <c r="T92" s="60">
        <f>'BAU Comparison - Production'!T198</f>
        <v>0.51843213282833767</v>
      </c>
      <c r="U92" s="60">
        <f>'BAU Comparison - Production'!U198</f>
        <v>0.51843030503756038</v>
      </c>
      <c r="V92" s="60">
        <f>'BAU Comparison - Production'!V198</f>
        <v>0.51842915078605323</v>
      </c>
      <c r="W92" s="60">
        <f>'BAU Comparison - Production'!W198</f>
        <v>0.51842867351084598</v>
      </c>
      <c r="X92" s="60">
        <f>'BAU Comparison - Production'!X198</f>
        <v>0.51842884064321937</v>
      </c>
      <c r="Y92" s="60">
        <f>'BAU Comparison - Production'!Y198</f>
        <v>0.5184283635408844</v>
      </c>
      <c r="Z92" s="60">
        <f>'BAU Comparison - Production'!Z198</f>
        <v>0.5184285310176604</v>
      </c>
      <c r="AA92" s="60">
        <f>'BAU Comparison - Production'!AA198</f>
        <v>0.51842805391589541</v>
      </c>
      <c r="AB92" s="61">
        <f>'BAU Comparison - Production'!AB198</f>
        <v>0.5184275768150084</v>
      </c>
      <c r="AC92" s="59"/>
    </row>
    <row r="93" spans="1:29" ht="15" customHeight="1">
      <c r="A93" s="520"/>
      <c r="B93" s="2" t="str">
        <f>'BAU Comparison - Production'!B199</f>
        <v>South Coast</v>
      </c>
      <c r="C93" s="51" t="s">
        <v>240</v>
      </c>
      <c r="D93" s="394">
        <f>'BAU Comparison - Production'!D199</f>
        <v>0</v>
      </c>
      <c r="E93" s="64">
        <f>'BAU Comparison - Production'!E199</f>
        <v>0</v>
      </c>
      <c r="F93" s="64">
        <f>'BAU Comparison - Production'!F199</f>
        <v>0</v>
      </c>
      <c r="G93" s="64">
        <f>'BAU Comparison - Production'!G199</f>
        <v>0</v>
      </c>
      <c r="H93" s="64">
        <f>'BAU Comparison - Production'!H199</f>
        <v>0.62853299103125715</v>
      </c>
      <c r="I93" s="64">
        <f>'BAU Comparison - Production'!I199</f>
        <v>5.381305530072062</v>
      </c>
      <c r="J93" s="64">
        <f>'BAU Comparison - Production'!J199</f>
        <v>8.1801433968010535</v>
      </c>
      <c r="K93" s="64">
        <f>'BAU Comparison - Production'!K199</f>
        <v>9.8109644193595855</v>
      </c>
      <c r="L93" s="64">
        <f>'BAU Comparison - Production'!L199</f>
        <v>10.750079114497996</v>
      </c>
      <c r="M93" s="64">
        <f>'BAU Comparison - Production'!M199</f>
        <v>11.337462904637059</v>
      </c>
      <c r="N93" s="64">
        <f>'BAU Comparison - Production'!N199</f>
        <v>11.689621955527551</v>
      </c>
      <c r="O93" s="64">
        <f>'BAU Comparison - Production'!O199</f>
        <v>11.89580551375623</v>
      </c>
      <c r="P93" s="64">
        <f>'BAU Comparison - Production'!P199</f>
        <v>12.210681418512729</v>
      </c>
      <c r="Q93" s="64">
        <f>'BAU Comparison - Production'!Q199</f>
        <v>12.177691121530447</v>
      </c>
      <c r="R93" s="64">
        <f>'BAU Comparison - Production'!R199</f>
        <v>12.177705734876614</v>
      </c>
      <c r="S93" s="64">
        <f>'BAU Comparison - Production'!S199</f>
        <v>12.177719869997624</v>
      </c>
      <c r="T93" s="64">
        <f>'BAU Comparison - Production'!T199</f>
        <v>12.177733506553155</v>
      </c>
      <c r="U93" s="64">
        <f>'BAU Comparison - Production'!U199</f>
        <v>12.177755090520455</v>
      </c>
      <c r="V93" s="64">
        <f>'BAU Comparison - Production'!V199</f>
        <v>12.177768720815068</v>
      </c>
      <c r="W93" s="64">
        <f>'BAU Comparison - Production'!W199</f>
        <v>12.177774356849886</v>
      </c>
      <c r="X93" s="64">
        <f>'BAU Comparison - Production'!X199</f>
        <v>12.177772383221548</v>
      </c>
      <c r="Y93" s="64">
        <f>'BAU Comparison - Production'!Y199</f>
        <v>12.177778017214958</v>
      </c>
      <c r="Z93" s="64">
        <f>'BAU Comparison - Production'!Z199</f>
        <v>12.177776039519646</v>
      </c>
      <c r="AA93" s="64">
        <f>'BAU Comparison - Production'!AA199</f>
        <v>12.177781673506328</v>
      </c>
      <c r="AB93" s="65">
        <f>'BAU Comparison - Production'!AB199</f>
        <v>12.177787307482639</v>
      </c>
      <c r="AC93" s="59"/>
    </row>
    <row r="94" spans="1:29" ht="15.75" customHeight="1">
      <c r="A94" s="520"/>
      <c r="B94" s="72" t="str">
        <f>'BAU Comparison - Production'!B200</f>
        <v>STATEWIDE</v>
      </c>
      <c r="C94" s="73" t="s">
        <v>240</v>
      </c>
      <c r="D94" s="175">
        <f>'BAU Comparison - Production'!D200</f>
        <v>0</v>
      </c>
      <c r="E94" s="175">
        <f>'BAU Comparison - Production'!E200</f>
        <v>0</v>
      </c>
      <c r="F94" s="175">
        <f>'BAU Comparison - Production'!F200</f>
        <v>0</v>
      </c>
      <c r="G94" s="175">
        <f>'BAU Comparison - Production'!G200</f>
        <v>0</v>
      </c>
      <c r="H94" s="175">
        <f>'BAU Comparison - Production'!H200</f>
        <v>0.91152170904847418</v>
      </c>
      <c r="I94" s="175">
        <f>'BAU Comparison - Production'!I200</f>
        <v>7.8668254814235876</v>
      </c>
      <c r="J94" s="175">
        <f>'BAU Comparison - Production'!J200</f>
        <v>12.04000774484866</v>
      </c>
      <c r="K94" s="175">
        <f>'BAU Comparison - Production'!K200</f>
        <v>14.5439171029037</v>
      </c>
      <c r="L94" s="175">
        <f>'BAU Comparison - Production'!L200</f>
        <v>16.046262717736784</v>
      </c>
      <c r="M94" s="175">
        <f>'BAU Comparison - Production'!M200</f>
        <v>16.947670086636588</v>
      </c>
      <c r="N94" s="175">
        <f>'BAU Comparison - Production'!N200</f>
        <v>17.488514507976475</v>
      </c>
      <c r="O94" s="175">
        <f>'BAU Comparison - Production'!O200</f>
        <v>17.813021160780394</v>
      </c>
      <c r="P94" s="175">
        <f>'BAU Comparison - Production'!P200</f>
        <v>18.299781139986322</v>
      </c>
      <c r="Q94" s="175">
        <f>'BAU Comparison - Production'!Q200</f>
        <v>18.299781139986319</v>
      </c>
      <c r="R94" s="175">
        <f>'BAU Comparison - Production'!R200</f>
        <v>18.299781139986322</v>
      </c>
      <c r="S94" s="175">
        <f>'BAU Comparison - Production'!S200</f>
        <v>18.299781139986319</v>
      </c>
      <c r="T94" s="175">
        <f>'BAU Comparison - Production'!T200</f>
        <v>18.299781139986319</v>
      </c>
      <c r="U94" s="175">
        <f>'BAU Comparison - Production'!U200</f>
        <v>18.299781139986315</v>
      </c>
      <c r="V94" s="175">
        <f>'BAU Comparison - Production'!V200</f>
        <v>18.299781139986319</v>
      </c>
      <c r="W94" s="175">
        <f>'BAU Comparison - Production'!W200</f>
        <v>18.299781139986315</v>
      </c>
      <c r="X94" s="175">
        <f>'BAU Comparison - Production'!X200</f>
        <v>18.299781139986319</v>
      </c>
      <c r="Y94" s="175">
        <f>'BAU Comparison - Production'!Y200</f>
        <v>18.299781139986319</v>
      </c>
      <c r="Z94" s="175">
        <f>'BAU Comparison - Production'!Z200</f>
        <v>18.299781139986319</v>
      </c>
      <c r="AA94" s="175">
        <f>'BAU Comparison - Production'!AA200</f>
        <v>18.299781139986322</v>
      </c>
      <c r="AB94" s="175">
        <f>'BAU Comparison - Production'!AB200</f>
        <v>18.299781139986319</v>
      </c>
      <c r="AC94" s="59"/>
    </row>
    <row r="95" spans="1:29" ht="15" customHeight="1">
      <c r="A95" s="520"/>
      <c r="P95" s="60"/>
      <c r="AC95" s="59"/>
    </row>
    <row r="96" spans="1:29" ht="15.75" customHeight="1">
      <c r="A96" s="520"/>
      <c r="B96" s="86"/>
      <c r="C96" s="86"/>
      <c r="D96" s="523" t="s">
        <v>18932</v>
      </c>
      <c r="E96" s="523"/>
      <c r="F96" s="523"/>
      <c r="G96" s="523"/>
      <c r="H96" s="523"/>
      <c r="I96" s="523"/>
      <c r="J96" s="523"/>
      <c r="K96" s="523"/>
      <c r="L96" s="523"/>
      <c r="M96" s="523"/>
      <c r="N96" s="523"/>
      <c r="O96" s="523"/>
      <c r="P96" s="523"/>
      <c r="Q96" s="523"/>
      <c r="R96" s="523"/>
      <c r="S96" s="523"/>
      <c r="T96" s="523"/>
      <c r="U96" s="523"/>
      <c r="V96" s="523"/>
      <c r="W96" s="523"/>
      <c r="X96" s="523"/>
      <c r="Y96" s="523"/>
      <c r="Z96" s="523"/>
      <c r="AA96" s="523"/>
      <c r="AB96" s="523"/>
      <c r="AC96" s="59"/>
    </row>
    <row r="97" spans="1:29" ht="15" customHeight="1">
      <c r="A97" s="520"/>
      <c r="B97" s="88" t="s">
        <v>18814</v>
      </c>
      <c r="C97" s="90" t="s">
        <v>1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  <c r="AC97" s="59"/>
    </row>
    <row r="98" spans="1:29" ht="15" customHeight="1">
      <c r="A98" s="520"/>
      <c r="B98" s="2" t="str">
        <f>'BAU Comparison - Production'!B207</f>
        <v>Great Basin Valleys</v>
      </c>
      <c r="C98" s="51" t="s">
        <v>240</v>
      </c>
      <c r="D98" s="104">
        <f>'BAU Comparison - Production'!D207</f>
        <v>0</v>
      </c>
      <c r="E98" s="79">
        <f>'BAU Comparison - Production'!E207</f>
        <v>0</v>
      </c>
      <c r="F98" s="79">
        <f>'BAU Comparison - Production'!F207</f>
        <v>0</v>
      </c>
      <c r="G98" s="79">
        <f>'BAU Comparison - Production'!G207</f>
        <v>0</v>
      </c>
      <c r="H98" s="79">
        <f>'BAU Comparison - Production'!H207</f>
        <v>0</v>
      </c>
      <c r="I98" s="79">
        <f>'BAU Comparison - Production'!I207</f>
        <v>0</v>
      </c>
      <c r="J98" s="79">
        <f>'BAU Comparison - Production'!J207</f>
        <v>0</v>
      </c>
      <c r="K98" s="79">
        <f>'BAU Comparison - Production'!K207</f>
        <v>0</v>
      </c>
      <c r="L98" s="79">
        <f>'BAU Comparison - Production'!L207</f>
        <v>0</v>
      </c>
      <c r="M98" s="79">
        <f>'BAU Comparison - Production'!M207</f>
        <v>0</v>
      </c>
      <c r="N98" s="79">
        <f>'BAU Comparison - Production'!N207</f>
        <v>0</v>
      </c>
      <c r="O98" s="79">
        <f>'BAU Comparison - Production'!O207</f>
        <v>0</v>
      </c>
      <c r="P98" s="79">
        <f>'BAU Comparison - Production'!P207</f>
        <v>0</v>
      </c>
      <c r="Q98" s="79">
        <f>'BAU Comparison - Production'!Q207</f>
        <v>0</v>
      </c>
      <c r="R98" s="79">
        <f>'BAU Comparison - Production'!R207</f>
        <v>0</v>
      </c>
      <c r="S98" s="79">
        <f>'BAU Comparison - Production'!S207</f>
        <v>0</v>
      </c>
      <c r="T98" s="79">
        <f>'BAU Comparison - Production'!T207</f>
        <v>0</v>
      </c>
      <c r="U98" s="79">
        <f>'BAU Comparison - Production'!U207</f>
        <v>0</v>
      </c>
      <c r="V98" s="79">
        <f>'BAU Comparison - Production'!V207</f>
        <v>0</v>
      </c>
      <c r="W98" s="79">
        <f>'BAU Comparison - Production'!W207</f>
        <v>0</v>
      </c>
      <c r="X98" s="79">
        <f>'BAU Comparison - Production'!X207</f>
        <v>0</v>
      </c>
      <c r="Y98" s="79">
        <f>'BAU Comparison - Production'!Y207</f>
        <v>0</v>
      </c>
      <c r="Z98" s="79">
        <f>'BAU Comparison - Production'!Z207</f>
        <v>0</v>
      </c>
      <c r="AA98" s="79">
        <f>'BAU Comparison - Production'!AA207</f>
        <v>0</v>
      </c>
      <c r="AB98" s="80">
        <f>'BAU Comparison - Production'!AB207</f>
        <v>0</v>
      </c>
      <c r="AC98" s="59"/>
    </row>
    <row r="99" spans="1:29" ht="15" customHeight="1">
      <c r="A99" s="520"/>
      <c r="B99" s="2" t="str">
        <f>'BAU Comparison - Production'!B208</f>
        <v xml:space="preserve">Lake County </v>
      </c>
      <c r="C99" s="51" t="s">
        <v>240</v>
      </c>
      <c r="D99" s="393">
        <f>'BAU Comparison - Production'!D208</f>
        <v>0</v>
      </c>
      <c r="E99" s="60">
        <f>'BAU Comparison - Production'!E208</f>
        <v>0</v>
      </c>
      <c r="F99" s="60">
        <f>'BAU Comparison - Production'!F208</f>
        <v>0</v>
      </c>
      <c r="G99" s="60">
        <f>'BAU Comparison - Production'!G208</f>
        <v>0</v>
      </c>
      <c r="H99" s="60">
        <f>'BAU Comparison - Production'!H208</f>
        <v>0</v>
      </c>
      <c r="I99" s="60">
        <f>'BAU Comparison - Production'!I208</f>
        <v>0</v>
      </c>
      <c r="J99" s="60">
        <f>'BAU Comparison - Production'!J208</f>
        <v>0</v>
      </c>
      <c r="K99" s="60">
        <f>'BAU Comparison - Production'!K208</f>
        <v>0</v>
      </c>
      <c r="L99" s="60">
        <f>'BAU Comparison - Production'!L208</f>
        <v>0</v>
      </c>
      <c r="M99" s="60">
        <f>'BAU Comparison - Production'!M208</f>
        <v>0</v>
      </c>
      <c r="N99" s="60">
        <f>'BAU Comparison - Production'!N208</f>
        <v>0</v>
      </c>
      <c r="O99" s="60">
        <f>'BAU Comparison - Production'!O208</f>
        <v>0</v>
      </c>
      <c r="P99" s="60">
        <f>'BAU Comparison - Production'!P208</f>
        <v>0</v>
      </c>
      <c r="Q99" s="60">
        <f>'BAU Comparison - Production'!Q208</f>
        <v>0</v>
      </c>
      <c r="R99" s="60">
        <f>'BAU Comparison - Production'!R208</f>
        <v>0</v>
      </c>
      <c r="S99" s="60">
        <f>'BAU Comparison - Production'!S208</f>
        <v>0</v>
      </c>
      <c r="T99" s="60">
        <f>'BAU Comparison - Production'!T208</f>
        <v>0</v>
      </c>
      <c r="U99" s="60">
        <f>'BAU Comparison - Production'!U208</f>
        <v>0</v>
      </c>
      <c r="V99" s="60">
        <f>'BAU Comparison - Production'!V208</f>
        <v>0</v>
      </c>
      <c r="W99" s="60">
        <f>'BAU Comparison - Production'!W208</f>
        <v>0</v>
      </c>
      <c r="X99" s="60">
        <f>'BAU Comparison - Production'!X208</f>
        <v>0</v>
      </c>
      <c r="Y99" s="60">
        <f>'BAU Comparison - Production'!Y208</f>
        <v>0</v>
      </c>
      <c r="Z99" s="60">
        <f>'BAU Comparison - Production'!Z208</f>
        <v>0</v>
      </c>
      <c r="AA99" s="60">
        <f>'BAU Comparison - Production'!AA208</f>
        <v>0</v>
      </c>
      <c r="AB99" s="61">
        <f>'BAU Comparison - Production'!AB208</f>
        <v>0</v>
      </c>
      <c r="AC99" s="59"/>
    </row>
    <row r="100" spans="1:29" ht="15" customHeight="1">
      <c r="A100" s="520"/>
      <c r="B100" s="2" t="str">
        <f>'BAU Comparison - Production'!B209</f>
        <v xml:space="preserve">Lake Tahoe </v>
      </c>
      <c r="C100" s="51" t="s">
        <v>240</v>
      </c>
      <c r="D100" s="393">
        <f>'BAU Comparison - Production'!D209</f>
        <v>0</v>
      </c>
      <c r="E100" s="60">
        <f>'BAU Comparison - Production'!E209</f>
        <v>0</v>
      </c>
      <c r="F100" s="60">
        <f>'BAU Comparison - Production'!F209</f>
        <v>0</v>
      </c>
      <c r="G100" s="60">
        <f>'BAU Comparison - Production'!G209</f>
        <v>0</v>
      </c>
      <c r="H100" s="60">
        <f>'BAU Comparison - Production'!H209</f>
        <v>0</v>
      </c>
      <c r="I100" s="60">
        <f>'BAU Comparison - Production'!I209</f>
        <v>0</v>
      </c>
      <c r="J100" s="60">
        <f>'BAU Comparison - Production'!J209</f>
        <v>0</v>
      </c>
      <c r="K100" s="60">
        <f>'BAU Comparison - Production'!K209</f>
        <v>0</v>
      </c>
      <c r="L100" s="60">
        <f>'BAU Comparison - Production'!L209</f>
        <v>0</v>
      </c>
      <c r="M100" s="60">
        <f>'BAU Comparison - Production'!M209</f>
        <v>0</v>
      </c>
      <c r="N100" s="60">
        <f>'BAU Comparison - Production'!N209</f>
        <v>0</v>
      </c>
      <c r="O100" s="60">
        <f>'BAU Comparison - Production'!O209</f>
        <v>0</v>
      </c>
      <c r="P100" s="60">
        <f>'BAU Comparison - Production'!P209</f>
        <v>0</v>
      </c>
      <c r="Q100" s="60">
        <f>'BAU Comparison - Production'!Q209</f>
        <v>0</v>
      </c>
      <c r="R100" s="60">
        <f>'BAU Comparison - Production'!R209</f>
        <v>0</v>
      </c>
      <c r="S100" s="60">
        <f>'BAU Comparison - Production'!S209</f>
        <v>0</v>
      </c>
      <c r="T100" s="60">
        <f>'BAU Comparison - Production'!T209</f>
        <v>0</v>
      </c>
      <c r="U100" s="60">
        <f>'BAU Comparison - Production'!U209</f>
        <v>0</v>
      </c>
      <c r="V100" s="60">
        <f>'BAU Comparison - Production'!V209</f>
        <v>0</v>
      </c>
      <c r="W100" s="60">
        <f>'BAU Comparison - Production'!W209</f>
        <v>0</v>
      </c>
      <c r="X100" s="60">
        <f>'BAU Comparison - Production'!X209</f>
        <v>0</v>
      </c>
      <c r="Y100" s="60">
        <f>'BAU Comparison - Production'!Y209</f>
        <v>0</v>
      </c>
      <c r="Z100" s="60">
        <f>'BAU Comparison - Production'!Z209</f>
        <v>0</v>
      </c>
      <c r="AA100" s="60">
        <f>'BAU Comparison - Production'!AA209</f>
        <v>0</v>
      </c>
      <c r="AB100" s="61">
        <f>'BAU Comparison - Production'!AB209</f>
        <v>0</v>
      </c>
      <c r="AC100" s="59"/>
    </row>
    <row r="101" spans="1:29" ht="15" customHeight="1">
      <c r="A101" s="520"/>
      <c r="B101" s="2" t="str">
        <f>'BAU Comparison - Production'!B210</f>
        <v>Mojave Desert</v>
      </c>
      <c r="C101" s="51" t="s">
        <v>240</v>
      </c>
      <c r="D101" s="393">
        <f>'BAU Comparison - Production'!D210</f>
        <v>0</v>
      </c>
      <c r="E101" s="60">
        <f>'BAU Comparison - Production'!E210</f>
        <v>0</v>
      </c>
      <c r="F101" s="60">
        <f>'BAU Comparison - Production'!F210</f>
        <v>0</v>
      </c>
      <c r="G101" s="60">
        <f>'BAU Comparison - Production'!G210</f>
        <v>0</v>
      </c>
      <c r="H101" s="60">
        <f>'BAU Comparison - Production'!H210</f>
        <v>0</v>
      </c>
      <c r="I101" s="60">
        <f>'BAU Comparison - Production'!I210</f>
        <v>0</v>
      </c>
      <c r="J101" s="60">
        <f>'BAU Comparison - Production'!J210</f>
        <v>0</v>
      </c>
      <c r="K101" s="60">
        <f>'BAU Comparison - Production'!K210</f>
        <v>0</v>
      </c>
      <c r="L101" s="60">
        <f>'BAU Comparison - Production'!L210</f>
        <v>0</v>
      </c>
      <c r="M101" s="60">
        <f>'BAU Comparison - Production'!M210</f>
        <v>0</v>
      </c>
      <c r="N101" s="60">
        <f>'BAU Comparison - Production'!N210</f>
        <v>0</v>
      </c>
      <c r="O101" s="60">
        <f>'BAU Comparison - Production'!O210</f>
        <v>0</v>
      </c>
      <c r="P101" s="60">
        <f>'BAU Comparison - Production'!P210</f>
        <v>0</v>
      </c>
      <c r="Q101" s="60">
        <f>'BAU Comparison - Production'!Q210</f>
        <v>0</v>
      </c>
      <c r="R101" s="60">
        <f>'BAU Comparison - Production'!R210</f>
        <v>0</v>
      </c>
      <c r="S101" s="60">
        <f>'BAU Comparison - Production'!S210</f>
        <v>0</v>
      </c>
      <c r="T101" s="60">
        <f>'BAU Comparison - Production'!T210</f>
        <v>0</v>
      </c>
      <c r="U101" s="60">
        <f>'BAU Comparison - Production'!U210</f>
        <v>0</v>
      </c>
      <c r="V101" s="60">
        <f>'BAU Comparison - Production'!V210</f>
        <v>0</v>
      </c>
      <c r="W101" s="60">
        <f>'BAU Comparison - Production'!W210</f>
        <v>0</v>
      </c>
      <c r="X101" s="60">
        <f>'BAU Comparison - Production'!X210</f>
        <v>0</v>
      </c>
      <c r="Y101" s="60">
        <f>'BAU Comparison - Production'!Y210</f>
        <v>0</v>
      </c>
      <c r="Z101" s="60">
        <f>'BAU Comparison - Production'!Z210</f>
        <v>0</v>
      </c>
      <c r="AA101" s="60">
        <f>'BAU Comparison - Production'!AA210</f>
        <v>0</v>
      </c>
      <c r="AB101" s="61">
        <f>'BAU Comparison - Production'!AB210</f>
        <v>0</v>
      </c>
      <c r="AC101" s="59"/>
    </row>
    <row r="102" spans="1:29" ht="15" customHeight="1">
      <c r="A102" s="520"/>
      <c r="B102" s="2" t="str">
        <f>'BAU Comparison - Production'!B211</f>
        <v xml:space="preserve">Mountain Counties </v>
      </c>
      <c r="C102" s="51" t="s">
        <v>240</v>
      </c>
      <c r="D102" s="393">
        <f>'BAU Comparison - Production'!D211</f>
        <v>0</v>
      </c>
      <c r="E102" s="60">
        <f>'BAU Comparison - Production'!E211</f>
        <v>0</v>
      </c>
      <c r="F102" s="60">
        <f>'BAU Comparison - Production'!F211</f>
        <v>0</v>
      </c>
      <c r="G102" s="60">
        <f>'BAU Comparison - Production'!G211</f>
        <v>0</v>
      </c>
      <c r="H102" s="60">
        <f>'BAU Comparison - Production'!H211</f>
        <v>0</v>
      </c>
      <c r="I102" s="60">
        <f>'BAU Comparison - Production'!I211</f>
        <v>0</v>
      </c>
      <c r="J102" s="60">
        <f>'BAU Comparison - Production'!J211</f>
        <v>0</v>
      </c>
      <c r="K102" s="60">
        <f>'BAU Comparison - Production'!K211</f>
        <v>0</v>
      </c>
      <c r="L102" s="60">
        <f>'BAU Comparison - Production'!L211</f>
        <v>0</v>
      </c>
      <c r="M102" s="60">
        <f>'BAU Comparison - Production'!M211</f>
        <v>0</v>
      </c>
      <c r="N102" s="60">
        <f>'BAU Comparison - Production'!N211</f>
        <v>0</v>
      </c>
      <c r="O102" s="60">
        <f>'BAU Comparison - Production'!O211</f>
        <v>0</v>
      </c>
      <c r="P102" s="60">
        <f>'BAU Comparison - Production'!P211</f>
        <v>0</v>
      </c>
      <c r="Q102" s="60">
        <f>'BAU Comparison - Production'!Q211</f>
        <v>0</v>
      </c>
      <c r="R102" s="60">
        <f>'BAU Comparison - Production'!R211</f>
        <v>0</v>
      </c>
      <c r="S102" s="60">
        <f>'BAU Comparison - Production'!S211</f>
        <v>0</v>
      </c>
      <c r="T102" s="60">
        <f>'BAU Comparison - Production'!T211</f>
        <v>0</v>
      </c>
      <c r="U102" s="60">
        <f>'BAU Comparison - Production'!U211</f>
        <v>0</v>
      </c>
      <c r="V102" s="60">
        <f>'BAU Comparison - Production'!V211</f>
        <v>0</v>
      </c>
      <c r="W102" s="60">
        <f>'BAU Comparison - Production'!W211</f>
        <v>0</v>
      </c>
      <c r="X102" s="60">
        <f>'BAU Comparison - Production'!X211</f>
        <v>0</v>
      </c>
      <c r="Y102" s="60">
        <f>'BAU Comparison - Production'!Y211</f>
        <v>0</v>
      </c>
      <c r="Z102" s="60">
        <f>'BAU Comparison - Production'!Z211</f>
        <v>0</v>
      </c>
      <c r="AA102" s="60">
        <f>'BAU Comparison - Production'!AA211</f>
        <v>0</v>
      </c>
      <c r="AB102" s="61">
        <f>'BAU Comparison - Production'!AB211</f>
        <v>0</v>
      </c>
      <c r="AC102" s="59"/>
    </row>
    <row r="103" spans="1:29" ht="15" customHeight="1">
      <c r="A103" s="520"/>
      <c r="B103" s="2" t="str">
        <f>'BAU Comparison - Production'!B212</f>
        <v>North Central coast</v>
      </c>
      <c r="C103" s="51" t="s">
        <v>240</v>
      </c>
      <c r="D103" s="393">
        <f>'BAU Comparison - Production'!D212</f>
        <v>0</v>
      </c>
      <c r="E103" s="60">
        <f>'BAU Comparison - Production'!E212</f>
        <v>0</v>
      </c>
      <c r="F103" s="60">
        <f>'BAU Comparison - Production'!F212</f>
        <v>0</v>
      </c>
      <c r="G103" s="60">
        <f>'BAU Comparison - Production'!G212</f>
        <v>0</v>
      </c>
      <c r="H103" s="60">
        <f>'BAU Comparison - Production'!H212</f>
        <v>0</v>
      </c>
      <c r="I103" s="60">
        <f>'BAU Comparison - Production'!I212</f>
        <v>0</v>
      </c>
      <c r="J103" s="60">
        <f>'BAU Comparison - Production'!J212</f>
        <v>0</v>
      </c>
      <c r="K103" s="60">
        <f>'BAU Comparison - Production'!K212</f>
        <v>0</v>
      </c>
      <c r="L103" s="60">
        <f>'BAU Comparison - Production'!L212</f>
        <v>0</v>
      </c>
      <c r="M103" s="60">
        <f>'BAU Comparison - Production'!M212</f>
        <v>0</v>
      </c>
      <c r="N103" s="60">
        <f>'BAU Comparison - Production'!N212</f>
        <v>0</v>
      </c>
      <c r="O103" s="60">
        <f>'BAU Comparison - Production'!O212</f>
        <v>0</v>
      </c>
      <c r="P103" s="60">
        <f>'BAU Comparison - Production'!P212</f>
        <v>0</v>
      </c>
      <c r="Q103" s="60">
        <f>'BAU Comparison - Production'!Q212</f>
        <v>0</v>
      </c>
      <c r="R103" s="60">
        <f>'BAU Comparison - Production'!R212</f>
        <v>0</v>
      </c>
      <c r="S103" s="60">
        <f>'BAU Comparison - Production'!S212</f>
        <v>0</v>
      </c>
      <c r="T103" s="60">
        <f>'BAU Comparison - Production'!T212</f>
        <v>0</v>
      </c>
      <c r="U103" s="60">
        <f>'BAU Comparison - Production'!U212</f>
        <v>0</v>
      </c>
      <c r="V103" s="60">
        <f>'BAU Comparison - Production'!V212</f>
        <v>0</v>
      </c>
      <c r="W103" s="60">
        <f>'BAU Comparison - Production'!W212</f>
        <v>0</v>
      </c>
      <c r="X103" s="60">
        <f>'BAU Comparison - Production'!X212</f>
        <v>0</v>
      </c>
      <c r="Y103" s="60">
        <f>'BAU Comparison - Production'!Y212</f>
        <v>0</v>
      </c>
      <c r="Z103" s="60">
        <f>'BAU Comparison - Production'!Z212</f>
        <v>0</v>
      </c>
      <c r="AA103" s="60">
        <f>'BAU Comparison - Production'!AA212</f>
        <v>0</v>
      </c>
      <c r="AB103" s="61">
        <f>'BAU Comparison - Production'!AB212</f>
        <v>0</v>
      </c>
      <c r="AC103" s="59"/>
    </row>
    <row r="104" spans="1:29" ht="15" customHeight="1">
      <c r="A104" s="520"/>
      <c r="B104" s="2" t="str">
        <f>'BAU Comparison - Production'!B213</f>
        <v>North Coast</v>
      </c>
      <c r="C104" s="51" t="s">
        <v>240</v>
      </c>
      <c r="D104" s="393">
        <f>'BAU Comparison - Production'!D213</f>
        <v>0</v>
      </c>
      <c r="E104" s="60">
        <f>'BAU Comparison - Production'!E213</f>
        <v>0</v>
      </c>
      <c r="F104" s="60">
        <f>'BAU Comparison - Production'!F213</f>
        <v>0</v>
      </c>
      <c r="G104" s="60">
        <f>'BAU Comparison - Production'!G213</f>
        <v>0</v>
      </c>
      <c r="H104" s="60">
        <f>'BAU Comparison - Production'!H213</f>
        <v>0</v>
      </c>
      <c r="I104" s="60">
        <f>'BAU Comparison - Production'!I213</f>
        <v>0</v>
      </c>
      <c r="J104" s="60">
        <f>'BAU Comparison - Production'!J213</f>
        <v>0</v>
      </c>
      <c r="K104" s="60">
        <f>'BAU Comparison - Production'!K213</f>
        <v>0</v>
      </c>
      <c r="L104" s="60">
        <f>'BAU Comparison - Production'!L213</f>
        <v>0</v>
      </c>
      <c r="M104" s="60">
        <f>'BAU Comparison - Production'!M213</f>
        <v>0</v>
      </c>
      <c r="N104" s="60">
        <f>'BAU Comparison - Production'!N213</f>
        <v>0</v>
      </c>
      <c r="O104" s="60">
        <f>'BAU Comparison - Production'!O213</f>
        <v>0</v>
      </c>
      <c r="P104" s="60">
        <f>'BAU Comparison - Production'!P213</f>
        <v>0</v>
      </c>
      <c r="Q104" s="60">
        <f>'BAU Comparison - Production'!Q213</f>
        <v>0</v>
      </c>
      <c r="R104" s="60">
        <f>'BAU Comparison - Production'!R213</f>
        <v>0</v>
      </c>
      <c r="S104" s="60">
        <f>'BAU Comparison - Production'!S213</f>
        <v>0</v>
      </c>
      <c r="T104" s="60">
        <f>'BAU Comparison - Production'!T213</f>
        <v>0</v>
      </c>
      <c r="U104" s="60">
        <f>'BAU Comparison - Production'!U213</f>
        <v>0</v>
      </c>
      <c r="V104" s="60">
        <f>'BAU Comparison - Production'!V213</f>
        <v>0</v>
      </c>
      <c r="W104" s="60">
        <f>'BAU Comparison - Production'!W213</f>
        <v>0</v>
      </c>
      <c r="X104" s="60">
        <f>'BAU Comparison - Production'!X213</f>
        <v>0</v>
      </c>
      <c r="Y104" s="60">
        <f>'BAU Comparison - Production'!Y213</f>
        <v>0</v>
      </c>
      <c r="Z104" s="60">
        <f>'BAU Comparison - Production'!Z213</f>
        <v>0</v>
      </c>
      <c r="AA104" s="60">
        <f>'BAU Comparison - Production'!AA213</f>
        <v>0</v>
      </c>
      <c r="AB104" s="61">
        <f>'BAU Comparison - Production'!AB213</f>
        <v>0</v>
      </c>
      <c r="AC104" s="59"/>
    </row>
    <row r="105" spans="1:29" ht="15" customHeight="1">
      <c r="A105" s="520"/>
      <c r="B105" s="2" t="str">
        <f>'BAU Comparison - Production'!B214</f>
        <v>Northeast Plateau</v>
      </c>
      <c r="C105" s="51" t="s">
        <v>240</v>
      </c>
      <c r="D105" s="393">
        <f>'BAU Comparison - Production'!D214</f>
        <v>0</v>
      </c>
      <c r="E105" s="60">
        <f>'BAU Comparison - Production'!E214</f>
        <v>0</v>
      </c>
      <c r="F105" s="60">
        <f>'BAU Comparison - Production'!F214</f>
        <v>0</v>
      </c>
      <c r="G105" s="60">
        <f>'BAU Comparison - Production'!G214</f>
        <v>0</v>
      </c>
      <c r="H105" s="60">
        <f>'BAU Comparison - Production'!H214</f>
        <v>0</v>
      </c>
      <c r="I105" s="60">
        <f>'BAU Comparison - Production'!I214</f>
        <v>0</v>
      </c>
      <c r="J105" s="60">
        <f>'BAU Comparison - Production'!J214</f>
        <v>0</v>
      </c>
      <c r="K105" s="60">
        <f>'BAU Comparison - Production'!K214</f>
        <v>0</v>
      </c>
      <c r="L105" s="60">
        <f>'BAU Comparison - Production'!L214</f>
        <v>0</v>
      </c>
      <c r="M105" s="60">
        <f>'BAU Comparison - Production'!M214</f>
        <v>0</v>
      </c>
      <c r="N105" s="60">
        <f>'BAU Comparison - Production'!N214</f>
        <v>0</v>
      </c>
      <c r="O105" s="60">
        <f>'BAU Comparison - Production'!O214</f>
        <v>0</v>
      </c>
      <c r="P105" s="60">
        <f>'BAU Comparison - Production'!P214</f>
        <v>0</v>
      </c>
      <c r="Q105" s="60">
        <f>'BAU Comparison - Production'!Q214</f>
        <v>0</v>
      </c>
      <c r="R105" s="60">
        <f>'BAU Comparison - Production'!R214</f>
        <v>0</v>
      </c>
      <c r="S105" s="60">
        <f>'BAU Comparison - Production'!S214</f>
        <v>0</v>
      </c>
      <c r="T105" s="60">
        <f>'BAU Comparison - Production'!T214</f>
        <v>0</v>
      </c>
      <c r="U105" s="60">
        <f>'BAU Comparison - Production'!U214</f>
        <v>0</v>
      </c>
      <c r="V105" s="60">
        <f>'BAU Comparison - Production'!V214</f>
        <v>0</v>
      </c>
      <c r="W105" s="60">
        <f>'BAU Comparison - Production'!W214</f>
        <v>0</v>
      </c>
      <c r="X105" s="60">
        <f>'BAU Comparison - Production'!X214</f>
        <v>0</v>
      </c>
      <c r="Y105" s="60">
        <f>'BAU Comparison - Production'!Y214</f>
        <v>0</v>
      </c>
      <c r="Z105" s="60">
        <f>'BAU Comparison - Production'!Z214</f>
        <v>0</v>
      </c>
      <c r="AA105" s="60">
        <f>'BAU Comparison - Production'!AA214</f>
        <v>0</v>
      </c>
      <c r="AB105" s="61">
        <f>'BAU Comparison - Production'!AB214</f>
        <v>0</v>
      </c>
      <c r="AC105" s="59"/>
    </row>
    <row r="106" spans="1:29" ht="15" customHeight="1">
      <c r="A106" s="520"/>
      <c r="B106" s="2" t="str">
        <f>'BAU Comparison - Production'!B215</f>
        <v xml:space="preserve">Sacramento Valley </v>
      </c>
      <c r="C106" s="51" t="s">
        <v>240</v>
      </c>
      <c r="D106" s="393">
        <f>'BAU Comparison - Production'!D215</f>
        <v>0</v>
      </c>
      <c r="E106" s="60">
        <f>'BAU Comparison - Production'!E215</f>
        <v>0</v>
      </c>
      <c r="F106" s="60">
        <f>'BAU Comparison - Production'!F215</f>
        <v>0</v>
      </c>
      <c r="G106" s="60">
        <f>'BAU Comparison - Production'!G215</f>
        <v>0</v>
      </c>
      <c r="H106" s="60">
        <f>'BAU Comparison - Production'!H215</f>
        <v>0</v>
      </c>
      <c r="I106" s="60">
        <f>'BAU Comparison - Production'!I215</f>
        <v>0</v>
      </c>
      <c r="J106" s="60">
        <f>'BAU Comparison - Production'!J215</f>
        <v>0</v>
      </c>
      <c r="K106" s="60">
        <f>'BAU Comparison - Production'!K215</f>
        <v>0</v>
      </c>
      <c r="L106" s="60">
        <f>'BAU Comparison - Production'!L215</f>
        <v>0</v>
      </c>
      <c r="M106" s="60">
        <f>'BAU Comparison - Production'!M215</f>
        <v>0</v>
      </c>
      <c r="N106" s="60">
        <f>'BAU Comparison - Production'!N215</f>
        <v>0</v>
      </c>
      <c r="O106" s="60">
        <f>'BAU Comparison - Production'!O215</f>
        <v>0</v>
      </c>
      <c r="P106" s="60">
        <f>'BAU Comparison - Production'!P215</f>
        <v>0</v>
      </c>
      <c r="Q106" s="60">
        <f>'BAU Comparison - Production'!Q215</f>
        <v>0</v>
      </c>
      <c r="R106" s="60">
        <f>'BAU Comparison - Production'!R215</f>
        <v>0</v>
      </c>
      <c r="S106" s="60">
        <f>'BAU Comparison - Production'!S215</f>
        <v>0</v>
      </c>
      <c r="T106" s="60">
        <f>'BAU Comparison - Production'!T215</f>
        <v>0</v>
      </c>
      <c r="U106" s="60">
        <f>'BAU Comparison - Production'!U215</f>
        <v>0</v>
      </c>
      <c r="V106" s="60">
        <f>'BAU Comparison - Production'!V215</f>
        <v>0</v>
      </c>
      <c r="W106" s="60">
        <f>'BAU Comparison - Production'!W215</f>
        <v>0</v>
      </c>
      <c r="X106" s="60">
        <f>'BAU Comparison - Production'!X215</f>
        <v>0</v>
      </c>
      <c r="Y106" s="60">
        <f>'BAU Comparison - Production'!Y215</f>
        <v>0</v>
      </c>
      <c r="Z106" s="60">
        <f>'BAU Comparison - Production'!Z215</f>
        <v>0</v>
      </c>
      <c r="AA106" s="60">
        <f>'BAU Comparison - Production'!AA215</f>
        <v>0</v>
      </c>
      <c r="AB106" s="61">
        <f>'BAU Comparison - Production'!AB215</f>
        <v>0</v>
      </c>
      <c r="AC106" s="59"/>
    </row>
    <row r="107" spans="1:29" ht="15" customHeight="1">
      <c r="A107" s="520"/>
      <c r="B107" s="2" t="str">
        <f>'BAU Comparison - Production'!B216</f>
        <v>Salton Sea</v>
      </c>
      <c r="C107" s="51" t="s">
        <v>240</v>
      </c>
      <c r="D107" s="393">
        <f>'BAU Comparison - Production'!D216</f>
        <v>0</v>
      </c>
      <c r="E107" s="60">
        <f>'BAU Comparison - Production'!E216</f>
        <v>0</v>
      </c>
      <c r="F107" s="60">
        <f>'BAU Comparison - Production'!F216</f>
        <v>0</v>
      </c>
      <c r="G107" s="60">
        <f>'BAU Comparison - Production'!G216</f>
        <v>0</v>
      </c>
      <c r="H107" s="60">
        <f>'BAU Comparison - Production'!H216</f>
        <v>0</v>
      </c>
      <c r="I107" s="60">
        <f>'BAU Comparison - Production'!I216</f>
        <v>0</v>
      </c>
      <c r="J107" s="60">
        <f>'BAU Comparison - Production'!J216</f>
        <v>0</v>
      </c>
      <c r="K107" s="60">
        <f>'BAU Comparison - Production'!K216</f>
        <v>0</v>
      </c>
      <c r="L107" s="60">
        <f>'BAU Comparison - Production'!L216</f>
        <v>0</v>
      </c>
      <c r="M107" s="60">
        <f>'BAU Comparison - Production'!M216</f>
        <v>0</v>
      </c>
      <c r="N107" s="60">
        <f>'BAU Comparison - Production'!N216</f>
        <v>0</v>
      </c>
      <c r="O107" s="60">
        <f>'BAU Comparison - Production'!O216</f>
        <v>0</v>
      </c>
      <c r="P107" s="60">
        <f>'BAU Comparison - Production'!P216</f>
        <v>0</v>
      </c>
      <c r="Q107" s="60">
        <f>'BAU Comparison - Production'!Q216</f>
        <v>0</v>
      </c>
      <c r="R107" s="60">
        <f>'BAU Comparison - Production'!R216</f>
        <v>0</v>
      </c>
      <c r="S107" s="60">
        <f>'BAU Comparison - Production'!S216</f>
        <v>0</v>
      </c>
      <c r="T107" s="60">
        <f>'BAU Comparison - Production'!T216</f>
        <v>0</v>
      </c>
      <c r="U107" s="60">
        <f>'BAU Comparison - Production'!U216</f>
        <v>0</v>
      </c>
      <c r="V107" s="60">
        <f>'BAU Comparison - Production'!V216</f>
        <v>0</v>
      </c>
      <c r="W107" s="60">
        <f>'BAU Comparison - Production'!W216</f>
        <v>0</v>
      </c>
      <c r="X107" s="60">
        <f>'BAU Comparison - Production'!X216</f>
        <v>0</v>
      </c>
      <c r="Y107" s="60">
        <f>'BAU Comparison - Production'!Y216</f>
        <v>0</v>
      </c>
      <c r="Z107" s="60">
        <f>'BAU Comparison - Production'!Z216</f>
        <v>0</v>
      </c>
      <c r="AA107" s="60">
        <f>'BAU Comparison - Production'!AA216</f>
        <v>0</v>
      </c>
      <c r="AB107" s="61">
        <f>'BAU Comparison - Production'!AB216</f>
        <v>0</v>
      </c>
      <c r="AC107" s="59"/>
    </row>
    <row r="108" spans="1:29" ht="15" customHeight="1">
      <c r="A108" s="520"/>
      <c r="B108" s="2" t="str">
        <f>'BAU Comparison - Production'!B217</f>
        <v xml:space="preserve">San Diego </v>
      </c>
      <c r="C108" s="51" t="s">
        <v>240</v>
      </c>
      <c r="D108" s="393">
        <f>'BAU Comparison - Production'!D217</f>
        <v>0</v>
      </c>
      <c r="E108" s="60">
        <f>'BAU Comparison - Production'!E217</f>
        <v>0</v>
      </c>
      <c r="F108" s="60">
        <f>'BAU Comparison - Production'!F217</f>
        <v>0</v>
      </c>
      <c r="G108" s="60">
        <f>'BAU Comparison - Production'!G217</f>
        <v>0</v>
      </c>
      <c r="H108" s="60">
        <f>'BAU Comparison - Production'!H217</f>
        <v>0</v>
      </c>
      <c r="I108" s="60">
        <f>'BAU Comparison - Production'!I217</f>
        <v>0</v>
      </c>
      <c r="J108" s="60">
        <f>'BAU Comparison - Production'!J217</f>
        <v>0</v>
      </c>
      <c r="K108" s="60">
        <f>'BAU Comparison - Production'!K217</f>
        <v>0</v>
      </c>
      <c r="L108" s="60">
        <f>'BAU Comparison - Production'!L217</f>
        <v>0</v>
      </c>
      <c r="M108" s="60">
        <f>'BAU Comparison - Production'!M217</f>
        <v>0</v>
      </c>
      <c r="N108" s="60">
        <f>'BAU Comparison - Production'!N217</f>
        <v>0</v>
      </c>
      <c r="O108" s="60">
        <f>'BAU Comparison - Production'!O217</f>
        <v>0</v>
      </c>
      <c r="P108" s="60">
        <f>'BAU Comparison - Production'!P217</f>
        <v>0</v>
      </c>
      <c r="Q108" s="60">
        <f>'BAU Comparison - Production'!Q217</f>
        <v>0</v>
      </c>
      <c r="R108" s="60">
        <f>'BAU Comparison - Production'!R217</f>
        <v>0</v>
      </c>
      <c r="S108" s="60">
        <f>'BAU Comparison - Production'!S217</f>
        <v>0</v>
      </c>
      <c r="T108" s="60">
        <f>'BAU Comparison - Production'!T217</f>
        <v>0</v>
      </c>
      <c r="U108" s="60">
        <f>'BAU Comparison - Production'!U217</f>
        <v>0</v>
      </c>
      <c r="V108" s="60">
        <f>'BAU Comparison - Production'!V217</f>
        <v>0</v>
      </c>
      <c r="W108" s="60">
        <f>'BAU Comparison - Production'!W217</f>
        <v>0</v>
      </c>
      <c r="X108" s="60">
        <f>'BAU Comparison - Production'!X217</f>
        <v>0</v>
      </c>
      <c r="Y108" s="60">
        <f>'BAU Comparison - Production'!Y217</f>
        <v>0</v>
      </c>
      <c r="Z108" s="60">
        <f>'BAU Comparison - Production'!Z217</f>
        <v>0</v>
      </c>
      <c r="AA108" s="60">
        <f>'BAU Comparison - Production'!AA217</f>
        <v>0</v>
      </c>
      <c r="AB108" s="61">
        <f>'BAU Comparison - Production'!AB217</f>
        <v>0</v>
      </c>
      <c r="AC108" s="59"/>
    </row>
    <row r="109" spans="1:29" ht="15" customHeight="1">
      <c r="A109" s="520"/>
      <c r="B109" s="2" t="str">
        <f>'BAU Comparison - Production'!B218</f>
        <v>San Franscisco Bay Area</v>
      </c>
      <c r="C109" s="51" t="s">
        <v>240</v>
      </c>
      <c r="D109" s="393">
        <f>'BAU Comparison - Production'!D218</f>
        <v>0</v>
      </c>
      <c r="E109" s="60">
        <f>'BAU Comparison - Production'!E218</f>
        <v>0</v>
      </c>
      <c r="F109" s="60">
        <f>'BAU Comparison - Production'!F218</f>
        <v>0</v>
      </c>
      <c r="G109" s="60">
        <f>'BAU Comparison - Production'!G218</f>
        <v>0</v>
      </c>
      <c r="H109" s="60">
        <f>'BAU Comparison - Production'!H218</f>
        <v>0</v>
      </c>
      <c r="I109" s="60">
        <f>'BAU Comparison - Production'!I218</f>
        <v>0</v>
      </c>
      <c r="J109" s="60">
        <f>'BAU Comparison - Production'!J218</f>
        <v>0</v>
      </c>
      <c r="K109" s="60">
        <f>'BAU Comparison - Production'!K218</f>
        <v>0</v>
      </c>
      <c r="L109" s="60">
        <f>'BAU Comparison - Production'!L218</f>
        <v>0</v>
      </c>
      <c r="M109" s="60">
        <f>'BAU Comparison - Production'!M218</f>
        <v>0</v>
      </c>
      <c r="N109" s="60">
        <f>'BAU Comparison - Production'!N218</f>
        <v>0</v>
      </c>
      <c r="O109" s="60">
        <f>'BAU Comparison - Production'!O218</f>
        <v>0</v>
      </c>
      <c r="P109" s="60">
        <f>'BAU Comparison - Production'!P218</f>
        <v>0</v>
      </c>
      <c r="Q109" s="60">
        <f>'BAU Comparison - Production'!Q218</f>
        <v>0</v>
      </c>
      <c r="R109" s="60">
        <f>'BAU Comparison - Production'!R218</f>
        <v>-0.399673569519297</v>
      </c>
      <c r="S109" s="60">
        <f>'BAU Comparison - Production'!S218</f>
        <v>-1.4217747442540618</v>
      </c>
      <c r="T109" s="60">
        <f>'BAU Comparison - Production'!T218</f>
        <v>-2.4670233060807143</v>
      </c>
      <c r="U109" s="60">
        <f>'BAU Comparison - Production'!U218</f>
        <v>-3.5338076143734631</v>
      </c>
      <c r="V109" s="60">
        <f>'BAU Comparison - Production'!V218</f>
        <v>-4.4608852242136896</v>
      </c>
      <c r="W109" s="60">
        <f>'BAU Comparison - Production'!W218</f>
        <v>-5.4529232707537547</v>
      </c>
      <c r="X109" s="60">
        <f>'BAU Comparison - Production'!X218</f>
        <v>-6.5807659800797236</v>
      </c>
      <c r="Y109" s="60">
        <f>'BAU Comparison - Production'!Y218</f>
        <v>-7.1762941441120605</v>
      </c>
      <c r="Z109" s="60">
        <f>'BAU Comparison - Production'!Z218</f>
        <v>-7.7941760897673529</v>
      </c>
      <c r="AA109" s="60">
        <f>'BAU Comparison - Production'!AA218</f>
        <v>-8.4104933117576692</v>
      </c>
      <c r="AB109" s="61">
        <f>'BAU Comparison - Production'!AB218</f>
        <v>-9.2519398333992093</v>
      </c>
      <c r="AC109" s="59"/>
    </row>
    <row r="110" spans="1:29" ht="15" customHeight="1">
      <c r="A110" s="520"/>
      <c r="B110" s="2" t="str">
        <f>'BAU Comparison - Production'!B219</f>
        <v xml:space="preserve">San Joaquin Valley </v>
      </c>
      <c r="C110" s="51" t="s">
        <v>240</v>
      </c>
      <c r="D110" s="393">
        <f>'BAU Comparison - Production'!D219</f>
        <v>0</v>
      </c>
      <c r="E110" s="60">
        <f>'BAU Comparison - Production'!E219</f>
        <v>0</v>
      </c>
      <c r="F110" s="60">
        <f>'BAU Comparison - Production'!F219</f>
        <v>0</v>
      </c>
      <c r="G110" s="60">
        <f>'BAU Comparison - Production'!G219</f>
        <v>0</v>
      </c>
      <c r="H110" s="60">
        <f>'BAU Comparison - Production'!H219</f>
        <v>0</v>
      </c>
      <c r="I110" s="60">
        <f>'BAU Comparison - Production'!I219</f>
        <v>0</v>
      </c>
      <c r="J110" s="60">
        <f>'BAU Comparison - Production'!J219</f>
        <v>0</v>
      </c>
      <c r="K110" s="60">
        <f>'BAU Comparison - Production'!K219</f>
        <v>0</v>
      </c>
      <c r="L110" s="60">
        <f>'BAU Comparison - Production'!L219</f>
        <v>0</v>
      </c>
      <c r="M110" s="60">
        <f>'BAU Comparison - Production'!M219</f>
        <v>0</v>
      </c>
      <c r="N110" s="60">
        <f>'BAU Comparison - Production'!N219</f>
        <v>0</v>
      </c>
      <c r="O110" s="60">
        <f>'BAU Comparison - Production'!O219</f>
        <v>0</v>
      </c>
      <c r="P110" s="60">
        <f>'BAU Comparison - Production'!P219</f>
        <v>0</v>
      </c>
      <c r="Q110" s="60">
        <f>'BAU Comparison - Production'!Q219</f>
        <v>0</v>
      </c>
      <c r="R110" s="60">
        <f>'BAU Comparison - Production'!R219</f>
        <v>-7.2868752244291098E-3</v>
      </c>
      <c r="S110" s="60">
        <f>'BAU Comparison - Production'!S219</f>
        <v>-2.5921892135836476E-2</v>
      </c>
      <c r="T110" s="60">
        <f>'BAU Comparison - Production'!T219</f>
        <v>-4.4978933755340039E-2</v>
      </c>
      <c r="U110" s="60">
        <f>'BAU Comparison - Production'!U219</f>
        <v>-6.4428616543365527E-2</v>
      </c>
      <c r="V110" s="60">
        <f>'BAU Comparison - Production'!V219</f>
        <v>-8.1331157470434581E-2</v>
      </c>
      <c r="W110" s="60">
        <f>'BAU Comparison - Production'!W219</f>
        <v>-9.9418061419870835E-2</v>
      </c>
      <c r="X110" s="60">
        <f>'BAU Comparison - Production'!X219</f>
        <v>-0.11998096505526773</v>
      </c>
      <c r="Y110" s="60">
        <f>'BAU Comparison - Production'!Y219</f>
        <v>-0.13083867433325758</v>
      </c>
      <c r="Z110" s="60">
        <f>'BAU Comparison - Production'!Z219</f>
        <v>-0.1421039392514078</v>
      </c>
      <c r="AA110" s="60">
        <f>'BAU Comparison - Production'!AA219</f>
        <v>-0.1533406760231481</v>
      </c>
      <c r="AB110" s="61">
        <f>'BAU Comparison - Production'!AB219</f>
        <v>-0.16868198522857397</v>
      </c>
      <c r="AC110" s="59"/>
    </row>
    <row r="111" spans="1:29" ht="15" customHeight="1">
      <c r="A111" s="520"/>
      <c r="B111" s="2" t="str">
        <f>'BAU Comparison - Production'!B220</f>
        <v>South Central Coast</v>
      </c>
      <c r="C111" s="51" t="s">
        <v>240</v>
      </c>
      <c r="D111" s="393">
        <f>'BAU Comparison - Production'!D220</f>
        <v>0</v>
      </c>
      <c r="E111" s="60">
        <f>'BAU Comparison - Production'!E220</f>
        <v>0</v>
      </c>
      <c r="F111" s="60">
        <f>'BAU Comparison - Production'!F220</f>
        <v>0</v>
      </c>
      <c r="G111" s="60">
        <f>'BAU Comparison - Production'!G220</f>
        <v>0</v>
      </c>
      <c r="H111" s="60">
        <f>'BAU Comparison - Production'!H220</f>
        <v>0</v>
      </c>
      <c r="I111" s="60">
        <f>'BAU Comparison - Production'!I220</f>
        <v>0</v>
      </c>
      <c r="J111" s="60">
        <f>'BAU Comparison - Production'!J220</f>
        <v>0</v>
      </c>
      <c r="K111" s="60">
        <f>'BAU Comparison - Production'!K220</f>
        <v>0</v>
      </c>
      <c r="L111" s="60">
        <f>'BAU Comparison - Production'!L220</f>
        <v>0</v>
      </c>
      <c r="M111" s="60">
        <f>'BAU Comparison - Production'!M220</f>
        <v>0</v>
      </c>
      <c r="N111" s="60">
        <f>'BAU Comparison - Production'!N220</f>
        <v>0</v>
      </c>
      <c r="O111" s="60">
        <f>'BAU Comparison - Production'!O220</f>
        <v>0</v>
      </c>
      <c r="P111" s="60">
        <f>'BAU Comparison - Production'!P220</f>
        <v>0</v>
      </c>
      <c r="Q111" s="60">
        <f>'BAU Comparison - Production'!Q220</f>
        <v>0</v>
      </c>
      <c r="R111" s="60">
        <f>'BAU Comparison - Production'!R220</f>
        <v>-3.7650936493142058E-2</v>
      </c>
      <c r="S111" s="60">
        <f>'BAU Comparison - Production'!S220</f>
        <v>-0.13393717945333983</v>
      </c>
      <c r="T111" s="60">
        <f>'BAU Comparison - Production'!T220</f>
        <v>-0.23240400393767258</v>
      </c>
      <c r="U111" s="60">
        <f>'BAU Comparison - Production'!U220</f>
        <v>-0.33289958659959162</v>
      </c>
      <c r="V111" s="60">
        <f>'BAU Comparison - Production'!V220</f>
        <v>-0.42023420883715995</v>
      </c>
      <c r="W111" s="60">
        <f>'BAU Comparison - Production'!W220</f>
        <v>-0.51368837828345182</v>
      </c>
      <c r="X111" s="60">
        <f>'BAU Comparison - Production'!X220</f>
        <v>-0.6199359199313994</v>
      </c>
      <c r="Y111" s="60">
        <f>'BAU Comparison - Production'!Y220</f>
        <v>-0.67603718554880554</v>
      </c>
      <c r="Z111" s="60">
        <f>'BAU Comparison - Production'!Z220</f>
        <v>-0.7342442717069092</v>
      </c>
      <c r="AA111" s="60">
        <f>'BAU Comparison - Production'!AA220</f>
        <v>-0.79230395429411793</v>
      </c>
      <c r="AB111" s="61">
        <f>'BAU Comparison - Production'!AB220</f>
        <v>-0.87157176674117365</v>
      </c>
      <c r="AC111" s="59"/>
    </row>
    <row r="112" spans="1:29" ht="15" customHeight="1">
      <c r="A112" s="520"/>
      <c r="B112" s="2" t="str">
        <f>'BAU Comparison - Production'!B221</f>
        <v>South Coast</v>
      </c>
      <c r="C112" s="51" t="s">
        <v>240</v>
      </c>
      <c r="D112" s="394">
        <f>'BAU Comparison - Production'!D221</f>
        <v>0</v>
      </c>
      <c r="E112" s="64">
        <f>'BAU Comparison - Production'!E221</f>
        <v>0</v>
      </c>
      <c r="F112" s="64">
        <f>'BAU Comparison - Production'!F221</f>
        <v>0</v>
      </c>
      <c r="G112" s="64">
        <f>'BAU Comparison - Production'!G221</f>
        <v>0</v>
      </c>
      <c r="H112" s="64">
        <f>'BAU Comparison - Production'!H221</f>
        <v>0</v>
      </c>
      <c r="I112" s="64">
        <f>'BAU Comparison - Production'!I221</f>
        <v>0</v>
      </c>
      <c r="J112" s="64">
        <f>'BAU Comparison - Production'!J221</f>
        <v>0</v>
      </c>
      <c r="K112" s="64">
        <f>'BAU Comparison - Production'!K221</f>
        <v>0</v>
      </c>
      <c r="L112" s="64">
        <f>'BAU Comparison - Production'!L221</f>
        <v>0</v>
      </c>
      <c r="M112" s="64">
        <f>'BAU Comparison - Production'!M221</f>
        <v>0</v>
      </c>
      <c r="N112" s="64">
        <f>'BAU Comparison - Production'!N221</f>
        <v>0</v>
      </c>
      <c r="O112" s="64">
        <f>'BAU Comparison - Production'!O221</f>
        <v>0</v>
      </c>
      <c r="P112" s="64">
        <f>'BAU Comparison - Production'!P221</f>
        <v>0</v>
      </c>
      <c r="Q112" s="64">
        <f>'BAU Comparison - Production'!Q221</f>
        <v>0</v>
      </c>
      <c r="R112" s="64">
        <f>'BAU Comparison - Production'!R221</f>
        <v>-0.88439723603544818</v>
      </c>
      <c r="S112" s="64">
        <f>'BAU Comparison - Production'!S221</f>
        <v>-3.1461125096335287</v>
      </c>
      <c r="T112" s="64">
        <f>'BAU Comparison - Production'!T221</f>
        <v>-5.4590636779569026</v>
      </c>
      <c r="U112" s="64">
        <f>'BAU Comparison - Production'!U221</f>
        <v>-7.8197003453562033</v>
      </c>
      <c r="V112" s="64">
        <f>'BAU Comparison - Production'!V221</f>
        <v>-9.871194542271299</v>
      </c>
      <c r="W112" s="64">
        <f>'BAU Comparison - Production'!W221</f>
        <v>-12.066425875152046</v>
      </c>
      <c r="X112" s="64">
        <f>'BAU Comparison - Production'!X221</f>
        <v>-14.562149967854765</v>
      </c>
      <c r="Y112" s="64">
        <f>'BAU Comparison - Production'!Y221</f>
        <v>-15.879977555176476</v>
      </c>
      <c r="Z112" s="64">
        <f>'BAU Comparison - Production'!Z221</f>
        <v>-17.247241932451356</v>
      </c>
      <c r="AA112" s="64">
        <f>'BAU Comparison - Production'!AA221</f>
        <v>-18.611077277879684</v>
      </c>
      <c r="AB112" s="65">
        <f>'BAU Comparison - Production'!AB221</f>
        <v>-20.473092237468364</v>
      </c>
      <c r="AC112" s="59"/>
    </row>
    <row r="113" spans="1:29" ht="15" customHeight="1">
      <c r="A113" s="520"/>
      <c r="B113" s="2" t="str">
        <f>'BAU Comparison - Production'!B222</f>
        <v>STATEWIDE</v>
      </c>
      <c r="C113" s="73" t="s">
        <v>240</v>
      </c>
      <c r="D113" s="175">
        <f>'BAU Comparison - Production'!D222</f>
        <v>0</v>
      </c>
      <c r="E113" s="175">
        <f>'BAU Comparison - Production'!E222</f>
        <v>0</v>
      </c>
      <c r="F113" s="175">
        <f>'BAU Comparison - Production'!F222</f>
        <v>0</v>
      </c>
      <c r="G113" s="175">
        <f>'BAU Comparison - Production'!G222</f>
        <v>0</v>
      </c>
      <c r="H113" s="175">
        <f>'BAU Comparison - Production'!H222</f>
        <v>0</v>
      </c>
      <c r="I113" s="175">
        <f>'BAU Comparison - Production'!I222</f>
        <v>0</v>
      </c>
      <c r="J113" s="175">
        <f>'BAU Comparison - Production'!J222</f>
        <v>0</v>
      </c>
      <c r="K113" s="175">
        <f>'BAU Comparison - Production'!K222</f>
        <v>0</v>
      </c>
      <c r="L113" s="175">
        <f>'BAU Comparison - Production'!L222</f>
        <v>0</v>
      </c>
      <c r="M113" s="175">
        <f>'BAU Comparison - Production'!M222</f>
        <v>0</v>
      </c>
      <c r="N113" s="175">
        <f>'BAU Comparison - Production'!N222</f>
        <v>0</v>
      </c>
      <c r="O113" s="175">
        <f>'BAU Comparison - Production'!O222</f>
        <v>0</v>
      </c>
      <c r="P113" s="175">
        <f>'BAU Comparison - Production'!P222</f>
        <v>0</v>
      </c>
      <c r="Q113" s="175">
        <f>'BAU Comparison - Production'!Q222</f>
        <v>0</v>
      </c>
      <c r="R113" s="175">
        <f>'BAU Comparison - Production'!R222</f>
        <v>-1.3290086172723163</v>
      </c>
      <c r="S113" s="175">
        <f>'BAU Comparison - Production'!S222</f>
        <v>-4.7277463254767671</v>
      </c>
      <c r="T113" s="175">
        <f>'BAU Comparison - Production'!T222</f>
        <v>-8.2034699217306297</v>
      </c>
      <c r="U113" s="175">
        <f>'BAU Comparison - Production'!U222</f>
        <v>-11.750836162872623</v>
      </c>
      <c r="V113" s="175">
        <f>'BAU Comparison - Production'!V222</f>
        <v>-14.833645132792583</v>
      </c>
      <c r="W113" s="175">
        <f>'BAU Comparison - Production'!W222</f>
        <v>-18.132455585609122</v>
      </c>
      <c r="X113" s="175">
        <f>'BAU Comparison - Production'!X222</f>
        <v>-21.882832832921157</v>
      </c>
      <c r="Y113" s="175">
        <f>'BAU Comparison - Production'!Y222</f>
        <v>-23.863147559170599</v>
      </c>
      <c r="Z113" s="175">
        <f>'BAU Comparison - Production'!Z222</f>
        <v>-25.917766233177026</v>
      </c>
      <c r="AA113" s="175">
        <f>'BAU Comparison - Production'!AA222</f>
        <v>-27.967215219954618</v>
      </c>
      <c r="AB113" s="175">
        <f>'BAU Comparison - Production'!AB222</f>
        <v>-30.76528582283732</v>
      </c>
      <c r="AC113" s="59"/>
    </row>
    <row r="114" spans="1:29" ht="15" customHeight="1">
      <c r="A114" s="520"/>
      <c r="B114" s="2"/>
      <c r="AC114" s="59"/>
    </row>
    <row r="115" spans="1:29" ht="15.75" customHeight="1">
      <c r="A115" s="520"/>
      <c r="B115" s="86"/>
      <c r="C115" s="86"/>
      <c r="D115" s="519" t="s">
        <v>18933</v>
      </c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9"/>
    </row>
    <row r="116" spans="1:29" ht="15" customHeight="1">
      <c r="A116" s="520"/>
      <c r="B116" s="88" t="s">
        <v>18814</v>
      </c>
      <c r="C116" s="90" t="s">
        <v>1</v>
      </c>
      <c r="D116" s="156">
        <v>2022</v>
      </c>
      <c r="E116" s="156">
        <v>2023</v>
      </c>
      <c r="F116" s="156">
        <v>2024</v>
      </c>
      <c r="G116" s="156">
        <v>2025</v>
      </c>
      <c r="H116" s="156">
        <v>2026</v>
      </c>
      <c r="I116" s="156">
        <v>2027</v>
      </c>
      <c r="J116" s="156">
        <v>2028</v>
      </c>
      <c r="K116" s="156">
        <v>2029</v>
      </c>
      <c r="L116" s="157">
        <v>2030</v>
      </c>
      <c r="M116" s="156">
        <v>2031</v>
      </c>
      <c r="N116" s="156">
        <v>2032</v>
      </c>
      <c r="O116" s="156">
        <v>2033</v>
      </c>
      <c r="P116" s="156">
        <v>2034</v>
      </c>
      <c r="Q116" s="156">
        <v>2035</v>
      </c>
      <c r="R116" s="156">
        <v>2036</v>
      </c>
      <c r="S116" s="156">
        <v>2037</v>
      </c>
      <c r="T116" s="156">
        <v>2038</v>
      </c>
      <c r="U116" s="157">
        <v>2039</v>
      </c>
      <c r="V116" s="156">
        <v>2040</v>
      </c>
      <c r="W116" s="156">
        <v>2041</v>
      </c>
      <c r="X116" s="156">
        <v>2042</v>
      </c>
      <c r="Y116" s="156">
        <v>2043</v>
      </c>
      <c r="Z116" s="156">
        <v>2044</v>
      </c>
      <c r="AA116" s="156">
        <v>2045</v>
      </c>
      <c r="AB116" s="156">
        <v>2046</v>
      </c>
      <c r="AC116" s="59"/>
    </row>
    <row r="117" spans="1:29" ht="15" customHeight="1">
      <c r="A117" s="520"/>
      <c r="B117" s="2" t="s">
        <v>249</v>
      </c>
      <c r="C117" s="2" t="s">
        <v>240</v>
      </c>
      <c r="D117" s="104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80">
        <v>0</v>
      </c>
      <c r="AC117" s="59"/>
    </row>
    <row r="118" spans="1:29" ht="15" customHeight="1">
      <c r="A118" s="520"/>
      <c r="B118" s="2" t="s">
        <v>251</v>
      </c>
      <c r="C118" s="2" t="s">
        <v>240</v>
      </c>
      <c r="D118" s="393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1">
        <v>0</v>
      </c>
      <c r="AC118" s="59"/>
    </row>
    <row r="119" spans="1:29" ht="15" customHeight="1">
      <c r="A119" s="520"/>
      <c r="B119" s="2" t="s">
        <v>253</v>
      </c>
      <c r="C119" s="2" t="s">
        <v>240</v>
      </c>
      <c r="D119" s="393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1">
        <v>0</v>
      </c>
      <c r="AC119" s="59"/>
    </row>
    <row r="120" spans="1:29" ht="15" customHeight="1">
      <c r="A120" s="520"/>
      <c r="B120" s="2" t="s">
        <v>255</v>
      </c>
      <c r="C120" s="2" t="s">
        <v>240</v>
      </c>
      <c r="D120" s="393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1">
        <v>0</v>
      </c>
      <c r="AC120" s="59"/>
    </row>
    <row r="121" spans="1:29" ht="15" customHeight="1">
      <c r="A121" s="520"/>
      <c r="B121" s="2" t="s">
        <v>256</v>
      </c>
      <c r="C121" s="2" t="s">
        <v>240</v>
      </c>
      <c r="D121" s="393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1">
        <v>0</v>
      </c>
      <c r="AC121" s="59"/>
    </row>
    <row r="122" spans="1:29" ht="15" customHeight="1">
      <c r="A122" s="520"/>
      <c r="B122" s="2" t="s">
        <v>257</v>
      </c>
      <c r="C122" s="2" t="s">
        <v>240</v>
      </c>
      <c r="D122" s="393">
        <f>'BAU Comparison - FS &amp; Fuel Tr'!BL460/907185</f>
        <v>0</v>
      </c>
      <c r="E122" s="60">
        <f>'BAU Comparison - FS &amp; Fuel Tr'!BM460/907185</f>
        <v>0</v>
      </c>
      <c r="F122" s="60">
        <f>'BAU Comparison - FS &amp; Fuel Tr'!BN460/907185</f>
        <v>0</v>
      </c>
      <c r="G122" s="60">
        <f>'BAU Comparison - FS &amp; Fuel Tr'!BO460/907185</f>
        <v>0</v>
      </c>
      <c r="H122" s="60">
        <f>'BAU Comparison - FS &amp; Fuel Tr'!BP460/907185</f>
        <v>0</v>
      </c>
      <c r="I122" s="60">
        <f>'BAU Comparison - FS &amp; Fuel Tr'!BQ460/907185</f>
        <v>0</v>
      </c>
      <c r="J122" s="60">
        <f>'BAU Comparison - FS &amp; Fuel Tr'!BR460/907185</f>
        <v>0</v>
      </c>
      <c r="K122" s="60">
        <f>'BAU Comparison - FS &amp; Fuel Tr'!BS460/907185</f>
        <v>0</v>
      </c>
      <c r="L122" s="60">
        <f>'BAU Comparison - FS &amp; Fuel Tr'!BT460/907185</f>
        <v>0</v>
      </c>
      <c r="M122" s="60">
        <f>'BAU Comparison - FS &amp; Fuel Tr'!BU460/907185</f>
        <v>0</v>
      </c>
      <c r="N122" s="60">
        <f>'BAU Comparison - FS &amp; Fuel Tr'!BV460/907185</f>
        <v>0</v>
      </c>
      <c r="O122" s="60">
        <f>'BAU Comparison - FS &amp; Fuel Tr'!BW460/907185</f>
        <v>0</v>
      </c>
      <c r="P122" s="60">
        <f>'BAU Comparison - FS &amp; Fuel Tr'!BX460/907185</f>
        <v>0</v>
      </c>
      <c r="Q122" s="60">
        <f>'BAU Comparison - FS &amp; Fuel Tr'!BY460/907185</f>
        <v>0</v>
      </c>
      <c r="R122" s="60">
        <f>'BAU Comparison - FS &amp; Fuel Tr'!BZ460/907185</f>
        <v>0</v>
      </c>
      <c r="S122" s="60">
        <f>'BAU Comparison - FS &amp; Fuel Tr'!CA460/907185</f>
        <v>0</v>
      </c>
      <c r="T122" s="60">
        <f>'BAU Comparison - FS &amp; Fuel Tr'!CB460/907185</f>
        <v>0</v>
      </c>
      <c r="U122" s="60">
        <f>'BAU Comparison - FS &amp; Fuel Tr'!CC460/907185</f>
        <v>0</v>
      </c>
      <c r="V122" s="60">
        <f>'BAU Comparison - FS &amp; Fuel Tr'!CD460/907185</f>
        <v>0</v>
      </c>
      <c r="W122" s="60">
        <f>'BAU Comparison - FS &amp; Fuel Tr'!CE460/907185</f>
        <v>0</v>
      </c>
      <c r="X122" s="60">
        <f>'BAU Comparison - FS &amp; Fuel Tr'!CF460/907185</f>
        <v>0</v>
      </c>
      <c r="Y122" s="60">
        <f>'BAU Comparison - FS &amp; Fuel Tr'!CG460/907185</f>
        <v>0</v>
      </c>
      <c r="Z122" s="60">
        <f>'BAU Comparison - FS &amp; Fuel Tr'!CH460/907185</f>
        <v>0</v>
      </c>
      <c r="AA122" s="60">
        <f>'BAU Comparison - FS &amp; Fuel Tr'!CI460/907185</f>
        <v>0</v>
      </c>
      <c r="AB122" s="61">
        <f>'BAU Comparison - FS &amp; Fuel Tr'!CJ460/907185</f>
        <v>0</v>
      </c>
      <c r="AC122" s="59"/>
    </row>
    <row r="123" spans="1:29" ht="15" customHeight="1">
      <c r="A123" s="520"/>
      <c r="B123" s="2" t="s">
        <v>258</v>
      </c>
      <c r="C123" s="2" t="s">
        <v>240</v>
      </c>
      <c r="D123" s="393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1">
        <v>0</v>
      </c>
      <c r="AC123" s="59"/>
    </row>
    <row r="124" spans="1:29" ht="15" customHeight="1">
      <c r="A124" s="520"/>
      <c r="B124" s="2" t="s">
        <v>259</v>
      </c>
      <c r="C124" s="2" t="s">
        <v>240</v>
      </c>
      <c r="D124" s="393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1">
        <v>0</v>
      </c>
      <c r="AC124" s="59"/>
    </row>
    <row r="125" spans="1:29" ht="15" customHeight="1">
      <c r="A125" s="520"/>
      <c r="B125" s="2" t="s">
        <v>260</v>
      </c>
      <c r="C125" s="2" t="s">
        <v>240</v>
      </c>
      <c r="D125" s="393">
        <f>'BAU Comparison - FS &amp; Fuel Tr'!BL420/907185</f>
        <v>0</v>
      </c>
      <c r="E125" s="60">
        <f>'BAU Comparison - FS &amp; Fuel Tr'!BM420/907185</f>
        <v>0</v>
      </c>
      <c r="F125" s="60">
        <f>'BAU Comparison - FS &amp; Fuel Tr'!BN420/907185</f>
        <v>2.6567842989021462</v>
      </c>
      <c r="G125" s="60">
        <f>'BAU Comparison - FS &amp; Fuel Tr'!BO420/907185</f>
        <v>5.3366963777457386</v>
      </c>
      <c r="H125" s="60">
        <f>'BAU Comparison - FS &amp; Fuel Tr'!BP420/907185</f>
        <v>5.5144639308559054</v>
      </c>
      <c r="I125" s="60">
        <f>'BAU Comparison - FS &amp; Fuel Tr'!BQ420/907185</f>
        <v>4.7472691504681999</v>
      </c>
      <c r="J125" s="60">
        <f>'BAU Comparison - FS &amp; Fuel Tr'!BR420/907185</f>
        <v>3.7188410184128675</v>
      </c>
      <c r="K125" s="60">
        <f>'BAU Comparison - FS &amp; Fuel Tr'!BS420/907185</f>
        <v>3.3129996569141067</v>
      </c>
      <c r="L125" s="60">
        <f>'BAU Comparison - FS &amp; Fuel Tr'!BT420/907185</f>
        <v>2.9576128972592808</v>
      </c>
      <c r="M125" s="60">
        <f>'BAU Comparison - FS &amp; Fuel Tr'!BU420/907185</f>
        <v>2.6366316525431079</v>
      </c>
      <c r="N125" s="60">
        <f>'BAU Comparison - FS &amp; Fuel Tr'!BV420/907185</f>
        <v>2.363095271454914</v>
      </c>
      <c r="O125" s="60">
        <f>'BAU Comparison - FS &amp; Fuel Tr'!BW420/907185</f>
        <v>2.1392536688563024</v>
      </c>
      <c r="P125" s="60">
        <f>'BAU Comparison - FS &amp; Fuel Tr'!BX420/907185</f>
        <v>1.937969348318791</v>
      </c>
      <c r="Q125" s="60">
        <f>'BAU Comparison - FS &amp; Fuel Tr'!BY420/907185</f>
        <v>1.7517136342745347</v>
      </c>
      <c r="R125" s="60">
        <f>'BAU Comparison - FS &amp; Fuel Tr'!BZ420/907185</f>
        <v>1.66708111145264</v>
      </c>
      <c r="S125" s="60">
        <f>'BAU Comparison - FS &amp; Fuel Tr'!CA420/907185</f>
        <v>1.5294997418498517</v>
      </c>
      <c r="T125" s="60">
        <f>'BAU Comparison - FS &amp; Fuel Tr'!CB420/907185</f>
        <v>1.4119886809603719</v>
      </c>
      <c r="U125" s="60">
        <f>'BAU Comparison - FS &amp; Fuel Tr'!CC420/907185</f>
        <v>1.3996329234843854</v>
      </c>
      <c r="V125" s="60">
        <f>'BAU Comparison - FS &amp; Fuel Tr'!CD420/907185</f>
        <v>1.4064721299168617</v>
      </c>
      <c r="W125" s="60">
        <f>'BAU Comparison - FS &amp; Fuel Tr'!CE420/907185</f>
        <v>1.3698563383904407</v>
      </c>
      <c r="X125" s="60">
        <f>'BAU Comparison - FS &amp; Fuel Tr'!CF420/907185</f>
        <v>1.30589447308415</v>
      </c>
      <c r="Y125" s="60">
        <f>'BAU Comparison - FS &amp; Fuel Tr'!CG420/907185</f>
        <v>1.2890685338122623</v>
      </c>
      <c r="Z125" s="60">
        <f>'BAU Comparison - FS &amp; Fuel Tr'!CH420/907185</f>
        <v>1.265815422810195</v>
      </c>
      <c r="AA125" s="60">
        <f>'BAU Comparison - FS &amp; Fuel Tr'!CI420/907185</f>
        <v>1.2457194600367754</v>
      </c>
      <c r="AB125" s="61">
        <f>'BAU Comparison - FS &amp; Fuel Tr'!CJ420/907185</f>
        <v>1.2052448464303565</v>
      </c>
      <c r="AC125" s="59"/>
    </row>
    <row r="126" spans="1:29" ht="15" customHeight="1">
      <c r="A126" s="520"/>
      <c r="B126" s="2" t="s">
        <v>261</v>
      </c>
      <c r="C126" s="2" t="s">
        <v>240</v>
      </c>
      <c r="D126" s="393">
        <f>'BAU Comparison - FS &amp; Fuel Tr'!BL440/907185</f>
        <v>0</v>
      </c>
      <c r="E126" s="60">
        <f>'BAU Comparison - FS &amp; Fuel Tr'!BM440/907185</f>
        <v>0</v>
      </c>
      <c r="F126" s="60">
        <f>'BAU Comparison - FS &amp; Fuel Tr'!BN440/907185</f>
        <v>0</v>
      </c>
      <c r="G126" s="60">
        <f>'BAU Comparison - FS &amp; Fuel Tr'!BO440/907185</f>
        <v>0</v>
      </c>
      <c r="H126" s="60">
        <f>'BAU Comparison - FS &amp; Fuel Tr'!BP440/907185</f>
        <v>4.4586999382454024E-3</v>
      </c>
      <c r="I126" s="60">
        <f>'BAU Comparison - FS &amp; Fuel Tr'!BQ440/907185</f>
        <v>3.3827505966609654E-2</v>
      </c>
      <c r="J126" s="60">
        <f>'BAU Comparison - FS &amp; Fuel Tr'!BR440/907185</f>
        <v>4.5201009867276709E-2</v>
      </c>
      <c r="K126" s="60">
        <f>'BAU Comparison - FS &amp; Fuel Tr'!BS440/907185</f>
        <v>4.9354795809971576E-2</v>
      </c>
      <c r="L126" s="60">
        <f>'BAU Comparison - FS &amp; Fuel Tr'!BT440/907185</f>
        <v>4.9419971022393198E-2</v>
      </c>
      <c r="M126" s="60">
        <f>'BAU Comparison - FS &amp; Fuel Tr'!BU440/907185</f>
        <v>4.7348723222717902E-2</v>
      </c>
      <c r="N126" s="60">
        <f>'BAU Comparison - FS &amp; Fuel Tr'!BV440/907185</f>
        <v>4.4572999500952983E-2</v>
      </c>
      <c r="O126" s="60">
        <f>'BAU Comparison - FS &amp; Fuel Tr'!BW440/907185</f>
        <v>4.1829709349327178E-2</v>
      </c>
      <c r="P126" s="60">
        <f>'BAU Comparison - FS &amp; Fuel Tr'!BX440/907185</f>
        <v>3.9571750154928469E-2</v>
      </c>
      <c r="Q126" s="60">
        <f>'BAU Comparison - FS &amp; Fuel Tr'!BY440/907185</f>
        <v>3.6386575943454569E-2</v>
      </c>
      <c r="R126" s="60">
        <f>'BAU Comparison - FS &amp; Fuel Tr'!BZ440/907185</f>
        <v>3.5201402929383944E-2</v>
      </c>
      <c r="S126" s="60">
        <f>'BAU Comparison - FS &amp; Fuel Tr'!CA440/907185</f>
        <v>3.2806433812516446E-2</v>
      </c>
      <c r="T126" s="60">
        <f>'BAU Comparison - FS &amp; Fuel Tr'!CB440/907185</f>
        <v>3.074147957697624E-2</v>
      </c>
      <c r="U126" s="60">
        <f>'BAU Comparison - FS &amp; Fuel Tr'!CC440/907185</f>
        <v>2.8965783452355384E-2</v>
      </c>
      <c r="V126" s="60">
        <f>'BAU Comparison - FS &amp; Fuel Tr'!CD440/907185</f>
        <v>2.7949426606715622E-2</v>
      </c>
      <c r="W126" s="60">
        <f>'BAU Comparison - FS &amp; Fuel Tr'!CE440/907185</f>
        <v>2.7136132781176176E-2</v>
      </c>
      <c r="X126" s="60">
        <f>'BAU Comparison - FS &amp; Fuel Tr'!CF440/907185</f>
        <v>2.6477129019124475E-2</v>
      </c>
      <c r="Y126" s="60">
        <f>'BAU Comparison - FS &amp; Fuel Tr'!CG440/907185</f>
        <v>2.5917162039776707E-2</v>
      </c>
      <c r="Z126" s="60">
        <f>'BAU Comparison - FS &amp; Fuel Tr'!CH440/907185</f>
        <v>2.5440277442667351E-2</v>
      </c>
      <c r="AA126" s="60">
        <f>'BAU Comparison - FS &amp; Fuel Tr'!CI440/907185</f>
        <v>2.5053404839171262E-2</v>
      </c>
      <c r="AB126" s="61">
        <f>'BAU Comparison - FS &amp; Fuel Tr'!CJ440/907185</f>
        <v>2.4685725209738271E-2</v>
      </c>
      <c r="AC126" s="59"/>
    </row>
    <row r="127" spans="1:29" ht="15" customHeight="1">
      <c r="A127" s="520"/>
      <c r="B127" s="2" t="s">
        <v>262</v>
      </c>
      <c r="C127" s="2" t="s">
        <v>240</v>
      </c>
      <c r="D127" s="393">
        <f>'BAU Comparison - FS &amp; Fuel Tr'!BL380/907185</f>
        <v>0</v>
      </c>
      <c r="E127" s="60">
        <f>'BAU Comparison - FS &amp; Fuel Tr'!BM380/907185</f>
        <v>0</v>
      </c>
      <c r="F127" s="60">
        <f>'BAU Comparison - FS &amp; Fuel Tr'!BN380/907185</f>
        <v>1.7711895326014309</v>
      </c>
      <c r="G127" s="60">
        <f>'BAU Comparison - FS &amp; Fuel Tr'!BO380/907185</f>
        <v>3.5577975851638266</v>
      </c>
      <c r="H127" s="60">
        <f>'BAU Comparison - FS &amp; Fuel Tr'!BP380/907185</f>
        <v>3.682254220488264</v>
      </c>
      <c r="I127" s="60">
        <f>'BAU Comparison - FS &amp; Fuel Tr'!BQ380/907185</f>
        <v>3.2099494416009464</v>
      </c>
      <c r="J127" s="60">
        <f>'BAU Comparison - FS &amp; Fuel Tr'!BR380/907185</f>
        <v>2.5394953587649476</v>
      </c>
      <c r="K127" s="60">
        <f>'BAU Comparison - FS &amp; Fuel Tr'!BS380/907185</f>
        <v>2.2744728323560333</v>
      </c>
      <c r="L127" s="60">
        <f>'BAU Comparison - FS &amp; Fuel Tr'!BT380/907185</f>
        <v>2.0376352262027115</v>
      </c>
      <c r="M127" s="60">
        <f>'BAU Comparison - FS &amp; Fuel Tr'!BU380/907185</f>
        <v>1.8208860659923625</v>
      </c>
      <c r="N127" s="60">
        <f>'BAU Comparison - FS &amp; Fuel Tr'!BV380/907185</f>
        <v>1.6348275136378794</v>
      </c>
      <c r="O127" s="60">
        <f>'BAU Comparison - FS &amp; Fuel Tr'!BW380/907185</f>
        <v>1.4819420583699714</v>
      </c>
      <c r="P127" s="60">
        <f>'BAU Comparison - FS &amp; Fuel Tr'!BX380/907185</f>
        <v>1.3447418990857654</v>
      </c>
      <c r="Q127" s="60">
        <f>'BAU Comparison - FS &amp; Fuel Tr'!BY380/907185</f>
        <v>1.2163245241076293</v>
      </c>
      <c r="R127" s="60">
        <f>'BAU Comparison - FS &amp; Fuel Tr'!BZ380/907185</f>
        <v>1.1583226115409386</v>
      </c>
      <c r="S127" s="60">
        <f>'BAU Comparison - FS &amp; Fuel Tr'!CA380/907185</f>
        <v>1.0634084063165898</v>
      </c>
      <c r="T127" s="60">
        <f>'BAU Comparison - FS &amp; Fuel Tr'!CB380/907185</f>
        <v>0.98231442674288283</v>
      </c>
      <c r="U127" s="60">
        <f>'BAU Comparison - FS &amp; Fuel Tr'!CC380/907185</f>
        <v>0.97170966025939765</v>
      </c>
      <c r="V127" s="60">
        <f>'BAU Comparison - FS &amp; Fuel Tr'!CD380/907185</f>
        <v>0.97491398875352864</v>
      </c>
      <c r="W127" s="60">
        <f>'BAU Comparison - FS &amp; Fuel Tr'!CE380/907185</f>
        <v>0.94941906930186215</v>
      </c>
      <c r="X127" s="60">
        <f>'BAU Comparison - FS &amp; Fuel Tr'!CF380/907185</f>
        <v>0.90589915408159949</v>
      </c>
      <c r="Y127" s="60">
        <f>'BAU Comparison - FS &amp; Fuel Tr'!CG380/907185</f>
        <v>0.89393523859454393</v>
      </c>
      <c r="Z127" s="60">
        <f>'BAU Comparison - FS &amp; Fuel Tr'!CH380/907185</f>
        <v>0.87779731846368658</v>
      </c>
      <c r="AA127" s="60">
        <f>'BAU Comparison - FS &amp; Fuel Tr'!CI380/907185</f>
        <v>0.8638841798100787</v>
      </c>
      <c r="AB127" s="61">
        <f>'BAU Comparison - FS &amp; Fuel Tr'!CJ380/907185</f>
        <v>0.83641086456655533</v>
      </c>
      <c r="AC127" s="59"/>
    </row>
    <row r="128" spans="1:29" ht="15" customHeight="1">
      <c r="A128" s="520"/>
      <c r="B128" s="2" t="s">
        <v>263</v>
      </c>
      <c r="C128" s="2" t="s">
        <v>240</v>
      </c>
      <c r="D128" s="393">
        <f>'BAU Comparison - FS &amp; Fuel Tr'!BL360/907185</f>
        <v>0</v>
      </c>
      <c r="E128" s="60">
        <f>'BAU Comparison - FS &amp; Fuel Tr'!BM360/907185</f>
        <v>0</v>
      </c>
      <c r="F128" s="60">
        <f>'BAU Comparison - FS &amp; Fuel Tr'!BN360/907185</f>
        <v>5.3135685978042924</v>
      </c>
      <c r="G128" s="60">
        <f>'BAU Comparison - FS &amp; Fuel Tr'!BO360/907185</f>
        <v>10.673392755491477</v>
      </c>
      <c r="H128" s="60">
        <f>'BAU Comparison - FS &amp; Fuel Tr'!BP360/907185</f>
        <v>11.035312263506022</v>
      </c>
      <c r="I128" s="60">
        <f>'BAU Comparison - FS &amp; Fuel Tr'!BQ360/907185</f>
        <v>9.5429821242086756</v>
      </c>
      <c r="J128" s="60">
        <f>'BAU Comparison - FS &amp; Fuel Tr'!BR360/907185</f>
        <v>7.5024289249941525</v>
      </c>
      <c r="K128" s="60">
        <f>'BAU Comparison - FS &amp; Fuel Tr'!BS360/907185</f>
        <v>6.6967078476984536</v>
      </c>
      <c r="L128" s="60">
        <f>'BAU Comparison - FS &amp; Fuel Tr'!BT360/907185</f>
        <v>5.9860404085110055</v>
      </c>
      <c r="M128" s="60">
        <f>'BAU Comparison - FS &amp; Fuel Tr'!BU360/907185</f>
        <v>5.341122943477564</v>
      </c>
      <c r="N128" s="60">
        <f>'BAU Comparison - FS &amp; Fuel Tr'!BV360/907185</f>
        <v>4.7900848235056106</v>
      </c>
      <c r="O128" s="60">
        <f>'BAU Comparison - FS &amp; Fuel Tr'!BW360/907185</f>
        <v>4.3384816265294859</v>
      </c>
      <c r="P128" s="60">
        <f>'BAU Comparison - FS &amp; Fuel Tr'!BX360/907185</f>
        <v>3.9326871464412312</v>
      </c>
      <c r="Q128" s="60">
        <f>'BAU Comparison - FS &amp; Fuel Tr'!BY360/907185</f>
        <v>3.555619581591638</v>
      </c>
      <c r="R128" s="60">
        <f>'BAU Comparison - FS &amp; Fuel Tr'!BZ360/907185</f>
        <v>3.3846659434329873</v>
      </c>
      <c r="S128" s="60">
        <f>'BAU Comparison - FS &amp; Fuel Tr'!CA360/907185</f>
        <v>3.106077890553582</v>
      </c>
      <c r="T128" s="60">
        <f>'BAU Comparison - FS &amp; Fuel Tr'!CB360/907185</f>
        <v>2.8681026922690966</v>
      </c>
      <c r="U128" s="60">
        <f>'BAU Comparison - FS &amp; Fuel Tr'!CC360/907185</f>
        <v>2.8408451650915225</v>
      </c>
      <c r="V128" s="60">
        <f>'BAU Comparison - FS &amp; Fuel Tr'!CD360/907185</f>
        <v>2.8530679072648195</v>
      </c>
      <c r="W128" s="60">
        <f>'BAU Comparison - FS &amp; Fuel Tr'!CE360/907185</f>
        <v>2.7786755633858169</v>
      </c>
      <c r="X128" s="60">
        <f>'BAU Comparison - FS &amp; Fuel Tr'!CF360/907185</f>
        <v>2.6498151058554966</v>
      </c>
      <c r="Y128" s="60">
        <f>'BAU Comparison - FS &amp; Fuel Tr'!CG360/907185</f>
        <v>2.615364937861159</v>
      </c>
      <c r="Z128" s="60">
        <f>'BAU Comparison - FS &amp; Fuel Tr'!CH360/907185</f>
        <v>2.5681803715184262</v>
      </c>
      <c r="AA128" s="60">
        <f>'BAU Comparison - FS &amp; Fuel Tr'!CI360/907185</f>
        <v>2.5274393039247021</v>
      </c>
      <c r="AB128" s="61">
        <f>'BAU Comparison - FS &amp; Fuel Tr'!CJ360/907185</f>
        <v>2.4459704750614693</v>
      </c>
      <c r="AC128" s="59"/>
    </row>
    <row r="129" spans="1:29" ht="15" customHeight="1">
      <c r="A129" s="520"/>
      <c r="B129" s="2" t="s">
        <v>265</v>
      </c>
      <c r="C129" s="2" t="s">
        <v>240</v>
      </c>
      <c r="D129" s="393">
        <f>'BAU Comparison - FS &amp; Fuel Tr'!BL400/907185</f>
        <v>0</v>
      </c>
      <c r="E129" s="60">
        <f>'BAU Comparison - FS &amp; Fuel Tr'!BM400/907185</f>
        <v>0</v>
      </c>
      <c r="F129" s="60">
        <f>'BAU Comparison - FS &amp; Fuel Tr'!BN400/907185</f>
        <v>2.6567842989021462</v>
      </c>
      <c r="G129" s="60">
        <f>'BAU Comparison - FS &amp; Fuel Tr'!BO400/907185</f>
        <v>5.3366963777457386</v>
      </c>
      <c r="H129" s="60">
        <f>'BAU Comparison - FS &amp; Fuel Tr'!BP400/907185</f>
        <v>5.5392904286294131</v>
      </c>
      <c r="I129" s="60">
        <f>'BAU Comparison - FS &amp; Fuel Tr'!BQ400/907185</f>
        <v>4.9356178689621908</v>
      </c>
      <c r="J129" s="60">
        <f>'BAU Comparison - FS &amp; Fuel Tr'!BR400/907185</f>
        <v>3.9705011993153869</v>
      </c>
      <c r="K129" s="60">
        <f>'BAU Comparison - FS &amp; Fuel Tr'!BS400/907185</f>
        <v>3.5877746937136683</v>
      </c>
      <c r="L129" s="60">
        <f>'BAU Comparison - FS &amp; Fuel Tr'!BT400/907185</f>
        <v>3.232738080423589</v>
      </c>
      <c r="M129" s="60">
        <f>'BAU Comparison - FS &amp; Fuel Tr'!BU400/907185</f>
        <v>2.9002130767107839</v>
      </c>
      <c r="N129" s="60">
        <f>'BAU Comparison - FS &amp; Fuel Tr'!BV400/907185</f>
        <v>2.6112119873658011</v>
      </c>
      <c r="O129" s="60">
        <f>'BAU Comparison - FS &amp; Fuel Tr'!BW400/907185</f>
        <v>2.3720873454847116</v>
      </c>
      <c r="P129" s="60">
        <f>'BAU Comparison - FS &amp; Fuel Tr'!BX400/907185</f>
        <v>2.1582231495996411</v>
      </c>
      <c r="Q129" s="60">
        <f>'BAU Comparison - FS &amp; Fuel Tr'!BY400/907185</f>
        <v>1.9542273528361482</v>
      </c>
      <c r="R129" s="60">
        <f>'BAU Comparison - FS &amp; Fuel Tr'!BZ400/907185</f>
        <v>1.8629872114306207</v>
      </c>
      <c r="S129" s="60">
        <f>'BAU Comparison - FS &amp; Fuel Tr'!CA400/907185</f>
        <v>1.712066371683588</v>
      </c>
      <c r="T129" s="60">
        <f>'BAU Comparison - FS &amp; Fuel Tr'!CB400/907185</f>
        <v>1.5830537076508522</v>
      </c>
      <c r="U129" s="60">
        <f>'BAU Comparison - FS &amp; Fuel Tr'!CC400/907185</f>
        <v>1.5608140895281217</v>
      </c>
      <c r="V129" s="60">
        <f>'BAU Comparison - FS &amp; Fuel Tr'!CD400/907185</f>
        <v>1.5619944687327749</v>
      </c>
      <c r="W129" s="60">
        <f>'BAU Comparison - FS &amp; Fuel Tr'!CE400/907185</f>
        <v>1.5208463812537389</v>
      </c>
      <c r="X129" s="60">
        <f>'BAU Comparison - FS &amp; Fuel Tr'!CF400/907185</f>
        <v>1.4532082165308247</v>
      </c>
      <c r="Y129" s="60">
        <f>'BAU Comparison - FS &amp; Fuel Tr'!CG400/907185</f>
        <v>1.4332607978540644</v>
      </c>
      <c r="Z129" s="60">
        <f>'BAU Comparison - FS &amp; Fuel Tr'!CH400/907185</f>
        <v>1.4073478390108309</v>
      </c>
      <c r="AA129" s="60">
        <f>'BAU Comparison - FS &amp; Fuel Tr'!CI400/907185</f>
        <v>1.3850929100598226</v>
      </c>
      <c r="AB129" s="61">
        <f>'BAU Comparison - FS &amp; Fuel Tr'!CJ400/907185</f>
        <v>1.3425641406977675</v>
      </c>
      <c r="AC129" s="59"/>
    </row>
    <row r="130" spans="1:29" ht="15" customHeight="1">
      <c r="A130" s="520"/>
      <c r="B130" s="2" t="s">
        <v>267</v>
      </c>
      <c r="C130" s="2" t="s">
        <v>240</v>
      </c>
      <c r="D130" s="393">
        <f>'BAU Comparison - FS &amp; Fuel Tr'!BL480/907185</f>
        <v>0</v>
      </c>
      <c r="E130" s="60">
        <f>'BAU Comparison - FS &amp; Fuel Tr'!BM480/907185</f>
        <v>0</v>
      </c>
      <c r="F130" s="60">
        <f>'BAU Comparison - FS &amp; Fuel Tr'!BN480/907185</f>
        <v>0</v>
      </c>
      <c r="G130" s="60">
        <f>'BAU Comparison - FS &amp; Fuel Tr'!BO480/907185</f>
        <v>0</v>
      </c>
      <c r="H130" s="60">
        <f>'BAU Comparison - FS &amp; Fuel Tr'!BP480/907185</f>
        <v>0</v>
      </c>
      <c r="I130" s="60">
        <f>'BAU Comparison - FS &amp; Fuel Tr'!BQ480/907185</f>
        <v>0</v>
      </c>
      <c r="J130" s="60">
        <f>'BAU Comparison - FS &amp; Fuel Tr'!BR480/907185</f>
        <v>0</v>
      </c>
      <c r="K130" s="60">
        <f>'BAU Comparison - FS &amp; Fuel Tr'!BS480/907185</f>
        <v>0</v>
      </c>
      <c r="L130" s="60">
        <f>'BAU Comparison - FS &amp; Fuel Tr'!BT480/907185</f>
        <v>0</v>
      </c>
      <c r="M130" s="60">
        <f>'BAU Comparison - FS &amp; Fuel Tr'!BU480/907185</f>
        <v>0</v>
      </c>
      <c r="N130" s="60">
        <f>'BAU Comparison - FS &amp; Fuel Tr'!BV480/907185</f>
        <v>0</v>
      </c>
      <c r="O130" s="60">
        <f>'BAU Comparison - FS &amp; Fuel Tr'!BW480/907185</f>
        <v>0</v>
      </c>
      <c r="P130" s="60">
        <f>'BAU Comparison - FS &amp; Fuel Tr'!BX480/907185</f>
        <v>0</v>
      </c>
      <c r="Q130" s="60">
        <f>'BAU Comparison - FS &amp; Fuel Tr'!BY480/907185</f>
        <v>0</v>
      </c>
      <c r="R130" s="60">
        <f>'BAU Comparison - FS &amp; Fuel Tr'!BZ480/907185</f>
        <v>0</v>
      </c>
      <c r="S130" s="60">
        <f>'BAU Comparison - FS &amp; Fuel Tr'!CA480/907185</f>
        <v>0</v>
      </c>
      <c r="T130" s="60">
        <f>'BAU Comparison - FS &amp; Fuel Tr'!CB480/907185</f>
        <v>0</v>
      </c>
      <c r="U130" s="60">
        <f>'BAU Comparison - FS &amp; Fuel Tr'!CC480/907185</f>
        <v>0</v>
      </c>
      <c r="V130" s="60">
        <f>'BAU Comparison - FS &amp; Fuel Tr'!CD480/907185</f>
        <v>0</v>
      </c>
      <c r="W130" s="60">
        <f>'BAU Comparison - FS &amp; Fuel Tr'!CE480/907185</f>
        <v>0</v>
      </c>
      <c r="X130" s="60">
        <f>'BAU Comparison - FS &amp; Fuel Tr'!CF480/907185</f>
        <v>0</v>
      </c>
      <c r="Y130" s="60">
        <f>'BAU Comparison - FS &amp; Fuel Tr'!CG480/907185</f>
        <v>0</v>
      </c>
      <c r="Z130" s="60">
        <f>'BAU Comparison - FS &amp; Fuel Tr'!CH480/907185</f>
        <v>0</v>
      </c>
      <c r="AA130" s="60">
        <f>'BAU Comparison - FS &amp; Fuel Tr'!CI480/907185</f>
        <v>0</v>
      </c>
      <c r="AB130" s="61">
        <f>'BAU Comparison - FS &amp; Fuel Tr'!CJ480/907185</f>
        <v>0</v>
      </c>
      <c r="AC130" s="59"/>
    </row>
    <row r="131" spans="1:29" ht="15" customHeight="1">
      <c r="A131" s="520"/>
      <c r="B131" s="2" t="s">
        <v>268</v>
      </c>
      <c r="C131" s="2" t="s">
        <v>240</v>
      </c>
      <c r="D131" s="394">
        <f>'BAU Comparison - FS &amp; Fuel Tr'!BL340/907185</f>
        <v>0</v>
      </c>
      <c r="E131" s="64">
        <f>'BAU Comparison - FS &amp; Fuel Tr'!BM340/907185</f>
        <v>0</v>
      </c>
      <c r="F131" s="64">
        <f>'BAU Comparison - FS &amp; Fuel Tr'!BN340/907185</f>
        <v>5.3135685978042924</v>
      </c>
      <c r="G131" s="64">
        <f>'BAU Comparison - FS &amp; Fuel Tr'!BO340/907185</f>
        <v>10.673392755491477</v>
      </c>
      <c r="H131" s="64">
        <f>'BAU Comparison - FS &amp; Fuel Tr'!BP340/907185</f>
        <v>11.046762661464792</v>
      </c>
      <c r="I131" s="64">
        <f>'BAU Comparison - FS &amp; Fuel Tr'!BQ340/907185</f>
        <v>9.6298483248028379</v>
      </c>
      <c r="J131" s="64">
        <f>'BAU Comparison - FS &amp; Fuel Tr'!BR340/907185</f>
        <v>7.6184860762948414</v>
      </c>
      <c r="K131" s="64">
        <f>'BAU Comparison - FS &amp; Fuel Tr'!BS340/907185</f>
        <v>6.8234184970680998</v>
      </c>
      <c r="L131" s="64">
        <f>'BAU Comparison - FS &amp; Fuel Tr'!BT340/907185</f>
        <v>6.1129056786081337</v>
      </c>
      <c r="M131" s="64">
        <f>'BAU Comparison - FS &amp; Fuel Tr'!BU340/907185</f>
        <v>5.4626581979770874</v>
      </c>
      <c r="N131" s="64">
        <f>'BAU Comparison - FS &amp; Fuel Tr'!BV340/907185</f>
        <v>4.904482540913639</v>
      </c>
      <c r="O131" s="64">
        <f>'BAU Comparison - FS &amp; Fuel Tr'!BW340/907185</f>
        <v>4.4458261751099135</v>
      </c>
      <c r="P131" s="64">
        <f>'BAU Comparison - FS &amp; Fuel Tr'!BX340/907185</f>
        <v>4.0342256972572956</v>
      </c>
      <c r="Q131" s="64">
        <f>'BAU Comparison - FS &amp; Fuel Tr'!BY340/907185</f>
        <v>3.6489735723228875</v>
      </c>
      <c r="R131" s="64">
        <f>'BAU Comparison - FS &amp; Fuel Tr'!BZ340/907185</f>
        <v>3.4749678346228157</v>
      </c>
      <c r="S131" s="64">
        <f>'BAU Comparison - FS &amp; Fuel Tr'!CA340/907185</f>
        <v>3.1902252189497688</v>
      </c>
      <c r="T131" s="64">
        <f>'BAU Comparison - FS &amp; Fuel Tr'!CB340/907185</f>
        <v>2.9469432802286484</v>
      </c>
      <c r="U131" s="64">
        <f>'BAU Comparison - FS &amp; Fuel Tr'!CC340/907185</f>
        <v>2.9151289807781926</v>
      </c>
      <c r="V131" s="64">
        <f>'BAU Comparison - FS &amp; Fuel Tr'!CD340/907185</f>
        <v>2.9247419662605858</v>
      </c>
      <c r="W131" s="64">
        <f>'BAU Comparison - FS &amp; Fuel Tr'!CE340/907185</f>
        <v>2.8482572079055863</v>
      </c>
      <c r="X131" s="64">
        <f>'BAU Comparison - FS &amp; Fuel Tr'!CF340/907185</f>
        <v>2.7176974622447978</v>
      </c>
      <c r="Y131" s="64">
        <f>'BAU Comparison - FS &amp; Fuel Tr'!CG340/907185</f>
        <v>2.6818057157836308</v>
      </c>
      <c r="Z131" s="64">
        <f>'BAU Comparison - FS &amp; Fuel Tr'!CH340/907185</f>
        <v>2.6333919553910601</v>
      </c>
      <c r="AA131" s="64">
        <f>'BAU Comparison - FS &amp; Fuel Tr'!CI340/907185</f>
        <v>2.5916525394302354</v>
      </c>
      <c r="AB131" s="65">
        <f>'BAU Comparison - FS &amp; Fuel Tr'!CJ340/907185</f>
        <v>2.5092325936996653</v>
      </c>
      <c r="AC131" s="59"/>
    </row>
    <row r="132" spans="1:29" ht="15" customHeight="1">
      <c r="A132" s="520"/>
      <c r="B132" s="72" t="s">
        <v>270</v>
      </c>
      <c r="C132" s="73" t="s">
        <v>240</v>
      </c>
      <c r="D132" s="175">
        <f>SUM(D125:D131)</f>
        <v>0</v>
      </c>
      <c r="E132" s="175">
        <f t="shared" ref="E132:L132" si="1">SUM(E125:E131)</f>
        <v>0</v>
      </c>
      <c r="F132" s="175">
        <f t="shared" si="1"/>
        <v>17.711895326014307</v>
      </c>
      <c r="G132" s="175">
        <f t="shared" si="1"/>
        <v>35.577975851638257</v>
      </c>
      <c r="H132" s="175">
        <f t="shared" si="1"/>
        <v>36.822542204882645</v>
      </c>
      <c r="I132" s="175">
        <f t="shared" si="1"/>
        <v>32.099494416009456</v>
      </c>
      <c r="J132" s="175">
        <f t="shared" si="1"/>
        <v>25.394953587649475</v>
      </c>
      <c r="K132" s="175">
        <f>SUM(K125:K131)</f>
        <v>22.744728323560334</v>
      </c>
      <c r="L132" s="175">
        <f t="shared" si="1"/>
        <v>20.376352262027115</v>
      </c>
      <c r="M132" s="175">
        <f t="shared" ref="M132:AB132" si="2">SUM(M125:M131)</f>
        <v>18.208860659923626</v>
      </c>
      <c r="N132" s="175">
        <f t="shared" si="2"/>
        <v>16.348275136378795</v>
      </c>
      <c r="O132" s="175">
        <f t="shared" si="2"/>
        <v>14.819420583699713</v>
      </c>
      <c r="P132" s="175">
        <f t="shared" si="2"/>
        <v>13.447418990857653</v>
      </c>
      <c r="Q132" s="175">
        <f t="shared" si="2"/>
        <v>12.163245241076293</v>
      </c>
      <c r="R132" s="175">
        <f t="shared" si="2"/>
        <v>11.583226115409385</v>
      </c>
      <c r="S132" s="175">
        <f t="shared" si="2"/>
        <v>10.634084063165897</v>
      </c>
      <c r="T132" s="175">
        <f t="shared" si="2"/>
        <v>9.8231442674288267</v>
      </c>
      <c r="U132" s="175">
        <f t="shared" si="2"/>
        <v>9.7170966025939745</v>
      </c>
      <c r="V132" s="175">
        <f t="shared" si="2"/>
        <v>9.7491398875352857</v>
      </c>
      <c r="W132" s="175">
        <f t="shared" si="2"/>
        <v>9.4941906930186217</v>
      </c>
      <c r="X132" s="175">
        <f t="shared" si="2"/>
        <v>9.0589915408159918</v>
      </c>
      <c r="Y132" s="175">
        <f t="shared" si="2"/>
        <v>8.9393523859454369</v>
      </c>
      <c r="Z132" s="175">
        <f t="shared" si="2"/>
        <v>8.7779731846368669</v>
      </c>
      <c r="AA132" s="175">
        <f t="shared" si="2"/>
        <v>8.6388417981007848</v>
      </c>
      <c r="AB132" s="175">
        <f t="shared" si="2"/>
        <v>8.3641086456655529</v>
      </c>
      <c r="AC132" s="59"/>
    </row>
    <row r="133" spans="1:29" ht="14.65" customHeight="1">
      <c r="A133" s="520"/>
      <c r="U133" s="66"/>
      <c r="AC133" s="59"/>
    </row>
    <row r="134" spans="1:29" ht="15.6" customHeight="1">
      <c r="A134" s="520"/>
      <c r="B134" s="86"/>
      <c r="C134" s="86"/>
      <c r="D134" s="519" t="s">
        <v>18934</v>
      </c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9"/>
    </row>
    <row r="135" spans="1:29" ht="14.65" customHeight="1">
      <c r="A135" s="520"/>
      <c r="B135" s="88" t="s">
        <v>18814</v>
      </c>
      <c r="C135" s="90" t="s">
        <v>1</v>
      </c>
      <c r="D135" s="89">
        <v>2022</v>
      </c>
      <c r="E135" s="89">
        <v>2023</v>
      </c>
      <c r="F135" s="89">
        <v>2024</v>
      </c>
      <c r="G135" s="89">
        <v>2025</v>
      </c>
      <c r="H135" s="89">
        <v>2026</v>
      </c>
      <c r="I135" s="89">
        <v>2027</v>
      </c>
      <c r="J135" s="89">
        <v>2028</v>
      </c>
      <c r="K135" s="89">
        <v>2029</v>
      </c>
      <c r="L135" s="90">
        <v>2030</v>
      </c>
      <c r="M135" s="89">
        <v>2031</v>
      </c>
      <c r="N135" s="89">
        <v>2032</v>
      </c>
      <c r="O135" s="89">
        <v>2033</v>
      </c>
      <c r="P135" s="89">
        <v>2034</v>
      </c>
      <c r="Q135" s="89">
        <v>2035</v>
      </c>
      <c r="R135" s="89">
        <v>2036</v>
      </c>
      <c r="S135" s="89">
        <v>2037</v>
      </c>
      <c r="T135" s="89">
        <v>2038</v>
      </c>
      <c r="U135" s="90">
        <v>2039</v>
      </c>
      <c r="V135" s="89">
        <v>2040</v>
      </c>
      <c r="W135" s="89">
        <v>2041</v>
      </c>
      <c r="X135" s="89">
        <v>2042</v>
      </c>
      <c r="Y135" s="89">
        <v>2043</v>
      </c>
      <c r="Z135" s="89">
        <v>2044</v>
      </c>
      <c r="AA135" s="89">
        <v>2045</v>
      </c>
      <c r="AB135" s="89">
        <v>2046</v>
      </c>
      <c r="AC135" s="59"/>
    </row>
    <row r="136" spans="1:29" ht="14.65" customHeight="1">
      <c r="A136" s="520"/>
      <c r="B136" s="2" t="s">
        <v>249</v>
      </c>
      <c r="C136" s="51" t="s">
        <v>240</v>
      </c>
      <c r="D136" s="104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80">
        <v>0</v>
      </c>
      <c r="AC136" s="59"/>
    </row>
    <row r="137" spans="1:29" ht="14.65" customHeight="1">
      <c r="A137" s="520"/>
      <c r="B137" s="2" t="s">
        <v>251</v>
      </c>
      <c r="C137" s="51" t="s">
        <v>240</v>
      </c>
      <c r="D137" s="393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1">
        <v>0</v>
      </c>
      <c r="AC137" s="59"/>
    </row>
    <row r="138" spans="1:29" ht="14.65" customHeight="1">
      <c r="A138" s="520"/>
      <c r="B138" s="2" t="s">
        <v>253</v>
      </c>
      <c r="C138" s="51" t="s">
        <v>240</v>
      </c>
      <c r="D138" s="393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1">
        <v>0</v>
      </c>
      <c r="AC138" s="59"/>
    </row>
    <row r="139" spans="1:29" ht="14.65" customHeight="1">
      <c r="A139" s="520"/>
      <c r="B139" s="2" t="s">
        <v>255</v>
      </c>
      <c r="C139" s="51" t="s">
        <v>240</v>
      </c>
      <c r="D139" s="393">
        <f>'BAU Comparison - FS &amp; Fuel Tr'!AH403/907185</f>
        <v>0</v>
      </c>
      <c r="E139" s="60">
        <f>'BAU Comparison - FS &amp; Fuel Tr'!AI403/907185</f>
        <v>-1.8687757333374137E-15</v>
      </c>
      <c r="F139" s="60">
        <f>'BAU Comparison - FS &amp; Fuel Tr'!AJ403/907185</f>
        <v>20.955392812020655</v>
      </c>
      <c r="G139" s="60">
        <f>'BAU Comparison - FS &amp; Fuel Tr'!AK403/907185</f>
        <v>57.011808628767277</v>
      </c>
      <c r="H139" s="60">
        <f>'BAU Comparison - FS &amp; Fuel Tr'!AL403/907185</f>
        <v>63.616286914408313</v>
      </c>
      <c r="I139" s="60">
        <f>'BAU Comparison - FS &amp; Fuel Tr'!AM403/907185</f>
        <v>58.800103576395962</v>
      </c>
      <c r="J139" s="60">
        <f>'BAU Comparison - FS &amp; Fuel Tr'!AN403/907185</f>
        <v>49.842761952108127</v>
      </c>
      <c r="K139" s="60">
        <f>'BAU Comparison - FS &amp; Fuel Tr'!AO403/907185</f>
        <v>46.799856605230744</v>
      </c>
      <c r="L139" s="60">
        <f>'BAU Comparison - FS &amp; Fuel Tr'!AP403/907185</f>
        <v>24.432349333737353</v>
      </c>
      <c r="M139" s="60">
        <f>'BAU Comparison - FS &amp; Fuel Tr'!AQ403/907185</f>
        <v>21.477547634279983</v>
      </c>
      <c r="N139" s="60">
        <f>'BAU Comparison - FS &amp; Fuel Tr'!AR403/907185</f>
        <v>20.228619126399941</v>
      </c>
      <c r="O139" s="60">
        <f>'BAU Comparison - FS &amp; Fuel Tr'!AS403/907185</f>
        <v>18.995381657012739</v>
      </c>
      <c r="P139" s="60">
        <f>'BAU Comparison - FS &amp; Fuel Tr'!AT403/907185</f>
        <v>17.965849730936068</v>
      </c>
      <c r="Q139" s="60">
        <f>'BAU Comparison - FS &amp; Fuel Tr'!AU403/907185</f>
        <v>12.804000419820001</v>
      </c>
      <c r="R139" s="60">
        <f>'BAU Comparison - FS &amp; Fuel Tr'!AV403/907185</f>
        <v>9.7079713078272967</v>
      </c>
      <c r="S139" s="60">
        <f>'BAU Comparison - FS &amp; Fuel Tr'!AW403/907185</f>
        <v>6.4930323527546889</v>
      </c>
      <c r="T139" s="60">
        <f>'BAU Comparison - FS &amp; Fuel Tr'!AX403/907185</f>
        <v>6.2302671458609948</v>
      </c>
      <c r="U139" s="60">
        <f>'BAU Comparison - FS &amp; Fuel Tr'!AY403/907185</f>
        <v>6.2491450441945551</v>
      </c>
      <c r="V139" s="60">
        <f>'BAU Comparison - FS &amp; Fuel Tr'!AZ403/907185</f>
        <v>6.3040802602154296</v>
      </c>
      <c r="W139" s="60">
        <f>'BAU Comparison - FS &amp; Fuel Tr'!BA403/907185</f>
        <v>6.1551823146004505</v>
      </c>
      <c r="X139" s="60">
        <f>'BAU Comparison - FS &amp; Fuel Tr'!BB403/907185</f>
        <v>5.8587400280159825</v>
      </c>
      <c r="Y139" s="60">
        <f>'BAU Comparison - FS &amp; Fuel Tr'!BC403/907185</f>
        <v>5.7649358416741068</v>
      </c>
      <c r="Z139" s="60">
        <f>'BAU Comparison - FS &amp; Fuel Tr'!BD403/907185</f>
        <v>5.6238533348430186</v>
      </c>
      <c r="AA139" s="60">
        <f>'BAU Comparison - FS &amp; Fuel Tr'!BE403/907185</f>
        <v>5.4793514217311499</v>
      </c>
      <c r="AB139" s="61">
        <f>'BAU Comparison - FS &amp; Fuel Tr'!BF403/907185</f>
        <v>5.2397668224587255</v>
      </c>
      <c r="AC139" s="59"/>
    </row>
    <row r="140" spans="1:29" ht="14.65" customHeight="1">
      <c r="A140" s="520"/>
      <c r="B140" s="2" t="s">
        <v>256</v>
      </c>
      <c r="C140" s="51" t="s">
        <v>240</v>
      </c>
      <c r="D140" s="393">
        <f>'BAU Comparison - FS &amp; Fuel Tr'!AH412/907185</f>
        <v>0</v>
      </c>
      <c r="E140" s="60">
        <f>'BAU Comparison - FS &amp; Fuel Tr'!AI412/907185</f>
        <v>-1.932483996973916E-15</v>
      </c>
      <c r="F140" s="60">
        <f>'BAU Comparison - FS &amp; Fuel Tr'!AJ412/907185</f>
        <v>21.669781203339539</v>
      </c>
      <c r="G140" s="60">
        <f>'BAU Comparison - FS &amp; Fuel Tr'!AK412/907185</f>
        <v>58.955393013838879</v>
      </c>
      <c r="H140" s="60">
        <f>'BAU Comparison - FS &amp; Fuel Tr'!AL412/907185</f>
        <v>65.785023968308593</v>
      </c>
      <c r="I140" s="60">
        <f>'BAU Comparison - FS &amp; Fuel Tr'!AM412/907185</f>
        <v>60.80465256195491</v>
      </c>
      <c r="J140" s="60">
        <f>'BAU Comparison - FS &amp; Fuel Tr'!AN412/907185</f>
        <v>51.541947018657261</v>
      </c>
      <c r="K140" s="60">
        <f>'BAU Comparison - FS &amp; Fuel Tr'!AO412/907185</f>
        <v>48.395306262227251</v>
      </c>
      <c r="L140" s="60">
        <f>'BAU Comparison - FS &amp; Fuel Tr'!AP412/907185</f>
        <v>25.265270333751122</v>
      </c>
      <c r="M140" s="60">
        <f>'BAU Comparison - FS &amp; Fuel Tr'!AQ412/907185</f>
        <v>22.20973675817589</v>
      </c>
      <c r="N140" s="60">
        <f>'BAU Comparison - FS &amp; Fuel Tr'!AR412/907185</f>
        <v>20.918231142072667</v>
      </c>
      <c r="O140" s="60">
        <f>'BAU Comparison - FS &amp; Fuel Tr'!AS412/907185</f>
        <v>19.642951486229077</v>
      </c>
      <c r="P140" s="60">
        <f>'BAU Comparison - FS &amp; Fuel Tr'!AT412/907185</f>
        <v>18.57832188085434</v>
      </c>
      <c r="Q140" s="60">
        <f>'BAU Comparison - FS &amp; Fuel Tr'!AU412/907185</f>
        <v>13.240500434132045</v>
      </c>
      <c r="R140" s="60">
        <f>'BAU Comparison - FS &amp; Fuel Tr'!AV412/907185</f>
        <v>10.038924875139591</v>
      </c>
      <c r="S140" s="60">
        <f>'BAU Comparison - FS &amp; Fuel Tr'!AW412/907185</f>
        <v>6.7143857284167794</v>
      </c>
      <c r="T140" s="60">
        <f>'BAU Comparison - FS &amp; Fuel Tr'!AX412/907185</f>
        <v>6.4426626167426191</v>
      </c>
      <c r="U140" s="60">
        <f>'BAU Comparison - FS &amp; Fuel Tr'!AY412/907185</f>
        <v>6.4621840797920962</v>
      </c>
      <c r="V140" s="60">
        <f>'BAU Comparison - FS &amp; Fuel Tr'!AZ412/907185</f>
        <v>6.5189920872682281</v>
      </c>
      <c r="W140" s="60">
        <f>'BAU Comparison - FS &amp; Fuel Tr'!BA412/907185</f>
        <v>6.365018075325465</v>
      </c>
      <c r="X140" s="60">
        <f>'BAU Comparison - FS &amp; Fuel Tr'!BB412/907185</f>
        <v>6.0584698016983447</v>
      </c>
      <c r="Y140" s="60">
        <f>'BAU Comparison - FS &amp; Fuel Tr'!BC412/907185</f>
        <v>5.9614677453675418</v>
      </c>
      <c r="Z140" s="60">
        <f>'BAU Comparison - FS &amp; Fuel Tr'!BD412/907185</f>
        <v>5.8155756076217564</v>
      </c>
      <c r="AA140" s="60">
        <f>'BAU Comparison - FS &amp; Fuel Tr'!BE412/907185</f>
        <v>5.6661474929265294</v>
      </c>
      <c r="AB140" s="61">
        <f>'BAU Comparison - FS &amp; Fuel Tr'!BF412/907185</f>
        <v>5.4183952368607278</v>
      </c>
      <c r="AC140" s="59"/>
    </row>
    <row r="141" spans="1:29" ht="14.65" customHeight="1">
      <c r="A141" s="520"/>
      <c r="B141" s="2" t="s">
        <v>257</v>
      </c>
      <c r="C141" s="51" t="s">
        <v>240</v>
      </c>
      <c r="D141" s="393">
        <f>'BAU Comparison - FS &amp; Fuel Tr'!BL470/907185</f>
        <v>0</v>
      </c>
      <c r="E141" s="60">
        <f>'BAU Comparison - FS &amp; Fuel Tr'!BM470/907185</f>
        <v>0</v>
      </c>
      <c r="F141" s="60">
        <f>'BAU Comparison - FS &amp; Fuel Tr'!BN470/907185</f>
        <v>0</v>
      </c>
      <c r="G141" s="60">
        <f>'BAU Comparison - FS &amp; Fuel Tr'!BO470/907185</f>
        <v>0</v>
      </c>
      <c r="H141" s="60">
        <f>'BAU Comparison - FS &amp; Fuel Tr'!BP470/907185</f>
        <v>0.30093014768484477</v>
      </c>
      <c r="I141" s="60">
        <f>'BAU Comparison - FS &amp; Fuel Tr'!BQ470/907185</f>
        <v>2.4945834459289813</v>
      </c>
      <c r="J141" s="60">
        <f>'BAU Comparison - FS &amp; Fuel Tr'!BR470/907185</f>
        <v>3.659160878447985</v>
      </c>
      <c r="K141" s="60">
        <f>'BAU Comparison - FS &amp; Fuel Tr'!BS470/907185</f>
        <v>4.2448234642891496</v>
      </c>
      <c r="L141" s="60">
        <f>'BAU Comparison - FS &amp; Fuel Tr'!BT470/907185</f>
        <v>2.4991487034104782</v>
      </c>
      <c r="M141" s="60">
        <f>'BAU Comparison - FS &amp; Fuel Tr'!BU470/907185</f>
        <v>2.3702363870081737</v>
      </c>
      <c r="N141" s="60">
        <f>'BAU Comparison - FS &amp; Fuel Tr'!BV470/907185</f>
        <v>2.3516537012373639</v>
      </c>
      <c r="O141" s="60">
        <f>'BAU Comparison - FS &amp; Fuel Tr'!BW470/907185</f>
        <v>2.2945640346148495</v>
      </c>
      <c r="P141" s="60">
        <f>'BAU Comparison - FS &amp; Fuel Tr'!BX470/907185</f>
        <v>2.2727075855500587</v>
      </c>
      <c r="Q141" s="60">
        <f>'BAU Comparison - FS &amp; Fuel Tr'!BY470/907185</f>
        <v>1.650017599266199</v>
      </c>
      <c r="R141" s="60">
        <f>'BAU Comparison - FS &amp; Fuel Tr'!BZ470/907185</f>
        <v>1.2734897137076875</v>
      </c>
      <c r="S141" s="60">
        <f>'BAU Comparison - FS &amp; Fuel Tr'!CA470/907185</f>
        <v>0.86638310886520276</v>
      </c>
      <c r="T141" s="60">
        <f>'BAU Comparison - FS &amp; Fuel Tr'!CB470/907185</f>
        <v>0.84494988906492341</v>
      </c>
      <c r="U141" s="60">
        <f>'BAU Comparison - FS &amp; Fuel Tr'!CC470/907185</f>
        <v>0.80322591283570022</v>
      </c>
      <c r="V141" s="60">
        <f>'BAU Comparison - FS &amp; Fuel Tr'!CD470/907185</f>
        <v>0.77634290549856733</v>
      </c>
      <c r="W141" s="60">
        <f>'BAU Comparison - FS &amp; Fuel Tr'!CE470/907185</f>
        <v>0.75572025357404926</v>
      </c>
      <c r="X141" s="60">
        <f>'BAU Comparison - FS &amp; Fuel Tr'!CF470/907185</f>
        <v>0.73753463493777405</v>
      </c>
      <c r="Y141" s="60">
        <f>'BAU Comparison - FS &amp; Fuel Tr'!CG470/907185</f>
        <v>0.71950642054170622</v>
      </c>
      <c r="Z141" s="60">
        <f>'BAU Comparison - FS &amp; Fuel Tr'!CH470/907185</f>
        <v>0.70185312507059061</v>
      </c>
      <c r="AA141" s="60">
        <f>'BAU Comparison - FS &amp; Fuel Tr'!CI470/907185</f>
        <v>0.68453720973663279</v>
      </c>
      <c r="AB141" s="61">
        <f>'BAU Comparison - FS &amp; Fuel Tr'!CJ470/907185</f>
        <v>0.6676557070049387</v>
      </c>
      <c r="AC141" s="59"/>
    </row>
    <row r="142" spans="1:29" ht="14.65" customHeight="1">
      <c r="A142" s="520"/>
      <c r="B142" s="2" t="s">
        <v>258</v>
      </c>
      <c r="C142" s="51" t="s">
        <v>240</v>
      </c>
      <c r="D142" s="393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1">
        <v>0</v>
      </c>
      <c r="AC142" s="59"/>
    </row>
    <row r="143" spans="1:29" ht="14.65" customHeight="1">
      <c r="A143" s="520"/>
      <c r="B143" s="2" t="s">
        <v>259</v>
      </c>
      <c r="C143" s="51" t="s">
        <v>240</v>
      </c>
      <c r="D143" s="393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1">
        <v>0</v>
      </c>
      <c r="AC143" s="59"/>
    </row>
    <row r="144" spans="1:29" ht="14.65" customHeight="1">
      <c r="A144" s="520"/>
      <c r="B144" s="2" t="s">
        <v>260</v>
      </c>
      <c r="C144" s="51" t="s">
        <v>240</v>
      </c>
      <c r="D144" s="393">
        <f>'BAU Comparison - FS &amp; Fuel Tr'!BL430/907185</f>
        <v>0</v>
      </c>
      <c r="E144" s="60">
        <f>'BAU Comparison - FS &amp; Fuel Tr'!BM430/907185</f>
        <v>-2.2297892272775957E-15</v>
      </c>
      <c r="F144" s="60">
        <f>'BAU Comparison - FS &amp; Fuel Tr'!BN430/907185</f>
        <v>25.003593696161015</v>
      </c>
      <c r="G144" s="60">
        <f>'BAU Comparison - FS &amp; Fuel Tr'!BO430/907185</f>
        <v>68.025453477506403</v>
      </c>
      <c r="H144" s="60">
        <f>'BAU Comparison - FS &amp; Fuel Tr'!BP430/907185</f>
        <v>76.156572009580628</v>
      </c>
      <c r="I144" s="60">
        <f>'BAU Comparison - FS &amp; Fuel Tr'!BQ430/907185</f>
        <v>72.238034032837518</v>
      </c>
      <c r="J144" s="60">
        <f>'BAU Comparison - FS &amp; Fuel Tr'!BR430/907185</f>
        <v>62.520778061259918</v>
      </c>
      <c r="K144" s="60">
        <f>'BAU Comparison - FS &amp; Fuel Tr'!BS430/907185</f>
        <v>59.378090881785226</v>
      </c>
      <c r="L144" s="60">
        <f>'BAU Comparison - FS &amp; Fuel Tr'!BT430/907185</f>
        <v>31.234858919990803</v>
      </c>
      <c r="M144" s="60">
        <f>'BAU Comparison - FS &amp; Fuel Tr'!BU430/907185</f>
        <v>27.60181632553028</v>
      </c>
      <c r="N144" s="60">
        <f>'BAU Comparison - FS &amp; Fuel Tr'!BV430/907185</f>
        <v>26.096131966243192</v>
      </c>
      <c r="O144" s="60">
        <f>'BAU Comparison - FS &amp; Fuel Tr'!BW430/907185</f>
        <v>24.577080718084392</v>
      </c>
      <c r="P144" s="60">
        <f>'BAU Comparison - FS &amp; Fuel Tr'!BX430/907185</f>
        <v>23.330448235098007</v>
      </c>
      <c r="Q144" s="60">
        <f>'BAU Comparison - FS &amp; Fuel Tr'!BY430/907185</f>
        <v>16.652515166976759</v>
      </c>
      <c r="R144" s="60">
        <f>'BAU Comparison - FS &amp; Fuel Tr'!BZ430/907185</f>
        <v>12.64461628402004</v>
      </c>
      <c r="S144" s="60">
        <f>'BAU Comparison - FS &amp; Fuel Tr'!CA430/907185</f>
        <v>8.469354072227544</v>
      </c>
      <c r="T144" s="60">
        <f>'BAU Comparison - FS &amp; Fuel Tr'!CB430/907185</f>
        <v>8.1379663884109732</v>
      </c>
      <c r="U144" s="60">
        <f>'BAU Comparison - FS &amp; Fuel Tr'!CC430/907185</f>
        <v>8.1257211732770411</v>
      </c>
      <c r="V144" s="60">
        <f>'BAU Comparison - FS &amp; Fuel Tr'!CD430/907185</f>
        <v>8.1688663680967615</v>
      </c>
      <c r="W144" s="60">
        <f>'BAU Comparison - FS &amp; Fuel Tr'!CE430/907185</f>
        <v>7.9740185033539124</v>
      </c>
      <c r="X144" s="60">
        <f>'BAU Comparison - FS &amp; Fuel Tr'!CF430/907185</f>
        <v>7.6051542746641854</v>
      </c>
      <c r="Y144" s="60">
        <f>'BAU Comparison - FS &amp; Fuel Tr'!CG430/907185</f>
        <v>7.478205313054997</v>
      </c>
      <c r="Z144" s="60">
        <f>'BAU Comparison - FS &amp; Fuel Tr'!CH430/907185</f>
        <v>7.2951571514813658</v>
      </c>
      <c r="AA144" s="60">
        <f>'BAU Comparison - FS &amp; Fuel Tr'!CI430/907185</f>
        <v>7.108310166618832</v>
      </c>
      <c r="AB144" s="61">
        <f>'BAU Comparison - FS &amp; Fuel Tr'!CJ430/907185</f>
        <v>6.8083742599075192</v>
      </c>
      <c r="AC144" s="59"/>
    </row>
    <row r="145" spans="1:29" ht="14.65" customHeight="1">
      <c r="A145" s="520"/>
      <c r="B145" s="2" t="s">
        <v>261</v>
      </c>
      <c r="C145" s="51" t="s">
        <v>240</v>
      </c>
      <c r="D145" s="393">
        <f>'BAU Comparison - FS &amp; Fuel Tr'!BL450/907185</f>
        <v>0</v>
      </c>
      <c r="E145" s="60">
        <f>'BAU Comparison - FS &amp; Fuel Tr'!BM450/907185</f>
        <v>-4.2472175757668493E-16</v>
      </c>
      <c r="F145" s="60">
        <f>'BAU Comparison - FS &amp; Fuel Tr'!BN450/907185</f>
        <v>4.7625892754592396</v>
      </c>
      <c r="G145" s="60">
        <f>'BAU Comparison - FS &amp; Fuel Tr'!BO450/907185</f>
        <v>12.957229233810743</v>
      </c>
      <c r="H145" s="60">
        <f>'BAU Comparison - FS &amp; Fuel Tr'!BP450/907185</f>
        <v>14.558557075230171</v>
      </c>
      <c r="I145" s="60">
        <f>'BAU Comparison - FS &amp; Fuel Tr'!BQ450/907185</f>
        <v>14.195187719036015</v>
      </c>
      <c r="J145" s="60">
        <f>'BAU Comparison - FS &amp; Fuel Tr'!BR450/907185</f>
        <v>12.547620736476931</v>
      </c>
      <c r="K145" s="60">
        <f>'BAU Comparison - FS &amp; Fuel Tr'!BS450/907185</f>
        <v>12.051272201406402</v>
      </c>
      <c r="L145" s="60">
        <f>'BAU Comparison - FS &amp; Fuel Tr'!BT450/907185</f>
        <v>6.3858562345619827</v>
      </c>
      <c r="M145" s="60">
        <f>'BAU Comparison - FS &amp; Fuel Tr'!BU450/907185</f>
        <v>5.6713396216421152</v>
      </c>
      <c r="N145" s="60">
        <f>'BAU Comparison - FS &amp; Fuel Tr'!BV450/907185</f>
        <v>5.3812980048972907</v>
      </c>
      <c r="O145" s="60">
        <f>'BAU Comparison - FS &amp; Fuel Tr'!BW450/907185</f>
        <v>5.0819868729805719</v>
      </c>
      <c r="P145" s="60">
        <f>'BAU Comparison - FS &amp; Fuel Tr'!BX450/907185</f>
        <v>4.8407168613051859</v>
      </c>
      <c r="Q145" s="60">
        <f>'BAU Comparison - FS &amp; Fuel Tr'!BY450/907185</f>
        <v>3.4600059618357029</v>
      </c>
      <c r="R145" s="60">
        <f>'BAU Comparison - FS &amp; Fuel Tr'!BZ450/907185</f>
        <v>2.6308536866511907</v>
      </c>
      <c r="S145" s="60">
        <f>'BAU Comparison - FS &amp; Fuel Tr'!CA450/907185</f>
        <v>1.7644835407023454</v>
      </c>
      <c r="T145" s="60">
        <f>'BAU Comparison - FS &amp; Fuel Tr'!CB450/907185</f>
        <v>1.6976197688991399</v>
      </c>
      <c r="U145" s="60">
        <f>'BAU Comparison - FS &amp; Fuel Tr'!CC450/907185</f>
        <v>1.6880022082621777</v>
      </c>
      <c r="V145" s="60">
        <f>'BAU Comparison - FS &amp; Fuel Tr'!CD450/907185</f>
        <v>1.6915264821848472</v>
      </c>
      <c r="W145" s="60">
        <f>'BAU Comparison - FS &amp; Fuel Tr'!CE450/907185</f>
        <v>1.6508118226914519</v>
      </c>
      <c r="X145" s="60">
        <f>'BAU Comparison - FS &amp; Fuel Tr'!CF450/907185</f>
        <v>1.5773767028616783</v>
      </c>
      <c r="Y145" s="60">
        <f>'BAU Comparison - FS &amp; Fuel Tr'!CG450/907185</f>
        <v>1.5500481648034721</v>
      </c>
      <c r="Z145" s="60">
        <f>'BAU Comparison - FS &amp; Fuel Tr'!CH450/907185</f>
        <v>1.5120995268817916</v>
      </c>
      <c r="AA145" s="60">
        <f>'BAU Comparison - FS &amp; Fuel Tr'!CI450/907185</f>
        <v>1.4734862112147449</v>
      </c>
      <c r="AB145" s="61">
        <f>'BAU Comparison - FS &amp; Fuel Tr'!CJ450/907185</f>
        <v>1.4134079983483265</v>
      </c>
      <c r="AC145" s="59"/>
    </row>
    <row r="146" spans="1:29" ht="14.65" customHeight="1">
      <c r="A146" s="520"/>
      <c r="B146" s="2" t="s">
        <v>262</v>
      </c>
      <c r="C146" s="51" t="s">
        <v>240</v>
      </c>
      <c r="D146" s="393">
        <f>'BAU Comparison - FS &amp; Fuel Tr'!BL390/907185</f>
        <v>0</v>
      </c>
      <c r="E146" s="60">
        <f>'BAU Comparison - FS &amp; Fuel Tr'!BM390/907185</f>
        <v>-4.2472175757668493E-16</v>
      </c>
      <c r="F146" s="60">
        <f>'BAU Comparison - FS &amp; Fuel Tr'!BN390/907185</f>
        <v>4.7625892754592396</v>
      </c>
      <c r="G146" s="60">
        <f>'BAU Comparison - FS &amp; Fuel Tr'!BO390/907185</f>
        <v>12.957229233810743</v>
      </c>
      <c r="H146" s="60">
        <f>'BAU Comparison - FS &amp; Fuel Tr'!BP390/907185</f>
        <v>14.58363458753724</v>
      </c>
      <c r="I146" s="60">
        <f>'BAU Comparison - FS &amp; Fuel Tr'!BQ390/907185</f>
        <v>14.403069672863431</v>
      </c>
      <c r="J146" s="60">
        <f>'BAU Comparison - FS &amp; Fuel Tr'!BR390/907185</f>
        <v>12.852550809680931</v>
      </c>
      <c r="K146" s="60">
        <f>'BAU Comparison - FS &amp; Fuel Tr'!BS390/907185</f>
        <v>12.405007490097166</v>
      </c>
      <c r="L146" s="60">
        <f>'BAU Comparison - FS &amp; Fuel Tr'!BT390/907185</f>
        <v>6.5941186265128557</v>
      </c>
      <c r="M146" s="60">
        <f>'BAU Comparison - FS &amp; Fuel Tr'!BU390/907185</f>
        <v>5.868859320559463</v>
      </c>
      <c r="N146" s="60">
        <f>'BAU Comparison - FS &amp; Fuel Tr'!BV390/907185</f>
        <v>5.5772691466670707</v>
      </c>
      <c r="O146" s="60">
        <f>'BAU Comparison - FS &amp; Fuel Tr'!BW390/907185</f>
        <v>5.2732005425318089</v>
      </c>
      <c r="P146" s="60">
        <f>'BAU Comparison - FS &amp; Fuel Tr'!BX390/907185</f>
        <v>5.0301091601010253</v>
      </c>
      <c r="Q146" s="60">
        <f>'BAU Comparison - FS &amp; Fuel Tr'!BY390/907185</f>
        <v>3.5975074284412196</v>
      </c>
      <c r="R146" s="60">
        <f>'BAU Comparison - FS &amp; Fuel Tr'!BZ390/907185</f>
        <v>2.736977829460165</v>
      </c>
      <c r="S146" s="60">
        <f>'BAU Comparison - FS &amp; Fuel Tr'!CA390/907185</f>
        <v>1.8366821331077789</v>
      </c>
      <c r="T146" s="60">
        <f>'BAU Comparison - FS &amp; Fuel Tr'!CB390/907185</f>
        <v>1.7680322596545504</v>
      </c>
      <c r="U146" s="60">
        <f>'BAU Comparison - FS &amp; Fuel Tr'!CC390/907185</f>
        <v>1.7549377009984861</v>
      </c>
      <c r="V146" s="60">
        <f>'BAU Comparison - FS &amp; Fuel Tr'!CD390/907185</f>
        <v>1.7562217243097278</v>
      </c>
      <c r="W146" s="60">
        <f>'BAU Comparison - FS &amp; Fuel Tr'!CE390/907185</f>
        <v>1.7137885104892896</v>
      </c>
      <c r="X146" s="60">
        <f>'BAU Comparison - FS &amp; Fuel Tr'!CF390/907185</f>
        <v>1.638837922439826</v>
      </c>
      <c r="Y146" s="60">
        <f>'BAU Comparison - FS &amp; Fuel Tr'!CG390/907185</f>
        <v>1.6100070331819476</v>
      </c>
      <c r="Z146" s="60">
        <f>'BAU Comparison - FS &amp; Fuel Tr'!CH390/907185</f>
        <v>1.5705872873043409</v>
      </c>
      <c r="AA146" s="60">
        <f>'BAU Comparison - FS &amp; Fuel Tr'!CI390/907185</f>
        <v>1.5305309786927976</v>
      </c>
      <c r="AB146" s="61">
        <f>'BAU Comparison - FS &amp; Fuel Tr'!CJ390/907185</f>
        <v>1.4690459739320714</v>
      </c>
      <c r="AC146" s="59"/>
    </row>
    <row r="147" spans="1:29" ht="14.65" customHeight="1">
      <c r="A147" s="520"/>
      <c r="B147" s="2" t="s">
        <v>263</v>
      </c>
      <c r="C147" s="51" t="s">
        <v>240</v>
      </c>
      <c r="D147" s="393">
        <f>'BAU Comparison - FS &amp; Fuel Tr'!BL370/907185</f>
        <v>0</v>
      </c>
      <c r="E147" s="60">
        <f>'BAU Comparison - FS &amp; Fuel Tr'!BM370/907185</f>
        <v>-3.397774060613479E-16</v>
      </c>
      <c r="F147" s="60">
        <f>'BAU Comparison - FS &amp; Fuel Tr'!BN370/907185</f>
        <v>3.8100714203673922</v>
      </c>
      <c r="G147" s="60">
        <f>'BAU Comparison - FS &amp; Fuel Tr'!BO370/907185</f>
        <v>10.365783387048594</v>
      </c>
      <c r="H147" s="60">
        <f>'BAU Comparison - FS &amp; Fuel Tr'!BP370/907185</f>
        <v>11.867527768486356</v>
      </c>
      <c r="I147" s="60">
        <f>'BAU Comparison - FS &amp; Fuel Tr'!BQ370/907185</f>
        <v>13.185511368910067</v>
      </c>
      <c r="J147" s="60">
        <f>'BAU Comparison - FS &amp; Fuel Tr'!BR370/907185</f>
        <v>12.721481233376736</v>
      </c>
      <c r="K147" s="60">
        <f>'BAU Comparison - FS &amp; Fuel Tr'!BS370/907185</f>
        <v>12.75388830160383</v>
      </c>
      <c r="L147" s="60">
        <f>'BAU Comparison - FS &amp; Fuel Tr'!BT370/907185</f>
        <v>6.94139403681727</v>
      </c>
      <c r="M147" s="60">
        <f>'BAU Comparison - FS &amp; Fuel Tr'!BU370/907185</f>
        <v>6.2752450477863526</v>
      </c>
      <c r="N147" s="60">
        <f>'BAU Comparison - FS &amp; Fuel Tr'!BV370/907185</f>
        <v>6.0295844514918988</v>
      </c>
      <c r="O147" s="60">
        <f>'BAU Comparison - FS &amp; Fuel Tr'!BW370/907185</f>
        <v>5.748269790435347</v>
      </c>
      <c r="P147" s="60">
        <f>'BAU Comparison - FS &amp; Fuel Tr'!BX370/907185</f>
        <v>5.5392257184475255</v>
      </c>
      <c r="Q147" s="60">
        <f>'BAU Comparison - FS &amp; Fuel Tr'!BY370/907185</f>
        <v>3.9780176755971084</v>
      </c>
      <c r="R147" s="60">
        <f>'BAU Comparison - FS &amp; Fuel Tr'!BZ370/907185</f>
        <v>3.0385754060399233</v>
      </c>
      <c r="S147" s="60">
        <f>'BAU Comparison - FS &amp; Fuel Tr'!CA370/907185</f>
        <v>2.0469344457296916</v>
      </c>
      <c r="T147" s="60">
        <f>'BAU Comparison - FS &amp; Fuel Tr'!CB370/907185</f>
        <v>1.9777257337669225</v>
      </c>
      <c r="U147" s="60">
        <f>'BAU Comparison - FS &amp; Fuel Tr'!CC370/907185</f>
        <v>1.9394341026892559</v>
      </c>
      <c r="V147" s="60">
        <f>'BAU Comparison - FS &amp; Fuel Tr'!CD370/907185</f>
        <v>1.9225393164468272</v>
      </c>
      <c r="W147" s="60">
        <f>'BAU Comparison - FS &amp; Fuel Tr'!CE370/907185</f>
        <v>1.8748443107741313</v>
      </c>
      <c r="X147" s="60">
        <f>'BAU Comparison - FS &amp; Fuel Tr'!CF370/907185</f>
        <v>1.8027600945770437</v>
      </c>
      <c r="Y147" s="60">
        <f>'BAU Comparison - FS &amp; Fuel Tr'!CG370/907185</f>
        <v>1.7676765735733619</v>
      </c>
      <c r="Z147" s="60">
        <f>'BAU Comparison - FS &amp; Fuel Tr'!CH370/907185</f>
        <v>1.7243719132238668</v>
      </c>
      <c r="AA147" s="60">
        <f>'BAU Comparison - FS &amp; Fuel Tr'!CI370/907185</f>
        <v>1.6807829227786599</v>
      </c>
      <c r="AB147" s="61">
        <f>'BAU Comparison - FS &amp; Fuel Tr'!CJ370/907185</f>
        <v>1.6203405838156162</v>
      </c>
      <c r="AC147" s="59"/>
    </row>
    <row r="148" spans="1:29" ht="14.65" customHeight="1">
      <c r="A148" s="520"/>
      <c r="B148" s="2" t="s">
        <v>265</v>
      </c>
      <c r="C148" s="51" t="s">
        <v>240</v>
      </c>
      <c r="D148" s="393">
        <f>'BAU Comparison - FS &amp; Fuel Tr'!BL410/907185</f>
        <v>0</v>
      </c>
      <c r="E148" s="60">
        <f>'BAU Comparison - FS &amp; Fuel Tr'!BM410/907185</f>
        <v>-3.8224958181901644E-16</v>
      </c>
      <c r="F148" s="60">
        <f>'BAU Comparison - FS &amp; Fuel Tr'!BN410/907185</f>
        <v>4.2863303479133155</v>
      </c>
      <c r="G148" s="60">
        <f>'BAU Comparison - FS &amp; Fuel Tr'!BO410/907185</f>
        <v>11.661506310429671</v>
      </c>
      <c r="H148" s="60">
        <f>'BAU Comparison - FS &amp; Fuel Tr'!BP410/907185</f>
        <v>15.871258726407726</v>
      </c>
      <c r="I148" s="60">
        <f>'BAU Comparison - FS &amp; Fuel Tr'!BQ410/907185</f>
        <v>35.725836649679046</v>
      </c>
      <c r="J148" s="60">
        <f>'BAU Comparison - FS &amp; Fuel Tr'!BR410/907185</f>
        <v>44.957138744550711</v>
      </c>
      <c r="K148" s="60">
        <f>'BAU Comparison - FS &amp; Fuel Tr'!BS410/907185</f>
        <v>49.898520852725945</v>
      </c>
      <c r="L148" s="60">
        <f>'BAU Comparison - FS &amp; Fuel Tr'!BT410/907185</f>
        <v>28.739438682482191</v>
      </c>
      <c r="M148" s="60">
        <f>'BAU Comparison - FS &amp; Fuel Tr'!BU410/907185</f>
        <v>26.910380419953103</v>
      </c>
      <c r="N148" s="60">
        <f>'BAU Comparison - FS &amp; Fuel Tr'!BV410/907185</f>
        <v>26.478382255791317</v>
      </c>
      <c r="O148" s="60">
        <f>'BAU Comparison - FS &amp; Fuel Tr'!BW410/907185</f>
        <v>25.683777304139131</v>
      </c>
      <c r="P148" s="60">
        <f>'BAU Comparison - FS &amp; Fuel Tr'!BX410/907185</f>
        <v>25.265554962235207</v>
      </c>
      <c r="Q148" s="60">
        <f>'BAU Comparison - FS &amp; Fuel Tr'!BY410/907185</f>
        <v>18.294167278901163</v>
      </c>
      <c r="R148" s="60">
        <f>'BAU Comparison - FS &amp; Fuel Tr'!BZ410/907185</f>
        <v>14.083873684096799</v>
      </c>
      <c r="S148" s="60">
        <f>'BAU Comparison - FS &amp; Fuel Tr'!CA410/907185</f>
        <v>9.5587597881919777</v>
      </c>
      <c r="T148" s="60">
        <f>'BAU Comparison - FS &amp; Fuel Tr'!CB410/907185</f>
        <v>9.3013967714065231</v>
      </c>
      <c r="U148" s="60">
        <f>'BAU Comparison - FS &amp; Fuel Tr'!CC410/907185</f>
        <v>8.9088803855244016</v>
      </c>
      <c r="V148" s="60">
        <f>'BAU Comparison - FS &amp; Fuel Tr'!CD410/907185</f>
        <v>8.6647285645531831</v>
      </c>
      <c r="W148" s="60">
        <f>'BAU Comparison - FS &amp; Fuel Tr'!CE410/907185</f>
        <v>8.438356973303561</v>
      </c>
      <c r="X148" s="60">
        <f>'BAU Comparison - FS &amp; Fuel Tr'!CF410/907185</f>
        <v>8.2049576740030314</v>
      </c>
      <c r="Y148" s="60">
        <f>'BAU Comparison - FS &amp; Fuel Tr'!CG410/907185</f>
        <v>8.0145024173068222</v>
      </c>
      <c r="Z148" s="60">
        <f>'BAU Comparison - FS &amp; Fuel Tr'!CH410/907185</f>
        <v>7.8179383248430465</v>
      </c>
      <c r="AA148" s="60">
        <f>'BAU Comparison - FS &amp; Fuel Tr'!CI410/907185</f>
        <v>7.6238799196702933</v>
      </c>
      <c r="AB148" s="61">
        <f>'BAU Comparison - FS &amp; Fuel Tr'!CJ410/907185</f>
        <v>7.4144997029589312</v>
      </c>
      <c r="AC148" s="59"/>
    </row>
    <row r="149" spans="1:29" ht="14.65" customHeight="1">
      <c r="A149" s="520"/>
      <c r="B149" s="2" t="s">
        <v>267</v>
      </c>
      <c r="C149" s="51" t="s">
        <v>240</v>
      </c>
      <c r="D149" s="393">
        <f>'BAU Comparison - FS &amp; Fuel Tr'!BL490/907185</f>
        <v>0</v>
      </c>
      <c r="E149" s="60">
        <f>'BAU Comparison - FS &amp; Fuel Tr'!BM490/907185</f>
        <v>0</v>
      </c>
      <c r="F149" s="60">
        <f>'BAU Comparison - FS &amp; Fuel Tr'!BN490/907185</f>
        <v>0</v>
      </c>
      <c r="G149" s="60">
        <f>'BAU Comparison - FS &amp; Fuel Tr'!BO490/907185</f>
        <v>0</v>
      </c>
      <c r="H149" s="60">
        <f>'BAU Comparison - FS &amp; Fuel Tr'!BP490/907185</f>
        <v>0.37616268460605595</v>
      </c>
      <c r="I149" s="60">
        <f>'BAU Comparison - FS &amp; Fuel Tr'!BQ490/907185</f>
        <v>3.1182293074112266</v>
      </c>
      <c r="J149" s="60">
        <f>'BAU Comparison - FS &amp; Fuel Tr'!BR490/907185</f>
        <v>4.5739510980599816</v>
      </c>
      <c r="K149" s="60">
        <f>'BAU Comparison - FS &amp; Fuel Tr'!BS490/907185</f>
        <v>5.3060293303614374</v>
      </c>
      <c r="L149" s="60">
        <f>'BAU Comparison - FS &amp; Fuel Tr'!BT490/907185</f>
        <v>3.1239358792630982</v>
      </c>
      <c r="M149" s="60">
        <f>'BAU Comparison - FS &amp; Fuel Tr'!BU490/907185</f>
        <v>2.9627954837602171</v>
      </c>
      <c r="N149" s="60">
        <f>'BAU Comparison - FS &amp; Fuel Tr'!BV490/907185</f>
        <v>2.9395671265467054</v>
      </c>
      <c r="O149" s="60">
        <f>'BAU Comparison - FS &amp; Fuel Tr'!BW490/907185</f>
        <v>2.8682050432685617</v>
      </c>
      <c r="P149" s="60">
        <f>'BAU Comparison - FS &amp; Fuel Tr'!BX490/907185</f>
        <v>2.8408844819375734</v>
      </c>
      <c r="Q149" s="60">
        <f>'BAU Comparison - FS &amp; Fuel Tr'!BY490/907185</f>
        <v>2.0625219990827488</v>
      </c>
      <c r="R149" s="60">
        <f>'BAU Comparison - FS &amp; Fuel Tr'!BZ490/907185</f>
        <v>1.5918621421346093</v>
      </c>
      <c r="S149" s="60">
        <f>'BAU Comparison - FS &amp; Fuel Tr'!CA490/907185</f>
        <v>1.0829788860815035</v>
      </c>
      <c r="T149" s="60">
        <f>'BAU Comparison - FS &amp; Fuel Tr'!CB490/907185</f>
        <v>1.0561873613311543</v>
      </c>
      <c r="U149" s="60">
        <f>'BAU Comparison - FS &amp; Fuel Tr'!CC490/907185</f>
        <v>1.0040323910446252</v>
      </c>
      <c r="V149" s="60">
        <f>'BAU Comparison - FS &amp; Fuel Tr'!CD490/907185</f>
        <v>0.97042863187320916</v>
      </c>
      <c r="W149" s="60">
        <f>'BAU Comparison - FS &amp; Fuel Tr'!CE490/907185</f>
        <v>0.94465031696756163</v>
      </c>
      <c r="X149" s="60">
        <f>'BAU Comparison - FS &amp; Fuel Tr'!CF490/907185</f>
        <v>0.92191829367221756</v>
      </c>
      <c r="Y149" s="60">
        <f>'BAU Comparison - FS &amp; Fuel Tr'!CG490/907185</f>
        <v>0.89938302567713257</v>
      </c>
      <c r="Z149" s="60">
        <f>'BAU Comparison - FS &amp; Fuel Tr'!CH490/907185</f>
        <v>0.87731640633823826</v>
      </c>
      <c r="AA149" s="60">
        <f>'BAU Comparison - FS &amp; Fuel Tr'!CI490/907185</f>
        <v>0.85567151217079085</v>
      </c>
      <c r="AB149" s="61">
        <f>'BAU Comparison - FS &amp; Fuel Tr'!CJ490/907185</f>
        <v>0.83456963375617332</v>
      </c>
      <c r="AC149" s="59"/>
    </row>
    <row r="150" spans="1:29" ht="14.65" customHeight="1">
      <c r="A150" s="520"/>
      <c r="B150" s="2" t="s">
        <v>268</v>
      </c>
      <c r="C150" s="51" t="s">
        <v>240</v>
      </c>
      <c r="D150" s="394">
        <f>'BAU Comparison - FS &amp; Fuel Tr'!BL350/907185</f>
        <v>0</v>
      </c>
      <c r="E150" s="64">
        <f>'BAU Comparison - FS &amp; Fuel Tr'!BM350/907185</f>
        <v>-8.919156909110382E-16</v>
      </c>
      <c r="F150" s="64">
        <f>'BAU Comparison - FS &amp; Fuel Tr'!BN350/907185</f>
        <v>10.001437478464405</v>
      </c>
      <c r="G150" s="64">
        <f>'BAU Comparison - FS &amp; Fuel Tr'!BO350/907185</f>
        <v>27.210181391002561</v>
      </c>
      <c r="H150" s="64">
        <f>'BAU Comparison - FS &amp; Fuel Tr'!BP350/907185</f>
        <v>31.064489099201939</v>
      </c>
      <c r="I150" s="64">
        <f>'BAU Comparison - FS &amp; Fuel Tr'!BQ350/907185</f>
        <v>33.884380504992968</v>
      </c>
      <c r="J150" s="64">
        <f>'BAU Comparison - FS &amp; Fuel Tr'!BR350/907185</f>
        <v>32.326632981399939</v>
      </c>
      <c r="K150" s="64">
        <f>'BAU Comparison - FS &amp; Fuel Tr'!BS350/907185</f>
        <v>32.24088328129239</v>
      </c>
      <c r="L150" s="64">
        <f>'BAU Comparison - FS &amp; Fuel Tr'!BT350/907185</f>
        <v>17.492240974817275</v>
      </c>
      <c r="M150" s="64">
        <f>'BAU Comparison - FS &amp; Fuel Tr'!BU350/907185</f>
        <v>15.781199304228458</v>
      </c>
      <c r="N150" s="64">
        <f>'BAU Comparison - FS &amp; Fuel Tr'!BV350/907185</f>
        <v>15.141760188972004</v>
      </c>
      <c r="O150" s="64">
        <f>'BAU Comparison - FS &amp; Fuel Tr'!BW350/907185</f>
        <v>14.419960356463456</v>
      </c>
      <c r="P150" s="64">
        <f>'BAU Comparison - FS &amp; Fuel Tr'!BX350/907185</f>
        <v>13.877594465139321</v>
      </c>
      <c r="Q150" s="64">
        <f>'BAU Comparison - FS &amp; Fuel Tr'!BY350/907185</f>
        <v>9.9610412653231002</v>
      </c>
      <c r="R150" s="64">
        <f>'BAU Comparison - FS &amp; Fuel Tr'!BZ350/907185</f>
        <v>7.6048259410233907</v>
      </c>
      <c r="S150" s="64">
        <f>'BAU Comparison - FS &amp; Fuel Tr'!CA350/907185</f>
        <v>5.1205078466214227</v>
      </c>
      <c r="T150" s="64">
        <f>'BAU Comparison - FS &amp; Fuel Tr'!CB350/907185</f>
        <v>4.9450863334942357</v>
      </c>
      <c r="U150" s="64">
        <f>'BAU Comparison - FS &amp; Fuel Tr'!CC350/907185</f>
        <v>4.8567402949822167</v>
      </c>
      <c r="V150" s="64">
        <f>'BAU Comparison - FS &amp; Fuel Tr'!CD350/907185</f>
        <v>4.8202323582358391</v>
      </c>
      <c r="W150" s="64">
        <f>'BAU Comparison - FS &amp; Fuel Tr'!CE350/907185</f>
        <v>4.701047908489663</v>
      </c>
      <c r="X150" s="64">
        <f>'BAU Comparison - FS &amp; Fuel Tr'!CF350/907185</f>
        <v>4.5171309797412222</v>
      </c>
      <c r="Y150" s="64">
        <f>'BAU Comparison - FS &amp; Fuel Tr'!CG350/907185</f>
        <v>4.4302949663054108</v>
      </c>
      <c r="Z150" s="64">
        <f>'BAU Comparison - FS &amp; Fuel Tr'!CH350/907185</f>
        <v>4.3217691107337268</v>
      </c>
      <c r="AA150" s="64">
        <f>'BAU Comparison - FS &amp; Fuel Tr'!CI350/907185</f>
        <v>4.2123984861207981</v>
      </c>
      <c r="AB150" s="65">
        <f>'BAU Comparison - FS &amp; Fuel Tr'!CJ350/907185</f>
        <v>4.0586611179728855</v>
      </c>
      <c r="AC150" s="59"/>
    </row>
    <row r="151" spans="1:29" ht="14.65" customHeight="1">
      <c r="A151" s="521"/>
      <c r="B151" s="72" t="s">
        <v>270</v>
      </c>
      <c r="C151" s="73" t="s">
        <v>240</v>
      </c>
      <c r="D151" s="175">
        <f t="shared" ref="D151:L151" si="3">SUM(D139:D150)</f>
        <v>0</v>
      </c>
      <c r="E151" s="175">
        <f>SUM(E139:E150)</f>
        <v>-8.4944351515336972E-15</v>
      </c>
      <c r="F151" s="175">
        <f t="shared" si="3"/>
        <v>95.251785509184799</v>
      </c>
      <c r="G151" s="175">
        <f t="shared" si="3"/>
        <v>259.14458467621489</v>
      </c>
      <c r="H151" s="175">
        <f t="shared" si="3"/>
        <v>294.18044298145185</v>
      </c>
      <c r="I151" s="175">
        <f t="shared" si="3"/>
        <v>308.84958884001014</v>
      </c>
      <c r="J151" s="175">
        <f t="shared" si="3"/>
        <v>287.54402351401853</v>
      </c>
      <c r="K151" s="175">
        <f t="shared" si="3"/>
        <v>283.47367867101957</v>
      </c>
      <c r="L151" s="175">
        <f t="shared" si="3"/>
        <v>152.70861172534441</v>
      </c>
      <c r="M151" s="175">
        <f t="shared" ref="M151:AB151" si="4">SUM(M139:M150)</f>
        <v>137.12915630292406</v>
      </c>
      <c r="N151" s="175">
        <f t="shared" si="4"/>
        <v>131.14249711031945</v>
      </c>
      <c r="O151" s="175">
        <f t="shared" si="4"/>
        <v>124.58537780575992</v>
      </c>
      <c r="P151" s="175">
        <f t="shared" si="4"/>
        <v>119.5414130816043</v>
      </c>
      <c r="Q151" s="175">
        <f t="shared" si="4"/>
        <v>85.700295229376053</v>
      </c>
      <c r="R151" s="175">
        <f t="shared" si="4"/>
        <v>65.3519708701007</v>
      </c>
      <c r="S151" s="175">
        <f t="shared" si="4"/>
        <v>43.953501902698932</v>
      </c>
      <c r="T151" s="175">
        <f t="shared" si="4"/>
        <v>42.401894268632041</v>
      </c>
      <c r="U151" s="175">
        <f t="shared" si="4"/>
        <v>41.792303293600554</v>
      </c>
      <c r="V151" s="175">
        <f t="shared" si="4"/>
        <v>41.593958698682627</v>
      </c>
      <c r="W151" s="175">
        <f t="shared" si="4"/>
        <v>40.573438989569539</v>
      </c>
      <c r="X151" s="175">
        <f t="shared" si="4"/>
        <v>38.922880406611306</v>
      </c>
      <c r="Y151" s="175">
        <f t="shared" si="4"/>
        <v>38.196027501486491</v>
      </c>
      <c r="Z151" s="175">
        <f t="shared" si="4"/>
        <v>37.260521788341741</v>
      </c>
      <c r="AA151" s="175">
        <f t="shared" si="4"/>
        <v>36.31509632166123</v>
      </c>
      <c r="AB151" s="175">
        <f t="shared" si="4"/>
        <v>34.94471703701592</v>
      </c>
      <c r="AC151" s="59"/>
    </row>
    <row r="152" spans="1:29">
      <c r="I152" s="66"/>
      <c r="AC152" s="59"/>
    </row>
    <row r="153" spans="1:29">
      <c r="B153" s="522" t="s">
        <v>18935</v>
      </c>
      <c r="C153" s="522"/>
      <c r="D153" s="522"/>
      <c r="E153" s="522"/>
      <c r="F153" s="522"/>
      <c r="G153" s="522"/>
      <c r="H153" s="522"/>
      <c r="I153" s="522"/>
      <c r="J153" s="522"/>
      <c r="K153" s="522"/>
      <c r="L153" s="522"/>
      <c r="M153" s="522"/>
      <c r="N153" s="522"/>
      <c r="O153" s="522"/>
      <c r="P153" s="522"/>
      <c r="Q153" s="522"/>
      <c r="R153" s="522"/>
      <c r="S153" s="522"/>
      <c r="T153" s="522"/>
      <c r="U153" s="522"/>
      <c r="V153" s="522"/>
      <c r="W153" s="522"/>
      <c r="X153" s="522"/>
      <c r="Y153" s="522"/>
      <c r="Z153" s="522"/>
      <c r="AA153" s="522"/>
      <c r="AB153" s="522"/>
      <c r="AC153" s="59"/>
    </row>
    <row r="154" spans="1:29">
      <c r="B154" s="295" t="s">
        <v>18936</v>
      </c>
      <c r="C154" s="295" t="s">
        <v>1</v>
      </c>
      <c r="D154" s="295">
        <v>2022</v>
      </c>
      <c r="E154" s="295">
        <v>2023</v>
      </c>
      <c r="F154" s="295">
        <v>2024</v>
      </c>
      <c r="G154" s="295">
        <v>2025</v>
      </c>
      <c r="H154" s="295">
        <v>2026</v>
      </c>
      <c r="I154" s="295">
        <v>2027</v>
      </c>
      <c r="J154" s="295">
        <v>2028</v>
      </c>
      <c r="K154" s="295">
        <v>2029</v>
      </c>
      <c r="L154" s="295">
        <v>2030</v>
      </c>
      <c r="M154" s="295">
        <v>2031</v>
      </c>
      <c r="N154" s="295">
        <v>2032</v>
      </c>
      <c r="O154" s="295">
        <v>2033</v>
      </c>
      <c r="P154" s="295">
        <v>2034</v>
      </c>
      <c r="Q154" s="295">
        <v>2035</v>
      </c>
      <c r="R154" s="295">
        <v>2036</v>
      </c>
      <c r="S154" s="295">
        <v>2037</v>
      </c>
      <c r="T154" s="295">
        <v>2038</v>
      </c>
      <c r="U154" s="295">
        <v>2039</v>
      </c>
      <c r="V154" s="295">
        <v>2040</v>
      </c>
      <c r="W154" s="295">
        <v>2041</v>
      </c>
      <c r="X154" s="295">
        <v>2042</v>
      </c>
      <c r="Y154" s="295">
        <v>2043</v>
      </c>
      <c r="Z154" s="295">
        <v>2044</v>
      </c>
      <c r="AA154" s="295">
        <v>2045</v>
      </c>
      <c r="AB154" s="295">
        <v>2046</v>
      </c>
      <c r="AC154" s="59"/>
    </row>
    <row r="155" spans="1:29">
      <c r="B155" t="s">
        <v>18937</v>
      </c>
      <c r="C155" t="s">
        <v>65</v>
      </c>
      <c r="D155" s="8">
        <f t="shared" ref="D155:AB155" si="5">D18+D37+D56+D75+D94+D113+D132+D151</f>
        <v>0</v>
      </c>
      <c r="E155" s="8">
        <f t="shared" si="5"/>
        <v>-8.4944351515336972E-15</v>
      </c>
      <c r="F155" s="8">
        <f t="shared" si="5"/>
        <v>-666.11778799591752</v>
      </c>
      <c r="G155" s="8">
        <f t="shared" si="5"/>
        <v>-1759.7255913853946</v>
      </c>
      <c r="H155" s="8">
        <f t="shared" si="5"/>
        <v>-1991.0011639043701</v>
      </c>
      <c r="I155" s="8">
        <f t="shared" si="5"/>
        <v>-1908.8680492089943</v>
      </c>
      <c r="J155" s="8">
        <f t="shared" si="5"/>
        <v>-1754.7046649969739</v>
      </c>
      <c r="K155" s="8">
        <f t="shared" si="5"/>
        <v>-1760.0016626114382</v>
      </c>
      <c r="L155" s="8">
        <f t="shared" si="5"/>
        <v>-1855.5995124572769</v>
      </c>
      <c r="M155" s="8">
        <f t="shared" si="5"/>
        <v>-1813.1972229383737</v>
      </c>
      <c r="N155" s="8">
        <f t="shared" si="5"/>
        <v>-1750.9118922796915</v>
      </c>
      <c r="O155" s="8">
        <f t="shared" si="5"/>
        <v>-1684.6433217964061</v>
      </c>
      <c r="P155" s="8">
        <f t="shared" si="5"/>
        <v>-1616.8598748242705</v>
      </c>
      <c r="Q155" s="8">
        <f t="shared" si="5"/>
        <v>-1577.1798026112576</v>
      </c>
      <c r="R155" s="8">
        <f t="shared" si="5"/>
        <v>-1517.8822162996273</v>
      </c>
      <c r="S155" s="8">
        <f t="shared" si="5"/>
        <v>-1447.4523423273497</v>
      </c>
      <c r="T155" s="8">
        <f t="shared" si="5"/>
        <v>-1395.7302840775592</v>
      </c>
      <c r="U155" s="8">
        <f t="shared" si="5"/>
        <v>-1400.2077719243755</v>
      </c>
      <c r="V155" s="8">
        <f t="shared" si="5"/>
        <v>-1398.1068892086253</v>
      </c>
      <c r="W155" s="8">
        <f t="shared" si="5"/>
        <v>-1374.9253244730635</v>
      </c>
      <c r="X155" s="8">
        <f t="shared" si="5"/>
        <v>-1330.5448792363372</v>
      </c>
      <c r="Y155" s="8">
        <f t="shared" si="5"/>
        <v>-1310.3834544248291</v>
      </c>
      <c r="Z155" s="8">
        <f t="shared" si="5"/>
        <v>-1290.5283619617669</v>
      </c>
      <c r="AA155" s="8">
        <f t="shared" si="5"/>
        <v>-1285.9723900961844</v>
      </c>
      <c r="AB155" s="8">
        <f t="shared" si="5"/>
        <v>-1270.8250143566277</v>
      </c>
      <c r="AC155" s="59"/>
    </row>
  </sheetData>
  <mergeCells count="10">
    <mergeCell ref="D1:AB1"/>
    <mergeCell ref="A1:A151"/>
    <mergeCell ref="B153:AB153"/>
    <mergeCell ref="D20:AB20"/>
    <mergeCell ref="D58:AB58"/>
    <mergeCell ref="D115:AB115"/>
    <mergeCell ref="D134:AB134"/>
    <mergeCell ref="D77:AB77"/>
    <mergeCell ref="D96:AB96"/>
    <mergeCell ref="D39:AB3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</sheetPr>
  <dimension ref="A1:AC176"/>
  <sheetViews>
    <sheetView topLeftCell="C1" zoomScale="88" zoomScaleNormal="88" workbookViewId="0">
      <selection activeCell="M25" sqref="M25"/>
    </sheetView>
  </sheetViews>
  <sheetFormatPr defaultRowHeight="15"/>
  <cols>
    <col min="1" max="1" width="23.7109375" customWidth="1"/>
    <col min="2" max="2" width="23.7109375" bestFit="1" customWidth="1"/>
    <col min="3" max="3" width="44.28515625" bestFit="1" customWidth="1"/>
    <col min="4" max="4" width="22" bestFit="1" customWidth="1"/>
    <col min="22" max="22" width="7" customWidth="1"/>
  </cols>
  <sheetData>
    <row r="1" spans="2:29"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2:29" s="2" customFormat="1">
      <c r="B2" s="2" t="s">
        <v>99</v>
      </c>
      <c r="C2" s="10" t="s">
        <v>3</v>
      </c>
      <c r="D2" s="10" t="s">
        <v>1</v>
      </c>
      <c r="E2" s="10">
        <v>2022</v>
      </c>
      <c r="F2" s="10">
        <v>2023</v>
      </c>
      <c r="G2" s="10">
        <v>2024</v>
      </c>
      <c r="H2" s="10">
        <v>2025</v>
      </c>
      <c r="I2" s="10">
        <v>2026</v>
      </c>
      <c r="J2" s="10">
        <v>2027</v>
      </c>
      <c r="K2" s="10">
        <v>2028</v>
      </c>
      <c r="L2" s="10">
        <v>2029</v>
      </c>
      <c r="M2" s="10">
        <v>2030</v>
      </c>
      <c r="N2" s="10">
        <v>2031</v>
      </c>
      <c r="O2" s="10">
        <v>2032</v>
      </c>
      <c r="P2" s="10">
        <v>2033</v>
      </c>
      <c r="Q2" s="10">
        <v>2034</v>
      </c>
      <c r="R2" s="10">
        <v>2035</v>
      </c>
      <c r="S2" s="10">
        <v>2036</v>
      </c>
      <c r="T2" s="10">
        <v>2037</v>
      </c>
      <c r="U2" s="10">
        <v>2038</v>
      </c>
      <c r="V2" s="10">
        <v>2039</v>
      </c>
      <c r="W2" s="10">
        <v>2040</v>
      </c>
      <c r="X2" s="10">
        <v>2041</v>
      </c>
      <c r="Y2" s="10">
        <v>2042</v>
      </c>
      <c r="Z2" s="10">
        <v>2043</v>
      </c>
      <c r="AA2" s="10">
        <v>2044</v>
      </c>
      <c r="AB2" s="10">
        <v>2045</v>
      </c>
      <c r="AC2" s="10">
        <v>2046</v>
      </c>
    </row>
    <row r="3" spans="2:29">
      <c r="C3" s="10" t="s">
        <v>100</v>
      </c>
      <c r="D3" s="68" t="s">
        <v>101</v>
      </c>
      <c r="E3" s="413">
        <f>E8/(E8+E4)</f>
        <v>0.10046759410490477</v>
      </c>
      <c r="F3" s="413">
        <f t="shared" ref="F3:AC3" si="0">F8/(F8+F4)</f>
        <v>0.100690990028225</v>
      </c>
      <c r="G3" s="413">
        <f t="shared" si="0"/>
        <v>0.10102613587133048</v>
      </c>
      <c r="H3" s="413">
        <f t="shared" si="0"/>
        <v>0.10099582398388239</v>
      </c>
      <c r="I3" s="413">
        <f t="shared" si="0"/>
        <v>0.10103005671291428</v>
      </c>
      <c r="J3" s="413">
        <f t="shared" si="0"/>
        <v>0.10107373667837458</v>
      </c>
      <c r="K3" s="413">
        <f t="shared" si="0"/>
        <v>0.10112334269949853</v>
      </c>
      <c r="L3" s="413">
        <f t="shared" si="0"/>
        <v>0.1011798965312907</v>
      </c>
      <c r="M3" s="413">
        <f t="shared" si="0"/>
        <v>0.101245235223341</v>
      </c>
      <c r="N3" s="413">
        <f t="shared" si="0"/>
        <v>0.10132149695923953</v>
      </c>
      <c r="O3" s="413">
        <f t="shared" si="0"/>
        <v>0.10141131090686807</v>
      </c>
      <c r="P3" s="413">
        <f t="shared" si="0"/>
        <v>0.10151990258191058</v>
      </c>
      <c r="Q3" s="413">
        <f t="shared" si="0"/>
        <v>0.10164985332590946</v>
      </c>
      <c r="R3" s="413">
        <f t="shared" si="0"/>
        <v>0.1018059601106394</v>
      </c>
      <c r="S3" s="413">
        <f t="shared" si="0"/>
        <v>0.10198772436674357</v>
      </c>
      <c r="T3" s="413">
        <f t="shared" si="0"/>
        <v>0.10219992656039077</v>
      </c>
      <c r="U3" s="413">
        <f t="shared" si="0"/>
        <v>0.10244760303959317</v>
      </c>
      <c r="V3" s="413">
        <f t="shared" si="0"/>
        <v>0.10273714624601703</v>
      </c>
      <c r="W3" s="413">
        <f t="shared" si="0"/>
        <v>0.10307899402027387</v>
      </c>
      <c r="X3" s="413">
        <f t="shared" si="0"/>
        <v>0.1034851275237673</v>
      </c>
      <c r="Y3" s="413">
        <f t="shared" si="0"/>
        <v>0.10397005711697573</v>
      </c>
      <c r="Z3" s="413">
        <f t="shared" si="0"/>
        <v>0.10455178886685595</v>
      </c>
      <c r="AA3" s="413">
        <f t="shared" si="0"/>
        <v>0.10525884444651043</v>
      </c>
      <c r="AB3" s="413">
        <f t="shared" si="0"/>
        <v>0.10612375058538411</v>
      </c>
      <c r="AC3" s="413">
        <f t="shared" si="0"/>
        <v>0.10709164742425122</v>
      </c>
    </row>
    <row r="4" spans="2:29">
      <c r="C4" s="68" t="s">
        <v>10</v>
      </c>
      <c r="D4" s="68" t="s">
        <v>7</v>
      </c>
      <c r="E4" s="362">
        <f>INDEX('BAU CATS Output'!$A$1:$AB$28,MATCH($C4,'BAU CATS Output'!$A$1:$A$28,0),MATCH(E$2,'BAU CATS Output'!$A$1:$AB$1,0))</f>
        <v>12394.075118723969</v>
      </c>
      <c r="F4" s="362">
        <f>INDEX('BAU CATS Output'!$A$1:$AB$28,MATCH($C4,'BAU CATS Output'!$A$1:$A$28,0),MATCH(F$2,'BAU CATS Output'!$A$1:$AB$1,0))</f>
        <v>12078.55315256515</v>
      </c>
      <c r="G4" s="362">
        <f>INDEX('BAU CATS Output'!$A$1:$AB$28,MATCH($C4,'BAU CATS Output'!$A$1:$A$28,0),MATCH(G$2,'BAU CATS Output'!$A$1:$AB$1,0))</f>
        <v>11612.38832067946</v>
      </c>
      <c r="H4" s="362">
        <f>INDEX('BAU CATS Output'!$A$1:$AB$28,MATCH($C4,'BAU CATS Output'!$A$1:$A$28,0),MATCH(H$2,'BAU CATS Output'!$A$1:$AB$1,0))</f>
        <v>11272.88216981195</v>
      </c>
      <c r="I4" s="362">
        <f>INDEX('BAU CATS Output'!$A$1:$AB$28,MATCH($C4,'BAU CATS Output'!$A$1:$A$28,0),MATCH(I$2,'BAU CATS Output'!$A$1:$AB$1,0))</f>
        <v>10913.35025011942</v>
      </c>
      <c r="J4" s="362">
        <f>INDEX('BAU CATS Output'!$A$1:$AB$28,MATCH($C4,'BAU CATS Output'!$A$1:$A$28,0),MATCH(J$2,'BAU CATS Output'!$A$1:$AB$1,0))</f>
        <v>10486.560522742389</v>
      </c>
      <c r="K4" s="362">
        <f>INDEX('BAU CATS Output'!$A$1:$AB$28,MATCH($C4,'BAU CATS Output'!$A$1:$A$28,0),MATCH(K$2,'BAU CATS Output'!$A$1:$AB$1,0))</f>
        <v>10040.58398282214</v>
      </c>
      <c r="L4" s="362">
        <f>INDEX('BAU CATS Output'!$A$1:$AB$28,MATCH($C4,'BAU CATS Output'!$A$1:$A$28,0),MATCH(L$2,'BAU CATS Output'!$A$1:$AB$1,0))</f>
        <v>9576.2266623162559</v>
      </c>
      <c r="M4" s="362">
        <f>INDEX('BAU CATS Output'!$A$1:$AB$28,MATCH($C4,'BAU CATS Output'!$A$1:$A$28,0),MATCH(M$2,'BAU CATS Output'!$A$1:$AB$1,0))</f>
        <v>9090.4400649941053</v>
      </c>
      <c r="N4" s="362">
        <f>INDEX('BAU CATS Output'!$A$1:$AB$28,MATCH($C4,'BAU CATS Output'!$A$1:$A$28,0),MATCH(N$2,'BAU CATS Output'!$A$1:$AB$1,0))</f>
        <v>8582.2159985613507</v>
      </c>
      <c r="O4" s="362">
        <f>INDEX('BAU CATS Output'!$A$1:$AB$28,MATCH($C4,'BAU CATS Output'!$A$1:$A$28,0),MATCH(O$2,'BAU CATS Output'!$A$1:$AB$1,0))</f>
        <v>8051.9557676982977</v>
      </c>
      <c r="P4" s="362">
        <f>INDEX('BAU CATS Output'!$A$1:$AB$28,MATCH($C4,'BAU CATS Output'!$A$1:$A$28,0),MATCH(P$2,'BAU CATS Output'!$A$1:$AB$1,0))</f>
        <v>7492.1411850500181</v>
      </c>
      <c r="Q4" s="362">
        <f>INDEX('BAU CATS Output'!$A$1:$AB$28,MATCH($C4,'BAU CATS Output'!$A$1:$A$28,0),MATCH(Q$2,'BAU CATS Output'!$A$1:$AB$1,0))</f>
        <v>6916.5307218759981</v>
      </c>
      <c r="R4" s="362">
        <f>INDEX('BAU CATS Output'!$A$1:$AB$28,MATCH($C4,'BAU CATS Output'!$A$1:$A$28,0),MATCH(R$2,'BAU CATS Output'!$A$1:$AB$1,0))</f>
        <v>6331.9536777557023</v>
      </c>
      <c r="S4" s="362">
        <f>INDEX('BAU CATS Output'!$A$1:$AB$28,MATCH($C4,'BAU CATS Output'!$A$1:$A$28,0),MATCH(S$2,'BAU CATS Output'!$A$1:$AB$1,0))</f>
        <v>5764.4586638937844</v>
      </c>
      <c r="T4" s="362">
        <f>INDEX('BAU CATS Output'!$A$1:$AB$28,MATCH($C4,'BAU CATS Output'!$A$1:$A$28,0),MATCH(T$2,'BAU CATS Output'!$A$1:$AB$1,0))</f>
        <v>5218.2243414733293</v>
      </c>
      <c r="U4" s="362">
        <f>INDEX('BAU CATS Output'!$A$1:$AB$28,MATCH($C4,'BAU CATS Output'!$A$1:$A$28,0),MATCH(U$2,'BAU CATS Output'!$A$1:$AB$1,0))</f>
        <v>4698.3232726265196</v>
      </c>
      <c r="V4" s="362">
        <f>INDEX('BAU CATS Output'!$A$1:$AB$28,MATCH($C4,'BAU CATS Output'!$A$1:$A$28,0),MATCH(V$2,'BAU CATS Output'!$A$1:$AB$1,0))</f>
        <v>4207.9193518321699</v>
      </c>
      <c r="W4" s="362">
        <f>INDEX('BAU CATS Output'!$A$1:$AB$28,MATCH($C4,'BAU CATS Output'!$A$1:$A$28,0),MATCH(W$2,'BAU CATS Output'!$A$1:$AB$1,0))</f>
        <v>3745.9643527355079</v>
      </c>
      <c r="X4" s="362">
        <f>INDEX('BAU CATS Output'!$A$1:$AB$28,MATCH($C4,'BAU CATS Output'!$A$1:$A$28,0),MATCH(X$2,'BAU CATS Output'!$A$1:$AB$1,0))</f>
        <v>3313.4408276794511</v>
      </c>
      <c r="Y4" s="362">
        <f>INDEX('BAU CATS Output'!$A$1:$AB$28,MATCH($C4,'BAU CATS Output'!$A$1:$A$28,0),MATCH(Y$2,'BAU CATS Output'!$A$1:$AB$1,0))</f>
        <v>2911.628222349776</v>
      </c>
      <c r="Z4" s="362">
        <f>INDEX('BAU CATS Output'!$A$1:$AB$28,MATCH($C4,'BAU CATS Output'!$A$1:$A$28,0),MATCH(Z$2,'BAU CATS Output'!$A$1:$AB$1,0))</f>
        <v>2541.46774638735</v>
      </c>
      <c r="AA4" s="362">
        <f>INDEX('BAU CATS Output'!$A$1:$AB$28,MATCH($C4,'BAU CATS Output'!$A$1:$A$28,0),MATCH(AA$2,'BAU CATS Output'!$A$1:$AB$1,0))</f>
        <v>2200.8953722041319</v>
      </c>
      <c r="AB4" s="362">
        <f>INDEX('BAU CATS Output'!$A$1:$AB$28,MATCH($C4,'BAU CATS Output'!$A$1:$A$28,0),MATCH(AB$2,'BAU CATS Output'!$A$1:$AB$1,0))</f>
        <v>1890.460241071235</v>
      </c>
      <c r="AC4" s="362">
        <f>INDEX('BAU CATS Output'!$A$1:$AB$28,MATCH($C4,'BAU CATS Output'!$A$1:$A$28,0),MATCH(AC$2,'BAU CATS Output'!$A$1:$AB$1,0))</f>
        <v>1632.283211203908</v>
      </c>
    </row>
    <row r="5" spans="2:29">
      <c r="C5" s="68" t="s">
        <v>102</v>
      </c>
      <c r="D5" s="68" t="s">
        <v>7</v>
      </c>
      <c r="E5" s="362">
        <f>INDEX('BAU CATS Output'!$A$1:$AB$28,MATCH($C5,'BAU CATS Output'!$A$1:$A$28,0),MATCH(E$2,'BAU CATS Output'!$A$1:$AB$1,0))</f>
        <v>103.5217700036805</v>
      </c>
      <c r="F5" s="362">
        <f>INDEX('BAU CATS Output'!$A$1:$AB$28,MATCH($C5,'BAU CATS Output'!$A$1:$A$28,0),MATCH(F$2,'BAU CATS Output'!$A$1:$AB$1,0))</f>
        <v>144.93047800515271</v>
      </c>
      <c r="G5" s="362">
        <f>INDEX('BAU CATS Output'!$A$1:$AB$28,MATCH($C5,'BAU CATS Output'!$A$1:$A$28,0),MATCH(G$2,'BAU CATS Output'!$A$1:$AB$1,0))</f>
        <v>202.90266920721371</v>
      </c>
      <c r="H5" s="362">
        <f>INDEX('BAU CATS Output'!$A$1:$AB$28,MATCH($C5,'BAU CATS Output'!$A$1:$A$28,0),MATCH(H$2,'BAU CATS Output'!$A$1:$AB$1,0))</f>
        <v>191.38755980861239</v>
      </c>
      <c r="I5" s="362">
        <f>INDEX('BAU CATS Output'!$A$1:$AB$28,MATCH($C5,'BAU CATS Output'!$A$1:$A$28,0),MATCH(I$2,'BAU CATS Output'!$A$1:$AB$1,0))</f>
        <v>191.38755980861239</v>
      </c>
      <c r="J5" s="362">
        <f>INDEX('BAU CATS Output'!$A$1:$AB$28,MATCH($C5,'BAU CATS Output'!$A$1:$A$28,0),MATCH(J$2,'BAU CATS Output'!$A$1:$AB$1,0))</f>
        <v>191.38755980861239</v>
      </c>
      <c r="K5" s="362">
        <f>INDEX('BAU CATS Output'!$A$1:$AB$28,MATCH($C5,'BAU CATS Output'!$A$1:$A$28,0),MATCH(K$2,'BAU CATS Output'!$A$1:$AB$1,0))</f>
        <v>191.38755980861239</v>
      </c>
      <c r="L5" s="362">
        <f>INDEX('BAU CATS Output'!$A$1:$AB$28,MATCH($C5,'BAU CATS Output'!$A$1:$A$28,0),MATCH(L$2,'BAU CATS Output'!$A$1:$AB$1,0))</f>
        <v>191.38755980861251</v>
      </c>
      <c r="M5" s="362">
        <f>INDEX('BAU CATS Output'!$A$1:$AB$28,MATCH($C5,'BAU CATS Output'!$A$1:$A$28,0),MATCH(M$2,'BAU CATS Output'!$A$1:$AB$1,0))</f>
        <v>191.38755980861239</v>
      </c>
      <c r="N5" s="362">
        <f>INDEX('BAU CATS Output'!$A$1:$AB$28,MATCH($C5,'BAU CATS Output'!$A$1:$A$28,0),MATCH(N$2,'BAU CATS Output'!$A$1:$AB$1,0))</f>
        <v>191.38755980861251</v>
      </c>
      <c r="O5" s="362">
        <f>INDEX('BAU CATS Output'!$A$1:$AB$28,MATCH($C5,'BAU CATS Output'!$A$1:$A$28,0),MATCH(O$2,'BAU CATS Output'!$A$1:$AB$1,0))</f>
        <v>191.38755980861251</v>
      </c>
      <c r="P5" s="362">
        <f>INDEX('BAU CATS Output'!$A$1:$AB$28,MATCH($C5,'BAU CATS Output'!$A$1:$A$28,0),MATCH(P$2,'BAU CATS Output'!$A$1:$AB$1,0))</f>
        <v>191.38755980861251</v>
      </c>
      <c r="Q5" s="362">
        <f>INDEX('BAU CATS Output'!$A$1:$AB$28,MATCH($C5,'BAU CATS Output'!$A$1:$A$28,0),MATCH(Q$2,'BAU CATS Output'!$A$1:$AB$1,0))</f>
        <v>191.38755980861251</v>
      </c>
      <c r="R5" s="362">
        <f>INDEX('BAU CATS Output'!$A$1:$AB$28,MATCH($C5,'BAU CATS Output'!$A$1:$A$28,0),MATCH(R$2,'BAU CATS Output'!$A$1:$AB$1,0))</f>
        <v>191.38755980861251</v>
      </c>
      <c r="S5" s="362">
        <f>INDEX('BAU CATS Output'!$A$1:$AB$28,MATCH($C5,'BAU CATS Output'!$A$1:$A$28,0),MATCH(S$2,'BAU CATS Output'!$A$1:$AB$1,0))</f>
        <v>191.38755980861251</v>
      </c>
      <c r="T5" s="362">
        <f>INDEX('BAU CATS Output'!$A$1:$AB$28,MATCH($C5,'BAU CATS Output'!$A$1:$A$28,0),MATCH(T$2,'BAU CATS Output'!$A$1:$AB$1,0))</f>
        <v>191.38755980861251</v>
      </c>
      <c r="U5" s="362">
        <f>INDEX('BAU CATS Output'!$A$1:$AB$28,MATCH($C5,'BAU CATS Output'!$A$1:$A$28,0),MATCH(U$2,'BAU CATS Output'!$A$1:$AB$1,0))</f>
        <v>191.38755980861251</v>
      </c>
      <c r="V5" s="362">
        <f>INDEX('BAU CATS Output'!$A$1:$AB$28,MATCH($C5,'BAU CATS Output'!$A$1:$A$28,0),MATCH(V$2,'BAU CATS Output'!$A$1:$AB$1,0))</f>
        <v>191.38755980861251</v>
      </c>
      <c r="W5" s="362">
        <f>INDEX('BAU CATS Output'!$A$1:$AB$28,MATCH($C5,'BAU CATS Output'!$A$1:$A$28,0),MATCH(W$2,'BAU CATS Output'!$A$1:$AB$1,0))</f>
        <v>191.38755980861251</v>
      </c>
      <c r="X5" s="362">
        <f>INDEX('BAU CATS Output'!$A$1:$AB$28,MATCH($C5,'BAU CATS Output'!$A$1:$A$28,0),MATCH(X$2,'BAU CATS Output'!$A$1:$AB$1,0))</f>
        <v>191.38755980861251</v>
      </c>
      <c r="Y5" s="362">
        <f>INDEX('BAU CATS Output'!$A$1:$AB$28,MATCH($C5,'BAU CATS Output'!$A$1:$A$28,0),MATCH(Y$2,'BAU CATS Output'!$A$1:$AB$1,0))</f>
        <v>191.38755980861251</v>
      </c>
      <c r="Z5" s="362">
        <f>INDEX('BAU CATS Output'!$A$1:$AB$28,MATCH($C5,'BAU CATS Output'!$A$1:$A$28,0),MATCH(Z$2,'BAU CATS Output'!$A$1:$AB$1,0))</f>
        <v>191.38755980861251</v>
      </c>
      <c r="AA5" s="362">
        <f>INDEX('BAU CATS Output'!$A$1:$AB$28,MATCH($C5,'BAU CATS Output'!$A$1:$A$28,0),MATCH(AA$2,'BAU CATS Output'!$A$1:$AB$1,0))</f>
        <v>191.38755980861251</v>
      </c>
      <c r="AB5" s="362">
        <f>INDEX('BAU CATS Output'!$A$1:$AB$28,MATCH($C5,'BAU CATS Output'!$A$1:$A$28,0),MATCH(AB$2,'BAU CATS Output'!$A$1:$AB$1,0))</f>
        <v>191.38755980861251</v>
      </c>
      <c r="AC5" s="362">
        <f>INDEX('BAU CATS Output'!$A$1:$AB$28,MATCH($C5,'BAU CATS Output'!$A$1:$A$28,0),MATCH(AC$2,'BAU CATS Output'!$A$1:$AB$1,0))</f>
        <v>191.38755980861251</v>
      </c>
    </row>
    <row r="6" spans="2:29">
      <c r="C6" s="68" t="s">
        <v>17</v>
      </c>
      <c r="D6" s="68" t="s">
        <v>103</v>
      </c>
      <c r="E6" s="362">
        <f>INDEX('BAU CATS Output'!$A$1:$AB$28,MATCH($C6,'BAU CATS Output'!$A$1:$A$28,0),MATCH(E$2,'BAU CATS Output'!$A$1:$AB$1,0))</f>
        <v>3405.916658055557</v>
      </c>
      <c r="F6" s="362">
        <f>INDEX('BAU CATS Output'!$A$1:$AB$28,MATCH($C6,'BAU CATS Output'!$A$1:$A$28,0),MATCH(F$2,'BAU CATS Output'!$A$1:$AB$1,0))</f>
        <v>4243.2297497222226</v>
      </c>
      <c r="G6" s="362">
        <f>INDEX('BAU CATS Output'!$A$1:$AB$28,MATCH($C6,'BAU CATS Output'!$A$1:$A$28,0),MATCH(G$2,'BAU CATS Output'!$A$1:$AB$1,0))</f>
        <v>5276.2062469444454</v>
      </c>
      <c r="H6" s="362">
        <f>INDEX('BAU CATS Output'!$A$1:$AB$28,MATCH($C6,'BAU CATS Output'!$A$1:$A$28,0),MATCH(H$2,'BAU CATS Output'!$A$1:$AB$1,0))</f>
        <v>6542.380570000003</v>
      </c>
      <c r="I6" s="362">
        <f>INDEX('BAU CATS Output'!$A$1:$AB$28,MATCH($C6,'BAU CATS Output'!$A$1:$A$28,0),MATCH(I$2,'BAU CATS Output'!$A$1:$AB$1,0))</f>
        <v>8093.20976138889</v>
      </c>
      <c r="J6" s="362">
        <f>INDEX('BAU CATS Output'!$A$1:$AB$28,MATCH($C6,'BAU CATS Output'!$A$1:$A$28,0),MATCH(J$2,'BAU CATS Output'!$A$1:$AB$1,0))</f>
        <v>10505.71946416667</v>
      </c>
      <c r="K6" s="362">
        <f>INDEX('BAU CATS Output'!$A$1:$AB$28,MATCH($C6,'BAU CATS Output'!$A$1:$A$28,0),MATCH(K$2,'BAU CATS Output'!$A$1:$AB$1,0))</f>
        <v>13361.60451138889</v>
      </c>
      <c r="L6" s="362">
        <f>INDEX('BAU CATS Output'!$A$1:$AB$28,MATCH($C6,'BAU CATS Output'!$A$1:$A$28,0),MATCH(L$2,'BAU CATS Output'!$A$1:$AB$1,0))</f>
        <v>16691.896311111112</v>
      </c>
      <c r="M6" s="362">
        <f>INDEX('BAU CATS Output'!$A$1:$AB$28,MATCH($C6,'BAU CATS Output'!$A$1:$A$28,0),MATCH(M$2,'BAU CATS Output'!$A$1:$AB$1,0))</f>
        <v>20547.963274166668</v>
      </c>
      <c r="N6" s="362">
        <f>INDEX('BAU CATS Output'!$A$1:$AB$28,MATCH($C6,'BAU CATS Output'!$A$1:$A$28,0),MATCH(N$2,'BAU CATS Output'!$A$1:$AB$1,0))</f>
        <v>24978.509136666671</v>
      </c>
      <c r="O6" s="362">
        <f>INDEX('BAU CATS Output'!$A$1:$AB$28,MATCH($C6,'BAU CATS Output'!$A$1:$A$28,0),MATCH(O$2,'BAU CATS Output'!$A$1:$AB$1,0))</f>
        <v>29484.45985472223</v>
      </c>
      <c r="P6" s="362">
        <f>INDEX('BAU CATS Output'!$A$1:$AB$28,MATCH($C6,'BAU CATS Output'!$A$1:$A$28,0),MATCH(P$2,'BAU CATS Output'!$A$1:$AB$1,0))</f>
        <v>34455.75230472222</v>
      </c>
      <c r="Q6" s="362">
        <f>INDEX('BAU CATS Output'!$A$1:$AB$28,MATCH($C6,'BAU CATS Output'!$A$1:$A$28,0),MATCH(Q$2,'BAU CATS Output'!$A$1:$AB$1,0))</f>
        <v>39739.412582500008</v>
      </c>
      <c r="R6" s="362">
        <f>INDEX('BAU CATS Output'!$A$1:$AB$28,MATCH($C6,'BAU CATS Output'!$A$1:$A$28,0),MATCH(R$2,'BAU CATS Output'!$A$1:$AB$1,0))</f>
        <v>45282.638018333339</v>
      </c>
      <c r="S6" s="362">
        <f>INDEX('BAU CATS Output'!$A$1:$AB$28,MATCH($C6,'BAU CATS Output'!$A$1:$A$28,0),MATCH(S$2,'BAU CATS Output'!$A$1:$AB$1,0))</f>
        <v>50745.155940555582</v>
      </c>
      <c r="T6" s="362">
        <f>INDEX('BAU CATS Output'!$A$1:$AB$28,MATCH($C6,'BAU CATS Output'!$A$1:$A$28,0),MATCH(T$2,'BAU CATS Output'!$A$1:$AB$1,0))</f>
        <v>56112.192676944462</v>
      </c>
      <c r="U6" s="362">
        <f>INDEX('BAU CATS Output'!$A$1:$AB$28,MATCH($C6,'BAU CATS Output'!$A$1:$A$28,0),MATCH(U$2,'BAU CATS Output'!$A$1:$AB$1,0))</f>
        <v>61329.187026111118</v>
      </c>
      <c r="V6" s="362">
        <f>INDEX('BAU CATS Output'!$A$1:$AB$28,MATCH($C6,'BAU CATS Output'!$A$1:$A$28,0),MATCH(V$2,'BAU CATS Output'!$A$1:$AB$1,0))</f>
        <v>66355.345674166689</v>
      </c>
      <c r="W6" s="362">
        <f>INDEX('BAU CATS Output'!$A$1:$AB$28,MATCH($C6,'BAU CATS Output'!$A$1:$A$28,0),MATCH(W$2,'BAU CATS Output'!$A$1:$AB$1,0))</f>
        <v>71164.976508888896</v>
      </c>
      <c r="X6" s="362">
        <f>INDEX('BAU CATS Output'!$A$1:$AB$28,MATCH($C6,'BAU CATS Output'!$A$1:$A$28,0),MATCH(X$2,'BAU CATS Output'!$A$1:$AB$1,0))</f>
        <v>75752.910762500032</v>
      </c>
      <c r="Y6" s="362">
        <f>INDEX('BAU CATS Output'!$A$1:$AB$28,MATCH($C6,'BAU CATS Output'!$A$1:$A$28,0),MATCH(Y$2,'BAU CATS Output'!$A$1:$AB$1,0))</f>
        <v>80054.986243611143</v>
      </c>
      <c r="Z6" s="362">
        <f>INDEX('BAU CATS Output'!$A$1:$AB$28,MATCH($C6,'BAU CATS Output'!$A$1:$A$28,0),MATCH(Z$2,'BAU CATS Output'!$A$1:$AB$1,0))</f>
        <v>84063.184965277818</v>
      </c>
      <c r="AA6" s="362">
        <f>INDEX('BAU CATS Output'!$A$1:$AB$28,MATCH($C6,'BAU CATS Output'!$A$1:$A$28,0),MATCH(AA$2,'BAU CATS Output'!$A$1:$AB$1,0))</f>
        <v>87760.341567777796</v>
      </c>
      <c r="AB6" s="362">
        <f>INDEX('BAU CATS Output'!$A$1:$AB$28,MATCH($C6,'BAU CATS Output'!$A$1:$A$28,0),MATCH(AB$2,'BAU CATS Output'!$A$1:$AB$1,0))</f>
        <v>91120.502526666663</v>
      </c>
      <c r="AC6" s="362">
        <f>INDEX('BAU CATS Output'!$A$1:$AB$28,MATCH($C6,'BAU CATS Output'!$A$1:$A$28,0),MATCH(AC$2,'BAU CATS Output'!$A$1:$AB$1,0))</f>
        <v>94608.523778333343</v>
      </c>
    </row>
    <row r="7" spans="2:29">
      <c r="C7" s="68" t="s">
        <v>18</v>
      </c>
      <c r="D7" s="68" t="s">
        <v>103</v>
      </c>
      <c r="E7" s="362">
        <f>INDEX('BAU CATS Output'!$A$1:$AB$28,MATCH($C7,'BAU CATS Output'!$A$1:$A$28,0),MATCH(E$2,'BAU CATS Output'!$A$1:$AB$1,0))</f>
        <v>0</v>
      </c>
      <c r="F7" s="362">
        <f>INDEX('BAU CATS Output'!$A$1:$AB$28,MATCH($C7,'BAU CATS Output'!$A$1:$A$28,0),MATCH(F$2,'BAU CATS Output'!$A$1:$AB$1,0))</f>
        <v>0</v>
      </c>
      <c r="G7" s="362">
        <f>INDEX('BAU CATS Output'!$A$1:$AB$28,MATCH($C7,'BAU CATS Output'!$A$1:$A$28,0),MATCH(G$2,'BAU CATS Output'!$A$1:$AB$1,0))</f>
        <v>0</v>
      </c>
      <c r="H7" s="362">
        <f>INDEX('BAU CATS Output'!$A$1:$AB$28,MATCH($C7,'BAU CATS Output'!$A$1:$A$28,0),MATCH(H$2,'BAU CATS Output'!$A$1:$AB$1,0))</f>
        <v>3.4</v>
      </c>
      <c r="I7" s="362">
        <f>INDEX('BAU CATS Output'!$A$1:$AB$28,MATCH($C7,'BAU CATS Output'!$A$1:$A$28,0),MATCH(I$2,'BAU CATS Output'!$A$1:$AB$1,0))</f>
        <v>0</v>
      </c>
      <c r="J7" s="362">
        <f>INDEX('BAU CATS Output'!$A$1:$AB$28,MATCH($C7,'BAU CATS Output'!$A$1:$A$28,0),MATCH(J$2,'BAU CATS Output'!$A$1:$AB$1,0))</f>
        <v>0</v>
      </c>
      <c r="K7" s="362">
        <f>INDEX('BAU CATS Output'!$A$1:$AB$28,MATCH($C7,'BAU CATS Output'!$A$1:$A$28,0),MATCH(K$2,'BAU CATS Output'!$A$1:$AB$1,0))</f>
        <v>0</v>
      </c>
      <c r="L7" s="362">
        <f>INDEX('BAU CATS Output'!$A$1:$AB$28,MATCH($C7,'BAU CATS Output'!$A$1:$A$28,0),MATCH(L$2,'BAU CATS Output'!$A$1:$AB$1,0))</f>
        <v>0</v>
      </c>
      <c r="M7" s="362">
        <f>INDEX('BAU CATS Output'!$A$1:$AB$28,MATCH($C7,'BAU CATS Output'!$A$1:$A$28,0),MATCH(M$2,'BAU CATS Output'!$A$1:$AB$1,0))</f>
        <v>0</v>
      </c>
      <c r="N7" s="362">
        <f>INDEX('BAU CATS Output'!$A$1:$AB$28,MATCH($C7,'BAU CATS Output'!$A$1:$A$28,0),MATCH(N$2,'BAU CATS Output'!$A$1:$AB$1,0))</f>
        <v>0</v>
      </c>
      <c r="O7" s="362">
        <f>INDEX('BAU CATS Output'!$A$1:$AB$28,MATCH($C7,'BAU CATS Output'!$A$1:$A$28,0),MATCH(O$2,'BAU CATS Output'!$A$1:$AB$1,0))</f>
        <v>0</v>
      </c>
      <c r="P7" s="362">
        <f>INDEX('BAU CATS Output'!$A$1:$AB$28,MATCH($C7,'BAU CATS Output'!$A$1:$A$28,0),MATCH(P$2,'BAU CATS Output'!$A$1:$AB$1,0))</f>
        <v>0</v>
      </c>
      <c r="Q7" s="362">
        <f>INDEX('BAU CATS Output'!$A$1:$AB$28,MATCH($C7,'BAU CATS Output'!$A$1:$A$28,0),MATCH(Q$2,'BAU CATS Output'!$A$1:$AB$1,0))</f>
        <v>0</v>
      </c>
      <c r="R7" s="362">
        <f>INDEX('BAU CATS Output'!$A$1:$AB$28,MATCH($C7,'BAU CATS Output'!$A$1:$A$28,0),MATCH(R$2,'BAU CATS Output'!$A$1:$AB$1,0))</f>
        <v>0</v>
      </c>
      <c r="S7" s="362">
        <f>INDEX('BAU CATS Output'!$A$1:$AB$28,MATCH($C7,'BAU CATS Output'!$A$1:$A$28,0),MATCH(S$2,'BAU CATS Output'!$A$1:$AB$1,0))</f>
        <v>0</v>
      </c>
      <c r="T7" s="362">
        <f>INDEX('BAU CATS Output'!$A$1:$AB$28,MATCH($C7,'BAU CATS Output'!$A$1:$A$28,0),MATCH(T$2,'BAU CATS Output'!$A$1:$AB$1,0))</f>
        <v>0</v>
      </c>
      <c r="U7" s="362">
        <f>INDEX('BAU CATS Output'!$A$1:$AB$28,MATCH($C7,'BAU CATS Output'!$A$1:$A$28,0),MATCH(U$2,'BAU CATS Output'!$A$1:$AB$1,0))</f>
        <v>0</v>
      </c>
      <c r="V7" s="362">
        <f>INDEX('BAU CATS Output'!$A$1:$AB$28,MATCH($C7,'BAU CATS Output'!$A$1:$A$28,0),MATCH(V$2,'BAU CATS Output'!$A$1:$AB$1,0))</f>
        <v>0</v>
      </c>
      <c r="W7" s="362">
        <f>INDEX('BAU CATS Output'!$A$1:$AB$28,MATCH($C7,'BAU CATS Output'!$A$1:$A$28,0),MATCH(W$2,'BAU CATS Output'!$A$1:$AB$1,0))</f>
        <v>0</v>
      </c>
      <c r="X7" s="362">
        <f>INDEX('BAU CATS Output'!$A$1:$AB$28,MATCH($C7,'BAU CATS Output'!$A$1:$A$28,0),MATCH(X$2,'BAU CATS Output'!$A$1:$AB$1,0))</f>
        <v>0</v>
      </c>
      <c r="Y7" s="362">
        <f>INDEX('BAU CATS Output'!$A$1:$AB$28,MATCH($C7,'BAU CATS Output'!$A$1:$A$28,0),MATCH(Y$2,'BAU CATS Output'!$A$1:$AB$1,0))</f>
        <v>0</v>
      </c>
      <c r="Z7" s="362">
        <f>INDEX('BAU CATS Output'!$A$1:$AB$28,MATCH($C7,'BAU CATS Output'!$A$1:$A$28,0),MATCH(Z$2,'BAU CATS Output'!$A$1:$AB$1,0))</f>
        <v>0</v>
      </c>
      <c r="AA7" s="362">
        <f>INDEX('BAU CATS Output'!$A$1:$AB$28,MATCH($C7,'BAU CATS Output'!$A$1:$A$28,0),MATCH(AA$2,'BAU CATS Output'!$A$1:$AB$1,0))</f>
        <v>0</v>
      </c>
      <c r="AB7" s="362">
        <f>INDEX('BAU CATS Output'!$A$1:$AB$28,MATCH($C7,'BAU CATS Output'!$A$1:$A$28,0),MATCH(AB$2,'BAU CATS Output'!$A$1:$AB$1,0))</f>
        <v>0</v>
      </c>
      <c r="AC7" s="362">
        <f>INDEX('BAU CATS Output'!$A$1:$AB$28,MATCH($C7,'BAU CATS Output'!$A$1:$A$28,0),MATCH(AC$2,'BAU CATS Output'!$A$1:$AB$1,0))</f>
        <v>0</v>
      </c>
    </row>
    <row r="8" spans="2:29">
      <c r="C8" s="68" t="s">
        <v>19</v>
      </c>
      <c r="D8" s="68" t="s">
        <v>7</v>
      </c>
      <c r="E8" s="362">
        <f>INDEX('BAU CATS Output'!$A$1:$AB$28,MATCH($C8,'BAU CATS Output'!$A$1:$A$28,0),MATCH(E$2,'BAU CATS Output'!$A$1:$AB$1,0))</f>
        <v>1384.277987288961</v>
      </c>
      <c r="F8" s="362">
        <f>INDEX('BAU CATS Output'!$A$1:$AB$28,MATCH($C8,'BAU CATS Output'!$A$1:$A$28,0),MATCH(F$2,'BAU CATS Output'!$A$1:$AB$1,0))</f>
        <v>1352.3732794342779</v>
      </c>
      <c r="G8" s="362">
        <f>INDEX('BAU CATS Output'!$A$1:$AB$28,MATCH($C8,'BAU CATS Output'!$A$1:$A$28,0),MATCH(G$2,'BAU CATS Output'!$A$1:$AB$1,0))</f>
        <v>1304.993133935762</v>
      </c>
      <c r="H8" s="362">
        <f>INDEX('BAU CATS Output'!$A$1:$AB$28,MATCH($C8,'BAU CATS Output'!$A$1:$A$28,0),MATCH(H$2,'BAU CATS Output'!$A$1:$AB$1,0))</f>
        <v>1266.4168351904989</v>
      </c>
      <c r="I8" s="362">
        <f>INDEX('BAU CATS Output'!$A$1:$AB$28,MATCH($C8,'BAU CATS Output'!$A$1:$A$28,0),MATCH(I$2,'BAU CATS Output'!$A$1:$AB$1,0))</f>
        <v>1226.4886083575709</v>
      </c>
      <c r="J8" s="362">
        <f>INDEX('BAU CATS Output'!$A$1:$AB$28,MATCH($C8,'BAU CATS Output'!$A$1:$A$28,0),MATCH(J$2,'BAU CATS Output'!$A$1:$AB$1,0))</f>
        <v>1179.090989088475</v>
      </c>
      <c r="K8" s="362">
        <f>INDEX('BAU CATS Output'!$A$1:$AB$28,MATCH($C8,'BAU CATS Output'!$A$1:$A$28,0),MATCH(K$2,'BAU CATS Output'!$A$1:$AB$1,0))</f>
        <v>1129.562556499433</v>
      </c>
      <c r="L8" s="362">
        <f>INDEX('BAU CATS Output'!$A$1:$AB$28,MATCH($C8,'BAU CATS Output'!$A$1:$A$28,0),MATCH(L$2,'BAU CATS Output'!$A$1:$AB$1,0))</f>
        <v>1077.99282538753</v>
      </c>
      <c r="M8" s="362">
        <f>INDEX('BAU CATS Output'!$A$1:$AB$28,MATCH($C8,'BAU CATS Output'!$A$1:$A$28,0),MATCH(M$2,'BAU CATS Output'!$A$1:$AB$1,0))</f>
        <v>1024.043241531768</v>
      </c>
      <c r="N8" s="362">
        <f>INDEX('BAU CATS Output'!$A$1:$AB$28,MATCH($C8,'BAU CATS Output'!$A$1:$A$28,0),MATCH(N$2,'BAU CATS Output'!$A$1:$AB$1,0))</f>
        <v>967.60183898860987</v>
      </c>
      <c r="O8" s="362">
        <f>INDEX('BAU CATS Output'!$A$1:$AB$28,MATCH($C8,'BAU CATS Output'!$A$1:$A$28,0),MATCH(O$2,'BAU CATS Output'!$A$1:$AB$1,0))</f>
        <v>908.71318510639674</v>
      </c>
      <c r="P8" s="362">
        <f>INDEX('BAU CATS Output'!$A$1:$AB$28,MATCH($C8,'BAU CATS Output'!$A$1:$A$28,0),MATCH(P$2,'BAU CATS Output'!$A$1:$AB$1,0))</f>
        <v>846.5423390255329</v>
      </c>
      <c r="Q8" s="362">
        <f>INDEX('BAU CATS Output'!$A$1:$AB$28,MATCH($C8,'BAU CATS Output'!$A$1:$A$28,0),MATCH(Q$2,'BAU CATS Output'!$A$1:$AB$1,0))</f>
        <v>782.61726344205101</v>
      </c>
      <c r="R8" s="362">
        <f>INDEX('BAU CATS Output'!$A$1:$AB$28,MATCH($C8,'BAU CATS Output'!$A$1:$A$28,0),MATCH(R$2,'BAU CATS Output'!$A$1:$AB$1,0))</f>
        <v>717.69639399902826</v>
      </c>
      <c r="S8" s="362">
        <f>INDEX('BAU CATS Output'!$A$1:$AB$28,MATCH($C8,'BAU CATS Output'!$A$1:$A$28,0),MATCH(S$2,'BAU CATS Output'!$A$1:$AB$1,0))</f>
        <v>654.67258888205129</v>
      </c>
      <c r="T8" s="362">
        <f>INDEX('BAU CATS Output'!$A$1:$AB$28,MATCH($C8,'BAU CATS Output'!$A$1:$A$28,0),MATCH(T$2,'BAU CATS Output'!$A$1:$AB$1,0))</f>
        <v>594.00991406812409</v>
      </c>
      <c r="U8" s="362">
        <f>INDEX('BAU CATS Output'!$A$1:$AB$28,MATCH($C8,'BAU CATS Output'!$A$1:$A$28,0),MATCH(U$2,'BAU CATS Output'!$A$1:$AB$1,0))</f>
        <v>536.27170872226714</v>
      </c>
      <c r="V8" s="362">
        <f>INDEX('BAU CATS Output'!$A$1:$AB$28,MATCH($C8,'BAU CATS Output'!$A$1:$A$28,0),MATCH(V$2,'BAU CATS Output'!$A$1:$AB$1,0))</f>
        <v>481.80934274936578</v>
      </c>
      <c r="W8" s="362">
        <f>INDEX('BAU CATS Output'!$A$1:$AB$28,MATCH($C8,'BAU CATS Output'!$A$1:$A$28,0),MATCH(W$2,'BAU CATS Output'!$A$1:$AB$1,0))</f>
        <v>430.5064041777058</v>
      </c>
      <c r="X8" s="362">
        <f>INDEX('BAU CATS Output'!$A$1:$AB$28,MATCH($C8,'BAU CATS Output'!$A$1:$A$28,0),MATCH(X$2,'BAU CATS Output'!$A$1:$AB$1,0))</f>
        <v>382.47201147681511</v>
      </c>
      <c r="Y8" s="362">
        <f>INDEX('BAU CATS Output'!$A$1:$AB$28,MATCH($C8,'BAU CATS Output'!$A$1:$A$28,0),MATCH(Y$2,'BAU CATS Output'!$A$1:$AB$1,0))</f>
        <v>337.84825494456129</v>
      </c>
      <c r="Z8" s="362">
        <f>INDEX('BAU CATS Output'!$A$1:$AB$28,MATCH($C8,'BAU CATS Output'!$A$1:$A$28,0),MATCH(Z$2,'BAU CATS Output'!$A$1:$AB$1,0))</f>
        <v>296.73966168960862</v>
      </c>
      <c r="AA8" s="362">
        <f>INDEX('BAU CATS Output'!$A$1:$AB$28,MATCH($C8,'BAU CATS Output'!$A$1:$A$28,0),MATCH(AA$2,'BAU CATS Output'!$A$1:$AB$1,0))</f>
        <v>258.91700877732791</v>
      </c>
      <c r="AB8" s="362">
        <f>INDEX('BAU CATS Output'!$A$1:$AB$28,MATCH($C8,'BAU CATS Output'!$A$1:$A$28,0),MATCH(AB$2,'BAU CATS Output'!$A$1:$AB$1,0))</f>
        <v>224.44128171703099</v>
      </c>
      <c r="AC8" s="362">
        <f>INDEX('BAU CATS Output'!$A$1:$AB$28,MATCH($C8,'BAU CATS Output'!$A$1:$A$28,0),MATCH(AC$2,'BAU CATS Output'!$A$1:$AB$1,0))</f>
        <v>195.76913761252359</v>
      </c>
    </row>
    <row r="9" spans="2:29">
      <c r="C9" s="68" t="s">
        <v>29</v>
      </c>
      <c r="D9" s="68" t="s">
        <v>22</v>
      </c>
      <c r="E9" s="362">
        <f>INDEX('BAU CATS Output'!$A$1:$AB$28,MATCH($C9,'BAU CATS Output'!$A$1:$A$28,0),MATCH(E$2,'BAU CATS Output'!$A$1:$AB$1,0))</f>
        <v>0</v>
      </c>
      <c r="F9" s="362">
        <f>INDEX('BAU CATS Output'!$A$1:$AB$28,MATCH($C9,'BAU CATS Output'!$A$1:$A$28,0),MATCH(F$2,'BAU CATS Output'!$A$1:$AB$1,0))</f>
        <v>0</v>
      </c>
      <c r="G9" s="362">
        <f>INDEX('BAU CATS Output'!$A$1:$AB$28,MATCH($C9,'BAU CATS Output'!$A$1:$A$28,0),MATCH(G$2,'BAU CATS Output'!$A$1:$AB$1,0))</f>
        <v>0</v>
      </c>
      <c r="H9" s="362">
        <f>INDEX('BAU CATS Output'!$A$1:$AB$28,MATCH($C9,'BAU CATS Output'!$A$1:$A$28,0),MATCH(H$2,'BAU CATS Output'!$A$1:$AB$1,0))</f>
        <v>0</v>
      </c>
      <c r="I9" s="362">
        <f>INDEX('BAU CATS Output'!$A$1:$AB$28,MATCH($C9,'BAU CATS Output'!$A$1:$A$28,0),MATCH(I$2,'BAU CATS Output'!$A$1:$AB$1,0))</f>
        <v>0</v>
      </c>
      <c r="J9" s="362">
        <f>INDEX('BAU CATS Output'!$A$1:$AB$28,MATCH($C9,'BAU CATS Output'!$A$1:$A$28,0),MATCH(J$2,'BAU CATS Output'!$A$1:$AB$1,0))</f>
        <v>0</v>
      </c>
      <c r="K9" s="362">
        <f>INDEX('BAU CATS Output'!$A$1:$AB$28,MATCH($C9,'BAU CATS Output'!$A$1:$A$28,0),MATCH(K$2,'BAU CATS Output'!$A$1:$AB$1,0))</f>
        <v>0</v>
      </c>
      <c r="L9" s="362">
        <f>INDEX('BAU CATS Output'!$A$1:$AB$28,MATCH($C9,'BAU CATS Output'!$A$1:$A$28,0),MATCH(L$2,'BAU CATS Output'!$A$1:$AB$1,0))</f>
        <v>0</v>
      </c>
      <c r="M9" s="362">
        <f>INDEX('BAU CATS Output'!$A$1:$AB$28,MATCH($C9,'BAU CATS Output'!$A$1:$A$28,0),MATCH(M$2,'BAU CATS Output'!$A$1:$AB$1,0))</f>
        <v>0</v>
      </c>
      <c r="N9" s="362">
        <f>INDEX('BAU CATS Output'!$A$1:$AB$28,MATCH($C9,'BAU CATS Output'!$A$1:$A$28,0),MATCH(N$2,'BAU CATS Output'!$A$1:$AB$1,0))</f>
        <v>0</v>
      </c>
      <c r="O9" s="362">
        <f>INDEX('BAU CATS Output'!$A$1:$AB$28,MATCH($C9,'BAU CATS Output'!$A$1:$A$28,0),MATCH(O$2,'BAU CATS Output'!$A$1:$AB$1,0))</f>
        <v>0</v>
      </c>
      <c r="P9" s="362">
        <f>INDEX('BAU CATS Output'!$A$1:$AB$28,MATCH($C9,'BAU CATS Output'!$A$1:$A$28,0),MATCH(P$2,'BAU CATS Output'!$A$1:$AB$1,0))</f>
        <v>0</v>
      </c>
      <c r="Q9" s="362">
        <f>INDEX('BAU CATS Output'!$A$1:$AB$28,MATCH($C9,'BAU CATS Output'!$A$1:$A$28,0),MATCH(Q$2,'BAU CATS Output'!$A$1:$AB$1,0))</f>
        <v>0</v>
      </c>
      <c r="R9" s="362">
        <f>INDEX('BAU CATS Output'!$A$1:$AB$28,MATCH($C9,'BAU CATS Output'!$A$1:$A$28,0),MATCH(R$2,'BAU CATS Output'!$A$1:$AB$1,0))</f>
        <v>0</v>
      </c>
      <c r="S9" s="362">
        <f>INDEX('BAU CATS Output'!$A$1:$AB$28,MATCH($C9,'BAU CATS Output'!$A$1:$A$28,0),MATCH(S$2,'BAU CATS Output'!$A$1:$AB$1,0))</f>
        <v>10.336950848166589</v>
      </c>
      <c r="T9" s="362">
        <f>INDEX('BAU CATS Output'!$A$1:$AB$28,MATCH($C9,'BAU CATS Output'!$A$1:$A$28,0),MATCH(T$2,'BAU CATS Output'!$A$1:$AB$1,0))</f>
        <v>36.772132816833263</v>
      </c>
      <c r="U9" s="362">
        <f>INDEX('BAU CATS Output'!$A$1:$AB$28,MATCH($C9,'BAU CATS Output'!$A$1:$A$28,0),MATCH(U$2,'BAU CATS Output'!$A$1:$AB$1,0))</f>
        <v>63.80610649416662</v>
      </c>
      <c r="V9" s="362">
        <f>INDEX('BAU CATS Output'!$A$1:$AB$28,MATCH($C9,'BAU CATS Output'!$A$1:$A$28,0),MATCH(V$2,'BAU CATS Output'!$A$1:$AB$1,0))</f>
        <v>83.385007674999997</v>
      </c>
      <c r="W9" s="362">
        <f>INDEX('BAU CATS Output'!$A$1:$AB$28,MATCH($C9,'BAU CATS Output'!$A$1:$A$28,0),MATCH(W$2,'BAU CATS Output'!$A$1:$AB$1,0))</f>
        <v>89.979236608333338</v>
      </c>
      <c r="X9" s="362">
        <f>INDEX('BAU CATS Output'!$A$1:$AB$28,MATCH($C9,'BAU CATS Output'!$A$1:$A$28,0),MATCH(X$2,'BAU CATS Output'!$A$1:$AB$1,0))</f>
        <v>96.330386916666654</v>
      </c>
      <c r="Y9" s="362">
        <f>INDEX('BAU CATS Output'!$A$1:$AB$28,MATCH($C9,'BAU CATS Output'!$A$1:$A$28,0),MATCH(Y$2,'BAU CATS Output'!$A$1:$AB$1,0))</f>
        <v>102.3610350666667</v>
      </c>
      <c r="Z9" s="362">
        <f>INDEX('BAU CATS Output'!$A$1:$AB$28,MATCH($C9,'BAU CATS Output'!$A$1:$A$28,0),MATCH(Z$2,'BAU CATS Output'!$A$1:$AB$1,0))</f>
        <v>108.04777675</v>
      </c>
      <c r="AA9" s="362">
        <f>INDEX('BAU CATS Output'!$A$1:$AB$28,MATCH($C9,'BAU CATS Output'!$A$1:$A$28,0),MATCH(AA$2,'BAU CATS Output'!$A$1:$AB$1,0))</f>
        <v>113.350635025</v>
      </c>
      <c r="AB9" s="362">
        <f>INDEX('BAU CATS Output'!$A$1:$AB$28,MATCH($C9,'BAU CATS Output'!$A$1:$A$28,0),MATCH(AB$2,'BAU CATS Output'!$A$1:$AB$1,0))</f>
        <v>118.22997807500001</v>
      </c>
      <c r="AC9" s="362">
        <f>INDEX('BAU CATS Output'!$A$1:$AB$28,MATCH($C9,'BAU CATS Output'!$A$1:$A$28,0),MATCH(AC$2,'BAU CATS Output'!$A$1:$AB$1,0))</f>
        <v>123.36066523333329</v>
      </c>
    </row>
    <row r="10" spans="2:29">
      <c r="C10" s="68" t="s">
        <v>27</v>
      </c>
      <c r="D10" s="68" t="s">
        <v>22</v>
      </c>
      <c r="E10" s="362">
        <f>INDEX('BAU CATS Output'!$A$1:$AB$28,MATCH($C10,'BAU CATS Output'!$A$1:$A$28,0),MATCH(E$2,'BAU CATS Output'!$A$1:$AB$1,0))</f>
        <v>0</v>
      </c>
      <c r="F10" s="362">
        <f>INDEX('BAU CATS Output'!$A$1:$AB$28,MATCH($C10,'BAU CATS Output'!$A$1:$A$28,0),MATCH(F$2,'BAU CATS Output'!$A$1:$AB$1,0))</f>
        <v>0</v>
      </c>
      <c r="G10" s="362">
        <f>INDEX('BAU CATS Output'!$A$1:$AB$28,MATCH($C10,'BAU CATS Output'!$A$1:$A$28,0),MATCH(G$2,'BAU CATS Output'!$A$1:$AB$1,0))</f>
        <v>0</v>
      </c>
      <c r="H10" s="362">
        <f>INDEX('BAU CATS Output'!$A$1:$AB$28,MATCH($C10,'BAU CATS Output'!$A$1:$A$28,0),MATCH(H$2,'BAU CATS Output'!$A$1:$AB$1,0))</f>
        <v>0</v>
      </c>
      <c r="I10" s="362">
        <f>INDEX('BAU CATS Output'!$A$1:$AB$28,MATCH($C10,'BAU CATS Output'!$A$1:$A$28,0),MATCH(I$2,'BAU CATS Output'!$A$1:$AB$1,0))</f>
        <v>0</v>
      </c>
      <c r="J10" s="362">
        <f>INDEX('BAU CATS Output'!$A$1:$AB$28,MATCH($C10,'BAU CATS Output'!$A$1:$A$28,0),MATCH(J$2,'BAU CATS Output'!$A$1:$AB$1,0))</f>
        <v>0</v>
      </c>
      <c r="K10" s="362">
        <f>INDEX('BAU CATS Output'!$A$1:$AB$28,MATCH($C10,'BAU CATS Output'!$A$1:$A$28,0),MATCH(K$2,'BAU CATS Output'!$A$1:$AB$1,0))</f>
        <v>0</v>
      </c>
      <c r="L10" s="362">
        <f>INDEX('BAU CATS Output'!$A$1:$AB$28,MATCH($C10,'BAU CATS Output'!$A$1:$A$28,0),MATCH(L$2,'BAU CATS Output'!$A$1:$AB$1,0))</f>
        <v>0</v>
      </c>
      <c r="M10" s="362">
        <f>INDEX('BAU CATS Output'!$A$1:$AB$28,MATCH($C10,'BAU CATS Output'!$A$1:$A$28,0),MATCH(M$2,'BAU CATS Output'!$A$1:$AB$1,0))</f>
        <v>0</v>
      </c>
      <c r="N10" s="362">
        <f>INDEX('BAU CATS Output'!$A$1:$AB$28,MATCH($C10,'BAU CATS Output'!$A$1:$A$28,0),MATCH(N$2,'BAU CATS Output'!$A$1:$AB$1,0))</f>
        <v>0</v>
      </c>
      <c r="O10" s="362">
        <f>INDEX('BAU CATS Output'!$A$1:$AB$28,MATCH($C10,'BAU CATS Output'!$A$1:$A$28,0),MATCH(O$2,'BAU CATS Output'!$A$1:$AB$1,0))</f>
        <v>0</v>
      </c>
      <c r="P10" s="362">
        <f>INDEX('BAU CATS Output'!$A$1:$AB$28,MATCH($C10,'BAU CATS Output'!$A$1:$A$28,0),MATCH(P$2,'BAU CATS Output'!$A$1:$AB$1,0))</f>
        <v>0</v>
      </c>
      <c r="Q10" s="362">
        <f>INDEX('BAU CATS Output'!$A$1:$AB$28,MATCH($C10,'BAU CATS Output'!$A$1:$A$28,0),MATCH(Q$2,'BAU CATS Output'!$A$1:$AB$1,0))</f>
        <v>0</v>
      </c>
      <c r="R10" s="362">
        <f>INDEX('BAU CATS Output'!$A$1:$AB$28,MATCH($C10,'BAU CATS Output'!$A$1:$A$28,0),MATCH(R$2,'BAU CATS Output'!$A$1:$AB$1,0))</f>
        <v>0</v>
      </c>
      <c r="S10" s="362">
        <f>INDEX('BAU CATS Output'!$A$1:$AB$28,MATCH($C10,'BAU CATS Output'!$A$1:$A$28,0),MATCH(S$2,'BAU CATS Output'!$A$1:$AB$1,0))</f>
        <v>0</v>
      </c>
      <c r="T10" s="362">
        <f>INDEX('BAU CATS Output'!$A$1:$AB$28,MATCH($C10,'BAU CATS Output'!$A$1:$A$28,0),MATCH(T$2,'BAU CATS Output'!$A$1:$AB$1,0))</f>
        <v>0</v>
      </c>
      <c r="U10" s="362">
        <f>INDEX('BAU CATS Output'!$A$1:$AB$28,MATCH($C10,'BAU CATS Output'!$A$1:$A$28,0),MATCH(U$2,'BAU CATS Output'!$A$1:$AB$1,0))</f>
        <v>0</v>
      </c>
      <c r="V10" s="362">
        <f>INDEX('BAU CATS Output'!$A$1:$AB$28,MATCH($C10,'BAU CATS Output'!$A$1:$A$28,0),MATCH(V$2,'BAU CATS Output'!$A$1:$AB$1,0))</f>
        <v>0</v>
      </c>
      <c r="W10" s="362">
        <f>INDEX('BAU CATS Output'!$A$1:$AB$28,MATCH($C10,'BAU CATS Output'!$A$1:$A$28,0),MATCH(W$2,'BAU CATS Output'!$A$1:$AB$1,0))</f>
        <v>0</v>
      </c>
      <c r="X10" s="362">
        <f>INDEX('BAU CATS Output'!$A$1:$AB$28,MATCH($C10,'BAU CATS Output'!$A$1:$A$28,0),MATCH(X$2,'BAU CATS Output'!$A$1:$AB$1,0))</f>
        <v>0</v>
      </c>
      <c r="Y10" s="362">
        <f>INDEX('BAU CATS Output'!$A$1:$AB$28,MATCH($C10,'BAU CATS Output'!$A$1:$A$28,0),MATCH(Y$2,'BAU CATS Output'!$A$1:$AB$1,0))</f>
        <v>0</v>
      </c>
      <c r="Z10" s="362">
        <f>INDEX('BAU CATS Output'!$A$1:$AB$28,MATCH($C10,'BAU CATS Output'!$A$1:$A$28,0),MATCH(Z$2,'BAU CATS Output'!$A$1:$AB$1,0))</f>
        <v>0</v>
      </c>
      <c r="AA10" s="362">
        <f>INDEX('BAU CATS Output'!$A$1:$AB$28,MATCH($C10,'BAU CATS Output'!$A$1:$A$28,0),MATCH(AA$2,'BAU CATS Output'!$A$1:$AB$1,0))</f>
        <v>0</v>
      </c>
      <c r="AB10" s="362">
        <f>INDEX('BAU CATS Output'!$A$1:$AB$28,MATCH($C10,'BAU CATS Output'!$A$1:$A$28,0),MATCH(AB$2,'BAU CATS Output'!$A$1:$AB$1,0))</f>
        <v>0</v>
      </c>
      <c r="AC10" s="362">
        <f>INDEX('BAU CATS Output'!$A$1:$AB$28,MATCH($C10,'BAU CATS Output'!$A$1:$A$28,0),MATCH(AC$2,'BAU CATS Output'!$A$1:$AB$1,0))</f>
        <v>0</v>
      </c>
    </row>
    <row r="11" spans="2:29">
      <c r="C11" s="68" t="s">
        <v>28</v>
      </c>
      <c r="D11" s="68" t="s">
        <v>22</v>
      </c>
      <c r="E11" s="362">
        <f>INDEX('BAU CATS Output'!$A$1:$AB$28,MATCH($C11,'BAU CATS Output'!$A$1:$A$28,0),MATCH(E$2,'BAU CATS Output'!$A$1:$AB$1,0))</f>
        <v>0</v>
      </c>
      <c r="F11" s="362">
        <f>INDEX('BAU CATS Output'!$A$1:$AB$28,MATCH($C11,'BAU CATS Output'!$A$1:$A$28,0),MATCH(F$2,'BAU CATS Output'!$A$1:$AB$1,0))</f>
        <v>0</v>
      </c>
      <c r="G11" s="362">
        <f>INDEX('BAU CATS Output'!$A$1:$AB$28,MATCH($C11,'BAU CATS Output'!$A$1:$A$28,0),MATCH(G$2,'BAU CATS Output'!$A$1:$AB$1,0))</f>
        <v>0</v>
      </c>
      <c r="H11" s="362">
        <f>INDEX('BAU CATS Output'!$A$1:$AB$28,MATCH($C11,'BAU CATS Output'!$A$1:$A$28,0),MATCH(H$2,'BAU CATS Output'!$A$1:$AB$1,0))</f>
        <v>0.54649999999999999</v>
      </c>
      <c r="I11" s="362">
        <f>INDEX('BAU CATS Output'!$A$1:$AB$28,MATCH($C11,'BAU CATS Output'!$A$1:$A$28,0),MATCH(I$2,'BAU CATS Output'!$A$1:$AB$1,0))</f>
        <v>0</v>
      </c>
      <c r="J11" s="362">
        <f>INDEX('BAU CATS Output'!$A$1:$AB$28,MATCH($C11,'BAU CATS Output'!$A$1:$A$28,0),MATCH(J$2,'BAU CATS Output'!$A$1:$AB$1,0))</f>
        <v>0</v>
      </c>
      <c r="K11" s="362">
        <f>INDEX('BAU CATS Output'!$A$1:$AB$28,MATCH($C11,'BAU CATS Output'!$A$1:$A$28,0),MATCH(K$2,'BAU CATS Output'!$A$1:$AB$1,0))</f>
        <v>0</v>
      </c>
      <c r="L11" s="362">
        <f>INDEX('BAU CATS Output'!$A$1:$AB$28,MATCH($C11,'BAU CATS Output'!$A$1:$A$28,0),MATCH(L$2,'BAU CATS Output'!$A$1:$AB$1,0))</f>
        <v>0</v>
      </c>
      <c r="M11" s="362">
        <f>INDEX('BAU CATS Output'!$A$1:$AB$28,MATCH($C11,'BAU CATS Output'!$A$1:$A$28,0),MATCH(M$2,'BAU CATS Output'!$A$1:$AB$1,0))</f>
        <v>0</v>
      </c>
      <c r="N11" s="362">
        <f>INDEX('BAU CATS Output'!$A$1:$AB$28,MATCH($C11,'BAU CATS Output'!$A$1:$A$28,0),MATCH(N$2,'BAU CATS Output'!$A$1:$AB$1,0))</f>
        <v>0</v>
      </c>
      <c r="O11" s="362">
        <f>INDEX('BAU CATS Output'!$A$1:$AB$28,MATCH($C11,'BAU CATS Output'!$A$1:$A$28,0),MATCH(O$2,'BAU CATS Output'!$A$1:$AB$1,0))</f>
        <v>0</v>
      </c>
      <c r="P11" s="362">
        <f>INDEX('BAU CATS Output'!$A$1:$AB$28,MATCH($C11,'BAU CATS Output'!$A$1:$A$28,0),MATCH(P$2,'BAU CATS Output'!$A$1:$AB$1,0))</f>
        <v>0</v>
      </c>
      <c r="Q11" s="362">
        <f>INDEX('BAU CATS Output'!$A$1:$AB$28,MATCH($C11,'BAU CATS Output'!$A$1:$A$28,0),MATCH(Q$2,'BAU CATS Output'!$A$1:$AB$1,0))</f>
        <v>0</v>
      </c>
      <c r="R11" s="362">
        <f>INDEX('BAU CATS Output'!$A$1:$AB$28,MATCH($C11,'BAU CATS Output'!$A$1:$A$28,0),MATCH(R$2,'BAU CATS Output'!$A$1:$AB$1,0))</f>
        <v>0</v>
      </c>
      <c r="S11" s="362">
        <f>INDEX('BAU CATS Output'!$A$1:$AB$28,MATCH($C11,'BAU CATS Output'!$A$1:$A$28,0),MATCH(S$2,'BAU CATS Output'!$A$1:$AB$1,0))</f>
        <v>0</v>
      </c>
      <c r="T11" s="362">
        <f>INDEX('BAU CATS Output'!$A$1:$AB$28,MATCH($C11,'BAU CATS Output'!$A$1:$A$28,0),MATCH(T$2,'BAU CATS Output'!$A$1:$AB$1,0))</f>
        <v>0</v>
      </c>
      <c r="U11" s="362">
        <f>INDEX('BAU CATS Output'!$A$1:$AB$28,MATCH($C11,'BAU CATS Output'!$A$1:$A$28,0),MATCH(U$2,'BAU CATS Output'!$A$1:$AB$1,0))</f>
        <v>0</v>
      </c>
      <c r="V11" s="362">
        <f>INDEX('BAU CATS Output'!$A$1:$AB$28,MATCH($C11,'BAU CATS Output'!$A$1:$A$28,0),MATCH(V$2,'BAU CATS Output'!$A$1:$AB$1,0))</f>
        <v>0</v>
      </c>
      <c r="W11" s="362">
        <f>INDEX('BAU CATS Output'!$A$1:$AB$28,MATCH($C11,'BAU CATS Output'!$A$1:$A$28,0),MATCH(W$2,'BAU CATS Output'!$A$1:$AB$1,0))</f>
        <v>0</v>
      </c>
      <c r="X11" s="362">
        <f>INDEX('BAU CATS Output'!$A$1:$AB$28,MATCH($C11,'BAU CATS Output'!$A$1:$A$28,0),MATCH(X$2,'BAU CATS Output'!$A$1:$AB$1,0))</f>
        <v>0</v>
      </c>
      <c r="Y11" s="362">
        <f>INDEX('BAU CATS Output'!$A$1:$AB$28,MATCH($C11,'BAU CATS Output'!$A$1:$A$28,0),MATCH(Y$2,'BAU CATS Output'!$A$1:$AB$1,0))</f>
        <v>0</v>
      </c>
      <c r="Z11" s="362">
        <f>INDEX('BAU CATS Output'!$A$1:$AB$28,MATCH($C11,'BAU CATS Output'!$A$1:$A$28,0),MATCH(Z$2,'BAU CATS Output'!$A$1:$AB$1,0))</f>
        <v>0</v>
      </c>
      <c r="AA11" s="362">
        <f>INDEX('BAU CATS Output'!$A$1:$AB$28,MATCH($C11,'BAU CATS Output'!$A$1:$A$28,0),MATCH(AA$2,'BAU CATS Output'!$A$1:$AB$1,0))</f>
        <v>0</v>
      </c>
      <c r="AB11" s="362">
        <f>INDEX('BAU CATS Output'!$A$1:$AB$28,MATCH($C11,'BAU CATS Output'!$A$1:$A$28,0),MATCH(AB$2,'BAU CATS Output'!$A$1:$AB$1,0))</f>
        <v>0</v>
      </c>
      <c r="AC11" s="362">
        <f>INDEX('BAU CATS Output'!$A$1:$AB$28,MATCH($C11,'BAU CATS Output'!$A$1:$A$28,0),MATCH(AC$2,'BAU CATS Output'!$A$1:$AB$1,0))</f>
        <v>0</v>
      </c>
    </row>
    <row r="12" spans="2:29">
      <c r="C12" s="68" t="s">
        <v>30</v>
      </c>
      <c r="D12" s="68" t="s">
        <v>22</v>
      </c>
      <c r="E12" s="362">
        <f>INDEX('BAU CATS Output'!$A$1:$AB$28,MATCH($C12,'BAU CATS Output'!$A$1:$A$28,0),MATCH(E$2,'BAU CATS Output'!$A$1:$AB$1,0))</f>
        <v>0</v>
      </c>
      <c r="F12" s="362">
        <f>INDEX('BAU CATS Output'!$A$1:$AB$28,MATCH($C12,'BAU CATS Output'!$A$1:$A$28,0),MATCH(F$2,'BAU CATS Output'!$A$1:$AB$1,0))</f>
        <v>0</v>
      </c>
      <c r="G12" s="362">
        <f>INDEX('BAU CATS Output'!$A$1:$AB$28,MATCH($C12,'BAU CATS Output'!$A$1:$A$28,0),MATCH(G$2,'BAU CATS Output'!$A$1:$AB$1,0))</f>
        <v>0</v>
      </c>
      <c r="H12" s="362">
        <f>INDEX('BAU CATS Output'!$A$1:$AB$28,MATCH($C12,'BAU CATS Output'!$A$1:$A$28,0),MATCH(H$2,'BAU CATS Output'!$A$1:$AB$1,0))</f>
        <v>0</v>
      </c>
      <c r="I12" s="362">
        <f>INDEX('BAU CATS Output'!$A$1:$AB$28,MATCH($C12,'BAU CATS Output'!$A$1:$A$28,0),MATCH(I$2,'BAU CATS Output'!$A$1:$AB$1,0))</f>
        <v>0</v>
      </c>
      <c r="J12" s="362">
        <f>INDEX('BAU CATS Output'!$A$1:$AB$28,MATCH($C12,'BAU CATS Output'!$A$1:$A$28,0),MATCH(J$2,'BAU CATS Output'!$A$1:$AB$1,0))</f>
        <v>0</v>
      </c>
      <c r="K12" s="362">
        <f>INDEX('BAU CATS Output'!$A$1:$AB$28,MATCH($C12,'BAU CATS Output'!$A$1:$A$28,0),MATCH(K$2,'BAU CATS Output'!$A$1:$AB$1,0))</f>
        <v>0</v>
      </c>
      <c r="L12" s="362">
        <f>INDEX('BAU CATS Output'!$A$1:$AB$28,MATCH($C12,'BAU CATS Output'!$A$1:$A$28,0),MATCH(L$2,'BAU CATS Output'!$A$1:$AB$1,0))</f>
        <v>0</v>
      </c>
      <c r="M12" s="362">
        <f>INDEX('BAU CATS Output'!$A$1:$AB$28,MATCH($C12,'BAU CATS Output'!$A$1:$A$28,0),MATCH(M$2,'BAU CATS Output'!$A$1:$AB$1,0))</f>
        <v>0</v>
      </c>
      <c r="N12" s="362">
        <f>INDEX('BAU CATS Output'!$A$1:$AB$28,MATCH($C12,'BAU CATS Output'!$A$1:$A$28,0),MATCH(N$2,'BAU CATS Output'!$A$1:$AB$1,0))</f>
        <v>0</v>
      </c>
      <c r="O12" s="362">
        <f>INDEX('BAU CATS Output'!$A$1:$AB$28,MATCH($C12,'BAU CATS Output'!$A$1:$A$28,0),MATCH(O$2,'BAU CATS Output'!$A$1:$AB$1,0))</f>
        <v>0</v>
      </c>
      <c r="P12" s="362">
        <f>INDEX('BAU CATS Output'!$A$1:$AB$28,MATCH($C12,'BAU CATS Output'!$A$1:$A$28,0),MATCH(P$2,'BAU CATS Output'!$A$1:$AB$1,0))</f>
        <v>0</v>
      </c>
      <c r="Q12" s="362">
        <f>INDEX('BAU CATS Output'!$A$1:$AB$28,MATCH($C12,'BAU CATS Output'!$A$1:$A$28,0),MATCH(Q$2,'BAU CATS Output'!$A$1:$AB$1,0))</f>
        <v>0</v>
      </c>
      <c r="R12" s="362">
        <f>INDEX('BAU CATS Output'!$A$1:$AB$28,MATCH($C12,'BAU CATS Output'!$A$1:$A$28,0),MATCH(R$2,'BAU CATS Output'!$A$1:$AB$1,0))</f>
        <v>0</v>
      </c>
      <c r="S12" s="362">
        <f>INDEX('BAU CATS Output'!$A$1:$AB$28,MATCH($C12,'BAU CATS Output'!$A$1:$A$28,0),MATCH(S$2,'BAU CATS Output'!$A$1:$AB$1,0))</f>
        <v>0</v>
      </c>
      <c r="T12" s="362">
        <f>INDEX('BAU CATS Output'!$A$1:$AB$28,MATCH($C12,'BAU CATS Output'!$A$1:$A$28,0),MATCH(T$2,'BAU CATS Output'!$A$1:$AB$1,0))</f>
        <v>0</v>
      </c>
      <c r="U12" s="362">
        <f>INDEX('BAU CATS Output'!$A$1:$AB$28,MATCH($C12,'BAU CATS Output'!$A$1:$A$28,0),MATCH(U$2,'BAU CATS Output'!$A$1:$AB$1,0))</f>
        <v>0</v>
      </c>
      <c r="V12" s="362">
        <f>INDEX('BAU CATS Output'!$A$1:$AB$28,MATCH($C12,'BAU CATS Output'!$A$1:$A$28,0),MATCH(V$2,'BAU CATS Output'!$A$1:$AB$1,0))</f>
        <v>0</v>
      </c>
      <c r="W12" s="362">
        <f>INDEX('BAU CATS Output'!$A$1:$AB$28,MATCH($C12,'BAU CATS Output'!$A$1:$A$28,0),MATCH(W$2,'BAU CATS Output'!$A$1:$AB$1,0))</f>
        <v>0</v>
      </c>
      <c r="X12" s="362">
        <f>INDEX('BAU CATS Output'!$A$1:$AB$28,MATCH($C12,'BAU CATS Output'!$A$1:$A$28,0),MATCH(X$2,'BAU CATS Output'!$A$1:$AB$1,0))</f>
        <v>0</v>
      </c>
      <c r="Y12" s="362">
        <f>INDEX('BAU CATS Output'!$A$1:$AB$28,MATCH($C12,'BAU CATS Output'!$A$1:$A$28,0),MATCH(Y$2,'BAU CATS Output'!$A$1:$AB$1,0))</f>
        <v>0</v>
      </c>
      <c r="Z12" s="362">
        <f>INDEX('BAU CATS Output'!$A$1:$AB$28,MATCH($C12,'BAU CATS Output'!$A$1:$A$28,0),MATCH(Z$2,'BAU CATS Output'!$A$1:$AB$1,0))</f>
        <v>0</v>
      </c>
      <c r="AA12" s="362">
        <f>INDEX('BAU CATS Output'!$A$1:$AB$28,MATCH($C12,'BAU CATS Output'!$A$1:$A$28,0),MATCH(AA$2,'BAU CATS Output'!$A$1:$AB$1,0))</f>
        <v>0</v>
      </c>
      <c r="AB12" s="362">
        <f>INDEX('BAU CATS Output'!$A$1:$AB$28,MATCH($C12,'BAU CATS Output'!$A$1:$A$28,0),MATCH(AB$2,'BAU CATS Output'!$A$1:$AB$1,0))</f>
        <v>0</v>
      </c>
      <c r="AC12" s="362">
        <f>INDEX('BAU CATS Output'!$A$1:$AB$28,MATCH($C12,'BAU CATS Output'!$A$1:$A$28,0),MATCH(AC$2,'BAU CATS Output'!$A$1:$AB$1,0))</f>
        <v>0</v>
      </c>
    </row>
    <row r="13" spans="2:29">
      <c r="C13" s="68" t="s">
        <v>31</v>
      </c>
      <c r="D13" s="68" t="s">
        <v>22</v>
      </c>
      <c r="E13" s="362">
        <f>INDEX('BAU CATS Output'!$A$1:$AB$28,MATCH($C13,'BAU CATS Output'!$A$1:$A$28,0),MATCH(E$2,'BAU CATS Output'!$A$1:$AB$1,0))</f>
        <v>1.0825233750000001</v>
      </c>
      <c r="F13" s="362">
        <f>INDEX('BAU CATS Output'!$A$1:$AB$28,MATCH($C13,'BAU CATS Output'!$A$1:$A$28,0),MATCH(F$2,'BAU CATS Output'!$A$1:$AB$1,0))</f>
        <v>1.2335523333333329</v>
      </c>
      <c r="G13" s="362">
        <f>INDEX('BAU CATS Output'!$A$1:$AB$28,MATCH($C13,'BAU CATS Output'!$A$1:$A$28,0),MATCH(G$2,'BAU CATS Output'!$A$1:$AB$1,0))</f>
        <v>1.543232158333333</v>
      </c>
      <c r="H13" s="362">
        <f>INDEX('BAU CATS Output'!$A$1:$AB$28,MATCH($C13,'BAU CATS Output'!$A$1:$A$28,0),MATCH(H$2,'BAU CATS Output'!$A$1:$AB$1,0))</f>
        <v>1.4590063</v>
      </c>
      <c r="I13" s="362">
        <f>INDEX('BAU CATS Output'!$A$1:$AB$28,MATCH($C13,'BAU CATS Output'!$A$1:$A$28,0),MATCH(I$2,'BAU CATS Output'!$A$1:$AB$1,0))</f>
        <v>3.863752158333333</v>
      </c>
      <c r="J13" s="362">
        <f>INDEX('BAU CATS Output'!$A$1:$AB$28,MATCH($C13,'BAU CATS Output'!$A$1:$A$28,0),MATCH(J$2,'BAU CATS Output'!$A$1:$AB$1,0))</f>
        <v>6.839509708333332</v>
      </c>
      <c r="K13" s="362">
        <f>INDEX('BAU CATS Output'!$A$1:$AB$28,MATCH($C13,'BAU CATS Output'!$A$1:$A$28,0),MATCH(K$2,'BAU CATS Output'!$A$1:$AB$1,0))</f>
        <v>10.851397933333329</v>
      </c>
      <c r="L13" s="362">
        <f>INDEX('BAU CATS Output'!$A$1:$AB$28,MATCH($C13,'BAU CATS Output'!$A$1:$A$28,0),MATCH(L$2,'BAU CATS Output'!$A$1:$AB$1,0))</f>
        <v>15.86534685833333</v>
      </c>
      <c r="M13" s="362">
        <f>INDEX('BAU CATS Output'!$A$1:$AB$28,MATCH($C13,'BAU CATS Output'!$A$1:$A$28,0),MATCH(M$2,'BAU CATS Output'!$A$1:$AB$1,0))</f>
        <v>21.928768191666659</v>
      </c>
      <c r="N13" s="362">
        <f>INDEX('BAU CATS Output'!$A$1:$AB$28,MATCH($C13,'BAU CATS Output'!$A$1:$A$28,0),MATCH(N$2,'BAU CATS Output'!$A$1:$AB$1,0))</f>
        <v>28.145119391666661</v>
      </c>
      <c r="O13" s="362">
        <f>INDEX('BAU CATS Output'!$A$1:$AB$28,MATCH($C13,'BAU CATS Output'!$A$1:$A$28,0),MATCH(O$2,'BAU CATS Output'!$A$1:$AB$1,0))</f>
        <v>34.5995828</v>
      </c>
      <c r="P13" s="362">
        <f>INDEX('BAU CATS Output'!$A$1:$AB$28,MATCH($C13,'BAU CATS Output'!$A$1:$A$28,0),MATCH(P$2,'BAU CATS Output'!$A$1:$AB$1,0))</f>
        <v>41.314089950000003</v>
      </c>
      <c r="Q13" s="362">
        <f>INDEX('BAU CATS Output'!$A$1:$AB$28,MATCH($C13,'BAU CATS Output'!$A$1:$A$28,0),MATCH(Q$2,'BAU CATS Output'!$A$1:$AB$1,0))</f>
        <v>48.226662391666657</v>
      </c>
      <c r="R13" s="362">
        <f>INDEX('BAU CATS Output'!$A$1:$AB$28,MATCH($C13,'BAU CATS Output'!$A$1:$A$28,0),MATCH(R$2,'BAU CATS Output'!$A$1:$AB$1,0))</f>
        <v>55.392127308333343</v>
      </c>
      <c r="S13" s="362">
        <f>INDEX('BAU CATS Output'!$A$1:$AB$28,MATCH($C13,'BAU CATS Output'!$A$1:$A$28,0),MATCH(S$2,'BAU CATS Output'!$A$1:$AB$1,0))</f>
        <v>52.194153926833408</v>
      </c>
      <c r="T13" s="362">
        <f>INDEX('BAU CATS Output'!$A$1:$AB$28,MATCH($C13,'BAU CATS Output'!$A$1:$A$28,0),MATCH(T$2,'BAU CATS Output'!$A$1:$AB$1,0))</f>
        <v>32.848628783166738</v>
      </c>
      <c r="U13" s="362">
        <f>INDEX('BAU CATS Output'!$A$1:$AB$28,MATCH($C13,'BAU CATS Output'!$A$1:$A$28,0),MATCH(U$2,'BAU CATS Output'!$A$1:$AB$1,0))</f>
        <v>12.78333590583337</v>
      </c>
      <c r="V13" s="362">
        <f>INDEX('BAU CATS Output'!$A$1:$AB$28,MATCH($C13,'BAU CATS Output'!$A$1:$A$28,0),MATCH(V$2,'BAU CATS Output'!$A$1:$AB$1,0))</f>
        <v>0</v>
      </c>
      <c r="W13" s="362">
        <f>INDEX('BAU CATS Output'!$A$1:$AB$28,MATCH($C13,'BAU CATS Output'!$A$1:$A$28,0),MATCH(W$2,'BAU CATS Output'!$A$1:$AB$1,0))</f>
        <v>0</v>
      </c>
      <c r="X13" s="362">
        <f>INDEX('BAU CATS Output'!$A$1:$AB$28,MATCH($C13,'BAU CATS Output'!$A$1:$A$28,0),MATCH(X$2,'BAU CATS Output'!$A$1:$AB$1,0))</f>
        <v>0</v>
      </c>
      <c r="Y13" s="362">
        <f>INDEX('BAU CATS Output'!$A$1:$AB$28,MATCH($C13,'BAU CATS Output'!$A$1:$A$28,0),MATCH(Y$2,'BAU CATS Output'!$A$1:$AB$1,0))</f>
        <v>0</v>
      </c>
      <c r="Z13" s="362">
        <f>INDEX('BAU CATS Output'!$A$1:$AB$28,MATCH($C13,'BAU CATS Output'!$A$1:$A$28,0),MATCH(Z$2,'BAU CATS Output'!$A$1:$AB$1,0))</f>
        <v>0</v>
      </c>
      <c r="AA13" s="362">
        <f>INDEX('BAU CATS Output'!$A$1:$AB$28,MATCH($C13,'BAU CATS Output'!$A$1:$A$28,0),MATCH(AA$2,'BAU CATS Output'!$A$1:$AB$1,0))</f>
        <v>0</v>
      </c>
      <c r="AB13" s="362">
        <f>INDEX('BAU CATS Output'!$A$1:$AB$28,MATCH($C13,'BAU CATS Output'!$A$1:$A$28,0),MATCH(AB$2,'BAU CATS Output'!$A$1:$AB$1,0))</f>
        <v>0</v>
      </c>
      <c r="AC13" s="362">
        <f>INDEX('BAU CATS Output'!$A$1:$AB$28,MATCH($C13,'BAU CATS Output'!$A$1:$A$28,0),MATCH(AC$2,'BAU CATS Output'!$A$1:$AB$1,0))</f>
        <v>0</v>
      </c>
    </row>
    <row r="14" spans="2:29">
      <c r="C14" s="68" t="s">
        <v>104</v>
      </c>
      <c r="D14" s="68" t="s">
        <v>7</v>
      </c>
      <c r="E14" s="425">
        <v>0</v>
      </c>
      <c r="F14" s="425">
        <v>0</v>
      </c>
      <c r="G14" s="425">
        <v>0</v>
      </c>
      <c r="H14" s="425">
        <v>0</v>
      </c>
      <c r="I14" s="425">
        <v>0</v>
      </c>
      <c r="J14" s="425">
        <v>0</v>
      </c>
      <c r="K14" s="425">
        <v>0</v>
      </c>
      <c r="L14" s="425">
        <v>0</v>
      </c>
      <c r="M14" s="425">
        <v>0</v>
      </c>
      <c r="N14" s="425">
        <v>0</v>
      </c>
      <c r="O14" s="425">
        <v>0</v>
      </c>
      <c r="P14" s="425">
        <v>0</v>
      </c>
      <c r="Q14" s="425">
        <v>0</v>
      </c>
      <c r="R14" s="425">
        <v>0</v>
      </c>
      <c r="S14" s="425">
        <v>0</v>
      </c>
      <c r="T14" s="425">
        <v>0</v>
      </c>
      <c r="U14" s="425">
        <v>0</v>
      </c>
      <c r="V14" s="425">
        <v>0</v>
      </c>
      <c r="W14" s="425">
        <v>0</v>
      </c>
      <c r="X14" s="425">
        <v>0</v>
      </c>
      <c r="Y14" s="425">
        <v>0</v>
      </c>
      <c r="Z14" s="425">
        <v>0</v>
      </c>
      <c r="AA14" s="425">
        <v>0</v>
      </c>
      <c r="AB14" s="425">
        <v>0</v>
      </c>
      <c r="AC14" s="425">
        <v>0</v>
      </c>
    </row>
    <row r="15" spans="2:29">
      <c r="C15" s="10" t="s">
        <v>105</v>
      </c>
      <c r="D15" s="68" t="s">
        <v>7</v>
      </c>
      <c r="E15" s="414">
        <f>SUM(E8,E5)</f>
        <v>1487.7997572926415</v>
      </c>
      <c r="F15" s="414">
        <f t="shared" ref="F15:AC15" si="1">SUM(F8,F5)</f>
        <v>1497.3037574394307</v>
      </c>
      <c r="G15" s="414">
        <f t="shared" si="1"/>
        <v>1507.8958031429756</v>
      </c>
      <c r="H15" s="414">
        <f t="shared" si="1"/>
        <v>1457.8043949991113</v>
      </c>
      <c r="I15" s="414">
        <f t="shared" si="1"/>
        <v>1417.8761681661833</v>
      </c>
      <c r="J15" s="414">
        <f t="shared" si="1"/>
        <v>1370.4785488970874</v>
      </c>
      <c r="K15" s="414">
        <f t="shared" si="1"/>
        <v>1320.9501163080454</v>
      </c>
      <c r="L15" s="414">
        <f t="shared" si="1"/>
        <v>1269.3803851961425</v>
      </c>
      <c r="M15" s="414">
        <f t="shared" si="1"/>
        <v>1215.4308013403804</v>
      </c>
      <c r="N15" s="414">
        <f t="shared" si="1"/>
        <v>1158.9893987972223</v>
      </c>
      <c r="O15" s="414">
        <f t="shared" si="1"/>
        <v>1100.1007449150093</v>
      </c>
      <c r="P15" s="414">
        <f t="shared" si="1"/>
        <v>1037.9298988341454</v>
      </c>
      <c r="Q15" s="414">
        <f t="shared" si="1"/>
        <v>974.00482325066355</v>
      </c>
      <c r="R15" s="414">
        <f t="shared" si="1"/>
        <v>909.0839538076408</v>
      </c>
      <c r="S15" s="414">
        <f t="shared" si="1"/>
        <v>846.06014869066382</v>
      </c>
      <c r="T15" s="414">
        <f t="shared" si="1"/>
        <v>785.39747387673663</v>
      </c>
      <c r="U15" s="414">
        <f t="shared" si="1"/>
        <v>727.65926853087967</v>
      </c>
      <c r="V15" s="414">
        <f t="shared" si="1"/>
        <v>673.19690255797832</v>
      </c>
      <c r="W15" s="414">
        <f t="shared" si="1"/>
        <v>621.89396398631834</v>
      </c>
      <c r="X15" s="414">
        <f t="shared" si="1"/>
        <v>573.85957128542759</v>
      </c>
      <c r="Y15" s="414">
        <f t="shared" si="1"/>
        <v>529.23581475317383</v>
      </c>
      <c r="Z15" s="414">
        <f t="shared" si="1"/>
        <v>488.12722149822116</v>
      </c>
      <c r="AA15" s="414">
        <f t="shared" si="1"/>
        <v>450.30456858594039</v>
      </c>
      <c r="AB15" s="414">
        <f t="shared" si="1"/>
        <v>415.8288415256435</v>
      </c>
      <c r="AC15" s="414">
        <f t="shared" si="1"/>
        <v>387.15669742113607</v>
      </c>
    </row>
    <row r="16" spans="2:29">
      <c r="C16" s="10" t="s">
        <v>106</v>
      </c>
      <c r="D16" s="68" t="s">
        <v>107</v>
      </c>
      <c r="E16" s="415">
        <f>E14+E8+E5+E4</f>
        <v>13881.874876016611</v>
      </c>
      <c r="F16" s="415">
        <f t="shared" ref="F16:AC16" si="2">F14+F8+F5+F4</f>
        <v>13575.856910004581</v>
      </c>
      <c r="G16" s="415">
        <f t="shared" si="2"/>
        <v>13120.284123822436</v>
      </c>
      <c r="H16" s="415">
        <f t="shared" si="2"/>
        <v>12730.686564811062</v>
      </c>
      <c r="I16" s="415">
        <f t="shared" si="2"/>
        <v>12331.226418285603</v>
      </c>
      <c r="J16" s="415">
        <f t="shared" si="2"/>
        <v>11857.039071639476</v>
      </c>
      <c r="K16" s="415">
        <f t="shared" si="2"/>
        <v>11361.534099130185</v>
      </c>
      <c r="L16" s="415">
        <f t="shared" si="2"/>
        <v>10845.607047512398</v>
      </c>
      <c r="M16" s="415">
        <f t="shared" si="2"/>
        <v>10305.870866334486</v>
      </c>
      <c r="N16" s="415">
        <f t="shared" si="2"/>
        <v>9741.2053973585735</v>
      </c>
      <c r="O16" s="415">
        <f t="shared" si="2"/>
        <v>9152.0565126133079</v>
      </c>
      <c r="P16" s="415">
        <f t="shared" si="2"/>
        <v>8530.0710838841642</v>
      </c>
      <c r="Q16" s="415">
        <f t="shared" si="2"/>
        <v>7890.5355451266614</v>
      </c>
      <c r="R16" s="415">
        <f t="shared" si="2"/>
        <v>7241.037631563343</v>
      </c>
      <c r="S16" s="415">
        <f t="shared" si="2"/>
        <v>6610.5188125844479</v>
      </c>
      <c r="T16" s="415">
        <f t="shared" si="2"/>
        <v>6003.6218153500658</v>
      </c>
      <c r="U16" s="415">
        <f t="shared" si="2"/>
        <v>5425.9825411573993</v>
      </c>
      <c r="V16" s="415">
        <f t="shared" si="2"/>
        <v>4881.1162543901482</v>
      </c>
      <c r="W16" s="415">
        <f t="shared" si="2"/>
        <v>4367.8583167218258</v>
      </c>
      <c r="X16" s="415">
        <f t="shared" si="2"/>
        <v>3887.3003989648787</v>
      </c>
      <c r="Y16" s="415">
        <f t="shared" si="2"/>
        <v>3440.8640371029496</v>
      </c>
      <c r="Z16" s="415">
        <f t="shared" si="2"/>
        <v>3029.5949678855714</v>
      </c>
      <c r="AA16" s="415">
        <f t="shared" si="2"/>
        <v>2651.1999407900721</v>
      </c>
      <c r="AB16" s="415">
        <f t="shared" si="2"/>
        <v>2306.2890825968784</v>
      </c>
      <c r="AC16" s="415">
        <f t="shared" si="2"/>
        <v>2019.4399086250442</v>
      </c>
    </row>
    <row r="17" spans="1:29">
      <c r="C17" s="68" t="s">
        <v>9</v>
      </c>
      <c r="D17" s="68" t="s">
        <v>7</v>
      </c>
      <c r="E17" s="362">
        <f>INDEX('BAU CATS Output'!$A$1:$AB$28,MATCH($C17,'BAU CATS Output'!$A$1:$A$28,0),MATCH(E$2,'BAU CATS Output'!$A$1:$AB$1,0))</f>
        <v>281.16396700229922</v>
      </c>
      <c r="F17" s="362">
        <f>INDEX('BAU CATS Output'!$A$1:$AB$28,MATCH($C17,'BAU CATS Output'!$A$1:$A$28,0),MATCH(F$2,'BAU CATS Output'!$A$1:$AB$1,0))</f>
        <v>281.16396700229922</v>
      </c>
      <c r="G17" s="362">
        <f>INDEX('BAU CATS Output'!$A$1:$AB$28,MATCH($C17,'BAU CATS Output'!$A$1:$A$28,0),MATCH(G$2,'BAU CATS Output'!$A$1:$AB$1,0))</f>
        <v>281.16396700229922</v>
      </c>
      <c r="H17" s="362">
        <f>INDEX('BAU CATS Output'!$A$1:$AB$28,MATCH($C17,'BAU CATS Output'!$A$1:$A$28,0),MATCH(H$2,'BAU CATS Output'!$A$1:$AB$1,0))</f>
        <v>281.16396700229922</v>
      </c>
      <c r="I17" s="362">
        <f>INDEX('BAU CATS Output'!$A$1:$AB$28,MATCH($C17,'BAU CATS Output'!$A$1:$A$28,0),MATCH(I$2,'BAU CATS Output'!$A$1:$AB$1,0))</f>
        <v>281.16396700229922</v>
      </c>
      <c r="J17" s="362">
        <f>INDEX('BAU CATS Output'!$A$1:$AB$28,MATCH($C17,'BAU CATS Output'!$A$1:$A$28,0),MATCH(J$2,'BAU CATS Output'!$A$1:$AB$1,0))</f>
        <v>281.16396700229922</v>
      </c>
      <c r="K17" s="362">
        <f>INDEX('BAU CATS Output'!$A$1:$AB$28,MATCH($C17,'BAU CATS Output'!$A$1:$A$28,0),MATCH(K$2,'BAU CATS Output'!$A$1:$AB$1,0))</f>
        <v>281.16396700229922</v>
      </c>
      <c r="L17" s="362">
        <f>INDEX('BAU CATS Output'!$A$1:$AB$28,MATCH($C17,'BAU CATS Output'!$A$1:$A$28,0),MATCH(L$2,'BAU CATS Output'!$A$1:$AB$1,0))</f>
        <v>281.16396700229922</v>
      </c>
      <c r="M17" s="362">
        <f>INDEX('BAU CATS Output'!$A$1:$AB$28,MATCH($C17,'BAU CATS Output'!$A$1:$A$28,0),MATCH(M$2,'BAU CATS Output'!$A$1:$AB$1,0))</f>
        <v>281.16396700229927</v>
      </c>
      <c r="N17" s="362">
        <f>INDEX('BAU CATS Output'!$A$1:$AB$28,MATCH($C17,'BAU CATS Output'!$A$1:$A$28,0),MATCH(N$2,'BAU CATS Output'!$A$1:$AB$1,0))</f>
        <v>281.16396700229927</v>
      </c>
      <c r="O17" s="362">
        <f>INDEX('BAU CATS Output'!$A$1:$AB$28,MATCH($C17,'BAU CATS Output'!$A$1:$A$28,0),MATCH(O$2,'BAU CATS Output'!$A$1:$AB$1,0))</f>
        <v>281.16396700229927</v>
      </c>
      <c r="P17" s="362">
        <f>INDEX('BAU CATS Output'!$A$1:$AB$28,MATCH($C17,'BAU CATS Output'!$A$1:$A$28,0),MATCH(P$2,'BAU CATS Output'!$A$1:$AB$1,0))</f>
        <v>281.16396700229927</v>
      </c>
      <c r="Q17" s="362">
        <f>INDEX('BAU CATS Output'!$A$1:$AB$28,MATCH($C17,'BAU CATS Output'!$A$1:$A$28,0),MATCH(Q$2,'BAU CATS Output'!$A$1:$AB$1,0))</f>
        <v>281.16396700229927</v>
      </c>
      <c r="R17" s="362">
        <f>INDEX('BAU CATS Output'!$A$1:$AB$28,MATCH($C17,'BAU CATS Output'!$A$1:$A$28,0),MATCH(R$2,'BAU CATS Output'!$A$1:$AB$1,0))</f>
        <v>281.16396700229927</v>
      </c>
      <c r="S17" s="362">
        <f>INDEX('BAU CATS Output'!$A$1:$AB$28,MATCH($C17,'BAU CATS Output'!$A$1:$A$28,0),MATCH(S$2,'BAU CATS Output'!$A$1:$AB$1,0))</f>
        <v>281.16396700229927</v>
      </c>
      <c r="T17" s="362">
        <f>INDEX('BAU CATS Output'!$A$1:$AB$28,MATCH($C17,'BAU CATS Output'!$A$1:$A$28,0),MATCH(T$2,'BAU CATS Output'!$A$1:$AB$1,0))</f>
        <v>281.16396700229927</v>
      </c>
      <c r="U17" s="362">
        <f>INDEX('BAU CATS Output'!$A$1:$AB$28,MATCH($C17,'BAU CATS Output'!$A$1:$A$28,0),MATCH(U$2,'BAU CATS Output'!$A$1:$AB$1,0))</f>
        <v>281.16396700229927</v>
      </c>
      <c r="V17" s="362">
        <f>INDEX('BAU CATS Output'!$A$1:$AB$28,MATCH($C17,'BAU CATS Output'!$A$1:$A$28,0),MATCH(V$2,'BAU CATS Output'!$A$1:$AB$1,0))</f>
        <v>281.16396700229927</v>
      </c>
      <c r="W17" s="362">
        <f>INDEX('BAU CATS Output'!$A$1:$AB$28,MATCH($C17,'BAU CATS Output'!$A$1:$A$28,0),MATCH(W$2,'BAU CATS Output'!$A$1:$AB$1,0))</f>
        <v>281.16396700229927</v>
      </c>
      <c r="X17" s="362">
        <f>INDEX('BAU CATS Output'!$A$1:$AB$28,MATCH($C17,'BAU CATS Output'!$A$1:$A$28,0),MATCH(X$2,'BAU CATS Output'!$A$1:$AB$1,0))</f>
        <v>281.16396700229927</v>
      </c>
      <c r="Y17" s="362">
        <f>INDEX('BAU CATS Output'!$A$1:$AB$28,MATCH($C17,'BAU CATS Output'!$A$1:$A$28,0),MATCH(Y$2,'BAU CATS Output'!$A$1:$AB$1,0))</f>
        <v>281.16396700229927</v>
      </c>
      <c r="Z17" s="362">
        <f>INDEX('BAU CATS Output'!$A$1:$AB$28,MATCH($C17,'BAU CATS Output'!$A$1:$A$28,0),MATCH(Z$2,'BAU CATS Output'!$A$1:$AB$1,0))</f>
        <v>281.16396700229927</v>
      </c>
      <c r="AA17" s="362">
        <f>INDEX('BAU CATS Output'!$A$1:$AB$28,MATCH($C17,'BAU CATS Output'!$A$1:$A$28,0),MATCH(AA$2,'BAU CATS Output'!$A$1:$AB$1,0))</f>
        <v>281.16396700229927</v>
      </c>
      <c r="AB17" s="362">
        <f>INDEX('BAU CATS Output'!$A$1:$AB$28,MATCH($C17,'BAU CATS Output'!$A$1:$A$28,0),MATCH(AB$2,'BAU CATS Output'!$A$1:$AB$1,0))</f>
        <v>281.16396700229927</v>
      </c>
      <c r="AC17" s="362">
        <f>INDEX('BAU CATS Output'!$A$1:$AB$28,MATCH($C17,'BAU CATS Output'!$A$1:$A$28,0),MATCH(AC$2,'BAU CATS Output'!$A$1:$AB$1,0))</f>
        <v>281.16396700229927</v>
      </c>
    </row>
    <row r="18" spans="1:29">
      <c r="C18" s="68" t="s">
        <v>35</v>
      </c>
      <c r="D18" s="68" t="s">
        <v>7</v>
      </c>
      <c r="E18" s="362">
        <f>INDEX('BAU CATS Output'!$A$1:$AB$29,MATCH($C18,'BAU CATS Output'!$A$1:$A$29,0),MATCH(E$2,'BAU CATS Output'!$A$1:$AB$1,0))</f>
        <v>2041.163086138172</v>
      </c>
      <c r="F18" s="362">
        <f>INDEX('BAU CATS Output'!$A$1:$AB$29,MATCH($C18,'BAU CATS Output'!$A$1:$A$29,0),MATCH(F$2,'BAU CATS Output'!$A$1:$AB$1,0))</f>
        <v>1503.9860612924831</v>
      </c>
      <c r="G18" s="362">
        <f>INDEX('BAU CATS Output'!$A$1:$AB$29,MATCH($C18,'BAU CATS Output'!$A$1:$A$29,0),MATCH(G$2,'BAU CATS Output'!$A$1:$AB$1,0))</f>
        <v>1210.8732416573689</v>
      </c>
      <c r="H18" s="362">
        <f>INDEX('BAU CATS Output'!$A$1:$AB$29,MATCH($C18,'BAU CATS Output'!$A$1:$A$29,0),MATCH(H$2,'BAU CATS Output'!$A$1:$AB$1,0))</f>
        <v>1517.3423192247089</v>
      </c>
      <c r="I18" s="362">
        <f>INDEX('BAU CATS Output'!$A$1:$AB$29,MATCH($C18,'BAU CATS Output'!$A$1:$A$29,0),MATCH(I$2,'BAU CATS Output'!$A$1:$AB$1,0))</f>
        <v>1683.264585024426</v>
      </c>
      <c r="J18" s="362">
        <f>INDEX('BAU CATS Output'!$A$1:$AB$29,MATCH($C18,'BAU CATS Output'!$A$1:$A$29,0),MATCH(J$2,'BAU CATS Output'!$A$1:$AB$1,0))</f>
        <v>1748.430382259889</v>
      </c>
      <c r="K18" s="362">
        <f>INDEX('BAU CATS Output'!$A$1:$AB$29,MATCH($C18,'BAU CATS Output'!$A$1:$A$29,0),MATCH(K$2,'BAU CATS Output'!$A$1:$AB$1,0))</f>
        <v>1767.480777986457</v>
      </c>
      <c r="L18" s="362">
        <f>INDEX('BAU CATS Output'!$A$1:$AB$29,MATCH($C18,'BAU CATS Output'!$A$1:$A$29,0),MATCH(L$2,'BAU CATS Output'!$A$1:$AB$1,0))</f>
        <v>1740.3302553049</v>
      </c>
      <c r="M18" s="362">
        <f>INDEX('BAU CATS Output'!$A$1:$AB$29,MATCH($C18,'BAU CATS Output'!$A$1:$A$29,0),MATCH(M$2,'BAU CATS Output'!$A$1:$AB$1,0))</f>
        <v>1680.529463452493</v>
      </c>
      <c r="N18" s="362">
        <f>INDEX('BAU CATS Output'!$A$1:$AB$29,MATCH($C18,'BAU CATS Output'!$A$1:$A$29,0),MATCH(N$2,'BAU CATS Output'!$A$1:$AB$1,0))</f>
        <v>1619.1515058810189</v>
      </c>
      <c r="O18" s="362">
        <f>INDEX('BAU CATS Output'!$A$1:$AB$29,MATCH($C18,'BAU CATS Output'!$A$1:$A$29,0),MATCH(O$2,'BAU CATS Output'!$A$1:$AB$1,0))</f>
        <v>1558.3930320847701</v>
      </c>
      <c r="P18" s="362">
        <f>INDEX('BAU CATS Output'!$A$1:$AB$29,MATCH($C18,'BAU CATS Output'!$A$1:$A$29,0),MATCH(P$2,'BAU CATS Output'!$A$1:$AB$1,0))</f>
        <v>1507.2738507757119</v>
      </c>
      <c r="Q18" s="362">
        <f>INDEX('BAU CATS Output'!$A$1:$AB$29,MATCH($C18,'BAU CATS Output'!$A$1:$A$29,0),MATCH(Q$2,'BAU CATS Output'!$A$1:$AB$1,0))</f>
        <v>1439.1239087072699</v>
      </c>
      <c r="R18" s="362">
        <f>INDEX('BAU CATS Output'!$A$1:$AB$29,MATCH($C18,'BAU CATS Output'!$A$1:$A$29,0),MATCH(R$2,'BAU CATS Output'!$A$1:$AB$1,0))</f>
        <v>1354.4785646156499</v>
      </c>
      <c r="S18" s="362">
        <f>INDEX('BAU CATS Output'!$A$1:$AB$29,MATCH($C18,'BAU CATS Output'!$A$1:$A$29,0),MATCH(S$2,'BAU CATS Output'!$A$1:$AB$1,0))</f>
        <v>1278.605640855704</v>
      </c>
      <c r="T18" s="362">
        <f>INDEX('BAU CATS Output'!$A$1:$AB$29,MATCH($C18,'BAU CATS Output'!$A$1:$A$29,0),MATCH(T$2,'BAU CATS Output'!$A$1:$AB$1,0))</f>
        <v>1201.4720602578011</v>
      </c>
      <c r="U18" s="362">
        <f>INDEX('BAU CATS Output'!$A$1:$AB$29,MATCH($C18,'BAU CATS Output'!$A$1:$A$29,0),MATCH(U$2,'BAU CATS Output'!$A$1:$AB$1,0))</f>
        <v>1122.561879994546</v>
      </c>
      <c r="V18" s="362">
        <f>INDEX('BAU CATS Output'!$A$1:$AB$29,MATCH($C18,'BAU CATS Output'!$A$1:$A$29,0),MATCH(V$2,'BAU CATS Output'!$A$1:$AB$1,0))</f>
        <v>1040.399153527675</v>
      </c>
      <c r="W18" s="362">
        <f>INDEX('BAU CATS Output'!$A$1:$AB$29,MATCH($C18,'BAU CATS Output'!$A$1:$A$29,0),MATCH(W$2,'BAU CATS Output'!$A$1:$AB$1,0))</f>
        <v>995.69035526040386</v>
      </c>
      <c r="X18" s="362">
        <f>INDEX('BAU CATS Output'!$A$1:$AB$29,MATCH($C18,'BAU CATS Output'!$A$1:$A$29,0),MATCH(X$2,'BAU CATS Output'!$A$1:$AB$1,0))</f>
        <v>944.77685155697588</v>
      </c>
      <c r="Y18" s="362">
        <f>INDEX('BAU CATS Output'!$A$1:$AB$29,MATCH($C18,'BAU CATS Output'!$A$1:$A$29,0),MATCH(Y$2,'BAU CATS Output'!$A$1:$AB$1,0))</f>
        <v>886.35292099997389</v>
      </c>
      <c r="Z18" s="362">
        <f>INDEX('BAU CATS Output'!$A$1:$AB$29,MATCH($C18,'BAU CATS Output'!$A$1:$A$29,0),MATCH(Z$2,'BAU CATS Output'!$A$1:$AB$1,0))</f>
        <v>886.1627373233174</v>
      </c>
      <c r="AA18" s="362">
        <f>INDEX('BAU CATS Output'!$A$1:$AB$29,MATCH($C18,'BAU CATS Output'!$A$1:$A$29,0),MATCH(AA$2,'BAU CATS Output'!$A$1:$AB$1,0))</f>
        <v>889.51779840757422</v>
      </c>
      <c r="AB18" s="362">
        <f>INDEX('BAU CATS Output'!$A$1:$AB$29,MATCH($C18,'BAU CATS Output'!$A$1:$A$29,0),MATCH(AB$2,'BAU CATS Output'!$A$1:$AB$1,0))</f>
        <v>898.68851178602335</v>
      </c>
      <c r="AC18" s="362">
        <f>INDEX('BAU CATS Output'!$A$1:$AB$29,MATCH($C18,'BAU CATS Output'!$A$1:$A$29,0),MATCH(AC$2,'BAU CATS Output'!$A$1:$AB$1,0))</f>
        <v>901.88227081777723</v>
      </c>
    </row>
    <row r="19" spans="1:29">
      <c r="C19" s="68" t="s">
        <v>33</v>
      </c>
      <c r="D19" s="68" t="s">
        <v>13</v>
      </c>
      <c r="E19" s="362">
        <f>INDEX('BAU CATS Output'!$A$1:$AB$28,MATCH($C19,'BAU CATS Output'!$A$1:$A$28,0),MATCH(E$2,'BAU CATS Output'!$A$1:$AB$1,0))</f>
        <v>0</v>
      </c>
      <c r="F19" s="362">
        <f>INDEX('BAU CATS Output'!$A$1:$AB$28,MATCH($C19,'BAU CATS Output'!$A$1:$A$28,0),MATCH(F$2,'BAU CATS Output'!$A$1:$AB$1,0))</f>
        <v>0</v>
      </c>
      <c r="G19" s="362">
        <f>INDEX('BAU CATS Output'!$A$1:$AB$28,MATCH($C19,'BAU CATS Output'!$A$1:$A$28,0),MATCH(G$2,'BAU CATS Output'!$A$1:$AB$1,0))</f>
        <v>0</v>
      </c>
      <c r="H19" s="362">
        <f>INDEX('BAU CATS Output'!$A$1:$AB$28,MATCH($C19,'BAU CATS Output'!$A$1:$A$28,0),MATCH(H$2,'BAU CATS Output'!$A$1:$AB$1,0))</f>
        <v>0</v>
      </c>
      <c r="I19" s="362">
        <f>INDEX('BAU CATS Output'!$A$1:$AB$28,MATCH($C19,'BAU CATS Output'!$A$1:$A$28,0),MATCH(I$2,'BAU CATS Output'!$A$1:$AB$1,0))</f>
        <v>0</v>
      </c>
      <c r="J19" s="362">
        <f>INDEX('BAU CATS Output'!$A$1:$AB$28,MATCH($C19,'BAU CATS Output'!$A$1:$A$28,0),MATCH(J$2,'BAU CATS Output'!$A$1:$AB$1,0))</f>
        <v>0</v>
      </c>
      <c r="K19" s="362">
        <f>INDEX('BAU CATS Output'!$A$1:$AB$28,MATCH($C19,'BAU CATS Output'!$A$1:$A$28,0),MATCH(K$2,'BAU CATS Output'!$A$1:$AB$1,0))</f>
        <v>0</v>
      </c>
      <c r="L19" s="362">
        <f>INDEX('BAU CATS Output'!$A$1:$AB$28,MATCH($C19,'BAU CATS Output'!$A$1:$A$28,0),MATCH(L$2,'BAU CATS Output'!$A$1:$AB$1,0))</f>
        <v>0</v>
      </c>
      <c r="M19" s="362">
        <f>INDEX('BAU CATS Output'!$A$1:$AB$28,MATCH($C19,'BAU CATS Output'!$A$1:$A$28,0),MATCH(M$2,'BAU CATS Output'!$A$1:$AB$1,0))</f>
        <v>0</v>
      </c>
      <c r="N19" s="362">
        <f>INDEX('BAU CATS Output'!$A$1:$AB$28,MATCH($C19,'BAU CATS Output'!$A$1:$A$28,0),MATCH(N$2,'BAU CATS Output'!$A$1:$AB$1,0))</f>
        <v>0</v>
      </c>
      <c r="O19" s="362">
        <f>INDEX('BAU CATS Output'!$A$1:$AB$28,MATCH($C19,'BAU CATS Output'!$A$1:$A$28,0),MATCH(O$2,'BAU CATS Output'!$A$1:$AB$1,0))</f>
        <v>0</v>
      </c>
      <c r="P19" s="362">
        <f>INDEX('BAU CATS Output'!$A$1:$AB$28,MATCH($C19,'BAU CATS Output'!$A$1:$A$28,0),MATCH(P$2,'BAU CATS Output'!$A$1:$AB$1,0))</f>
        <v>0</v>
      </c>
      <c r="Q19" s="362">
        <f>INDEX('BAU CATS Output'!$A$1:$AB$28,MATCH($C19,'BAU CATS Output'!$A$1:$A$28,0),MATCH(Q$2,'BAU CATS Output'!$A$1:$AB$1,0))</f>
        <v>0</v>
      </c>
      <c r="R19" s="362">
        <f>INDEX('BAU CATS Output'!$A$1:$AB$28,MATCH($C19,'BAU CATS Output'!$A$1:$A$28,0),MATCH(R$2,'BAU CATS Output'!$A$1:$AB$1,0))</f>
        <v>0</v>
      </c>
      <c r="S19" s="362">
        <f>INDEX('BAU CATS Output'!$A$1:$AB$28,MATCH($C19,'BAU CATS Output'!$A$1:$A$28,0),MATCH(S$2,'BAU CATS Output'!$A$1:$AB$1,0))</f>
        <v>0</v>
      </c>
      <c r="T19" s="362">
        <f>INDEX('BAU CATS Output'!$A$1:$AB$28,MATCH($C19,'BAU CATS Output'!$A$1:$A$28,0),MATCH(T$2,'BAU CATS Output'!$A$1:$AB$1,0))</f>
        <v>0</v>
      </c>
      <c r="U19" s="362">
        <f>INDEX('BAU CATS Output'!$A$1:$AB$28,MATCH($C19,'BAU CATS Output'!$A$1:$A$28,0),MATCH(U$2,'BAU CATS Output'!$A$1:$AB$1,0))</f>
        <v>0</v>
      </c>
      <c r="V19" s="362">
        <f>INDEX('BAU CATS Output'!$A$1:$AB$28,MATCH($C19,'BAU CATS Output'!$A$1:$A$28,0),MATCH(V$2,'BAU CATS Output'!$A$1:$AB$1,0))</f>
        <v>0</v>
      </c>
      <c r="W19" s="362">
        <f>INDEX('BAU CATS Output'!$A$1:$AB$28,MATCH($C19,'BAU CATS Output'!$A$1:$A$28,0),MATCH(W$2,'BAU CATS Output'!$A$1:$AB$1,0))</f>
        <v>0</v>
      </c>
      <c r="X19" s="362">
        <f>INDEX('BAU CATS Output'!$A$1:$AB$28,MATCH($C19,'BAU CATS Output'!$A$1:$A$28,0),MATCH(X$2,'BAU CATS Output'!$A$1:$AB$1,0))</f>
        <v>0</v>
      </c>
      <c r="Y19" s="362">
        <f>INDEX('BAU CATS Output'!$A$1:$AB$28,MATCH($C19,'BAU CATS Output'!$A$1:$A$28,0),MATCH(Y$2,'BAU CATS Output'!$A$1:$AB$1,0))</f>
        <v>0</v>
      </c>
      <c r="Z19" s="362">
        <f>INDEX('BAU CATS Output'!$A$1:$AB$28,MATCH($C19,'BAU CATS Output'!$A$1:$A$28,0),MATCH(Z$2,'BAU CATS Output'!$A$1:$AB$1,0))</f>
        <v>0</v>
      </c>
      <c r="AA19" s="362">
        <f>INDEX('BAU CATS Output'!$A$1:$AB$28,MATCH($C19,'BAU CATS Output'!$A$1:$A$28,0),MATCH(AA$2,'BAU CATS Output'!$A$1:$AB$1,0))</f>
        <v>0</v>
      </c>
      <c r="AB19" s="362">
        <f>INDEX('BAU CATS Output'!$A$1:$AB$28,MATCH($C19,'BAU CATS Output'!$A$1:$A$28,0),MATCH(AB$2,'BAU CATS Output'!$A$1:$AB$1,0))</f>
        <v>0</v>
      </c>
      <c r="AC19" s="362">
        <f>INDEX('BAU CATS Output'!$A$1:$AB$28,MATCH($C19,'BAU CATS Output'!$A$1:$A$28,0),MATCH(AC$2,'BAU CATS Output'!$A$1:$AB$1,0))</f>
        <v>0</v>
      </c>
    </row>
    <row r="20" spans="1:29">
      <c r="C20" s="68" t="s">
        <v>12</v>
      </c>
      <c r="D20" s="68" t="s">
        <v>13</v>
      </c>
      <c r="E20" s="362">
        <f>INDEX('BAU CATS Output'!$A$1:$AB$28,MATCH($C20,'BAU CATS Output'!$A$1:$A$28,0),MATCH(E$2,'BAU CATS Output'!$A$1:$AB$1,0))</f>
        <v>41.411879452666028</v>
      </c>
      <c r="F20" s="362">
        <f>INDEX('BAU CATS Output'!$A$1:$AB$28,MATCH($C20,'BAU CATS Output'!$A$1:$A$28,0),MATCH(F$2,'BAU CATS Output'!$A$1:$AB$1,0))</f>
        <v>24.847127671599619</v>
      </c>
      <c r="G20" s="362">
        <f>INDEX('BAU CATS Output'!$A$1:$AB$28,MATCH($C20,'BAU CATS Output'!$A$1:$A$28,0),MATCH(G$2,'BAU CATS Output'!$A$1:$AB$1,0))</f>
        <v>14.90827660295977</v>
      </c>
      <c r="H20" s="362">
        <f>INDEX('BAU CATS Output'!$A$1:$AB$28,MATCH($C20,'BAU CATS Output'!$A$1:$A$28,0),MATCH(H$2,'BAU CATS Output'!$A$1:$AB$1,0))</f>
        <v>8.9449659617758641</v>
      </c>
      <c r="I20" s="362">
        <f>INDEX('BAU CATS Output'!$A$1:$AB$28,MATCH($C20,'BAU CATS Output'!$A$1:$A$28,0),MATCH(I$2,'BAU CATS Output'!$A$1:$AB$1,0))</f>
        <v>0</v>
      </c>
      <c r="J20" s="362">
        <f>INDEX('BAU CATS Output'!$A$1:$AB$28,MATCH($C20,'BAU CATS Output'!$A$1:$A$28,0),MATCH(J$2,'BAU CATS Output'!$A$1:$AB$1,0))</f>
        <v>0</v>
      </c>
      <c r="K20" s="362">
        <f>INDEX('BAU CATS Output'!$A$1:$AB$28,MATCH($C20,'BAU CATS Output'!$A$1:$A$28,0),MATCH(K$2,'BAU CATS Output'!$A$1:$AB$1,0))</f>
        <v>0</v>
      </c>
      <c r="L20" s="362">
        <f>INDEX('BAU CATS Output'!$A$1:$AB$28,MATCH($C20,'BAU CATS Output'!$A$1:$A$28,0),MATCH(L$2,'BAU CATS Output'!$A$1:$AB$1,0))</f>
        <v>0</v>
      </c>
      <c r="M20" s="362">
        <f>INDEX('BAU CATS Output'!$A$1:$AB$28,MATCH($C20,'BAU CATS Output'!$A$1:$A$28,0),MATCH(M$2,'BAU CATS Output'!$A$1:$AB$1,0))</f>
        <v>0</v>
      </c>
      <c r="N20" s="362">
        <f>INDEX('BAU CATS Output'!$A$1:$AB$28,MATCH($C20,'BAU CATS Output'!$A$1:$A$28,0),MATCH(N$2,'BAU CATS Output'!$A$1:$AB$1,0))</f>
        <v>0</v>
      </c>
      <c r="O20" s="362">
        <f>INDEX('BAU CATS Output'!$A$1:$AB$28,MATCH($C20,'BAU CATS Output'!$A$1:$A$28,0),MATCH(O$2,'BAU CATS Output'!$A$1:$AB$1,0))</f>
        <v>0</v>
      </c>
      <c r="P20" s="362">
        <f>INDEX('BAU CATS Output'!$A$1:$AB$28,MATCH($C20,'BAU CATS Output'!$A$1:$A$28,0),MATCH(P$2,'BAU CATS Output'!$A$1:$AB$1,0))</f>
        <v>0</v>
      </c>
      <c r="Q20" s="362">
        <f>INDEX('BAU CATS Output'!$A$1:$AB$28,MATCH($C20,'BAU CATS Output'!$A$1:$A$28,0),MATCH(Q$2,'BAU CATS Output'!$A$1:$AB$1,0))</f>
        <v>0</v>
      </c>
      <c r="R20" s="362">
        <f>INDEX('BAU CATS Output'!$A$1:$AB$28,MATCH($C20,'BAU CATS Output'!$A$1:$A$28,0),MATCH(R$2,'BAU CATS Output'!$A$1:$AB$1,0))</f>
        <v>0</v>
      </c>
      <c r="S20" s="362">
        <f>INDEX('BAU CATS Output'!$A$1:$AB$28,MATCH($C20,'BAU CATS Output'!$A$1:$A$28,0),MATCH(S$2,'BAU CATS Output'!$A$1:$AB$1,0))</f>
        <v>0</v>
      </c>
      <c r="T20" s="362">
        <f>INDEX('BAU CATS Output'!$A$1:$AB$28,MATCH($C20,'BAU CATS Output'!$A$1:$A$28,0),MATCH(T$2,'BAU CATS Output'!$A$1:$AB$1,0))</f>
        <v>0</v>
      </c>
      <c r="U20" s="362">
        <f>INDEX('BAU CATS Output'!$A$1:$AB$28,MATCH($C20,'BAU CATS Output'!$A$1:$A$28,0),MATCH(U$2,'BAU CATS Output'!$A$1:$AB$1,0))</f>
        <v>0</v>
      </c>
      <c r="V20" s="362">
        <f>INDEX('BAU CATS Output'!$A$1:$AB$28,MATCH($C20,'BAU CATS Output'!$A$1:$A$28,0),MATCH(V$2,'BAU CATS Output'!$A$1:$AB$1,0))</f>
        <v>0</v>
      </c>
      <c r="W20" s="362">
        <f>INDEX('BAU CATS Output'!$A$1:$AB$28,MATCH($C20,'BAU CATS Output'!$A$1:$A$28,0),MATCH(W$2,'BAU CATS Output'!$A$1:$AB$1,0))</f>
        <v>0</v>
      </c>
      <c r="X20" s="362">
        <f>INDEX('BAU CATS Output'!$A$1:$AB$28,MATCH($C20,'BAU CATS Output'!$A$1:$A$28,0),MATCH(X$2,'BAU CATS Output'!$A$1:$AB$1,0))</f>
        <v>0</v>
      </c>
      <c r="Y20" s="362">
        <f>INDEX('BAU CATS Output'!$A$1:$AB$28,MATCH($C20,'BAU CATS Output'!$A$1:$A$28,0),MATCH(Y$2,'BAU CATS Output'!$A$1:$AB$1,0))</f>
        <v>0</v>
      </c>
      <c r="Z20" s="362">
        <f>INDEX('BAU CATS Output'!$A$1:$AB$28,MATCH($C20,'BAU CATS Output'!$A$1:$A$28,0),MATCH(Z$2,'BAU CATS Output'!$A$1:$AB$1,0))</f>
        <v>0</v>
      </c>
      <c r="AA20" s="362">
        <f>INDEX('BAU CATS Output'!$A$1:$AB$28,MATCH($C20,'BAU CATS Output'!$A$1:$A$28,0),MATCH(AA$2,'BAU CATS Output'!$A$1:$AB$1,0))</f>
        <v>0</v>
      </c>
      <c r="AB20" s="362">
        <f>INDEX('BAU CATS Output'!$A$1:$AB$28,MATCH($C20,'BAU CATS Output'!$A$1:$A$28,0),MATCH(AB$2,'BAU CATS Output'!$A$1:$AB$1,0))</f>
        <v>0</v>
      </c>
      <c r="AC20" s="362">
        <f>INDEX('BAU CATS Output'!$A$1:$AB$28,MATCH($C20,'BAU CATS Output'!$A$1:$A$28,0),MATCH(AC$2,'BAU CATS Output'!$A$1:$AB$1,0))</f>
        <v>0</v>
      </c>
    </row>
    <row r="21" spans="1:29">
      <c r="C21" s="68" t="s">
        <v>14</v>
      </c>
      <c r="D21" s="68" t="s">
        <v>103</v>
      </c>
      <c r="E21" s="362">
        <f>INDEX('BAU CATS Output'!$A$1:$AB$28,MATCH($C21,'BAU CATS Output'!$A$1:$A$28,0),MATCH(E$2,'BAU CATS Output'!$A$1:$AB$1,0))</f>
        <v>3.8346666666666671</v>
      </c>
      <c r="F21" s="362">
        <f>INDEX('BAU CATS Output'!$A$1:$AB$28,MATCH($C21,'BAU CATS Output'!$A$1:$A$28,0),MATCH(F$2,'BAU CATS Output'!$A$1:$AB$1,0))</f>
        <v>18.410886111111122</v>
      </c>
      <c r="G21" s="362">
        <f>INDEX('BAU CATS Output'!$A$1:$AB$28,MATCH($C21,'BAU CATS Output'!$A$1:$A$28,0),MATCH(G$2,'BAU CATS Output'!$A$1:$AB$1,0))</f>
        <v>382.22966222222232</v>
      </c>
      <c r="H21" s="362">
        <f>INDEX('BAU CATS Output'!$A$1:$AB$28,MATCH($C21,'BAU CATS Output'!$A$1:$A$28,0),MATCH(H$2,'BAU CATS Output'!$A$1:$AB$1,0))</f>
        <v>697.45028083333341</v>
      </c>
      <c r="I21" s="362">
        <f>INDEX('BAU CATS Output'!$A$1:$AB$28,MATCH($C21,'BAU CATS Output'!$A$1:$A$28,0),MATCH(I$2,'BAU CATS Output'!$A$1:$AB$1,0))</f>
        <v>1206.3094530555561</v>
      </c>
      <c r="J21" s="362">
        <f>INDEX('BAU CATS Output'!$A$1:$AB$28,MATCH($C21,'BAU CATS Output'!$A$1:$A$28,0),MATCH(J$2,'BAU CATS Output'!$A$1:$AB$1,0))</f>
        <v>1930.2697627777779</v>
      </c>
      <c r="K21" s="362">
        <f>INDEX('BAU CATS Output'!$A$1:$AB$28,MATCH($C21,'BAU CATS Output'!$A$1:$A$28,0),MATCH(K$2,'BAU CATS Output'!$A$1:$AB$1,0))</f>
        <v>2583.6675002777788</v>
      </c>
      <c r="L21" s="362">
        <f>INDEX('BAU CATS Output'!$A$1:$AB$28,MATCH($C21,'BAU CATS Output'!$A$1:$A$28,0),MATCH(L$2,'BAU CATS Output'!$A$1:$AB$1,0))</f>
        <v>3456.705892500001</v>
      </c>
      <c r="M21" s="362">
        <f>INDEX('BAU CATS Output'!$A$1:$AB$28,MATCH($C21,'BAU CATS Output'!$A$1:$A$28,0),MATCH(M$2,'BAU CATS Output'!$A$1:$AB$1,0))</f>
        <v>4569.5603663888896</v>
      </c>
      <c r="N21" s="362">
        <f>INDEX('BAU CATS Output'!$A$1:$AB$28,MATCH($C21,'BAU CATS Output'!$A$1:$A$28,0),MATCH(N$2,'BAU CATS Output'!$A$1:$AB$1,0))</f>
        <v>5862.2211216666656</v>
      </c>
      <c r="O21" s="362">
        <f>INDEX('BAU CATS Output'!$A$1:$AB$28,MATCH($C21,'BAU CATS Output'!$A$1:$A$28,0),MATCH(O$2,'BAU CATS Output'!$A$1:$AB$1,0))</f>
        <v>7129.843291388891</v>
      </c>
      <c r="P21" s="362">
        <f>INDEX('BAU CATS Output'!$A$1:$AB$28,MATCH($C21,'BAU CATS Output'!$A$1:$A$28,0),MATCH(P$2,'BAU CATS Output'!$A$1:$AB$1,0))</f>
        <v>8339.2769141666704</v>
      </c>
      <c r="Q21" s="362">
        <f>INDEX('BAU CATS Output'!$A$1:$AB$28,MATCH($C21,'BAU CATS Output'!$A$1:$A$28,0),MATCH(Q$2,'BAU CATS Output'!$A$1:$AB$1,0))</f>
        <v>9776.9359541666672</v>
      </c>
      <c r="R21" s="362">
        <f>INDEX('BAU CATS Output'!$A$1:$AB$28,MATCH($C21,'BAU CATS Output'!$A$1:$A$28,0),MATCH(R$2,'BAU CATS Output'!$A$1:$AB$1,0))</f>
        <v>11415.656083611109</v>
      </c>
      <c r="S21" s="362">
        <f>INDEX('BAU CATS Output'!$A$1:$AB$28,MATCH($C21,'BAU CATS Output'!$A$1:$A$28,0),MATCH(S$2,'BAU CATS Output'!$A$1:$AB$1,0))</f>
        <v>12987.748855</v>
      </c>
      <c r="T21" s="362">
        <f>INDEX('BAU CATS Output'!$A$1:$AB$28,MATCH($C21,'BAU CATS Output'!$A$1:$A$28,0),MATCH(T$2,'BAU CATS Output'!$A$1:$AB$1,0))</f>
        <v>14690.00529472223</v>
      </c>
      <c r="U21" s="362">
        <f>INDEX('BAU CATS Output'!$A$1:$AB$28,MATCH($C21,'BAU CATS Output'!$A$1:$A$28,0),MATCH(U$2,'BAU CATS Output'!$A$1:$AB$1,0))</f>
        <v>16418.76916472222</v>
      </c>
      <c r="V21" s="362">
        <f>INDEX('BAU CATS Output'!$A$1:$AB$28,MATCH($C21,'BAU CATS Output'!$A$1:$A$28,0),MATCH(V$2,'BAU CATS Output'!$A$1:$AB$1,0))</f>
        <v>18213.835303888889</v>
      </c>
      <c r="W21" s="362">
        <f>INDEX('BAU CATS Output'!$A$1:$AB$28,MATCH($C21,'BAU CATS Output'!$A$1:$A$28,0),MATCH(W$2,'BAU CATS Output'!$A$1:$AB$1,0))</f>
        <v>19678.438300833332</v>
      </c>
      <c r="X21" s="362">
        <f>INDEX('BAU CATS Output'!$A$1:$AB$28,MATCH($C21,'BAU CATS Output'!$A$1:$A$28,0),MATCH(X$2,'BAU CATS Output'!$A$1:$AB$1,0))</f>
        <v>21193.848648055558</v>
      </c>
      <c r="Y21" s="362">
        <f>INDEX('BAU CATS Output'!$A$1:$AB$28,MATCH($C21,'BAU CATS Output'!$A$1:$A$28,0),MATCH(Y$2,'BAU CATS Output'!$A$1:$AB$1,0))</f>
        <v>22785.324677500001</v>
      </c>
      <c r="Z21" s="362">
        <f>INDEX('BAU CATS Output'!$A$1:$AB$28,MATCH($C21,'BAU CATS Output'!$A$1:$A$28,0),MATCH(Z$2,'BAU CATS Output'!$A$1:$AB$1,0))</f>
        <v>23915.834082500001</v>
      </c>
      <c r="AA21" s="362">
        <f>INDEX('BAU CATS Output'!$A$1:$AB$28,MATCH($C21,'BAU CATS Output'!$A$1:$A$28,0),MATCH(AA$2,'BAU CATS Output'!$A$1:$AB$1,0))</f>
        <v>25047.633741944439</v>
      </c>
      <c r="AB21" s="362">
        <f>INDEX('BAU CATS Output'!$A$1:$AB$28,MATCH($C21,'BAU CATS Output'!$A$1:$A$28,0),MATCH(AB$2,'BAU CATS Output'!$A$1:$AB$1,0))</f>
        <v>26140.67146666667</v>
      </c>
      <c r="AC21" s="362">
        <f>INDEX('BAU CATS Output'!$A$1:$AB$28,MATCH($C21,'BAU CATS Output'!$A$1:$A$28,0),MATCH(AC$2,'BAU CATS Output'!$A$1:$AB$1,0))</f>
        <v>27327.589306388891</v>
      </c>
    </row>
    <row r="22" spans="1:29">
      <c r="A22" s="409"/>
      <c r="B22" s="410"/>
      <c r="C22" s="411" t="s">
        <v>108</v>
      </c>
      <c r="D22" s="412" t="s">
        <v>109</v>
      </c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</row>
    <row r="23" spans="1:29">
      <c r="C23" s="68" t="s">
        <v>16</v>
      </c>
      <c r="D23" s="68" t="s">
        <v>103</v>
      </c>
      <c r="E23" s="362">
        <f>INDEX('BAU CATS Output'!$A$1:$AB$28,MATCH($C23,'BAU CATS Output'!$A$1:$A$28,0),MATCH(E$2,'BAU CATS Output'!$A$1:$AB$1,0))</f>
        <v>0</v>
      </c>
      <c r="F23" s="362">
        <f>INDEX('BAU CATS Output'!$A$1:$AB$28,MATCH($C23,'BAU CATS Output'!$A$1:$A$28,0),MATCH(F$2,'BAU CATS Output'!$A$1:$AB$1,0))</f>
        <v>0</v>
      </c>
      <c r="G23" s="362">
        <f>INDEX('BAU CATS Output'!$A$1:$AB$28,MATCH($C23,'BAU CATS Output'!$A$1:$A$28,0),MATCH(G$2,'BAU CATS Output'!$A$1:$AB$1,0))</f>
        <v>0</v>
      </c>
      <c r="H23" s="362">
        <f>INDEX('BAU CATS Output'!$A$1:$AB$28,MATCH($C23,'BAU CATS Output'!$A$1:$A$28,0),MATCH(H$2,'BAU CATS Output'!$A$1:$AB$1,0))</f>
        <v>30.6</v>
      </c>
      <c r="I23" s="362">
        <f>INDEX('BAU CATS Output'!$A$1:$AB$28,MATCH($C23,'BAU CATS Output'!$A$1:$A$28,0),MATCH(I$2,'BAU CATS Output'!$A$1:$AB$1,0))</f>
        <v>0</v>
      </c>
      <c r="J23" s="362">
        <f>INDEX('BAU CATS Output'!$A$1:$AB$28,MATCH($C23,'BAU CATS Output'!$A$1:$A$28,0),MATCH(J$2,'BAU CATS Output'!$A$1:$AB$1,0))</f>
        <v>0</v>
      </c>
      <c r="K23" s="362">
        <f>INDEX('BAU CATS Output'!$A$1:$AB$28,MATCH($C23,'BAU CATS Output'!$A$1:$A$28,0),MATCH(K$2,'BAU CATS Output'!$A$1:$AB$1,0))</f>
        <v>0</v>
      </c>
      <c r="L23" s="362">
        <f>INDEX('BAU CATS Output'!$A$1:$AB$28,MATCH($C23,'BAU CATS Output'!$A$1:$A$28,0),MATCH(L$2,'BAU CATS Output'!$A$1:$AB$1,0))</f>
        <v>0</v>
      </c>
      <c r="M23" s="362">
        <f>INDEX('BAU CATS Output'!$A$1:$AB$28,MATCH($C23,'BAU CATS Output'!$A$1:$A$28,0),MATCH(M$2,'BAU CATS Output'!$A$1:$AB$1,0))</f>
        <v>0</v>
      </c>
      <c r="N23" s="362">
        <f>INDEX('BAU CATS Output'!$A$1:$AB$28,MATCH($C23,'BAU CATS Output'!$A$1:$A$28,0),MATCH(N$2,'BAU CATS Output'!$A$1:$AB$1,0))</f>
        <v>0</v>
      </c>
      <c r="O23" s="362">
        <f>INDEX('BAU CATS Output'!$A$1:$AB$28,MATCH($C23,'BAU CATS Output'!$A$1:$A$28,0),MATCH(O$2,'BAU CATS Output'!$A$1:$AB$1,0))</f>
        <v>0</v>
      </c>
      <c r="P23" s="362">
        <f>INDEX('BAU CATS Output'!$A$1:$AB$28,MATCH($C23,'BAU CATS Output'!$A$1:$A$28,0),MATCH(P$2,'BAU CATS Output'!$A$1:$AB$1,0))</f>
        <v>0</v>
      </c>
      <c r="Q23" s="362">
        <f>INDEX('BAU CATS Output'!$A$1:$AB$28,MATCH($C23,'BAU CATS Output'!$A$1:$A$28,0),MATCH(Q$2,'BAU CATS Output'!$A$1:$AB$1,0))</f>
        <v>0</v>
      </c>
      <c r="R23" s="362">
        <f>INDEX('BAU CATS Output'!$A$1:$AB$28,MATCH($C23,'BAU CATS Output'!$A$1:$A$28,0),MATCH(R$2,'BAU CATS Output'!$A$1:$AB$1,0))</f>
        <v>0</v>
      </c>
      <c r="S23" s="362">
        <f>INDEX('BAU CATS Output'!$A$1:$AB$28,MATCH($C23,'BAU CATS Output'!$A$1:$A$28,0),MATCH(S$2,'BAU CATS Output'!$A$1:$AB$1,0))</f>
        <v>0</v>
      </c>
      <c r="T23" s="362">
        <f>INDEX('BAU CATS Output'!$A$1:$AB$28,MATCH($C23,'BAU CATS Output'!$A$1:$A$28,0),MATCH(T$2,'BAU CATS Output'!$A$1:$AB$1,0))</f>
        <v>0</v>
      </c>
      <c r="U23" s="362">
        <f>INDEX('BAU CATS Output'!$A$1:$AB$28,MATCH($C23,'BAU CATS Output'!$A$1:$A$28,0),MATCH(U$2,'BAU CATS Output'!$A$1:$AB$1,0))</f>
        <v>0</v>
      </c>
      <c r="V23" s="362">
        <f>INDEX('BAU CATS Output'!$A$1:$AB$28,MATCH($C23,'BAU CATS Output'!$A$1:$A$28,0),MATCH(V$2,'BAU CATS Output'!$A$1:$AB$1,0))</f>
        <v>0</v>
      </c>
      <c r="W23" s="362">
        <f>INDEX('BAU CATS Output'!$A$1:$AB$28,MATCH($C23,'BAU CATS Output'!$A$1:$A$28,0),MATCH(W$2,'BAU CATS Output'!$A$1:$AB$1,0))</f>
        <v>0</v>
      </c>
      <c r="X23" s="362">
        <f>INDEX('BAU CATS Output'!$A$1:$AB$28,MATCH($C23,'BAU CATS Output'!$A$1:$A$28,0),MATCH(X$2,'BAU CATS Output'!$A$1:$AB$1,0))</f>
        <v>0</v>
      </c>
      <c r="Y23" s="362">
        <f>INDEX('BAU CATS Output'!$A$1:$AB$28,MATCH($C23,'BAU CATS Output'!$A$1:$A$28,0),MATCH(Y$2,'BAU CATS Output'!$A$1:$AB$1,0))</f>
        <v>0</v>
      </c>
      <c r="Z23" s="362">
        <f>INDEX('BAU CATS Output'!$A$1:$AB$28,MATCH($C23,'BAU CATS Output'!$A$1:$A$28,0),MATCH(Z$2,'BAU CATS Output'!$A$1:$AB$1,0))</f>
        <v>0</v>
      </c>
      <c r="AA23" s="362">
        <f>INDEX('BAU CATS Output'!$A$1:$AB$28,MATCH($C23,'BAU CATS Output'!$A$1:$A$28,0),MATCH(AA$2,'BAU CATS Output'!$A$1:$AB$1,0))</f>
        <v>0</v>
      </c>
      <c r="AB23" s="362">
        <f>INDEX('BAU CATS Output'!$A$1:$AB$28,MATCH($C23,'BAU CATS Output'!$A$1:$A$28,0),MATCH(AB$2,'BAU CATS Output'!$A$1:$AB$1,0))</f>
        <v>0</v>
      </c>
      <c r="AC23" s="362">
        <f>INDEX('BAU CATS Output'!$A$1:$AB$28,MATCH($C23,'BAU CATS Output'!$A$1:$A$28,0),MATCH(AC$2,'BAU CATS Output'!$A$1:$AB$1,0))</f>
        <v>0</v>
      </c>
    </row>
    <row r="24" spans="1:29">
      <c r="C24" s="68" t="s">
        <v>24</v>
      </c>
      <c r="D24" s="68" t="s">
        <v>22</v>
      </c>
      <c r="E24" s="362">
        <f>INDEX('BAU CATS Output'!$A$1:$AB$28,MATCH($C24,'BAU CATS Output'!$A$1:$A$28,0),MATCH(E$2,'BAU CATS Output'!$A$1:$AB$1,0))</f>
        <v>0</v>
      </c>
      <c r="F24" s="362">
        <f>INDEX('BAU CATS Output'!$A$1:$AB$28,MATCH($C24,'BAU CATS Output'!$A$1:$A$28,0),MATCH(F$2,'BAU CATS Output'!$A$1:$AB$1,0))</f>
        <v>0</v>
      </c>
      <c r="G24" s="362">
        <f>INDEX('BAU CATS Output'!$A$1:$AB$28,MATCH($C24,'BAU CATS Output'!$A$1:$A$28,0),MATCH(G$2,'BAU CATS Output'!$A$1:$AB$1,0))</f>
        <v>0</v>
      </c>
      <c r="H24" s="362">
        <f>INDEX('BAU CATS Output'!$A$1:$AB$28,MATCH($C24,'BAU CATS Output'!$A$1:$A$28,0),MATCH(H$2,'BAU CATS Output'!$A$1:$AB$1,0))</f>
        <v>0</v>
      </c>
      <c r="I24" s="362">
        <f>INDEX('BAU CATS Output'!$A$1:$AB$28,MATCH($C24,'BAU CATS Output'!$A$1:$A$28,0),MATCH(I$2,'BAU CATS Output'!$A$1:$AB$1,0))</f>
        <v>0</v>
      </c>
      <c r="J24" s="362">
        <f>INDEX('BAU CATS Output'!$A$1:$AB$28,MATCH($C24,'BAU CATS Output'!$A$1:$A$28,0),MATCH(J$2,'BAU CATS Output'!$A$1:$AB$1,0))</f>
        <v>0</v>
      </c>
      <c r="K24" s="362">
        <f>INDEX('BAU CATS Output'!$A$1:$AB$28,MATCH($C24,'BAU CATS Output'!$A$1:$A$28,0),MATCH(K$2,'BAU CATS Output'!$A$1:$AB$1,0))</f>
        <v>0</v>
      </c>
      <c r="L24" s="362">
        <f>INDEX('BAU CATS Output'!$A$1:$AB$28,MATCH($C24,'BAU CATS Output'!$A$1:$A$28,0),MATCH(L$2,'BAU CATS Output'!$A$1:$AB$1,0))</f>
        <v>0</v>
      </c>
      <c r="M24" s="362">
        <f>INDEX('BAU CATS Output'!$A$1:$AB$28,MATCH($C24,'BAU CATS Output'!$A$1:$A$28,0),MATCH(M$2,'BAU CATS Output'!$A$1:$AB$1,0))</f>
        <v>0</v>
      </c>
      <c r="N24" s="362">
        <f>INDEX('BAU CATS Output'!$A$1:$AB$28,MATCH($C24,'BAU CATS Output'!$A$1:$A$28,0),MATCH(N$2,'BAU CATS Output'!$A$1:$AB$1,0))</f>
        <v>0</v>
      </c>
      <c r="O24" s="362">
        <f>INDEX('BAU CATS Output'!$A$1:$AB$28,MATCH($C24,'BAU CATS Output'!$A$1:$A$28,0),MATCH(O$2,'BAU CATS Output'!$A$1:$AB$1,0))</f>
        <v>0</v>
      </c>
      <c r="P24" s="362">
        <f>INDEX('BAU CATS Output'!$A$1:$AB$28,MATCH($C24,'BAU CATS Output'!$A$1:$A$28,0),MATCH(P$2,'BAU CATS Output'!$A$1:$AB$1,0))</f>
        <v>0</v>
      </c>
      <c r="Q24" s="362">
        <f>INDEX('BAU CATS Output'!$A$1:$AB$28,MATCH($C24,'BAU CATS Output'!$A$1:$A$28,0),MATCH(Q$2,'BAU CATS Output'!$A$1:$AB$1,0))</f>
        <v>0</v>
      </c>
      <c r="R24" s="362">
        <f>INDEX('BAU CATS Output'!$A$1:$AB$28,MATCH($C24,'BAU CATS Output'!$A$1:$A$28,0),MATCH(R$2,'BAU CATS Output'!$A$1:$AB$1,0))</f>
        <v>0</v>
      </c>
      <c r="S24" s="362">
        <f>INDEX('BAU CATS Output'!$A$1:$AB$28,MATCH($C24,'BAU CATS Output'!$A$1:$A$28,0),MATCH(S$2,'BAU CATS Output'!$A$1:$AB$1,0))</f>
        <v>0</v>
      </c>
      <c r="T24" s="362">
        <f>INDEX('BAU CATS Output'!$A$1:$AB$28,MATCH($C24,'BAU CATS Output'!$A$1:$A$28,0),MATCH(T$2,'BAU CATS Output'!$A$1:$AB$1,0))</f>
        <v>0</v>
      </c>
      <c r="U24" s="362">
        <f>INDEX('BAU CATS Output'!$A$1:$AB$28,MATCH($C24,'BAU CATS Output'!$A$1:$A$28,0),MATCH(U$2,'BAU CATS Output'!$A$1:$AB$1,0))</f>
        <v>0</v>
      </c>
      <c r="V24" s="362">
        <f>INDEX('BAU CATS Output'!$A$1:$AB$28,MATCH($C24,'BAU CATS Output'!$A$1:$A$28,0),MATCH(V$2,'BAU CATS Output'!$A$1:$AB$1,0))</f>
        <v>8.0123047741666138</v>
      </c>
      <c r="W24" s="362">
        <f>INDEX('BAU CATS Output'!$A$1:$AB$28,MATCH($C24,'BAU CATS Output'!$A$1:$A$28,0),MATCH(W$2,'BAU CATS Output'!$A$1:$AB$1,0))</f>
        <v>25.39598266716661</v>
      </c>
      <c r="X24" s="362">
        <f>INDEX('BAU CATS Output'!$A$1:$AB$28,MATCH($C24,'BAU CATS Output'!$A$1:$A$28,0),MATCH(X$2,'BAU CATS Output'!$A$1:$AB$1,0))</f>
        <v>44.702786013166637</v>
      </c>
      <c r="Y24" s="362">
        <f>INDEX('BAU CATS Output'!$A$1:$AB$28,MATCH($C24,'BAU CATS Output'!$A$1:$A$28,0),MATCH(Y$2,'BAU CATS Output'!$A$1:$AB$1,0))</f>
        <v>67.842351482333285</v>
      </c>
      <c r="Z24" s="362">
        <f>INDEX('BAU CATS Output'!$A$1:$AB$28,MATCH($C24,'BAU CATS Output'!$A$1:$A$28,0),MATCH(Z$2,'BAU CATS Output'!$A$1:$AB$1,0))</f>
        <v>77.558381250666642</v>
      </c>
      <c r="AA24" s="362">
        <f>INDEX('BAU CATS Output'!$A$1:$AB$28,MATCH($C24,'BAU CATS Output'!$A$1:$A$28,0),MATCH(AA$2,'BAU CATS Output'!$A$1:$AB$1,0))</f>
        <v>88.236226162166602</v>
      </c>
      <c r="AB24" s="362">
        <f>INDEX('BAU CATS Output'!$A$1:$AB$28,MATCH($C24,'BAU CATS Output'!$A$1:$A$28,0),MATCH(AB$2,'BAU CATS Output'!$A$1:$AB$1,0))</f>
        <v>99.297376775499927</v>
      </c>
      <c r="AC24" s="362">
        <f>INDEX('BAU CATS Output'!$A$1:$AB$28,MATCH($C24,'BAU CATS Output'!$A$1:$A$28,0),MATCH(AC$2,'BAU CATS Output'!$A$1:$AB$1,0))</f>
        <v>115.92991817399989</v>
      </c>
    </row>
    <row r="25" spans="1:29">
      <c r="C25" s="68" t="s">
        <v>21</v>
      </c>
      <c r="D25" s="68" t="s">
        <v>22</v>
      </c>
      <c r="E25" s="362">
        <f>INDEX('BAU CATS Output'!$A$1:$AB$28,MATCH($C25,'BAU CATS Output'!$A$1:$A$28,0),MATCH(E$2,'BAU CATS Output'!$A$1:$AB$1,0))</f>
        <v>0</v>
      </c>
      <c r="F25" s="362">
        <f>INDEX('BAU CATS Output'!$A$1:$AB$28,MATCH($C25,'BAU CATS Output'!$A$1:$A$28,0),MATCH(F$2,'BAU CATS Output'!$A$1:$AB$1,0))</f>
        <v>0</v>
      </c>
      <c r="G25" s="362">
        <f>INDEX('BAU CATS Output'!$A$1:$AB$28,MATCH($C25,'BAU CATS Output'!$A$1:$A$28,0),MATCH(G$2,'BAU CATS Output'!$A$1:$AB$1,0))</f>
        <v>0</v>
      </c>
      <c r="H25" s="362">
        <f>INDEX('BAU CATS Output'!$A$1:$AB$28,MATCH($C25,'BAU CATS Output'!$A$1:$A$28,0),MATCH(H$2,'BAU CATS Output'!$A$1:$AB$1,0))</f>
        <v>0</v>
      </c>
      <c r="I25" s="362">
        <f>INDEX('BAU CATS Output'!$A$1:$AB$28,MATCH($C25,'BAU CATS Output'!$A$1:$A$28,0),MATCH(I$2,'BAU CATS Output'!$A$1:$AB$1,0))</f>
        <v>0</v>
      </c>
      <c r="J25" s="362">
        <f>INDEX('BAU CATS Output'!$A$1:$AB$28,MATCH($C25,'BAU CATS Output'!$A$1:$A$28,0),MATCH(J$2,'BAU CATS Output'!$A$1:$AB$1,0))</f>
        <v>0</v>
      </c>
      <c r="K25" s="362">
        <f>INDEX('BAU CATS Output'!$A$1:$AB$28,MATCH($C25,'BAU CATS Output'!$A$1:$A$28,0),MATCH(K$2,'BAU CATS Output'!$A$1:$AB$1,0))</f>
        <v>0</v>
      </c>
      <c r="L25" s="362">
        <f>INDEX('BAU CATS Output'!$A$1:$AB$28,MATCH($C25,'BAU CATS Output'!$A$1:$A$28,0),MATCH(L$2,'BAU CATS Output'!$A$1:$AB$1,0))</f>
        <v>0</v>
      </c>
      <c r="M25" s="362">
        <f>INDEX('BAU CATS Output'!$A$1:$AB$28,MATCH($C25,'BAU CATS Output'!$A$1:$A$28,0),MATCH(M$2,'BAU CATS Output'!$A$1:$AB$1,0))</f>
        <v>3.2550488666666668</v>
      </c>
      <c r="N25" s="362">
        <f>INDEX('BAU CATS Output'!$A$1:$AB$28,MATCH($C25,'BAU CATS Output'!$A$1:$A$28,0),MATCH(N$2,'BAU CATS Output'!$A$1:$AB$1,0))</f>
        <v>2.8818263583333419</v>
      </c>
      <c r="O25" s="362">
        <f>INDEX('BAU CATS Output'!$A$1:$AB$28,MATCH($C25,'BAU CATS Output'!$A$1:$A$28,0),MATCH(O$2,'BAU CATS Output'!$A$1:$AB$1,0))</f>
        <v>0</v>
      </c>
      <c r="P25" s="362">
        <f>INDEX('BAU CATS Output'!$A$1:$AB$28,MATCH($C25,'BAU CATS Output'!$A$1:$A$28,0),MATCH(P$2,'BAU CATS Output'!$A$1:$AB$1,0))</f>
        <v>0</v>
      </c>
      <c r="Q25" s="362">
        <f>INDEX('BAU CATS Output'!$A$1:$AB$28,MATCH($C25,'BAU CATS Output'!$A$1:$A$28,0),MATCH(Q$2,'BAU CATS Output'!$A$1:$AB$1,0))</f>
        <v>0</v>
      </c>
      <c r="R25" s="362">
        <f>INDEX('BAU CATS Output'!$A$1:$AB$28,MATCH($C25,'BAU CATS Output'!$A$1:$A$28,0),MATCH(R$2,'BAU CATS Output'!$A$1:$AB$1,0))</f>
        <v>0</v>
      </c>
      <c r="S25" s="362">
        <f>INDEX('BAU CATS Output'!$A$1:$AB$28,MATCH($C25,'BAU CATS Output'!$A$1:$A$28,0),MATCH(S$2,'BAU CATS Output'!$A$1:$AB$1,0))</f>
        <v>0</v>
      </c>
      <c r="T25" s="362">
        <f>INDEX('BAU CATS Output'!$A$1:$AB$28,MATCH($C25,'BAU CATS Output'!$A$1:$A$28,0),MATCH(T$2,'BAU CATS Output'!$A$1:$AB$1,0))</f>
        <v>0</v>
      </c>
      <c r="U25" s="362">
        <f>INDEX('BAU CATS Output'!$A$1:$AB$28,MATCH($C25,'BAU CATS Output'!$A$1:$A$28,0),MATCH(U$2,'BAU CATS Output'!$A$1:$AB$1,0))</f>
        <v>0</v>
      </c>
      <c r="V25" s="362">
        <f>INDEX('BAU CATS Output'!$A$1:$AB$28,MATCH($C25,'BAU CATS Output'!$A$1:$A$28,0),MATCH(V$2,'BAU CATS Output'!$A$1:$AB$1,0))</f>
        <v>0</v>
      </c>
      <c r="W25" s="362">
        <f>INDEX('BAU CATS Output'!$A$1:$AB$28,MATCH($C25,'BAU CATS Output'!$A$1:$A$28,0),MATCH(W$2,'BAU CATS Output'!$A$1:$AB$1,0))</f>
        <v>0</v>
      </c>
      <c r="X25" s="362">
        <f>INDEX('BAU CATS Output'!$A$1:$AB$28,MATCH($C25,'BAU CATS Output'!$A$1:$A$28,0),MATCH(X$2,'BAU CATS Output'!$A$1:$AB$1,0))</f>
        <v>0</v>
      </c>
      <c r="Y25" s="362">
        <f>INDEX('BAU CATS Output'!$A$1:$AB$28,MATCH($C25,'BAU CATS Output'!$A$1:$A$28,0),MATCH(Y$2,'BAU CATS Output'!$A$1:$AB$1,0))</f>
        <v>0</v>
      </c>
      <c r="Z25" s="362">
        <f>INDEX('BAU CATS Output'!$A$1:$AB$28,MATCH($C25,'BAU CATS Output'!$A$1:$A$28,0),MATCH(Z$2,'BAU CATS Output'!$A$1:$AB$1,0))</f>
        <v>0</v>
      </c>
      <c r="AA25" s="362">
        <f>INDEX('BAU CATS Output'!$A$1:$AB$28,MATCH($C25,'BAU CATS Output'!$A$1:$A$28,0),MATCH(AA$2,'BAU CATS Output'!$A$1:$AB$1,0))</f>
        <v>0</v>
      </c>
      <c r="AB25" s="362">
        <f>INDEX('BAU CATS Output'!$A$1:$AB$28,MATCH($C25,'BAU CATS Output'!$A$1:$A$28,0),MATCH(AB$2,'BAU CATS Output'!$A$1:$AB$1,0))</f>
        <v>0</v>
      </c>
      <c r="AC25" s="362">
        <f>INDEX('BAU CATS Output'!$A$1:$AB$28,MATCH($C25,'BAU CATS Output'!$A$1:$A$28,0),MATCH(AC$2,'BAU CATS Output'!$A$1:$AB$1,0))</f>
        <v>0</v>
      </c>
    </row>
    <row r="26" spans="1:29">
      <c r="C26" s="68" t="s">
        <v>23</v>
      </c>
      <c r="D26" s="68" t="s">
        <v>22</v>
      </c>
      <c r="E26" s="362">
        <f>INDEX('BAU CATS Output'!$A$1:$AB$28,MATCH($C26,'BAU CATS Output'!$A$1:$A$28,0),MATCH(E$2,'BAU CATS Output'!$A$1:$AB$1,0))</f>
        <v>0</v>
      </c>
      <c r="F26" s="362">
        <f>INDEX('BAU CATS Output'!$A$1:$AB$28,MATCH($C26,'BAU CATS Output'!$A$1:$A$28,0),MATCH(F$2,'BAU CATS Output'!$A$1:$AB$1,0))</f>
        <v>0</v>
      </c>
      <c r="G26" s="362">
        <f>INDEX('BAU CATS Output'!$A$1:$AB$28,MATCH($C26,'BAU CATS Output'!$A$1:$A$28,0),MATCH(G$2,'BAU CATS Output'!$A$1:$AB$1,0))</f>
        <v>0</v>
      </c>
      <c r="H26" s="362">
        <f>INDEX('BAU CATS Output'!$A$1:$AB$28,MATCH($C26,'BAU CATS Output'!$A$1:$A$28,0),MATCH(H$2,'BAU CATS Output'!$A$1:$AB$1,0))</f>
        <v>0.54649999999999999</v>
      </c>
      <c r="I26" s="362">
        <f>INDEX('BAU CATS Output'!$A$1:$AB$28,MATCH($C26,'BAU CATS Output'!$A$1:$A$28,0),MATCH(I$2,'BAU CATS Output'!$A$1:$AB$1,0))</f>
        <v>0</v>
      </c>
      <c r="J26" s="362">
        <f>INDEX('BAU CATS Output'!$A$1:$AB$28,MATCH($C26,'BAU CATS Output'!$A$1:$A$28,0),MATCH(J$2,'BAU CATS Output'!$A$1:$AB$1,0))</f>
        <v>0</v>
      </c>
      <c r="K26" s="362">
        <f>INDEX('BAU CATS Output'!$A$1:$AB$28,MATCH($C26,'BAU CATS Output'!$A$1:$A$28,0),MATCH(K$2,'BAU CATS Output'!$A$1:$AB$1,0))</f>
        <v>0</v>
      </c>
      <c r="L26" s="362">
        <f>INDEX('BAU CATS Output'!$A$1:$AB$28,MATCH($C26,'BAU CATS Output'!$A$1:$A$28,0),MATCH(L$2,'BAU CATS Output'!$A$1:$AB$1,0))</f>
        <v>0</v>
      </c>
      <c r="M26" s="362">
        <f>INDEX('BAU CATS Output'!$A$1:$AB$28,MATCH($C26,'BAU CATS Output'!$A$1:$A$28,0),MATCH(M$2,'BAU CATS Output'!$A$1:$AB$1,0))</f>
        <v>0</v>
      </c>
      <c r="N26" s="362">
        <f>INDEX('BAU CATS Output'!$A$1:$AB$28,MATCH($C26,'BAU CATS Output'!$A$1:$A$28,0),MATCH(N$2,'BAU CATS Output'!$A$1:$AB$1,0))</f>
        <v>0</v>
      </c>
      <c r="O26" s="362">
        <f>INDEX('BAU CATS Output'!$A$1:$AB$28,MATCH($C26,'BAU CATS Output'!$A$1:$A$28,0),MATCH(O$2,'BAU CATS Output'!$A$1:$AB$1,0))</f>
        <v>0</v>
      </c>
      <c r="P26" s="362">
        <f>INDEX('BAU CATS Output'!$A$1:$AB$28,MATCH($C26,'BAU CATS Output'!$A$1:$A$28,0),MATCH(P$2,'BAU CATS Output'!$A$1:$AB$1,0))</f>
        <v>0</v>
      </c>
      <c r="Q26" s="362">
        <f>INDEX('BAU CATS Output'!$A$1:$AB$28,MATCH($C26,'BAU CATS Output'!$A$1:$A$28,0),MATCH(Q$2,'BAU CATS Output'!$A$1:$AB$1,0))</f>
        <v>0</v>
      </c>
      <c r="R26" s="362">
        <f>INDEX('BAU CATS Output'!$A$1:$AB$28,MATCH($C26,'BAU CATS Output'!$A$1:$A$28,0),MATCH(R$2,'BAU CATS Output'!$A$1:$AB$1,0))</f>
        <v>0</v>
      </c>
      <c r="S26" s="362">
        <f>INDEX('BAU CATS Output'!$A$1:$AB$28,MATCH($C26,'BAU CATS Output'!$A$1:$A$28,0),MATCH(S$2,'BAU CATS Output'!$A$1:$AB$1,0))</f>
        <v>0</v>
      </c>
      <c r="T26" s="362">
        <f>INDEX('BAU CATS Output'!$A$1:$AB$28,MATCH($C26,'BAU CATS Output'!$A$1:$A$28,0),MATCH(T$2,'BAU CATS Output'!$A$1:$AB$1,0))</f>
        <v>0</v>
      </c>
      <c r="U26" s="362">
        <f>INDEX('BAU CATS Output'!$A$1:$AB$28,MATCH($C26,'BAU CATS Output'!$A$1:$A$28,0),MATCH(U$2,'BAU CATS Output'!$A$1:$AB$1,0))</f>
        <v>0</v>
      </c>
      <c r="V26" s="362">
        <f>INDEX('BAU CATS Output'!$A$1:$AB$28,MATCH($C26,'BAU CATS Output'!$A$1:$A$28,0),MATCH(V$2,'BAU CATS Output'!$A$1:$AB$1,0))</f>
        <v>0</v>
      </c>
      <c r="W26" s="362">
        <f>INDEX('BAU CATS Output'!$A$1:$AB$28,MATCH($C26,'BAU CATS Output'!$A$1:$A$28,0),MATCH(W$2,'BAU CATS Output'!$A$1:$AB$1,0))</f>
        <v>0</v>
      </c>
      <c r="X26" s="362">
        <f>INDEX('BAU CATS Output'!$A$1:$AB$28,MATCH($C26,'BAU CATS Output'!$A$1:$A$28,0),MATCH(X$2,'BAU CATS Output'!$A$1:$AB$1,0))</f>
        <v>0</v>
      </c>
      <c r="Y26" s="362">
        <f>INDEX('BAU CATS Output'!$A$1:$AB$28,MATCH($C26,'BAU CATS Output'!$A$1:$A$28,0),MATCH(Y$2,'BAU CATS Output'!$A$1:$AB$1,0))</f>
        <v>0</v>
      </c>
      <c r="Z26" s="362">
        <f>INDEX('BAU CATS Output'!$A$1:$AB$28,MATCH($C26,'BAU CATS Output'!$A$1:$A$28,0),MATCH(Z$2,'BAU CATS Output'!$A$1:$AB$1,0))</f>
        <v>0</v>
      </c>
      <c r="AA26" s="362">
        <f>INDEX('BAU CATS Output'!$A$1:$AB$28,MATCH($C26,'BAU CATS Output'!$A$1:$A$28,0),MATCH(AA$2,'BAU CATS Output'!$A$1:$AB$1,0))</f>
        <v>0</v>
      </c>
      <c r="AB26" s="362">
        <f>INDEX('BAU CATS Output'!$A$1:$AB$28,MATCH($C26,'BAU CATS Output'!$A$1:$A$28,0),MATCH(AB$2,'BAU CATS Output'!$A$1:$AB$1,0))</f>
        <v>0</v>
      </c>
      <c r="AC26" s="362">
        <f>INDEX('BAU CATS Output'!$A$1:$AB$28,MATCH($C26,'BAU CATS Output'!$A$1:$A$28,0),MATCH(AC$2,'BAU CATS Output'!$A$1:$AB$1,0))</f>
        <v>0</v>
      </c>
    </row>
    <row r="27" spans="1:29">
      <c r="C27" s="68" t="s">
        <v>25</v>
      </c>
      <c r="D27" s="68" t="s">
        <v>22</v>
      </c>
      <c r="E27" s="362">
        <f>INDEX('BAU CATS Output'!$A$1:$AB$28,MATCH($C27,'BAU CATS Output'!$A$1:$A$28,0),MATCH(E$2,'BAU CATS Output'!$A$1:$AB$1,0))</f>
        <v>0</v>
      </c>
      <c r="F27" s="362">
        <f>INDEX('BAU CATS Output'!$A$1:$AB$28,MATCH($C27,'BAU CATS Output'!$A$1:$A$28,0),MATCH(F$2,'BAU CATS Output'!$A$1:$AB$1,0))</f>
        <v>0</v>
      </c>
      <c r="G27" s="362">
        <f>INDEX('BAU CATS Output'!$A$1:$AB$28,MATCH($C27,'BAU CATS Output'!$A$1:$A$28,0),MATCH(G$2,'BAU CATS Output'!$A$1:$AB$1,0))</f>
        <v>0</v>
      </c>
      <c r="H27" s="362">
        <f>INDEX('BAU CATS Output'!$A$1:$AB$28,MATCH($C27,'BAU CATS Output'!$A$1:$A$28,0),MATCH(H$2,'BAU CATS Output'!$A$1:$AB$1,0))</f>
        <v>0</v>
      </c>
      <c r="I27" s="362">
        <f>INDEX('BAU CATS Output'!$A$1:$AB$28,MATCH($C27,'BAU CATS Output'!$A$1:$A$28,0),MATCH(I$2,'BAU CATS Output'!$A$1:$AB$1,0))</f>
        <v>0</v>
      </c>
      <c r="J27" s="362">
        <f>INDEX('BAU CATS Output'!$A$1:$AB$28,MATCH($C27,'BAU CATS Output'!$A$1:$A$28,0),MATCH(J$2,'BAU CATS Output'!$A$1:$AB$1,0))</f>
        <v>0</v>
      </c>
      <c r="K27" s="362">
        <f>INDEX('BAU CATS Output'!$A$1:$AB$28,MATCH($C27,'BAU CATS Output'!$A$1:$A$28,0),MATCH(K$2,'BAU CATS Output'!$A$1:$AB$1,0))</f>
        <v>0</v>
      </c>
      <c r="L27" s="362">
        <f>INDEX('BAU CATS Output'!$A$1:$AB$28,MATCH($C27,'BAU CATS Output'!$A$1:$A$28,0),MATCH(L$2,'BAU CATS Output'!$A$1:$AB$1,0))</f>
        <v>0</v>
      </c>
      <c r="M27" s="362">
        <f>INDEX('BAU CATS Output'!$A$1:$AB$28,MATCH($C27,'BAU CATS Output'!$A$1:$A$28,0),MATCH(M$2,'BAU CATS Output'!$A$1:$AB$1,0))</f>
        <v>0</v>
      </c>
      <c r="N27" s="362">
        <f>INDEX('BAU CATS Output'!$A$1:$AB$28,MATCH($C27,'BAU CATS Output'!$A$1:$A$28,0),MATCH(N$2,'BAU CATS Output'!$A$1:$AB$1,0))</f>
        <v>0</v>
      </c>
      <c r="O27" s="362">
        <f>INDEX('BAU CATS Output'!$A$1:$AB$28,MATCH($C27,'BAU CATS Output'!$A$1:$A$28,0),MATCH(O$2,'BAU CATS Output'!$A$1:$AB$1,0))</f>
        <v>0</v>
      </c>
      <c r="P27" s="362">
        <f>INDEX('BAU CATS Output'!$A$1:$AB$28,MATCH($C27,'BAU CATS Output'!$A$1:$A$28,0),MATCH(P$2,'BAU CATS Output'!$A$1:$AB$1,0))</f>
        <v>0</v>
      </c>
      <c r="Q27" s="362">
        <f>INDEX('BAU CATS Output'!$A$1:$AB$28,MATCH($C27,'BAU CATS Output'!$A$1:$A$28,0),MATCH(Q$2,'BAU CATS Output'!$A$1:$AB$1,0))</f>
        <v>0</v>
      </c>
      <c r="R27" s="362">
        <f>INDEX('BAU CATS Output'!$A$1:$AB$28,MATCH($C27,'BAU CATS Output'!$A$1:$A$28,0),MATCH(R$2,'BAU CATS Output'!$A$1:$AB$1,0))</f>
        <v>0</v>
      </c>
      <c r="S27" s="362">
        <f>INDEX('BAU CATS Output'!$A$1:$AB$28,MATCH($C27,'BAU CATS Output'!$A$1:$A$28,0),MATCH(S$2,'BAU CATS Output'!$A$1:$AB$1,0))</f>
        <v>0</v>
      </c>
      <c r="T27" s="362">
        <f>INDEX('BAU CATS Output'!$A$1:$AB$28,MATCH($C27,'BAU CATS Output'!$A$1:$A$28,0),MATCH(T$2,'BAU CATS Output'!$A$1:$AB$1,0))</f>
        <v>0</v>
      </c>
      <c r="U27" s="362">
        <f>INDEX('BAU CATS Output'!$A$1:$AB$28,MATCH($C27,'BAU CATS Output'!$A$1:$A$28,0),MATCH(U$2,'BAU CATS Output'!$A$1:$AB$1,0))</f>
        <v>0</v>
      </c>
      <c r="V27" s="362">
        <f>INDEX('BAU CATS Output'!$A$1:$AB$28,MATCH($C27,'BAU CATS Output'!$A$1:$A$28,0),MATCH(V$2,'BAU CATS Output'!$A$1:$AB$1,0))</f>
        <v>0</v>
      </c>
      <c r="W27" s="362">
        <f>INDEX('BAU CATS Output'!$A$1:$AB$28,MATCH($C27,'BAU CATS Output'!$A$1:$A$28,0),MATCH(W$2,'BAU CATS Output'!$A$1:$AB$1,0))</f>
        <v>0</v>
      </c>
      <c r="X27" s="362">
        <f>INDEX('BAU CATS Output'!$A$1:$AB$28,MATCH($C27,'BAU CATS Output'!$A$1:$A$28,0),MATCH(X$2,'BAU CATS Output'!$A$1:$AB$1,0))</f>
        <v>0</v>
      </c>
      <c r="Y27" s="362">
        <f>INDEX('BAU CATS Output'!$A$1:$AB$28,MATCH($C27,'BAU CATS Output'!$A$1:$A$28,0),MATCH(Y$2,'BAU CATS Output'!$A$1:$AB$1,0))</f>
        <v>0</v>
      </c>
      <c r="Z27" s="362">
        <f>INDEX('BAU CATS Output'!$A$1:$AB$28,MATCH($C27,'BAU CATS Output'!$A$1:$A$28,0),MATCH(Z$2,'BAU CATS Output'!$A$1:$AB$1,0))</f>
        <v>0</v>
      </c>
      <c r="AA27" s="362">
        <f>INDEX('BAU CATS Output'!$A$1:$AB$28,MATCH($C27,'BAU CATS Output'!$A$1:$A$28,0),MATCH(AA$2,'BAU CATS Output'!$A$1:$AB$1,0))</f>
        <v>0</v>
      </c>
      <c r="AB27" s="362">
        <f>INDEX('BAU CATS Output'!$A$1:$AB$28,MATCH($C27,'BAU CATS Output'!$A$1:$A$28,0),MATCH(AB$2,'BAU CATS Output'!$A$1:$AB$1,0))</f>
        <v>0</v>
      </c>
      <c r="AC27" s="362">
        <f>INDEX('BAU CATS Output'!$A$1:$AB$28,MATCH($C27,'BAU CATS Output'!$A$1:$A$28,0),MATCH(AC$2,'BAU CATS Output'!$A$1:$AB$1,0))</f>
        <v>0</v>
      </c>
    </row>
    <row r="28" spans="1:29">
      <c r="C28" s="68" t="s">
        <v>26</v>
      </c>
      <c r="D28" s="68" t="s">
        <v>22</v>
      </c>
      <c r="E28" s="362">
        <f>INDEX('BAU CATS Output'!$A$1:$AB$28,MATCH($C28,'BAU CATS Output'!$A$1:$A$28,0),MATCH(E$2,'BAU CATS Output'!$A$1:$AB$1,0))</f>
        <v>0</v>
      </c>
      <c r="F28" s="362">
        <f>INDEX('BAU CATS Output'!$A$1:$AB$28,MATCH($C28,'BAU CATS Output'!$A$1:$A$28,0),MATCH(F$2,'BAU CATS Output'!$A$1:$AB$1,0))</f>
        <v>0.2385582083333333</v>
      </c>
      <c r="G28" s="362">
        <f>INDEX('BAU CATS Output'!$A$1:$AB$28,MATCH($C28,'BAU CATS Output'!$A$1:$A$28,0),MATCH(G$2,'BAU CATS Output'!$A$1:$AB$1,0))</f>
        <v>1.1241731333333329</v>
      </c>
      <c r="H28" s="362">
        <f>INDEX('BAU CATS Output'!$A$1:$AB$28,MATCH($C28,'BAU CATS Output'!$A$1:$A$28,0),MATCH(H$2,'BAU CATS Output'!$A$1:$AB$1,0))</f>
        <v>2.0283731833333332</v>
      </c>
      <c r="I28" s="362">
        <f>INDEX('BAU CATS Output'!$A$1:$AB$28,MATCH($C28,'BAU CATS Output'!$A$1:$A$28,0),MATCH(I$2,'BAU CATS Output'!$A$1:$AB$1,0))</f>
        <v>5.1617237999999999</v>
      </c>
      <c r="J28" s="362">
        <f>INDEX('BAU CATS Output'!$A$1:$AB$28,MATCH($C28,'BAU CATS Output'!$A$1:$A$28,0),MATCH(J$2,'BAU CATS Output'!$A$1:$AB$1,0))</f>
        <v>10.654472183333329</v>
      </c>
      <c r="K28" s="362">
        <f>INDEX('BAU CATS Output'!$A$1:$AB$28,MATCH($C28,'BAU CATS Output'!$A$1:$A$28,0),MATCH(K$2,'BAU CATS Output'!$A$1:$AB$1,0))</f>
        <v>20.592489916666668</v>
      </c>
      <c r="L28" s="362">
        <f>INDEX('BAU CATS Output'!$A$1:$AB$28,MATCH($C28,'BAU CATS Output'!$A$1:$A$28,0),MATCH(L$2,'BAU CATS Output'!$A$1:$AB$1,0))</f>
        <v>34.402153908333332</v>
      </c>
      <c r="M28" s="362">
        <f>INDEX('BAU CATS Output'!$A$1:$AB$28,MATCH($C28,'BAU CATS Output'!$A$1:$A$28,0),MATCH(M$2,'BAU CATS Output'!$A$1:$AB$1,0))</f>
        <v>48.262500000000003</v>
      </c>
      <c r="N28" s="362">
        <f>INDEX('BAU CATS Output'!$A$1:$AB$28,MATCH($C28,'BAU CATS Output'!$A$1:$A$28,0),MATCH(N$2,'BAU CATS Output'!$A$1:$AB$1,0))</f>
        <v>67.567499999999981</v>
      </c>
      <c r="O28" s="362">
        <f>INDEX('BAU CATS Output'!$A$1:$AB$28,MATCH($C28,'BAU CATS Output'!$A$1:$A$28,0),MATCH(O$2,'BAU CATS Output'!$A$1:$AB$1,0))</f>
        <v>88.950653916666667</v>
      </c>
      <c r="P28" s="362">
        <f>INDEX('BAU CATS Output'!$A$1:$AB$28,MATCH($C28,'BAU CATS Output'!$A$1:$A$28,0),MATCH(P$2,'BAU CATS Output'!$A$1:$AB$1,0))</f>
        <v>106.31570783333331</v>
      </c>
      <c r="Q28" s="362">
        <f>INDEX('BAU CATS Output'!$A$1:$AB$28,MATCH($C28,'BAU CATS Output'!$A$1:$A$28,0),MATCH(Q$2,'BAU CATS Output'!$A$1:$AB$1,0))</f>
        <v>129.653683925</v>
      </c>
      <c r="R28" s="362">
        <f>INDEX('BAU CATS Output'!$A$1:$AB$28,MATCH($C28,'BAU CATS Output'!$A$1:$A$28,0),MATCH(R$2,'BAU CATS Output'!$A$1:$AB$1,0))</f>
        <v>155.58310943333331</v>
      </c>
      <c r="S28" s="362">
        <f>INDEX('BAU CATS Output'!$A$1:$AB$28,MATCH($C28,'BAU CATS Output'!$A$1:$A$28,0),MATCH(S$2,'BAU CATS Output'!$A$1:$AB$1,0))</f>
        <v>180.15187690833329</v>
      </c>
      <c r="T28" s="362">
        <f>INDEX('BAU CATS Output'!$A$1:$AB$28,MATCH($C28,'BAU CATS Output'!$A$1:$A$28,0),MATCH(T$2,'BAU CATS Output'!$A$1:$AB$1,0))</f>
        <v>206.37337038333331</v>
      </c>
      <c r="U28" s="362">
        <f>INDEX('BAU CATS Output'!$A$1:$AB$28,MATCH($C28,'BAU CATS Output'!$A$1:$A$28,0),MATCH(U$2,'BAU CATS Output'!$A$1:$AB$1,0))</f>
        <v>233.8010902916667</v>
      </c>
      <c r="V28" s="362">
        <f>INDEX('BAU CATS Output'!$A$1:$AB$28,MATCH($C28,'BAU CATS Output'!$A$1:$A$28,0),MATCH(V$2,'BAU CATS Output'!$A$1:$AB$1,0))</f>
        <v>254.46210859249999</v>
      </c>
      <c r="W28" s="362">
        <f>INDEX('BAU CATS Output'!$A$1:$AB$28,MATCH($C28,'BAU CATS Output'!$A$1:$A$28,0),MATCH(W$2,'BAU CATS Output'!$A$1:$AB$1,0))</f>
        <v>261.97346686616669</v>
      </c>
      <c r="X28" s="362">
        <f>INDEX('BAU CATS Output'!$A$1:$AB$28,MATCH($C28,'BAU CATS Output'!$A$1:$A$28,0),MATCH(X$2,'BAU CATS Output'!$A$1:$AB$1,0))</f>
        <v>269.91590188683341</v>
      </c>
      <c r="Y28" s="362">
        <f>INDEX('BAU CATS Output'!$A$1:$AB$28,MATCH($C28,'BAU CATS Output'!$A$1:$A$28,0),MATCH(Y$2,'BAU CATS Output'!$A$1:$AB$1,0))</f>
        <v>277.12460070933338</v>
      </c>
      <c r="Z28" s="362">
        <f>INDEX('BAU CATS Output'!$A$1:$AB$28,MATCH($C28,'BAU CATS Output'!$A$1:$A$28,0),MATCH(Z$2,'BAU CATS Output'!$A$1:$AB$1,0))</f>
        <v>283.71223942433329</v>
      </c>
      <c r="AA28" s="362">
        <f>INDEX('BAU CATS Output'!$A$1:$AB$28,MATCH($C28,'BAU CATS Output'!$A$1:$A$28,0),MATCH(AA$2,'BAU CATS Output'!$A$1:$AB$1,0))</f>
        <v>289.44595303783342</v>
      </c>
      <c r="AB28" s="362">
        <f>INDEX('BAU CATS Output'!$A$1:$AB$28,MATCH($C28,'BAU CATS Output'!$A$1:$A$28,0),MATCH(AB$2,'BAU CATS Output'!$A$1:$AB$1,0))</f>
        <v>294.68315958283341</v>
      </c>
      <c r="AC28" s="362">
        <f>INDEX('BAU CATS Output'!$A$1:$AB$28,MATCH($C28,'BAU CATS Output'!$A$1:$A$28,0),MATCH(AC$2,'BAU CATS Output'!$A$1:$AB$1,0))</f>
        <v>294.68315957599998</v>
      </c>
    </row>
    <row r="29" spans="1:29">
      <c r="C29" s="68" t="s">
        <v>32</v>
      </c>
      <c r="D29" s="68" t="s">
        <v>13</v>
      </c>
      <c r="E29" s="362">
        <f>INDEX('BAU CATS Output'!$A$1:$AB$28,MATCH($C29,'BAU CATS Output'!$A$1:$A$28,0),MATCH(E$2,'BAU CATS Output'!$A$1:$AB$1,0))</f>
        <v>155.2624472075556</v>
      </c>
      <c r="F29" s="362">
        <f>INDEX('BAU CATS Output'!$A$1:$AB$28,MATCH($C29,'BAU CATS Output'!$A$1:$A$28,0),MATCH(F$2,'BAU CATS Output'!$A$1:$AB$1,0))</f>
        <v>163.9524477132446</v>
      </c>
      <c r="G29" s="362">
        <f>INDEX('BAU CATS Output'!$A$1:$AB$28,MATCH($C29,'BAU CATS Output'!$A$1:$A$28,0),MATCH(G$2,'BAU CATS Output'!$A$1:$AB$1,0))</f>
        <v>165.1882957477504</v>
      </c>
      <c r="H29" s="362">
        <f>INDEX('BAU CATS Output'!$A$1:$AB$28,MATCH($C29,'BAU CATS Output'!$A$1:$A$28,0),MATCH(H$2,'BAU CATS Output'!$A$1:$AB$1,0))</f>
        <v>163.38642495813201</v>
      </c>
      <c r="I29" s="362">
        <f>INDEX('BAU CATS Output'!$A$1:$AB$28,MATCH($C29,'BAU CATS Output'!$A$1:$A$28,0),MATCH(I$2,'BAU CATS Output'!$A$1:$AB$1,0))</f>
        <v>165.4155616643117</v>
      </c>
      <c r="J29" s="362">
        <f>INDEX('BAU CATS Output'!$A$1:$AB$28,MATCH($C29,'BAU CATS Output'!$A$1:$A$28,0),MATCH(J$2,'BAU CATS Output'!$A$1:$AB$1,0))</f>
        <v>157.8013307800997</v>
      </c>
      <c r="K29" s="362">
        <f>INDEX('BAU CATS Output'!$A$1:$AB$28,MATCH($C29,'BAU CATS Output'!$A$1:$A$28,0),MATCH(K$2,'BAU CATS Output'!$A$1:$AB$1,0))</f>
        <v>149.3580882352941</v>
      </c>
      <c r="L29" s="362">
        <f>INDEX('BAU CATS Output'!$A$1:$AB$28,MATCH($C29,'BAU CATS Output'!$A$1:$A$28,0),MATCH(L$2,'BAU CATS Output'!$A$1:$AB$1,0))</f>
        <v>141.7716384695471</v>
      </c>
      <c r="M29" s="362">
        <f>INDEX('BAU CATS Output'!$A$1:$AB$28,MATCH($C29,'BAU CATS Output'!$A$1:$A$28,0),MATCH(M$2,'BAU CATS Output'!$A$1:$AB$1,0))</f>
        <v>134.70107912545541</v>
      </c>
      <c r="N29" s="362">
        <f>INDEX('BAU CATS Output'!$A$1:$AB$28,MATCH($C29,'BAU CATS Output'!$A$1:$A$28,0),MATCH(N$2,'BAU CATS Output'!$A$1:$AB$1,0))</f>
        <v>128.0007997471555</v>
      </c>
      <c r="O29" s="362">
        <f>INDEX('BAU CATS Output'!$A$1:$AB$28,MATCH($C29,'BAU CATS Output'!$A$1:$A$28,0),MATCH(O$2,'BAU CATS Output'!$A$1:$AB$1,0))</f>
        <v>122.5000413623856</v>
      </c>
      <c r="P29" s="362">
        <f>INDEX('BAU CATS Output'!$A$1:$AB$28,MATCH($C29,'BAU CATS Output'!$A$1:$A$28,0),MATCH(P$2,'BAU CATS Output'!$A$1:$AB$1,0))</f>
        <v>116.601357745222</v>
      </c>
      <c r="Q29" s="362">
        <f>INDEX('BAU CATS Output'!$A$1:$AB$28,MATCH($C29,'BAU CATS Output'!$A$1:$A$28,0),MATCH(Q$2,'BAU CATS Output'!$A$1:$AB$1,0))</f>
        <v>110.6093863463969</v>
      </c>
      <c r="R29" s="362">
        <f>INDEX('BAU CATS Output'!$A$1:$AB$28,MATCH($C29,'BAU CATS Output'!$A$1:$A$28,0),MATCH(R$2,'BAU CATS Output'!$A$1:$AB$1,0))</f>
        <v>104.12766515207851</v>
      </c>
      <c r="S29" s="362">
        <f>INDEX('BAU CATS Output'!$A$1:$AB$28,MATCH($C29,'BAU CATS Output'!$A$1:$A$28,0),MATCH(S$2,'BAU CATS Output'!$A$1:$AB$1,0))</f>
        <v>97.118312924815896</v>
      </c>
      <c r="T29" s="362">
        <f>INDEX('BAU CATS Output'!$A$1:$AB$28,MATCH($C29,'BAU CATS Output'!$A$1:$A$28,0),MATCH(T$2,'BAU CATS Output'!$A$1:$AB$1,0))</f>
        <v>89.635311006172387</v>
      </c>
      <c r="U29" s="362">
        <f>INDEX('BAU CATS Output'!$A$1:$AB$28,MATCH($C29,'BAU CATS Output'!$A$1:$A$28,0),MATCH(U$2,'BAU CATS Output'!$A$1:$AB$1,0))</f>
        <v>81.622904179370835</v>
      </c>
      <c r="V29" s="362">
        <f>INDEX('BAU CATS Output'!$A$1:$AB$28,MATCH($C29,'BAU CATS Output'!$A$1:$A$28,0),MATCH(V$2,'BAU CATS Output'!$A$1:$AB$1,0))</f>
        <v>73.049753513794883</v>
      </c>
      <c r="W29" s="362">
        <f>INDEX('BAU CATS Output'!$A$1:$AB$28,MATCH($C29,'BAU CATS Output'!$A$1:$A$28,0),MATCH(W$2,'BAU CATS Output'!$A$1:$AB$1,0))</f>
        <v>64.875267293820173</v>
      </c>
      <c r="X29" s="362">
        <f>INDEX('BAU CATS Output'!$A$1:$AB$28,MATCH($C29,'BAU CATS Output'!$A$1:$A$28,0),MATCH(X$2,'BAU CATS Output'!$A$1:$AB$1,0))</f>
        <v>56.231647423217048</v>
      </c>
      <c r="Y29" s="362">
        <f>INDEX('BAU CATS Output'!$A$1:$AB$28,MATCH($C29,'BAU CATS Output'!$A$1:$A$28,0),MATCH(Y$2,'BAU CATS Output'!$A$1:$AB$1,0))</f>
        <v>48.386540447683487</v>
      </c>
      <c r="Z29" s="362">
        <f>INDEX('BAU CATS Output'!$A$1:$AB$28,MATCH($C29,'BAU CATS Output'!$A$1:$A$28,0),MATCH(Z$2,'BAU CATS Output'!$A$1:$AB$1,0))</f>
        <v>41.217322852680887</v>
      </c>
      <c r="AA29" s="362">
        <f>INDEX('BAU CATS Output'!$A$1:$AB$28,MATCH($C29,'BAU CATS Output'!$A$1:$A$28,0),MATCH(AA$2,'BAU CATS Output'!$A$1:$AB$1,0))</f>
        <v>34.977417736298051</v>
      </c>
      <c r="AB29" s="362">
        <f>INDEX('BAU CATS Output'!$A$1:$AB$28,MATCH($C29,'BAU CATS Output'!$A$1:$A$28,0),MATCH(AB$2,'BAU CATS Output'!$A$1:$AB$1,0))</f>
        <v>29.277853000669289</v>
      </c>
      <c r="AC29" s="362">
        <f>INDEX('BAU CATS Output'!$A$1:$AB$28,MATCH($C29,'BAU CATS Output'!$A$1:$A$28,0),MATCH(AC$2,'BAU CATS Output'!$A$1:$AB$1,0))</f>
        <v>29.27785300810589</v>
      </c>
    </row>
    <row r="30" spans="1:29">
      <c r="C30" s="68" t="s">
        <v>34</v>
      </c>
      <c r="D30" s="68" t="s">
        <v>7</v>
      </c>
      <c r="E30" s="362">
        <f>INDEX('BAU CATS Output'!$A$1:$AB$28,MATCH($C30,'BAU CATS Output'!$A$1:$A$28,0),MATCH(E$2,'BAU CATS Output'!$A$1:$AB$1,0))</f>
        <v>1385.2302780331661</v>
      </c>
      <c r="F30" s="362">
        <f>INDEX('BAU CATS Output'!$A$1:$AB$28,MATCH($C30,'BAU CATS Output'!$A$1:$A$28,0),MATCH(F$2,'BAU CATS Output'!$A$1:$AB$1,0))</f>
        <v>1965.1653570536059</v>
      </c>
      <c r="G30" s="362">
        <f>INDEX('BAU CATS Output'!$A$1:$AB$28,MATCH($C30,'BAU CATS Output'!$A$1:$A$28,0),MATCH(G$2,'BAU CATS Output'!$A$1:$AB$1,0))</f>
        <v>2144.849823411751</v>
      </c>
      <c r="H30" s="362">
        <f>INDEX('BAU CATS Output'!$A$1:$AB$28,MATCH($C30,'BAU CATS Output'!$A$1:$A$28,0),MATCH(H$2,'BAU CATS Output'!$A$1:$AB$1,0))</f>
        <v>1812.5335162117501</v>
      </c>
      <c r="I30" s="362">
        <f>INDEX('BAU CATS Output'!$A$1:$AB$28,MATCH($C30,'BAU CATS Output'!$A$1:$A$28,0),MATCH(I$2,'BAU CATS Output'!$A$1:$AB$1,0))</f>
        <v>1613.143731891751</v>
      </c>
      <c r="J30" s="362">
        <f>INDEX('BAU CATS Output'!$A$1:$AB$28,MATCH($C30,'BAU CATS Output'!$A$1:$A$28,0),MATCH(J$2,'BAU CATS Output'!$A$1:$AB$1,0))</f>
        <v>1493.509861299751</v>
      </c>
      <c r="K30" s="362">
        <f>INDEX('BAU CATS Output'!$A$1:$AB$28,MATCH($C30,'BAU CATS Output'!$A$1:$A$28,0),MATCH(K$2,'BAU CATS Output'!$A$1:$AB$1,0))</f>
        <v>1421.729538944551</v>
      </c>
      <c r="L30" s="362">
        <f>INDEX('BAU CATS Output'!$A$1:$AB$28,MATCH($C30,'BAU CATS Output'!$A$1:$A$28,0),MATCH(L$2,'BAU CATS Output'!$A$1:$AB$1,0))</f>
        <v>1378.6613455314309</v>
      </c>
      <c r="M30" s="362">
        <f>INDEX('BAU CATS Output'!$A$1:$AB$28,MATCH($C30,'BAU CATS Output'!$A$1:$A$28,0),MATCH(M$2,'BAU CATS Output'!$A$1:$AB$1,0))</f>
        <v>1352.820429483558</v>
      </c>
      <c r="N30" s="362">
        <f>INDEX('BAU CATS Output'!$A$1:$AB$28,MATCH($C30,'BAU CATS Output'!$A$1:$A$28,0),MATCH(N$2,'BAU CATS Output'!$A$1:$AB$1,0))</f>
        <v>1337.315879854835</v>
      </c>
      <c r="O30" s="362">
        <f>INDEX('BAU CATS Output'!$A$1:$AB$28,MATCH($C30,'BAU CATS Output'!$A$1:$A$28,0),MATCH(O$2,'BAU CATS Output'!$A$1:$AB$1,0))</f>
        <v>1328.013150077601</v>
      </c>
      <c r="P30" s="362">
        <f>INDEX('BAU CATS Output'!$A$1:$AB$28,MATCH($C30,'BAU CATS Output'!$A$1:$A$28,0),MATCH(P$2,'BAU CATS Output'!$A$1:$AB$1,0))</f>
        <v>1322.431512211261</v>
      </c>
      <c r="Q30" s="362">
        <f>INDEX('BAU CATS Output'!$A$1:$AB$28,MATCH($C30,'BAU CATS Output'!$A$1:$A$28,0),MATCH(Q$2,'BAU CATS Output'!$A$1:$AB$1,0))</f>
        <v>1314.05905541175</v>
      </c>
      <c r="R30" s="362">
        <f>INDEX('BAU CATS Output'!$A$1:$AB$28,MATCH($C30,'BAU CATS Output'!$A$1:$A$28,0),MATCH(R$2,'BAU CATS Output'!$A$1:$AB$1,0))</f>
        <v>1314.05905541175</v>
      </c>
      <c r="S30" s="362">
        <f>INDEX('BAU CATS Output'!$A$1:$AB$28,MATCH($C30,'BAU CATS Output'!$A$1:$A$28,0),MATCH(S$2,'BAU CATS Output'!$A$1:$AB$1,0))</f>
        <v>1314.05905541175</v>
      </c>
      <c r="T30" s="362">
        <f>INDEX('BAU CATS Output'!$A$1:$AB$28,MATCH($C30,'BAU CATS Output'!$A$1:$A$28,0),MATCH(T$2,'BAU CATS Output'!$A$1:$AB$1,0))</f>
        <v>1314.05905541175</v>
      </c>
      <c r="U30" s="362">
        <f>INDEX('BAU CATS Output'!$A$1:$AB$28,MATCH($C30,'BAU CATS Output'!$A$1:$A$28,0),MATCH(U$2,'BAU CATS Output'!$A$1:$AB$1,0))</f>
        <v>1314.05905541175</v>
      </c>
      <c r="V30" s="362">
        <f>INDEX('BAU CATS Output'!$A$1:$AB$28,MATCH($C30,'BAU CATS Output'!$A$1:$A$28,0),MATCH(V$2,'BAU CATS Output'!$A$1:$AB$1,0))</f>
        <v>1314.05905541175</v>
      </c>
      <c r="W30" s="362">
        <f>INDEX('BAU CATS Output'!$A$1:$AB$28,MATCH($C30,'BAU CATS Output'!$A$1:$A$28,0),MATCH(W$2,'BAU CATS Output'!$A$1:$AB$1,0))</f>
        <v>1314.05905541175</v>
      </c>
      <c r="X30" s="362">
        <f>INDEX('BAU CATS Output'!$A$1:$AB$28,MATCH($C30,'BAU CATS Output'!$A$1:$A$28,0),MATCH(X$2,'BAU CATS Output'!$A$1:$AB$1,0))</f>
        <v>1314.05905541175</v>
      </c>
      <c r="Y30" s="362">
        <f>INDEX('BAU CATS Output'!$A$1:$AB$28,MATCH($C30,'BAU CATS Output'!$A$1:$A$28,0),MATCH(Y$2,'BAU CATS Output'!$A$1:$AB$1,0))</f>
        <v>1314.05905541175</v>
      </c>
      <c r="Z30" s="362">
        <f>INDEX('BAU CATS Output'!$A$1:$AB$28,MATCH($C30,'BAU CATS Output'!$A$1:$A$28,0),MATCH(Z$2,'BAU CATS Output'!$A$1:$AB$1,0))</f>
        <v>1314.05905541175</v>
      </c>
      <c r="AA30" s="362">
        <f>INDEX('BAU CATS Output'!$A$1:$AB$28,MATCH($C30,'BAU CATS Output'!$A$1:$A$28,0),MATCH(AA$2,'BAU CATS Output'!$A$1:$AB$1,0))</f>
        <v>1314.05905541175</v>
      </c>
      <c r="AB30" s="362">
        <f>INDEX('BAU CATS Output'!$A$1:$AB$28,MATCH($C30,'BAU CATS Output'!$A$1:$A$28,0),MATCH(AB$2,'BAU CATS Output'!$A$1:$AB$1,0))</f>
        <v>1314.05905541175</v>
      </c>
      <c r="AC30" s="362">
        <f>INDEX('BAU CATS Output'!$A$1:$AB$28,MATCH($C30,'BAU CATS Output'!$A$1:$A$28,0),MATCH(AC$2,'BAU CATS Output'!$A$1:$AB$1,0))</f>
        <v>1314.05905541175</v>
      </c>
    </row>
    <row r="31" spans="1:29">
      <c r="C31" s="10" t="s">
        <v>110</v>
      </c>
      <c r="D31" s="68" t="s">
        <v>13</v>
      </c>
      <c r="E31" s="415">
        <f t="shared" ref="E31:AC31" si="3">SUM(E18,E17,E30)</f>
        <v>3707.5573311736375</v>
      </c>
      <c r="F31" s="415">
        <f t="shared" si="3"/>
        <v>3750.3153853483882</v>
      </c>
      <c r="G31" s="415">
        <f t="shared" si="3"/>
        <v>3636.8870320714191</v>
      </c>
      <c r="H31" s="415">
        <f t="shared" si="3"/>
        <v>3611.0398024387582</v>
      </c>
      <c r="I31" s="415">
        <f t="shared" si="3"/>
        <v>3577.5722839184764</v>
      </c>
      <c r="J31" s="415">
        <f t="shared" si="3"/>
        <v>3523.104210561939</v>
      </c>
      <c r="K31" s="415">
        <f t="shared" si="3"/>
        <v>3470.3742839333072</v>
      </c>
      <c r="L31" s="415">
        <f t="shared" si="3"/>
        <v>3400.1555678386303</v>
      </c>
      <c r="M31" s="415">
        <f t="shared" si="3"/>
        <v>3314.5138599383499</v>
      </c>
      <c r="N31" s="415">
        <f t="shared" si="3"/>
        <v>3237.6313527381535</v>
      </c>
      <c r="O31" s="415">
        <f t="shared" si="3"/>
        <v>3167.5701491646705</v>
      </c>
      <c r="P31" s="415">
        <f t="shared" si="3"/>
        <v>3110.869329989272</v>
      </c>
      <c r="Q31" s="415">
        <f t="shared" si="3"/>
        <v>3034.3469311213194</v>
      </c>
      <c r="R31" s="415">
        <f t="shared" si="3"/>
        <v>2949.7015870296991</v>
      </c>
      <c r="S31" s="415">
        <f t="shared" si="3"/>
        <v>2873.8286632697536</v>
      </c>
      <c r="T31" s="415">
        <f t="shared" si="3"/>
        <v>2796.6950826718503</v>
      </c>
      <c r="U31" s="415">
        <f t="shared" si="3"/>
        <v>2717.7849024085954</v>
      </c>
      <c r="V31" s="415">
        <f t="shared" si="3"/>
        <v>2635.622175941724</v>
      </c>
      <c r="W31" s="415">
        <f t="shared" si="3"/>
        <v>2590.9133776744529</v>
      </c>
      <c r="X31" s="415">
        <f t="shared" si="3"/>
        <v>2539.9998739710254</v>
      </c>
      <c r="Y31" s="415">
        <f t="shared" si="3"/>
        <v>2481.5759434140232</v>
      </c>
      <c r="Z31" s="415">
        <f t="shared" si="3"/>
        <v>2481.3857597373667</v>
      </c>
      <c r="AA31" s="415">
        <f t="shared" si="3"/>
        <v>2484.7408208216239</v>
      </c>
      <c r="AB31" s="415">
        <f t="shared" si="3"/>
        <v>2493.9115342000723</v>
      </c>
      <c r="AC31" s="415">
        <f t="shared" si="3"/>
        <v>2497.1052932318262</v>
      </c>
    </row>
    <row r="32" spans="1:29">
      <c r="C32" s="68" t="s">
        <v>11</v>
      </c>
      <c r="D32" s="68" t="s">
        <v>7</v>
      </c>
      <c r="E32" s="362">
        <f>INDEX('BAU CATS Output'!$A$1:$AB$28,MATCH($C32,'BAU CATS Output'!$A$1:$A$28,0),MATCH(E$2,'BAU CATS Output'!$A$1:$AB$1,0))</f>
        <v>498.1990930995043</v>
      </c>
      <c r="F32" s="362">
        <f>INDEX('BAU CATS Output'!$A$1:$AB$28,MATCH($C32,'BAU CATS Output'!$A$1:$A$28,0),MATCH(F$2,'BAU CATS Output'!$A$1:$AB$1,0))</f>
        <v>497.75217017155933</v>
      </c>
      <c r="G32" s="362">
        <f>INDEX('BAU CATS Output'!$A$1:$AB$28,MATCH($C32,'BAU CATS Output'!$A$1:$A$28,0),MATCH(G$2,'BAU CATS Output'!$A$1:$AB$1,0))</f>
        <v>519.83275540973443</v>
      </c>
      <c r="H32" s="362">
        <f>INDEX('BAU CATS Output'!$A$1:$AB$28,MATCH($C32,'BAU CATS Output'!$A$1:$A$28,0),MATCH(H$2,'BAU CATS Output'!$A$1:$AB$1,0))</f>
        <v>522.98009198671639</v>
      </c>
      <c r="I32" s="362">
        <f>INDEX('BAU CATS Output'!$A$1:$AB$28,MATCH($C32,'BAU CATS Output'!$A$1:$A$28,0),MATCH(I$2,'BAU CATS Output'!$A$1:$AB$1,0))</f>
        <v>519.49400373542176</v>
      </c>
      <c r="J32" s="362">
        <f>INDEX('BAU CATS Output'!$A$1:$AB$28,MATCH($C32,'BAU CATS Output'!$A$1:$A$28,0),MATCH(J$2,'BAU CATS Output'!$A$1:$AB$1,0))</f>
        <v>514.79405571640268</v>
      </c>
      <c r="K32" s="362">
        <f>INDEX('BAU CATS Output'!$A$1:$AB$28,MATCH($C32,'BAU CATS Output'!$A$1:$A$28,0),MATCH(K$2,'BAU CATS Output'!$A$1:$AB$1,0))</f>
        <v>508.66927933045821</v>
      </c>
      <c r="L32" s="362">
        <f>INDEX('BAU CATS Output'!$A$1:$AB$28,MATCH($C32,'BAU CATS Output'!$A$1:$A$28,0),MATCH(L$2,'BAU CATS Output'!$A$1:$AB$1,0))</f>
        <v>501.13225739519339</v>
      </c>
      <c r="M32" s="362">
        <f>INDEX('BAU CATS Output'!$A$1:$AB$28,MATCH($C32,'BAU CATS Output'!$A$1:$A$28,0),MATCH(M$2,'BAU CATS Output'!$A$1:$AB$1,0))</f>
        <v>492.98068126034019</v>
      </c>
      <c r="N32" s="362">
        <f>INDEX('BAU CATS Output'!$A$1:$AB$28,MATCH($C32,'BAU CATS Output'!$A$1:$A$28,0),MATCH(N$2,'BAU CATS Output'!$A$1:$AB$1,0))</f>
        <v>501.53553021305402</v>
      </c>
      <c r="O32" s="362">
        <f>INDEX('BAU CATS Output'!$A$1:$AB$28,MATCH($C32,'BAU CATS Output'!$A$1:$A$28,0),MATCH(O$2,'BAU CATS Output'!$A$1:$AB$1,0))</f>
        <v>510.01321348632172</v>
      </c>
      <c r="P32" s="362">
        <f>INDEX('BAU CATS Output'!$A$1:$AB$28,MATCH($C32,'BAU CATS Output'!$A$1:$A$28,0),MATCH(P$2,'BAU CATS Output'!$A$1:$AB$1,0))</f>
        <v>518.42487286393066</v>
      </c>
      <c r="Q32" s="362">
        <f>INDEX('BAU CATS Output'!$A$1:$AB$28,MATCH($C32,'BAU CATS Output'!$A$1:$A$28,0),MATCH(Q$2,'BAU CATS Output'!$A$1:$AB$1,0))</f>
        <v>526.77999363831225</v>
      </c>
      <c r="R32" s="362">
        <f>INDEX('BAU CATS Output'!$A$1:$AB$28,MATCH($C32,'BAU CATS Output'!$A$1:$A$28,0),MATCH(R$2,'BAU CATS Output'!$A$1:$AB$1,0))</f>
        <v>535.04402220865165</v>
      </c>
      <c r="S32" s="362">
        <f>INDEX('BAU CATS Output'!$A$1:$AB$28,MATCH($C32,'BAU CATS Output'!$A$1:$A$28,0),MATCH(S$2,'BAU CATS Output'!$A$1:$AB$1,0))</f>
        <v>543.24060748505258</v>
      </c>
      <c r="T32" s="362">
        <f>INDEX('BAU CATS Output'!$A$1:$AB$28,MATCH($C32,'BAU CATS Output'!$A$1:$A$28,0),MATCH(T$2,'BAU CATS Output'!$A$1:$AB$1,0))</f>
        <v>551.37948089717611</v>
      </c>
      <c r="U32" s="362">
        <f>INDEX('BAU CATS Output'!$A$1:$AB$28,MATCH($C32,'BAU CATS Output'!$A$1:$A$28,0),MATCH(U$2,'BAU CATS Output'!$A$1:$AB$1,0))</f>
        <v>559.44610084380213</v>
      </c>
      <c r="V32" s="362">
        <f>INDEX('BAU CATS Output'!$A$1:$AB$28,MATCH($C32,'BAU CATS Output'!$A$1:$A$28,0),MATCH(V$2,'BAU CATS Output'!$A$1:$AB$1,0))</f>
        <v>567.4180424297723</v>
      </c>
      <c r="W32" s="362">
        <f>INDEX('BAU CATS Output'!$A$1:$AB$28,MATCH($C32,'BAU CATS Output'!$A$1:$A$28,0),MATCH(W$2,'BAU CATS Output'!$A$1:$AB$1,0))</f>
        <v>575.32677449229618</v>
      </c>
      <c r="X32" s="362">
        <f>INDEX('BAU CATS Output'!$A$1:$AB$28,MATCH($C32,'BAU CATS Output'!$A$1:$A$28,0),MATCH(X$2,'BAU CATS Output'!$A$1:$AB$1,0))</f>
        <v>583.15029667300541</v>
      </c>
      <c r="Y32" s="362">
        <f>INDEX('BAU CATS Output'!$A$1:$AB$28,MATCH($C32,'BAU CATS Output'!$A$1:$A$28,0),MATCH(Y$2,'BAU CATS Output'!$A$1:$AB$1,0))</f>
        <v>590.90571504128593</v>
      </c>
      <c r="Z32" s="362">
        <f>INDEX('BAU CATS Output'!$A$1:$AB$28,MATCH($C32,'BAU CATS Output'!$A$1:$A$28,0),MATCH(Z$2,'BAU CATS Output'!$A$1:$AB$1,0))</f>
        <v>598.58162329900608</v>
      </c>
      <c r="AA32" s="362">
        <f>INDEX('BAU CATS Output'!$A$1:$AB$28,MATCH($C32,'BAU CATS Output'!$A$1:$A$28,0),MATCH(AA$2,'BAU CATS Output'!$A$1:$AB$1,0))</f>
        <v>606.18415909770977</v>
      </c>
      <c r="AB32" s="362">
        <f>INDEX('BAU CATS Output'!$A$1:$AB$28,MATCH($C32,'BAU CATS Output'!$A$1:$A$28,0),MATCH(AB$2,'BAU CATS Output'!$A$1:$AB$1,0))</f>
        <v>613.71293190746974</v>
      </c>
      <c r="AC32" s="362">
        <f>INDEX('BAU CATS Output'!$A$1:$AB$28,MATCH($C32,'BAU CATS Output'!$A$1:$A$28,0),MATCH(AC$2,'BAU CATS Output'!$A$1:$AB$1,0))</f>
        <v>621.42805956282609</v>
      </c>
    </row>
    <row r="33" spans="3:29">
      <c r="C33" s="68" t="s">
        <v>6</v>
      </c>
      <c r="D33" s="68" t="s">
        <v>7</v>
      </c>
      <c r="E33" s="362">
        <f>INDEX('BAU CATS Output'!$A$1:$AB$28,MATCH($C33,'BAU CATS Output'!$A$1:$A$28,0),MATCH(E$2,'BAU CATS Output'!$A$1:$AB$1,0))</f>
        <v>5.8022944923636954</v>
      </c>
      <c r="F33" s="362">
        <f>INDEX('BAU CATS Output'!$A$1:$AB$28,MATCH($C33,'BAU CATS Output'!$A$1:$A$28,0),MATCH(F$2,'BAU CATS Output'!$A$1:$AB$1,0))</f>
        <v>11.518694998813009</v>
      </c>
      <c r="G33" s="362">
        <f>INDEX('BAU CATS Output'!$A$1:$AB$28,MATCH($C33,'BAU CATS Output'!$A$1:$A$28,0),MATCH(G$2,'BAU CATS Output'!$A$1:$AB$1,0))</f>
        <v>3.3704153781382762</v>
      </c>
      <c r="H33" s="362">
        <f>INDEX('BAU CATS Output'!$A$1:$AB$28,MATCH($C33,'BAU CATS Output'!$A$1:$A$28,0),MATCH(H$2,'BAU CATS Output'!$A$1:$AB$1,0))</f>
        <v>3.3704153781382749</v>
      </c>
      <c r="I33" s="362">
        <f>INDEX('BAU CATS Output'!$A$1:$AB$28,MATCH($C33,'BAU CATS Output'!$A$1:$A$28,0),MATCH(I$2,'BAU CATS Output'!$A$1:$AB$1,0))</f>
        <v>3.3704153781382762</v>
      </c>
      <c r="J33" s="362">
        <f>INDEX('BAU CATS Output'!$A$1:$AB$28,MATCH($C33,'BAU CATS Output'!$A$1:$A$28,0),MATCH(J$2,'BAU CATS Output'!$A$1:$AB$1,0))</f>
        <v>3.3704153781382762</v>
      </c>
      <c r="K33" s="362">
        <f>INDEX('BAU CATS Output'!$A$1:$AB$28,MATCH($C33,'BAU CATS Output'!$A$1:$A$28,0),MATCH(K$2,'BAU CATS Output'!$A$1:$AB$1,0))</f>
        <v>3.3704153781382762</v>
      </c>
      <c r="L33" s="362">
        <f>INDEX('BAU CATS Output'!$A$1:$AB$28,MATCH($C33,'BAU CATS Output'!$A$1:$A$28,0),MATCH(L$2,'BAU CATS Output'!$A$1:$AB$1,0))</f>
        <v>3.3704153781382762</v>
      </c>
      <c r="M33" s="362">
        <f>INDEX('BAU CATS Output'!$A$1:$AB$28,MATCH($C33,'BAU CATS Output'!$A$1:$A$28,0),MATCH(M$2,'BAU CATS Output'!$A$1:$AB$1,0))</f>
        <v>3.3704153781382749</v>
      </c>
      <c r="N33" s="362">
        <f>INDEX('BAU CATS Output'!$A$1:$AB$28,MATCH($C33,'BAU CATS Output'!$A$1:$A$28,0),MATCH(N$2,'BAU CATS Output'!$A$1:$AB$1,0))</f>
        <v>3.3704153781382749</v>
      </c>
      <c r="O33" s="362">
        <f>INDEX('BAU CATS Output'!$A$1:$AB$28,MATCH($C33,'BAU CATS Output'!$A$1:$A$28,0),MATCH(O$2,'BAU CATS Output'!$A$1:$AB$1,0))</f>
        <v>3.3704153781382749</v>
      </c>
      <c r="P33" s="362">
        <f>INDEX('BAU CATS Output'!$A$1:$AB$28,MATCH($C33,'BAU CATS Output'!$A$1:$A$28,0),MATCH(P$2,'BAU CATS Output'!$A$1:$AB$1,0))</f>
        <v>3.3704153781382749</v>
      </c>
      <c r="Q33" s="362">
        <f>INDEX('BAU CATS Output'!$A$1:$AB$28,MATCH($C33,'BAU CATS Output'!$A$1:$A$28,0),MATCH(Q$2,'BAU CATS Output'!$A$1:$AB$1,0))</f>
        <v>3.3704153781382749</v>
      </c>
      <c r="R33" s="362">
        <f>INDEX('BAU CATS Output'!$A$1:$AB$28,MATCH($C33,'BAU CATS Output'!$A$1:$A$28,0),MATCH(R$2,'BAU CATS Output'!$A$1:$AB$1,0))</f>
        <v>3.3704153781382749</v>
      </c>
      <c r="S33" s="362">
        <f>INDEX('BAU CATS Output'!$A$1:$AB$28,MATCH($C33,'BAU CATS Output'!$A$1:$A$28,0),MATCH(S$2,'BAU CATS Output'!$A$1:$AB$1,0))</f>
        <v>3.3704153781382749</v>
      </c>
      <c r="T33" s="362">
        <f>INDEX('BAU CATS Output'!$A$1:$AB$28,MATCH($C33,'BAU CATS Output'!$A$1:$A$28,0),MATCH(T$2,'BAU CATS Output'!$A$1:$AB$1,0))</f>
        <v>3.3704153781382749</v>
      </c>
      <c r="U33" s="362">
        <f>INDEX('BAU CATS Output'!$A$1:$AB$28,MATCH($C33,'BAU CATS Output'!$A$1:$A$28,0),MATCH(U$2,'BAU CATS Output'!$A$1:$AB$1,0))</f>
        <v>3.3704153781382749</v>
      </c>
      <c r="V33" s="362">
        <f>INDEX('BAU CATS Output'!$A$1:$AB$28,MATCH($C33,'BAU CATS Output'!$A$1:$A$28,0),MATCH(V$2,'BAU CATS Output'!$A$1:$AB$1,0))</f>
        <v>3.3704153781382749</v>
      </c>
      <c r="W33" s="362">
        <f>INDEX('BAU CATS Output'!$A$1:$AB$28,MATCH($C33,'BAU CATS Output'!$A$1:$A$28,0),MATCH(W$2,'BAU CATS Output'!$A$1:$AB$1,0))</f>
        <v>3.3704153781382749</v>
      </c>
      <c r="X33" s="362">
        <f>INDEX('BAU CATS Output'!$A$1:$AB$28,MATCH($C33,'BAU CATS Output'!$A$1:$A$28,0),MATCH(X$2,'BAU CATS Output'!$A$1:$AB$1,0))</f>
        <v>3.3704153781382749</v>
      </c>
      <c r="Y33" s="362">
        <f>INDEX('BAU CATS Output'!$A$1:$AB$28,MATCH($C33,'BAU CATS Output'!$A$1:$A$28,0),MATCH(Y$2,'BAU CATS Output'!$A$1:$AB$1,0))</f>
        <v>3.3704153781382749</v>
      </c>
      <c r="Z33" s="362">
        <f>INDEX('BAU CATS Output'!$A$1:$AB$28,MATCH($C33,'BAU CATS Output'!$A$1:$A$28,0),MATCH(Z$2,'BAU CATS Output'!$A$1:$AB$1,0))</f>
        <v>3.3704153781382749</v>
      </c>
      <c r="AA33" s="362">
        <f>INDEX('BAU CATS Output'!$A$1:$AB$28,MATCH($C33,'BAU CATS Output'!$A$1:$A$28,0),MATCH(AA$2,'BAU CATS Output'!$A$1:$AB$1,0))</f>
        <v>3.3704153781382749</v>
      </c>
      <c r="AB33" s="362">
        <f>INDEX('BAU CATS Output'!$A$1:$AB$28,MATCH($C33,'BAU CATS Output'!$A$1:$A$28,0),MATCH(AB$2,'BAU CATS Output'!$A$1:$AB$1,0))</f>
        <v>3.3704153781382749</v>
      </c>
      <c r="AC33" s="362">
        <f>INDEX('BAU CATS Output'!$A$1:$AB$28,MATCH($C33,'BAU CATS Output'!$A$1:$A$28,0),MATCH(AC$2,'BAU CATS Output'!$A$1:$AB$1,0))</f>
        <v>3.3704153781382749</v>
      </c>
    </row>
    <row r="34" spans="3:29">
      <c r="C34" s="68" t="s">
        <v>8</v>
      </c>
      <c r="D34" s="68" t="s">
        <v>7</v>
      </c>
      <c r="E34" s="362">
        <f>INDEX('BAU CATS Output'!$A$1:$AB$28,MATCH($C34,'BAU CATS Output'!$A$1:$A$28,0),MATCH(E$2,'BAU CATS Output'!$A$1:$AB$1,0))</f>
        <v>5.8022944923636954</v>
      </c>
      <c r="F34" s="362">
        <f>INDEX('BAU CATS Output'!$A$1:$AB$28,MATCH($C34,'BAU CATS Output'!$A$1:$A$28,0),MATCH(F$2,'BAU CATS Output'!$A$1:$AB$1,0))</f>
        <v>11.518694998813039</v>
      </c>
      <c r="G34" s="362">
        <f>INDEX('BAU CATS Output'!$A$1:$AB$28,MATCH($C34,'BAU CATS Output'!$A$1:$A$28,0),MATCH(G$2,'BAU CATS Output'!$A$1:$AB$1,0))</f>
        <v>2.1308859513966931</v>
      </c>
      <c r="H34" s="362">
        <f>INDEX('BAU CATS Output'!$A$1:$AB$28,MATCH($C34,'BAU CATS Output'!$A$1:$A$28,0),MATCH(H$2,'BAU CATS Output'!$A$1:$AB$1,0))</f>
        <v>1.2785315708380149</v>
      </c>
      <c r="I34" s="362">
        <f>INDEX('BAU CATS Output'!$A$1:$AB$28,MATCH($C34,'BAU CATS Output'!$A$1:$A$28,0),MATCH(I$2,'BAU CATS Output'!$A$1:$AB$1,0))</f>
        <v>0.7671189425028091</v>
      </c>
      <c r="J34" s="362">
        <f>INDEX('BAU CATS Output'!$A$1:$AB$28,MATCH($C34,'BAU CATS Output'!$A$1:$A$28,0),MATCH(J$2,'BAU CATS Output'!$A$1:$AB$1,0))</f>
        <v>0.46027136550168551</v>
      </c>
      <c r="K34" s="362">
        <f>INDEX('BAU CATS Output'!$A$1:$AB$28,MATCH($C34,'BAU CATS Output'!$A$1:$A$28,0),MATCH(K$2,'BAU CATS Output'!$A$1:$AB$1,0))</f>
        <v>0.27616281930101128</v>
      </c>
      <c r="L34" s="362">
        <f>INDEX('BAU CATS Output'!$A$1:$AB$28,MATCH($C34,'BAU CATS Output'!$A$1:$A$28,0),MATCH(L$2,'BAU CATS Output'!$A$1:$AB$1,0))</f>
        <v>0.16569769158060679</v>
      </c>
      <c r="M34" s="362">
        <f>INDEX('BAU CATS Output'!$A$1:$AB$28,MATCH($C34,'BAU CATS Output'!$A$1:$A$28,0),MATCH(M$2,'BAU CATS Output'!$A$1:$AB$1,0))</f>
        <v>9.9418614948364029E-2</v>
      </c>
      <c r="N34" s="362">
        <f>INDEX('BAU CATS Output'!$A$1:$AB$28,MATCH($C34,'BAU CATS Output'!$A$1:$A$28,0),MATCH(N$2,'BAU CATS Output'!$A$1:$AB$1,0))</f>
        <v>5.9651168969018412E-2</v>
      </c>
      <c r="O34" s="362">
        <f>INDEX('BAU CATS Output'!$A$1:$AB$28,MATCH($C34,'BAU CATS Output'!$A$1:$A$28,0),MATCH(O$2,'BAU CATS Output'!$A$1:$AB$1,0))</f>
        <v>3.579070138141105E-2</v>
      </c>
      <c r="P34" s="362">
        <f>INDEX('BAU CATS Output'!$A$1:$AB$28,MATCH($C34,'BAU CATS Output'!$A$1:$A$28,0),MATCH(P$2,'BAU CATS Output'!$A$1:$AB$1,0))</f>
        <v>2.1474420828846631E-2</v>
      </c>
      <c r="Q34" s="362">
        <f>INDEX('BAU CATS Output'!$A$1:$AB$28,MATCH($C34,'BAU CATS Output'!$A$1:$A$28,0),MATCH(Q$2,'BAU CATS Output'!$A$1:$AB$1,0))</f>
        <v>0</v>
      </c>
      <c r="R34" s="362">
        <f>INDEX('BAU CATS Output'!$A$1:$AB$28,MATCH($C34,'BAU CATS Output'!$A$1:$A$28,0),MATCH(R$2,'BAU CATS Output'!$A$1:$AB$1,0))</f>
        <v>0</v>
      </c>
      <c r="S34" s="362">
        <f>INDEX('BAU CATS Output'!$A$1:$AB$28,MATCH($C34,'BAU CATS Output'!$A$1:$A$28,0),MATCH(S$2,'BAU CATS Output'!$A$1:$AB$1,0))</f>
        <v>0</v>
      </c>
      <c r="T34" s="362">
        <f>INDEX('BAU CATS Output'!$A$1:$AB$28,MATCH($C34,'BAU CATS Output'!$A$1:$A$28,0),MATCH(T$2,'BAU CATS Output'!$A$1:$AB$1,0))</f>
        <v>0</v>
      </c>
      <c r="U34" s="362">
        <f>INDEX('BAU CATS Output'!$A$1:$AB$28,MATCH($C34,'BAU CATS Output'!$A$1:$A$28,0),MATCH(U$2,'BAU CATS Output'!$A$1:$AB$1,0))</f>
        <v>0</v>
      </c>
      <c r="V34" s="362">
        <f>INDEX('BAU CATS Output'!$A$1:$AB$28,MATCH($C34,'BAU CATS Output'!$A$1:$A$28,0),MATCH(V$2,'BAU CATS Output'!$A$1:$AB$1,0))</f>
        <v>0</v>
      </c>
      <c r="W34" s="362">
        <f>INDEX('BAU CATS Output'!$A$1:$AB$28,MATCH($C34,'BAU CATS Output'!$A$1:$A$28,0),MATCH(W$2,'BAU CATS Output'!$A$1:$AB$1,0))</f>
        <v>0</v>
      </c>
      <c r="X34" s="362">
        <f>INDEX('BAU CATS Output'!$A$1:$AB$28,MATCH($C34,'BAU CATS Output'!$A$1:$A$28,0),MATCH(X$2,'BAU CATS Output'!$A$1:$AB$1,0))</f>
        <v>0</v>
      </c>
      <c r="Y34" s="362">
        <f>INDEX('BAU CATS Output'!$A$1:$AB$28,MATCH($C34,'BAU CATS Output'!$A$1:$A$28,0),MATCH(Y$2,'BAU CATS Output'!$A$1:$AB$1,0))</f>
        <v>0</v>
      </c>
      <c r="Z34" s="362">
        <f>INDEX('BAU CATS Output'!$A$1:$AB$28,MATCH($C34,'BAU CATS Output'!$A$1:$A$28,0),MATCH(Z$2,'BAU CATS Output'!$A$1:$AB$1,0))</f>
        <v>0</v>
      </c>
      <c r="AA34" s="362">
        <f>INDEX('BAU CATS Output'!$A$1:$AB$28,MATCH($C34,'BAU CATS Output'!$A$1:$A$28,0),MATCH(AA$2,'BAU CATS Output'!$A$1:$AB$1,0))</f>
        <v>0</v>
      </c>
      <c r="AB34" s="362">
        <f>INDEX('BAU CATS Output'!$A$1:$AB$28,MATCH($C34,'BAU CATS Output'!$A$1:$A$28,0),MATCH(AB$2,'BAU CATS Output'!$A$1:$AB$1,0))</f>
        <v>0</v>
      </c>
      <c r="AC34" s="362">
        <f>INDEX('BAU CATS Output'!$A$1:$AB$28,MATCH($C34,'BAU CATS Output'!$A$1:$A$28,0),MATCH(AC$2,'BAU CATS Output'!$A$1:$AB$1,0))</f>
        <v>0</v>
      </c>
    </row>
    <row r="35" spans="3:29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7" spans="3:29">
      <c r="C37" s="60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3:29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3:29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3:29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3:29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3:29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3:29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3:29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3:29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3:29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3:29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3:29">
      <c r="E48" s="8"/>
      <c r="F48" s="8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spans="3:21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3:21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3:21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3:21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3:21"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</row>
    <row r="54" spans="3:21"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</row>
    <row r="55" spans="3:21">
      <c r="E55" s="60"/>
      <c r="F55" s="60"/>
      <c r="G55" s="60"/>
      <c r="H55" s="60"/>
      <c r="I55" s="60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3:21">
      <c r="E56" s="60"/>
      <c r="F56" s="60"/>
      <c r="G56" s="60"/>
      <c r="H56" s="60"/>
      <c r="I56" s="60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3:21">
      <c r="E57" s="60"/>
      <c r="F57" s="60"/>
      <c r="G57" s="60"/>
      <c r="H57" s="60"/>
      <c r="I57" s="60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61" spans="3:21">
      <c r="C61" s="60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</row>
    <row r="62" spans="3:21"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3:21"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3:21"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</row>
    <row r="65" spans="5:21"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</row>
    <row r="66" spans="5:21"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</row>
    <row r="67" spans="5:21"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</row>
    <row r="68" spans="5:21">
      <c r="E68" s="28"/>
      <c r="F68" s="28"/>
      <c r="G68" s="28"/>
      <c r="H68" s="28"/>
      <c r="I68" s="28"/>
      <c r="J68" s="28"/>
      <c r="K68" s="28"/>
    </row>
    <row r="70" spans="5:21"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</row>
    <row r="71" spans="5:21"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</row>
    <row r="72" spans="5:21"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</row>
    <row r="73" spans="5:21"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</row>
    <row r="74" spans="5:21"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</row>
    <row r="75" spans="5:21"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</row>
    <row r="76" spans="5:21"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</row>
    <row r="77" spans="5:21"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</row>
    <row r="78" spans="5:21"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</row>
    <row r="80" spans="5:21"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</row>
    <row r="81" spans="3:21"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</row>
    <row r="82" spans="3:21"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</row>
    <row r="86" spans="3:21">
      <c r="C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</row>
    <row r="87" spans="3:21"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</row>
    <row r="88" spans="3:21"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</row>
    <row r="89" spans="3:21"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</row>
    <row r="90" spans="3:21"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</row>
    <row r="91" spans="3:21"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</row>
    <row r="92" spans="3:21"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</row>
    <row r="93" spans="3:21"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</row>
    <row r="94" spans="3:21"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</row>
    <row r="96" spans="3:21"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</row>
    <row r="97" spans="5:21"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</row>
    <row r="98" spans="5:21"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</row>
    <row r="99" spans="5:21"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</row>
    <row r="100" spans="5:21"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</row>
    <row r="101" spans="5:21"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</row>
    <row r="102" spans="5:21"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</row>
    <row r="103" spans="5:21"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</row>
    <row r="104" spans="5:21"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</row>
    <row r="105" spans="5:21"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</row>
    <row r="107" spans="5:21"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</row>
    <row r="108" spans="5:21"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</row>
    <row r="109" spans="5:21"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</row>
    <row r="110" spans="5:21"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</row>
    <row r="111" spans="5:21"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</row>
    <row r="112" spans="5:21"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</row>
    <row r="113" spans="4:21"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</row>
    <row r="114" spans="4:21"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</row>
    <row r="115" spans="4:21"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</row>
    <row r="118" spans="4:21"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</row>
    <row r="120" spans="4:21"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</row>
    <row r="121" spans="4:21"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</row>
    <row r="122" spans="4:21"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</row>
    <row r="123" spans="4:21"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</row>
    <row r="124" spans="4:21"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</row>
    <row r="125" spans="4:21"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</row>
    <row r="126" spans="4:21"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</row>
    <row r="127" spans="4:21"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</row>
    <row r="128" spans="4:21"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</row>
    <row r="129" spans="5:21"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</row>
    <row r="133" spans="5:21">
      <c r="L133" s="98"/>
      <c r="M133" s="98"/>
      <c r="N133" s="98"/>
      <c r="O133" s="98"/>
      <c r="P133" s="98"/>
      <c r="Q133" s="98"/>
      <c r="R133" s="98"/>
      <c r="S133" s="98"/>
      <c r="T133" s="98"/>
      <c r="U133" s="98"/>
    </row>
    <row r="153" spans="4:4">
      <c r="D153" s="60"/>
    </row>
    <row r="154" spans="4:4">
      <c r="D154" s="60"/>
    </row>
    <row r="155" spans="4:4">
      <c r="D155" s="60"/>
    </row>
    <row r="156" spans="4:4">
      <c r="D156" s="60"/>
    </row>
    <row r="157" spans="4:4">
      <c r="D157" s="8"/>
    </row>
    <row r="158" spans="4:4">
      <c r="D158" s="60"/>
    </row>
    <row r="159" spans="4:4">
      <c r="D159" s="60"/>
    </row>
    <row r="160" spans="4:4">
      <c r="D160" s="60"/>
    </row>
    <row r="161" spans="4:4">
      <c r="D161" s="60"/>
    </row>
    <row r="162" spans="4:4">
      <c r="D162" s="60"/>
    </row>
    <row r="163" spans="4:4">
      <c r="D163" s="60"/>
    </row>
    <row r="164" spans="4:4">
      <c r="D164" s="28"/>
    </row>
    <row r="165" spans="4:4">
      <c r="D165" s="26"/>
    </row>
    <row r="169" spans="4:4">
      <c r="D169" s="122"/>
    </row>
    <row r="170" spans="4:4">
      <c r="D170" s="122"/>
    </row>
    <row r="171" spans="4:4">
      <c r="D171" s="122"/>
    </row>
    <row r="172" spans="4:4">
      <c r="D172" s="122"/>
    </row>
    <row r="173" spans="4:4">
      <c r="D173" s="122"/>
    </row>
    <row r="174" spans="4:4">
      <c r="D174" s="122"/>
    </row>
    <row r="175" spans="4:4">
      <c r="D175" s="122"/>
    </row>
    <row r="176" spans="4:4">
      <c r="D176" s="122"/>
    </row>
  </sheetData>
  <sortState xmlns:xlrd2="http://schemas.microsoft.com/office/spreadsheetml/2017/richdata2" ref="A4:AC15">
    <sortCondition ref="C4:C15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3DA5-F2CD-4BD4-AC02-57409682A02E}">
  <sheetPr>
    <tabColor rgb="FFB889DB"/>
  </sheetPr>
  <dimension ref="A1:BD220"/>
  <sheetViews>
    <sheetView topLeftCell="F150" zoomScale="89" zoomScaleNormal="89" workbookViewId="0">
      <selection activeCell="N170" sqref="N170"/>
    </sheetView>
  </sheetViews>
  <sheetFormatPr defaultRowHeight="15"/>
  <cols>
    <col min="1" max="1" width="10.85546875" customWidth="1"/>
    <col min="2" max="2" width="21.7109375" customWidth="1"/>
    <col min="6" max="6" width="11" bestFit="1" customWidth="1"/>
    <col min="29" max="29" width="14.85546875" bestFit="1" customWidth="1"/>
  </cols>
  <sheetData>
    <row r="1" spans="1:56" ht="15.75" customHeight="1">
      <c r="A1" s="520" t="s">
        <v>18925</v>
      </c>
      <c r="B1" s="86"/>
      <c r="C1" s="87"/>
      <c r="D1" s="518" t="s">
        <v>18926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</row>
    <row r="2" spans="1:56">
      <c r="A2" s="520"/>
      <c r="B2" s="88" t="s">
        <v>18814</v>
      </c>
      <c r="C2" s="88" t="s">
        <v>1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56">
      <c r="A3" s="520"/>
      <c r="B3" s="2" t="s">
        <v>249</v>
      </c>
      <c r="C3" s="2" t="s">
        <v>18938</v>
      </c>
      <c r="D3">
        <v>0</v>
      </c>
      <c r="E3">
        <v>0</v>
      </c>
      <c r="F3" s="79">
        <v>0</v>
      </c>
      <c r="G3" s="79">
        <v>0</v>
      </c>
      <c r="H3" s="79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79">
        <v>0</v>
      </c>
      <c r="S3" s="79">
        <v>0</v>
      </c>
      <c r="T3" s="79">
        <v>0</v>
      </c>
      <c r="U3" s="79">
        <v>0</v>
      </c>
      <c r="V3" s="79">
        <v>0</v>
      </c>
      <c r="W3" s="79">
        <v>0</v>
      </c>
      <c r="X3" s="79">
        <v>0</v>
      </c>
      <c r="Y3" s="79">
        <v>0</v>
      </c>
      <c r="Z3" s="79">
        <v>0</v>
      </c>
      <c r="AA3" s="79">
        <v>0</v>
      </c>
      <c r="AB3" s="80">
        <v>0</v>
      </c>
      <c r="AC3" s="60"/>
      <c r="AE3" s="2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</row>
    <row r="4" spans="1:56">
      <c r="A4" s="520"/>
      <c r="B4" s="2" t="s">
        <v>416</v>
      </c>
      <c r="C4" s="2" t="s">
        <v>18938</v>
      </c>
      <c r="D4">
        <v>0</v>
      </c>
      <c r="E4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1">
        <v>0</v>
      </c>
      <c r="AC4" s="60"/>
      <c r="AE4" s="2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</row>
    <row r="5" spans="1:56">
      <c r="A5" s="520"/>
      <c r="B5" s="2" t="s">
        <v>417</v>
      </c>
      <c r="C5" s="2" t="s">
        <v>18938</v>
      </c>
      <c r="D5">
        <v>0</v>
      </c>
      <c r="E5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1">
        <v>0</v>
      </c>
      <c r="AC5" s="60"/>
      <c r="AE5" s="2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</row>
    <row r="6" spans="1:56">
      <c r="A6" s="520"/>
      <c r="B6" s="2" t="s">
        <v>255</v>
      </c>
      <c r="C6" s="2" t="s">
        <v>18938</v>
      </c>
      <c r="D6">
        <v>0</v>
      </c>
      <c r="E6">
        <v>0</v>
      </c>
      <c r="F6" s="60">
        <v>-1.5916044872310957E-2</v>
      </c>
      <c r="G6" s="60">
        <v>-3.1832089744621914E-2</v>
      </c>
      <c r="H6" s="60">
        <v>-4.774813461693287E-2</v>
      </c>
      <c r="I6" s="60">
        <v>-6.3664179489243827E-2</v>
      </c>
      <c r="J6" s="60">
        <v>-7.9580224361554791E-2</v>
      </c>
      <c r="K6" s="60">
        <v>-9.5496269233865755E-2</v>
      </c>
      <c r="L6" s="60">
        <v>-0.11141231410617672</v>
      </c>
      <c r="M6" s="60">
        <v>-0.12732835897848768</v>
      </c>
      <c r="N6" s="60">
        <v>-0.14324440385079865</v>
      </c>
      <c r="O6" s="60">
        <v>-0.15916044872310961</v>
      </c>
      <c r="P6" s="60">
        <v>-0.17507649359542057</v>
      </c>
      <c r="Q6" s="60">
        <v>-0.19099253846773154</v>
      </c>
      <c r="R6" s="60">
        <v>-0.2069085833400425</v>
      </c>
      <c r="S6" s="60">
        <v>-0.22282462821235346</v>
      </c>
      <c r="T6" s="60">
        <v>-0.23874067308466443</v>
      </c>
      <c r="U6" s="60">
        <v>-0.25465671795697536</v>
      </c>
      <c r="V6" s="60">
        <v>-0.27057276282928633</v>
      </c>
      <c r="W6" s="60">
        <v>-0.28648880770159729</v>
      </c>
      <c r="X6" s="60">
        <v>-0.30240485257390826</v>
      </c>
      <c r="Y6" s="60">
        <v>-0.31832089744621922</v>
      </c>
      <c r="Z6" s="60">
        <v>-0.33423694231853018</v>
      </c>
      <c r="AA6" s="60">
        <v>-0.35015298719084115</v>
      </c>
      <c r="AB6" s="61">
        <v>-0.36606903206315211</v>
      </c>
      <c r="AC6" s="60"/>
      <c r="AE6" s="2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</row>
    <row r="7" spans="1:56">
      <c r="A7" s="520"/>
      <c r="B7" s="2" t="s">
        <v>419</v>
      </c>
      <c r="C7" s="2" t="s">
        <v>18938</v>
      </c>
      <c r="D7">
        <v>0</v>
      </c>
      <c r="E7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1">
        <v>0</v>
      </c>
      <c r="AC7" s="60"/>
      <c r="AE7" s="2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</row>
    <row r="8" spans="1:56">
      <c r="A8" s="520"/>
      <c r="B8" s="2" t="s">
        <v>420</v>
      </c>
      <c r="C8" s="2" t="s">
        <v>18938</v>
      </c>
      <c r="D8">
        <v>0</v>
      </c>
      <c r="E8">
        <v>0</v>
      </c>
      <c r="F8" s="60">
        <v>-3.9617244328215805E-3</v>
      </c>
      <c r="G8" s="60">
        <v>-7.9234488656431609E-3</v>
      </c>
      <c r="H8" s="60">
        <v>-1.1885173298464741E-2</v>
      </c>
      <c r="I8" s="60">
        <v>-1.5846897731286322E-2</v>
      </c>
      <c r="J8" s="60">
        <v>-1.9808622164107902E-2</v>
      </c>
      <c r="K8" s="60">
        <v>-2.3770346596929483E-2</v>
      </c>
      <c r="L8" s="60">
        <v>-2.7732071029751063E-2</v>
      </c>
      <c r="M8" s="60">
        <v>-3.1693795462572644E-2</v>
      </c>
      <c r="N8" s="60">
        <v>-3.5655519895394228E-2</v>
      </c>
      <c r="O8" s="60">
        <v>-3.9617244328215812E-2</v>
      </c>
      <c r="P8" s="60">
        <v>-4.3578968761037395E-2</v>
      </c>
      <c r="Q8" s="60">
        <v>-4.7540693193858979E-2</v>
      </c>
      <c r="R8" s="60">
        <v>-5.1502417626680563E-2</v>
      </c>
      <c r="S8" s="60">
        <v>-5.5464142059502147E-2</v>
      </c>
      <c r="T8" s="60">
        <v>-5.9425866492323731E-2</v>
      </c>
      <c r="U8" s="60">
        <v>-6.3387590925145315E-2</v>
      </c>
      <c r="V8" s="60">
        <v>-6.7349315357966899E-2</v>
      </c>
      <c r="W8" s="60">
        <v>-7.1311039790788483E-2</v>
      </c>
      <c r="X8" s="60">
        <v>-7.5272764223610067E-2</v>
      </c>
      <c r="Y8" s="60">
        <v>-7.9234488656431651E-2</v>
      </c>
      <c r="Z8" s="60">
        <v>-8.3196213089253235E-2</v>
      </c>
      <c r="AA8" s="60">
        <v>-8.7157937522074819E-2</v>
      </c>
      <c r="AB8" s="61">
        <v>-9.1119661954896403E-2</v>
      </c>
      <c r="AC8" s="60"/>
      <c r="AE8" s="2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</row>
    <row r="9" spans="1:56">
      <c r="A9" s="520"/>
      <c r="B9" s="2" t="s">
        <v>258</v>
      </c>
      <c r="C9" s="2" t="s">
        <v>18938</v>
      </c>
      <c r="D9">
        <v>0</v>
      </c>
      <c r="E9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1">
        <v>0</v>
      </c>
      <c r="AC9" s="60"/>
      <c r="AE9" s="2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</row>
    <row r="10" spans="1:56">
      <c r="A10" s="520"/>
      <c r="B10" s="2" t="s">
        <v>259</v>
      </c>
      <c r="C10" s="2" t="s">
        <v>18938</v>
      </c>
      <c r="D10">
        <v>0</v>
      </c>
      <c r="E1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1">
        <v>0</v>
      </c>
      <c r="AC10" s="60"/>
      <c r="AE10" s="2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</row>
    <row r="11" spans="1:56">
      <c r="A11" s="520"/>
      <c r="B11" s="2" t="s">
        <v>490</v>
      </c>
      <c r="C11" s="2" t="s">
        <v>18938</v>
      </c>
      <c r="D11">
        <v>0</v>
      </c>
      <c r="E11">
        <v>0</v>
      </c>
      <c r="F11" s="60">
        <v>-2.1679662450656079E-3</v>
      </c>
      <c r="G11" s="60">
        <v>-4.3359324901312158E-3</v>
      </c>
      <c r="H11" s="60">
        <v>-6.5038987351968237E-3</v>
      </c>
      <c r="I11" s="60">
        <v>-8.6718649802624316E-3</v>
      </c>
      <c r="J11" s="60">
        <v>-1.0839831225328039E-2</v>
      </c>
      <c r="K11" s="60">
        <v>-1.3007797470393646E-2</v>
      </c>
      <c r="L11" s="60">
        <v>-1.5175763715459253E-2</v>
      </c>
      <c r="M11" s="60">
        <v>-1.734372996052486E-2</v>
      </c>
      <c r="N11" s="60">
        <v>-1.9511696205590467E-2</v>
      </c>
      <c r="O11" s="60">
        <v>-2.1679662450656074E-2</v>
      </c>
      <c r="P11" s="60">
        <v>-2.3847628695721681E-2</v>
      </c>
      <c r="Q11" s="60">
        <v>-2.6015594940787288E-2</v>
      </c>
      <c r="R11" s="60">
        <v>-2.8183561185852895E-2</v>
      </c>
      <c r="S11" s="60">
        <v>-3.0351527430918502E-2</v>
      </c>
      <c r="T11" s="60">
        <v>-3.2519493675984112E-2</v>
      </c>
      <c r="U11" s="60">
        <v>-3.4687459921049719E-2</v>
      </c>
      <c r="V11" s="60">
        <v>-3.6855426166115327E-2</v>
      </c>
      <c r="W11" s="60">
        <v>-3.9023392411180934E-2</v>
      </c>
      <c r="X11" s="60">
        <v>-4.1191358656246541E-2</v>
      </c>
      <c r="Y11" s="60">
        <v>-4.3359324901312148E-2</v>
      </c>
      <c r="Z11" s="60">
        <v>-4.5527291146377755E-2</v>
      </c>
      <c r="AA11" s="60">
        <v>-4.7695257391443362E-2</v>
      </c>
      <c r="AB11" s="61">
        <v>-4.9863223636508969E-2</v>
      </c>
      <c r="AC11" s="60"/>
      <c r="AE11" s="2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</row>
    <row r="12" spans="1:56">
      <c r="A12" s="520"/>
      <c r="B12" s="2" t="s">
        <v>261</v>
      </c>
      <c r="C12" s="2" t="s">
        <v>18938</v>
      </c>
      <c r="D12">
        <v>0</v>
      </c>
      <c r="E12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1">
        <v>0</v>
      </c>
      <c r="AC12" s="60"/>
      <c r="AE12" s="2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</row>
    <row r="13" spans="1:56">
      <c r="A13" s="520"/>
      <c r="B13" s="2" t="s">
        <v>373</v>
      </c>
      <c r="C13" s="2" t="s">
        <v>18938</v>
      </c>
      <c r="D13">
        <v>0</v>
      </c>
      <c r="E13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1">
        <v>0</v>
      </c>
      <c r="AC13" s="60"/>
      <c r="AE13" s="2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</row>
    <row r="14" spans="1:56">
      <c r="A14" s="520"/>
      <c r="B14" s="2" t="s">
        <v>18927</v>
      </c>
      <c r="C14" s="2" t="s">
        <v>18938</v>
      </c>
      <c r="D14">
        <v>0</v>
      </c>
      <c r="E14">
        <v>0</v>
      </c>
      <c r="F14" s="60">
        <v>-1.1388940874641091E-4</v>
      </c>
      <c r="G14" s="60">
        <v>-2.2777881749282182E-4</v>
      </c>
      <c r="H14" s="60">
        <v>-3.4166822623923275E-4</v>
      </c>
      <c r="I14" s="60">
        <v>-4.5555763498564364E-4</v>
      </c>
      <c r="J14" s="60">
        <v>-5.694470437320546E-4</v>
      </c>
      <c r="K14" s="60">
        <v>-6.8333645247846549E-4</v>
      </c>
      <c r="L14" s="60">
        <v>-7.9722586122487639E-4</v>
      </c>
      <c r="M14" s="60">
        <v>-9.1111526997128729E-4</v>
      </c>
      <c r="N14" s="60">
        <v>-1.0250046787176983E-3</v>
      </c>
      <c r="O14" s="60">
        <v>-1.1388940874641092E-3</v>
      </c>
      <c r="P14" s="60">
        <v>-1.2527834962105201E-3</v>
      </c>
      <c r="Q14" s="60">
        <v>-1.366672904956931E-3</v>
      </c>
      <c r="R14" s="60">
        <v>-1.4805623137033419E-3</v>
      </c>
      <c r="S14" s="60">
        <v>-1.5944517224497528E-3</v>
      </c>
      <c r="T14" s="60">
        <v>-1.7083411311961637E-3</v>
      </c>
      <c r="U14" s="60">
        <v>-1.8222305399425746E-3</v>
      </c>
      <c r="V14" s="60">
        <v>-1.9361199486889855E-3</v>
      </c>
      <c r="W14" s="60">
        <v>-2.0500093574353966E-3</v>
      </c>
      <c r="X14" s="60">
        <v>-2.1638987661818077E-3</v>
      </c>
      <c r="Y14" s="60">
        <v>-2.2777881749282188E-3</v>
      </c>
      <c r="Z14" s="60">
        <v>-2.3916775836746299E-3</v>
      </c>
      <c r="AA14" s="60">
        <v>-2.505566992421041E-3</v>
      </c>
      <c r="AB14" s="61">
        <v>-2.6194564011674522E-3</v>
      </c>
      <c r="AC14" s="60"/>
      <c r="AE14" s="2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</row>
    <row r="15" spans="1:56">
      <c r="A15" s="520"/>
      <c r="B15" s="2" t="s">
        <v>18845</v>
      </c>
      <c r="C15" s="2" t="s">
        <v>18938</v>
      </c>
      <c r="D15">
        <v>0</v>
      </c>
      <c r="E15">
        <v>0</v>
      </c>
      <c r="F15" s="60">
        <v>-4.5059531074740714E-2</v>
      </c>
      <c r="G15" s="60">
        <v>-9.0119062149481427E-2</v>
      </c>
      <c r="H15" s="60">
        <v>-0.13517859322422215</v>
      </c>
      <c r="I15" s="60">
        <v>-0.18023812429896285</v>
      </c>
      <c r="J15" s="60">
        <v>-0.22529765537370355</v>
      </c>
      <c r="K15" s="60">
        <v>-0.27035718644844425</v>
      </c>
      <c r="L15" s="60">
        <v>-0.31541671752318495</v>
      </c>
      <c r="M15" s="60">
        <v>-0.36047624859792565</v>
      </c>
      <c r="N15" s="60">
        <v>-0.40553577967266635</v>
      </c>
      <c r="O15" s="60">
        <v>-0.45059531074740705</v>
      </c>
      <c r="P15" s="60">
        <v>-0.49565484182214775</v>
      </c>
      <c r="Q15" s="60">
        <v>-0.54071437289688851</v>
      </c>
      <c r="R15" s="60">
        <v>-0.58577390397162921</v>
      </c>
      <c r="S15" s="60">
        <v>-0.63083343504636991</v>
      </c>
      <c r="T15" s="60">
        <v>-0.67589296612111061</v>
      </c>
      <c r="U15" s="60">
        <v>-0.72095249719585131</v>
      </c>
      <c r="V15" s="60">
        <v>-0.766012028270592</v>
      </c>
      <c r="W15" s="60">
        <v>-0.8110715593453327</v>
      </c>
      <c r="X15" s="60">
        <v>-0.8561310904200734</v>
      </c>
      <c r="Y15" s="60">
        <v>-0.9011906214948141</v>
      </c>
      <c r="Z15" s="60">
        <v>-0.9462501525695548</v>
      </c>
      <c r="AA15" s="60">
        <v>-0.9913096836442955</v>
      </c>
      <c r="AB15" s="61">
        <v>-1.0363692147190362</v>
      </c>
      <c r="AC15" s="60"/>
      <c r="AE15" s="2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</row>
    <row r="16" spans="1:56">
      <c r="A16" s="520"/>
      <c r="B16" s="2" t="s">
        <v>267</v>
      </c>
      <c r="C16" s="2" t="s">
        <v>18938</v>
      </c>
      <c r="D16">
        <v>0</v>
      </c>
      <c r="E16">
        <v>0</v>
      </c>
      <c r="F16" s="60">
        <v>-1.1096082395007461E-2</v>
      </c>
      <c r="G16" s="60">
        <v>-2.2192164790014922E-2</v>
      </c>
      <c r="H16" s="60">
        <v>-3.3288247185022379E-2</v>
      </c>
      <c r="I16" s="60">
        <v>-4.4384329580029844E-2</v>
      </c>
      <c r="J16" s="60">
        <v>-5.5480411975037308E-2</v>
      </c>
      <c r="K16" s="60">
        <v>-6.6576494370044773E-2</v>
      </c>
      <c r="L16" s="60">
        <v>-7.7672576765052237E-2</v>
      </c>
      <c r="M16" s="60">
        <v>-8.8768659160059701E-2</v>
      </c>
      <c r="N16" s="60">
        <v>-9.9864741555067166E-2</v>
      </c>
      <c r="O16" s="60">
        <v>-0.11096082395007463</v>
      </c>
      <c r="P16" s="60">
        <v>-0.12205690634508209</v>
      </c>
      <c r="Q16" s="60">
        <v>-0.13315298874008955</v>
      </c>
      <c r="R16" s="60">
        <v>-0.144249071135097</v>
      </c>
      <c r="S16" s="60">
        <v>-0.15534515353010445</v>
      </c>
      <c r="T16" s="60">
        <v>-0.1664412359251119</v>
      </c>
      <c r="U16" s="60">
        <v>-0.17753731832011935</v>
      </c>
      <c r="V16" s="60">
        <v>-0.1886334007151268</v>
      </c>
      <c r="W16" s="60">
        <v>-0.19972948311013425</v>
      </c>
      <c r="X16" s="60">
        <v>-0.2108255655051417</v>
      </c>
      <c r="Y16" s="60">
        <v>-0.22192164790014915</v>
      </c>
      <c r="Z16" s="60">
        <v>-0.2330177302951566</v>
      </c>
      <c r="AA16" s="60">
        <v>-0.24411381269016405</v>
      </c>
      <c r="AB16" s="61">
        <v>-0.2552098950851715</v>
      </c>
      <c r="AC16" s="60"/>
      <c r="AE16" s="2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</row>
    <row r="17" spans="1:56">
      <c r="A17" s="520"/>
      <c r="B17" s="2" t="s">
        <v>268</v>
      </c>
      <c r="C17" s="2" t="s">
        <v>18938</v>
      </c>
      <c r="D17">
        <v>0</v>
      </c>
      <c r="E17">
        <v>0</v>
      </c>
      <c r="F17" s="64">
        <v>-5.1656981824264956E-3</v>
      </c>
      <c r="G17" s="64">
        <v>-1.0331396364852991E-2</v>
      </c>
      <c r="H17" s="64">
        <v>-1.5497094547279487E-2</v>
      </c>
      <c r="I17" s="64">
        <v>-2.0662792729705982E-2</v>
      </c>
      <c r="J17" s="64">
        <v>-2.5828490912132476E-2</v>
      </c>
      <c r="K17" s="64">
        <v>-3.099418909455897E-2</v>
      </c>
      <c r="L17" s="64">
        <v>-3.6159887276985464E-2</v>
      </c>
      <c r="M17" s="64">
        <v>-4.1325585459411958E-2</v>
      </c>
      <c r="N17" s="64">
        <v>-4.6491283641838452E-2</v>
      </c>
      <c r="O17" s="64">
        <v>-5.1656981824264946E-2</v>
      </c>
      <c r="P17" s="64">
        <v>-5.6822680006691439E-2</v>
      </c>
      <c r="Q17" s="64">
        <v>-6.1988378189117933E-2</v>
      </c>
      <c r="R17" s="64">
        <v>-6.7154076371544427E-2</v>
      </c>
      <c r="S17" s="64">
        <v>-7.2319774553970928E-2</v>
      </c>
      <c r="T17" s="64">
        <v>-7.7485472736397429E-2</v>
      </c>
      <c r="U17" s="64">
        <v>-8.265117091882393E-2</v>
      </c>
      <c r="V17" s="64">
        <v>-8.781686910125043E-2</v>
      </c>
      <c r="W17" s="64">
        <v>-9.2982567283676931E-2</v>
      </c>
      <c r="X17" s="64">
        <v>-9.8148265466103432E-2</v>
      </c>
      <c r="Y17" s="64">
        <v>-0.10331396364852993</v>
      </c>
      <c r="Z17" s="64">
        <v>-0.10847966183095643</v>
      </c>
      <c r="AA17" s="64">
        <v>-0.11364536001338293</v>
      </c>
      <c r="AB17" s="65">
        <v>-0.11881105819580944</v>
      </c>
      <c r="AC17" s="60"/>
      <c r="AE17" s="2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</row>
    <row r="18" spans="1:56">
      <c r="A18" s="520"/>
      <c r="B18" s="72" t="s">
        <v>270</v>
      </c>
      <c r="C18" s="72" t="s">
        <v>18938</v>
      </c>
      <c r="D18" s="71">
        <v>0</v>
      </c>
      <c r="E18" s="71">
        <v>0</v>
      </c>
      <c r="F18" s="175">
        <f>SUM(F3:F17)</f>
        <v>-8.348093661111923E-2</v>
      </c>
      <c r="G18" s="175">
        <f t="shared" ref="G18:AB18" si="0">SUM(G3:G17)</f>
        <v>-0.16696187322223846</v>
      </c>
      <c r="H18" s="175">
        <f t="shared" si="0"/>
        <v>-0.2504428098333577</v>
      </c>
      <c r="I18" s="175">
        <f t="shared" si="0"/>
        <v>-0.33392374644447692</v>
      </c>
      <c r="J18" s="175">
        <f t="shared" si="0"/>
        <v>-0.41740468305559608</v>
      </c>
      <c r="K18" s="175">
        <f t="shared" si="0"/>
        <v>-0.5008856196667153</v>
      </c>
      <c r="L18" s="175">
        <f t="shared" si="0"/>
        <v>-0.58436655627783463</v>
      </c>
      <c r="M18" s="175">
        <f t="shared" si="0"/>
        <v>-0.66784749288895384</v>
      </c>
      <c r="N18" s="175">
        <f t="shared" si="0"/>
        <v>-0.75132842950007295</v>
      </c>
      <c r="O18" s="175">
        <f t="shared" si="0"/>
        <v>-0.83480936611119227</v>
      </c>
      <c r="P18" s="175">
        <f t="shared" si="0"/>
        <v>-0.91829030272231138</v>
      </c>
      <c r="Q18" s="175">
        <f t="shared" si="0"/>
        <v>-1.0017712393334308</v>
      </c>
      <c r="R18" s="175">
        <f t="shared" si="0"/>
        <v>-1.0852521759445499</v>
      </c>
      <c r="S18" s="175">
        <f t="shared" si="0"/>
        <v>-1.1687331125556693</v>
      </c>
      <c r="T18" s="175">
        <f t="shared" si="0"/>
        <v>-1.2522140491667884</v>
      </c>
      <c r="U18" s="175">
        <f t="shared" si="0"/>
        <v>-1.3356949857779077</v>
      </c>
      <c r="V18" s="175">
        <f t="shared" si="0"/>
        <v>-1.4191759223890268</v>
      </c>
      <c r="W18" s="175">
        <f t="shared" si="0"/>
        <v>-1.5026568590001461</v>
      </c>
      <c r="X18" s="175">
        <f t="shared" si="0"/>
        <v>-1.5861377956112652</v>
      </c>
      <c r="Y18" s="175">
        <f t="shared" si="0"/>
        <v>-1.6696187322223843</v>
      </c>
      <c r="Z18" s="175">
        <f t="shared" si="0"/>
        <v>-1.7530996688335037</v>
      </c>
      <c r="AA18" s="175">
        <f t="shared" si="0"/>
        <v>-1.8365806054446228</v>
      </c>
      <c r="AB18" s="175">
        <f t="shared" si="0"/>
        <v>-1.9200615420557421</v>
      </c>
      <c r="AC18" s="66"/>
    </row>
    <row r="19" spans="1:56" ht="15" customHeight="1">
      <c r="A19" s="520"/>
      <c r="B19" s="2"/>
      <c r="C19" s="2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</row>
    <row r="20" spans="1:56" ht="15.6" customHeight="1">
      <c r="A20" s="520"/>
      <c r="B20" s="86"/>
      <c r="C20" s="87"/>
      <c r="D20" s="518" t="s">
        <v>18928</v>
      </c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</row>
    <row r="21" spans="1:56" ht="14.65" customHeight="1">
      <c r="A21" s="520"/>
      <c r="B21" s="88" t="s">
        <v>18814</v>
      </c>
      <c r="C21" s="88" t="s">
        <v>1</v>
      </c>
      <c r="D21" s="156">
        <f>'Air Basin Summary NOx BAU'!D21</f>
        <v>2022</v>
      </c>
      <c r="E21" s="156">
        <f>'Air Basin Summary NOx BAU'!E21</f>
        <v>2023</v>
      </c>
      <c r="F21" s="156">
        <f>'Air Basin Summary NOx BAU'!F21</f>
        <v>2024</v>
      </c>
      <c r="G21" s="156">
        <f>'Air Basin Summary NOx BAU'!G21</f>
        <v>2025</v>
      </c>
      <c r="H21" s="156">
        <f>'Air Basin Summary NOx BAU'!H21</f>
        <v>2026</v>
      </c>
      <c r="I21" s="156">
        <f>'Air Basin Summary NOx BAU'!I21</f>
        <v>2027</v>
      </c>
      <c r="J21" s="156">
        <f>'Air Basin Summary NOx BAU'!J21</f>
        <v>2028</v>
      </c>
      <c r="K21" s="156">
        <f>'Air Basin Summary NOx BAU'!K21</f>
        <v>2029</v>
      </c>
      <c r="L21" s="156">
        <f>'Air Basin Summary NOx BAU'!L21</f>
        <v>2030</v>
      </c>
      <c r="M21" s="156">
        <f>'Air Basin Summary NOx BAU'!M21</f>
        <v>2031</v>
      </c>
      <c r="N21" s="156">
        <f>'Air Basin Summary NOx BAU'!N21</f>
        <v>2032</v>
      </c>
      <c r="O21" s="156">
        <f>'Air Basin Summary NOx BAU'!O21</f>
        <v>2033</v>
      </c>
      <c r="P21" s="156">
        <f>'Air Basin Summary NOx BAU'!P21</f>
        <v>2034</v>
      </c>
      <c r="Q21" s="156">
        <f>'Air Basin Summary NOx BAU'!Q21</f>
        <v>2035</v>
      </c>
      <c r="R21" s="156">
        <f>'Air Basin Summary NOx BAU'!R21</f>
        <v>2036</v>
      </c>
      <c r="S21" s="156">
        <f>'Air Basin Summary NOx BAU'!S21</f>
        <v>2037</v>
      </c>
      <c r="T21" s="156">
        <f>'Air Basin Summary NOx BAU'!T21</f>
        <v>2038</v>
      </c>
      <c r="U21" s="156">
        <f>'Air Basin Summary NOx BAU'!U21</f>
        <v>2039</v>
      </c>
      <c r="V21" s="156">
        <f>'Air Basin Summary NOx BAU'!V21</f>
        <v>2040</v>
      </c>
      <c r="W21" s="156">
        <f>'Air Basin Summary NOx BAU'!W21</f>
        <v>2041</v>
      </c>
      <c r="X21" s="156">
        <f>'Air Basin Summary NOx BAU'!X21</f>
        <v>2042</v>
      </c>
      <c r="Y21" s="156">
        <f>'Air Basin Summary NOx BAU'!Y21</f>
        <v>2043</v>
      </c>
      <c r="Z21" s="156">
        <f>'Air Basin Summary NOx BAU'!Z21</f>
        <v>2044</v>
      </c>
      <c r="AA21" s="156">
        <f>'Air Basin Summary NOx BAU'!AA21</f>
        <v>2045</v>
      </c>
      <c r="AB21" s="156">
        <f>'Air Basin Summary NOx BAU'!AB21</f>
        <v>2046</v>
      </c>
    </row>
    <row r="22" spans="1:56" ht="14.65" customHeight="1">
      <c r="A22" s="520"/>
      <c r="B22" s="2" t="str">
        <f>'Air Basin Summary NOx BAU'!B22</f>
        <v>Great Basin</v>
      </c>
      <c r="C22" s="2" t="s">
        <v>18938</v>
      </c>
      <c r="D22" s="104">
        <f>'Air Basin Summary NOx BAU'!D22/365.25</f>
        <v>0</v>
      </c>
      <c r="E22" s="79">
        <f>'Air Basin Summary NOx BAU'!E22/365.25</f>
        <v>0</v>
      </c>
      <c r="F22" s="79">
        <f>'Air Basin Summary NOx BAU'!F22/365.25</f>
        <v>-9.4287711070243641E-3</v>
      </c>
      <c r="G22" s="79">
        <f>'Air Basin Summary NOx BAU'!G22/365.25</f>
        <v>-2.5528682972173436E-2</v>
      </c>
      <c r="H22" s="79">
        <f>'Air Basin Summary NOx BAU'!H22/365.25</f>
        <v>-2.7954092721810021E-2</v>
      </c>
      <c r="I22" s="79">
        <f>'Air Basin Summary NOx BAU'!I22/365.25</f>
        <v>-2.590138599399068E-2</v>
      </c>
      <c r="J22" s="79">
        <f>'Air Basin Summary NOx BAU'!J22/365.25</f>
        <v>-2.3522502239511325E-2</v>
      </c>
      <c r="K22" s="79">
        <f>'Air Basin Summary NOx BAU'!K22/365.25</f>
        <v>-2.2420401594891098E-2</v>
      </c>
      <c r="L22" s="79">
        <f>'Air Basin Summary NOx BAU'!L22/365.25</f>
        <v>-2.1555033755116724E-2</v>
      </c>
      <c r="M22" s="79">
        <f>'Air Basin Summary NOx BAU'!M22/365.25</f>
        <v>-2.0024053105935684E-2</v>
      </c>
      <c r="N22" s="79">
        <f>'Air Basin Summary NOx BAU'!N22/365.25</f>
        <v>-1.8427635310153345E-2</v>
      </c>
      <c r="O22" s="79">
        <f>'Air Basin Summary NOx BAU'!O22/365.25</f>
        <v>-1.6835177439045827E-2</v>
      </c>
      <c r="P22" s="79">
        <f>'Air Basin Summary NOx BAU'!P22/365.25</f>
        <v>-1.5371716690793258E-2</v>
      </c>
      <c r="Q22" s="79">
        <f>'Air Basin Summary NOx BAU'!Q22/365.25</f>
        <v>-1.392624898534296E-2</v>
      </c>
      <c r="R22" s="79">
        <f>'Air Basin Summary NOx BAU'!R22/365.25</f>
        <v>-1.2757869055559368E-2</v>
      </c>
      <c r="S22" s="79">
        <f>'Air Basin Summary NOx BAU'!S22/365.25</f>
        <v>-1.1297159173917808E-2</v>
      </c>
      <c r="T22" s="79">
        <f>'Air Basin Summary NOx BAU'!T22/365.25</f>
        <v>-1.0123795834717434E-2</v>
      </c>
      <c r="U22" s="79">
        <f>'Air Basin Summary NOx BAU'!U22/365.25</f>
        <v>-9.873172093984299E-3</v>
      </c>
      <c r="V22" s="79">
        <f>'Air Basin Summary NOx BAU'!V22/365.25</f>
        <v>-9.3342076907456436E-3</v>
      </c>
      <c r="W22" s="79">
        <f>'Air Basin Summary NOx BAU'!W22/365.25</f>
        <v>-8.5174755536783792E-3</v>
      </c>
      <c r="X22" s="79">
        <f>'Air Basin Summary NOx BAU'!X22/365.25</f>
        <v>-7.7673504148528969E-3</v>
      </c>
      <c r="Y22" s="79">
        <f>'Air Basin Summary NOx BAU'!Y22/365.25</f>
        <v>-7.0593861104705372E-3</v>
      </c>
      <c r="Z22" s="79">
        <f>'Air Basin Summary NOx BAU'!Z22/365.25</f>
        <v>-6.5270438280252705E-3</v>
      </c>
      <c r="AA22" s="79">
        <f>'Air Basin Summary NOx BAU'!AA22/365.25</f>
        <v>-5.9732660669297956E-3</v>
      </c>
      <c r="AB22" s="80">
        <f>'Air Basin Summary NOx BAU'!AB22/365.25</f>
        <v>-5.3448036239336404E-3</v>
      </c>
    </row>
    <row r="23" spans="1:56" ht="14.65" customHeight="1">
      <c r="A23" s="520"/>
      <c r="B23" s="2" t="str">
        <f>'Air Basin Summary NOx BAU'!B23</f>
        <v>Lake County</v>
      </c>
      <c r="C23" s="2" t="s">
        <v>18938</v>
      </c>
      <c r="D23" s="393">
        <f>'Air Basin Summary NOx BAU'!D23/365.25</f>
        <v>0</v>
      </c>
      <c r="E23" s="60">
        <f>'Air Basin Summary NOx BAU'!E23/365.25</f>
        <v>0</v>
      </c>
      <c r="F23" s="60">
        <f>'Air Basin Summary NOx BAU'!F23/365.25</f>
        <v>-5.7392519781887434E-3</v>
      </c>
      <c r="G23" s="60">
        <f>'Air Basin Summary NOx BAU'!G23/365.25</f>
        <v>-1.498422696192789E-2</v>
      </c>
      <c r="H23" s="60">
        <f>'Air Basin Summary NOx BAU'!H23/365.25</f>
        <v>-1.6151253572601346E-2</v>
      </c>
      <c r="I23" s="60">
        <f>'Air Basin Summary NOx BAU'!I23/365.25</f>
        <v>-1.4716696587494704E-2</v>
      </c>
      <c r="J23" s="60">
        <f>'Air Basin Summary NOx BAU'!J23/365.25</f>
        <v>-1.2295853443380918E-2</v>
      </c>
      <c r="K23" s="60">
        <f>'Air Basin Summary NOx BAU'!K23/365.25</f>
        <v>-1.1470903141572189E-2</v>
      </c>
      <c r="L23" s="60">
        <f>'Air Basin Summary NOx BAU'!L23/365.25</f>
        <v>-1.0526876950173283E-2</v>
      </c>
      <c r="M23" s="60">
        <f>'Air Basin Summary NOx BAU'!M23/365.25</f>
        <v>-9.5352633837788962E-3</v>
      </c>
      <c r="N23" s="60">
        <f>'Air Basin Summary NOx BAU'!N23/365.25</f>
        <v>-8.5396358754369159E-3</v>
      </c>
      <c r="O23" s="60">
        <f>'Air Basin Summary NOx BAU'!O23/365.25</f>
        <v>-7.5758298475706231E-3</v>
      </c>
      <c r="P23" s="60">
        <f>'Air Basin Summary NOx BAU'!P23/365.25</f>
        <v>-6.7004918908585998E-3</v>
      </c>
      <c r="Q23" s="60">
        <f>'Air Basin Summary NOx BAU'!Q23/365.25</f>
        <v>-5.4972035468459053E-3</v>
      </c>
      <c r="R23" s="60">
        <f>'Air Basin Summary NOx BAU'!R23/365.25</f>
        <v>-5.0360009429839606E-3</v>
      </c>
      <c r="S23" s="60">
        <f>'Air Basin Summary NOx BAU'!S23/365.25</f>
        <v>-4.2746007685094409E-3</v>
      </c>
      <c r="T23" s="60">
        <f>'Air Basin Summary NOx BAU'!T23/365.25</f>
        <v>-3.6558151625368514E-3</v>
      </c>
      <c r="U23" s="60">
        <f>'Air Basin Summary NOx BAU'!U23/365.25</f>
        <v>-3.291057364661433E-3</v>
      </c>
      <c r="V23" s="60">
        <f>'Air Basin Summary NOx BAU'!V23/365.25</f>
        <v>-2.9336081313772024E-3</v>
      </c>
      <c r="W23" s="60">
        <f>'Air Basin Summary NOx BAU'!W23/365.25</f>
        <v>-2.5051398687289351E-3</v>
      </c>
      <c r="X23" s="60">
        <f>'Air Basin Summary NOx BAU'!X23/365.25</f>
        <v>-2.2845148278979113E-3</v>
      </c>
      <c r="Y23" s="60">
        <f>'Air Basin Summary NOx BAU'!Y23/365.25</f>
        <v>-1.9252871210374189E-3</v>
      </c>
      <c r="Z23" s="60">
        <f>'Air Basin Summary NOx BAU'!Z23/365.25</f>
        <v>-1.78010286218871E-3</v>
      </c>
      <c r="AA23" s="60">
        <f>'Air Basin Summary NOx BAU'!AA23/365.25</f>
        <v>-1.4933165167324489E-3</v>
      </c>
      <c r="AB23" s="61">
        <f>'Air Basin Summary NOx BAU'!AB23/365.25</f>
        <v>-1.3793041610151331E-3</v>
      </c>
    </row>
    <row r="24" spans="1:56" ht="14.65" customHeight="1">
      <c r="A24" s="520"/>
      <c r="B24" s="2" t="str">
        <f>'Air Basin Summary NOx BAU'!B24</f>
        <v>Lake Tahoe</v>
      </c>
      <c r="C24" s="2" t="s">
        <v>18938</v>
      </c>
      <c r="D24" s="393">
        <f>'Air Basin Summary NOx BAU'!D24/365.25</f>
        <v>0</v>
      </c>
      <c r="E24" s="60">
        <f>'Air Basin Summary NOx BAU'!E24/365.25</f>
        <v>0</v>
      </c>
      <c r="F24" s="60">
        <f>'Air Basin Summary NOx BAU'!F24/365.25</f>
        <v>-2.6646527041590592E-3</v>
      </c>
      <c r="G24" s="60">
        <f>'Air Basin Summary NOx BAU'!G24/365.25</f>
        <v>-7.2146277964837968E-3</v>
      </c>
      <c r="H24" s="60">
        <f>'Air Basin Summary NOx BAU'!H24/365.25</f>
        <v>-7.4544247258160057E-3</v>
      </c>
      <c r="I24" s="60">
        <f>'Air Basin Summary NOx BAU'!I24/365.25</f>
        <v>-7.0640143619974576E-3</v>
      </c>
      <c r="J24" s="60">
        <f>'Air Basin Summary NOx BAU'!J24/365.25</f>
        <v>-5.8806255598778312E-3</v>
      </c>
      <c r="K24" s="60">
        <f>'Air Basin Summary NOx BAU'!K24/365.25</f>
        <v>-5.7354515707860945E-3</v>
      </c>
      <c r="L24" s="60">
        <f>'Air Basin Summary NOx BAU'!L24/365.25</f>
        <v>-5.5140784024717195E-3</v>
      </c>
      <c r="M24" s="60">
        <f>'Air Basin Summary NOx BAU'!M24/365.25</f>
        <v>-4.7676316918894481E-3</v>
      </c>
      <c r="N24" s="60">
        <f>'Air Basin Summary NOx BAU'!N24/365.25</f>
        <v>-4.4945451975983769E-3</v>
      </c>
      <c r="O24" s="60">
        <f>'Air Basin Summary NOx BAU'!O24/365.25</f>
        <v>-4.2087943597614568E-3</v>
      </c>
      <c r="P24" s="60">
        <f>'Air Basin Summary NOx BAU'!P24/365.25</f>
        <v>-3.5473192363369059E-3</v>
      </c>
      <c r="Q24" s="60">
        <f>'Air Basin Summary NOx BAU'!Q24/365.25</f>
        <v>-3.2983221281075435E-3</v>
      </c>
      <c r="R24" s="60">
        <f>'Air Basin Summary NOx BAU'!R24/365.25</f>
        <v>-2.6858671695914457E-3</v>
      </c>
      <c r="S24" s="60">
        <f>'Air Basin Summary NOx BAU'!S24/365.25</f>
        <v>-2.4426290105768237E-3</v>
      </c>
      <c r="T24" s="60">
        <f>'Air Basin Summary NOx BAU'!T24/365.25</f>
        <v>-2.2497324077149854E-3</v>
      </c>
      <c r="U24" s="60">
        <f>'Air Basin Summary NOx BAU'!U24/365.25</f>
        <v>-2.1940382431076219E-3</v>
      </c>
      <c r="V24" s="60">
        <f>'Air Basin Summary NOx BAU'!V24/365.25</f>
        <v>-1.8668415381491287E-3</v>
      </c>
      <c r="W24" s="60">
        <f>'Air Basin Summary NOx BAU'!W24/365.25</f>
        <v>-1.7535979081102547E-3</v>
      </c>
      <c r="X24" s="60">
        <f>'Air Basin Summary NOx BAU'!X24/365.25</f>
        <v>-1.5991603795285376E-3</v>
      </c>
      <c r="Y24" s="60">
        <f>'Air Basin Summary NOx BAU'!Y24/365.25</f>
        <v>-1.4974455385846591E-3</v>
      </c>
      <c r="Z24" s="60">
        <f>'Air Basin Summary NOx BAU'!Z24/365.25</f>
        <v>-1.3845244483689967E-3</v>
      </c>
      <c r="AA24" s="60">
        <f>'Air Basin Summary NOx BAU'!AA24/365.25</f>
        <v>-1.1199873875493366E-3</v>
      </c>
      <c r="AB24" s="61">
        <f>'Air Basin Summary NOx BAU'!AB24/365.25</f>
        <v>-1.0344781207613496E-3</v>
      </c>
    </row>
    <row r="25" spans="1:56" ht="14.65" customHeight="1">
      <c r="A25" s="520"/>
      <c r="B25" s="2" t="str">
        <f>'Air Basin Summary NOx BAU'!B25</f>
        <v>Mojave</v>
      </c>
      <c r="C25" s="2" t="s">
        <v>18938</v>
      </c>
      <c r="D25" s="393">
        <f>'Air Basin Summary NOx BAU'!D25/365.25</f>
        <v>0</v>
      </c>
      <c r="E25" s="60">
        <f>'Air Basin Summary NOx BAU'!E25/365.25</f>
        <v>0</v>
      </c>
      <c r="F25" s="60">
        <f>'Air Basin Summary NOx BAU'!F25/365.25</f>
        <v>-0.15516477669603138</v>
      </c>
      <c r="G25" s="60">
        <f>'Air Basin Summary NOx BAU'!G25/365.25</f>
        <v>-0.42566303999254412</v>
      </c>
      <c r="H25" s="60">
        <f>'Air Basin Summary NOx BAU'!H25/365.25</f>
        <v>-0.48329520305707102</v>
      </c>
      <c r="I25" s="60">
        <f>'Air Basin Summary NOx BAU'!I25/365.25</f>
        <v>-0.46445894430133283</v>
      </c>
      <c r="J25" s="60">
        <f>'Air Basin Summary NOx BAU'!J25/365.25</f>
        <v>-0.42928566587108163</v>
      </c>
      <c r="K25" s="60">
        <f>'Air Basin Summary NOx BAU'!K25/365.25</f>
        <v>-0.42650903499118409</v>
      </c>
      <c r="L25" s="60">
        <f>'Air Basin Summary NOx BAU'!L25/365.25</f>
        <v>-0.4180673988783104</v>
      </c>
      <c r="M25" s="60">
        <f>'Air Basin Summary NOx BAU'!M25/365.25</f>
        <v>-0.406202220148981</v>
      </c>
      <c r="N25" s="60">
        <f>'Air Basin Summary NOx BAU'!N25/365.25</f>
        <v>-0.39057597767129898</v>
      </c>
      <c r="O25" s="60">
        <f>'Air Basin Summary NOx BAU'!O25/365.25</f>
        <v>-0.37289918027486513</v>
      </c>
      <c r="P25" s="60">
        <f>'Air Basin Summary NOx BAU'!P25/365.25</f>
        <v>-0.35670265654276662</v>
      </c>
      <c r="Q25" s="60">
        <f>'Air Basin Summary NOx BAU'!Q25/365.25</f>
        <v>-0.33899421872216412</v>
      </c>
      <c r="R25" s="60">
        <f>'Air Basin Summary NOx BAU'!R25/365.25</f>
        <v>-0.31659659261559164</v>
      </c>
      <c r="S25" s="60">
        <f>'Air Basin Summary NOx BAU'!S25/365.25</f>
        <v>-0.29403146714818512</v>
      </c>
      <c r="T25" s="60">
        <f>'Air Basin Summary NOx BAU'!T25/365.25</f>
        <v>-0.27474857029219257</v>
      </c>
      <c r="U25" s="60">
        <f>'Air Basin Summary NOx BAU'!U25/365.25</f>
        <v>-0.2734320160472874</v>
      </c>
      <c r="V25" s="60">
        <f>'Air Basin Summary NOx BAU'!V25/365.25</f>
        <v>-0.27095871467993066</v>
      </c>
      <c r="W25" s="60">
        <f>'Air Basin Summary NOx BAU'!W25/365.25</f>
        <v>-0.25903146242657193</v>
      </c>
      <c r="X25" s="60">
        <f>'Air Basin Summary NOx BAU'!X25/365.25</f>
        <v>-0.24033095989486025</v>
      </c>
      <c r="Y25" s="60">
        <f>'Air Basin Summary NOx BAU'!Y25/365.25</f>
        <v>-0.22846740502977375</v>
      </c>
      <c r="Z25" s="60">
        <f>'Air Basin Summary NOx BAU'!Z25/365.25</f>
        <v>-0.21460128949719448</v>
      </c>
      <c r="AA25" s="60">
        <f>'Air Basin Summary NOx BAU'!AA25/365.25</f>
        <v>-0.20533102105071174</v>
      </c>
      <c r="AB25" s="61">
        <f>'Air Basin Summary NOx BAU'!AB25/365.25</f>
        <v>-0.19224051744148418</v>
      </c>
    </row>
    <row r="26" spans="1:56" ht="14.65" customHeight="1">
      <c r="A26" s="520"/>
      <c r="B26" s="2" t="str">
        <f>'Air Basin Summary NOx BAU'!B26</f>
        <v>Mountain Counties</v>
      </c>
      <c r="C26" s="2" t="s">
        <v>18938</v>
      </c>
      <c r="D26" s="393">
        <f>'Air Basin Summary NOx BAU'!D26/365.25</f>
        <v>0</v>
      </c>
      <c r="E26" s="60">
        <f>'Air Basin Summary NOx BAU'!E26/365.25</f>
        <v>0</v>
      </c>
      <c r="F26" s="60">
        <f>'Air Basin Summary NOx BAU'!F26/365.25</f>
        <v>-5.3907973937987123E-2</v>
      </c>
      <c r="G26" s="60">
        <f>'Air Basin Summary NOx BAU'!G26/365.25</f>
        <v>-0.14151769908487449</v>
      </c>
      <c r="H26" s="60">
        <f>'Air Basin Summary NOx BAU'!H26/365.25</f>
        <v>-0.15343690893971279</v>
      </c>
      <c r="I26" s="60">
        <f>'Air Basin Summary NOx BAU'!I26/365.25</f>
        <v>-0.14128028723994918</v>
      </c>
      <c r="J26" s="60">
        <f>'Air Basin Summary NOx BAU'!J26/365.25</f>
        <v>-0.12456234140468496</v>
      </c>
      <c r="K26" s="60">
        <f>'Air Basin Summary NOx BAU'!K26/365.25</f>
        <v>-0.11835886423349487</v>
      </c>
      <c r="L26" s="60">
        <f>'Air Basin Summary NOx BAU'!L26/365.25</f>
        <v>-0.11078284790420456</v>
      </c>
      <c r="M26" s="60">
        <f>'Air Basin Summary NOx BAU'!M26/365.25</f>
        <v>-0.10250408137562313</v>
      </c>
      <c r="N26" s="60">
        <f>'Air Basin Summary NOx BAU'!N26/365.25</f>
        <v>-9.4385449149565911E-2</v>
      </c>
      <c r="O26" s="60">
        <f>'Air Basin Summary NOx BAU'!O26/365.25</f>
        <v>-8.6280284375109872E-2</v>
      </c>
      <c r="P26" s="60">
        <f>'Air Basin Summary NOx BAU'!P26/365.25</f>
        <v>-7.8829316363042357E-2</v>
      </c>
      <c r="Q26" s="60">
        <f>'Air Basin Summary NOx BAU'!Q26/365.25</f>
        <v>-7.183012634545316E-2</v>
      </c>
      <c r="R26" s="60">
        <f>'Air Basin Summary NOx BAU'!R26/365.25</f>
        <v>-6.4796545466393643E-2</v>
      </c>
      <c r="S26" s="60">
        <f>'Air Basin Summary NOx BAU'!S26/365.25</f>
        <v>-5.801243900119956E-2</v>
      </c>
      <c r="T26" s="60">
        <f>'Air Basin Summary NOx BAU'!T26/365.25</f>
        <v>-5.2587495030337793E-2</v>
      </c>
      <c r="U26" s="60">
        <f>'Air Basin Summary NOx BAU'!U26/365.25</f>
        <v>-5.1011389152252208E-2</v>
      </c>
      <c r="V26" s="60">
        <f>'Air Basin Summary NOx BAU'!V26/365.25</f>
        <v>-4.9071263288491387E-2</v>
      </c>
      <c r="W26" s="60">
        <f>'Air Basin Summary NOx BAU'!W26/365.25</f>
        <v>-4.584405959773951E-2</v>
      </c>
      <c r="X26" s="60">
        <f>'Air Basin Summary NOx BAU'!X26/365.25</f>
        <v>-4.1578169867741981E-2</v>
      </c>
      <c r="Y26" s="60">
        <f>'Air Basin Summary NOx BAU'!Y26/365.25</f>
        <v>-3.8719663211974766E-2</v>
      </c>
      <c r="Z26" s="60">
        <f>'Air Basin Summary NOx BAU'!Z26/365.25</f>
        <v>-3.5799846450684063E-2</v>
      </c>
      <c r="AA26" s="60">
        <f>'Air Basin Summary NOx BAU'!AA26/365.25</f>
        <v>-3.3786286191071657E-2</v>
      </c>
      <c r="AB26" s="61">
        <f>'Air Basin Summary NOx BAU'!AB26/365.25</f>
        <v>-3.1206756642967386E-2</v>
      </c>
    </row>
    <row r="27" spans="1:56" ht="14.65" customHeight="1">
      <c r="A27" s="520"/>
      <c r="B27" s="2" t="str">
        <f>'Air Basin Summary NOx BAU'!B27</f>
        <v>North Central Coast</v>
      </c>
      <c r="C27" s="2" t="s">
        <v>18938</v>
      </c>
      <c r="D27" s="393">
        <f>'Air Basin Summary NOx BAU'!D27/365.25</f>
        <v>0</v>
      </c>
      <c r="E27" s="60">
        <f>'Air Basin Summary NOx BAU'!E27/365.25</f>
        <v>0</v>
      </c>
      <c r="F27" s="60">
        <f>'Air Basin Summary NOx BAU'!F27/365.25</f>
        <v>-4.1814550126803698E-2</v>
      </c>
      <c r="G27" s="60">
        <f>'Air Basin Summary NOx BAU'!G27/365.25</f>
        <v>-0.112104216529979</v>
      </c>
      <c r="H27" s="60">
        <f>'Air Basin Summary NOx BAU'!H27/365.25</f>
        <v>-0.12361921003644877</v>
      </c>
      <c r="I27" s="60">
        <f>'Air Basin Summary NOx BAU'!I27/365.25</f>
        <v>-0.11596756910945827</v>
      </c>
      <c r="J27" s="60">
        <f>'Air Basin Summary NOx BAU'!J27/365.25</f>
        <v>-0.10371285078329992</v>
      </c>
      <c r="K27" s="60">
        <f>'Air Basin Summary NOx BAU'!K27/365.25</f>
        <v>-0.10010970014463001</v>
      </c>
      <c r="L27" s="60">
        <f>'Air Basin Summary NOx BAU'!L27/365.25</f>
        <v>-9.4741892551559556E-2</v>
      </c>
      <c r="M27" s="60">
        <f>'Air Basin Summary NOx BAU'!M27/365.25</f>
        <v>-8.867794946914373E-2</v>
      </c>
      <c r="N27" s="60">
        <f>'Air Basin Summary NOx BAU'!N27/365.25</f>
        <v>-8.2250177116050288E-2</v>
      </c>
      <c r="O27" s="60">
        <f>'Air Basin Summary NOx BAU'!O27/365.25</f>
        <v>-7.5758298475706226E-2</v>
      </c>
      <c r="P27" s="60">
        <f>'Air Basin Summary NOx BAU'!P27/365.25</f>
        <v>-6.9763944981292486E-2</v>
      </c>
      <c r="Q27" s="60">
        <f>'Air Basin Summary NOx BAU'!Q27/365.25</f>
        <v>-6.3767561143412504E-2</v>
      </c>
      <c r="R27" s="60">
        <f>'Air Basin Summary NOx BAU'!R27/365.25</f>
        <v>-5.7410410750017161E-2</v>
      </c>
      <c r="S27" s="60">
        <f>'Air Basin Summary NOx BAU'!S27/365.25</f>
        <v>-5.1295209222113287E-2</v>
      </c>
      <c r="T27" s="60">
        <f>'Air Basin Summary NOx BAU'!T27/365.25</f>
        <v>-4.668194746008595E-2</v>
      </c>
      <c r="U27" s="60">
        <f>'Air Basin Summary NOx BAU'!U27/365.25</f>
        <v>-4.4703529203317792E-2</v>
      </c>
      <c r="V27" s="60">
        <f>'Air Basin Summary NOx BAU'!V27/365.25</f>
        <v>-4.2670663729122947E-2</v>
      </c>
      <c r="W27" s="60">
        <f>'Air Basin Summary NOx BAU'!W27/365.25</f>
        <v>-3.9581209925917175E-2</v>
      </c>
      <c r="X27" s="60">
        <f>'Air Basin Summary NOx BAU'!X27/365.25</f>
        <v>-3.5409979832417622E-2</v>
      </c>
      <c r="Y27" s="60">
        <f>'Air Basin Summary NOx BAU'!Y27/365.25</f>
        <v>-3.272988105763612E-2</v>
      </c>
      <c r="Z27" s="60">
        <f>'Air Basin Summary NOx BAU'!Z27/365.25</f>
        <v>-2.9668381036478498E-2</v>
      </c>
      <c r="AA27" s="60">
        <f>'Air Basin Summary NOx BAU'!AA27/365.25</f>
        <v>-2.7626355559550307E-2</v>
      </c>
      <c r="AB27" s="61">
        <f>'Air Basin Summary NOx BAU'!AB27/365.25</f>
        <v>-2.4999887918399289E-2</v>
      </c>
    </row>
    <row r="28" spans="1:56" ht="14.65" customHeight="1">
      <c r="A28" s="520"/>
      <c r="B28" s="2" t="str">
        <f>'Air Basin Summary NOx BAU'!B28</f>
        <v>North Coast</v>
      </c>
      <c r="C28" s="2" t="s">
        <v>18938</v>
      </c>
      <c r="D28" s="393">
        <f>'Air Basin Summary NOx BAU'!D28/365.25</f>
        <v>0</v>
      </c>
      <c r="E28" s="60">
        <f>'Air Basin Summary NOx BAU'!E28/365.25</f>
        <v>0</v>
      </c>
      <c r="F28" s="60">
        <f>'Air Basin Summary NOx BAU'!F28/365.25</f>
        <v>-4.2839416551480256E-2</v>
      </c>
      <c r="G28" s="60">
        <f>'Air Basin Summary NOx BAU'!G28/365.25</f>
        <v>-0.11265918789893929</v>
      </c>
      <c r="H28" s="60">
        <f>'Air Basin Summary NOx BAU'!H28/365.25</f>
        <v>-0.12237680591547942</v>
      </c>
      <c r="I28" s="60">
        <f>'Air Basin Summary NOx BAU'!I28/365.25</f>
        <v>-0.11243556192845953</v>
      </c>
      <c r="J28" s="60">
        <f>'Air Basin Summary NOx BAU'!J28/365.25</f>
        <v>-9.8901429870672589E-2</v>
      </c>
      <c r="K28" s="60">
        <f>'Air Basin Summary NOx BAU'!K28/365.25</f>
        <v>-9.3331439197337343E-2</v>
      </c>
      <c r="L28" s="60">
        <f>'Air Basin Summary NOx BAU'!L28/365.25</f>
        <v>-8.7222694730007197E-2</v>
      </c>
      <c r="M28" s="60">
        <f>'Air Basin Summary NOx BAU'!M28/365.25</f>
        <v>-8.0096212423742735E-2</v>
      </c>
      <c r="N28" s="60">
        <f>'Air Basin Summary NOx BAU'!N28/365.25</f>
        <v>-7.2811632201093698E-2</v>
      </c>
      <c r="O28" s="60">
        <f>'Air Basin Summary NOx BAU'!O28/365.25</f>
        <v>-6.5657192012278723E-2</v>
      </c>
      <c r="P28" s="60">
        <f>'Air Basin Summary NOx BAU'!P28/365.25</f>
        <v>-5.9516133854096986E-2</v>
      </c>
      <c r="Q28" s="60">
        <f>'Air Basin Summary NOx BAU'!Q28/365.25</f>
        <v>-5.3139634286177087E-2</v>
      </c>
      <c r="R28" s="60">
        <f>'Air Basin Summary NOx BAU'!R28/365.25</f>
        <v>-4.7338408864049233E-2</v>
      </c>
      <c r="S28" s="60">
        <f>'Air Basin Summary NOx BAU'!S28/365.25</f>
        <v>-4.1524693179805998E-2</v>
      </c>
      <c r="T28" s="60">
        <f>'Air Basin Summary NOx BAU'!T28/365.25</f>
        <v>-3.7120584727297262E-2</v>
      </c>
      <c r="U28" s="60">
        <f>'Air Basin Summary NOx BAU'!U28/365.25</f>
        <v>-3.510461188972195E-2</v>
      </c>
      <c r="V28" s="60">
        <f>'Air Basin Summary NOx BAU'!V28/365.25</f>
        <v>-3.3069764390070276E-2</v>
      </c>
      <c r="W28" s="60">
        <f>'Air Basin Summary NOx BAU'!W28/365.25</f>
        <v>-3.0061678424747221E-2</v>
      </c>
      <c r="X28" s="60">
        <f>'Air Basin Summary NOx BAU'!X28/365.25</f>
        <v>-2.6500372003615769E-2</v>
      </c>
      <c r="Y28" s="60">
        <f>'Air Basin Summary NOx BAU'!Y28/365.25</f>
        <v>-2.4173049408580928E-2</v>
      </c>
      <c r="Z28" s="60">
        <f>'Air Basin Summary NOx BAU'!Z28/365.25</f>
        <v>-2.1756812760084232E-2</v>
      </c>
      <c r="AA28" s="60">
        <f>'Air Basin Summary NOx BAU'!AA28/365.25</f>
        <v>-1.9973108411296504E-2</v>
      </c>
      <c r="AB28" s="61">
        <f>'Air Basin Summary NOx BAU'!AB28/365.25</f>
        <v>-1.7930954093196727E-2</v>
      </c>
    </row>
    <row r="29" spans="1:56" ht="14.65" customHeight="1">
      <c r="A29" s="520"/>
      <c r="B29" s="2" t="str">
        <f>'Air Basin Summary NOx BAU'!B29</f>
        <v>Northeast Plateau</v>
      </c>
      <c r="C29" s="2" t="s">
        <v>18938</v>
      </c>
      <c r="D29" s="393">
        <f>'Air Basin Summary NOx BAU'!D29/365.25</f>
        <v>0</v>
      </c>
      <c r="E29" s="60">
        <f>'Air Basin Summary NOx BAU'!E29/365.25</f>
        <v>0</v>
      </c>
      <c r="F29" s="60">
        <f>'Air Basin Summary NOx BAU'!F29/365.25</f>
        <v>-2.4391820907302159E-2</v>
      </c>
      <c r="G29" s="60">
        <f>'Air Basin Summary NOx BAU'!G29/365.25</f>
        <v>-6.4931650168354171E-2</v>
      </c>
      <c r="H29" s="60">
        <f>'Air Basin Summary NOx BAU'!H29/365.25</f>
        <v>-7.0817034895252068E-2</v>
      </c>
      <c r="I29" s="60">
        <f>'Air Basin Summary NOx BAU'!I29/365.25</f>
        <v>-6.5930800711976267E-2</v>
      </c>
      <c r="J29" s="60">
        <f>'Air Basin Summary NOx BAU'!J29/365.25</f>
        <v>-5.8806255598778299E-2</v>
      </c>
      <c r="K29" s="60">
        <f>'Air Basin Summary NOx BAU'!K29/365.25</f>
        <v>-5.6833111019607661E-2</v>
      </c>
      <c r="L29" s="60">
        <f>'Air Basin Summary NOx BAU'!L29/365.25</f>
        <v>-5.3636944460406726E-2</v>
      </c>
      <c r="M29" s="60">
        <f>'Air Basin Summary NOx BAU'!M29/365.25</f>
        <v>-5.006013276483922E-2</v>
      </c>
      <c r="N29" s="60">
        <f>'Air Basin Summary NOx BAU'!N29/365.25</f>
        <v>-4.6743270055023108E-2</v>
      </c>
      <c r="O29" s="60">
        <f>'Air Basin Summary NOx BAU'!O29/365.25</f>
        <v>-4.3350581905543008E-2</v>
      </c>
      <c r="P29" s="60">
        <f>'Air Basin Summary NOx BAU'!P29/365.25</f>
        <v>-3.980880476333639E-2</v>
      </c>
      <c r="Q29" s="60">
        <f>'Air Basin Summary NOx BAU'!Q29/365.25</f>
        <v>-3.664802364563937E-2</v>
      </c>
      <c r="R29" s="60">
        <f>'Air Basin Summary NOx BAU'!R29/365.25</f>
        <v>-3.3573339619893075E-2</v>
      </c>
      <c r="S29" s="60">
        <f>'Air Basin Summary NOx BAU'!S29/365.25</f>
        <v>-3.0227534005888197E-2</v>
      </c>
      <c r="T29" s="60">
        <f>'Air Basin Summary NOx BAU'!T29/365.25</f>
        <v>-2.7559221994508571E-2</v>
      </c>
      <c r="U29" s="60">
        <f>'Air Basin Summary NOx BAU'!U29/365.25</f>
        <v>-2.6876968478068367E-2</v>
      </c>
      <c r="V29" s="60">
        <f>'Air Basin Summary NOx BAU'!V29/365.25</f>
        <v>-2.5869089885780787E-2</v>
      </c>
      <c r="W29" s="60">
        <f>'Air Basin Summary NOx BAU'!W29/365.25</f>
        <v>-2.4049342739797773E-2</v>
      </c>
      <c r="X29" s="60">
        <f>'Air Basin Summary NOx BAU'!X29/365.25</f>
        <v>-2.1931342347819942E-2</v>
      </c>
      <c r="Y29" s="60">
        <f>'Air Basin Summary NOx BAU'!Y29/365.25</f>
        <v>-2.032247516650609E-2</v>
      </c>
      <c r="Z29" s="60">
        <f>'Air Basin Summary NOx BAU'!Z29/365.25</f>
        <v>-1.8592185449526524E-2</v>
      </c>
      <c r="AA29" s="60">
        <f>'Air Basin Summary NOx BAU'!AA29/365.25</f>
        <v>-1.7546469071606275E-2</v>
      </c>
      <c r="AB29" s="61">
        <f>'Air Basin Summary NOx BAU'!AB29/365.25</f>
        <v>-1.6034410871800919E-2</v>
      </c>
    </row>
    <row r="30" spans="1:56" ht="14.65" customHeight="1">
      <c r="A30" s="520"/>
      <c r="B30" s="2" t="str">
        <f>'Air Basin Summary NOx BAU'!B30</f>
        <v>Sacramento</v>
      </c>
      <c r="C30" s="2" t="s">
        <v>18938</v>
      </c>
      <c r="D30" s="393">
        <f>'Air Basin Summary NOx BAU'!D30/365.25</f>
        <v>0</v>
      </c>
      <c r="E30" s="60">
        <f>'Air Basin Summary NOx BAU'!E30/365.25</f>
        <v>0</v>
      </c>
      <c r="F30" s="60">
        <f>'Air Basin Summary NOx BAU'!F30/365.25</f>
        <v>-0.2295700791275497</v>
      </c>
      <c r="G30" s="60">
        <f>'Air Basin Summary NOx BAU'!G30/365.25</f>
        <v>-0.61324336270112279</v>
      </c>
      <c r="H30" s="60">
        <f>'Air Basin Summary NOx BAU'!H30/365.25</f>
        <v>-0.67711024592828717</v>
      </c>
      <c r="I30" s="60">
        <f>'Air Basin Summary NOx BAU'!I30/365.25</f>
        <v>-0.63340662112577206</v>
      </c>
      <c r="J30" s="60">
        <f>'Air Basin Summary NOx BAU'!J30/365.25</f>
        <v>-0.56774766769002327</v>
      </c>
      <c r="K30" s="60">
        <f>'Air Basin Summary NOx BAU'!K30/365.25</f>
        <v>-0.54695351797769198</v>
      </c>
      <c r="L30" s="60">
        <f>'Air Basin Summary NOx BAU'!L30/365.25</f>
        <v>-0.51882464968711184</v>
      </c>
      <c r="M30" s="60">
        <f>'Air Basin Summary NOx BAU'!M30/365.25</f>
        <v>-0.48582166940353483</v>
      </c>
      <c r="N30" s="60">
        <f>'Air Basin Summary NOx BAU'!N30/365.25</f>
        <v>-0.45125233783887697</v>
      </c>
      <c r="O30" s="60">
        <f>'Air Basin Summary NOx BAU'!O30/365.25</f>
        <v>-0.41667064161638423</v>
      </c>
      <c r="P30" s="60">
        <f>'Air Basin Summary NOx BAU'!P30/365.25</f>
        <v>-0.38468706385164675</v>
      </c>
      <c r="Q30" s="60">
        <f>'Air Basin Summary NOx BAU'!Q30/365.25</f>
        <v>-0.35292046770750712</v>
      </c>
      <c r="R30" s="60">
        <f>'Air Basin Summary NOx BAU'!R30/365.25</f>
        <v>-0.31961819318138207</v>
      </c>
      <c r="S30" s="60">
        <f>'Air Basin Summary NOx BAU'!S30/365.25</f>
        <v>-0.28700890874277674</v>
      </c>
      <c r="T30" s="60">
        <f>'Air Basin Summary NOx BAU'!T30/365.25</f>
        <v>-0.26125017584590265</v>
      </c>
      <c r="U30" s="60">
        <f>'Air Basin Summary NOx BAU'!U30/365.25</f>
        <v>-0.25231439795737653</v>
      </c>
      <c r="V30" s="60">
        <f>'Air Basin Summary NOx BAU'!V30/365.25</f>
        <v>-0.24268939995938674</v>
      </c>
      <c r="W30" s="60">
        <f>'Air Basin Summary NOx BAU'!W30/365.25</f>
        <v>-0.22596361615934996</v>
      </c>
      <c r="X30" s="60">
        <f>'Air Basin Summary NOx BAU'!X30/365.25</f>
        <v>-0.2040071741312835</v>
      </c>
      <c r="Y30" s="60">
        <f>'Air Basin Summary NOx BAU'!Y30/365.25</f>
        <v>-0.18974774181779896</v>
      </c>
      <c r="Z30" s="60">
        <f>'Air Basin Summary NOx BAU'!Z30/365.25</f>
        <v>-0.17385671287376403</v>
      </c>
      <c r="AA30" s="60">
        <f>'Air Basin Summary NOx BAU'!AA30/365.25</f>
        <v>-0.16277150032383694</v>
      </c>
      <c r="AB30" s="61">
        <f>'Air Basin Summary NOx BAU'!AB30/365.25</f>
        <v>-0.14913726240976125</v>
      </c>
    </row>
    <row r="31" spans="1:56" ht="14.65" customHeight="1">
      <c r="A31" s="520"/>
      <c r="B31" s="2" t="str">
        <f>'Air Basin Summary NOx BAU'!B31</f>
        <v>Salton Sea</v>
      </c>
      <c r="C31" s="2" t="s">
        <v>18938</v>
      </c>
      <c r="D31" s="393">
        <f>'Air Basin Summary NOx BAU'!D31/365.25</f>
        <v>0</v>
      </c>
      <c r="E31" s="60">
        <f>'Air Basin Summary NOx BAU'!E31/365.25</f>
        <v>0</v>
      </c>
      <c r="F31" s="60">
        <f>'Air Basin Summary NOx BAU'!F31/365.25</f>
        <v>-7.2970489436971167E-2</v>
      </c>
      <c r="G31" s="60">
        <f>'Air Basin Summary NOx BAU'!G31/365.25</f>
        <v>-0.20200957830154634</v>
      </c>
      <c r="H31" s="60">
        <f>'Air Basin Summary NOx BAU'!H31/365.25</f>
        <v>-0.23170836856078084</v>
      </c>
      <c r="I31" s="60">
        <f>'Air Basin Summary NOx BAU'!I31/365.25</f>
        <v>-0.22428245599341931</v>
      </c>
      <c r="J31" s="60">
        <f>'Air Basin Summary NOx BAU'!J31/365.25</f>
        <v>-0.20902950853747562</v>
      </c>
      <c r="K31" s="60">
        <f>'Air Basin Summary NOx BAU'!K31/365.25</f>
        <v>-0.20960468467781906</v>
      </c>
      <c r="L31" s="60">
        <f>'Air Basin Summary NOx BAU'!L31/365.25</f>
        <v>-0.20752985987484474</v>
      </c>
      <c r="M31" s="60">
        <f>'Air Basin Summary NOx BAU'!M31/365.25</f>
        <v>-0.20262434690530157</v>
      </c>
      <c r="N31" s="60">
        <f>'Air Basin Summary NOx BAU'!N31/365.25</f>
        <v>-0.1959621706152892</v>
      </c>
      <c r="O31" s="60">
        <f>'Air Basin Summary NOx BAU'!O31/365.25</f>
        <v>-0.18855398731731327</v>
      </c>
      <c r="P31" s="60">
        <f>'Air Basin Summary NOx BAU'!P31/365.25</f>
        <v>-0.18170157421681263</v>
      </c>
      <c r="Q31" s="60">
        <f>'Air Basin Summary NOx BAU'!Q31/365.25</f>
        <v>-0.17334515184387422</v>
      </c>
      <c r="R31" s="60">
        <f>'Air Basin Summary NOx BAU'!R31/365.25</f>
        <v>-0.16316643055268032</v>
      </c>
      <c r="S31" s="60">
        <f>'Air Basin Summary NOx BAU'!S31/365.25</f>
        <v>-0.15235898453472937</v>
      </c>
      <c r="T31" s="60">
        <f>'Air Basin Summary NOx BAU'!T31/365.25</f>
        <v>-0.14623260650147404</v>
      </c>
      <c r="U31" s="60">
        <f>'Air Basin Summary NOx BAU'!U31/365.25</f>
        <v>-0.1461777979470453</v>
      </c>
      <c r="V31" s="60">
        <f>'Air Basin Summary NOx BAU'!V31/365.25</f>
        <v>-0.145346948327325</v>
      </c>
      <c r="W31" s="60">
        <f>'Air Basin Summary NOx BAU'!W31/365.25</f>
        <v>-0.13953629068820167</v>
      </c>
      <c r="X31" s="60">
        <f>'Air Basin Summary NOx BAU'!X31/365.25</f>
        <v>-0.12998889370739114</v>
      </c>
      <c r="Y31" s="60">
        <f>'Air Basin Summary NOx BAU'!Y31/365.25</f>
        <v>-0.12407405891130034</v>
      </c>
      <c r="Z31" s="60">
        <f>'Air Basin Summary NOx BAU'!Z31/365.25</f>
        <v>-0.11709121049063514</v>
      </c>
      <c r="AA31" s="60">
        <f>'Air Basin Summary NOx BAU'!AA31/365.25</f>
        <v>-0.11237206788411679</v>
      </c>
      <c r="AB31" s="61">
        <f>'Air Basin Summary NOx BAU'!AB31/365.25</f>
        <v>-0.10568918133778457</v>
      </c>
    </row>
    <row r="32" spans="1:56" ht="14.65" customHeight="1">
      <c r="A32" s="520"/>
      <c r="B32" s="2" t="str">
        <f>'Air Basin Summary NOx BAU'!B32</f>
        <v>San Diego</v>
      </c>
      <c r="C32" s="2" t="s">
        <v>18938</v>
      </c>
      <c r="D32" s="393">
        <f>'Air Basin Summary NOx BAU'!D32/365.25</f>
        <v>0</v>
      </c>
      <c r="E32" s="60">
        <f>'Air Basin Summary NOx BAU'!E32/365.25</f>
        <v>0</v>
      </c>
      <c r="F32" s="60">
        <f>'Air Basin Summary NOx BAU'!F32/365.25</f>
        <v>-0.12093423811183421</v>
      </c>
      <c r="G32" s="60">
        <f>'Air Basin Summary NOx BAU'!G32/365.25</f>
        <v>-0.32354830810385032</v>
      </c>
      <c r="H32" s="60">
        <f>'Air Basin Summary NOx BAU'!H32/365.25</f>
        <v>-0.35781238683916827</v>
      </c>
      <c r="I32" s="60">
        <f>'Air Basin Summary NOx BAU'!I32/365.25</f>
        <v>-0.3349520143313795</v>
      </c>
      <c r="J32" s="60">
        <f>'Air Basin Summary NOx BAU'!J32/365.25</f>
        <v>-0.29991190355376934</v>
      </c>
      <c r="K32" s="60">
        <f>'Air Basin Summary NOx BAU'!K32/365.25</f>
        <v>-0.28833679260406458</v>
      </c>
      <c r="L32" s="60">
        <f>'Air Basin Summary NOx BAU'!L32/365.25</f>
        <v>-0.27269624099496503</v>
      </c>
      <c r="M32" s="60">
        <f>'Air Basin Summary NOx BAU'!M32/365.25</f>
        <v>-0.25649858502365236</v>
      </c>
      <c r="N32" s="60">
        <f>'Air Basin Summary NOx BAU'!N32/365.25</f>
        <v>-0.23866034999247379</v>
      </c>
      <c r="O32" s="60">
        <f>'Air Basin Summary NOx BAU'!O32/365.25</f>
        <v>-0.22096170388747646</v>
      </c>
      <c r="P32" s="60">
        <f>'Air Basin Summary NOx BAU'!P32/365.25</f>
        <v>-0.20456207596209494</v>
      </c>
      <c r="Q32" s="60">
        <f>'Air Basin Summary NOx BAU'!Q32/365.25</f>
        <v>-0.18837084153858635</v>
      </c>
      <c r="R32" s="60">
        <f>'Air Basin Summary NOx BAU'!R32/365.25</f>
        <v>-0.17088829866525576</v>
      </c>
      <c r="S32" s="60">
        <f>'Air Basin Summary NOx BAU'!S32/365.25</f>
        <v>-0.15388562766633987</v>
      </c>
      <c r="T32" s="60">
        <f>'Air Basin Summary NOx BAU'!T32/365.25</f>
        <v>-0.1406082754821866</v>
      </c>
      <c r="U32" s="60">
        <f>'Air Basin Summary NOx BAU'!U32/365.25</f>
        <v>-0.13603037107267255</v>
      </c>
      <c r="V32" s="60">
        <f>'Air Basin Summary NOx BAU'!V32/365.25</f>
        <v>-0.13121229096705306</v>
      </c>
      <c r="W32" s="60">
        <f>'Air Basin Summary NOx BAU'!W32/365.25</f>
        <v>-0.12250133958084493</v>
      </c>
      <c r="X32" s="60">
        <f>'Air Basin Summary NOx BAU'!X32/365.25</f>
        <v>-0.11102742063583847</v>
      </c>
      <c r="Y32" s="60">
        <f>'Air Basin Summary NOx BAU'!Y32/365.25</f>
        <v>-0.10353766295356785</v>
      </c>
      <c r="Z32" s="60">
        <f>'Air Basin Summary NOx BAU'!Z32/365.25</f>
        <v>-9.5136608523641045E-2</v>
      </c>
      <c r="AA32" s="60">
        <f>'Air Basin Summary NOx BAU'!AA32/365.25</f>
        <v>-8.9598991003946943E-2</v>
      </c>
      <c r="AB32" s="61">
        <f>'Air Basin Summary NOx BAU'!AB32/365.25</f>
        <v>-8.2413423620654194E-2</v>
      </c>
    </row>
    <row r="33" spans="1:31" ht="14.65" customHeight="1">
      <c r="A33" s="520"/>
      <c r="B33" s="2" t="str">
        <f>'Air Basin Summary NOx BAU'!B33</f>
        <v>San Francisco</v>
      </c>
      <c r="C33" s="2" t="s">
        <v>18938</v>
      </c>
      <c r="D33" s="393">
        <f>'Air Basin Summary NOx BAU'!D33/365.25</f>
        <v>0</v>
      </c>
      <c r="E33" s="60">
        <f>'Air Basin Summary NOx BAU'!E33/365.25</f>
        <v>0</v>
      </c>
      <c r="F33" s="60">
        <f>'Air Basin Summary NOx BAU'!F33/365.25</f>
        <v>-0.24186847622366842</v>
      </c>
      <c r="G33" s="60">
        <f>'Air Basin Summary NOx BAU'!G33/365.25</f>
        <v>-0.651536387159383</v>
      </c>
      <c r="H33" s="60">
        <f>'Air Basin Summary NOx BAU'!H33/365.25</f>
        <v>-0.72556400664609122</v>
      </c>
      <c r="I33" s="60">
        <f>'Air Basin Summary NOx BAU'!I33/365.25</f>
        <v>-0.68285472165975436</v>
      </c>
      <c r="J33" s="60">
        <f>'Air Basin Summary NOx BAU'!J33/365.25</f>
        <v>-0.61532727449267111</v>
      </c>
      <c r="K33" s="60">
        <f>'Air Basin Summary NOx BAU'!K33/365.25</f>
        <v>-0.59440134460874061</v>
      </c>
      <c r="L33" s="60">
        <f>'Air Basin Summary NOx BAU'!L33/365.25</f>
        <v>-0.56644623589027665</v>
      </c>
      <c r="M33" s="60">
        <f>'Air Basin Summary NOx BAU'!M33/365.25</f>
        <v>-0.5330212231532403</v>
      </c>
      <c r="N33" s="60">
        <f>'Air Basin Summary NOx BAU'!N33/365.25</f>
        <v>-0.49754615337414032</v>
      </c>
      <c r="O33" s="60">
        <f>'Air Basin Summary NOx BAU'!O33/365.25</f>
        <v>-0.4612838618298557</v>
      </c>
      <c r="P33" s="60">
        <f>'Air Basin Summary NOx BAU'!P33/365.25</f>
        <v>-0.42764904126950476</v>
      </c>
      <c r="Q33" s="60">
        <f>'Air Basin Summary NOx BAU'!Q33/365.25</f>
        <v>-0.39250033324479766</v>
      </c>
      <c r="R33" s="60">
        <f>'Air Basin Summary NOx BAU'!R33/365.25</f>
        <v>-0.35587739997086654</v>
      </c>
      <c r="S33" s="60">
        <f>'Air Basin Summary NOx BAU'!S33/365.25</f>
        <v>-0.31967907175924182</v>
      </c>
      <c r="T33" s="60">
        <f>'Air Basin Summary NOx BAU'!T33/365.25</f>
        <v>-0.29105913024812624</v>
      </c>
      <c r="U33" s="60">
        <f>'Air Basin Summary NOx BAU'!U33/365.25</f>
        <v>-0.2802883855569987</v>
      </c>
      <c r="V33" s="60">
        <f>'Air Basin Summary NOx BAU'!V33/365.25</f>
        <v>-0.26909187314178157</v>
      </c>
      <c r="W33" s="60">
        <f>'Air Basin Summary NOx BAU'!W33/365.25</f>
        <v>-0.24951193092540191</v>
      </c>
      <c r="X33" s="60">
        <f>'Air Basin Summary NOx BAU'!X33/365.25</f>
        <v>-0.22456780758236464</v>
      </c>
      <c r="Y33" s="60">
        <f>'Air Basin Summary NOx BAU'!Y33/365.25</f>
        <v>-0.2075031674895885</v>
      </c>
      <c r="Z33" s="60">
        <f>'Air Basin Summary NOx BAU'!Z33/365.25</f>
        <v>-0.18948206021964265</v>
      </c>
      <c r="AA33" s="60">
        <f>'Air Basin Summary NOx BAU'!AA33/365.25</f>
        <v>-0.17658467810361209</v>
      </c>
      <c r="AB33" s="61">
        <f>'Air Basin Summary NOx BAU'!AB33/365.25</f>
        <v>-0.16103376079851678</v>
      </c>
    </row>
    <row r="34" spans="1:31" ht="14.65" customHeight="1">
      <c r="A34" s="520"/>
      <c r="B34" s="2" t="str">
        <f>'Air Basin Summary NOx BAU'!B34</f>
        <v>San Joaquin</v>
      </c>
      <c r="C34" s="2" t="s">
        <v>18938</v>
      </c>
      <c r="D34" s="393">
        <f>'Air Basin Summary NOx BAU'!D34/365.25</f>
        <v>0</v>
      </c>
      <c r="E34" s="60">
        <f>'Air Basin Summary NOx BAU'!E34/365.25</f>
        <v>0</v>
      </c>
      <c r="F34" s="60">
        <f>'Air Basin Summary NOx BAU'!F34/365.25</f>
        <v>-0.43556823048753851</v>
      </c>
      <c r="G34" s="60">
        <f>'Air Basin Summary NOx BAU'!G34/365.25</f>
        <v>-1.1926334718956677</v>
      </c>
      <c r="H34" s="60">
        <f>'Air Basin Summary NOx BAU'!H34/365.25</f>
        <v>-1.3511144815541511</v>
      </c>
      <c r="I34" s="60">
        <f>'Air Basin Summary NOx BAU'!I34/365.25</f>
        <v>-1.2938919639725344</v>
      </c>
      <c r="J34" s="60">
        <f>'Air Basin Summary NOx BAU'!J34/365.25</f>
        <v>-1.1878863630953218</v>
      </c>
      <c r="K34" s="60">
        <f>'Air Basin Summary NOx BAU'!K34/365.25</f>
        <v>-1.1721177391933764</v>
      </c>
      <c r="L34" s="60">
        <f>'Air Basin Summary NOx BAU'!L34/365.25</f>
        <v>-1.1399103897473355</v>
      </c>
      <c r="M34" s="60">
        <f>'Air Basin Summary NOx BAU'!M34/365.25</f>
        <v>-1.0975088154729511</v>
      </c>
      <c r="N34" s="60">
        <f>'Air Basin Summary NOx BAU'!N34/365.25</f>
        <v>-1.0467795765206618</v>
      </c>
      <c r="O34" s="60">
        <f>'Air Basin Summary NOx BAU'!O34/365.25</f>
        <v>-0.99201283059577539</v>
      </c>
      <c r="P34" s="60">
        <f>'Air Basin Summary NOx BAU'!P34/365.25</f>
        <v>-0.93964545104746489</v>
      </c>
      <c r="Q34" s="60">
        <f>'Air Basin Summary NOx BAU'!Q34/365.25</f>
        <v>-0.8835838500963652</v>
      </c>
      <c r="R34" s="60">
        <f>'Air Basin Summary NOx BAU'!R34/365.25</f>
        <v>-0.81885375332919208</v>
      </c>
      <c r="S34" s="60">
        <f>'Air Basin Summary NOx BAU'!S34/365.25</f>
        <v>-0.75232973525766167</v>
      </c>
      <c r="T34" s="60">
        <f>'Air Basin Summary NOx BAU'!T34/365.25</f>
        <v>-0.69966677879936046</v>
      </c>
      <c r="U34" s="60">
        <f>'Air Basin Summary NOx BAU'!U34/365.25</f>
        <v>-0.68837949877501636</v>
      </c>
      <c r="V34" s="60">
        <f>'Air Basin Summary NOx BAU'!V34/365.25</f>
        <v>-0.67472987021675646</v>
      </c>
      <c r="W34" s="60">
        <f>'Air Basin Summary NOx BAU'!W34/365.25</f>
        <v>-0.63856015253900555</v>
      </c>
      <c r="X34" s="60">
        <f>'Air Basin Summary NOx BAU'!X34/365.25</f>
        <v>-0.58620650483860404</v>
      </c>
      <c r="Y34" s="60">
        <f>'Air Basin Summary NOx BAU'!Y34/365.25</f>
        <v>-0.55191564136406013</v>
      </c>
      <c r="Z34" s="60">
        <f>'Air Basin Summary NOx BAU'!Z34/365.25</f>
        <v>-0.51346078113798788</v>
      </c>
      <c r="AA34" s="60">
        <f>'Air Basin Summary NOx BAU'!AA34/365.25</f>
        <v>-0.48700784901936994</v>
      </c>
      <c r="AB34" s="61">
        <f>'Air Basin Summary NOx BAU'!AB34/365.25</f>
        <v>-0.45206693877270981</v>
      </c>
    </row>
    <row r="35" spans="1:31" ht="14.65" customHeight="1">
      <c r="A35" s="520"/>
      <c r="B35" s="2" t="str">
        <f>'Air Basin Summary NOx BAU'!B35</f>
        <v>South Central Coast</v>
      </c>
      <c r="C35" s="2" t="s">
        <v>18938</v>
      </c>
      <c r="D35" s="393">
        <f>'Air Basin Summary NOx BAU'!D35/365.25</f>
        <v>0</v>
      </c>
      <c r="E35" s="60">
        <f>'Air Basin Summary NOx BAU'!E35/365.25</f>
        <v>0</v>
      </c>
      <c r="F35" s="60">
        <f>'Air Basin Summary NOx BAU'!F35/365.25</f>
        <v>-6.4361611469688038E-2</v>
      </c>
      <c r="G35" s="60">
        <f>'Air Basin Summary NOx BAU'!G35/365.25</f>
        <v>-0.17037621027080968</v>
      </c>
      <c r="H35" s="60">
        <f>'Air Basin Summary NOx BAU'!H35/365.25</f>
        <v>-0.18636061814540014</v>
      </c>
      <c r="I35" s="60">
        <f>'Air Basin Summary NOx BAU'!I35/365.25</f>
        <v>-0.17247968400543792</v>
      </c>
      <c r="J35" s="60">
        <f>'Air Basin Summary NOx BAU'!J35/365.25</f>
        <v>-0.15236166223319833</v>
      </c>
      <c r="K35" s="60">
        <f>'Air Basin Summary NOx BAU'!K35/365.25</f>
        <v>-0.14442909864615891</v>
      </c>
      <c r="L35" s="60">
        <f>'Air Basin Summary NOx BAU'!L35/365.25</f>
        <v>-0.13534556078794222</v>
      </c>
      <c r="M35" s="60">
        <f>'Air Basin Summary NOx BAU'!M35/365.25</f>
        <v>-0.12443518715831461</v>
      </c>
      <c r="N35" s="60">
        <f>'Air Basin Summary NOx BAU'!N35/365.25</f>
        <v>-0.11371199349923893</v>
      </c>
      <c r="O35" s="60">
        <f>'Air Basin Summary NOx BAU'!O35/365.25</f>
        <v>-0.10311546181415569</v>
      </c>
      <c r="P35" s="60">
        <f>'Air Basin Summary NOx BAU'!P35/365.25</f>
        <v>-9.3412739890205182E-2</v>
      </c>
      <c r="Q35" s="60">
        <f>'Air Basin Summary NOx BAU'!Q35/365.25</f>
        <v>-8.3923974148514158E-2</v>
      </c>
      <c r="R35" s="60">
        <f>'Air Basin Summary NOx BAU'!R35/365.25</f>
        <v>-7.4532813956162625E-2</v>
      </c>
      <c r="S35" s="60">
        <f>'Air Basin Summary NOx BAU'!S35/365.25</f>
        <v>-6.5340326032930038E-2</v>
      </c>
      <c r="T35" s="60">
        <f>'Air Basin Summary NOx BAU'!T35/365.25</f>
        <v>-5.8493042600589622E-2</v>
      </c>
      <c r="U35" s="60">
        <f>'Air Basin Summary NOx BAU'!U35/365.25</f>
        <v>-5.5125210858079005E-2</v>
      </c>
      <c r="V35" s="60">
        <f>'Air Basin Summary NOx BAU'!V35/365.25</f>
        <v>-5.2004871419868585E-2</v>
      </c>
      <c r="W35" s="60">
        <f>'Air Basin Summary NOx BAU'!W35/365.25</f>
        <v>-4.734714351897687E-2</v>
      </c>
      <c r="X35" s="60">
        <f>'Air Basin Summary NOx BAU'!X35/365.25</f>
        <v>-4.1806621350531772E-2</v>
      </c>
      <c r="Y35" s="60">
        <f>'Air Basin Summary NOx BAU'!Y35/365.25</f>
        <v>-3.7863980047069243E-2</v>
      </c>
      <c r="Z35" s="60">
        <f>'Air Basin Summary NOx BAU'!Z35/365.25</f>
        <v>-3.4019743588495348E-2</v>
      </c>
      <c r="AA35" s="60">
        <f>'Air Basin Summary NOx BAU'!AA35/365.25</f>
        <v>-3.1172982286789871E-2</v>
      </c>
      <c r="AB35" s="61">
        <f>'Air Basin Summary NOx BAU'!AB35/365.25</f>
        <v>-2.7930909260556445E-2</v>
      </c>
    </row>
    <row r="36" spans="1:31" ht="14.65" customHeight="1">
      <c r="A36" s="520"/>
      <c r="B36" s="2" t="str">
        <f>'Air Basin Summary NOx BAU'!B36</f>
        <v>South Coast</v>
      </c>
      <c r="C36" s="2" t="s">
        <v>18938</v>
      </c>
      <c r="D36" s="394">
        <f>'Air Basin Summary NOx BAU'!D36/365.25</f>
        <v>0</v>
      </c>
      <c r="E36" s="64">
        <f>'Air Basin Summary NOx BAU'!E36/365.25</f>
        <v>0</v>
      </c>
      <c r="F36" s="64">
        <f>'Air Basin Summary NOx BAU'!F36/365.25</f>
        <v>-0.54830353720196023</v>
      </c>
      <c r="G36" s="64">
        <f>'Air Basin Summary NOx BAU'!G36/365.25</f>
        <v>-1.4917630397652653</v>
      </c>
      <c r="H36" s="64">
        <f>'Air Basin Summary NOx BAU'!H36/365.25</f>
        <v>-1.677866765369086</v>
      </c>
      <c r="I36" s="64">
        <f>'Air Basin Summary NOx BAU'!I36/365.25</f>
        <v>-1.597644581538425</v>
      </c>
      <c r="J36" s="64">
        <f>'Air Basin Summary NOx BAU'!J36/365.25</f>
        <v>-1.4562567295552009</v>
      </c>
      <c r="K36" s="64">
        <f>'Air Basin Summary NOx BAU'!K36/365.25</f>
        <v>-1.4229133942432046</v>
      </c>
      <c r="L36" s="64">
        <f>'Air Basin Summary NOx BAU'!L36/365.25</f>
        <v>-1.3710004027963778</v>
      </c>
      <c r="M36" s="64">
        <f>'Air Basin Summary NOx BAU'!M36/365.25</f>
        <v>-1.3063310835777091</v>
      </c>
      <c r="N36" s="64">
        <f>'Air Basin Summary NOx BAU'!N36/365.25</f>
        <v>-1.231954838661715</v>
      </c>
      <c r="O36" s="64">
        <f>'Air Basin Summary NOx BAU'!O36/365.25</f>
        <v>-1.1540514134465916</v>
      </c>
      <c r="P36" s="64">
        <f>'Air Basin Summary NOx BAU'!P36/365.25</f>
        <v>-1.0791733410100499</v>
      </c>
      <c r="Q36" s="64">
        <f>'Air Basin Summary NOx BAU'!Q36/365.25</f>
        <v>-1.0026899269446932</v>
      </c>
      <c r="R36" s="64">
        <f>'Air Basin Summary NOx BAU'!R36/365.25</f>
        <v>-0.9145377712458872</v>
      </c>
      <c r="S36" s="64">
        <f>'Air Basin Summary NOx BAU'!S36/365.25</f>
        <v>-0.82896722046450955</v>
      </c>
      <c r="T36" s="64">
        <f>'Air Basin Summary NOx BAU'!T36/365.25</f>
        <v>-0.75956590415477199</v>
      </c>
      <c r="U36" s="64">
        <f>'Air Basin Summary NOx BAU'!U36/365.25</f>
        <v>-0.73829386880571479</v>
      </c>
      <c r="V36" s="64">
        <f>'Air Basin Summary NOx BAU'!V36/365.25</f>
        <v>-0.71553369240773024</v>
      </c>
      <c r="W36" s="64">
        <f>'Air Basin Summary NOx BAU'!W36/365.25</f>
        <v>-0.67012491488499015</v>
      </c>
      <c r="X36" s="64">
        <f>'Air Basin Summary NOx BAU'!X36/365.25</f>
        <v>-0.60950855608316268</v>
      </c>
      <c r="Y36" s="64">
        <f>'Air Basin Summary NOx BAU'!Y36/365.25</f>
        <v>-0.56924322545339689</v>
      </c>
      <c r="Z36" s="64">
        <f>'Air Basin Summary NOx BAU'!Z36/365.25</f>
        <v>-0.52513034434566952</v>
      </c>
      <c r="AA36" s="64">
        <f>'Air Basin Summary NOx BAU'!AA36/365.25</f>
        <v>-0.49428776703844052</v>
      </c>
      <c r="AB36" s="65">
        <f>'Air Basin Summary NOx BAU'!AB36/365.25</f>
        <v>-0.45551519917524769</v>
      </c>
    </row>
    <row r="37" spans="1:31" ht="14.65" customHeight="1">
      <c r="A37" s="520"/>
      <c r="B37" s="10" t="str">
        <f>'Air Basin Summary NOx BAU'!B37</f>
        <v>STATEWIDE</v>
      </c>
      <c r="C37" s="72" t="s">
        <v>18938</v>
      </c>
      <c r="D37" s="175">
        <f>'Air Basin Summary NOx BAU'!D37/365.25</f>
        <v>0</v>
      </c>
      <c r="E37" s="175">
        <f>'Air Basin Summary NOx BAU'!E37/365.25</f>
        <v>0</v>
      </c>
      <c r="F37" s="175">
        <f>'Air Basin Summary NOx BAU'!F37/365.25</f>
        <v>-2.0495278760681868</v>
      </c>
      <c r="G37" s="175">
        <f>'Air Basin Summary NOx BAU'!G37/365.25</f>
        <v>-5.5497136896029211</v>
      </c>
      <c r="H37" s="175">
        <f>'Air Basin Summary NOx BAU'!H37/365.25</f>
        <v>-6.2126418069071558</v>
      </c>
      <c r="I37" s="175">
        <f>'Air Basin Summary NOx BAU'!I37/365.25</f>
        <v>-5.8872673028613818</v>
      </c>
      <c r="J37" s="175">
        <f>'Air Basin Summary NOx BAU'!J37/365.25</f>
        <v>-5.345488633928948</v>
      </c>
      <c r="K37" s="175">
        <f>'Air Basin Summary NOx BAU'!K37/365.25</f>
        <v>-5.2135254778445601</v>
      </c>
      <c r="L37" s="175">
        <f>'Air Basin Summary NOx BAU'!L37/365.25</f>
        <v>-5.013801107411104</v>
      </c>
      <c r="M37" s="175">
        <f>'Air Basin Summary NOx BAU'!M37/365.25</f>
        <v>-4.7681084550586377</v>
      </c>
      <c r="N37" s="175">
        <f>'Air Basin Summary NOx BAU'!N37/365.25</f>
        <v>-4.4940957430786161</v>
      </c>
      <c r="O37" s="175">
        <f>'Air Basin Summary NOx BAU'!O37/365.25</f>
        <v>-4.2092152391974329</v>
      </c>
      <c r="P37" s="175">
        <f>'Air Basin Summary NOx BAU'!P37/365.25</f>
        <v>-3.9410716715703025</v>
      </c>
      <c r="Q37" s="175">
        <f>'Air Basin Summary NOx BAU'!Q37/365.25</f>
        <v>-3.6644358843274802</v>
      </c>
      <c r="R37" s="175">
        <f>'Air Basin Summary NOx BAU'!R37/365.25</f>
        <v>-3.3576696953855056</v>
      </c>
      <c r="S37" s="175">
        <f>'Air Basin Summary NOx BAU'!S37/365.25</f>
        <v>-3.0526756059683855</v>
      </c>
      <c r="T37" s="175">
        <f>'Air Basin Summary NOx BAU'!T37/365.25</f>
        <v>-2.811603076541803</v>
      </c>
      <c r="U37" s="175">
        <f>'Air Basin Summary NOx BAU'!U37/365.25</f>
        <v>-2.7430963134453044</v>
      </c>
      <c r="V37" s="175">
        <f>'Air Basin Summary NOx BAU'!V37/365.25</f>
        <v>-2.66638309977357</v>
      </c>
      <c r="W37" s="175">
        <f>'Air Basin Summary NOx BAU'!W37/365.25</f>
        <v>-2.5048893547420623</v>
      </c>
      <c r="X37" s="175">
        <f>'Air Basin Summary NOx BAU'!X37/365.25</f>
        <v>-2.2845148278979113</v>
      </c>
      <c r="Y37" s="175">
        <f>'Air Basin Summary NOx BAU'!Y37/365.25</f>
        <v>-2.1387800706813462</v>
      </c>
      <c r="Z37" s="175">
        <f>'Air Basin Summary NOx BAU'!Z37/365.25</f>
        <v>-1.9782876475123861</v>
      </c>
      <c r="AA37" s="175">
        <f>'Air Basin Summary NOx BAU'!AA37/365.25</f>
        <v>-1.8666456459155611</v>
      </c>
      <c r="AB37" s="175">
        <f>'Air Basin Summary NOx BAU'!AB37/365.25</f>
        <v>-1.7239577882487893</v>
      </c>
      <c r="AC37" s="66"/>
    </row>
    <row r="38" spans="1:31" ht="14.65" customHeight="1">
      <c r="A38" s="520"/>
      <c r="B38" s="2"/>
      <c r="C38" s="2"/>
    </row>
    <row r="39" spans="1:31" ht="15.6" customHeight="1">
      <c r="A39" s="520"/>
      <c r="B39" s="86"/>
      <c r="C39" s="86"/>
      <c r="D39" s="519" t="s">
        <v>18929</v>
      </c>
      <c r="E39" s="519"/>
      <c r="F39" s="519"/>
      <c r="G39" s="519"/>
      <c r="H39" s="519"/>
      <c r="I39" s="519"/>
      <c r="J39" s="519"/>
      <c r="K39" s="519"/>
      <c r="L39" s="519"/>
      <c r="M39" s="519"/>
      <c r="N39" s="519"/>
      <c r="O39" s="519"/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  <c r="AC39" s="169"/>
      <c r="AD39" s="169"/>
      <c r="AE39" s="169"/>
    </row>
    <row r="40" spans="1:31" ht="14.65" customHeight="1">
      <c r="A40" s="520"/>
      <c r="B40" s="91" t="s">
        <v>18814</v>
      </c>
      <c r="C40" s="90" t="str">
        <f>'BAU Comparison - AJF'!B25</f>
        <v>Units</v>
      </c>
      <c r="D40" s="89">
        <f>'BAU Comparison - AJF'!C25</f>
        <v>2022</v>
      </c>
      <c r="E40" s="89">
        <f>'BAU Comparison - AJF'!D25</f>
        <v>2023</v>
      </c>
      <c r="F40" s="89">
        <f>'BAU Comparison - AJF'!E25</f>
        <v>2024</v>
      </c>
      <c r="G40" s="89">
        <f>'BAU Comparison - AJF'!F25</f>
        <v>2025</v>
      </c>
      <c r="H40" s="89">
        <f>'BAU Comparison - AJF'!G25</f>
        <v>2026</v>
      </c>
      <c r="I40" s="89">
        <f>'BAU Comparison - AJF'!H25</f>
        <v>2027</v>
      </c>
      <c r="J40" s="89">
        <f>'BAU Comparison - AJF'!I25</f>
        <v>2028</v>
      </c>
      <c r="K40" s="89">
        <f>'BAU Comparison - AJF'!J25</f>
        <v>2029</v>
      </c>
      <c r="L40" s="90">
        <f>'BAU Comparison - AJF'!K25</f>
        <v>2030</v>
      </c>
      <c r="M40" s="89">
        <f>'BAU Comparison - AJF'!L25</f>
        <v>2031</v>
      </c>
      <c r="N40" s="90">
        <f>'BAU Comparison - AJF'!M25</f>
        <v>2032</v>
      </c>
      <c r="O40" s="89">
        <f>'BAU Comparison - AJF'!N25</f>
        <v>2033</v>
      </c>
      <c r="P40" s="90">
        <f>'BAU Comparison - AJF'!O25</f>
        <v>2034</v>
      </c>
      <c r="Q40" s="89">
        <f>'BAU Comparison - AJF'!P25</f>
        <v>2035</v>
      </c>
      <c r="R40" s="90">
        <f>'BAU Comparison - AJF'!Q25</f>
        <v>2036</v>
      </c>
      <c r="S40" s="89">
        <f>'BAU Comparison - AJF'!R25</f>
        <v>2037</v>
      </c>
      <c r="T40" s="90">
        <f>'BAU Comparison - AJF'!S25</f>
        <v>2038</v>
      </c>
      <c r="U40" s="89">
        <f>'BAU Comparison - AJF'!T25</f>
        <v>2039</v>
      </c>
      <c r="V40" s="90">
        <f>'BAU Comparison - AJF'!U25</f>
        <v>2040</v>
      </c>
      <c r="W40" s="89">
        <f>'BAU Comparison - AJF'!V25</f>
        <v>2041</v>
      </c>
      <c r="X40" s="90">
        <f>'BAU Comparison - AJF'!W25</f>
        <v>2042</v>
      </c>
      <c r="Y40" s="89">
        <f>'BAU Comparison - AJF'!X25</f>
        <v>2043</v>
      </c>
      <c r="Z40" s="90">
        <f>'BAU Comparison - AJF'!Y25</f>
        <v>2044</v>
      </c>
      <c r="AA40" s="89">
        <f>'BAU Comparison - AJF'!Z25</f>
        <v>2045</v>
      </c>
      <c r="AB40" s="90">
        <f>'BAU Comparison - AJF'!AA25</f>
        <v>2046</v>
      </c>
    </row>
    <row r="41" spans="1:31" ht="14.65" customHeight="1">
      <c r="A41" s="520"/>
      <c r="B41" s="2" t="str">
        <f>'BAU Comparison - AJF'!A26</f>
        <v>Great Basin Valleys</v>
      </c>
      <c r="C41" s="2" t="s">
        <v>18938</v>
      </c>
      <c r="D41" s="104">
        <f>'Air Basin Summary NOx BAU'!D41/365.25</f>
        <v>0</v>
      </c>
      <c r="E41" s="79">
        <f>'Air Basin Summary NOx BAU'!E41/365.25</f>
        <v>0</v>
      </c>
      <c r="F41" s="79">
        <f>'Air Basin Summary NOx BAU'!F41/365.25</f>
        <v>0</v>
      </c>
      <c r="G41" s="79">
        <f>'Air Basin Summary NOx BAU'!G41/365.25</f>
        <v>0</v>
      </c>
      <c r="H41" s="79">
        <f>'Air Basin Summary NOx BAU'!H41/365.25</f>
        <v>0</v>
      </c>
      <c r="I41" s="79">
        <f>'Air Basin Summary NOx BAU'!I41/365.25</f>
        <v>0</v>
      </c>
      <c r="J41" s="79">
        <f>'Air Basin Summary NOx BAU'!J41/365.25</f>
        <v>0</v>
      </c>
      <c r="K41" s="79">
        <f>'Air Basin Summary NOx BAU'!K41/365.25</f>
        <v>0</v>
      </c>
      <c r="L41" s="79">
        <f>'Air Basin Summary NOx BAU'!L41/365.25</f>
        <v>0</v>
      </c>
      <c r="M41" s="79">
        <f>'Air Basin Summary NOx BAU'!M41/365.25</f>
        <v>0</v>
      </c>
      <c r="N41" s="79">
        <f>'Air Basin Summary NOx BAU'!N41/365.25</f>
        <v>0</v>
      </c>
      <c r="O41" s="79">
        <f>'Air Basin Summary NOx BAU'!O41/365.25</f>
        <v>0</v>
      </c>
      <c r="P41" s="79">
        <f>'Air Basin Summary NOx BAU'!P41/365.25</f>
        <v>0</v>
      </c>
      <c r="Q41" s="79">
        <f>'Air Basin Summary NOx BAU'!Q41/365.25</f>
        <v>0</v>
      </c>
      <c r="R41" s="79">
        <f>'Air Basin Summary NOx BAU'!R41/365.25</f>
        <v>0</v>
      </c>
      <c r="S41" s="79">
        <f>'Air Basin Summary NOx BAU'!S41/365.25</f>
        <v>0</v>
      </c>
      <c r="T41" s="79">
        <f>'Air Basin Summary NOx BAU'!T41/365.25</f>
        <v>0</v>
      </c>
      <c r="U41" s="79">
        <f>'Air Basin Summary NOx BAU'!U41/365.25</f>
        <v>0</v>
      </c>
      <c r="V41" s="79">
        <f>'Air Basin Summary NOx BAU'!V41/365.25</f>
        <v>0</v>
      </c>
      <c r="W41" s="79">
        <f>'Air Basin Summary NOx BAU'!W41/365.25</f>
        <v>0</v>
      </c>
      <c r="X41" s="79">
        <f>'Air Basin Summary NOx BAU'!X41/365.25</f>
        <v>0</v>
      </c>
      <c r="Y41" s="79">
        <f>'Air Basin Summary NOx BAU'!Y41/365.25</f>
        <v>0</v>
      </c>
      <c r="Z41" s="79">
        <f>'Air Basin Summary NOx BAU'!Z41/365.25</f>
        <v>0</v>
      </c>
      <c r="AA41" s="79">
        <f>'Air Basin Summary NOx BAU'!AA41/365.25</f>
        <v>0</v>
      </c>
      <c r="AB41" s="80">
        <f>'Air Basin Summary NOx BAU'!AB41/365.25</f>
        <v>0</v>
      </c>
    </row>
    <row r="42" spans="1:31" ht="14.65" customHeight="1">
      <c r="A42" s="520"/>
      <c r="B42" s="2" t="str">
        <f>'BAU Comparison - AJF'!A27</f>
        <v xml:space="preserve">Lake County </v>
      </c>
      <c r="C42" s="2" t="s">
        <v>18938</v>
      </c>
      <c r="D42" s="393">
        <f>'Air Basin Summary NOx BAU'!D42/365.25</f>
        <v>0</v>
      </c>
      <c r="E42" s="60">
        <f>'Air Basin Summary NOx BAU'!E42/365.25</f>
        <v>0</v>
      </c>
      <c r="F42" s="60">
        <f>'Air Basin Summary NOx BAU'!F42/365.25</f>
        <v>0</v>
      </c>
      <c r="G42" s="60">
        <f>'Air Basin Summary NOx BAU'!G42/365.25</f>
        <v>0</v>
      </c>
      <c r="H42" s="60">
        <f>'Air Basin Summary NOx BAU'!H42/365.25</f>
        <v>0</v>
      </c>
      <c r="I42" s="60">
        <f>'Air Basin Summary NOx BAU'!I42/365.25</f>
        <v>0</v>
      </c>
      <c r="J42" s="60">
        <f>'Air Basin Summary NOx BAU'!J42/365.25</f>
        <v>0</v>
      </c>
      <c r="K42" s="60">
        <f>'Air Basin Summary NOx BAU'!K42/365.25</f>
        <v>0</v>
      </c>
      <c r="L42" s="60">
        <f>'Air Basin Summary NOx BAU'!L42/365.25</f>
        <v>0</v>
      </c>
      <c r="M42" s="60">
        <f>'Air Basin Summary NOx BAU'!M42/365.25</f>
        <v>0</v>
      </c>
      <c r="N42" s="60">
        <f>'Air Basin Summary NOx BAU'!N42/365.25</f>
        <v>0</v>
      </c>
      <c r="O42" s="60">
        <f>'Air Basin Summary NOx BAU'!O42/365.25</f>
        <v>0</v>
      </c>
      <c r="P42" s="60">
        <f>'Air Basin Summary NOx BAU'!P42/365.25</f>
        <v>0</v>
      </c>
      <c r="Q42" s="60">
        <f>'Air Basin Summary NOx BAU'!Q42/365.25</f>
        <v>0</v>
      </c>
      <c r="R42" s="60">
        <f>'Air Basin Summary NOx BAU'!R42/365.25</f>
        <v>0</v>
      </c>
      <c r="S42" s="60">
        <f>'Air Basin Summary NOx BAU'!S42/365.25</f>
        <v>0</v>
      </c>
      <c r="T42" s="60">
        <f>'Air Basin Summary NOx BAU'!T42/365.25</f>
        <v>0</v>
      </c>
      <c r="U42" s="60">
        <f>'Air Basin Summary NOx BAU'!U42/365.25</f>
        <v>0</v>
      </c>
      <c r="V42" s="60">
        <f>'Air Basin Summary NOx BAU'!V42/365.25</f>
        <v>0</v>
      </c>
      <c r="W42" s="60">
        <f>'Air Basin Summary NOx BAU'!W42/365.25</f>
        <v>0</v>
      </c>
      <c r="X42" s="60">
        <f>'Air Basin Summary NOx BAU'!X42/365.25</f>
        <v>0</v>
      </c>
      <c r="Y42" s="60">
        <f>'Air Basin Summary NOx BAU'!Y42/365.25</f>
        <v>0</v>
      </c>
      <c r="Z42" s="60">
        <f>'Air Basin Summary NOx BAU'!Z42/365.25</f>
        <v>0</v>
      </c>
      <c r="AA42" s="60">
        <f>'Air Basin Summary NOx BAU'!AA42/365.25</f>
        <v>0</v>
      </c>
      <c r="AB42" s="61">
        <f>'Air Basin Summary NOx BAU'!AB42/365.25</f>
        <v>0</v>
      </c>
    </row>
    <row r="43" spans="1:31" ht="14.65" customHeight="1">
      <c r="A43" s="520"/>
      <c r="B43" s="2" t="str">
        <f>'BAU Comparison - AJF'!A28</f>
        <v xml:space="preserve">Lake Tahoe </v>
      </c>
      <c r="C43" s="2" t="s">
        <v>18938</v>
      </c>
      <c r="D43" s="393">
        <f>'Air Basin Summary NOx BAU'!D43/365.25</f>
        <v>0</v>
      </c>
      <c r="E43" s="60">
        <f>'Air Basin Summary NOx BAU'!E43/365.25</f>
        <v>0</v>
      </c>
      <c r="F43" s="60">
        <f>'Air Basin Summary NOx BAU'!F43/365.25</f>
        <v>0</v>
      </c>
      <c r="G43" s="60">
        <f>'Air Basin Summary NOx BAU'!G43/365.25</f>
        <v>0</v>
      </c>
      <c r="H43" s="60">
        <f>'Air Basin Summary NOx BAU'!H43/365.25</f>
        <v>0</v>
      </c>
      <c r="I43" s="60">
        <f>'Air Basin Summary NOx BAU'!I43/365.25</f>
        <v>0</v>
      </c>
      <c r="J43" s="60">
        <f>'Air Basin Summary NOx BAU'!J43/365.25</f>
        <v>0</v>
      </c>
      <c r="K43" s="60">
        <f>'Air Basin Summary NOx BAU'!K43/365.25</f>
        <v>0</v>
      </c>
      <c r="L43" s="60">
        <f>'Air Basin Summary NOx BAU'!L43/365.25</f>
        <v>0</v>
      </c>
      <c r="M43" s="60">
        <f>'Air Basin Summary NOx BAU'!M43/365.25</f>
        <v>0</v>
      </c>
      <c r="N43" s="60">
        <f>'Air Basin Summary NOx BAU'!N43/365.25</f>
        <v>0</v>
      </c>
      <c r="O43" s="60">
        <f>'Air Basin Summary NOx BAU'!O43/365.25</f>
        <v>0</v>
      </c>
      <c r="P43" s="60">
        <f>'Air Basin Summary NOx BAU'!P43/365.25</f>
        <v>0</v>
      </c>
      <c r="Q43" s="60">
        <f>'Air Basin Summary NOx BAU'!Q43/365.25</f>
        <v>0</v>
      </c>
      <c r="R43" s="60">
        <f>'Air Basin Summary NOx BAU'!R43/365.25</f>
        <v>0</v>
      </c>
      <c r="S43" s="60">
        <f>'Air Basin Summary NOx BAU'!S43/365.25</f>
        <v>0</v>
      </c>
      <c r="T43" s="60">
        <f>'Air Basin Summary NOx BAU'!T43/365.25</f>
        <v>0</v>
      </c>
      <c r="U43" s="60">
        <f>'Air Basin Summary NOx BAU'!U43/365.25</f>
        <v>0</v>
      </c>
      <c r="V43" s="60">
        <f>'Air Basin Summary NOx BAU'!V43/365.25</f>
        <v>0</v>
      </c>
      <c r="W43" s="60">
        <f>'Air Basin Summary NOx BAU'!W43/365.25</f>
        <v>0</v>
      </c>
      <c r="X43" s="60">
        <f>'Air Basin Summary NOx BAU'!X43/365.25</f>
        <v>0</v>
      </c>
      <c r="Y43" s="60">
        <f>'Air Basin Summary NOx BAU'!Y43/365.25</f>
        <v>0</v>
      </c>
      <c r="Z43" s="60">
        <f>'Air Basin Summary NOx BAU'!Z43/365.25</f>
        <v>0</v>
      </c>
      <c r="AA43" s="60">
        <f>'Air Basin Summary NOx BAU'!AA43/365.25</f>
        <v>0</v>
      </c>
      <c r="AB43" s="61">
        <f>'Air Basin Summary NOx BAU'!AB43/365.25</f>
        <v>0</v>
      </c>
    </row>
    <row r="44" spans="1:31" ht="14.65" customHeight="1">
      <c r="A44" s="520"/>
      <c r="B44" s="2" t="str">
        <f>'BAU Comparison - AJF'!A29</f>
        <v>Mojave Desert</v>
      </c>
      <c r="C44" s="2" t="s">
        <v>18938</v>
      </c>
      <c r="D44" s="393">
        <f>'Air Basin Summary NOx BAU'!D44/365.25</f>
        <v>0</v>
      </c>
      <c r="E44" s="60">
        <f>'Air Basin Summary NOx BAU'!E44/365.25</f>
        <v>0</v>
      </c>
      <c r="F44" s="60">
        <f>'Air Basin Summary NOx BAU'!F44/365.25</f>
        <v>0</v>
      </c>
      <c r="G44" s="60">
        <f>'Air Basin Summary NOx BAU'!G44/365.25</f>
        <v>0</v>
      </c>
      <c r="H44" s="60">
        <f>'Air Basin Summary NOx BAU'!H44/365.25</f>
        <v>0</v>
      </c>
      <c r="I44" s="60">
        <f>'Air Basin Summary NOx BAU'!I44/365.25</f>
        <v>0</v>
      </c>
      <c r="J44" s="60">
        <f>'Air Basin Summary NOx BAU'!J44/365.25</f>
        <v>0</v>
      </c>
      <c r="K44" s="60">
        <f>'Air Basin Summary NOx BAU'!K44/365.25</f>
        <v>0</v>
      </c>
      <c r="L44" s="60">
        <f>'Air Basin Summary NOx BAU'!L44/365.25</f>
        <v>0</v>
      </c>
      <c r="M44" s="60">
        <f>'Air Basin Summary NOx BAU'!M44/365.25</f>
        <v>0</v>
      </c>
      <c r="N44" s="60">
        <f>'Air Basin Summary NOx BAU'!N44/365.25</f>
        <v>0</v>
      </c>
      <c r="O44" s="60">
        <f>'Air Basin Summary NOx BAU'!O44/365.25</f>
        <v>0</v>
      </c>
      <c r="P44" s="60">
        <f>'Air Basin Summary NOx BAU'!P44/365.25</f>
        <v>0</v>
      </c>
      <c r="Q44" s="60">
        <f>'Air Basin Summary NOx BAU'!Q44/365.25</f>
        <v>0</v>
      </c>
      <c r="R44" s="60">
        <f>'Air Basin Summary NOx BAU'!R44/365.25</f>
        <v>0</v>
      </c>
      <c r="S44" s="60">
        <f>'Air Basin Summary NOx BAU'!S44/365.25</f>
        <v>0</v>
      </c>
      <c r="T44" s="60">
        <f>'Air Basin Summary NOx BAU'!T44/365.25</f>
        <v>0</v>
      </c>
      <c r="U44" s="60">
        <f>'Air Basin Summary NOx BAU'!U44/365.25</f>
        <v>0</v>
      </c>
      <c r="V44" s="60">
        <f>'Air Basin Summary NOx BAU'!V44/365.25</f>
        <v>0</v>
      </c>
      <c r="W44" s="60">
        <f>'Air Basin Summary NOx BAU'!W44/365.25</f>
        <v>0</v>
      </c>
      <c r="X44" s="60">
        <f>'Air Basin Summary NOx BAU'!X44/365.25</f>
        <v>0</v>
      </c>
      <c r="Y44" s="60">
        <f>'Air Basin Summary NOx BAU'!Y44/365.25</f>
        <v>0</v>
      </c>
      <c r="Z44" s="60">
        <f>'Air Basin Summary NOx BAU'!Z44/365.25</f>
        <v>0</v>
      </c>
      <c r="AA44" s="60">
        <f>'Air Basin Summary NOx BAU'!AA44/365.25</f>
        <v>0</v>
      </c>
      <c r="AB44" s="61">
        <f>'Air Basin Summary NOx BAU'!AB44/365.25</f>
        <v>0</v>
      </c>
    </row>
    <row r="45" spans="1:31" ht="14.65" customHeight="1">
      <c r="A45" s="520"/>
      <c r="B45" s="2" t="str">
        <f>'BAU Comparison - AJF'!A30</f>
        <v xml:space="preserve">Mountain Counties </v>
      </c>
      <c r="C45" s="2" t="s">
        <v>18938</v>
      </c>
      <c r="D45" s="393">
        <f>'Air Basin Summary NOx BAU'!D45/365.25</f>
        <v>0</v>
      </c>
      <c r="E45" s="60">
        <f>'Air Basin Summary NOx BAU'!E45/365.25</f>
        <v>0</v>
      </c>
      <c r="F45" s="60">
        <f>'Air Basin Summary NOx BAU'!F45/365.25</f>
        <v>0</v>
      </c>
      <c r="G45" s="60">
        <f>'Air Basin Summary NOx BAU'!G45/365.25</f>
        <v>0</v>
      </c>
      <c r="H45" s="60">
        <f>'Air Basin Summary NOx BAU'!H45/365.25</f>
        <v>0</v>
      </c>
      <c r="I45" s="60">
        <f>'Air Basin Summary NOx BAU'!I45/365.25</f>
        <v>0</v>
      </c>
      <c r="J45" s="60">
        <f>'Air Basin Summary NOx BAU'!J45/365.25</f>
        <v>0</v>
      </c>
      <c r="K45" s="60">
        <f>'Air Basin Summary NOx BAU'!K45/365.25</f>
        <v>0</v>
      </c>
      <c r="L45" s="60">
        <f>'Air Basin Summary NOx BAU'!L45/365.25</f>
        <v>0</v>
      </c>
      <c r="M45" s="60">
        <f>'Air Basin Summary NOx BAU'!M45/365.25</f>
        <v>0</v>
      </c>
      <c r="N45" s="60">
        <f>'Air Basin Summary NOx BAU'!N45/365.25</f>
        <v>0</v>
      </c>
      <c r="O45" s="60">
        <f>'Air Basin Summary NOx BAU'!O45/365.25</f>
        <v>0</v>
      </c>
      <c r="P45" s="60">
        <f>'Air Basin Summary NOx BAU'!P45/365.25</f>
        <v>0</v>
      </c>
      <c r="Q45" s="60">
        <f>'Air Basin Summary NOx BAU'!Q45/365.25</f>
        <v>0</v>
      </c>
      <c r="R45" s="60">
        <f>'Air Basin Summary NOx BAU'!R45/365.25</f>
        <v>0</v>
      </c>
      <c r="S45" s="60">
        <f>'Air Basin Summary NOx BAU'!S45/365.25</f>
        <v>0</v>
      </c>
      <c r="T45" s="60">
        <f>'Air Basin Summary NOx BAU'!T45/365.25</f>
        <v>0</v>
      </c>
      <c r="U45" s="60">
        <f>'Air Basin Summary NOx BAU'!U45/365.25</f>
        <v>0</v>
      </c>
      <c r="V45" s="60">
        <f>'Air Basin Summary NOx BAU'!V45/365.25</f>
        <v>0</v>
      </c>
      <c r="W45" s="60">
        <f>'Air Basin Summary NOx BAU'!W45/365.25</f>
        <v>0</v>
      </c>
      <c r="X45" s="60">
        <f>'Air Basin Summary NOx BAU'!X45/365.25</f>
        <v>0</v>
      </c>
      <c r="Y45" s="60">
        <f>'Air Basin Summary NOx BAU'!Y45/365.25</f>
        <v>0</v>
      </c>
      <c r="Z45" s="60">
        <f>'Air Basin Summary NOx BAU'!Z45/365.25</f>
        <v>0</v>
      </c>
      <c r="AA45" s="60">
        <f>'Air Basin Summary NOx BAU'!AA45/365.25</f>
        <v>0</v>
      </c>
      <c r="AB45" s="61">
        <f>'Air Basin Summary NOx BAU'!AB45/365.25</f>
        <v>0</v>
      </c>
    </row>
    <row r="46" spans="1:31" ht="14.65" customHeight="1">
      <c r="A46" s="520"/>
      <c r="B46" s="2" t="str">
        <f>'BAU Comparison - AJF'!A31</f>
        <v>North Central coast</v>
      </c>
      <c r="C46" s="2" t="s">
        <v>18938</v>
      </c>
      <c r="D46" s="393">
        <f>'Air Basin Summary NOx BAU'!D46/365.25</f>
        <v>0</v>
      </c>
      <c r="E46" s="60">
        <f>'Air Basin Summary NOx BAU'!E46/365.25</f>
        <v>0</v>
      </c>
      <c r="F46" s="60">
        <f>'Air Basin Summary NOx BAU'!F46/365.25</f>
        <v>0</v>
      </c>
      <c r="G46" s="60">
        <f>'Air Basin Summary NOx BAU'!G46/365.25</f>
        <v>0</v>
      </c>
      <c r="H46" s="60">
        <f>'Air Basin Summary NOx BAU'!H46/365.25</f>
        <v>0</v>
      </c>
      <c r="I46" s="60">
        <f>'Air Basin Summary NOx BAU'!I46/365.25</f>
        <v>0</v>
      </c>
      <c r="J46" s="60">
        <f>'Air Basin Summary NOx BAU'!J46/365.25</f>
        <v>0</v>
      </c>
      <c r="K46" s="60">
        <f>'Air Basin Summary NOx BAU'!K46/365.25</f>
        <v>0</v>
      </c>
      <c r="L46" s="60">
        <f>'Air Basin Summary NOx BAU'!L46/365.25</f>
        <v>0</v>
      </c>
      <c r="M46" s="60">
        <f>'Air Basin Summary NOx BAU'!M46/365.25</f>
        <v>0</v>
      </c>
      <c r="N46" s="60">
        <f>'Air Basin Summary NOx BAU'!N46/365.25</f>
        <v>0</v>
      </c>
      <c r="O46" s="60">
        <f>'Air Basin Summary NOx BAU'!O46/365.25</f>
        <v>0</v>
      </c>
      <c r="P46" s="60">
        <f>'Air Basin Summary NOx BAU'!P46/365.25</f>
        <v>0</v>
      </c>
      <c r="Q46" s="60">
        <f>'Air Basin Summary NOx BAU'!Q46/365.25</f>
        <v>0</v>
      </c>
      <c r="R46" s="60">
        <f>'Air Basin Summary NOx BAU'!R46/365.25</f>
        <v>0</v>
      </c>
      <c r="S46" s="60">
        <f>'Air Basin Summary NOx BAU'!S46/365.25</f>
        <v>0</v>
      </c>
      <c r="T46" s="60">
        <f>'Air Basin Summary NOx BAU'!T46/365.25</f>
        <v>0</v>
      </c>
      <c r="U46" s="60">
        <f>'Air Basin Summary NOx BAU'!U46/365.25</f>
        <v>0</v>
      </c>
      <c r="V46" s="60">
        <f>'Air Basin Summary NOx BAU'!V46/365.25</f>
        <v>0</v>
      </c>
      <c r="W46" s="60">
        <f>'Air Basin Summary NOx BAU'!W46/365.25</f>
        <v>0</v>
      </c>
      <c r="X46" s="60">
        <f>'Air Basin Summary NOx BAU'!X46/365.25</f>
        <v>0</v>
      </c>
      <c r="Y46" s="60">
        <f>'Air Basin Summary NOx BAU'!Y46/365.25</f>
        <v>0</v>
      </c>
      <c r="Z46" s="60">
        <f>'Air Basin Summary NOx BAU'!Z46/365.25</f>
        <v>0</v>
      </c>
      <c r="AA46" s="60">
        <f>'Air Basin Summary NOx BAU'!AA46/365.25</f>
        <v>0</v>
      </c>
      <c r="AB46" s="61">
        <f>'Air Basin Summary NOx BAU'!AB46/365.25</f>
        <v>0</v>
      </c>
    </row>
    <row r="47" spans="1:31" ht="14.65" customHeight="1">
      <c r="A47" s="520"/>
      <c r="B47" s="2" t="str">
        <f>'BAU Comparison - AJF'!A32</f>
        <v>North Coast</v>
      </c>
      <c r="C47" s="2" t="s">
        <v>18938</v>
      </c>
      <c r="D47" s="393">
        <f>'Air Basin Summary NOx BAU'!D47/365.25</f>
        <v>0</v>
      </c>
      <c r="E47" s="60">
        <f>'Air Basin Summary NOx BAU'!E47/365.25</f>
        <v>0</v>
      </c>
      <c r="F47" s="60">
        <f>'Air Basin Summary NOx BAU'!F47/365.25</f>
        <v>0</v>
      </c>
      <c r="G47" s="60">
        <f>'Air Basin Summary NOx BAU'!G47/365.25</f>
        <v>0</v>
      </c>
      <c r="H47" s="60">
        <f>'Air Basin Summary NOx BAU'!H47/365.25</f>
        <v>0</v>
      </c>
      <c r="I47" s="60">
        <f>'Air Basin Summary NOx BAU'!I47/365.25</f>
        <v>0</v>
      </c>
      <c r="J47" s="60">
        <f>'Air Basin Summary NOx BAU'!J47/365.25</f>
        <v>0</v>
      </c>
      <c r="K47" s="60">
        <f>'Air Basin Summary NOx BAU'!K47/365.25</f>
        <v>0</v>
      </c>
      <c r="L47" s="60">
        <f>'Air Basin Summary NOx BAU'!L47/365.25</f>
        <v>0</v>
      </c>
      <c r="M47" s="60">
        <f>'Air Basin Summary NOx BAU'!M47/365.25</f>
        <v>0</v>
      </c>
      <c r="N47" s="60">
        <f>'Air Basin Summary NOx BAU'!N47/365.25</f>
        <v>0</v>
      </c>
      <c r="O47" s="60">
        <f>'Air Basin Summary NOx BAU'!O47/365.25</f>
        <v>0</v>
      </c>
      <c r="P47" s="60">
        <f>'Air Basin Summary NOx BAU'!P47/365.25</f>
        <v>0</v>
      </c>
      <c r="Q47" s="60">
        <f>'Air Basin Summary NOx BAU'!Q47/365.25</f>
        <v>0</v>
      </c>
      <c r="R47" s="60">
        <f>'Air Basin Summary NOx BAU'!R47/365.25</f>
        <v>0</v>
      </c>
      <c r="S47" s="60">
        <f>'Air Basin Summary NOx BAU'!S47/365.25</f>
        <v>0</v>
      </c>
      <c r="T47" s="60">
        <f>'Air Basin Summary NOx BAU'!T47/365.25</f>
        <v>0</v>
      </c>
      <c r="U47" s="60">
        <f>'Air Basin Summary NOx BAU'!U47/365.25</f>
        <v>0</v>
      </c>
      <c r="V47" s="60">
        <f>'Air Basin Summary NOx BAU'!V47/365.25</f>
        <v>0</v>
      </c>
      <c r="W47" s="60">
        <f>'Air Basin Summary NOx BAU'!W47/365.25</f>
        <v>0</v>
      </c>
      <c r="X47" s="60">
        <f>'Air Basin Summary NOx BAU'!X47/365.25</f>
        <v>0</v>
      </c>
      <c r="Y47" s="60">
        <f>'Air Basin Summary NOx BAU'!Y47/365.25</f>
        <v>0</v>
      </c>
      <c r="Z47" s="60">
        <f>'Air Basin Summary NOx BAU'!Z47/365.25</f>
        <v>0</v>
      </c>
      <c r="AA47" s="60">
        <f>'Air Basin Summary NOx BAU'!AA47/365.25</f>
        <v>0</v>
      </c>
      <c r="AB47" s="61">
        <f>'Air Basin Summary NOx BAU'!AB47/365.25</f>
        <v>0</v>
      </c>
    </row>
    <row r="48" spans="1:31" ht="14.65" customHeight="1">
      <c r="A48" s="520"/>
      <c r="B48" s="2" t="str">
        <f>'BAU Comparison - AJF'!A33</f>
        <v>Northeast Plateau</v>
      </c>
      <c r="C48" s="2" t="s">
        <v>18938</v>
      </c>
      <c r="D48" s="393">
        <f>'Air Basin Summary NOx BAU'!D48/365.25</f>
        <v>0</v>
      </c>
      <c r="E48" s="60">
        <f>'Air Basin Summary NOx BAU'!E48/365.25</f>
        <v>0</v>
      </c>
      <c r="F48" s="60">
        <f>'Air Basin Summary NOx BAU'!F48/365.25</f>
        <v>0</v>
      </c>
      <c r="G48" s="60">
        <f>'Air Basin Summary NOx BAU'!G48/365.25</f>
        <v>0</v>
      </c>
      <c r="H48" s="60">
        <f>'Air Basin Summary NOx BAU'!H48/365.25</f>
        <v>0</v>
      </c>
      <c r="I48" s="60">
        <f>'Air Basin Summary NOx BAU'!I48/365.25</f>
        <v>0</v>
      </c>
      <c r="J48" s="60">
        <f>'Air Basin Summary NOx BAU'!J48/365.25</f>
        <v>0</v>
      </c>
      <c r="K48" s="60">
        <f>'Air Basin Summary NOx BAU'!K48/365.25</f>
        <v>0</v>
      </c>
      <c r="L48" s="60">
        <f>'Air Basin Summary NOx BAU'!L48/365.25</f>
        <v>0</v>
      </c>
      <c r="M48" s="60">
        <f>'Air Basin Summary NOx BAU'!M48/365.25</f>
        <v>0</v>
      </c>
      <c r="N48" s="60">
        <f>'Air Basin Summary NOx BAU'!N48/365.25</f>
        <v>0</v>
      </c>
      <c r="O48" s="60">
        <f>'Air Basin Summary NOx BAU'!O48/365.25</f>
        <v>0</v>
      </c>
      <c r="P48" s="60">
        <f>'Air Basin Summary NOx BAU'!P48/365.25</f>
        <v>0</v>
      </c>
      <c r="Q48" s="60">
        <f>'Air Basin Summary NOx BAU'!Q48/365.25</f>
        <v>0</v>
      </c>
      <c r="R48" s="60">
        <f>'Air Basin Summary NOx BAU'!R48/365.25</f>
        <v>0</v>
      </c>
      <c r="S48" s="60">
        <f>'Air Basin Summary NOx BAU'!S48/365.25</f>
        <v>0</v>
      </c>
      <c r="T48" s="60">
        <f>'Air Basin Summary NOx BAU'!T48/365.25</f>
        <v>0</v>
      </c>
      <c r="U48" s="60">
        <f>'Air Basin Summary NOx BAU'!U48/365.25</f>
        <v>0</v>
      </c>
      <c r="V48" s="60">
        <f>'Air Basin Summary NOx BAU'!V48/365.25</f>
        <v>0</v>
      </c>
      <c r="W48" s="60">
        <f>'Air Basin Summary NOx BAU'!W48/365.25</f>
        <v>0</v>
      </c>
      <c r="X48" s="60">
        <f>'Air Basin Summary NOx BAU'!X48/365.25</f>
        <v>0</v>
      </c>
      <c r="Y48" s="60">
        <f>'Air Basin Summary NOx BAU'!Y48/365.25</f>
        <v>0</v>
      </c>
      <c r="Z48" s="60">
        <f>'Air Basin Summary NOx BAU'!Z48/365.25</f>
        <v>0</v>
      </c>
      <c r="AA48" s="60">
        <f>'Air Basin Summary NOx BAU'!AA48/365.25</f>
        <v>0</v>
      </c>
      <c r="AB48" s="61">
        <f>'Air Basin Summary NOx BAU'!AB48/365.25</f>
        <v>0</v>
      </c>
    </row>
    <row r="49" spans="1:29" ht="14.65" customHeight="1">
      <c r="A49" s="520"/>
      <c r="B49" s="2" t="str">
        <f>'BAU Comparison - AJF'!A34</f>
        <v xml:space="preserve">Sacramento Valley </v>
      </c>
      <c r="C49" s="2" t="s">
        <v>18938</v>
      </c>
      <c r="D49" s="393">
        <f>'Air Basin Summary NOx BAU'!D49/365.25</f>
        <v>0</v>
      </c>
      <c r="E49" s="60">
        <f>'Air Basin Summary NOx BAU'!E49/365.25</f>
        <v>0</v>
      </c>
      <c r="F49" s="60">
        <f>'Air Basin Summary NOx BAU'!F49/365.25</f>
        <v>0</v>
      </c>
      <c r="G49" s="60">
        <f>'Air Basin Summary NOx BAU'!G49/365.25</f>
        <v>0</v>
      </c>
      <c r="H49" s="60">
        <f>'Air Basin Summary NOx BAU'!H49/365.25</f>
        <v>0</v>
      </c>
      <c r="I49" s="60">
        <f>'Air Basin Summary NOx BAU'!I49/365.25</f>
        <v>0</v>
      </c>
      <c r="J49" s="60">
        <f>'Air Basin Summary NOx BAU'!J49/365.25</f>
        <v>0</v>
      </c>
      <c r="K49" s="60">
        <f>'Air Basin Summary NOx BAU'!K49/365.25</f>
        <v>0</v>
      </c>
      <c r="L49" s="60">
        <f>'Air Basin Summary NOx BAU'!L49/365.25</f>
        <v>0</v>
      </c>
      <c r="M49" s="60">
        <f>'Air Basin Summary NOx BAU'!M49/365.25</f>
        <v>0</v>
      </c>
      <c r="N49" s="60">
        <f>'Air Basin Summary NOx BAU'!N49/365.25</f>
        <v>0</v>
      </c>
      <c r="O49" s="60">
        <f>'Air Basin Summary NOx BAU'!O49/365.25</f>
        <v>0</v>
      </c>
      <c r="P49" s="60">
        <f>'Air Basin Summary NOx BAU'!P49/365.25</f>
        <v>0</v>
      </c>
      <c r="Q49" s="60">
        <f>'Air Basin Summary NOx BAU'!Q49/365.25</f>
        <v>0</v>
      </c>
      <c r="R49" s="60">
        <f>'Air Basin Summary NOx BAU'!R49/365.25</f>
        <v>0</v>
      </c>
      <c r="S49" s="60">
        <f>'Air Basin Summary NOx BAU'!S49/365.25</f>
        <v>0</v>
      </c>
      <c r="T49" s="60">
        <f>'Air Basin Summary NOx BAU'!T49/365.25</f>
        <v>0</v>
      </c>
      <c r="U49" s="60">
        <f>'Air Basin Summary NOx BAU'!U49/365.25</f>
        <v>0</v>
      </c>
      <c r="V49" s="60">
        <f>'Air Basin Summary NOx BAU'!V49/365.25</f>
        <v>0</v>
      </c>
      <c r="W49" s="60">
        <f>'Air Basin Summary NOx BAU'!W49/365.25</f>
        <v>0</v>
      </c>
      <c r="X49" s="60">
        <f>'Air Basin Summary NOx BAU'!X49/365.25</f>
        <v>0</v>
      </c>
      <c r="Y49" s="60">
        <f>'Air Basin Summary NOx BAU'!Y49/365.25</f>
        <v>0</v>
      </c>
      <c r="Z49" s="60">
        <f>'Air Basin Summary NOx BAU'!Z49/365.25</f>
        <v>0</v>
      </c>
      <c r="AA49" s="60">
        <f>'Air Basin Summary NOx BAU'!AA49/365.25</f>
        <v>0</v>
      </c>
      <c r="AB49" s="61">
        <f>'Air Basin Summary NOx BAU'!AB49/365.25</f>
        <v>0</v>
      </c>
    </row>
    <row r="50" spans="1:29" ht="14.65" customHeight="1">
      <c r="A50" s="520"/>
      <c r="B50" s="2" t="str">
        <f>'BAU Comparison - AJF'!A35</f>
        <v>Salton Sea</v>
      </c>
      <c r="C50" s="2" t="s">
        <v>18938</v>
      </c>
      <c r="D50" s="393">
        <f>'Air Basin Summary NOx BAU'!D50/365.25</f>
        <v>0</v>
      </c>
      <c r="E50" s="60">
        <f>'Air Basin Summary NOx BAU'!E50/365.25</f>
        <v>0</v>
      </c>
      <c r="F50" s="60">
        <f>'Air Basin Summary NOx BAU'!F50/365.25</f>
        <v>0</v>
      </c>
      <c r="G50" s="60">
        <f>'Air Basin Summary NOx BAU'!G50/365.25</f>
        <v>0</v>
      </c>
      <c r="H50" s="60">
        <f>'Air Basin Summary NOx BAU'!H50/365.25</f>
        <v>0</v>
      </c>
      <c r="I50" s="60">
        <f>'Air Basin Summary NOx BAU'!I50/365.25</f>
        <v>0</v>
      </c>
      <c r="J50" s="60">
        <f>'Air Basin Summary NOx BAU'!J50/365.25</f>
        <v>0</v>
      </c>
      <c r="K50" s="60">
        <f>'Air Basin Summary NOx BAU'!K50/365.25</f>
        <v>0</v>
      </c>
      <c r="L50" s="60">
        <f>'Air Basin Summary NOx BAU'!L50/365.25</f>
        <v>0</v>
      </c>
      <c r="M50" s="60">
        <f>'Air Basin Summary NOx BAU'!M50/365.25</f>
        <v>0</v>
      </c>
      <c r="N50" s="60">
        <f>'Air Basin Summary NOx BAU'!N50/365.25</f>
        <v>0</v>
      </c>
      <c r="O50" s="60">
        <f>'Air Basin Summary NOx BAU'!O50/365.25</f>
        <v>0</v>
      </c>
      <c r="P50" s="60">
        <f>'Air Basin Summary NOx BAU'!P50/365.25</f>
        <v>0</v>
      </c>
      <c r="Q50" s="60">
        <f>'Air Basin Summary NOx BAU'!Q50/365.25</f>
        <v>0</v>
      </c>
      <c r="R50" s="60">
        <f>'Air Basin Summary NOx BAU'!R50/365.25</f>
        <v>0</v>
      </c>
      <c r="S50" s="60">
        <f>'Air Basin Summary NOx BAU'!S50/365.25</f>
        <v>0</v>
      </c>
      <c r="T50" s="60">
        <f>'Air Basin Summary NOx BAU'!T50/365.25</f>
        <v>0</v>
      </c>
      <c r="U50" s="60">
        <f>'Air Basin Summary NOx BAU'!U50/365.25</f>
        <v>0</v>
      </c>
      <c r="V50" s="60">
        <f>'Air Basin Summary NOx BAU'!V50/365.25</f>
        <v>0</v>
      </c>
      <c r="W50" s="60">
        <f>'Air Basin Summary NOx BAU'!W50/365.25</f>
        <v>0</v>
      </c>
      <c r="X50" s="60">
        <f>'Air Basin Summary NOx BAU'!X50/365.25</f>
        <v>0</v>
      </c>
      <c r="Y50" s="60">
        <f>'Air Basin Summary NOx BAU'!Y50/365.25</f>
        <v>0</v>
      </c>
      <c r="Z50" s="60">
        <f>'Air Basin Summary NOx BAU'!Z50/365.25</f>
        <v>0</v>
      </c>
      <c r="AA50" s="60">
        <f>'Air Basin Summary NOx BAU'!AA50/365.25</f>
        <v>0</v>
      </c>
      <c r="AB50" s="61">
        <f>'Air Basin Summary NOx BAU'!AB50/365.25</f>
        <v>0</v>
      </c>
    </row>
    <row r="51" spans="1:29" ht="14.65" customHeight="1">
      <c r="A51" s="520"/>
      <c r="B51" s="2" t="str">
        <f>'BAU Comparison - AJF'!A36</f>
        <v xml:space="preserve">San Diego </v>
      </c>
      <c r="C51" s="2" t="s">
        <v>18938</v>
      </c>
      <c r="D51" s="393">
        <f>'Air Basin Summary NOx BAU'!D51/365.25</f>
        <v>0</v>
      </c>
      <c r="E51" s="60">
        <f>'Air Basin Summary NOx BAU'!E51/365.25</f>
        <v>0</v>
      </c>
      <c r="F51" s="60">
        <f>'Air Basin Summary NOx BAU'!F51/365.25</f>
        <v>0</v>
      </c>
      <c r="G51" s="60">
        <f>'Air Basin Summary NOx BAU'!G51/365.25</f>
        <v>0</v>
      </c>
      <c r="H51" s="60">
        <f>'Air Basin Summary NOx BAU'!H51/365.25</f>
        <v>0</v>
      </c>
      <c r="I51" s="60">
        <f>'Air Basin Summary NOx BAU'!I51/365.25</f>
        <v>0</v>
      </c>
      <c r="J51" s="60">
        <f>'Air Basin Summary NOx BAU'!J51/365.25</f>
        <v>0</v>
      </c>
      <c r="K51" s="60">
        <f>'Air Basin Summary NOx BAU'!K51/365.25</f>
        <v>0</v>
      </c>
      <c r="L51" s="60">
        <f>'Air Basin Summary NOx BAU'!L51/365.25</f>
        <v>0</v>
      </c>
      <c r="M51" s="60">
        <f>'Air Basin Summary NOx BAU'!M51/365.25</f>
        <v>0</v>
      </c>
      <c r="N51" s="60">
        <f>'Air Basin Summary NOx BAU'!N51/365.25</f>
        <v>0</v>
      </c>
      <c r="O51" s="60">
        <f>'Air Basin Summary NOx BAU'!O51/365.25</f>
        <v>0</v>
      </c>
      <c r="P51" s="60">
        <f>'Air Basin Summary NOx BAU'!P51/365.25</f>
        <v>0</v>
      </c>
      <c r="Q51" s="60">
        <f>'Air Basin Summary NOx BAU'!Q51/365.25</f>
        <v>0</v>
      </c>
      <c r="R51" s="60">
        <f>'Air Basin Summary NOx BAU'!R51/365.25</f>
        <v>0</v>
      </c>
      <c r="S51" s="60">
        <f>'Air Basin Summary NOx BAU'!S51/365.25</f>
        <v>0</v>
      </c>
      <c r="T51" s="60">
        <f>'Air Basin Summary NOx BAU'!T51/365.25</f>
        <v>0</v>
      </c>
      <c r="U51" s="60">
        <f>'Air Basin Summary NOx BAU'!U51/365.25</f>
        <v>0</v>
      </c>
      <c r="V51" s="60">
        <f>'Air Basin Summary NOx BAU'!V51/365.25</f>
        <v>0</v>
      </c>
      <c r="W51" s="60">
        <f>'Air Basin Summary NOx BAU'!W51/365.25</f>
        <v>0</v>
      </c>
      <c r="X51" s="60">
        <f>'Air Basin Summary NOx BAU'!X51/365.25</f>
        <v>0</v>
      </c>
      <c r="Y51" s="60">
        <f>'Air Basin Summary NOx BAU'!Y51/365.25</f>
        <v>0</v>
      </c>
      <c r="Z51" s="60">
        <f>'Air Basin Summary NOx BAU'!Z51/365.25</f>
        <v>0</v>
      </c>
      <c r="AA51" s="60">
        <f>'Air Basin Summary NOx BAU'!AA51/365.25</f>
        <v>0</v>
      </c>
      <c r="AB51" s="61">
        <f>'Air Basin Summary NOx BAU'!AB51/365.25</f>
        <v>0</v>
      </c>
    </row>
    <row r="52" spans="1:29" ht="14.65" customHeight="1">
      <c r="A52" s="520"/>
      <c r="B52" s="2" t="str">
        <f>'BAU Comparison - AJF'!A37</f>
        <v>San Franscisco Bay Area</v>
      </c>
      <c r="C52" s="2" t="s">
        <v>18938</v>
      </c>
      <c r="D52" s="393">
        <f>'Air Basin Summary NOx BAU'!D52/365.25</f>
        <v>0</v>
      </c>
      <c r="E52" s="60">
        <f>'Air Basin Summary NOx BAU'!E52/365.25</f>
        <v>0</v>
      </c>
      <c r="F52" s="60">
        <f>'Air Basin Summary NOx BAU'!F52/365.25</f>
        <v>0</v>
      </c>
      <c r="G52" s="60">
        <f>'Air Basin Summary NOx BAU'!G52/365.25</f>
        <v>0</v>
      </c>
      <c r="H52" s="60">
        <f>'Air Basin Summary NOx BAU'!H52/365.25</f>
        <v>0</v>
      </c>
      <c r="I52" s="60">
        <f>'Air Basin Summary NOx BAU'!I52/365.25</f>
        <v>0</v>
      </c>
      <c r="J52" s="60">
        <f>'Air Basin Summary NOx BAU'!J52/365.25</f>
        <v>0</v>
      </c>
      <c r="K52" s="60">
        <f>'Air Basin Summary NOx BAU'!K52/365.25</f>
        <v>0</v>
      </c>
      <c r="L52" s="60">
        <f>'Air Basin Summary NOx BAU'!L52/365.25</f>
        <v>0</v>
      </c>
      <c r="M52" s="60">
        <f>'Air Basin Summary NOx BAU'!M52/365.25</f>
        <v>0</v>
      </c>
      <c r="N52" s="60">
        <f>'Air Basin Summary NOx BAU'!N52/365.25</f>
        <v>0</v>
      </c>
      <c r="O52" s="60">
        <f>'Air Basin Summary NOx BAU'!O52/365.25</f>
        <v>0</v>
      </c>
      <c r="P52" s="60">
        <f>'Air Basin Summary NOx BAU'!P52/365.25</f>
        <v>0</v>
      </c>
      <c r="Q52" s="60">
        <f>'Air Basin Summary NOx BAU'!Q52/365.25</f>
        <v>0</v>
      </c>
      <c r="R52" s="60">
        <f>'Air Basin Summary NOx BAU'!R52/365.25</f>
        <v>0</v>
      </c>
      <c r="S52" s="60">
        <f>'Air Basin Summary NOx BAU'!S52/365.25</f>
        <v>0</v>
      </c>
      <c r="T52" s="60">
        <f>'Air Basin Summary NOx BAU'!T52/365.25</f>
        <v>0</v>
      </c>
      <c r="U52" s="60">
        <f>'Air Basin Summary NOx BAU'!U52/365.25</f>
        <v>0</v>
      </c>
      <c r="V52" s="60">
        <f>'Air Basin Summary NOx BAU'!V52/365.25</f>
        <v>0</v>
      </c>
      <c r="W52" s="60">
        <f>'Air Basin Summary NOx BAU'!W52/365.25</f>
        <v>0</v>
      </c>
      <c r="X52" s="60">
        <f>'Air Basin Summary NOx BAU'!X52/365.25</f>
        <v>0</v>
      </c>
      <c r="Y52" s="60">
        <f>'Air Basin Summary NOx BAU'!Y52/365.25</f>
        <v>0</v>
      </c>
      <c r="Z52" s="60">
        <f>'Air Basin Summary NOx BAU'!Z52/365.25</f>
        <v>0</v>
      </c>
      <c r="AA52" s="60">
        <f>'Air Basin Summary NOx BAU'!AA52/365.25</f>
        <v>0</v>
      </c>
      <c r="AB52" s="61">
        <f>'Air Basin Summary NOx BAU'!AB52/365.25</f>
        <v>0</v>
      </c>
    </row>
    <row r="53" spans="1:29" ht="14.65" customHeight="1">
      <c r="A53" s="520"/>
      <c r="B53" s="2" t="str">
        <f>'BAU Comparison - AJF'!A38</f>
        <v xml:space="preserve">San Joaquin Valley </v>
      </c>
      <c r="C53" s="2" t="s">
        <v>18938</v>
      </c>
      <c r="D53" s="393">
        <f>'Air Basin Summary NOx BAU'!D53/365.25</f>
        <v>0</v>
      </c>
      <c r="E53" s="60">
        <f>'Air Basin Summary NOx BAU'!E53/365.25</f>
        <v>0</v>
      </c>
      <c r="F53" s="60">
        <f>'Air Basin Summary NOx BAU'!F53/365.25</f>
        <v>0</v>
      </c>
      <c r="G53" s="60">
        <f>'Air Basin Summary NOx BAU'!G53/365.25</f>
        <v>0</v>
      </c>
      <c r="H53" s="60">
        <f>'Air Basin Summary NOx BAU'!H53/365.25</f>
        <v>0</v>
      </c>
      <c r="I53" s="60">
        <f>'Air Basin Summary NOx BAU'!I53/365.25</f>
        <v>0</v>
      </c>
      <c r="J53" s="60">
        <f>'Air Basin Summary NOx BAU'!J53/365.25</f>
        <v>0</v>
      </c>
      <c r="K53" s="60">
        <f>'Air Basin Summary NOx BAU'!K53/365.25</f>
        <v>0</v>
      </c>
      <c r="L53" s="60">
        <f>'Air Basin Summary NOx BAU'!L53/365.25</f>
        <v>0</v>
      </c>
      <c r="M53" s="60">
        <f>'Air Basin Summary NOx BAU'!M53/365.25</f>
        <v>0</v>
      </c>
      <c r="N53" s="60">
        <f>'Air Basin Summary NOx BAU'!N53/365.25</f>
        <v>0</v>
      </c>
      <c r="O53" s="60">
        <f>'Air Basin Summary NOx BAU'!O53/365.25</f>
        <v>0</v>
      </c>
      <c r="P53" s="60">
        <f>'Air Basin Summary NOx BAU'!P53/365.25</f>
        <v>0</v>
      </c>
      <c r="Q53" s="60">
        <f>'Air Basin Summary NOx BAU'!Q53/365.25</f>
        <v>0</v>
      </c>
      <c r="R53" s="60">
        <f>'Air Basin Summary NOx BAU'!R53/365.25</f>
        <v>0</v>
      </c>
      <c r="S53" s="60">
        <f>'Air Basin Summary NOx BAU'!S53/365.25</f>
        <v>0</v>
      </c>
      <c r="T53" s="60">
        <f>'Air Basin Summary NOx BAU'!T53/365.25</f>
        <v>0</v>
      </c>
      <c r="U53" s="60">
        <f>'Air Basin Summary NOx BAU'!U53/365.25</f>
        <v>0</v>
      </c>
      <c r="V53" s="60">
        <f>'Air Basin Summary NOx BAU'!V53/365.25</f>
        <v>0</v>
      </c>
      <c r="W53" s="60">
        <f>'Air Basin Summary NOx BAU'!W53/365.25</f>
        <v>0</v>
      </c>
      <c r="X53" s="60">
        <f>'Air Basin Summary NOx BAU'!X53/365.25</f>
        <v>0</v>
      </c>
      <c r="Y53" s="60">
        <f>'Air Basin Summary NOx BAU'!Y53/365.25</f>
        <v>0</v>
      </c>
      <c r="Z53" s="60">
        <f>'Air Basin Summary NOx BAU'!Z53/365.25</f>
        <v>0</v>
      </c>
      <c r="AA53" s="60">
        <f>'Air Basin Summary NOx BAU'!AA53/365.25</f>
        <v>0</v>
      </c>
      <c r="AB53" s="61">
        <f>'Air Basin Summary NOx BAU'!AB53/365.25</f>
        <v>0</v>
      </c>
    </row>
    <row r="54" spans="1:29" ht="14.65" customHeight="1">
      <c r="A54" s="520"/>
      <c r="B54" s="2" t="str">
        <f>'BAU Comparison - AJF'!A39</f>
        <v>South Central Coast</v>
      </c>
      <c r="C54" s="2" t="s">
        <v>18938</v>
      </c>
      <c r="D54" s="393">
        <f>'Air Basin Summary NOx BAU'!D54/365.25</f>
        <v>0</v>
      </c>
      <c r="E54" s="60">
        <f>'Air Basin Summary NOx BAU'!E54/365.25</f>
        <v>0</v>
      </c>
      <c r="F54" s="60">
        <f>'Air Basin Summary NOx BAU'!F54/365.25</f>
        <v>0</v>
      </c>
      <c r="G54" s="60">
        <f>'Air Basin Summary NOx BAU'!G54/365.25</f>
        <v>0</v>
      </c>
      <c r="H54" s="60">
        <f>'Air Basin Summary NOx BAU'!H54/365.25</f>
        <v>0</v>
      </c>
      <c r="I54" s="60">
        <f>'Air Basin Summary NOx BAU'!I54/365.25</f>
        <v>0</v>
      </c>
      <c r="J54" s="60">
        <f>'Air Basin Summary NOx BAU'!J54/365.25</f>
        <v>0</v>
      </c>
      <c r="K54" s="60">
        <f>'Air Basin Summary NOx BAU'!K54/365.25</f>
        <v>0</v>
      </c>
      <c r="L54" s="60">
        <f>'Air Basin Summary NOx BAU'!L54/365.25</f>
        <v>0</v>
      </c>
      <c r="M54" s="60">
        <f>'Air Basin Summary NOx BAU'!M54/365.25</f>
        <v>0</v>
      </c>
      <c r="N54" s="60">
        <f>'Air Basin Summary NOx BAU'!N54/365.25</f>
        <v>0</v>
      </c>
      <c r="O54" s="60">
        <f>'Air Basin Summary NOx BAU'!O54/365.25</f>
        <v>0</v>
      </c>
      <c r="P54" s="60">
        <f>'Air Basin Summary NOx BAU'!P54/365.25</f>
        <v>0</v>
      </c>
      <c r="Q54" s="60">
        <f>'Air Basin Summary NOx BAU'!Q54/365.25</f>
        <v>0</v>
      </c>
      <c r="R54" s="60">
        <f>'Air Basin Summary NOx BAU'!R54/365.25</f>
        <v>0</v>
      </c>
      <c r="S54" s="60">
        <f>'Air Basin Summary NOx BAU'!S54/365.25</f>
        <v>0</v>
      </c>
      <c r="T54" s="60">
        <f>'Air Basin Summary NOx BAU'!T54/365.25</f>
        <v>0</v>
      </c>
      <c r="U54" s="60">
        <f>'Air Basin Summary NOx BAU'!U54/365.25</f>
        <v>0</v>
      </c>
      <c r="V54" s="60">
        <f>'Air Basin Summary NOx BAU'!V54/365.25</f>
        <v>0</v>
      </c>
      <c r="W54" s="60">
        <f>'Air Basin Summary NOx BAU'!W54/365.25</f>
        <v>0</v>
      </c>
      <c r="X54" s="60">
        <f>'Air Basin Summary NOx BAU'!X54/365.25</f>
        <v>0</v>
      </c>
      <c r="Y54" s="60">
        <f>'Air Basin Summary NOx BAU'!Y54/365.25</f>
        <v>0</v>
      </c>
      <c r="Z54" s="60">
        <f>'Air Basin Summary NOx BAU'!Z54/365.25</f>
        <v>0</v>
      </c>
      <c r="AA54" s="60">
        <f>'Air Basin Summary NOx BAU'!AA54/365.25</f>
        <v>0</v>
      </c>
      <c r="AB54" s="61">
        <f>'Air Basin Summary NOx BAU'!AB54/365.25</f>
        <v>0</v>
      </c>
    </row>
    <row r="55" spans="1:29" ht="14.65" customHeight="1">
      <c r="A55" s="520"/>
      <c r="B55" s="2" t="str">
        <f>'BAU Comparison - AJF'!A40</f>
        <v>South Coast</v>
      </c>
      <c r="C55" s="2" t="s">
        <v>18938</v>
      </c>
      <c r="D55" s="394">
        <f>'Air Basin Summary NOx BAU'!D55/365.25</f>
        <v>0</v>
      </c>
      <c r="E55" s="64">
        <f>'Air Basin Summary NOx BAU'!E55/365.25</f>
        <v>0</v>
      </c>
      <c r="F55" s="64">
        <f>'Air Basin Summary NOx BAU'!F55/365.25</f>
        <v>0</v>
      </c>
      <c r="G55" s="64">
        <f>'Air Basin Summary NOx BAU'!G55/365.25</f>
        <v>0</v>
      </c>
      <c r="H55" s="64">
        <f>'Air Basin Summary NOx BAU'!H55/365.25</f>
        <v>0</v>
      </c>
      <c r="I55" s="64">
        <f>'Air Basin Summary NOx BAU'!I55/365.25</f>
        <v>0</v>
      </c>
      <c r="J55" s="64">
        <f>'Air Basin Summary NOx BAU'!J55/365.25</f>
        <v>0</v>
      </c>
      <c r="K55" s="64">
        <f>'Air Basin Summary NOx BAU'!K55/365.25</f>
        <v>0</v>
      </c>
      <c r="L55" s="64">
        <f>'Air Basin Summary NOx BAU'!L55/365.25</f>
        <v>0</v>
      </c>
      <c r="M55" s="64">
        <f>'Air Basin Summary NOx BAU'!M55/365.25</f>
        <v>0</v>
      </c>
      <c r="N55" s="64">
        <f>'Air Basin Summary NOx BAU'!N55/365.25</f>
        <v>0</v>
      </c>
      <c r="O55" s="64">
        <f>'Air Basin Summary NOx BAU'!O55/365.25</f>
        <v>0</v>
      </c>
      <c r="P55" s="64">
        <f>'Air Basin Summary NOx BAU'!P55/365.25</f>
        <v>0</v>
      </c>
      <c r="Q55" s="64">
        <f>'Air Basin Summary NOx BAU'!Q55/365.25</f>
        <v>0</v>
      </c>
      <c r="R55" s="64">
        <f>'Air Basin Summary NOx BAU'!R55/365.25</f>
        <v>0</v>
      </c>
      <c r="S55" s="64">
        <f>'Air Basin Summary NOx BAU'!S55/365.25</f>
        <v>0</v>
      </c>
      <c r="T55" s="64">
        <f>'Air Basin Summary NOx BAU'!T55/365.25</f>
        <v>0</v>
      </c>
      <c r="U55" s="64">
        <f>'Air Basin Summary NOx BAU'!U55/365.25</f>
        <v>0</v>
      </c>
      <c r="V55" s="64">
        <f>'Air Basin Summary NOx BAU'!V55/365.25</f>
        <v>0</v>
      </c>
      <c r="W55" s="64">
        <f>'Air Basin Summary NOx BAU'!W55/365.25</f>
        <v>0</v>
      </c>
      <c r="X55" s="64">
        <f>'Air Basin Summary NOx BAU'!X55/365.25</f>
        <v>0</v>
      </c>
      <c r="Y55" s="64">
        <f>'Air Basin Summary NOx BAU'!Y55/365.25</f>
        <v>0</v>
      </c>
      <c r="Z55" s="64">
        <f>'Air Basin Summary NOx BAU'!Z55/365.25</f>
        <v>0</v>
      </c>
      <c r="AA55" s="64">
        <f>'Air Basin Summary NOx BAU'!AA55/365.25</f>
        <v>0</v>
      </c>
      <c r="AB55" s="65">
        <f>'Air Basin Summary NOx BAU'!AB55/365.25</f>
        <v>0</v>
      </c>
    </row>
    <row r="56" spans="1:29" ht="14.65" customHeight="1">
      <c r="A56" s="520"/>
      <c r="B56" s="72" t="str">
        <f>'BAU Comparison - AJF'!A41</f>
        <v>STATEWIDE</v>
      </c>
      <c r="C56" s="72" t="s">
        <v>18938</v>
      </c>
      <c r="D56" s="175">
        <f>'Air Basin Summary NOx BAU'!D56/365.25</f>
        <v>0</v>
      </c>
      <c r="E56" s="175">
        <f>'Air Basin Summary NOx BAU'!E56/365.25</f>
        <v>0</v>
      </c>
      <c r="F56" s="175">
        <f>'Air Basin Summary NOx BAU'!F56/365.25</f>
        <v>0</v>
      </c>
      <c r="G56" s="175">
        <f>'Air Basin Summary NOx BAU'!G56/365.25</f>
        <v>0</v>
      </c>
      <c r="H56" s="175">
        <f>'Air Basin Summary NOx BAU'!H56/365.25</f>
        <v>0</v>
      </c>
      <c r="I56" s="175">
        <f>'Air Basin Summary NOx BAU'!I56/365.25</f>
        <v>0</v>
      </c>
      <c r="J56" s="175">
        <f>'Air Basin Summary NOx BAU'!J56/365.25</f>
        <v>0</v>
      </c>
      <c r="K56" s="175">
        <f>'Air Basin Summary NOx BAU'!K56/365.25</f>
        <v>0</v>
      </c>
      <c r="L56" s="175">
        <f>'Air Basin Summary NOx BAU'!L56/365.25</f>
        <v>0</v>
      </c>
      <c r="M56" s="175">
        <f>'Air Basin Summary NOx BAU'!M56/365.25</f>
        <v>0</v>
      </c>
      <c r="N56" s="175">
        <f>'Air Basin Summary NOx BAU'!N56/365.25</f>
        <v>0</v>
      </c>
      <c r="O56" s="175">
        <f>'Air Basin Summary NOx BAU'!O56/365.25</f>
        <v>0</v>
      </c>
      <c r="P56" s="175">
        <f>'Air Basin Summary NOx BAU'!P56/365.25</f>
        <v>0</v>
      </c>
      <c r="Q56" s="175">
        <f>'Air Basin Summary NOx BAU'!Q56/365.25</f>
        <v>0</v>
      </c>
      <c r="R56" s="175">
        <f>'Air Basin Summary NOx BAU'!R56/365.25</f>
        <v>0</v>
      </c>
      <c r="S56" s="175">
        <f>'Air Basin Summary NOx BAU'!S56/365.25</f>
        <v>0</v>
      </c>
      <c r="T56" s="175">
        <f>'Air Basin Summary NOx BAU'!T56/365.25</f>
        <v>0</v>
      </c>
      <c r="U56" s="175">
        <f>'Air Basin Summary NOx BAU'!U56/365.25</f>
        <v>0</v>
      </c>
      <c r="V56" s="175">
        <f>'Air Basin Summary NOx BAU'!V56/365.25</f>
        <v>0</v>
      </c>
      <c r="W56" s="175">
        <f>'Air Basin Summary NOx BAU'!W56/365.25</f>
        <v>0</v>
      </c>
      <c r="X56" s="175">
        <f>'Air Basin Summary NOx BAU'!X56/365.25</f>
        <v>0</v>
      </c>
      <c r="Y56" s="175">
        <f>'Air Basin Summary NOx BAU'!Y56/365.25</f>
        <v>0</v>
      </c>
      <c r="Z56" s="175">
        <f>'Air Basin Summary NOx BAU'!Z56/365.25</f>
        <v>0</v>
      </c>
      <c r="AA56" s="175">
        <f>'Air Basin Summary NOx BAU'!AA56/365.25</f>
        <v>0</v>
      </c>
      <c r="AB56" s="175">
        <f>'Air Basin Summary NOx BAU'!AB56/365.25</f>
        <v>0</v>
      </c>
      <c r="AC56" s="66"/>
    </row>
    <row r="57" spans="1:29" ht="14.65" customHeight="1">
      <c r="A57" s="5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9" ht="15.6" customHeight="1">
      <c r="A58" s="520"/>
      <c r="B58" s="86"/>
      <c r="C58" s="86"/>
      <c r="D58" s="519" t="s">
        <v>18930</v>
      </c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</row>
    <row r="59" spans="1:29" ht="14.65" customHeight="1">
      <c r="A59" s="520"/>
      <c r="B59" s="88" t="s">
        <v>18814</v>
      </c>
      <c r="C59" s="90" t="str">
        <f>'BAU Comparison - Production'!C166</f>
        <v>Units</v>
      </c>
      <c r="D59" s="89">
        <f>'BAU Comparison - Production'!D166</f>
        <v>2022</v>
      </c>
      <c r="E59" s="89">
        <f>'BAU Comparison - Production'!E166</f>
        <v>2023</v>
      </c>
      <c r="F59" s="89">
        <f>'BAU Comparison - Production'!F166</f>
        <v>2024</v>
      </c>
      <c r="G59" s="89">
        <f>'BAU Comparison - Production'!G166</f>
        <v>2025</v>
      </c>
      <c r="H59" s="89">
        <f>'BAU Comparison - Production'!H166</f>
        <v>2026</v>
      </c>
      <c r="I59" s="89">
        <f>'BAU Comparison - Production'!I166</f>
        <v>2027</v>
      </c>
      <c r="J59" s="89">
        <f>'BAU Comparison - Production'!J166</f>
        <v>2028</v>
      </c>
      <c r="K59" s="89">
        <f>'BAU Comparison - Production'!K166</f>
        <v>2029</v>
      </c>
      <c r="L59" s="90">
        <f>'BAU Comparison - Production'!L166</f>
        <v>2030</v>
      </c>
      <c r="M59" s="89">
        <f>'BAU Comparison - Production'!M166</f>
        <v>2031</v>
      </c>
      <c r="N59" s="89">
        <f>'BAU Comparison - Production'!N166</f>
        <v>2032</v>
      </c>
      <c r="O59" s="90">
        <f>'BAU Comparison - Production'!O166</f>
        <v>2033</v>
      </c>
      <c r="P59" s="89">
        <f>'BAU Comparison - Production'!P166</f>
        <v>2034</v>
      </c>
      <c r="Q59" s="89">
        <f>'BAU Comparison - Production'!Q166</f>
        <v>2035</v>
      </c>
      <c r="R59" s="90">
        <f>'BAU Comparison - Production'!R166</f>
        <v>2036</v>
      </c>
      <c r="S59" s="89">
        <f>'BAU Comparison - Production'!S166</f>
        <v>2037</v>
      </c>
      <c r="T59" s="89">
        <f>'BAU Comparison - Production'!T166</f>
        <v>2038</v>
      </c>
      <c r="U59" s="90">
        <f>'BAU Comparison - Production'!U166</f>
        <v>2039</v>
      </c>
      <c r="V59" s="89">
        <f>'BAU Comparison - Production'!V166</f>
        <v>2040</v>
      </c>
      <c r="W59" s="89">
        <f>'BAU Comparison - Production'!W166</f>
        <v>2041</v>
      </c>
      <c r="X59" s="90">
        <f>'BAU Comparison - Production'!X166</f>
        <v>2042</v>
      </c>
      <c r="Y59" s="89">
        <f>'BAU Comparison - Production'!Y166</f>
        <v>2043</v>
      </c>
      <c r="Z59" s="89">
        <f>'BAU Comparison - Production'!Z166</f>
        <v>2044</v>
      </c>
      <c r="AA59" s="90">
        <f>'BAU Comparison - Production'!AA166</f>
        <v>2045</v>
      </c>
      <c r="AB59" s="89">
        <f>'BAU Comparison - Production'!AB166</f>
        <v>2046</v>
      </c>
    </row>
    <row r="60" spans="1:29" ht="14.65" customHeight="1">
      <c r="A60" s="520"/>
      <c r="B60" s="2" t="str">
        <f>'BAU Comparison - Production'!B167</f>
        <v>Great Basin Valleys</v>
      </c>
      <c r="C60" s="2" t="s">
        <v>18938</v>
      </c>
      <c r="D60" s="104">
        <f>'Air Basin Summary NOx BAU'!D60/365.25</f>
        <v>0</v>
      </c>
      <c r="E60" s="79">
        <f>'Air Basin Summary NOx BAU'!E60/365.25</f>
        <v>0</v>
      </c>
      <c r="F60" s="79">
        <f>'Air Basin Summary NOx BAU'!F60/365.25</f>
        <v>0</v>
      </c>
      <c r="G60" s="79">
        <f>'Air Basin Summary NOx BAU'!G60/365.25</f>
        <v>0</v>
      </c>
      <c r="H60" s="79">
        <f>'Air Basin Summary NOx BAU'!H60/365.25</f>
        <v>0</v>
      </c>
      <c r="I60" s="79">
        <f>'Air Basin Summary NOx BAU'!I60/365.25</f>
        <v>0</v>
      </c>
      <c r="J60" s="79">
        <f>'Air Basin Summary NOx BAU'!J60/365.25</f>
        <v>0</v>
      </c>
      <c r="K60" s="79">
        <f>'Air Basin Summary NOx BAU'!K60/365.25</f>
        <v>0</v>
      </c>
      <c r="L60" s="79">
        <f>'Air Basin Summary NOx BAU'!L60/365.25</f>
        <v>0</v>
      </c>
      <c r="M60" s="79">
        <f>'Air Basin Summary NOx BAU'!M60/365.25</f>
        <v>0</v>
      </c>
      <c r="N60" s="79">
        <f>'Air Basin Summary NOx BAU'!N60/365.25</f>
        <v>0</v>
      </c>
      <c r="O60" s="79">
        <f>'Air Basin Summary NOx BAU'!O60/365.25</f>
        <v>0</v>
      </c>
      <c r="P60" s="79">
        <f>'Air Basin Summary NOx BAU'!P60/365.25</f>
        <v>0</v>
      </c>
      <c r="Q60" s="79">
        <f>'Air Basin Summary NOx BAU'!Q60/365.25</f>
        <v>0</v>
      </c>
      <c r="R60" s="79">
        <f>'Air Basin Summary NOx BAU'!R60/365.25</f>
        <v>0</v>
      </c>
      <c r="S60" s="79">
        <f>'Air Basin Summary NOx BAU'!S60/365.25</f>
        <v>0</v>
      </c>
      <c r="T60" s="79">
        <f>'Air Basin Summary NOx BAU'!T60/365.25</f>
        <v>0</v>
      </c>
      <c r="U60" s="79">
        <f>'Air Basin Summary NOx BAU'!U60/365.25</f>
        <v>0</v>
      </c>
      <c r="V60" s="79">
        <f>'Air Basin Summary NOx BAU'!V60/365.25</f>
        <v>0</v>
      </c>
      <c r="W60" s="79">
        <f>'Air Basin Summary NOx BAU'!W60/365.25</f>
        <v>0</v>
      </c>
      <c r="X60" s="79">
        <f>'Air Basin Summary NOx BAU'!X60/365.25</f>
        <v>0</v>
      </c>
      <c r="Y60" s="79">
        <f>'Air Basin Summary NOx BAU'!Y60/365.25</f>
        <v>0</v>
      </c>
      <c r="Z60" s="79">
        <f>'Air Basin Summary NOx BAU'!Z60/365.25</f>
        <v>0</v>
      </c>
      <c r="AA60" s="79">
        <f>'Air Basin Summary NOx BAU'!AA60/365.25</f>
        <v>0</v>
      </c>
      <c r="AB60" s="80">
        <f>'Air Basin Summary NOx BAU'!AB60/365.25</f>
        <v>0</v>
      </c>
    </row>
    <row r="61" spans="1:29" ht="14.65" customHeight="1">
      <c r="A61" s="520"/>
      <c r="B61" s="2" t="str">
        <f>'BAU Comparison - Production'!B168</f>
        <v xml:space="preserve">Lake County </v>
      </c>
      <c r="C61" s="2" t="s">
        <v>18938</v>
      </c>
      <c r="D61" s="393">
        <f>'Air Basin Summary NOx BAU'!D61/365.25</f>
        <v>0</v>
      </c>
      <c r="E61" s="60">
        <f>'Air Basin Summary NOx BAU'!E61/365.25</f>
        <v>0</v>
      </c>
      <c r="F61" s="60">
        <f>'Air Basin Summary NOx BAU'!F61/365.25</f>
        <v>0</v>
      </c>
      <c r="G61" s="60">
        <f>'Air Basin Summary NOx BAU'!G61/365.25</f>
        <v>0</v>
      </c>
      <c r="H61" s="60">
        <f>'Air Basin Summary NOx BAU'!H61/365.25</f>
        <v>0</v>
      </c>
      <c r="I61" s="60">
        <f>'Air Basin Summary NOx BAU'!I61/365.25</f>
        <v>0</v>
      </c>
      <c r="J61" s="60">
        <f>'Air Basin Summary NOx BAU'!J61/365.25</f>
        <v>0</v>
      </c>
      <c r="K61" s="60">
        <f>'Air Basin Summary NOx BAU'!K61/365.25</f>
        <v>0</v>
      </c>
      <c r="L61" s="60">
        <f>'Air Basin Summary NOx BAU'!L61/365.25</f>
        <v>0</v>
      </c>
      <c r="M61" s="60">
        <f>'Air Basin Summary NOx BAU'!M61/365.25</f>
        <v>0</v>
      </c>
      <c r="N61" s="60">
        <f>'Air Basin Summary NOx BAU'!N61/365.25</f>
        <v>0</v>
      </c>
      <c r="O61" s="60">
        <f>'Air Basin Summary NOx BAU'!O61/365.25</f>
        <v>0</v>
      </c>
      <c r="P61" s="60">
        <f>'Air Basin Summary NOx BAU'!P61/365.25</f>
        <v>0</v>
      </c>
      <c r="Q61" s="60">
        <f>'Air Basin Summary NOx BAU'!Q61/365.25</f>
        <v>0</v>
      </c>
      <c r="R61" s="60">
        <f>'Air Basin Summary NOx BAU'!R61/365.25</f>
        <v>0</v>
      </c>
      <c r="S61" s="60">
        <f>'Air Basin Summary NOx BAU'!S61/365.25</f>
        <v>0</v>
      </c>
      <c r="T61" s="60">
        <f>'Air Basin Summary NOx BAU'!T61/365.25</f>
        <v>0</v>
      </c>
      <c r="U61" s="60">
        <f>'Air Basin Summary NOx BAU'!U61/365.25</f>
        <v>0</v>
      </c>
      <c r="V61" s="60">
        <f>'Air Basin Summary NOx BAU'!V61/365.25</f>
        <v>0</v>
      </c>
      <c r="W61" s="60">
        <f>'Air Basin Summary NOx BAU'!W61/365.25</f>
        <v>0</v>
      </c>
      <c r="X61" s="60">
        <f>'Air Basin Summary NOx BAU'!X61/365.25</f>
        <v>0</v>
      </c>
      <c r="Y61" s="60">
        <f>'Air Basin Summary NOx BAU'!Y61/365.25</f>
        <v>0</v>
      </c>
      <c r="Z61" s="60">
        <f>'Air Basin Summary NOx BAU'!Z61/365.25</f>
        <v>0</v>
      </c>
      <c r="AA61" s="60">
        <f>'Air Basin Summary NOx BAU'!AA61/365.25</f>
        <v>0</v>
      </c>
      <c r="AB61" s="61">
        <f>'Air Basin Summary NOx BAU'!AB61/365.25</f>
        <v>0</v>
      </c>
    </row>
    <row r="62" spans="1:29" ht="14.65" customHeight="1">
      <c r="A62" s="520"/>
      <c r="B62" s="2" t="str">
        <f>'BAU Comparison - Production'!B169</f>
        <v xml:space="preserve">Lake Tahoe </v>
      </c>
      <c r="C62" s="2" t="s">
        <v>18938</v>
      </c>
      <c r="D62" s="393">
        <f>'Air Basin Summary NOx BAU'!D62/365.25</f>
        <v>0</v>
      </c>
      <c r="E62" s="60">
        <f>'Air Basin Summary NOx BAU'!E62/365.25</f>
        <v>0</v>
      </c>
      <c r="F62" s="60">
        <f>'Air Basin Summary NOx BAU'!F62/365.25</f>
        <v>0</v>
      </c>
      <c r="G62" s="60">
        <f>'Air Basin Summary NOx BAU'!G62/365.25</f>
        <v>0</v>
      </c>
      <c r="H62" s="60">
        <f>'Air Basin Summary NOx BAU'!H62/365.25</f>
        <v>0</v>
      </c>
      <c r="I62" s="60">
        <f>'Air Basin Summary NOx BAU'!I62/365.25</f>
        <v>0</v>
      </c>
      <c r="J62" s="60">
        <f>'Air Basin Summary NOx BAU'!J62/365.25</f>
        <v>0</v>
      </c>
      <c r="K62" s="60">
        <f>'Air Basin Summary NOx BAU'!K62/365.25</f>
        <v>0</v>
      </c>
      <c r="L62" s="60">
        <f>'Air Basin Summary NOx BAU'!L62/365.25</f>
        <v>0</v>
      </c>
      <c r="M62" s="60">
        <f>'Air Basin Summary NOx BAU'!M62/365.25</f>
        <v>0</v>
      </c>
      <c r="N62" s="60">
        <f>'Air Basin Summary NOx BAU'!N62/365.25</f>
        <v>0</v>
      </c>
      <c r="O62" s="60">
        <f>'Air Basin Summary NOx BAU'!O62/365.25</f>
        <v>0</v>
      </c>
      <c r="P62" s="60">
        <f>'Air Basin Summary NOx BAU'!P62/365.25</f>
        <v>0</v>
      </c>
      <c r="Q62" s="60">
        <f>'Air Basin Summary NOx BAU'!Q62/365.25</f>
        <v>0</v>
      </c>
      <c r="R62" s="60">
        <f>'Air Basin Summary NOx BAU'!R62/365.25</f>
        <v>0</v>
      </c>
      <c r="S62" s="60">
        <f>'Air Basin Summary NOx BAU'!S62/365.25</f>
        <v>0</v>
      </c>
      <c r="T62" s="60">
        <f>'Air Basin Summary NOx BAU'!T62/365.25</f>
        <v>0</v>
      </c>
      <c r="U62" s="60">
        <f>'Air Basin Summary NOx BAU'!U62/365.25</f>
        <v>0</v>
      </c>
      <c r="V62" s="60">
        <f>'Air Basin Summary NOx BAU'!V62/365.25</f>
        <v>0</v>
      </c>
      <c r="W62" s="60">
        <f>'Air Basin Summary NOx BAU'!W62/365.25</f>
        <v>0</v>
      </c>
      <c r="X62" s="60">
        <f>'Air Basin Summary NOx BAU'!X62/365.25</f>
        <v>0</v>
      </c>
      <c r="Y62" s="60">
        <f>'Air Basin Summary NOx BAU'!Y62/365.25</f>
        <v>0</v>
      </c>
      <c r="Z62" s="60">
        <f>'Air Basin Summary NOx BAU'!Z62/365.25</f>
        <v>0</v>
      </c>
      <c r="AA62" s="60">
        <f>'Air Basin Summary NOx BAU'!AA62/365.25</f>
        <v>0</v>
      </c>
      <c r="AB62" s="61">
        <f>'Air Basin Summary NOx BAU'!AB62/365.25</f>
        <v>0</v>
      </c>
    </row>
    <row r="63" spans="1:29" ht="14.65" customHeight="1">
      <c r="A63" s="520"/>
      <c r="B63" s="2" t="str">
        <f>'BAU Comparison - Production'!B170</f>
        <v>Mojave Desert</v>
      </c>
      <c r="C63" s="2" t="s">
        <v>18938</v>
      </c>
      <c r="D63" s="393">
        <f>'Air Basin Summary NOx BAU'!D63/365.25</f>
        <v>0</v>
      </c>
      <c r="E63" s="60">
        <f>'Air Basin Summary NOx BAU'!E63/365.25</f>
        <v>0</v>
      </c>
      <c r="F63" s="60">
        <f>'Air Basin Summary NOx BAU'!F63/365.25</f>
        <v>0</v>
      </c>
      <c r="G63" s="60">
        <f>'Air Basin Summary NOx BAU'!G63/365.25</f>
        <v>0</v>
      </c>
      <c r="H63" s="60">
        <f>'Air Basin Summary NOx BAU'!H63/365.25</f>
        <v>0</v>
      </c>
      <c r="I63" s="60">
        <f>'Air Basin Summary NOx BAU'!I63/365.25</f>
        <v>0</v>
      </c>
      <c r="J63" s="60">
        <f>'Air Basin Summary NOx BAU'!J63/365.25</f>
        <v>0</v>
      </c>
      <c r="K63" s="60">
        <f>'Air Basin Summary NOx BAU'!K63/365.25</f>
        <v>0</v>
      </c>
      <c r="L63" s="60">
        <f>'Air Basin Summary NOx BAU'!L63/365.25</f>
        <v>0</v>
      </c>
      <c r="M63" s="60">
        <f>'Air Basin Summary NOx BAU'!M63/365.25</f>
        <v>0</v>
      </c>
      <c r="N63" s="60">
        <f>'Air Basin Summary NOx BAU'!N63/365.25</f>
        <v>0</v>
      </c>
      <c r="O63" s="60">
        <f>'Air Basin Summary NOx BAU'!O63/365.25</f>
        <v>0</v>
      </c>
      <c r="P63" s="60">
        <f>'Air Basin Summary NOx BAU'!P63/365.25</f>
        <v>0</v>
      </c>
      <c r="Q63" s="60">
        <f>'Air Basin Summary NOx BAU'!Q63/365.25</f>
        <v>0</v>
      </c>
      <c r="R63" s="60">
        <f>'Air Basin Summary NOx BAU'!R63/365.25</f>
        <v>0</v>
      </c>
      <c r="S63" s="60">
        <f>'Air Basin Summary NOx BAU'!S63/365.25</f>
        <v>0</v>
      </c>
      <c r="T63" s="60">
        <f>'Air Basin Summary NOx BAU'!T63/365.25</f>
        <v>0</v>
      </c>
      <c r="U63" s="60">
        <f>'Air Basin Summary NOx BAU'!U63/365.25</f>
        <v>0</v>
      </c>
      <c r="V63" s="60">
        <f>'Air Basin Summary NOx BAU'!V63/365.25</f>
        <v>0</v>
      </c>
      <c r="W63" s="60">
        <f>'Air Basin Summary NOx BAU'!W63/365.25</f>
        <v>0</v>
      </c>
      <c r="X63" s="60">
        <f>'Air Basin Summary NOx BAU'!X63/365.25</f>
        <v>0</v>
      </c>
      <c r="Y63" s="60">
        <f>'Air Basin Summary NOx BAU'!Y63/365.25</f>
        <v>0</v>
      </c>
      <c r="Z63" s="60">
        <f>'Air Basin Summary NOx BAU'!Z63/365.25</f>
        <v>0</v>
      </c>
      <c r="AA63" s="60">
        <f>'Air Basin Summary NOx BAU'!AA63/365.25</f>
        <v>0</v>
      </c>
      <c r="AB63" s="61">
        <f>'Air Basin Summary NOx BAU'!AB63/365.25</f>
        <v>0</v>
      </c>
    </row>
    <row r="64" spans="1:29" ht="14.65" customHeight="1">
      <c r="A64" s="520"/>
      <c r="B64" s="2" t="str">
        <f>'BAU Comparison - Production'!B171</f>
        <v xml:space="preserve">Mountain Counties </v>
      </c>
      <c r="C64" s="2" t="s">
        <v>18938</v>
      </c>
      <c r="D64" s="393">
        <f>'Air Basin Summary NOx BAU'!D64/365.25</f>
        <v>0</v>
      </c>
      <c r="E64" s="60">
        <f>'Air Basin Summary NOx BAU'!E64/365.25</f>
        <v>0</v>
      </c>
      <c r="F64" s="60">
        <f>'Air Basin Summary NOx BAU'!F64/365.25</f>
        <v>0</v>
      </c>
      <c r="G64" s="60">
        <f>'Air Basin Summary NOx BAU'!G64/365.25</f>
        <v>0</v>
      </c>
      <c r="H64" s="60">
        <f>'Air Basin Summary NOx BAU'!H64/365.25</f>
        <v>0</v>
      </c>
      <c r="I64" s="60">
        <f>'Air Basin Summary NOx BAU'!I64/365.25</f>
        <v>0</v>
      </c>
      <c r="J64" s="60">
        <f>'Air Basin Summary NOx BAU'!J64/365.25</f>
        <v>0</v>
      </c>
      <c r="K64" s="60">
        <f>'Air Basin Summary NOx BAU'!K64/365.25</f>
        <v>0</v>
      </c>
      <c r="L64" s="60">
        <f>'Air Basin Summary NOx BAU'!L64/365.25</f>
        <v>0</v>
      </c>
      <c r="M64" s="60">
        <f>'Air Basin Summary NOx BAU'!M64/365.25</f>
        <v>0</v>
      </c>
      <c r="N64" s="60">
        <f>'Air Basin Summary NOx BAU'!N64/365.25</f>
        <v>0</v>
      </c>
      <c r="O64" s="60">
        <f>'Air Basin Summary NOx BAU'!O64/365.25</f>
        <v>0</v>
      </c>
      <c r="P64" s="60">
        <f>'Air Basin Summary NOx BAU'!P64/365.25</f>
        <v>0</v>
      </c>
      <c r="Q64" s="60">
        <f>'Air Basin Summary NOx BAU'!Q64/365.25</f>
        <v>0</v>
      </c>
      <c r="R64" s="60">
        <f>'Air Basin Summary NOx BAU'!R64/365.25</f>
        <v>0</v>
      </c>
      <c r="S64" s="60">
        <f>'Air Basin Summary NOx BAU'!S64/365.25</f>
        <v>0</v>
      </c>
      <c r="T64" s="60">
        <f>'Air Basin Summary NOx BAU'!T64/365.25</f>
        <v>0</v>
      </c>
      <c r="U64" s="60">
        <f>'Air Basin Summary NOx BAU'!U64/365.25</f>
        <v>0</v>
      </c>
      <c r="V64" s="60">
        <f>'Air Basin Summary NOx BAU'!V64/365.25</f>
        <v>0</v>
      </c>
      <c r="W64" s="60">
        <f>'Air Basin Summary NOx BAU'!W64/365.25</f>
        <v>0</v>
      </c>
      <c r="X64" s="60">
        <f>'Air Basin Summary NOx BAU'!X64/365.25</f>
        <v>0</v>
      </c>
      <c r="Y64" s="60">
        <f>'Air Basin Summary NOx BAU'!Y64/365.25</f>
        <v>0</v>
      </c>
      <c r="Z64" s="60">
        <f>'Air Basin Summary NOx BAU'!Z64/365.25</f>
        <v>0</v>
      </c>
      <c r="AA64" s="60">
        <f>'Air Basin Summary NOx BAU'!AA64/365.25</f>
        <v>0</v>
      </c>
      <c r="AB64" s="61">
        <f>'Air Basin Summary NOx BAU'!AB64/365.25</f>
        <v>0</v>
      </c>
    </row>
    <row r="65" spans="1:29" ht="14.65" customHeight="1">
      <c r="A65" s="520"/>
      <c r="B65" s="2" t="str">
        <f>'BAU Comparison - Production'!B172</f>
        <v>North Central coast</v>
      </c>
      <c r="C65" s="2" t="s">
        <v>18938</v>
      </c>
      <c r="D65" s="393">
        <f>'Air Basin Summary NOx BAU'!D65/365.25</f>
        <v>0</v>
      </c>
      <c r="E65" s="60">
        <f>'Air Basin Summary NOx BAU'!E65/365.25</f>
        <v>0</v>
      </c>
      <c r="F65" s="60">
        <f>'Air Basin Summary NOx BAU'!F65/365.25</f>
        <v>0</v>
      </c>
      <c r="G65" s="60">
        <f>'Air Basin Summary NOx BAU'!G65/365.25</f>
        <v>0</v>
      </c>
      <c r="H65" s="60">
        <f>'Air Basin Summary NOx BAU'!H65/365.25</f>
        <v>0</v>
      </c>
      <c r="I65" s="60">
        <f>'Air Basin Summary NOx BAU'!I65/365.25</f>
        <v>0</v>
      </c>
      <c r="J65" s="60">
        <f>'Air Basin Summary NOx BAU'!J65/365.25</f>
        <v>0</v>
      </c>
      <c r="K65" s="60">
        <f>'Air Basin Summary NOx BAU'!K65/365.25</f>
        <v>0</v>
      </c>
      <c r="L65" s="60">
        <f>'Air Basin Summary NOx BAU'!L65/365.25</f>
        <v>0</v>
      </c>
      <c r="M65" s="60">
        <f>'Air Basin Summary NOx BAU'!M65/365.25</f>
        <v>0</v>
      </c>
      <c r="N65" s="60">
        <f>'Air Basin Summary NOx BAU'!N65/365.25</f>
        <v>0</v>
      </c>
      <c r="O65" s="60">
        <f>'Air Basin Summary NOx BAU'!O65/365.25</f>
        <v>0</v>
      </c>
      <c r="P65" s="60">
        <f>'Air Basin Summary NOx BAU'!P65/365.25</f>
        <v>0</v>
      </c>
      <c r="Q65" s="60">
        <f>'Air Basin Summary NOx BAU'!Q65/365.25</f>
        <v>0</v>
      </c>
      <c r="R65" s="60">
        <f>'Air Basin Summary NOx BAU'!R65/365.25</f>
        <v>0</v>
      </c>
      <c r="S65" s="60">
        <f>'Air Basin Summary NOx BAU'!S65/365.25</f>
        <v>0</v>
      </c>
      <c r="T65" s="60">
        <f>'Air Basin Summary NOx BAU'!T65/365.25</f>
        <v>0</v>
      </c>
      <c r="U65" s="60">
        <f>'Air Basin Summary NOx BAU'!U65/365.25</f>
        <v>0</v>
      </c>
      <c r="V65" s="60">
        <f>'Air Basin Summary NOx BAU'!V65/365.25</f>
        <v>0</v>
      </c>
      <c r="W65" s="60">
        <f>'Air Basin Summary NOx BAU'!W65/365.25</f>
        <v>0</v>
      </c>
      <c r="X65" s="60">
        <f>'Air Basin Summary NOx BAU'!X65/365.25</f>
        <v>0</v>
      </c>
      <c r="Y65" s="60">
        <f>'Air Basin Summary NOx BAU'!Y65/365.25</f>
        <v>0</v>
      </c>
      <c r="Z65" s="60">
        <f>'Air Basin Summary NOx BAU'!Z65/365.25</f>
        <v>0</v>
      </c>
      <c r="AA65" s="60">
        <f>'Air Basin Summary NOx BAU'!AA65/365.25</f>
        <v>0</v>
      </c>
      <c r="AB65" s="61">
        <f>'Air Basin Summary NOx BAU'!AB65/365.25</f>
        <v>0</v>
      </c>
    </row>
    <row r="66" spans="1:29" ht="14.65" customHeight="1">
      <c r="A66" s="520"/>
      <c r="B66" s="2" t="str">
        <f>'BAU Comparison - Production'!B173</f>
        <v>North Coast</v>
      </c>
      <c r="C66" s="2" t="s">
        <v>18938</v>
      </c>
      <c r="D66" s="393">
        <f>'Air Basin Summary NOx BAU'!D66/365.25</f>
        <v>0</v>
      </c>
      <c r="E66" s="60">
        <f>'Air Basin Summary NOx BAU'!E66/365.25</f>
        <v>0</v>
      </c>
      <c r="F66" s="60">
        <f>'Air Basin Summary NOx BAU'!F66/365.25</f>
        <v>0</v>
      </c>
      <c r="G66" s="60">
        <f>'Air Basin Summary NOx BAU'!G66/365.25</f>
        <v>2.7570921896215045E-4</v>
      </c>
      <c r="H66" s="60">
        <f>'Air Basin Summary NOx BAU'!H66/365.25</f>
        <v>3.0986435699975124E-4</v>
      </c>
      <c r="I66" s="60">
        <f>'Air Basin Summary NOx BAU'!I66/365.25</f>
        <v>1.1996774384005937E-4</v>
      </c>
      <c r="J66" s="60">
        <f>'Air Basin Summary NOx BAU'!J66/365.25</f>
        <v>2.0708939782434517E-4</v>
      </c>
      <c r="K66" s="60">
        <f>'Air Basin Summary NOx BAU'!K66/365.25</f>
        <v>5.2769335992371413E-5</v>
      </c>
      <c r="L66" s="60">
        <f>'Air Basin Summary NOx BAU'!L66/365.25</f>
        <v>0</v>
      </c>
      <c r="M66" s="60">
        <f>'Air Basin Summary NOx BAU'!M66/365.25</f>
        <v>0</v>
      </c>
      <c r="N66" s="60">
        <f>'Air Basin Summary NOx BAU'!N66/365.25</f>
        <v>0</v>
      </c>
      <c r="O66" s="60">
        <f>'Air Basin Summary NOx BAU'!O66/365.25</f>
        <v>3.8508890540399971E-6</v>
      </c>
      <c r="P66" s="60">
        <f>'Air Basin Summary NOx BAU'!P66/365.25</f>
        <v>5.5305733664545816E-5</v>
      </c>
      <c r="Q66" s="60">
        <f>'Air Basin Summary NOx BAU'!Q66/365.25</f>
        <v>9.0258954377423311E-5</v>
      </c>
      <c r="R66" s="60">
        <f>'Air Basin Summary NOx BAU'!R66/365.25</f>
        <v>9.0258954377423284E-5</v>
      </c>
      <c r="S66" s="60">
        <f>'Air Basin Summary NOx BAU'!S66/365.25</f>
        <v>2.1566793702823035E-4</v>
      </c>
      <c r="T66" s="60">
        <f>'Air Basin Summary NOx BAU'!T66/365.25</f>
        <v>2.1566793702823024E-4</v>
      </c>
      <c r="U66" s="60">
        <f>'Air Basin Summary NOx BAU'!U66/365.25</f>
        <v>2.5882879050180302E-4</v>
      </c>
      <c r="V66" s="60">
        <f>'Air Basin Summary NOx BAU'!V66/365.25</f>
        <v>3.230744069228065E-4</v>
      </c>
      <c r="W66" s="60">
        <f>'Air Basin Summary NOx BAU'!W66/365.25</f>
        <v>3.1701006044610022E-4</v>
      </c>
      <c r="X66" s="60">
        <f>'Air Basin Summary NOx BAU'!X66/365.25</f>
        <v>3.1878580078765697E-4</v>
      </c>
      <c r="Y66" s="60">
        <f>'Air Basin Summary NOx BAU'!Y66/365.25</f>
        <v>3.2083938289536289E-4</v>
      </c>
      <c r="Z66" s="60">
        <f>'Air Basin Summary NOx BAU'!Z66/365.25</f>
        <v>2.7877080454850975E-4</v>
      </c>
      <c r="AA66" s="60">
        <f>'Air Basin Summary NOx BAU'!AA66/365.25</f>
        <v>2.5744964413411858E-4</v>
      </c>
      <c r="AB66" s="61">
        <f>'Air Basin Summary NOx BAU'!AB66/365.25</f>
        <v>2.4073696129176325E-4</v>
      </c>
    </row>
    <row r="67" spans="1:29" ht="14.65" customHeight="1">
      <c r="A67" s="520"/>
      <c r="B67" s="2" t="str">
        <f>'BAU Comparison - Production'!B174</f>
        <v>Northeast Plateau</v>
      </c>
      <c r="C67" s="2" t="s">
        <v>18938</v>
      </c>
      <c r="D67" s="393">
        <f>'Air Basin Summary NOx BAU'!D67/365.25</f>
        <v>0</v>
      </c>
      <c r="E67" s="60">
        <f>'Air Basin Summary NOx BAU'!E67/365.25</f>
        <v>0</v>
      </c>
      <c r="F67" s="60">
        <f>'Air Basin Summary NOx BAU'!F67/365.25</f>
        <v>0</v>
      </c>
      <c r="G67" s="60">
        <f>'Air Basin Summary NOx BAU'!G67/365.25</f>
        <v>0</v>
      </c>
      <c r="H67" s="60">
        <f>'Air Basin Summary NOx BAU'!H67/365.25</f>
        <v>0</v>
      </c>
      <c r="I67" s="60">
        <f>'Air Basin Summary NOx BAU'!I67/365.25</f>
        <v>0</v>
      </c>
      <c r="J67" s="60">
        <f>'Air Basin Summary NOx BAU'!J67/365.25</f>
        <v>0</v>
      </c>
      <c r="K67" s="60">
        <f>'Air Basin Summary NOx BAU'!K67/365.25</f>
        <v>0</v>
      </c>
      <c r="L67" s="60">
        <f>'Air Basin Summary NOx BAU'!L67/365.25</f>
        <v>0</v>
      </c>
      <c r="M67" s="60">
        <f>'Air Basin Summary NOx BAU'!M67/365.25</f>
        <v>0</v>
      </c>
      <c r="N67" s="60">
        <f>'Air Basin Summary NOx BAU'!N67/365.25</f>
        <v>0</v>
      </c>
      <c r="O67" s="60">
        <f>'Air Basin Summary NOx BAU'!O67/365.25</f>
        <v>0</v>
      </c>
      <c r="P67" s="60">
        <f>'Air Basin Summary NOx BAU'!P67/365.25</f>
        <v>0</v>
      </c>
      <c r="Q67" s="60">
        <f>'Air Basin Summary NOx BAU'!Q67/365.25</f>
        <v>0</v>
      </c>
      <c r="R67" s="60">
        <f>'Air Basin Summary NOx BAU'!R67/365.25</f>
        <v>0</v>
      </c>
      <c r="S67" s="60">
        <f>'Air Basin Summary NOx BAU'!S67/365.25</f>
        <v>0</v>
      </c>
      <c r="T67" s="60">
        <f>'Air Basin Summary NOx BAU'!T67/365.25</f>
        <v>0</v>
      </c>
      <c r="U67" s="60">
        <f>'Air Basin Summary NOx BAU'!U67/365.25</f>
        <v>0</v>
      </c>
      <c r="V67" s="60">
        <f>'Air Basin Summary NOx BAU'!V67/365.25</f>
        <v>0</v>
      </c>
      <c r="W67" s="60">
        <f>'Air Basin Summary NOx BAU'!W67/365.25</f>
        <v>0</v>
      </c>
      <c r="X67" s="60">
        <f>'Air Basin Summary NOx BAU'!X67/365.25</f>
        <v>0</v>
      </c>
      <c r="Y67" s="60">
        <f>'Air Basin Summary NOx BAU'!Y67/365.25</f>
        <v>0</v>
      </c>
      <c r="Z67" s="60">
        <f>'Air Basin Summary NOx BAU'!Z67/365.25</f>
        <v>0</v>
      </c>
      <c r="AA67" s="60">
        <f>'Air Basin Summary NOx BAU'!AA67/365.25</f>
        <v>0</v>
      </c>
      <c r="AB67" s="61">
        <f>'Air Basin Summary NOx BAU'!AB67/365.25</f>
        <v>0</v>
      </c>
    </row>
    <row r="68" spans="1:29" ht="14.65" customHeight="1">
      <c r="A68" s="520"/>
      <c r="B68" s="2" t="str">
        <f>'BAU Comparison - Production'!B175</f>
        <v xml:space="preserve">Sacramento Valley </v>
      </c>
      <c r="C68" s="2" t="s">
        <v>18938</v>
      </c>
      <c r="D68" s="393">
        <f>'Air Basin Summary NOx BAU'!D68/365.25</f>
        <v>0</v>
      </c>
      <c r="E68" s="60">
        <f>'Air Basin Summary NOx BAU'!E68/365.25</f>
        <v>0</v>
      </c>
      <c r="F68" s="60">
        <f>'Air Basin Summary NOx BAU'!F68/365.25</f>
        <v>0</v>
      </c>
      <c r="G68" s="60">
        <f>'Air Basin Summary NOx BAU'!G68/365.25</f>
        <v>1.194739948835985E-3</v>
      </c>
      <c r="H68" s="60">
        <f>'Air Basin Summary NOx BAU'!H68/365.25</f>
        <v>1.3427455469989221E-3</v>
      </c>
      <c r="I68" s="60">
        <f>'Air Basin Summary NOx BAU'!I68/365.25</f>
        <v>5.1986022330692387E-4</v>
      </c>
      <c r="J68" s="60">
        <f>'Air Basin Summary NOx BAU'!J68/365.25</f>
        <v>8.9738739057216232E-4</v>
      </c>
      <c r="K68" s="60">
        <f>'Air Basin Summary NOx BAU'!K68/365.25</f>
        <v>2.2866712263360943E-4</v>
      </c>
      <c r="L68" s="60">
        <f>'Air Basin Summary NOx BAU'!L68/365.25</f>
        <v>0</v>
      </c>
      <c r="M68" s="60">
        <f>'Air Basin Summary NOx BAU'!M68/365.25</f>
        <v>0</v>
      </c>
      <c r="N68" s="60">
        <f>'Air Basin Summary NOx BAU'!N68/365.25</f>
        <v>0</v>
      </c>
      <c r="O68" s="60">
        <f>'Air Basin Summary NOx BAU'!O68/365.25</f>
        <v>1.6687185900839988E-5</v>
      </c>
      <c r="P68" s="60">
        <f>'Air Basin Summary NOx BAU'!P68/365.25</f>
        <v>2.3965817921303185E-4</v>
      </c>
      <c r="Q68" s="60">
        <f>'Air Basin Summary NOx BAU'!Q68/365.25</f>
        <v>3.9112213563550103E-4</v>
      </c>
      <c r="R68" s="60">
        <f>'Air Basin Summary NOx BAU'!R68/365.25</f>
        <v>3.9112213563550086E-4</v>
      </c>
      <c r="S68" s="60">
        <f>'Air Basin Summary NOx BAU'!S68/365.25</f>
        <v>9.3456106045566477E-4</v>
      </c>
      <c r="T68" s="60">
        <f>'Air Basin Summary NOx BAU'!T68/365.25</f>
        <v>9.3456106045566433E-4</v>
      </c>
      <c r="U68" s="60">
        <f>'Air Basin Summary NOx BAU'!U68/365.25</f>
        <v>1.1215914255078129E-3</v>
      </c>
      <c r="V68" s="60">
        <f>'Air Basin Summary NOx BAU'!V68/365.25</f>
        <v>1.3999890966654948E-3</v>
      </c>
      <c r="W68" s="60">
        <f>'Air Basin Summary NOx BAU'!W68/365.25</f>
        <v>1.3737102619331009E-3</v>
      </c>
      <c r="X68" s="60">
        <f>'Air Basin Summary NOx BAU'!X68/365.25</f>
        <v>1.3814051367465135E-3</v>
      </c>
      <c r="Y68" s="60">
        <f>'Air Basin Summary NOx BAU'!Y68/365.25</f>
        <v>1.3903039925465723E-3</v>
      </c>
      <c r="Z68" s="60">
        <f>'Air Basin Summary NOx BAU'!Z68/365.25</f>
        <v>1.2080068197102087E-3</v>
      </c>
      <c r="AA68" s="60">
        <f>'Air Basin Summary NOx BAU'!AA68/365.25</f>
        <v>1.1156151245811804E-3</v>
      </c>
      <c r="AB68" s="61">
        <f>'Air Basin Summary NOx BAU'!AB68/365.25</f>
        <v>1.043193498930974E-3</v>
      </c>
    </row>
    <row r="69" spans="1:29" ht="14.65" customHeight="1">
      <c r="A69" s="520"/>
      <c r="B69" s="2" t="str">
        <f>'BAU Comparison - Production'!B176</f>
        <v>Salton Sea</v>
      </c>
      <c r="C69" s="2" t="s">
        <v>18938</v>
      </c>
      <c r="D69" s="393">
        <f>'Air Basin Summary NOx BAU'!D69/365.25</f>
        <v>0</v>
      </c>
      <c r="E69" s="60">
        <f>'Air Basin Summary NOx BAU'!E69/365.25</f>
        <v>0</v>
      </c>
      <c r="F69" s="60">
        <f>'Air Basin Summary NOx BAU'!F69/365.25</f>
        <v>0</v>
      </c>
      <c r="G69" s="60">
        <f>'Air Basin Summary NOx BAU'!G69/365.25</f>
        <v>9.1903072987383489E-5</v>
      </c>
      <c r="H69" s="60">
        <f>'Air Basin Summary NOx BAU'!H69/365.25</f>
        <v>1.0328811899991708E-4</v>
      </c>
      <c r="I69" s="60">
        <f>'Air Basin Summary NOx BAU'!I69/365.25</f>
        <v>3.9989247946686457E-5</v>
      </c>
      <c r="J69" s="60">
        <f>'Air Basin Summary NOx BAU'!J69/365.25</f>
        <v>6.9029799274781715E-5</v>
      </c>
      <c r="K69" s="60">
        <f>'Air Basin Summary NOx BAU'!K69/365.25</f>
        <v>1.7589778664123804E-5</v>
      </c>
      <c r="L69" s="60">
        <f>'Air Basin Summary NOx BAU'!L69/365.25</f>
        <v>0</v>
      </c>
      <c r="M69" s="60">
        <f>'Air Basin Summary NOx BAU'!M69/365.25</f>
        <v>0</v>
      </c>
      <c r="N69" s="60">
        <f>'Air Basin Summary NOx BAU'!N69/365.25</f>
        <v>0</v>
      </c>
      <c r="O69" s="60">
        <f>'Air Basin Summary NOx BAU'!O69/365.25</f>
        <v>1.2836296846799991E-6</v>
      </c>
      <c r="P69" s="60">
        <f>'Air Basin Summary NOx BAU'!P69/365.25</f>
        <v>1.8435244554848603E-5</v>
      </c>
      <c r="Q69" s="60">
        <f>'Air Basin Summary NOx BAU'!Q69/365.25</f>
        <v>3.0086318125807774E-5</v>
      </c>
      <c r="R69" s="60">
        <f>'Air Basin Summary NOx BAU'!R69/365.25</f>
        <v>3.0086318125807763E-5</v>
      </c>
      <c r="S69" s="60">
        <f>'Air Basin Summary NOx BAU'!S69/365.25</f>
        <v>7.1889312342743441E-5</v>
      </c>
      <c r="T69" s="60">
        <f>'Air Basin Summary NOx BAU'!T69/365.25</f>
        <v>7.1889312342743414E-5</v>
      </c>
      <c r="U69" s="60">
        <f>'Air Basin Summary NOx BAU'!U69/365.25</f>
        <v>8.627626350060099E-5</v>
      </c>
      <c r="V69" s="60">
        <f>'Air Basin Summary NOx BAU'!V69/365.25</f>
        <v>1.0769146897426884E-4</v>
      </c>
      <c r="W69" s="60">
        <f>'Air Basin Summary NOx BAU'!W69/365.25</f>
        <v>1.0567002014870006E-4</v>
      </c>
      <c r="X69" s="60">
        <f>'Air Basin Summary NOx BAU'!X69/365.25</f>
        <v>1.0626193359588565E-4</v>
      </c>
      <c r="Y69" s="60">
        <f>'Air Basin Summary NOx BAU'!Y69/365.25</f>
        <v>1.0694646096512095E-4</v>
      </c>
      <c r="Z69" s="60">
        <f>'Air Basin Summary NOx BAU'!Z69/365.25</f>
        <v>9.2923601516169927E-5</v>
      </c>
      <c r="AA69" s="60">
        <f>'Air Basin Summary NOx BAU'!AA69/365.25</f>
        <v>8.5816548044706194E-5</v>
      </c>
      <c r="AB69" s="61">
        <f>'Air Basin Summary NOx BAU'!AB69/365.25</f>
        <v>8.024565376392108E-5</v>
      </c>
    </row>
    <row r="70" spans="1:29" ht="14.65" customHeight="1">
      <c r="A70" s="520"/>
      <c r="B70" s="2" t="str">
        <f>'BAU Comparison - Production'!B177</f>
        <v xml:space="preserve">San Diego </v>
      </c>
      <c r="C70" s="2" t="s">
        <v>18938</v>
      </c>
      <c r="D70" s="393">
        <f>'Air Basin Summary NOx BAU'!D70/365.25</f>
        <v>0</v>
      </c>
      <c r="E70" s="60">
        <f>'Air Basin Summary NOx BAU'!E70/365.25</f>
        <v>0</v>
      </c>
      <c r="F70" s="60">
        <f>'Air Basin Summary NOx BAU'!F70/365.25</f>
        <v>0</v>
      </c>
      <c r="G70" s="60">
        <f>'Air Basin Summary NOx BAU'!G70/365.25</f>
        <v>0</v>
      </c>
      <c r="H70" s="60">
        <f>'Air Basin Summary NOx BAU'!H70/365.25</f>
        <v>0</v>
      </c>
      <c r="I70" s="60">
        <f>'Air Basin Summary NOx BAU'!I70/365.25</f>
        <v>0</v>
      </c>
      <c r="J70" s="60">
        <f>'Air Basin Summary NOx BAU'!J70/365.25</f>
        <v>0</v>
      </c>
      <c r="K70" s="60">
        <f>'Air Basin Summary NOx BAU'!K70/365.25</f>
        <v>0</v>
      </c>
      <c r="L70" s="60">
        <f>'Air Basin Summary NOx BAU'!L70/365.25</f>
        <v>0</v>
      </c>
      <c r="M70" s="60">
        <f>'Air Basin Summary NOx BAU'!M70/365.25</f>
        <v>0</v>
      </c>
      <c r="N70" s="60">
        <f>'Air Basin Summary NOx BAU'!N70/365.25</f>
        <v>0</v>
      </c>
      <c r="O70" s="60">
        <f>'Air Basin Summary NOx BAU'!O70/365.25</f>
        <v>0</v>
      </c>
      <c r="P70" s="60">
        <f>'Air Basin Summary NOx BAU'!P70/365.25</f>
        <v>0</v>
      </c>
      <c r="Q70" s="60">
        <f>'Air Basin Summary NOx BAU'!Q70/365.25</f>
        <v>0</v>
      </c>
      <c r="R70" s="60">
        <f>'Air Basin Summary NOx BAU'!R70/365.25</f>
        <v>0</v>
      </c>
      <c r="S70" s="60">
        <f>'Air Basin Summary NOx BAU'!S70/365.25</f>
        <v>0</v>
      </c>
      <c r="T70" s="60">
        <f>'Air Basin Summary NOx BAU'!T70/365.25</f>
        <v>0</v>
      </c>
      <c r="U70" s="60">
        <f>'Air Basin Summary NOx BAU'!U70/365.25</f>
        <v>0</v>
      </c>
      <c r="V70" s="60">
        <f>'Air Basin Summary NOx BAU'!V70/365.25</f>
        <v>0</v>
      </c>
      <c r="W70" s="60">
        <f>'Air Basin Summary NOx BAU'!W70/365.25</f>
        <v>0</v>
      </c>
      <c r="X70" s="60">
        <f>'Air Basin Summary NOx BAU'!X70/365.25</f>
        <v>0</v>
      </c>
      <c r="Y70" s="60">
        <f>'Air Basin Summary NOx BAU'!Y70/365.25</f>
        <v>0</v>
      </c>
      <c r="Z70" s="60">
        <f>'Air Basin Summary NOx BAU'!Z70/365.25</f>
        <v>0</v>
      </c>
      <c r="AA70" s="60">
        <f>'Air Basin Summary NOx BAU'!AA70/365.25</f>
        <v>0</v>
      </c>
      <c r="AB70" s="61">
        <f>'Air Basin Summary NOx BAU'!AB70/365.25</f>
        <v>0</v>
      </c>
    </row>
    <row r="71" spans="1:29" ht="14.65" customHeight="1">
      <c r="A71" s="520"/>
      <c r="B71" s="2" t="str">
        <f>'BAU Comparison - Production'!B178</f>
        <v>San Franscisco Bay Area</v>
      </c>
      <c r="C71" s="2" t="s">
        <v>18938</v>
      </c>
      <c r="D71" s="393">
        <f>'Air Basin Summary NOx BAU'!D71/365.25</f>
        <v>0</v>
      </c>
      <c r="E71" s="60">
        <f>'Air Basin Summary NOx BAU'!E71/365.25</f>
        <v>0</v>
      </c>
      <c r="F71" s="60">
        <f>'Air Basin Summary NOx BAU'!F71/365.25</f>
        <v>0</v>
      </c>
      <c r="G71" s="60">
        <f>'Air Basin Summary NOx BAU'!G71/365.25</f>
        <v>0</v>
      </c>
      <c r="H71" s="60">
        <f>'Air Basin Summary NOx BAU'!H71/365.25</f>
        <v>0</v>
      </c>
      <c r="I71" s="60">
        <f>'Air Basin Summary NOx BAU'!I71/365.25</f>
        <v>0</v>
      </c>
      <c r="J71" s="60">
        <f>'Air Basin Summary NOx BAU'!J71/365.25</f>
        <v>0</v>
      </c>
      <c r="K71" s="60">
        <f>'Air Basin Summary NOx BAU'!K71/365.25</f>
        <v>0</v>
      </c>
      <c r="L71" s="60">
        <f>'Air Basin Summary NOx BAU'!L71/365.25</f>
        <v>0</v>
      </c>
      <c r="M71" s="60">
        <f>'Air Basin Summary NOx BAU'!M71/365.25</f>
        <v>0</v>
      </c>
      <c r="N71" s="60">
        <f>'Air Basin Summary NOx BAU'!N71/365.25</f>
        <v>0</v>
      </c>
      <c r="O71" s="60">
        <f>'Air Basin Summary NOx BAU'!O71/365.25</f>
        <v>0</v>
      </c>
      <c r="P71" s="60">
        <f>'Air Basin Summary NOx BAU'!P71/365.25</f>
        <v>0</v>
      </c>
      <c r="Q71" s="60">
        <f>'Air Basin Summary NOx BAU'!Q71/365.25</f>
        <v>0</v>
      </c>
      <c r="R71" s="60">
        <f>'Air Basin Summary NOx BAU'!R71/365.25</f>
        <v>0</v>
      </c>
      <c r="S71" s="60">
        <f>'Air Basin Summary NOx BAU'!S71/365.25</f>
        <v>0</v>
      </c>
      <c r="T71" s="60">
        <f>'Air Basin Summary NOx BAU'!T71/365.25</f>
        <v>0</v>
      </c>
      <c r="U71" s="60">
        <f>'Air Basin Summary NOx BAU'!U71/365.25</f>
        <v>0</v>
      </c>
      <c r="V71" s="60">
        <f>'Air Basin Summary NOx BAU'!V71/365.25</f>
        <v>0</v>
      </c>
      <c r="W71" s="60">
        <f>'Air Basin Summary NOx BAU'!W71/365.25</f>
        <v>0</v>
      </c>
      <c r="X71" s="60">
        <f>'Air Basin Summary NOx BAU'!X71/365.25</f>
        <v>0</v>
      </c>
      <c r="Y71" s="60">
        <f>'Air Basin Summary NOx BAU'!Y71/365.25</f>
        <v>0</v>
      </c>
      <c r="Z71" s="60">
        <f>'Air Basin Summary NOx BAU'!Z71/365.25</f>
        <v>0</v>
      </c>
      <c r="AA71" s="60">
        <f>'Air Basin Summary NOx BAU'!AA71/365.25</f>
        <v>0</v>
      </c>
      <c r="AB71" s="61">
        <f>'Air Basin Summary NOx BAU'!AB71/365.25</f>
        <v>0</v>
      </c>
    </row>
    <row r="72" spans="1:29" ht="14.65" customHeight="1">
      <c r="A72" s="520"/>
      <c r="B72" s="2" t="str">
        <f>'BAU Comparison - Production'!B179</f>
        <v xml:space="preserve">San Joaquin Valley </v>
      </c>
      <c r="C72" s="2" t="s">
        <v>18938</v>
      </c>
      <c r="D72" s="393">
        <f>'Air Basin Summary NOx BAU'!D72/365.25</f>
        <v>0</v>
      </c>
      <c r="E72" s="60">
        <f>'Air Basin Summary NOx BAU'!E72/365.25</f>
        <v>0</v>
      </c>
      <c r="F72" s="60">
        <f>'Air Basin Summary NOx BAU'!F72/365.25</f>
        <v>0</v>
      </c>
      <c r="G72" s="60">
        <f>'Air Basin Summary NOx BAU'!G72/365.25</f>
        <v>8.6205082462165697E-2</v>
      </c>
      <c r="H72" s="60">
        <f>'Air Basin Summary NOx BAU'!H72/365.25</f>
        <v>9.6884255621922211E-2</v>
      </c>
      <c r="I72" s="60">
        <f>'Air Basin Summary NOx BAU'!I72/365.25</f>
        <v>3.7509914573991894E-2</v>
      </c>
      <c r="J72" s="60">
        <f>'Air Basin Summary NOx BAU'!J72/365.25</f>
        <v>6.474995171974525E-2</v>
      </c>
      <c r="K72" s="60">
        <f>'Air Basin Summary NOx BAU'!K72/365.25</f>
        <v>1.6499212386948126E-2</v>
      </c>
      <c r="L72" s="60">
        <f>'Air Basin Summary NOx BAU'!L72/365.25</f>
        <v>0</v>
      </c>
      <c r="M72" s="60">
        <f>'Air Basin Summary NOx BAU'!M72/365.25</f>
        <v>0</v>
      </c>
      <c r="N72" s="60">
        <f>'Air Basin Summary NOx BAU'!N72/365.25</f>
        <v>0</v>
      </c>
      <c r="O72" s="60">
        <f>'Air Basin Summary NOx BAU'!O72/365.25</f>
        <v>1.204044644229839E-3</v>
      </c>
      <c r="P72" s="60">
        <f>'Air Basin Summary NOx BAU'!P72/365.25</f>
        <v>1.7292259392447992E-2</v>
      </c>
      <c r="Q72" s="60">
        <f>'Air Basin Summary NOx BAU'!Q72/365.25</f>
        <v>2.8220966402007684E-2</v>
      </c>
      <c r="R72" s="60">
        <f>'Air Basin Summary NOx BAU'!R72/365.25</f>
        <v>2.8220966402007681E-2</v>
      </c>
      <c r="S72" s="60">
        <f>'Air Basin Summary NOx BAU'!S72/365.25</f>
        <v>6.7432174977493348E-2</v>
      </c>
      <c r="T72" s="60">
        <f>'Air Basin Summary NOx BAU'!T72/365.25</f>
        <v>6.743217497749332E-2</v>
      </c>
      <c r="U72" s="60">
        <f>'Air Basin Summary NOx BAU'!U72/365.25</f>
        <v>8.0927135163563729E-2</v>
      </c>
      <c r="V72" s="60">
        <f>'Air Basin Summary NOx BAU'!V72/365.25</f>
        <v>0.10101459789786416</v>
      </c>
      <c r="W72" s="60">
        <f>'Air Basin Summary NOx BAU'!W72/365.25</f>
        <v>9.9118478899480639E-2</v>
      </c>
      <c r="X72" s="60">
        <f>'Air Basin Summary NOx BAU'!X72/365.25</f>
        <v>9.9673693712940728E-2</v>
      </c>
      <c r="Y72" s="60">
        <f>'Air Basin Summary NOx BAU'!Y72/365.25</f>
        <v>0.10031578038528345</v>
      </c>
      <c r="Z72" s="60">
        <f>'Air Basin Summary NOx BAU'!Z72/365.25</f>
        <v>8.7162338222167388E-2</v>
      </c>
      <c r="AA72" s="60">
        <f>'Air Basin Summary NOx BAU'!AA72/365.25</f>
        <v>8.0495922065934394E-2</v>
      </c>
      <c r="AB72" s="61">
        <f>'Air Basin Summary NOx BAU'!AB72/365.25</f>
        <v>7.5270423230557965E-2</v>
      </c>
    </row>
    <row r="73" spans="1:29" ht="14.65" customHeight="1">
      <c r="A73" s="520"/>
      <c r="B73" s="2" t="str">
        <f>'BAU Comparison - Production'!B180</f>
        <v>South Central Coast</v>
      </c>
      <c r="C73" s="2" t="s">
        <v>18938</v>
      </c>
      <c r="D73" s="393">
        <f>'Air Basin Summary NOx BAU'!D73/365.25</f>
        <v>0</v>
      </c>
      <c r="E73" s="60">
        <f>'Air Basin Summary NOx BAU'!E73/365.25</f>
        <v>0</v>
      </c>
      <c r="F73" s="60">
        <f>'Air Basin Summary NOx BAU'!F73/365.25</f>
        <v>0</v>
      </c>
      <c r="G73" s="60">
        <f>'Air Basin Summary NOx BAU'!G73/365.25</f>
        <v>0</v>
      </c>
      <c r="H73" s="60">
        <f>'Air Basin Summary NOx BAU'!H73/365.25</f>
        <v>0</v>
      </c>
      <c r="I73" s="60">
        <f>'Air Basin Summary NOx BAU'!I73/365.25</f>
        <v>0</v>
      </c>
      <c r="J73" s="60">
        <f>'Air Basin Summary NOx BAU'!J73/365.25</f>
        <v>0</v>
      </c>
      <c r="K73" s="60">
        <f>'Air Basin Summary NOx BAU'!K73/365.25</f>
        <v>0</v>
      </c>
      <c r="L73" s="60">
        <f>'Air Basin Summary NOx BAU'!L73/365.25</f>
        <v>0</v>
      </c>
      <c r="M73" s="60">
        <f>'Air Basin Summary NOx BAU'!M73/365.25</f>
        <v>0</v>
      </c>
      <c r="N73" s="60">
        <f>'Air Basin Summary NOx BAU'!N73/365.25</f>
        <v>0</v>
      </c>
      <c r="O73" s="60">
        <f>'Air Basin Summary NOx BAU'!O73/365.25</f>
        <v>0</v>
      </c>
      <c r="P73" s="60">
        <f>'Air Basin Summary NOx BAU'!P73/365.25</f>
        <v>0</v>
      </c>
      <c r="Q73" s="60">
        <f>'Air Basin Summary NOx BAU'!Q73/365.25</f>
        <v>0</v>
      </c>
      <c r="R73" s="60">
        <f>'Air Basin Summary NOx BAU'!R73/365.25</f>
        <v>0</v>
      </c>
      <c r="S73" s="60">
        <f>'Air Basin Summary NOx BAU'!S73/365.25</f>
        <v>0</v>
      </c>
      <c r="T73" s="60">
        <f>'Air Basin Summary NOx BAU'!T73/365.25</f>
        <v>0</v>
      </c>
      <c r="U73" s="60">
        <f>'Air Basin Summary NOx BAU'!U73/365.25</f>
        <v>0</v>
      </c>
      <c r="V73" s="60">
        <f>'Air Basin Summary NOx BAU'!V73/365.25</f>
        <v>0</v>
      </c>
      <c r="W73" s="60">
        <f>'Air Basin Summary NOx BAU'!W73/365.25</f>
        <v>0</v>
      </c>
      <c r="X73" s="60">
        <f>'Air Basin Summary NOx BAU'!X73/365.25</f>
        <v>0</v>
      </c>
      <c r="Y73" s="60">
        <f>'Air Basin Summary NOx BAU'!Y73/365.25</f>
        <v>0</v>
      </c>
      <c r="Z73" s="60">
        <f>'Air Basin Summary NOx BAU'!Z73/365.25</f>
        <v>0</v>
      </c>
      <c r="AA73" s="60">
        <f>'Air Basin Summary NOx BAU'!AA73/365.25</f>
        <v>0</v>
      </c>
      <c r="AB73" s="61">
        <f>'Air Basin Summary NOx BAU'!AB73/365.25</f>
        <v>0</v>
      </c>
    </row>
    <row r="74" spans="1:29" ht="14.65" customHeight="1">
      <c r="A74" s="520"/>
      <c r="B74" s="2" t="str">
        <f>'BAU Comparison - Production'!B181</f>
        <v>South Coast</v>
      </c>
      <c r="C74" s="2" t="s">
        <v>18938</v>
      </c>
      <c r="D74" s="394">
        <f>'Air Basin Summary NOx BAU'!D74/365.25</f>
        <v>0</v>
      </c>
      <c r="E74" s="64">
        <f>'Air Basin Summary NOx BAU'!E74/365.25</f>
        <v>0</v>
      </c>
      <c r="F74" s="64">
        <f>'Air Basin Summary NOx BAU'!F74/365.25</f>
        <v>0</v>
      </c>
      <c r="G74" s="64">
        <f>'Air Basin Summary NOx BAU'!G74/365.25</f>
        <v>4.1356382844322569E-3</v>
      </c>
      <c r="H74" s="64">
        <f>'Air Basin Summary NOx BAU'!H74/365.25</f>
        <v>4.6479653549962681E-3</v>
      </c>
      <c r="I74" s="64">
        <f>'Air Basin Summary NOx BAU'!I74/365.25</f>
        <v>1.7995161576008902E-3</v>
      </c>
      <c r="J74" s="64">
        <f>'Air Basin Summary NOx BAU'!J74/365.25</f>
        <v>3.1063409673651771E-3</v>
      </c>
      <c r="K74" s="64">
        <f>'Air Basin Summary NOx BAU'!K74/365.25</f>
        <v>7.9154003988557106E-4</v>
      </c>
      <c r="L74" s="64">
        <f>'Air Basin Summary NOx BAU'!L74/365.25</f>
        <v>0</v>
      </c>
      <c r="M74" s="64">
        <f>'Air Basin Summary NOx BAU'!M74/365.25</f>
        <v>0</v>
      </c>
      <c r="N74" s="64">
        <f>'Air Basin Summary NOx BAU'!N74/365.25</f>
        <v>0</v>
      </c>
      <c r="O74" s="64">
        <f>'Air Basin Summary NOx BAU'!O74/365.25</f>
        <v>5.7763335810599958E-5</v>
      </c>
      <c r="P74" s="64">
        <f>'Air Basin Summary NOx BAU'!P74/365.25</f>
        <v>8.295860049681871E-4</v>
      </c>
      <c r="Q74" s="64">
        <f>'Air Basin Summary NOx BAU'!Q74/365.25</f>
        <v>1.3538843156613496E-3</v>
      </c>
      <c r="R74" s="64">
        <f>'Air Basin Summary NOx BAU'!R74/365.25</f>
        <v>1.3538843156613491E-3</v>
      </c>
      <c r="S74" s="64">
        <f>'Air Basin Summary NOx BAU'!S74/365.25</f>
        <v>3.2350190554234549E-3</v>
      </c>
      <c r="T74" s="64">
        <f>'Air Basin Summary NOx BAU'!T74/365.25</f>
        <v>3.2350190554234536E-3</v>
      </c>
      <c r="U74" s="64">
        <f>'Air Basin Summary NOx BAU'!U74/365.25</f>
        <v>3.8824318575270446E-3</v>
      </c>
      <c r="V74" s="64">
        <f>'Air Basin Summary NOx BAU'!V74/365.25</f>
        <v>4.8461161038420974E-3</v>
      </c>
      <c r="W74" s="64">
        <f>'Air Basin Summary NOx BAU'!W74/365.25</f>
        <v>4.7551509066915028E-3</v>
      </c>
      <c r="X74" s="64">
        <f>'Air Basin Summary NOx BAU'!X74/365.25</f>
        <v>4.7817870118148538E-3</v>
      </c>
      <c r="Y74" s="64">
        <f>'Air Basin Summary NOx BAU'!Y74/365.25</f>
        <v>4.8125907434304433E-3</v>
      </c>
      <c r="Z74" s="64">
        <f>'Air Basin Summary NOx BAU'!Z74/365.25</f>
        <v>4.1815620682276464E-3</v>
      </c>
      <c r="AA74" s="64">
        <f>'Air Basin Summary NOx BAU'!AA74/365.25</f>
        <v>3.8617446620117781E-3</v>
      </c>
      <c r="AB74" s="65">
        <f>'Air Basin Summary NOx BAU'!AB74/365.25</f>
        <v>3.6110544193764483E-3</v>
      </c>
    </row>
    <row r="75" spans="1:29" ht="14.65" customHeight="1">
      <c r="A75" s="520"/>
      <c r="B75" s="72" t="str">
        <f>'BAU Comparison - Production'!B182</f>
        <v>STATEWIDE</v>
      </c>
      <c r="C75" s="72" t="s">
        <v>18938</v>
      </c>
      <c r="D75" s="175">
        <f>'Air Basin Summary NOx BAU'!D75/365.25</f>
        <v>0</v>
      </c>
      <c r="E75" s="175">
        <f>'Air Basin Summary NOx BAU'!E75/365.25</f>
        <v>0</v>
      </c>
      <c r="F75" s="175">
        <f>'Air Basin Summary NOx BAU'!F75/365.25</f>
        <v>0</v>
      </c>
      <c r="G75" s="175">
        <f>'Air Basin Summary NOx BAU'!G75/365.25</f>
        <v>9.1903072987383483E-2</v>
      </c>
      <c r="H75" s="175">
        <f>'Air Basin Summary NOx BAU'!H75/365.25</f>
        <v>0.10328811899991706</v>
      </c>
      <c r="I75" s="175">
        <f>'Air Basin Summary NOx BAU'!I75/365.25</f>
        <v>3.998924794668645E-2</v>
      </c>
      <c r="J75" s="175">
        <f>'Air Basin Summary NOx BAU'!J75/365.25</f>
        <v>6.9029799274781714E-2</v>
      </c>
      <c r="K75" s="175">
        <f>'Air Basin Summary NOx BAU'!K75/365.25</f>
        <v>1.7589778664123801E-2</v>
      </c>
      <c r="L75" s="175">
        <f>'Air Basin Summary NOx BAU'!L75/365.25</f>
        <v>0</v>
      </c>
      <c r="M75" s="175">
        <f>'Air Basin Summary NOx BAU'!M75/365.25</f>
        <v>0</v>
      </c>
      <c r="N75" s="175">
        <f>'Air Basin Summary NOx BAU'!N75/365.25</f>
        <v>0</v>
      </c>
      <c r="O75" s="175">
        <f>'Air Basin Summary NOx BAU'!O75/365.25</f>
        <v>1.283629684679999E-3</v>
      </c>
      <c r="P75" s="175">
        <f>'Air Basin Summary NOx BAU'!P75/365.25</f>
        <v>1.8435244554848604E-2</v>
      </c>
      <c r="Q75" s="175">
        <f>'Air Basin Summary NOx BAU'!Q75/365.25</f>
        <v>3.0086318125807764E-2</v>
      </c>
      <c r="R75" s="175">
        <f>'Air Basin Summary NOx BAU'!R75/365.25</f>
        <v>3.0086318125807761E-2</v>
      </c>
      <c r="S75" s="175">
        <f>'Air Basin Summary NOx BAU'!S75/365.25</f>
        <v>7.1889312342743455E-2</v>
      </c>
      <c r="T75" s="175">
        <f>'Air Basin Summary NOx BAU'!T75/365.25</f>
        <v>7.1889312342743414E-2</v>
      </c>
      <c r="U75" s="175">
        <f>'Air Basin Summary NOx BAU'!U75/365.25</f>
        <v>8.6276263500600983E-2</v>
      </c>
      <c r="V75" s="175">
        <f>'Air Basin Summary NOx BAU'!V75/365.25</f>
        <v>0.10769146897426884</v>
      </c>
      <c r="W75" s="175">
        <f>'Air Basin Summary NOx BAU'!W75/365.25</f>
        <v>0.10567002014870004</v>
      </c>
      <c r="X75" s="175">
        <f>'Air Basin Summary NOx BAU'!X75/365.25</f>
        <v>0.10626193359588565</v>
      </c>
      <c r="Y75" s="175">
        <f>'Air Basin Summary NOx BAU'!Y75/365.25</f>
        <v>0.10694646096512095</v>
      </c>
      <c r="Z75" s="175">
        <f>'Air Basin Summary NOx BAU'!Z75/365.25</f>
        <v>9.2923601516169907E-2</v>
      </c>
      <c r="AA75" s="175">
        <f>'Air Basin Summary NOx BAU'!AA75/365.25</f>
        <v>8.5816548044706176E-2</v>
      </c>
      <c r="AB75" s="175">
        <f>'Air Basin Summary NOx BAU'!AB75/365.25</f>
        <v>8.0245653763921079E-2</v>
      </c>
      <c r="AC75" s="66"/>
    </row>
    <row r="76" spans="1:29" ht="14.65" customHeight="1">
      <c r="A76" s="5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9" ht="15.6" customHeight="1">
      <c r="A77" s="520"/>
      <c r="B77" s="86"/>
      <c r="C77" s="86"/>
      <c r="D77" s="519" t="s">
        <v>18931</v>
      </c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</row>
    <row r="78" spans="1:29" ht="14.65" customHeight="1">
      <c r="A78" s="520"/>
      <c r="B78" s="88" t="s">
        <v>18814</v>
      </c>
      <c r="C78" s="90" t="s">
        <v>1</v>
      </c>
      <c r="D78" s="89">
        <v>2022</v>
      </c>
      <c r="E78" s="89">
        <v>2023</v>
      </c>
      <c r="F78" s="89">
        <v>2024</v>
      </c>
      <c r="G78" s="89">
        <v>2025</v>
      </c>
      <c r="H78" s="89">
        <v>2026</v>
      </c>
      <c r="I78" s="89">
        <v>2027</v>
      </c>
      <c r="J78" s="89">
        <v>2028</v>
      </c>
      <c r="K78" s="89">
        <v>2029</v>
      </c>
      <c r="L78" s="89">
        <v>2030</v>
      </c>
      <c r="M78" s="89">
        <v>2031</v>
      </c>
      <c r="N78" s="89">
        <v>2032</v>
      </c>
      <c r="O78" s="89">
        <v>2033</v>
      </c>
      <c r="P78" s="89">
        <v>2034</v>
      </c>
      <c r="Q78" s="89">
        <v>2035</v>
      </c>
      <c r="R78" s="89">
        <v>2036</v>
      </c>
      <c r="S78" s="89">
        <v>2037</v>
      </c>
      <c r="T78" s="89">
        <v>2038</v>
      </c>
      <c r="U78" s="89">
        <v>2039</v>
      </c>
      <c r="V78" s="89">
        <v>2040</v>
      </c>
      <c r="W78" s="89">
        <v>2041</v>
      </c>
      <c r="X78" s="89">
        <v>2042</v>
      </c>
      <c r="Y78" s="89">
        <v>2043</v>
      </c>
      <c r="Z78" s="89">
        <v>2044</v>
      </c>
      <c r="AA78" s="89">
        <v>2045</v>
      </c>
      <c r="AB78" s="89">
        <v>2046</v>
      </c>
    </row>
    <row r="79" spans="1:29" ht="14.65" customHeight="1">
      <c r="A79" s="520"/>
      <c r="B79" s="2" t="str">
        <f>'BAU Comparison - Production'!B185</f>
        <v>Great Basin Valleys</v>
      </c>
      <c r="C79" s="2" t="s">
        <v>18938</v>
      </c>
      <c r="D79" s="104">
        <f>'Air Basin Summary NOx BAU'!D79/365.25</f>
        <v>0</v>
      </c>
      <c r="E79" s="79">
        <f>'Air Basin Summary NOx BAU'!E79/365.25</f>
        <v>0</v>
      </c>
      <c r="F79" s="79">
        <f>'Air Basin Summary NOx BAU'!F79/365.25</f>
        <v>0</v>
      </c>
      <c r="G79" s="79">
        <f>'Air Basin Summary NOx BAU'!G79/365.25</f>
        <v>0</v>
      </c>
      <c r="H79" s="79">
        <f>'Air Basin Summary NOx BAU'!H79/365.25</f>
        <v>0</v>
      </c>
      <c r="I79" s="79">
        <f>'Air Basin Summary NOx BAU'!I79/365.25</f>
        <v>0</v>
      </c>
      <c r="J79" s="79">
        <f>'Air Basin Summary NOx BAU'!J79/365.25</f>
        <v>0</v>
      </c>
      <c r="K79" s="79">
        <f>'Air Basin Summary NOx BAU'!K79/365.25</f>
        <v>0</v>
      </c>
      <c r="L79" s="79">
        <f>'Air Basin Summary NOx BAU'!L79/365.25</f>
        <v>0</v>
      </c>
      <c r="M79" s="79">
        <f>'Air Basin Summary NOx BAU'!M79/365.25</f>
        <v>0</v>
      </c>
      <c r="N79" s="79">
        <f>'Air Basin Summary NOx BAU'!N79/365.25</f>
        <v>0</v>
      </c>
      <c r="O79" s="79">
        <f>'Air Basin Summary NOx BAU'!O79/365.25</f>
        <v>0</v>
      </c>
      <c r="P79" s="79">
        <f>'Air Basin Summary NOx BAU'!P79/365.25</f>
        <v>0</v>
      </c>
      <c r="Q79" s="79">
        <f>'Air Basin Summary NOx BAU'!Q79/365.25</f>
        <v>0</v>
      </c>
      <c r="R79" s="79">
        <f>'Air Basin Summary NOx BAU'!R79/365.25</f>
        <v>0</v>
      </c>
      <c r="S79" s="79">
        <f>'Air Basin Summary NOx BAU'!S79/365.25</f>
        <v>0</v>
      </c>
      <c r="T79" s="79">
        <f>'Air Basin Summary NOx BAU'!T79/365.25</f>
        <v>0</v>
      </c>
      <c r="U79" s="79">
        <f>'Air Basin Summary NOx BAU'!U79/365.25</f>
        <v>0</v>
      </c>
      <c r="V79" s="79">
        <f>'Air Basin Summary NOx BAU'!V79/365.25</f>
        <v>0</v>
      </c>
      <c r="W79" s="79">
        <f>'Air Basin Summary NOx BAU'!W79/365.25</f>
        <v>0</v>
      </c>
      <c r="X79" s="79">
        <f>'Air Basin Summary NOx BAU'!X79/365.25</f>
        <v>0</v>
      </c>
      <c r="Y79" s="79">
        <f>'Air Basin Summary NOx BAU'!Y79/365.25</f>
        <v>0</v>
      </c>
      <c r="Z79" s="79">
        <f>'Air Basin Summary NOx BAU'!Z79/365.25</f>
        <v>0</v>
      </c>
      <c r="AA79" s="79">
        <f>'Air Basin Summary NOx BAU'!AA79/365.25</f>
        <v>0</v>
      </c>
      <c r="AB79" s="80">
        <f>'Air Basin Summary NOx BAU'!AB79/365.25</f>
        <v>0</v>
      </c>
    </row>
    <row r="80" spans="1:29" ht="14.65" customHeight="1">
      <c r="A80" s="520"/>
      <c r="B80" s="2" t="str">
        <f>'BAU Comparison - Production'!B186</f>
        <v xml:space="preserve">Lake County </v>
      </c>
      <c r="C80" s="2" t="s">
        <v>18938</v>
      </c>
      <c r="D80" s="393">
        <f>'Air Basin Summary NOx BAU'!D80/365.25</f>
        <v>0</v>
      </c>
      <c r="E80" s="60">
        <f>'Air Basin Summary NOx BAU'!E80/365.25</f>
        <v>0</v>
      </c>
      <c r="F80" s="60">
        <f>'Air Basin Summary NOx BAU'!F80/365.25</f>
        <v>0</v>
      </c>
      <c r="G80" s="60">
        <f>'Air Basin Summary NOx BAU'!G80/365.25</f>
        <v>0</v>
      </c>
      <c r="H80" s="60">
        <f>'Air Basin Summary NOx BAU'!H80/365.25</f>
        <v>0</v>
      </c>
      <c r="I80" s="60">
        <f>'Air Basin Summary NOx BAU'!I80/365.25</f>
        <v>0</v>
      </c>
      <c r="J80" s="60">
        <f>'Air Basin Summary NOx BAU'!J80/365.25</f>
        <v>0</v>
      </c>
      <c r="K80" s="60">
        <f>'Air Basin Summary NOx BAU'!K80/365.25</f>
        <v>0</v>
      </c>
      <c r="L80" s="60">
        <f>'Air Basin Summary NOx BAU'!L80/365.25</f>
        <v>0</v>
      </c>
      <c r="M80" s="60">
        <f>'Air Basin Summary NOx BAU'!M80/365.25</f>
        <v>0</v>
      </c>
      <c r="N80" s="60">
        <f>'Air Basin Summary NOx BAU'!N80/365.25</f>
        <v>0</v>
      </c>
      <c r="O80" s="60">
        <f>'Air Basin Summary NOx BAU'!O80/365.25</f>
        <v>0</v>
      </c>
      <c r="P80" s="60">
        <f>'Air Basin Summary NOx BAU'!P80/365.25</f>
        <v>0</v>
      </c>
      <c r="Q80" s="60">
        <f>'Air Basin Summary NOx BAU'!Q80/365.25</f>
        <v>0</v>
      </c>
      <c r="R80" s="60">
        <f>'Air Basin Summary NOx BAU'!R80/365.25</f>
        <v>0</v>
      </c>
      <c r="S80" s="60">
        <f>'Air Basin Summary NOx BAU'!S80/365.25</f>
        <v>0</v>
      </c>
      <c r="T80" s="60">
        <f>'Air Basin Summary NOx BAU'!T80/365.25</f>
        <v>0</v>
      </c>
      <c r="U80" s="60">
        <f>'Air Basin Summary NOx BAU'!U80/365.25</f>
        <v>0</v>
      </c>
      <c r="V80" s="60">
        <f>'Air Basin Summary NOx BAU'!V80/365.25</f>
        <v>0</v>
      </c>
      <c r="W80" s="60">
        <f>'Air Basin Summary NOx BAU'!W80/365.25</f>
        <v>0</v>
      </c>
      <c r="X80" s="60">
        <f>'Air Basin Summary NOx BAU'!X80/365.25</f>
        <v>0</v>
      </c>
      <c r="Y80" s="60">
        <f>'Air Basin Summary NOx BAU'!Y80/365.25</f>
        <v>0</v>
      </c>
      <c r="Z80" s="60">
        <f>'Air Basin Summary NOx BAU'!Z80/365.25</f>
        <v>0</v>
      </c>
      <c r="AA80" s="60">
        <f>'Air Basin Summary NOx BAU'!AA80/365.25</f>
        <v>0</v>
      </c>
      <c r="AB80" s="61">
        <f>'Air Basin Summary NOx BAU'!AB80/365.25</f>
        <v>0</v>
      </c>
    </row>
    <row r="81" spans="1:29" ht="14.65" customHeight="1">
      <c r="A81" s="520"/>
      <c r="B81" s="2" t="str">
        <f>'BAU Comparison - Production'!B187</f>
        <v xml:space="preserve">Lake Tahoe </v>
      </c>
      <c r="C81" s="2" t="s">
        <v>18938</v>
      </c>
      <c r="D81" s="393">
        <f>'Air Basin Summary NOx BAU'!D81/365.25</f>
        <v>0</v>
      </c>
      <c r="E81" s="60">
        <f>'Air Basin Summary NOx BAU'!E81/365.25</f>
        <v>0</v>
      </c>
      <c r="F81" s="60">
        <f>'Air Basin Summary NOx BAU'!F81/365.25</f>
        <v>0</v>
      </c>
      <c r="G81" s="60">
        <f>'Air Basin Summary NOx BAU'!G81/365.25</f>
        <v>0</v>
      </c>
      <c r="H81" s="60">
        <f>'Air Basin Summary NOx BAU'!H81/365.25</f>
        <v>0</v>
      </c>
      <c r="I81" s="60">
        <f>'Air Basin Summary NOx BAU'!I81/365.25</f>
        <v>0</v>
      </c>
      <c r="J81" s="60">
        <f>'Air Basin Summary NOx BAU'!J81/365.25</f>
        <v>0</v>
      </c>
      <c r="K81" s="60">
        <f>'Air Basin Summary NOx BAU'!K81/365.25</f>
        <v>0</v>
      </c>
      <c r="L81" s="60">
        <f>'Air Basin Summary NOx BAU'!L81/365.25</f>
        <v>0</v>
      </c>
      <c r="M81" s="60">
        <f>'Air Basin Summary NOx BAU'!M81/365.25</f>
        <v>0</v>
      </c>
      <c r="N81" s="60">
        <f>'Air Basin Summary NOx BAU'!N81/365.25</f>
        <v>0</v>
      </c>
      <c r="O81" s="60">
        <f>'Air Basin Summary NOx BAU'!O81/365.25</f>
        <v>0</v>
      </c>
      <c r="P81" s="60">
        <f>'Air Basin Summary NOx BAU'!P81/365.25</f>
        <v>0</v>
      </c>
      <c r="Q81" s="60">
        <f>'Air Basin Summary NOx BAU'!Q81/365.25</f>
        <v>0</v>
      </c>
      <c r="R81" s="60">
        <f>'Air Basin Summary NOx BAU'!R81/365.25</f>
        <v>0</v>
      </c>
      <c r="S81" s="60">
        <f>'Air Basin Summary NOx BAU'!S81/365.25</f>
        <v>0</v>
      </c>
      <c r="T81" s="60">
        <f>'Air Basin Summary NOx BAU'!T81/365.25</f>
        <v>0</v>
      </c>
      <c r="U81" s="60">
        <f>'Air Basin Summary NOx BAU'!U81/365.25</f>
        <v>0</v>
      </c>
      <c r="V81" s="60">
        <f>'Air Basin Summary NOx BAU'!V81/365.25</f>
        <v>0</v>
      </c>
      <c r="W81" s="60">
        <f>'Air Basin Summary NOx BAU'!W81/365.25</f>
        <v>0</v>
      </c>
      <c r="X81" s="60">
        <f>'Air Basin Summary NOx BAU'!X81/365.25</f>
        <v>0</v>
      </c>
      <c r="Y81" s="60">
        <f>'Air Basin Summary NOx BAU'!Y81/365.25</f>
        <v>0</v>
      </c>
      <c r="Z81" s="60">
        <f>'Air Basin Summary NOx BAU'!Z81/365.25</f>
        <v>0</v>
      </c>
      <c r="AA81" s="60">
        <f>'Air Basin Summary NOx BAU'!AA81/365.25</f>
        <v>0</v>
      </c>
      <c r="AB81" s="61">
        <f>'Air Basin Summary NOx BAU'!AB81/365.25</f>
        <v>0</v>
      </c>
    </row>
    <row r="82" spans="1:29" ht="14.65" customHeight="1">
      <c r="A82" s="520"/>
      <c r="B82" s="2" t="str">
        <f>'BAU Comparison - Production'!B188</f>
        <v>Mojave Desert</v>
      </c>
      <c r="C82" s="2" t="s">
        <v>18938</v>
      </c>
      <c r="D82" s="393">
        <f>'Air Basin Summary NOx BAU'!D82/365.25</f>
        <v>0</v>
      </c>
      <c r="E82" s="60">
        <f>'Air Basin Summary NOx BAU'!E82/365.25</f>
        <v>0</v>
      </c>
      <c r="F82" s="60">
        <f>'Air Basin Summary NOx BAU'!F82/365.25</f>
        <v>0</v>
      </c>
      <c r="G82" s="60">
        <f>'Air Basin Summary NOx BAU'!G82/365.25</f>
        <v>0</v>
      </c>
      <c r="H82" s="60">
        <f>'Air Basin Summary NOx BAU'!H82/365.25</f>
        <v>0</v>
      </c>
      <c r="I82" s="60">
        <f>'Air Basin Summary NOx BAU'!I82/365.25</f>
        <v>0</v>
      </c>
      <c r="J82" s="60">
        <f>'Air Basin Summary NOx BAU'!J82/365.25</f>
        <v>0</v>
      </c>
      <c r="K82" s="60">
        <f>'Air Basin Summary NOx BAU'!K82/365.25</f>
        <v>0</v>
      </c>
      <c r="L82" s="60">
        <f>'Air Basin Summary NOx BAU'!L82/365.25</f>
        <v>0</v>
      </c>
      <c r="M82" s="60">
        <f>'Air Basin Summary NOx BAU'!M82/365.25</f>
        <v>0</v>
      </c>
      <c r="N82" s="60">
        <f>'Air Basin Summary NOx BAU'!N82/365.25</f>
        <v>0</v>
      </c>
      <c r="O82" s="60">
        <f>'Air Basin Summary NOx BAU'!O82/365.25</f>
        <v>0</v>
      </c>
      <c r="P82" s="60">
        <f>'Air Basin Summary NOx BAU'!P82/365.25</f>
        <v>0</v>
      </c>
      <c r="Q82" s="60">
        <f>'Air Basin Summary NOx BAU'!Q82/365.25</f>
        <v>0</v>
      </c>
      <c r="R82" s="60">
        <f>'Air Basin Summary NOx BAU'!R82/365.25</f>
        <v>0</v>
      </c>
      <c r="S82" s="60">
        <f>'Air Basin Summary NOx BAU'!S82/365.25</f>
        <v>0</v>
      </c>
      <c r="T82" s="60">
        <f>'Air Basin Summary NOx BAU'!T82/365.25</f>
        <v>0</v>
      </c>
      <c r="U82" s="60">
        <f>'Air Basin Summary NOx BAU'!U82/365.25</f>
        <v>0</v>
      </c>
      <c r="V82" s="60">
        <f>'Air Basin Summary NOx BAU'!V82/365.25</f>
        <v>0</v>
      </c>
      <c r="W82" s="60">
        <f>'Air Basin Summary NOx BAU'!W82/365.25</f>
        <v>0</v>
      </c>
      <c r="X82" s="60">
        <f>'Air Basin Summary NOx BAU'!X82/365.25</f>
        <v>0</v>
      </c>
      <c r="Y82" s="60">
        <f>'Air Basin Summary NOx BAU'!Y82/365.25</f>
        <v>0</v>
      </c>
      <c r="Z82" s="60">
        <f>'Air Basin Summary NOx BAU'!Z82/365.25</f>
        <v>0</v>
      </c>
      <c r="AA82" s="60">
        <f>'Air Basin Summary NOx BAU'!AA82/365.25</f>
        <v>0</v>
      </c>
      <c r="AB82" s="61">
        <f>'Air Basin Summary NOx BAU'!AB82/365.25</f>
        <v>0</v>
      </c>
    </row>
    <row r="83" spans="1:29" ht="14.65" customHeight="1">
      <c r="A83" s="520"/>
      <c r="B83" s="2" t="str">
        <f>'BAU Comparison - Production'!B189</f>
        <v xml:space="preserve">Mountain Counties </v>
      </c>
      <c r="C83" s="2" t="s">
        <v>18938</v>
      </c>
      <c r="D83" s="393">
        <f>'Air Basin Summary NOx BAU'!D83/365.25</f>
        <v>0</v>
      </c>
      <c r="E83" s="60">
        <f>'Air Basin Summary NOx BAU'!E83/365.25</f>
        <v>0</v>
      </c>
      <c r="F83" s="60">
        <f>'Air Basin Summary NOx BAU'!F83/365.25</f>
        <v>0</v>
      </c>
      <c r="G83" s="60">
        <f>'Air Basin Summary NOx BAU'!G83/365.25</f>
        <v>0</v>
      </c>
      <c r="H83" s="60">
        <f>'Air Basin Summary NOx BAU'!H83/365.25</f>
        <v>0</v>
      </c>
      <c r="I83" s="60">
        <f>'Air Basin Summary NOx BAU'!I83/365.25</f>
        <v>0</v>
      </c>
      <c r="J83" s="60">
        <f>'Air Basin Summary NOx BAU'!J83/365.25</f>
        <v>0</v>
      </c>
      <c r="K83" s="60">
        <f>'Air Basin Summary NOx BAU'!K83/365.25</f>
        <v>0</v>
      </c>
      <c r="L83" s="60">
        <f>'Air Basin Summary NOx BAU'!L83/365.25</f>
        <v>0</v>
      </c>
      <c r="M83" s="60">
        <f>'Air Basin Summary NOx BAU'!M83/365.25</f>
        <v>0</v>
      </c>
      <c r="N83" s="60">
        <f>'Air Basin Summary NOx BAU'!N83/365.25</f>
        <v>0</v>
      </c>
      <c r="O83" s="60">
        <f>'Air Basin Summary NOx BAU'!O83/365.25</f>
        <v>0</v>
      </c>
      <c r="P83" s="60">
        <f>'Air Basin Summary NOx BAU'!P83/365.25</f>
        <v>0</v>
      </c>
      <c r="Q83" s="60">
        <f>'Air Basin Summary NOx BAU'!Q83/365.25</f>
        <v>0</v>
      </c>
      <c r="R83" s="60">
        <f>'Air Basin Summary NOx BAU'!R83/365.25</f>
        <v>0</v>
      </c>
      <c r="S83" s="60">
        <f>'Air Basin Summary NOx BAU'!S83/365.25</f>
        <v>0</v>
      </c>
      <c r="T83" s="60">
        <f>'Air Basin Summary NOx BAU'!T83/365.25</f>
        <v>0</v>
      </c>
      <c r="U83" s="60">
        <f>'Air Basin Summary NOx BAU'!U83/365.25</f>
        <v>0</v>
      </c>
      <c r="V83" s="60">
        <f>'Air Basin Summary NOx BAU'!V83/365.25</f>
        <v>0</v>
      </c>
      <c r="W83" s="60">
        <f>'Air Basin Summary NOx BAU'!W83/365.25</f>
        <v>0</v>
      </c>
      <c r="X83" s="60">
        <f>'Air Basin Summary NOx BAU'!X83/365.25</f>
        <v>0</v>
      </c>
      <c r="Y83" s="60">
        <f>'Air Basin Summary NOx BAU'!Y83/365.25</f>
        <v>0</v>
      </c>
      <c r="Z83" s="60">
        <f>'Air Basin Summary NOx BAU'!Z83/365.25</f>
        <v>0</v>
      </c>
      <c r="AA83" s="60">
        <f>'Air Basin Summary NOx BAU'!AA83/365.25</f>
        <v>0</v>
      </c>
      <c r="AB83" s="61">
        <f>'Air Basin Summary NOx BAU'!AB83/365.25</f>
        <v>0</v>
      </c>
    </row>
    <row r="84" spans="1:29" ht="14.65" customHeight="1">
      <c r="A84" s="520"/>
      <c r="B84" s="2" t="str">
        <f>'BAU Comparison - Production'!B190</f>
        <v>North Central coast</v>
      </c>
      <c r="C84" s="2" t="s">
        <v>18938</v>
      </c>
      <c r="D84" s="393">
        <f>'Air Basin Summary NOx BAU'!D84/365.25</f>
        <v>0</v>
      </c>
      <c r="E84" s="60">
        <f>'Air Basin Summary NOx BAU'!E84/365.25</f>
        <v>0</v>
      </c>
      <c r="F84" s="60">
        <f>'Air Basin Summary NOx BAU'!F84/365.25</f>
        <v>0</v>
      </c>
      <c r="G84" s="60">
        <f>'Air Basin Summary NOx BAU'!G84/365.25</f>
        <v>0</v>
      </c>
      <c r="H84" s="60">
        <f>'Air Basin Summary NOx BAU'!H84/365.25</f>
        <v>0</v>
      </c>
      <c r="I84" s="60">
        <f>'Air Basin Summary NOx BAU'!I84/365.25</f>
        <v>0</v>
      </c>
      <c r="J84" s="60">
        <f>'Air Basin Summary NOx BAU'!J84/365.25</f>
        <v>0</v>
      </c>
      <c r="K84" s="60">
        <f>'Air Basin Summary NOx BAU'!K84/365.25</f>
        <v>0</v>
      </c>
      <c r="L84" s="60">
        <f>'Air Basin Summary NOx BAU'!L84/365.25</f>
        <v>0</v>
      </c>
      <c r="M84" s="60">
        <f>'Air Basin Summary NOx BAU'!M84/365.25</f>
        <v>0</v>
      </c>
      <c r="N84" s="60">
        <f>'Air Basin Summary NOx BAU'!N84/365.25</f>
        <v>0</v>
      </c>
      <c r="O84" s="60">
        <f>'Air Basin Summary NOx BAU'!O84/365.25</f>
        <v>0</v>
      </c>
      <c r="P84" s="60">
        <f>'Air Basin Summary NOx BAU'!P84/365.25</f>
        <v>0</v>
      </c>
      <c r="Q84" s="60">
        <f>'Air Basin Summary NOx BAU'!Q84/365.25</f>
        <v>0</v>
      </c>
      <c r="R84" s="60">
        <f>'Air Basin Summary NOx BAU'!R84/365.25</f>
        <v>0</v>
      </c>
      <c r="S84" s="60">
        <f>'Air Basin Summary NOx BAU'!S84/365.25</f>
        <v>0</v>
      </c>
      <c r="T84" s="60">
        <f>'Air Basin Summary NOx BAU'!T84/365.25</f>
        <v>0</v>
      </c>
      <c r="U84" s="60">
        <f>'Air Basin Summary NOx BAU'!U84/365.25</f>
        <v>0</v>
      </c>
      <c r="V84" s="60">
        <f>'Air Basin Summary NOx BAU'!V84/365.25</f>
        <v>0</v>
      </c>
      <c r="W84" s="60">
        <f>'Air Basin Summary NOx BAU'!W84/365.25</f>
        <v>0</v>
      </c>
      <c r="X84" s="60">
        <f>'Air Basin Summary NOx BAU'!X84/365.25</f>
        <v>0</v>
      </c>
      <c r="Y84" s="60">
        <f>'Air Basin Summary NOx BAU'!Y84/365.25</f>
        <v>0</v>
      </c>
      <c r="Z84" s="60">
        <f>'Air Basin Summary NOx BAU'!Z84/365.25</f>
        <v>0</v>
      </c>
      <c r="AA84" s="60">
        <f>'Air Basin Summary NOx BAU'!AA84/365.25</f>
        <v>0</v>
      </c>
      <c r="AB84" s="61">
        <f>'Air Basin Summary NOx BAU'!AB84/365.25</f>
        <v>0</v>
      </c>
    </row>
    <row r="85" spans="1:29" ht="14.65" customHeight="1">
      <c r="A85" s="520"/>
      <c r="B85" s="2" t="str">
        <f>'BAU Comparison - Production'!B191</f>
        <v>North Coast</v>
      </c>
      <c r="C85" s="2" t="s">
        <v>18938</v>
      </c>
      <c r="D85" s="393">
        <f>'Air Basin Summary NOx BAU'!D85/365.25</f>
        <v>0</v>
      </c>
      <c r="E85" s="60">
        <f>'Air Basin Summary NOx BAU'!E85/365.25</f>
        <v>0</v>
      </c>
      <c r="F85" s="60">
        <f>'Air Basin Summary NOx BAU'!F85/365.25</f>
        <v>0</v>
      </c>
      <c r="G85" s="60">
        <f>'Air Basin Summary NOx BAU'!G85/365.25</f>
        <v>0</v>
      </c>
      <c r="H85" s="60">
        <f>'Air Basin Summary NOx BAU'!H85/365.25</f>
        <v>0</v>
      </c>
      <c r="I85" s="60">
        <f>'Air Basin Summary NOx BAU'!I85/365.25</f>
        <v>0</v>
      </c>
      <c r="J85" s="60">
        <f>'Air Basin Summary NOx BAU'!J85/365.25</f>
        <v>0</v>
      </c>
      <c r="K85" s="60">
        <f>'Air Basin Summary NOx BAU'!K85/365.25</f>
        <v>0</v>
      </c>
      <c r="L85" s="60">
        <f>'Air Basin Summary NOx BAU'!L85/365.25</f>
        <v>0</v>
      </c>
      <c r="M85" s="60">
        <f>'Air Basin Summary NOx BAU'!M85/365.25</f>
        <v>0</v>
      </c>
      <c r="N85" s="60">
        <f>'Air Basin Summary NOx BAU'!N85/365.25</f>
        <v>0</v>
      </c>
      <c r="O85" s="60">
        <f>'Air Basin Summary NOx BAU'!O85/365.25</f>
        <v>0</v>
      </c>
      <c r="P85" s="60">
        <f>'Air Basin Summary NOx BAU'!P85/365.25</f>
        <v>0</v>
      </c>
      <c r="Q85" s="60">
        <f>'Air Basin Summary NOx BAU'!Q85/365.25</f>
        <v>0</v>
      </c>
      <c r="R85" s="60">
        <f>'Air Basin Summary NOx BAU'!R85/365.25</f>
        <v>0</v>
      </c>
      <c r="S85" s="60">
        <f>'Air Basin Summary NOx BAU'!S85/365.25</f>
        <v>0</v>
      </c>
      <c r="T85" s="60">
        <f>'Air Basin Summary NOx BAU'!T85/365.25</f>
        <v>0</v>
      </c>
      <c r="U85" s="60">
        <f>'Air Basin Summary NOx BAU'!U85/365.25</f>
        <v>0</v>
      </c>
      <c r="V85" s="60">
        <f>'Air Basin Summary NOx BAU'!V85/365.25</f>
        <v>0</v>
      </c>
      <c r="W85" s="60">
        <f>'Air Basin Summary NOx BAU'!W85/365.25</f>
        <v>0</v>
      </c>
      <c r="X85" s="60">
        <f>'Air Basin Summary NOx BAU'!X85/365.25</f>
        <v>0</v>
      </c>
      <c r="Y85" s="60">
        <f>'Air Basin Summary NOx BAU'!Y85/365.25</f>
        <v>0</v>
      </c>
      <c r="Z85" s="60">
        <f>'Air Basin Summary NOx BAU'!Z85/365.25</f>
        <v>0</v>
      </c>
      <c r="AA85" s="60">
        <f>'Air Basin Summary NOx BAU'!AA85/365.25</f>
        <v>0</v>
      </c>
      <c r="AB85" s="61">
        <f>'Air Basin Summary NOx BAU'!AB85/365.25</f>
        <v>0</v>
      </c>
    </row>
    <row r="86" spans="1:29" ht="14.65" customHeight="1">
      <c r="A86" s="520"/>
      <c r="B86" s="2" t="str">
        <f>'BAU Comparison - Production'!B192</f>
        <v>Northeast Plateau</v>
      </c>
      <c r="C86" s="2" t="s">
        <v>18938</v>
      </c>
      <c r="D86" s="393">
        <f>'Air Basin Summary NOx BAU'!D86/365.25</f>
        <v>0</v>
      </c>
      <c r="E86" s="60">
        <f>'Air Basin Summary NOx BAU'!E86/365.25</f>
        <v>0</v>
      </c>
      <c r="F86" s="60">
        <f>'Air Basin Summary NOx BAU'!F86/365.25</f>
        <v>0</v>
      </c>
      <c r="G86" s="60">
        <f>'Air Basin Summary NOx BAU'!G86/365.25</f>
        <v>0</v>
      </c>
      <c r="H86" s="60">
        <f>'Air Basin Summary NOx BAU'!H86/365.25</f>
        <v>0</v>
      </c>
      <c r="I86" s="60">
        <f>'Air Basin Summary NOx BAU'!I86/365.25</f>
        <v>0</v>
      </c>
      <c r="J86" s="60">
        <f>'Air Basin Summary NOx BAU'!J86/365.25</f>
        <v>0</v>
      </c>
      <c r="K86" s="60">
        <f>'Air Basin Summary NOx BAU'!K86/365.25</f>
        <v>0</v>
      </c>
      <c r="L86" s="60">
        <f>'Air Basin Summary NOx BAU'!L86/365.25</f>
        <v>0</v>
      </c>
      <c r="M86" s="60">
        <f>'Air Basin Summary NOx BAU'!M86/365.25</f>
        <v>0</v>
      </c>
      <c r="N86" s="60">
        <f>'Air Basin Summary NOx BAU'!N86/365.25</f>
        <v>0</v>
      </c>
      <c r="O86" s="60">
        <f>'Air Basin Summary NOx BAU'!O86/365.25</f>
        <v>0</v>
      </c>
      <c r="P86" s="60">
        <f>'Air Basin Summary NOx BAU'!P86/365.25</f>
        <v>0</v>
      </c>
      <c r="Q86" s="60">
        <f>'Air Basin Summary NOx BAU'!Q86/365.25</f>
        <v>0</v>
      </c>
      <c r="R86" s="60">
        <f>'Air Basin Summary NOx BAU'!R86/365.25</f>
        <v>0</v>
      </c>
      <c r="S86" s="60">
        <f>'Air Basin Summary NOx BAU'!S86/365.25</f>
        <v>0</v>
      </c>
      <c r="T86" s="60">
        <f>'Air Basin Summary NOx BAU'!T86/365.25</f>
        <v>0</v>
      </c>
      <c r="U86" s="60">
        <f>'Air Basin Summary NOx BAU'!U86/365.25</f>
        <v>0</v>
      </c>
      <c r="V86" s="60">
        <f>'Air Basin Summary NOx BAU'!V86/365.25</f>
        <v>0</v>
      </c>
      <c r="W86" s="60">
        <f>'Air Basin Summary NOx BAU'!W86/365.25</f>
        <v>0</v>
      </c>
      <c r="X86" s="60">
        <f>'Air Basin Summary NOx BAU'!X86/365.25</f>
        <v>0</v>
      </c>
      <c r="Y86" s="60">
        <f>'Air Basin Summary NOx BAU'!Y86/365.25</f>
        <v>0</v>
      </c>
      <c r="Z86" s="60">
        <f>'Air Basin Summary NOx BAU'!Z86/365.25</f>
        <v>0</v>
      </c>
      <c r="AA86" s="60">
        <f>'Air Basin Summary NOx BAU'!AA86/365.25</f>
        <v>0</v>
      </c>
      <c r="AB86" s="61">
        <f>'Air Basin Summary NOx BAU'!AB86/365.25</f>
        <v>0</v>
      </c>
    </row>
    <row r="87" spans="1:29" ht="14.65" customHeight="1">
      <c r="A87" s="520"/>
      <c r="B87" s="2" t="str">
        <f>'BAU Comparison - Production'!B193</f>
        <v xml:space="preserve">Sacramento Valley </v>
      </c>
      <c r="C87" s="2" t="s">
        <v>18938</v>
      </c>
      <c r="D87" s="393">
        <f>'Air Basin Summary NOx BAU'!D87/365.25</f>
        <v>0</v>
      </c>
      <c r="E87" s="60">
        <f>'Air Basin Summary NOx BAU'!E87/365.25</f>
        <v>0</v>
      </c>
      <c r="F87" s="60">
        <f>'Air Basin Summary NOx BAU'!F87/365.25</f>
        <v>0</v>
      </c>
      <c r="G87" s="60">
        <f>'Air Basin Summary NOx BAU'!G87/365.25</f>
        <v>0</v>
      </c>
      <c r="H87" s="60">
        <f>'Air Basin Summary NOx BAU'!H87/365.25</f>
        <v>0</v>
      </c>
      <c r="I87" s="60">
        <f>'Air Basin Summary NOx BAU'!I87/365.25</f>
        <v>0</v>
      </c>
      <c r="J87" s="60">
        <f>'Air Basin Summary NOx BAU'!J87/365.25</f>
        <v>0</v>
      </c>
      <c r="K87" s="60">
        <f>'Air Basin Summary NOx BAU'!K87/365.25</f>
        <v>0</v>
      </c>
      <c r="L87" s="60">
        <f>'Air Basin Summary NOx BAU'!L87/365.25</f>
        <v>0</v>
      </c>
      <c r="M87" s="60">
        <f>'Air Basin Summary NOx BAU'!M87/365.25</f>
        <v>0</v>
      </c>
      <c r="N87" s="60">
        <f>'Air Basin Summary NOx BAU'!N87/365.25</f>
        <v>0</v>
      </c>
      <c r="O87" s="60">
        <f>'Air Basin Summary NOx BAU'!O87/365.25</f>
        <v>0</v>
      </c>
      <c r="P87" s="60">
        <f>'Air Basin Summary NOx BAU'!P87/365.25</f>
        <v>0</v>
      </c>
      <c r="Q87" s="60">
        <f>'Air Basin Summary NOx BAU'!Q87/365.25</f>
        <v>0</v>
      </c>
      <c r="R87" s="60">
        <f>'Air Basin Summary NOx BAU'!R87/365.25</f>
        <v>0</v>
      </c>
      <c r="S87" s="60">
        <f>'Air Basin Summary NOx BAU'!S87/365.25</f>
        <v>0</v>
      </c>
      <c r="T87" s="60">
        <f>'Air Basin Summary NOx BAU'!T87/365.25</f>
        <v>0</v>
      </c>
      <c r="U87" s="60">
        <f>'Air Basin Summary NOx BAU'!U87/365.25</f>
        <v>0</v>
      </c>
      <c r="V87" s="60">
        <f>'Air Basin Summary NOx BAU'!V87/365.25</f>
        <v>0</v>
      </c>
      <c r="W87" s="60">
        <f>'Air Basin Summary NOx BAU'!W87/365.25</f>
        <v>0</v>
      </c>
      <c r="X87" s="60">
        <f>'Air Basin Summary NOx BAU'!X87/365.25</f>
        <v>0</v>
      </c>
      <c r="Y87" s="60">
        <f>'Air Basin Summary NOx BAU'!Y87/365.25</f>
        <v>0</v>
      </c>
      <c r="Z87" s="60">
        <f>'Air Basin Summary NOx BAU'!Z87/365.25</f>
        <v>0</v>
      </c>
      <c r="AA87" s="60">
        <f>'Air Basin Summary NOx BAU'!AA87/365.25</f>
        <v>0</v>
      </c>
      <c r="AB87" s="61">
        <f>'Air Basin Summary NOx BAU'!AB87/365.25</f>
        <v>0</v>
      </c>
    </row>
    <row r="88" spans="1:29" ht="14.65" customHeight="1">
      <c r="A88" s="520"/>
      <c r="B88" s="2" t="str">
        <f>'BAU Comparison - Production'!B194</f>
        <v>Salton Sea</v>
      </c>
      <c r="C88" s="2" t="s">
        <v>18938</v>
      </c>
      <c r="D88" s="393">
        <f>'Air Basin Summary NOx BAU'!D88/365.25</f>
        <v>0</v>
      </c>
      <c r="E88" s="60">
        <f>'Air Basin Summary NOx BAU'!E88/365.25</f>
        <v>0</v>
      </c>
      <c r="F88" s="60">
        <f>'Air Basin Summary NOx BAU'!F88/365.25</f>
        <v>0</v>
      </c>
      <c r="G88" s="60">
        <f>'Air Basin Summary NOx BAU'!G88/365.25</f>
        <v>0</v>
      </c>
      <c r="H88" s="60">
        <f>'Air Basin Summary NOx BAU'!H88/365.25</f>
        <v>0</v>
      </c>
      <c r="I88" s="60">
        <f>'Air Basin Summary NOx BAU'!I88/365.25</f>
        <v>0</v>
      </c>
      <c r="J88" s="60">
        <f>'Air Basin Summary NOx BAU'!J88/365.25</f>
        <v>0</v>
      </c>
      <c r="K88" s="60">
        <f>'Air Basin Summary NOx BAU'!K88/365.25</f>
        <v>0</v>
      </c>
      <c r="L88" s="60">
        <f>'Air Basin Summary NOx BAU'!L88/365.25</f>
        <v>0</v>
      </c>
      <c r="M88" s="60">
        <f>'Air Basin Summary NOx BAU'!M88/365.25</f>
        <v>0</v>
      </c>
      <c r="N88" s="60">
        <f>'Air Basin Summary NOx BAU'!N88/365.25</f>
        <v>0</v>
      </c>
      <c r="O88" s="60">
        <f>'Air Basin Summary NOx BAU'!O88/365.25</f>
        <v>0</v>
      </c>
      <c r="P88" s="60">
        <f>'Air Basin Summary NOx BAU'!P88/365.25</f>
        <v>0</v>
      </c>
      <c r="Q88" s="60">
        <f>'Air Basin Summary NOx BAU'!Q88/365.25</f>
        <v>0</v>
      </c>
      <c r="R88" s="60">
        <f>'Air Basin Summary NOx BAU'!R88/365.25</f>
        <v>0</v>
      </c>
      <c r="S88" s="60">
        <f>'Air Basin Summary NOx BAU'!S88/365.25</f>
        <v>0</v>
      </c>
      <c r="T88" s="60">
        <f>'Air Basin Summary NOx BAU'!T88/365.25</f>
        <v>0</v>
      </c>
      <c r="U88" s="60">
        <f>'Air Basin Summary NOx BAU'!U88/365.25</f>
        <v>0</v>
      </c>
      <c r="V88" s="60">
        <f>'Air Basin Summary NOx BAU'!V88/365.25</f>
        <v>0</v>
      </c>
      <c r="W88" s="60">
        <f>'Air Basin Summary NOx BAU'!W88/365.25</f>
        <v>0</v>
      </c>
      <c r="X88" s="60">
        <f>'Air Basin Summary NOx BAU'!X88/365.25</f>
        <v>0</v>
      </c>
      <c r="Y88" s="60">
        <f>'Air Basin Summary NOx BAU'!Y88/365.25</f>
        <v>0</v>
      </c>
      <c r="Z88" s="60">
        <f>'Air Basin Summary NOx BAU'!Z88/365.25</f>
        <v>0</v>
      </c>
      <c r="AA88" s="60">
        <f>'Air Basin Summary NOx BAU'!AA88/365.25</f>
        <v>0</v>
      </c>
      <c r="AB88" s="61">
        <f>'Air Basin Summary NOx BAU'!AB88/365.25</f>
        <v>0</v>
      </c>
    </row>
    <row r="89" spans="1:29" ht="14.65" customHeight="1">
      <c r="A89" s="520"/>
      <c r="B89" s="2" t="str">
        <f>'BAU Comparison - Production'!B195</f>
        <v xml:space="preserve">San Diego </v>
      </c>
      <c r="C89" s="2" t="s">
        <v>18938</v>
      </c>
      <c r="D89" s="393">
        <f>'Air Basin Summary NOx BAU'!D89/365.25</f>
        <v>0</v>
      </c>
      <c r="E89" s="60">
        <f>'Air Basin Summary NOx BAU'!E89/365.25</f>
        <v>0</v>
      </c>
      <c r="F89" s="60">
        <f>'Air Basin Summary NOx BAU'!F89/365.25</f>
        <v>0</v>
      </c>
      <c r="G89" s="60">
        <f>'Air Basin Summary NOx BAU'!G89/365.25</f>
        <v>0</v>
      </c>
      <c r="H89" s="60">
        <f>'Air Basin Summary NOx BAU'!H89/365.25</f>
        <v>0</v>
      </c>
      <c r="I89" s="60">
        <f>'Air Basin Summary NOx BAU'!I89/365.25</f>
        <v>0</v>
      </c>
      <c r="J89" s="60">
        <f>'Air Basin Summary NOx BAU'!J89/365.25</f>
        <v>0</v>
      </c>
      <c r="K89" s="60">
        <f>'Air Basin Summary NOx BAU'!K89/365.25</f>
        <v>0</v>
      </c>
      <c r="L89" s="60">
        <f>'Air Basin Summary NOx BAU'!L89/365.25</f>
        <v>0</v>
      </c>
      <c r="M89" s="60">
        <f>'Air Basin Summary NOx BAU'!M89/365.25</f>
        <v>0</v>
      </c>
      <c r="N89" s="60">
        <f>'Air Basin Summary NOx BAU'!N89/365.25</f>
        <v>0</v>
      </c>
      <c r="O89" s="60">
        <f>'Air Basin Summary NOx BAU'!O89/365.25</f>
        <v>0</v>
      </c>
      <c r="P89" s="60">
        <f>'Air Basin Summary NOx BAU'!P89/365.25</f>
        <v>0</v>
      </c>
      <c r="Q89" s="60">
        <f>'Air Basin Summary NOx BAU'!Q89/365.25</f>
        <v>0</v>
      </c>
      <c r="R89" s="60">
        <f>'Air Basin Summary NOx BAU'!R89/365.25</f>
        <v>0</v>
      </c>
      <c r="S89" s="60">
        <f>'Air Basin Summary NOx BAU'!S89/365.25</f>
        <v>0</v>
      </c>
      <c r="T89" s="60">
        <f>'Air Basin Summary NOx BAU'!T89/365.25</f>
        <v>0</v>
      </c>
      <c r="U89" s="60">
        <f>'Air Basin Summary NOx BAU'!U89/365.25</f>
        <v>0</v>
      </c>
      <c r="V89" s="60">
        <f>'Air Basin Summary NOx BAU'!V89/365.25</f>
        <v>0</v>
      </c>
      <c r="W89" s="60">
        <f>'Air Basin Summary NOx BAU'!W89/365.25</f>
        <v>0</v>
      </c>
      <c r="X89" s="60">
        <f>'Air Basin Summary NOx BAU'!X89/365.25</f>
        <v>0</v>
      </c>
      <c r="Y89" s="60">
        <f>'Air Basin Summary NOx BAU'!Y89/365.25</f>
        <v>0</v>
      </c>
      <c r="Z89" s="60">
        <f>'Air Basin Summary NOx BAU'!Z89/365.25</f>
        <v>0</v>
      </c>
      <c r="AA89" s="60">
        <f>'Air Basin Summary NOx BAU'!AA89/365.25</f>
        <v>0</v>
      </c>
      <c r="AB89" s="61">
        <f>'Air Basin Summary NOx BAU'!AB89/365.25</f>
        <v>0</v>
      </c>
    </row>
    <row r="90" spans="1:29" ht="14.65" customHeight="1">
      <c r="A90" s="520"/>
      <c r="B90" s="2" t="str">
        <f>'BAU Comparison - Production'!B196</f>
        <v>San Franscisco Bay Area</v>
      </c>
      <c r="C90" s="2" t="s">
        <v>18938</v>
      </c>
      <c r="D90" s="393">
        <f>'Air Basin Summary NOx BAU'!D90/365.25</f>
        <v>0</v>
      </c>
      <c r="E90" s="60">
        <f>'Air Basin Summary NOx BAU'!E90/365.25</f>
        <v>0</v>
      </c>
      <c r="F90" s="60">
        <f>'Air Basin Summary NOx BAU'!F90/365.25</f>
        <v>0</v>
      </c>
      <c r="G90" s="60">
        <f>'Air Basin Summary NOx BAU'!G90/365.25</f>
        <v>0</v>
      </c>
      <c r="H90" s="60">
        <f>'Air Basin Summary NOx BAU'!H90/365.25</f>
        <v>6.9180632043084245E-4</v>
      </c>
      <c r="I90" s="60">
        <f>'Air Basin Summary NOx BAU'!I90/365.25</f>
        <v>6.0859622893454828E-3</v>
      </c>
      <c r="J90" s="60">
        <f>'Air Basin Summary NOx BAU'!J90/365.25</f>
        <v>9.465856917366686E-3</v>
      </c>
      <c r="K90" s="60">
        <f>'Air Basin Summary NOx BAU'!K90/365.25</f>
        <v>1.1624329889427481E-2</v>
      </c>
      <c r="L90" s="60">
        <f>'Air Basin Summary NOx BAU'!L90/365.25</f>
        <v>1.3028301821195408E-2</v>
      </c>
      <c r="M90" s="60">
        <f>'Air Basin Summary NOx BAU'!M90/365.25</f>
        <v>1.3807451576594987E-2</v>
      </c>
      <c r="N90" s="60">
        <f>'Air Basin Summary NOx BAU'!N90/365.25</f>
        <v>1.4271830882238268E-2</v>
      </c>
      <c r="O90" s="60">
        <f>'Air Basin Summary NOx BAU'!O90/365.25</f>
        <v>1.456303945007555E-2</v>
      </c>
      <c r="P90" s="60">
        <f>'Air Basin Summary NOx BAU'!P90/365.25</f>
        <v>1.4986068574982568E-2</v>
      </c>
      <c r="Q90" s="60">
        <f>'Air Basin Summary NOx BAU'!Q90/365.25</f>
        <v>1.5067261998559119E-2</v>
      </c>
      <c r="R90" s="60">
        <f>'Air Basin Summary NOx BAU'!R90/365.25</f>
        <v>1.5067226033208288E-2</v>
      </c>
      <c r="S90" s="60">
        <f>'Air Basin Summary NOx BAU'!S90/365.25</f>
        <v>1.5067191244831928E-2</v>
      </c>
      <c r="T90" s="60">
        <f>'Air Basin Summary NOx BAU'!T90/365.25</f>
        <v>1.5067157683490241E-2</v>
      </c>
      <c r="U90" s="60">
        <f>'Air Basin Summary NOx BAU'!U90/365.25</f>
        <v>1.5067104562531661E-2</v>
      </c>
      <c r="V90" s="60">
        <f>'Air Basin Summary NOx BAU'!V90/365.25</f>
        <v>1.5067071016598909E-2</v>
      </c>
      <c r="W90" s="60">
        <f>'Air Basin Summary NOx BAU'!W90/365.25</f>
        <v>1.5067057145582145E-2</v>
      </c>
      <c r="X90" s="60">
        <f>'Air Basin Summary NOx BAU'!X90/365.25</f>
        <v>1.5067062002938902E-2</v>
      </c>
      <c r="Y90" s="60">
        <f>'Air Basin Summary NOx BAU'!Y90/365.25</f>
        <v>1.5067048136946313E-2</v>
      </c>
      <c r="Z90" s="60">
        <f>'Air Basin Summary NOx BAU'!Z90/365.25</f>
        <v>1.5067053004312419E-2</v>
      </c>
      <c r="AA90" s="60">
        <f>'Air Basin Summary NOx BAU'!AA90/365.25</f>
        <v>1.5067039138336397E-2</v>
      </c>
      <c r="AB90" s="61">
        <f>'Air Basin Summary NOx BAU'!AB90/365.25</f>
        <v>1.5067025272385888E-2</v>
      </c>
    </row>
    <row r="91" spans="1:29" ht="14.65" customHeight="1">
      <c r="A91" s="520"/>
      <c r="B91" s="2" t="str">
        <f>'BAU Comparison - Production'!B197</f>
        <v xml:space="preserve">San Joaquin Valley </v>
      </c>
      <c r="C91" s="2" t="s">
        <v>18938</v>
      </c>
      <c r="D91" s="393">
        <f>'Air Basin Summary NOx BAU'!D91/365.25</f>
        <v>0</v>
      </c>
      <c r="E91" s="60">
        <f>'Air Basin Summary NOx BAU'!E91/365.25</f>
        <v>0</v>
      </c>
      <c r="F91" s="60">
        <f>'Air Basin Summary NOx BAU'!F91/365.25</f>
        <v>0</v>
      </c>
      <c r="G91" s="60">
        <f>'Air Basin Summary NOx BAU'!G91/365.25</f>
        <v>0</v>
      </c>
      <c r="H91" s="60">
        <f>'Air Basin Summary NOx BAU'!H91/365.25</f>
        <v>1.5051746971481003E-5</v>
      </c>
      <c r="I91" s="60">
        <f>'Air Basin Summary NOx BAU'!I91/365.25</f>
        <v>1.2767225066114053E-4</v>
      </c>
      <c r="J91" s="60">
        <f>'Air Basin Summary NOx BAU'!J91/365.25</f>
        <v>1.9177471162172256E-4</v>
      </c>
      <c r="K91" s="60">
        <f>'Air Basin Summary NOx BAU'!K91/365.25</f>
        <v>2.2692620971294109E-4</v>
      </c>
      <c r="L91" s="60">
        <f>'Air Basin Summary NOx BAU'!L91/365.25</f>
        <v>2.4453762706082099E-4</v>
      </c>
      <c r="M91" s="60">
        <f>'Air Basin Summary NOx BAU'!M91/365.25</f>
        <v>2.517383797157417E-4</v>
      </c>
      <c r="N91" s="60">
        <f>'Air Basin Summary NOx BAU'!N91/365.25</f>
        <v>2.6020497424462068E-4</v>
      </c>
      <c r="O91" s="60">
        <f>'Air Basin Summary NOx BAU'!O91/365.25</f>
        <v>2.655143083110869E-4</v>
      </c>
      <c r="P91" s="60">
        <f>'Air Basin Summary NOx BAU'!P91/365.25</f>
        <v>2.7322700358189104E-4</v>
      </c>
      <c r="Q91" s="60">
        <f>'Air Basin Summary NOx BAU'!Q91/365.25</f>
        <v>2.7470732750563243E-4</v>
      </c>
      <c r="R91" s="60">
        <f>'Air Basin Summary NOx BAU'!R91/365.25</f>
        <v>2.7470667178295299E-4</v>
      </c>
      <c r="S91" s="60">
        <f>'Air Basin Summary NOx BAU'!S91/365.25</f>
        <v>2.7470603751895078E-4</v>
      </c>
      <c r="T91" s="60">
        <f>'Air Basin Summary NOx BAU'!T91/365.25</f>
        <v>2.747054256263267E-4</v>
      </c>
      <c r="U91" s="60">
        <f>'Air Basin Summary NOx BAU'!U91/365.25</f>
        <v>2.7470445712146049E-4</v>
      </c>
      <c r="V91" s="60">
        <f>'Air Basin Summary NOx BAU'!V91/365.25</f>
        <v>2.7470384550977309E-4</v>
      </c>
      <c r="W91" s="60">
        <f>'Air Basin Summary NOx BAU'!W91/365.25</f>
        <v>2.7470359261246865E-4</v>
      </c>
      <c r="X91" s="60">
        <f>'Air Basin Summary NOx BAU'!X91/365.25</f>
        <v>2.7470368117212153E-4</v>
      </c>
      <c r="Y91" s="60">
        <f>'Air Basin Summary NOx BAU'!Y91/365.25</f>
        <v>2.7470342836641824E-4</v>
      </c>
      <c r="Z91" s="60">
        <f>'Air Basin Summary NOx BAU'!Z91/365.25</f>
        <v>2.747035171085623E-4</v>
      </c>
      <c r="AA91" s="60">
        <f>'Air Basin Summary NOx BAU'!AA91/365.25</f>
        <v>2.747032643031609E-4</v>
      </c>
      <c r="AB91" s="61">
        <f>'Air Basin Summary NOx BAU'!AB91/365.25</f>
        <v>2.7470301149822479E-4</v>
      </c>
    </row>
    <row r="92" spans="1:29" ht="14.65" customHeight="1">
      <c r="A92" s="520"/>
      <c r="B92" s="2" t="str">
        <f>'BAU Comparison - Production'!B198</f>
        <v>South Central Coast</v>
      </c>
      <c r="C92" s="2" t="s">
        <v>18938</v>
      </c>
      <c r="D92" s="393">
        <f>'Air Basin Summary NOx BAU'!D92/365.25</f>
        <v>0</v>
      </c>
      <c r="E92" s="60">
        <f>'Air Basin Summary NOx BAU'!E92/365.25</f>
        <v>0</v>
      </c>
      <c r="F92" s="60">
        <f>'Air Basin Summary NOx BAU'!F92/365.25</f>
        <v>0</v>
      </c>
      <c r="G92" s="60">
        <f>'Air Basin Summary NOx BAU'!G92/365.25</f>
        <v>0</v>
      </c>
      <c r="H92" s="60">
        <f>'Air Basin Summary NOx BAU'!H92/365.25</f>
        <v>6.7922816970618236E-5</v>
      </c>
      <c r="I92" s="60">
        <f>'Air Basin Summary NOx BAU'!I92/365.25</f>
        <v>5.913482152336948E-4</v>
      </c>
      <c r="J92" s="60">
        <f>'Air Basin Summary NOx BAU'!J92/365.25</f>
        <v>9.1010101453686799E-4</v>
      </c>
      <c r="K92" s="60">
        <f>'Air Basin Summary NOx BAU'!K92/365.25</f>
        <v>1.1068621309598243E-3</v>
      </c>
      <c r="L92" s="60">
        <f>'Air Basin Summary NOx BAU'!L92/365.25</f>
        <v>1.2273209986672178E-3</v>
      </c>
      <c r="M92" s="60">
        <f>'Air Basin Summary NOx BAU'!M92/365.25</f>
        <v>1.3007201929008522E-3</v>
      </c>
      <c r="N92" s="60">
        <f>'Air Basin Summary NOx BAU'!N92/365.25</f>
        <v>1.3444666827338765E-3</v>
      </c>
      <c r="O92" s="60">
        <f>'Air Basin Summary NOx BAU'!O92/365.25</f>
        <v>1.3718997584488593E-3</v>
      </c>
      <c r="P92" s="60">
        <f>'Air Basin Summary NOx BAU'!P92/365.25</f>
        <v>1.4117508867978771E-3</v>
      </c>
      <c r="Q92" s="60">
        <f>'Air Basin Summary NOx BAU'!Q92/365.25</f>
        <v>1.4193996498582373E-3</v>
      </c>
      <c r="R92" s="60">
        <f>'Air Basin Summary NOx BAU'!R92/365.25</f>
        <v>1.4193962617704498E-3</v>
      </c>
      <c r="S92" s="60">
        <f>'Air Basin Summary NOx BAU'!S92/365.25</f>
        <v>1.4193929845586224E-3</v>
      </c>
      <c r="T92" s="60">
        <f>'Air Basin Summary NOx BAU'!T92/365.25</f>
        <v>1.4193898229386383E-3</v>
      </c>
      <c r="U92" s="60">
        <f>'Air Basin Summary NOx BAU'!U92/365.25</f>
        <v>1.41938481872022E-3</v>
      </c>
      <c r="V92" s="60">
        <f>'Air Basin Summary NOx BAU'!V92/365.25</f>
        <v>1.4193816585518226E-3</v>
      </c>
      <c r="W92" s="60">
        <f>'Air Basin Summary NOx BAU'!W92/365.25</f>
        <v>1.4193803518435209E-3</v>
      </c>
      <c r="X92" s="60">
        <f>'Air Basin Summary NOx BAU'!X92/365.25</f>
        <v>1.4193808094270209E-3</v>
      </c>
      <c r="Y92" s="60">
        <f>'Air Basin Summary NOx BAU'!Y92/365.25</f>
        <v>1.4193795031920175E-3</v>
      </c>
      <c r="Z92" s="60">
        <f>'Air Basin Summary NOx BAU'!Z92/365.25</f>
        <v>1.4193799617184405E-3</v>
      </c>
      <c r="AA92" s="60">
        <f>'Air Basin Summary NOx BAU'!AA92/365.25</f>
        <v>1.4193786554849977E-3</v>
      </c>
      <c r="AB92" s="61">
        <f>'Air Basin Summary NOx BAU'!AB92/365.25</f>
        <v>1.4193773492539587E-3</v>
      </c>
    </row>
    <row r="93" spans="1:29" ht="14.65" customHeight="1">
      <c r="A93" s="520"/>
      <c r="B93" s="2" t="str">
        <f>'BAU Comparison - Production'!B199</f>
        <v>South Coast</v>
      </c>
      <c r="C93" s="2" t="s">
        <v>18938</v>
      </c>
      <c r="D93" s="394">
        <f>'Air Basin Summary NOx BAU'!D93/365.25</f>
        <v>0</v>
      </c>
      <c r="E93" s="64">
        <f>'Air Basin Summary NOx BAU'!E93/365.25</f>
        <v>0</v>
      </c>
      <c r="F93" s="64">
        <f>'Air Basin Summary NOx BAU'!F93/365.25</f>
        <v>0</v>
      </c>
      <c r="G93" s="64">
        <f>'Air Basin Summary NOx BAU'!G93/365.25</f>
        <v>0</v>
      </c>
      <c r="H93" s="64">
        <f>'Air Basin Summary NOx BAU'!H93/365.25</f>
        <v>1.7208295442334215E-3</v>
      </c>
      <c r="I93" s="64">
        <f>'Air Basin Summary NOx BAU'!I93/365.25</f>
        <v>1.4733211581306124E-2</v>
      </c>
      <c r="J93" s="64">
        <f>'Air Basin Summary NOx BAU'!J93/365.25</f>
        <v>2.2396012037785226E-2</v>
      </c>
      <c r="K93" s="64">
        <f>'Air Basin Summary NOx BAU'!K93/365.25</f>
        <v>2.6860956658068681E-2</v>
      </c>
      <c r="L93" s="64">
        <f>'Air Basin Summary NOx BAU'!L93/365.25</f>
        <v>2.9432112565360703E-2</v>
      </c>
      <c r="M93" s="64">
        <f>'Air Basin Summary NOx BAU'!M93/365.25</f>
        <v>3.1040281737541572E-2</v>
      </c>
      <c r="N93" s="64">
        <f>'Air Basin Summary NOx BAU'!N93/365.25</f>
        <v>3.2004440672217797E-2</v>
      </c>
      <c r="O93" s="64">
        <f>'Air Basin Summary NOx BAU'!O93/365.25</f>
        <v>3.2568940489407887E-2</v>
      </c>
      <c r="P93" s="64">
        <f>'Air Basin Summary NOx BAU'!P93/365.25</f>
        <v>3.3431023733094402E-2</v>
      </c>
      <c r="Q93" s="64">
        <f>'Air Basin Summary NOx BAU'!Q93/365.25</f>
        <v>3.3340701222533735E-2</v>
      </c>
      <c r="R93" s="64">
        <f>'Air Basin Summary NOx BAU'!R93/365.25</f>
        <v>3.3340741231695045E-2</v>
      </c>
      <c r="S93" s="64">
        <f>'Air Basin Summary NOx BAU'!S93/365.25</f>
        <v>3.3340779931547222E-2</v>
      </c>
      <c r="T93" s="64">
        <f>'Air Basin Summary NOx BAU'!T93/365.25</f>
        <v>3.3340817266401521E-2</v>
      </c>
      <c r="U93" s="64">
        <f>'Air Basin Summary NOx BAU'!U93/365.25</f>
        <v>3.3340876360083378E-2</v>
      </c>
      <c r="V93" s="64">
        <f>'Air Basin Summary NOx BAU'!V93/365.25</f>
        <v>3.3340913677796215E-2</v>
      </c>
      <c r="W93" s="64">
        <f>'Air Basin Summary NOx BAU'!W93/365.25</f>
        <v>3.3340929108418578E-2</v>
      </c>
      <c r="X93" s="64">
        <f>'Air Basin Summary NOx BAU'!X93/365.25</f>
        <v>3.334092370491868E-2</v>
      </c>
      <c r="Y93" s="64">
        <f>'Air Basin Summary NOx BAU'!Y93/365.25</f>
        <v>3.3340939129951973E-2</v>
      </c>
      <c r="Z93" s="64">
        <f>'Air Basin Summary NOx BAU'!Z93/365.25</f>
        <v>3.3340933715317309E-2</v>
      </c>
      <c r="AA93" s="64">
        <f>'Air Basin Summary NOx BAU'!AA93/365.25</f>
        <v>3.3340949140332178E-2</v>
      </c>
      <c r="AB93" s="65">
        <f>'Air Basin Summary NOx BAU'!AB93/365.25</f>
        <v>3.3340964565318654E-2</v>
      </c>
    </row>
    <row r="94" spans="1:29" ht="14.65" customHeight="1">
      <c r="A94" s="520"/>
      <c r="B94" s="2" t="str">
        <f>'BAU Comparison - Production'!B200</f>
        <v>STATEWIDE</v>
      </c>
      <c r="C94" s="72" t="s">
        <v>18938</v>
      </c>
      <c r="D94" s="175">
        <f>'Air Basin Summary NOx BAU'!D94/365.25</f>
        <v>0</v>
      </c>
      <c r="E94" s="175">
        <f>'Air Basin Summary NOx BAU'!E94/365.25</f>
        <v>0</v>
      </c>
      <c r="F94" s="175">
        <f>'Air Basin Summary NOx BAU'!F94/365.25</f>
        <v>0</v>
      </c>
      <c r="G94" s="175">
        <f>'Air Basin Summary NOx BAU'!G94/365.25</f>
        <v>0</v>
      </c>
      <c r="H94" s="175">
        <f>'Air Basin Summary NOx BAU'!H94/365.25</f>
        <v>2.4956104286063632E-3</v>
      </c>
      <c r="I94" s="175">
        <f>'Air Basin Summary NOx BAU'!I94/365.25</f>
        <v>2.153819433654644E-2</v>
      </c>
      <c r="J94" s="175">
        <f>'Air Basin Summary NOx BAU'!J94/365.25</f>
        <v>3.2963744681310497E-2</v>
      </c>
      <c r="K94" s="175">
        <f>'Air Basin Summary NOx BAU'!K94/365.25</f>
        <v>3.9819074888168923E-2</v>
      </c>
      <c r="L94" s="175">
        <f>'Air Basin Summary NOx BAU'!L94/365.25</f>
        <v>4.3932273012284147E-2</v>
      </c>
      <c r="M94" s="175">
        <f>'Air Basin Summary NOx BAU'!M94/365.25</f>
        <v>4.640019188675315E-2</v>
      </c>
      <c r="N94" s="175">
        <f>'Air Basin Summary NOx BAU'!N94/365.25</f>
        <v>4.7880943211434566E-2</v>
      </c>
      <c r="O94" s="175">
        <f>'Air Basin Summary NOx BAU'!O94/365.25</f>
        <v>4.8769394006243381E-2</v>
      </c>
      <c r="P94" s="175">
        <f>'Air Basin Summary NOx BAU'!P94/365.25</f>
        <v>5.0102070198456736E-2</v>
      </c>
      <c r="Q94" s="175">
        <f>'Air Basin Summary NOx BAU'!Q94/365.25</f>
        <v>5.0102070198456722E-2</v>
      </c>
      <c r="R94" s="175">
        <f>'Air Basin Summary NOx BAU'!R94/365.25</f>
        <v>5.0102070198456736E-2</v>
      </c>
      <c r="S94" s="175">
        <f>'Air Basin Summary NOx BAU'!S94/365.25</f>
        <v>5.0102070198456722E-2</v>
      </c>
      <c r="T94" s="175">
        <f>'Air Basin Summary NOx BAU'!T94/365.25</f>
        <v>5.0102070198456722E-2</v>
      </c>
      <c r="U94" s="175">
        <f>'Air Basin Summary NOx BAU'!U94/365.25</f>
        <v>5.0102070198456715E-2</v>
      </c>
      <c r="V94" s="175">
        <f>'Air Basin Summary NOx BAU'!V94/365.25</f>
        <v>5.0102070198456722E-2</v>
      </c>
      <c r="W94" s="175">
        <f>'Air Basin Summary NOx BAU'!W94/365.25</f>
        <v>5.0102070198456715E-2</v>
      </c>
      <c r="X94" s="175">
        <f>'Air Basin Summary NOx BAU'!X94/365.25</f>
        <v>5.0102070198456722E-2</v>
      </c>
      <c r="Y94" s="175">
        <f>'Air Basin Summary NOx BAU'!Y94/365.25</f>
        <v>5.0102070198456722E-2</v>
      </c>
      <c r="Z94" s="175">
        <f>'Air Basin Summary NOx BAU'!Z94/365.25</f>
        <v>5.0102070198456722E-2</v>
      </c>
      <c r="AA94" s="175">
        <f>'Air Basin Summary NOx BAU'!AA94/365.25</f>
        <v>5.0102070198456736E-2</v>
      </c>
      <c r="AB94" s="175">
        <f>'Air Basin Summary NOx BAU'!AB94/365.25</f>
        <v>5.0102070198456722E-2</v>
      </c>
      <c r="AC94" s="66"/>
    </row>
    <row r="95" spans="1:29" ht="14.65" customHeight="1">
      <c r="A95" s="520"/>
    </row>
    <row r="96" spans="1:29" ht="15.75" customHeight="1">
      <c r="A96" s="520"/>
      <c r="B96" s="86"/>
      <c r="C96" s="86"/>
      <c r="D96" s="519" t="s">
        <v>18932</v>
      </c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</row>
    <row r="97" spans="1:28" ht="15" customHeight="1">
      <c r="A97" s="520"/>
      <c r="B97" s="88" t="s">
        <v>18814</v>
      </c>
      <c r="C97" s="90" t="str">
        <f>'BAU Comparison - Production'!C184</f>
        <v>Units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20"/>
      <c r="B98" s="2" t="str">
        <f>'Air Basin Summary NOx BAU'!B98</f>
        <v>Great Basin Valleys</v>
      </c>
      <c r="C98" s="2" t="s">
        <v>18938</v>
      </c>
      <c r="D98" s="104">
        <f>'Air Basin Summary NOx BAU'!D98/365.25</f>
        <v>0</v>
      </c>
      <c r="E98" s="79">
        <f>'Air Basin Summary NOx BAU'!E98/365.25</f>
        <v>0</v>
      </c>
      <c r="F98" s="79">
        <f>'Air Basin Summary NOx BAU'!F98/365.25</f>
        <v>0</v>
      </c>
      <c r="G98" s="79">
        <f>'Air Basin Summary NOx BAU'!G98/365.25</f>
        <v>0</v>
      </c>
      <c r="H98" s="79">
        <f>'Air Basin Summary NOx BAU'!H98/365.25</f>
        <v>0</v>
      </c>
      <c r="I98" s="79">
        <f>'Air Basin Summary NOx BAU'!I98/365.25</f>
        <v>0</v>
      </c>
      <c r="J98" s="79">
        <f>'Air Basin Summary NOx BAU'!J98/365.25</f>
        <v>0</v>
      </c>
      <c r="K98" s="79">
        <f>'Air Basin Summary NOx BAU'!K98/365.25</f>
        <v>0</v>
      </c>
      <c r="L98" s="79">
        <f>'Air Basin Summary NOx BAU'!L98/365.25</f>
        <v>0</v>
      </c>
      <c r="M98" s="79">
        <f>'Air Basin Summary NOx BAU'!M98/365.25</f>
        <v>0</v>
      </c>
      <c r="N98" s="79">
        <f>'Air Basin Summary NOx BAU'!N98/365.25</f>
        <v>0</v>
      </c>
      <c r="O98" s="79">
        <f>'Air Basin Summary NOx BAU'!O98/365.25</f>
        <v>0</v>
      </c>
      <c r="P98" s="79">
        <f>'Air Basin Summary NOx BAU'!P98/365.25</f>
        <v>0</v>
      </c>
      <c r="Q98" s="79">
        <f>'Air Basin Summary NOx BAU'!Q98/365.25</f>
        <v>0</v>
      </c>
      <c r="R98" s="79">
        <f>'Air Basin Summary NOx BAU'!R98/365.25</f>
        <v>0</v>
      </c>
      <c r="S98" s="79">
        <f>'Air Basin Summary NOx BAU'!S98/365.25</f>
        <v>0</v>
      </c>
      <c r="T98" s="79">
        <f>'Air Basin Summary NOx BAU'!T98/365.25</f>
        <v>0</v>
      </c>
      <c r="U98" s="79">
        <f>'Air Basin Summary NOx BAU'!U98/365.25</f>
        <v>0</v>
      </c>
      <c r="V98" s="79">
        <f>'Air Basin Summary NOx BAU'!V98/365.25</f>
        <v>0</v>
      </c>
      <c r="W98" s="79">
        <f>'Air Basin Summary NOx BAU'!W98/365.25</f>
        <v>0</v>
      </c>
      <c r="X98" s="79">
        <f>'Air Basin Summary NOx BAU'!X98/365.25</f>
        <v>0</v>
      </c>
      <c r="Y98" s="79">
        <f>'Air Basin Summary NOx BAU'!Y98/365.25</f>
        <v>0</v>
      </c>
      <c r="Z98" s="79">
        <f>'Air Basin Summary NOx BAU'!Z98/365.25</f>
        <v>0</v>
      </c>
      <c r="AA98" s="79">
        <f>'Air Basin Summary NOx BAU'!AA98/365.25</f>
        <v>0</v>
      </c>
      <c r="AB98" s="80">
        <f>'Air Basin Summary NOx BAU'!AB98/365.25</f>
        <v>0</v>
      </c>
    </row>
    <row r="99" spans="1:28" ht="15" customHeight="1">
      <c r="A99" s="520"/>
      <c r="B99" s="2" t="str">
        <f>'Air Basin Summary NOx BAU'!B99</f>
        <v xml:space="preserve">Lake County </v>
      </c>
      <c r="C99" s="2" t="s">
        <v>18938</v>
      </c>
      <c r="D99" s="393">
        <f>'Air Basin Summary NOx BAU'!D99/365.25</f>
        <v>0</v>
      </c>
      <c r="E99" s="60">
        <f>'Air Basin Summary NOx BAU'!E99/365.25</f>
        <v>0</v>
      </c>
      <c r="F99" s="60">
        <f>'Air Basin Summary NOx BAU'!F99/365.25</f>
        <v>0</v>
      </c>
      <c r="G99" s="60">
        <f>'Air Basin Summary NOx BAU'!G99/365.25</f>
        <v>0</v>
      </c>
      <c r="H99" s="60">
        <f>'Air Basin Summary NOx BAU'!H99/365.25</f>
        <v>0</v>
      </c>
      <c r="I99" s="60">
        <f>'Air Basin Summary NOx BAU'!I99/365.25</f>
        <v>0</v>
      </c>
      <c r="J99" s="60">
        <f>'Air Basin Summary NOx BAU'!J99/365.25</f>
        <v>0</v>
      </c>
      <c r="K99" s="60">
        <f>'Air Basin Summary NOx BAU'!K99/365.25</f>
        <v>0</v>
      </c>
      <c r="L99" s="60">
        <f>'Air Basin Summary NOx BAU'!L99/365.25</f>
        <v>0</v>
      </c>
      <c r="M99" s="60">
        <f>'Air Basin Summary NOx BAU'!M99/365.25</f>
        <v>0</v>
      </c>
      <c r="N99" s="60">
        <f>'Air Basin Summary NOx BAU'!N99/365.25</f>
        <v>0</v>
      </c>
      <c r="O99" s="60">
        <f>'Air Basin Summary NOx BAU'!O99/365.25</f>
        <v>0</v>
      </c>
      <c r="P99" s="60">
        <f>'Air Basin Summary NOx BAU'!P99/365.25</f>
        <v>0</v>
      </c>
      <c r="Q99" s="60">
        <f>'Air Basin Summary NOx BAU'!Q99/365.25</f>
        <v>0</v>
      </c>
      <c r="R99" s="60">
        <f>'Air Basin Summary NOx BAU'!R99/365.25</f>
        <v>0</v>
      </c>
      <c r="S99" s="60">
        <f>'Air Basin Summary NOx BAU'!S99/365.25</f>
        <v>0</v>
      </c>
      <c r="T99" s="60">
        <f>'Air Basin Summary NOx BAU'!T99/365.25</f>
        <v>0</v>
      </c>
      <c r="U99" s="60">
        <f>'Air Basin Summary NOx BAU'!U99/365.25</f>
        <v>0</v>
      </c>
      <c r="V99" s="60">
        <f>'Air Basin Summary NOx BAU'!V99/365.25</f>
        <v>0</v>
      </c>
      <c r="W99" s="60">
        <f>'Air Basin Summary NOx BAU'!W99/365.25</f>
        <v>0</v>
      </c>
      <c r="X99" s="60">
        <f>'Air Basin Summary NOx BAU'!X99/365.25</f>
        <v>0</v>
      </c>
      <c r="Y99" s="60">
        <f>'Air Basin Summary NOx BAU'!Y99/365.25</f>
        <v>0</v>
      </c>
      <c r="Z99" s="60">
        <f>'Air Basin Summary NOx BAU'!Z99/365.25</f>
        <v>0</v>
      </c>
      <c r="AA99" s="60">
        <f>'Air Basin Summary NOx BAU'!AA99/365.25</f>
        <v>0</v>
      </c>
      <c r="AB99" s="61">
        <f>'Air Basin Summary NOx BAU'!AB99/365.25</f>
        <v>0</v>
      </c>
    </row>
    <row r="100" spans="1:28" ht="15" customHeight="1">
      <c r="A100" s="520"/>
      <c r="B100" s="2" t="str">
        <f>'Air Basin Summary NOx BAU'!B100</f>
        <v xml:space="preserve">Lake Tahoe </v>
      </c>
      <c r="C100" s="2" t="s">
        <v>18938</v>
      </c>
      <c r="D100" s="393">
        <f>'Air Basin Summary NOx BAU'!D100/365.25</f>
        <v>0</v>
      </c>
      <c r="E100" s="60">
        <f>'Air Basin Summary NOx BAU'!E100/365.25</f>
        <v>0</v>
      </c>
      <c r="F100" s="60">
        <f>'Air Basin Summary NOx BAU'!F100/365.25</f>
        <v>0</v>
      </c>
      <c r="G100" s="60">
        <f>'Air Basin Summary NOx BAU'!G100/365.25</f>
        <v>0</v>
      </c>
      <c r="H100" s="60">
        <f>'Air Basin Summary NOx BAU'!H100/365.25</f>
        <v>0</v>
      </c>
      <c r="I100" s="60">
        <f>'Air Basin Summary NOx BAU'!I100/365.25</f>
        <v>0</v>
      </c>
      <c r="J100" s="60">
        <f>'Air Basin Summary NOx BAU'!J100/365.25</f>
        <v>0</v>
      </c>
      <c r="K100" s="60">
        <f>'Air Basin Summary NOx BAU'!K100/365.25</f>
        <v>0</v>
      </c>
      <c r="L100" s="60">
        <f>'Air Basin Summary NOx BAU'!L100/365.25</f>
        <v>0</v>
      </c>
      <c r="M100" s="60">
        <f>'Air Basin Summary NOx BAU'!M100/365.25</f>
        <v>0</v>
      </c>
      <c r="N100" s="60">
        <f>'Air Basin Summary NOx BAU'!N100/365.25</f>
        <v>0</v>
      </c>
      <c r="O100" s="60">
        <f>'Air Basin Summary NOx BAU'!O100/365.25</f>
        <v>0</v>
      </c>
      <c r="P100" s="60">
        <f>'Air Basin Summary NOx BAU'!P100/365.25</f>
        <v>0</v>
      </c>
      <c r="Q100" s="60">
        <f>'Air Basin Summary NOx BAU'!Q100/365.25</f>
        <v>0</v>
      </c>
      <c r="R100" s="60">
        <f>'Air Basin Summary NOx BAU'!R100/365.25</f>
        <v>0</v>
      </c>
      <c r="S100" s="60">
        <f>'Air Basin Summary NOx BAU'!S100/365.25</f>
        <v>0</v>
      </c>
      <c r="T100" s="60">
        <f>'Air Basin Summary NOx BAU'!T100/365.25</f>
        <v>0</v>
      </c>
      <c r="U100" s="60">
        <f>'Air Basin Summary NOx BAU'!U100/365.25</f>
        <v>0</v>
      </c>
      <c r="V100" s="60">
        <f>'Air Basin Summary NOx BAU'!V100/365.25</f>
        <v>0</v>
      </c>
      <c r="W100" s="60">
        <f>'Air Basin Summary NOx BAU'!W100/365.25</f>
        <v>0</v>
      </c>
      <c r="X100" s="60">
        <f>'Air Basin Summary NOx BAU'!X100/365.25</f>
        <v>0</v>
      </c>
      <c r="Y100" s="60">
        <f>'Air Basin Summary NOx BAU'!Y100/365.25</f>
        <v>0</v>
      </c>
      <c r="Z100" s="60">
        <f>'Air Basin Summary NOx BAU'!Z100/365.25</f>
        <v>0</v>
      </c>
      <c r="AA100" s="60">
        <f>'Air Basin Summary NOx BAU'!AA100/365.25</f>
        <v>0</v>
      </c>
      <c r="AB100" s="61">
        <f>'Air Basin Summary NOx BAU'!AB100/365.25</f>
        <v>0</v>
      </c>
    </row>
    <row r="101" spans="1:28" ht="15" customHeight="1">
      <c r="A101" s="520"/>
      <c r="B101" s="2" t="str">
        <f>'Air Basin Summary NOx BAU'!B101</f>
        <v>Mojave Desert</v>
      </c>
      <c r="C101" s="2" t="s">
        <v>18938</v>
      </c>
      <c r="D101" s="393">
        <f>'Air Basin Summary NOx BAU'!D101/365.25</f>
        <v>0</v>
      </c>
      <c r="E101" s="60">
        <f>'Air Basin Summary NOx BAU'!E101/365.25</f>
        <v>0</v>
      </c>
      <c r="F101" s="60">
        <f>'Air Basin Summary NOx BAU'!F101/365.25</f>
        <v>0</v>
      </c>
      <c r="G101" s="60">
        <f>'Air Basin Summary NOx BAU'!G101/365.25</f>
        <v>0</v>
      </c>
      <c r="H101" s="60">
        <f>'Air Basin Summary NOx BAU'!H101/365.25</f>
        <v>0</v>
      </c>
      <c r="I101" s="60">
        <f>'Air Basin Summary NOx BAU'!I101/365.25</f>
        <v>0</v>
      </c>
      <c r="J101" s="60">
        <f>'Air Basin Summary NOx BAU'!J101/365.25</f>
        <v>0</v>
      </c>
      <c r="K101" s="60">
        <f>'Air Basin Summary NOx BAU'!K101/365.25</f>
        <v>0</v>
      </c>
      <c r="L101" s="60">
        <f>'Air Basin Summary NOx BAU'!L101/365.25</f>
        <v>0</v>
      </c>
      <c r="M101" s="60">
        <f>'Air Basin Summary NOx BAU'!M101/365.25</f>
        <v>0</v>
      </c>
      <c r="N101" s="60">
        <f>'Air Basin Summary NOx BAU'!N101/365.25</f>
        <v>0</v>
      </c>
      <c r="O101" s="60">
        <f>'Air Basin Summary NOx BAU'!O101/365.25</f>
        <v>0</v>
      </c>
      <c r="P101" s="60">
        <f>'Air Basin Summary NOx BAU'!P101/365.25</f>
        <v>0</v>
      </c>
      <c r="Q101" s="60">
        <f>'Air Basin Summary NOx BAU'!Q101/365.25</f>
        <v>0</v>
      </c>
      <c r="R101" s="60">
        <f>'Air Basin Summary NOx BAU'!R101/365.25</f>
        <v>0</v>
      </c>
      <c r="S101" s="60">
        <f>'Air Basin Summary NOx BAU'!S101/365.25</f>
        <v>0</v>
      </c>
      <c r="T101" s="60">
        <f>'Air Basin Summary NOx BAU'!T101/365.25</f>
        <v>0</v>
      </c>
      <c r="U101" s="60">
        <f>'Air Basin Summary NOx BAU'!U101/365.25</f>
        <v>0</v>
      </c>
      <c r="V101" s="60">
        <f>'Air Basin Summary NOx BAU'!V101/365.25</f>
        <v>0</v>
      </c>
      <c r="W101" s="60">
        <f>'Air Basin Summary NOx BAU'!W101/365.25</f>
        <v>0</v>
      </c>
      <c r="X101" s="60">
        <f>'Air Basin Summary NOx BAU'!X101/365.25</f>
        <v>0</v>
      </c>
      <c r="Y101" s="60">
        <f>'Air Basin Summary NOx BAU'!Y101/365.25</f>
        <v>0</v>
      </c>
      <c r="Z101" s="60">
        <f>'Air Basin Summary NOx BAU'!Z101/365.25</f>
        <v>0</v>
      </c>
      <c r="AA101" s="60">
        <f>'Air Basin Summary NOx BAU'!AA101/365.25</f>
        <v>0</v>
      </c>
      <c r="AB101" s="61">
        <f>'Air Basin Summary NOx BAU'!AB101/365.25</f>
        <v>0</v>
      </c>
    </row>
    <row r="102" spans="1:28" ht="15" customHeight="1">
      <c r="A102" s="520"/>
      <c r="B102" s="2" t="str">
        <f>'Air Basin Summary NOx BAU'!B102</f>
        <v xml:space="preserve">Mountain Counties </v>
      </c>
      <c r="C102" s="2" t="s">
        <v>18938</v>
      </c>
      <c r="D102" s="393">
        <f>'Air Basin Summary NOx BAU'!D102/365.25</f>
        <v>0</v>
      </c>
      <c r="E102" s="60">
        <f>'Air Basin Summary NOx BAU'!E102/365.25</f>
        <v>0</v>
      </c>
      <c r="F102" s="60">
        <f>'Air Basin Summary NOx BAU'!F102/365.25</f>
        <v>0</v>
      </c>
      <c r="G102" s="60">
        <f>'Air Basin Summary NOx BAU'!G102/365.25</f>
        <v>0</v>
      </c>
      <c r="H102" s="60">
        <f>'Air Basin Summary NOx BAU'!H102/365.25</f>
        <v>0</v>
      </c>
      <c r="I102" s="60">
        <f>'Air Basin Summary NOx BAU'!I102/365.25</f>
        <v>0</v>
      </c>
      <c r="J102" s="60">
        <f>'Air Basin Summary NOx BAU'!J102/365.25</f>
        <v>0</v>
      </c>
      <c r="K102" s="60">
        <f>'Air Basin Summary NOx BAU'!K102/365.25</f>
        <v>0</v>
      </c>
      <c r="L102" s="60">
        <f>'Air Basin Summary NOx BAU'!L102/365.25</f>
        <v>0</v>
      </c>
      <c r="M102" s="60">
        <f>'Air Basin Summary NOx BAU'!M102/365.25</f>
        <v>0</v>
      </c>
      <c r="N102" s="60">
        <f>'Air Basin Summary NOx BAU'!N102/365.25</f>
        <v>0</v>
      </c>
      <c r="O102" s="60">
        <f>'Air Basin Summary NOx BAU'!O102/365.25</f>
        <v>0</v>
      </c>
      <c r="P102" s="60">
        <f>'Air Basin Summary NOx BAU'!P102/365.25</f>
        <v>0</v>
      </c>
      <c r="Q102" s="60">
        <f>'Air Basin Summary NOx BAU'!Q102/365.25</f>
        <v>0</v>
      </c>
      <c r="R102" s="60">
        <f>'Air Basin Summary NOx BAU'!R102/365.25</f>
        <v>0</v>
      </c>
      <c r="S102" s="60">
        <f>'Air Basin Summary NOx BAU'!S102/365.25</f>
        <v>0</v>
      </c>
      <c r="T102" s="60">
        <f>'Air Basin Summary NOx BAU'!T102/365.25</f>
        <v>0</v>
      </c>
      <c r="U102" s="60">
        <f>'Air Basin Summary NOx BAU'!U102/365.25</f>
        <v>0</v>
      </c>
      <c r="V102" s="60">
        <f>'Air Basin Summary NOx BAU'!V102/365.25</f>
        <v>0</v>
      </c>
      <c r="W102" s="60">
        <f>'Air Basin Summary NOx BAU'!W102/365.25</f>
        <v>0</v>
      </c>
      <c r="X102" s="60">
        <f>'Air Basin Summary NOx BAU'!X102/365.25</f>
        <v>0</v>
      </c>
      <c r="Y102" s="60">
        <f>'Air Basin Summary NOx BAU'!Y102/365.25</f>
        <v>0</v>
      </c>
      <c r="Z102" s="60">
        <f>'Air Basin Summary NOx BAU'!Z102/365.25</f>
        <v>0</v>
      </c>
      <c r="AA102" s="60">
        <f>'Air Basin Summary NOx BAU'!AA102/365.25</f>
        <v>0</v>
      </c>
      <c r="AB102" s="61">
        <f>'Air Basin Summary NOx BAU'!AB102/365.25</f>
        <v>0</v>
      </c>
    </row>
    <row r="103" spans="1:28" ht="15" customHeight="1">
      <c r="A103" s="520"/>
      <c r="B103" s="2" t="str">
        <f>'Air Basin Summary NOx BAU'!B103</f>
        <v>North Central coast</v>
      </c>
      <c r="C103" s="2" t="s">
        <v>18938</v>
      </c>
      <c r="D103" s="393">
        <f>'Air Basin Summary NOx BAU'!D103/365.25</f>
        <v>0</v>
      </c>
      <c r="E103" s="60">
        <f>'Air Basin Summary NOx BAU'!E103/365.25</f>
        <v>0</v>
      </c>
      <c r="F103" s="60">
        <f>'Air Basin Summary NOx BAU'!F103/365.25</f>
        <v>0</v>
      </c>
      <c r="G103" s="60">
        <f>'Air Basin Summary NOx BAU'!G103/365.25</f>
        <v>0</v>
      </c>
      <c r="H103" s="60">
        <f>'Air Basin Summary NOx BAU'!H103/365.25</f>
        <v>0</v>
      </c>
      <c r="I103" s="60">
        <f>'Air Basin Summary NOx BAU'!I103/365.25</f>
        <v>0</v>
      </c>
      <c r="J103" s="60">
        <f>'Air Basin Summary NOx BAU'!J103/365.25</f>
        <v>0</v>
      </c>
      <c r="K103" s="60">
        <f>'Air Basin Summary NOx BAU'!K103/365.25</f>
        <v>0</v>
      </c>
      <c r="L103" s="60">
        <f>'Air Basin Summary NOx BAU'!L103/365.25</f>
        <v>0</v>
      </c>
      <c r="M103" s="60">
        <f>'Air Basin Summary NOx BAU'!M103/365.25</f>
        <v>0</v>
      </c>
      <c r="N103" s="60">
        <f>'Air Basin Summary NOx BAU'!N103/365.25</f>
        <v>0</v>
      </c>
      <c r="O103" s="60">
        <f>'Air Basin Summary NOx BAU'!O103/365.25</f>
        <v>0</v>
      </c>
      <c r="P103" s="60">
        <f>'Air Basin Summary NOx BAU'!P103/365.25</f>
        <v>0</v>
      </c>
      <c r="Q103" s="60">
        <f>'Air Basin Summary NOx BAU'!Q103/365.25</f>
        <v>0</v>
      </c>
      <c r="R103" s="60">
        <f>'Air Basin Summary NOx BAU'!R103/365.25</f>
        <v>0</v>
      </c>
      <c r="S103" s="60">
        <f>'Air Basin Summary NOx BAU'!S103/365.25</f>
        <v>0</v>
      </c>
      <c r="T103" s="60">
        <f>'Air Basin Summary NOx BAU'!T103/365.25</f>
        <v>0</v>
      </c>
      <c r="U103" s="60">
        <f>'Air Basin Summary NOx BAU'!U103/365.25</f>
        <v>0</v>
      </c>
      <c r="V103" s="60">
        <f>'Air Basin Summary NOx BAU'!V103/365.25</f>
        <v>0</v>
      </c>
      <c r="W103" s="60">
        <f>'Air Basin Summary NOx BAU'!W103/365.25</f>
        <v>0</v>
      </c>
      <c r="X103" s="60">
        <f>'Air Basin Summary NOx BAU'!X103/365.25</f>
        <v>0</v>
      </c>
      <c r="Y103" s="60">
        <f>'Air Basin Summary NOx BAU'!Y103/365.25</f>
        <v>0</v>
      </c>
      <c r="Z103" s="60">
        <f>'Air Basin Summary NOx BAU'!Z103/365.25</f>
        <v>0</v>
      </c>
      <c r="AA103" s="60">
        <f>'Air Basin Summary NOx BAU'!AA103/365.25</f>
        <v>0</v>
      </c>
      <c r="AB103" s="61">
        <f>'Air Basin Summary NOx BAU'!AB103/365.25</f>
        <v>0</v>
      </c>
    </row>
    <row r="104" spans="1:28" ht="15" customHeight="1">
      <c r="A104" s="520"/>
      <c r="B104" s="2" t="str">
        <f>'Air Basin Summary NOx BAU'!B104</f>
        <v>North Coast</v>
      </c>
      <c r="C104" s="2" t="s">
        <v>18938</v>
      </c>
      <c r="D104" s="393">
        <f>'Air Basin Summary NOx BAU'!D104/365.25</f>
        <v>0</v>
      </c>
      <c r="E104" s="60">
        <f>'Air Basin Summary NOx BAU'!E104/365.25</f>
        <v>0</v>
      </c>
      <c r="F104" s="60">
        <f>'Air Basin Summary NOx BAU'!F104/365.25</f>
        <v>0</v>
      </c>
      <c r="G104" s="60">
        <f>'Air Basin Summary NOx BAU'!G104/365.25</f>
        <v>0</v>
      </c>
      <c r="H104" s="60">
        <f>'Air Basin Summary NOx BAU'!H104/365.25</f>
        <v>0</v>
      </c>
      <c r="I104" s="60">
        <f>'Air Basin Summary NOx BAU'!I104/365.25</f>
        <v>0</v>
      </c>
      <c r="J104" s="60">
        <f>'Air Basin Summary NOx BAU'!J104/365.25</f>
        <v>0</v>
      </c>
      <c r="K104" s="60">
        <f>'Air Basin Summary NOx BAU'!K104/365.25</f>
        <v>0</v>
      </c>
      <c r="L104" s="60">
        <f>'Air Basin Summary NOx BAU'!L104/365.25</f>
        <v>0</v>
      </c>
      <c r="M104" s="60">
        <f>'Air Basin Summary NOx BAU'!M104/365.25</f>
        <v>0</v>
      </c>
      <c r="N104" s="60">
        <f>'Air Basin Summary NOx BAU'!N104/365.25</f>
        <v>0</v>
      </c>
      <c r="O104" s="60">
        <f>'Air Basin Summary NOx BAU'!O104/365.25</f>
        <v>0</v>
      </c>
      <c r="P104" s="60">
        <f>'Air Basin Summary NOx BAU'!P104/365.25</f>
        <v>0</v>
      </c>
      <c r="Q104" s="60">
        <f>'Air Basin Summary NOx BAU'!Q104/365.25</f>
        <v>0</v>
      </c>
      <c r="R104" s="60">
        <f>'Air Basin Summary NOx BAU'!R104/365.25</f>
        <v>0</v>
      </c>
      <c r="S104" s="60">
        <f>'Air Basin Summary NOx BAU'!S104/365.25</f>
        <v>0</v>
      </c>
      <c r="T104" s="60">
        <f>'Air Basin Summary NOx BAU'!T104/365.25</f>
        <v>0</v>
      </c>
      <c r="U104" s="60">
        <f>'Air Basin Summary NOx BAU'!U104/365.25</f>
        <v>0</v>
      </c>
      <c r="V104" s="60">
        <f>'Air Basin Summary NOx BAU'!V104/365.25</f>
        <v>0</v>
      </c>
      <c r="W104" s="60">
        <f>'Air Basin Summary NOx BAU'!W104/365.25</f>
        <v>0</v>
      </c>
      <c r="X104" s="60">
        <f>'Air Basin Summary NOx BAU'!X104/365.25</f>
        <v>0</v>
      </c>
      <c r="Y104" s="60">
        <f>'Air Basin Summary NOx BAU'!Y104/365.25</f>
        <v>0</v>
      </c>
      <c r="Z104" s="60">
        <f>'Air Basin Summary NOx BAU'!Z104/365.25</f>
        <v>0</v>
      </c>
      <c r="AA104" s="60">
        <f>'Air Basin Summary NOx BAU'!AA104/365.25</f>
        <v>0</v>
      </c>
      <c r="AB104" s="61">
        <f>'Air Basin Summary NOx BAU'!AB104/365.25</f>
        <v>0</v>
      </c>
    </row>
    <row r="105" spans="1:28" ht="15" customHeight="1">
      <c r="A105" s="520"/>
      <c r="B105" s="2" t="str">
        <f>'Air Basin Summary NOx BAU'!B105</f>
        <v>Northeast Plateau</v>
      </c>
      <c r="C105" s="2" t="s">
        <v>18938</v>
      </c>
      <c r="D105" s="393">
        <f>'Air Basin Summary NOx BAU'!D105/365.25</f>
        <v>0</v>
      </c>
      <c r="E105" s="60">
        <f>'Air Basin Summary NOx BAU'!E105/365.25</f>
        <v>0</v>
      </c>
      <c r="F105" s="60">
        <f>'Air Basin Summary NOx BAU'!F105/365.25</f>
        <v>0</v>
      </c>
      <c r="G105" s="60">
        <f>'Air Basin Summary NOx BAU'!G105/365.25</f>
        <v>0</v>
      </c>
      <c r="H105" s="60">
        <f>'Air Basin Summary NOx BAU'!H105/365.25</f>
        <v>0</v>
      </c>
      <c r="I105" s="60">
        <f>'Air Basin Summary NOx BAU'!I105/365.25</f>
        <v>0</v>
      </c>
      <c r="J105" s="60">
        <f>'Air Basin Summary NOx BAU'!J105/365.25</f>
        <v>0</v>
      </c>
      <c r="K105" s="60">
        <f>'Air Basin Summary NOx BAU'!K105/365.25</f>
        <v>0</v>
      </c>
      <c r="L105" s="60">
        <f>'Air Basin Summary NOx BAU'!L105/365.25</f>
        <v>0</v>
      </c>
      <c r="M105" s="60">
        <f>'Air Basin Summary NOx BAU'!M105/365.25</f>
        <v>0</v>
      </c>
      <c r="N105" s="60">
        <f>'Air Basin Summary NOx BAU'!N105/365.25</f>
        <v>0</v>
      </c>
      <c r="O105" s="60">
        <f>'Air Basin Summary NOx BAU'!O105/365.25</f>
        <v>0</v>
      </c>
      <c r="P105" s="60">
        <f>'Air Basin Summary NOx BAU'!P105/365.25</f>
        <v>0</v>
      </c>
      <c r="Q105" s="60">
        <f>'Air Basin Summary NOx BAU'!Q105/365.25</f>
        <v>0</v>
      </c>
      <c r="R105" s="60">
        <f>'Air Basin Summary NOx BAU'!R105/365.25</f>
        <v>0</v>
      </c>
      <c r="S105" s="60">
        <f>'Air Basin Summary NOx BAU'!S105/365.25</f>
        <v>0</v>
      </c>
      <c r="T105" s="60">
        <f>'Air Basin Summary NOx BAU'!T105/365.25</f>
        <v>0</v>
      </c>
      <c r="U105" s="60">
        <f>'Air Basin Summary NOx BAU'!U105/365.25</f>
        <v>0</v>
      </c>
      <c r="V105" s="60">
        <f>'Air Basin Summary NOx BAU'!V105/365.25</f>
        <v>0</v>
      </c>
      <c r="W105" s="60">
        <f>'Air Basin Summary NOx BAU'!W105/365.25</f>
        <v>0</v>
      </c>
      <c r="X105" s="60">
        <f>'Air Basin Summary NOx BAU'!X105/365.25</f>
        <v>0</v>
      </c>
      <c r="Y105" s="60">
        <f>'Air Basin Summary NOx BAU'!Y105/365.25</f>
        <v>0</v>
      </c>
      <c r="Z105" s="60">
        <f>'Air Basin Summary NOx BAU'!Z105/365.25</f>
        <v>0</v>
      </c>
      <c r="AA105" s="60">
        <f>'Air Basin Summary NOx BAU'!AA105/365.25</f>
        <v>0</v>
      </c>
      <c r="AB105" s="61">
        <f>'Air Basin Summary NOx BAU'!AB105/365.25</f>
        <v>0</v>
      </c>
    </row>
    <row r="106" spans="1:28" ht="15" customHeight="1">
      <c r="A106" s="520"/>
      <c r="B106" s="2" t="str">
        <f>'Air Basin Summary NOx BAU'!B106</f>
        <v xml:space="preserve">Sacramento Valley </v>
      </c>
      <c r="C106" s="2" t="s">
        <v>18938</v>
      </c>
      <c r="D106" s="393">
        <f>'Air Basin Summary NOx BAU'!D106/365.25</f>
        <v>0</v>
      </c>
      <c r="E106" s="60">
        <f>'Air Basin Summary NOx BAU'!E106/365.25</f>
        <v>0</v>
      </c>
      <c r="F106" s="60">
        <f>'Air Basin Summary NOx BAU'!F106/365.25</f>
        <v>0</v>
      </c>
      <c r="G106" s="60">
        <f>'Air Basin Summary NOx BAU'!G106/365.25</f>
        <v>0</v>
      </c>
      <c r="H106" s="60">
        <f>'Air Basin Summary NOx BAU'!H106/365.25</f>
        <v>0</v>
      </c>
      <c r="I106" s="60">
        <f>'Air Basin Summary NOx BAU'!I106/365.25</f>
        <v>0</v>
      </c>
      <c r="J106" s="60">
        <f>'Air Basin Summary NOx BAU'!J106/365.25</f>
        <v>0</v>
      </c>
      <c r="K106" s="60">
        <f>'Air Basin Summary NOx BAU'!K106/365.25</f>
        <v>0</v>
      </c>
      <c r="L106" s="60">
        <f>'Air Basin Summary NOx BAU'!L106/365.25</f>
        <v>0</v>
      </c>
      <c r="M106" s="60">
        <f>'Air Basin Summary NOx BAU'!M106/365.25</f>
        <v>0</v>
      </c>
      <c r="N106" s="60">
        <f>'Air Basin Summary NOx BAU'!N106/365.25</f>
        <v>0</v>
      </c>
      <c r="O106" s="60">
        <f>'Air Basin Summary NOx BAU'!O106/365.25</f>
        <v>0</v>
      </c>
      <c r="P106" s="60">
        <f>'Air Basin Summary NOx BAU'!P106/365.25</f>
        <v>0</v>
      </c>
      <c r="Q106" s="60">
        <f>'Air Basin Summary NOx BAU'!Q106/365.25</f>
        <v>0</v>
      </c>
      <c r="R106" s="60">
        <f>'Air Basin Summary NOx BAU'!R106/365.25</f>
        <v>0</v>
      </c>
      <c r="S106" s="60">
        <f>'Air Basin Summary NOx BAU'!S106/365.25</f>
        <v>0</v>
      </c>
      <c r="T106" s="60">
        <f>'Air Basin Summary NOx BAU'!T106/365.25</f>
        <v>0</v>
      </c>
      <c r="U106" s="60">
        <f>'Air Basin Summary NOx BAU'!U106/365.25</f>
        <v>0</v>
      </c>
      <c r="V106" s="60">
        <f>'Air Basin Summary NOx BAU'!V106/365.25</f>
        <v>0</v>
      </c>
      <c r="W106" s="60">
        <f>'Air Basin Summary NOx BAU'!W106/365.25</f>
        <v>0</v>
      </c>
      <c r="X106" s="60">
        <f>'Air Basin Summary NOx BAU'!X106/365.25</f>
        <v>0</v>
      </c>
      <c r="Y106" s="60">
        <f>'Air Basin Summary NOx BAU'!Y106/365.25</f>
        <v>0</v>
      </c>
      <c r="Z106" s="60">
        <f>'Air Basin Summary NOx BAU'!Z106/365.25</f>
        <v>0</v>
      </c>
      <c r="AA106" s="60">
        <f>'Air Basin Summary NOx BAU'!AA106/365.25</f>
        <v>0</v>
      </c>
      <c r="AB106" s="61">
        <f>'Air Basin Summary NOx BAU'!AB106/365.25</f>
        <v>0</v>
      </c>
    </row>
    <row r="107" spans="1:28" ht="15" customHeight="1">
      <c r="A107" s="520"/>
      <c r="B107" s="2" t="str">
        <f>'Air Basin Summary NOx BAU'!B107</f>
        <v>Salton Sea</v>
      </c>
      <c r="C107" s="2" t="s">
        <v>18938</v>
      </c>
      <c r="D107" s="393">
        <f>'Air Basin Summary NOx BAU'!D107/365.25</f>
        <v>0</v>
      </c>
      <c r="E107" s="60">
        <f>'Air Basin Summary NOx BAU'!E107/365.25</f>
        <v>0</v>
      </c>
      <c r="F107" s="60">
        <f>'Air Basin Summary NOx BAU'!F107/365.25</f>
        <v>0</v>
      </c>
      <c r="G107" s="60">
        <f>'Air Basin Summary NOx BAU'!G107/365.25</f>
        <v>0</v>
      </c>
      <c r="H107" s="60">
        <f>'Air Basin Summary NOx BAU'!H107/365.25</f>
        <v>0</v>
      </c>
      <c r="I107" s="60">
        <f>'Air Basin Summary NOx BAU'!I107/365.25</f>
        <v>0</v>
      </c>
      <c r="J107" s="60">
        <f>'Air Basin Summary NOx BAU'!J107/365.25</f>
        <v>0</v>
      </c>
      <c r="K107" s="60">
        <f>'Air Basin Summary NOx BAU'!K107/365.25</f>
        <v>0</v>
      </c>
      <c r="L107" s="60">
        <f>'Air Basin Summary NOx BAU'!L107/365.25</f>
        <v>0</v>
      </c>
      <c r="M107" s="60">
        <f>'Air Basin Summary NOx BAU'!M107/365.25</f>
        <v>0</v>
      </c>
      <c r="N107" s="60">
        <f>'Air Basin Summary NOx BAU'!N107/365.25</f>
        <v>0</v>
      </c>
      <c r="O107" s="60">
        <f>'Air Basin Summary NOx BAU'!O107/365.25</f>
        <v>0</v>
      </c>
      <c r="P107" s="60">
        <f>'Air Basin Summary NOx BAU'!P107/365.25</f>
        <v>0</v>
      </c>
      <c r="Q107" s="60">
        <f>'Air Basin Summary NOx BAU'!Q107/365.25</f>
        <v>0</v>
      </c>
      <c r="R107" s="60">
        <f>'Air Basin Summary NOx BAU'!R107/365.25</f>
        <v>0</v>
      </c>
      <c r="S107" s="60">
        <f>'Air Basin Summary NOx BAU'!S107/365.25</f>
        <v>0</v>
      </c>
      <c r="T107" s="60">
        <f>'Air Basin Summary NOx BAU'!T107/365.25</f>
        <v>0</v>
      </c>
      <c r="U107" s="60">
        <f>'Air Basin Summary NOx BAU'!U107/365.25</f>
        <v>0</v>
      </c>
      <c r="V107" s="60">
        <f>'Air Basin Summary NOx BAU'!V107/365.25</f>
        <v>0</v>
      </c>
      <c r="W107" s="60">
        <f>'Air Basin Summary NOx BAU'!W107/365.25</f>
        <v>0</v>
      </c>
      <c r="X107" s="60">
        <f>'Air Basin Summary NOx BAU'!X107/365.25</f>
        <v>0</v>
      </c>
      <c r="Y107" s="60">
        <f>'Air Basin Summary NOx BAU'!Y107/365.25</f>
        <v>0</v>
      </c>
      <c r="Z107" s="60">
        <f>'Air Basin Summary NOx BAU'!Z107/365.25</f>
        <v>0</v>
      </c>
      <c r="AA107" s="60">
        <f>'Air Basin Summary NOx BAU'!AA107/365.25</f>
        <v>0</v>
      </c>
      <c r="AB107" s="61">
        <f>'Air Basin Summary NOx BAU'!AB107/365.25</f>
        <v>0</v>
      </c>
    </row>
    <row r="108" spans="1:28" ht="15" customHeight="1">
      <c r="A108" s="520"/>
      <c r="B108" s="2" t="str">
        <f>'Air Basin Summary NOx BAU'!B108</f>
        <v xml:space="preserve">San Diego </v>
      </c>
      <c r="C108" s="2" t="s">
        <v>18938</v>
      </c>
      <c r="D108" s="393">
        <f>'Air Basin Summary NOx BAU'!D108/365.25</f>
        <v>0</v>
      </c>
      <c r="E108" s="60">
        <f>'Air Basin Summary NOx BAU'!E108/365.25</f>
        <v>0</v>
      </c>
      <c r="F108" s="60">
        <f>'Air Basin Summary NOx BAU'!F108/365.25</f>
        <v>0</v>
      </c>
      <c r="G108" s="60">
        <f>'Air Basin Summary NOx BAU'!G108/365.25</f>
        <v>0</v>
      </c>
      <c r="H108" s="60">
        <f>'Air Basin Summary NOx BAU'!H108/365.25</f>
        <v>0</v>
      </c>
      <c r="I108" s="60">
        <f>'Air Basin Summary NOx BAU'!I108/365.25</f>
        <v>0</v>
      </c>
      <c r="J108" s="60">
        <f>'Air Basin Summary NOx BAU'!J108/365.25</f>
        <v>0</v>
      </c>
      <c r="K108" s="60">
        <f>'Air Basin Summary NOx BAU'!K108/365.25</f>
        <v>0</v>
      </c>
      <c r="L108" s="60">
        <f>'Air Basin Summary NOx BAU'!L108/365.25</f>
        <v>0</v>
      </c>
      <c r="M108" s="60">
        <f>'Air Basin Summary NOx BAU'!M108/365.25</f>
        <v>0</v>
      </c>
      <c r="N108" s="60">
        <f>'Air Basin Summary NOx BAU'!N108/365.25</f>
        <v>0</v>
      </c>
      <c r="O108" s="60">
        <f>'Air Basin Summary NOx BAU'!O108/365.25</f>
        <v>0</v>
      </c>
      <c r="P108" s="60">
        <f>'Air Basin Summary NOx BAU'!P108/365.25</f>
        <v>0</v>
      </c>
      <c r="Q108" s="60">
        <f>'Air Basin Summary NOx BAU'!Q108/365.25</f>
        <v>0</v>
      </c>
      <c r="R108" s="60">
        <f>'Air Basin Summary NOx BAU'!R108/365.25</f>
        <v>0</v>
      </c>
      <c r="S108" s="60">
        <f>'Air Basin Summary NOx BAU'!S108/365.25</f>
        <v>0</v>
      </c>
      <c r="T108" s="60">
        <f>'Air Basin Summary NOx BAU'!T108/365.25</f>
        <v>0</v>
      </c>
      <c r="U108" s="60">
        <f>'Air Basin Summary NOx BAU'!U108/365.25</f>
        <v>0</v>
      </c>
      <c r="V108" s="60">
        <f>'Air Basin Summary NOx BAU'!V108/365.25</f>
        <v>0</v>
      </c>
      <c r="W108" s="60">
        <f>'Air Basin Summary NOx BAU'!W108/365.25</f>
        <v>0</v>
      </c>
      <c r="X108" s="60">
        <f>'Air Basin Summary NOx BAU'!X108/365.25</f>
        <v>0</v>
      </c>
      <c r="Y108" s="60">
        <f>'Air Basin Summary NOx BAU'!Y108/365.25</f>
        <v>0</v>
      </c>
      <c r="Z108" s="60">
        <f>'Air Basin Summary NOx BAU'!Z108/365.25</f>
        <v>0</v>
      </c>
      <c r="AA108" s="60">
        <f>'Air Basin Summary NOx BAU'!AA108/365.25</f>
        <v>0</v>
      </c>
      <c r="AB108" s="61">
        <f>'Air Basin Summary NOx BAU'!AB108/365.25</f>
        <v>0</v>
      </c>
    </row>
    <row r="109" spans="1:28" ht="15" customHeight="1">
      <c r="A109" s="520"/>
      <c r="B109" s="2" t="str">
        <f>'Air Basin Summary NOx BAU'!B109</f>
        <v>San Franscisco Bay Area</v>
      </c>
      <c r="C109" s="2" t="s">
        <v>18938</v>
      </c>
      <c r="D109" s="393">
        <f>'Air Basin Summary NOx BAU'!D109/365.25</f>
        <v>0</v>
      </c>
      <c r="E109" s="60">
        <f>'Air Basin Summary NOx BAU'!E109/365.25</f>
        <v>0</v>
      </c>
      <c r="F109" s="60">
        <f>'Air Basin Summary NOx BAU'!F109/365.25</f>
        <v>0</v>
      </c>
      <c r="G109" s="60">
        <f>'Air Basin Summary NOx BAU'!G109/365.25</f>
        <v>0</v>
      </c>
      <c r="H109" s="60">
        <f>'Air Basin Summary NOx BAU'!H109/365.25</f>
        <v>0</v>
      </c>
      <c r="I109" s="60">
        <f>'Air Basin Summary NOx BAU'!I109/365.25</f>
        <v>0</v>
      </c>
      <c r="J109" s="60">
        <f>'Air Basin Summary NOx BAU'!J109/365.25</f>
        <v>0</v>
      </c>
      <c r="K109" s="60">
        <f>'Air Basin Summary NOx BAU'!K109/365.25</f>
        <v>0</v>
      </c>
      <c r="L109" s="60">
        <f>'Air Basin Summary NOx BAU'!L109/365.25</f>
        <v>0</v>
      </c>
      <c r="M109" s="60">
        <f>'Air Basin Summary NOx BAU'!M109/365.25</f>
        <v>0</v>
      </c>
      <c r="N109" s="60">
        <f>'Air Basin Summary NOx BAU'!N109/365.25</f>
        <v>0</v>
      </c>
      <c r="O109" s="60">
        <f>'Air Basin Summary NOx BAU'!O109/365.25</f>
        <v>0</v>
      </c>
      <c r="P109" s="60">
        <f>'Air Basin Summary NOx BAU'!P109/365.25</f>
        <v>0</v>
      </c>
      <c r="Q109" s="60">
        <f>'Air Basin Summary NOx BAU'!Q109/365.25</f>
        <v>0</v>
      </c>
      <c r="R109" s="60">
        <f>'Air Basin Summary NOx BAU'!R109/365.25</f>
        <v>-1.0942465969043039E-3</v>
      </c>
      <c r="S109" s="60">
        <f>'Air Basin Summary NOx BAU'!S109/365.25</f>
        <v>-3.8926071026805253E-3</v>
      </c>
      <c r="T109" s="60">
        <f>'Air Basin Summary NOx BAU'!T109/365.25</f>
        <v>-6.7543417004263225E-3</v>
      </c>
      <c r="U109" s="60">
        <f>'Air Basin Summary NOx BAU'!U109/365.25</f>
        <v>-9.6750379585857985E-3</v>
      </c>
      <c r="V109" s="60">
        <f>'Air Basin Summary NOx BAU'!V109/365.25</f>
        <v>-1.2213238122419411E-2</v>
      </c>
      <c r="W109" s="60">
        <f>'Air Basin Summary NOx BAU'!W109/365.25</f>
        <v>-1.4929290269004119E-2</v>
      </c>
      <c r="X109" s="60">
        <f>'Air Basin Summary NOx BAU'!X109/365.25</f>
        <v>-1.8017155318493426E-2</v>
      </c>
      <c r="Y109" s="60">
        <f>'Air Basin Summary NOx BAU'!Y109/365.25</f>
        <v>-1.9647622571148694E-2</v>
      </c>
      <c r="Z109" s="60">
        <f>'Air Basin Summary NOx BAU'!Z109/365.25</f>
        <v>-2.1339291142415749E-2</v>
      </c>
      <c r="AA109" s="60">
        <f>'Air Basin Summary NOx BAU'!AA109/365.25</f>
        <v>-2.3026675733765007E-2</v>
      </c>
      <c r="AB109" s="61">
        <f>'Air Basin Summary NOx BAU'!AB109/365.25</f>
        <v>-2.5330430755370868E-2</v>
      </c>
    </row>
    <row r="110" spans="1:28" ht="15" customHeight="1">
      <c r="A110" s="520"/>
      <c r="B110" s="2" t="str">
        <f>'Air Basin Summary NOx BAU'!B110</f>
        <v xml:space="preserve">San Joaquin Valley </v>
      </c>
      <c r="C110" s="2" t="s">
        <v>18938</v>
      </c>
      <c r="D110" s="393">
        <f>'Air Basin Summary NOx BAU'!D110/365.25</f>
        <v>0</v>
      </c>
      <c r="E110" s="60">
        <f>'Air Basin Summary NOx BAU'!E110/365.25</f>
        <v>0</v>
      </c>
      <c r="F110" s="60">
        <f>'Air Basin Summary NOx BAU'!F110/365.25</f>
        <v>0</v>
      </c>
      <c r="G110" s="60">
        <f>'Air Basin Summary NOx BAU'!G110/365.25</f>
        <v>0</v>
      </c>
      <c r="H110" s="60">
        <f>'Air Basin Summary NOx BAU'!H110/365.25</f>
        <v>0</v>
      </c>
      <c r="I110" s="60">
        <f>'Air Basin Summary NOx BAU'!I110/365.25</f>
        <v>0</v>
      </c>
      <c r="J110" s="60">
        <f>'Air Basin Summary NOx BAU'!J110/365.25</f>
        <v>0</v>
      </c>
      <c r="K110" s="60">
        <f>'Air Basin Summary NOx BAU'!K110/365.25</f>
        <v>0</v>
      </c>
      <c r="L110" s="60">
        <f>'Air Basin Summary NOx BAU'!L110/365.25</f>
        <v>0</v>
      </c>
      <c r="M110" s="60">
        <f>'Air Basin Summary NOx BAU'!M110/365.25</f>
        <v>0</v>
      </c>
      <c r="N110" s="60">
        <f>'Air Basin Summary NOx BAU'!N110/365.25</f>
        <v>0</v>
      </c>
      <c r="O110" s="60">
        <f>'Air Basin Summary NOx BAU'!O110/365.25</f>
        <v>0</v>
      </c>
      <c r="P110" s="60">
        <f>'Air Basin Summary NOx BAU'!P110/365.25</f>
        <v>0</v>
      </c>
      <c r="Q110" s="60">
        <f>'Air Basin Summary NOx BAU'!Q110/365.25</f>
        <v>0</v>
      </c>
      <c r="R110" s="60">
        <f>'Air Basin Summary NOx BAU'!R110/365.25</f>
        <v>-1.9950377068936645E-5</v>
      </c>
      <c r="S110" s="60">
        <f>'Air Basin Summary NOx BAU'!S110/365.25</f>
        <v>-7.0970272788053329E-5</v>
      </c>
      <c r="T110" s="60">
        <f>'Air Basin Summary NOx BAU'!T110/365.25</f>
        <v>-1.2314560918642037E-4</v>
      </c>
      <c r="U110" s="60">
        <f>'Air Basin Summary NOx BAU'!U110/365.25</f>
        <v>-1.7639593851708564E-4</v>
      </c>
      <c r="V110" s="60">
        <f>'Air Basin Summary NOx BAU'!V110/365.25</f>
        <v>-2.226725734987942E-4</v>
      </c>
      <c r="W110" s="60">
        <f>'Air Basin Summary NOx BAU'!W110/365.25</f>
        <v>-2.7219181771354095E-4</v>
      </c>
      <c r="X110" s="60">
        <f>'Air Basin Summary NOx BAU'!X110/365.25</f>
        <v>-3.2848997961743389E-4</v>
      </c>
      <c r="Y110" s="60">
        <f>'Air Basin Summary NOx BAU'!Y110/365.25</f>
        <v>-3.5821676751062993E-4</v>
      </c>
      <c r="Z110" s="60">
        <f>'Air Basin Summary NOx BAU'!Z110/365.25</f>
        <v>-3.8905938193403911E-4</v>
      </c>
      <c r="AA110" s="60">
        <f>'Air Basin Summary NOx BAU'!AA110/365.25</f>
        <v>-4.1982389054934455E-4</v>
      </c>
      <c r="AB110" s="61">
        <f>'Air Basin Summary NOx BAU'!AB110/365.25</f>
        <v>-4.6182610603305672E-4</v>
      </c>
    </row>
    <row r="111" spans="1:28" ht="15" customHeight="1">
      <c r="A111" s="520"/>
      <c r="B111" s="2" t="str">
        <f>'Air Basin Summary NOx BAU'!B111</f>
        <v>South Central Coast</v>
      </c>
      <c r="C111" s="2" t="s">
        <v>18938</v>
      </c>
      <c r="D111" s="393">
        <f>'Air Basin Summary NOx BAU'!D111/365.25</f>
        <v>0</v>
      </c>
      <c r="E111" s="60">
        <f>'Air Basin Summary NOx BAU'!E111/365.25</f>
        <v>0</v>
      </c>
      <c r="F111" s="60">
        <f>'Air Basin Summary NOx BAU'!F111/365.25</f>
        <v>0</v>
      </c>
      <c r="G111" s="60">
        <f>'Air Basin Summary NOx BAU'!G111/365.25</f>
        <v>0</v>
      </c>
      <c r="H111" s="60">
        <f>'Air Basin Summary NOx BAU'!H111/365.25</f>
        <v>0</v>
      </c>
      <c r="I111" s="60">
        <f>'Air Basin Summary NOx BAU'!I111/365.25</f>
        <v>0</v>
      </c>
      <c r="J111" s="60">
        <f>'Air Basin Summary NOx BAU'!J111/365.25</f>
        <v>0</v>
      </c>
      <c r="K111" s="60">
        <f>'Air Basin Summary NOx BAU'!K111/365.25</f>
        <v>0</v>
      </c>
      <c r="L111" s="60">
        <f>'Air Basin Summary NOx BAU'!L111/365.25</f>
        <v>0</v>
      </c>
      <c r="M111" s="60">
        <f>'Air Basin Summary NOx BAU'!M111/365.25</f>
        <v>0</v>
      </c>
      <c r="N111" s="60">
        <f>'Air Basin Summary NOx BAU'!N111/365.25</f>
        <v>0</v>
      </c>
      <c r="O111" s="60">
        <f>'Air Basin Summary NOx BAU'!O111/365.25</f>
        <v>0</v>
      </c>
      <c r="P111" s="60">
        <f>'Air Basin Summary NOx BAU'!P111/365.25</f>
        <v>0</v>
      </c>
      <c r="Q111" s="60">
        <f>'Air Basin Summary NOx BAU'!Q111/365.25</f>
        <v>0</v>
      </c>
      <c r="R111" s="60">
        <f>'Air Basin Summary NOx BAU'!R111/365.25</f>
        <v>-1.0308264611400975E-4</v>
      </c>
      <c r="S111" s="60">
        <f>'Air Basin Summary NOx BAU'!S111/365.25</f>
        <v>-3.6670001219257998E-4</v>
      </c>
      <c r="T111" s="60">
        <f>'Air Basin Summary NOx BAU'!T111/365.25</f>
        <v>-6.3628748511340878E-4</v>
      </c>
      <c r="U111" s="60">
        <f>'Air Basin Summary NOx BAU'!U111/365.25</f>
        <v>-9.1142939520764304E-4</v>
      </c>
      <c r="V111" s="60">
        <f>'Air Basin Summary NOx BAU'!V111/365.25</f>
        <v>-1.1505385594446542E-3</v>
      </c>
      <c r="W111" s="60">
        <f>'Air Basin Summary NOx BAU'!W111/365.25</f>
        <v>-1.4064021308239612E-3</v>
      </c>
      <c r="X111" s="60">
        <f>'Air Basin Summary NOx BAU'!X111/365.25</f>
        <v>-1.6972920463556452E-3</v>
      </c>
      <c r="Y111" s="60">
        <f>'Air Basin Summary NOx BAU'!Y111/365.25</f>
        <v>-1.8508889405853676E-3</v>
      </c>
      <c r="Z111" s="60">
        <f>'Air Basin Summary NOx BAU'!Z111/365.25</f>
        <v>-2.0102512572399978E-3</v>
      </c>
      <c r="AA111" s="60">
        <f>'Air Basin Summary NOx BAU'!AA111/365.25</f>
        <v>-2.1692100049120274E-3</v>
      </c>
      <c r="AB111" s="61">
        <f>'Air Basin Summary NOx BAU'!AB111/365.25</f>
        <v>-2.3862334476144383E-3</v>
      </c>
    </row>
    <row r="112" spans="1:28" ht="15" customHeight="1">
      <c r="A112" s="520"/>
      <c r="B112" s="2" t="str">
        <f>'Air Basin Summary NOx BAU'!B112</f>
        <v>South Coast</v>
      </c>
      <c r="C112" s="2" t="s">
        <v>18938</v>
      </c>
      <c r="D112" s="394">
        <f>'Air Basin Summary NOx BAU'!D112/365.25</f>
        <v>0</v>
      </c>
      <c r="E112" s="64">
        <f>'Air Basin Summary NOx BAU'!E112/365.25</f>
        <v>0</v>
      </c>
      <c r="F112" s="64">
        <f>'Air Basin Summary NOx BAU'!F112/365.25</f>
        <v>0</v>
      </c>
      <c r="G112" s="64">
        <f>'Air Basin Summary NOx BAU'!G112/365.25</f>
        <v>0</v>
      </c>
      <c r="H112" s="64">
        <f>'Air Basin Summary NOx BAU'!H112/365.25</f>
        <v>0</v>
      </c>
      <c r="I112" s="64">
        <f>'Air Basin Summary NOx BAU'!I112/365.25</f>
        <v>0</v>
      </c>
      <c r="J112" s="64">
        <f>'Air Basin Summary NOx BAU'!J112/365.25</f>
        <v>0</v>
      </c>
      <c r="K112" s="64">
        <f>'Air Basin Summary NOx BAU'!K112/365.25</f>
        <v>0</v>
      </c>
      <c r="L112" s="64">
        <f>'Air Basin Summary NOx BAU'!L112/365.25</f>
        <v>0</v>
      </c>
      <c r="M112" s="64">
        <f>'Air Basin Summary NOx BAU'!M112/365.25</f>
        <v>0</v>
      </c>
      <c r="N112" s="64">
        <f>'Air Basin Summary NOx BAU'!N112/365.25</f>
        <v>0</v>
      </c>
      <c r="O112" s="64">
        <f>'Air Basin Summary NOx BAU'!O112/365.25</f>
        <v>0</v>
      </c>
      <c r="P112" s="64">
        <f>'Air Basin Summary NOx BAU'!P112/365.25</f>
        <v>0</v>
      </c>
      <c r="Q112" s="64">
        <f>'Air Basin Summary NOx BAU'!Q112/365.25</f>
        <v>0</v>
      </c>
      <c r="R112" s="64">
        <f>'Air Basin Summary NOx BAU'!R112/365.25</f>
        <v>-2.4213476688171066E-3</v>
      </c>
      <c r="S112" s="64">
        <f>'Air Basin Summary NOx BAU'!S112/365.25</f>
        <v>-8.6135866109063076E-3</v>
      </c>
      <c r="T112" s="64">
        <f>'Air Basin Summary NOx BAU'!T112/365.25</f>
        <v>-1.4946101787698569E-2</v>
      </c>
      <c r="U112" s="64">
        <f>'Air Basin Summary NOx BAU'!U112/365.25</f>
        <v>-2.1409172745670644E-2</v>
      </c>
      <c r="V112" s="64">
        <f>'Air Basin Summary NOx BAU'!V112/365.25</f>
        <v>-2.7025857747491579E-2</v>
      </c>
      <c r="W112" s="64">
        <f>'Air Basin Summary NOx BAU'!W112/365.25</f>
        <v>-3.3036073580156179E-2</v>
      </c>
      <c r="X112" s="64">
        <f>'Air Basin Summary NOx BAU'!X112/365.25</f>
        <v>-3.986899375182687E-2</v>
      </c>
      <c r="Y112" s="64">
        <f>'Air Basin Summary NOx BAU'!Y112/365.25</f>
        <v>-4.3477009049080015E-2</v>
      </c>
      <c r="Z112" s="64">
        <f>'Air Basin Summary NOx BAU'!Z112/365.25</f>
        <v>-4.7220374900619727E-2</v>
      </c>
      <c r="AA112" s="64">
        <f>'Air Basin Summary NOx BAU'!AA112/365.25</f>
        <v>-5.0954352574619256E-2</v>
      </c>
      <c r="AB112" s="65">
        <f>'Air Basin Summary NOx BAU'!AB112/365.25</f>
        <v>-5.6052271697380876E-2</v>
      </c>
    </row>
    <row r="113" spans="1:29" ht="15" customHeight="1">
      <c r="A113" s="520"/>
      <c r="B113" s="2" t="str">
        <f>'Air Basin Summary NOx BAU'!B113</f>
        <v>STATEWIDE</v>
      </c>
      <c r="C113" s="72" t="s">
        <v>18938</v>
      </c>
      <c r="D113" s="175">
        <f>'Air Basin Summary NOx BAU'!D113/365.25</f>
        <v>0</v>
      </c>
      <c r="E113" s="175">
        <f>'Air Basin Summary NOx BAU'!E113/365.25</f>
        <v>0</v>
      </c>
      <c r="F113" s="175">
        <f>'Air Basin Summary NOx BAU'!F113/365.25</f>
        <v>0</v>
      </c>
      <c r="G113" s="175">
        <f>'Air Basin Summary NOx BAU'!G113/365.25</f>
        <v>0</v>
      </c>
      <c r="H113" s="175">
        <f>'Air Basin Summary NOx BAU'!H113/365.25</f>
        <v>0</v>
      </c>
      <c r="I113" s="175">
        <f>'Air Basin Summary NOx BAU'!I113/365.25</f>
        <v>0</v>
      </c>
      <c r="J113" s="175">
        <f>'Air Basin Summary NOx BAU'!J113/365.25</f>
        <v>0</v>
      </c>
      <c r="K113" s="175">
        <f>'Air Basin Summary NOx BAU'!K113/365.25</f>
        <v>0</v>
      </c>
      <c r="L113" s="175">
        <f>'Air Basin Summary NOx BAU'!L113/365.25</f>
        <v>0</v>
      </c>
      <c r="M113" s="175">
        <f>'Air Basin Summary NOx BAU'!M113/365.25</f>
        <v>0</v>
      </c>
      <c r="N113" s="175">
        <f>'Air Basin Summary NOx BAU'!N113/365.25</f>
        <v>0</v>
      </c>
      <c r="O113" s="175">
        <f>'Air Basin Summary NOx BAU'!O113/365.25</f>
        <v>0</v>
      </c>
      <c r="P113" s="175">
        <f>'Air Basin Summary NOx BAU'!P113/365.25</f>
        <v>0</v>
      </c>
      <c r="Q113" s="175">
        <f>'Air Basin Summary NOx BAU'!Q113/365.25</f>
        <v>0</v>
      </c>
      <c r="R113" s="175">
        <f>'Air Basin Summary NOx BAU'!R113/365.25</f>
        <v>-3.6386272889043568E-3</v>
      </c>
      <c r="S113" s="175">
        <f>'Air Basin Summary NOx BAU'!S113/365.25</f>
        <v>-1.2943863998567466E-2</v>
      </c>
      <c r="T113" s="175">
        <f>'Air Basin Summary NOx BAU'!T113/365.25</f>
        <v>-2.2459876582424723E-2</v>
      </c>
      <c r="U113" s="175">
        <f>'Air Basin Summary NOx BAU'!U113/365.25</f>
        <v>-3.2172036037981175E-2</v>
      </c>
      <c r="V113" s="175">
        <f>'Air Basin Summary NOx BAU'!V113/365.25</f>
        <v>-4.0612307002854439E-2</v>
      </c>
      <c r="W113" s="175">
        <f>'Air Basin Summary NOx BAU'!W113/365.25</f>
        <v>-4.9643957797697799E-2</v>
      </c>
      <c r="X113" s="175">
        <f>'Air Basin Summary NOx BAU'!X113/365.25</f>
        <v>-5.9911931096293378E-2</v>
      </c>
      <c r="Y113" s="175">
        <f>'Air Basin Summary NOx BAU'!Y113/365.25</f>
        <v>-6.5333737328324704E-2</v>
      </c>
      <c r="Z113" s="175">
        <f>'Air Basin Summary NOx BAU'!Z113/365.25</f>
        <v>-7.0958976682209518E-2</v>
      </c>
      <c r="AA113" s="175">
        <f>'Air Basin Summary NOx BAU'!AA113/365.25</f>
        <v>-7.6570062203845629E-2</v>
      </c>
      <c r="AB113" s="175">
        <f>'Air Basin Summary NOx BAU'!AB113/365.25</f>
        <v>-8.4230762006399229E-2</v>
      </c>
      <c r="AC113" s="66"/>
    </row>
    <row r="114" spans="1:29" ht="15" customHeight="1">
      <c r="A114" s="520"/>
      <c r="B114" s="2"/>
      <c r="C114" s="2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</row>
    <row r="115" spans="1:29" ht="15.6" customHeight="1">
      <c r="A115" s="520"/>
      <c r="B115" s="86"/>
      <c r="C115" s="86"/>
      <c r="D115" s="519" t="s">
        <v>18933</v>
      </c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</row>
    <row r="116" spans="1:29" ht="14.65" customHeight="1">
      <c r="A116" s="520"/>
      <c r="B116" s="88" t="s">
        <v>18814</v>
      </c>
      <c r="C116" s="90">
        <f>'Dairy NOx by AB'!B2</f>
        <v>0</v>
      </c>
      <c r="D116" s="89">
        <v>2022</v>
      </c>
      <c r="E116" s="89">
        <v>2023</v>
      </c>
      <c r="F116" s="89">
        <v>2024</v>
      </c>
      <c r="G116" s="89">
        <v>2025</v>
      </c>
      <c r="H116" s="89">
        <v>2026</v>
      </c>
      <c r="I116" s="89">
        <v>2027</v>
      </c>
      <c r="J116" s="89">
        <v>2028</v>
      </c>
      <c r="K116" s="89">
        <v>2029</v>
      </c>
      <c r="L116" s="90">
        <v>2030</v>
      </c>
      <c r="M116" s="89">
        <v>2031</v>
      </c>
      <c r="N116" s="89">
        <v>2032</v>
      </c>
      <c r="O116" s="89">
        <v>2033</v>
      </c>
      <c r="P116" s="89">
        <v>2034</v>
      </c>
      <c r="Q116" s="89">
        <v>2035</v>
      </c>
      <c r="R116" s="89">
        <v>2036</v>
      </c>
      <c r="S116" s="89">
        <v>2037</v>
      </c>
      <c r="T116" s="89">
        <v>2038</v>
      </c>
      <c r="U116" s="90">
        <v>2039</v>
      </c>
      <c r="V116" s="89">
        <v>2040</v>
      </c>
      <c r="W116" s="89">
        <v>2041</v>
      </c>
      <c r="X116" s="89">
        <v>2042</v>
      </c>
      <c r="Y116" s="89">
        <v>2043</v>
      </c>
      <c r="Z116" s="89">
        <v>2044</v>
      </c>
      <c r="AA116" s="89">
        <v>2045</v>
      </c>
      <c r="AB116" s="89">
        <v>2046</v>
      </c>
    </row>
    <row r="117" spans="1:29" ht="14.65" customHeight="1">
      <c r="A117" s="520"/>
      <c r="B117" s="2" t="s">
        <v>249</v>
      </c>
      <c r="C117" s="2" t="s">
        <v>18938</v>
      </c>
      <c r="D117" s="104">
        <f>'Air Basin Summary NOx BAU'!D117/365.25</f>
        <v>0</v>
      </c>
      <c r="E117" s="79">
        <f>'Air Basin Summary NOx BAU'!E117/365.25</f>
        <v>0</v>
      </c>
      <c r="F117" s="79">
        <f>'Air Basin Summary NOx BAU'!F117/365.25</f>
        <v>0</v>
      </c>
      <c r="G117" s="79">
        <f>'Air Basin Summary NOx BAU'!G117/365.25</f>
        <v>0</v>
      </c>
      <c r="H117" s="79">
        <f>'Air Basin Summary NOx BAU'!H117/365.25</f>
        <v>0</v>
      </c>
      <c r="I117" s="79">
        <f>'Air Basin Summary NOx BAU'!I117/365.25</f>
        <v>0</v>
      </c>
      <c r="J117" s="79">
        <f>'Air Basin Summary NOx BAU'!J117/365.25</f>
        <v>0</v>
      </c>
      <c r="K117" s="79">
        <f>'Air Basin Summary NOx BAU'!K117/365.25</f>
        <v>0</v>
      </c>
      <c r="L117" s="79">
        <f>'Air Basin Summary NOx BAU'!L117/365.25</f>
        <v>0</v>
      </c>
      <c r="M117" s="79">
        <f>'Air Basin Summary NOx BAU'!M117/365.25</f>
        <v>0</v>
      </c>
      <c r="N117" s="79">
        <f>'Air Basin Summary NOx BAU'!N117/365.25</f>
        <v>0</v>
      </c>
      <c r="O117" s="79">
        <f>'Air Basin Summary NOx BAU'!O117/365.25</f>
        <v>0</v>
      </c>
      <c r="P117" s="79">
        <f>'Air Basin Summary NOx BAU'!P117/365.25</f>
        <v>0</v>
      </c>
      <c r="Q117" s="79">
        <f>'Air Basin Summary NOx BAU'!Q117/365.25</f>
        <v>0</v>
      </c>
      <c r="R117" s="79">
        <f>'Air Basin Summary NOx BAU'!R117/365.25</f>
        <v>0</v>
      </c>
      <c r="S117" s="79">
        <f>'Air Basin Summary NOx BAU'!S117/365.25</f>
        <v>0</v>
      </c>
      <c r="T117" s="79">
        <f>'Air Basin Summary NOx BAU'!T117/365.25</f>
        <v>0</v>
      </c>
      <c r="U117" s="79">
        <f>'Air Basin Summary NOx BAU'!U117/365.25</f>
        <v>0</v>
      </c>
      <c r="V117" s="79">
        <f>'Air Basin Summary NOx BAU'!V117/365.25</f>
        <v>0</v>
      </c>
      <c r="W117" s="79">
        <f>'Air Basin Summary NOx BAU'!W117/365.25</f>
        <v>0</v>
      </c>
      <c r="X117" s="79">
        <f>'Air Basin Summary NOx BAU'!X117/365.25</f>
        <v>0</v>
      </c>
      <c r="Y117" s="79">
        <f>'Air Basin Summary NOx BAU'!Y117/365.25</f>
        <v>0</v>
      </c>
      <c r="Z117" s="79">
        <f>'Air Basin Summary NOx BAU'!Z117/365.25</f>
        <v>0</v>
      </c>
      <c r="AA117" s="79">
        <f>'Air Basin Summary NOx BAU'!AA117/365.25</f>
        <v>0</v>
      </c>
      <c r="AB117" s="80">
        <f>'Air Basin Summary NOx BAU'!AB117/365.25</f>
        <v>0</v>
      </c>
    </row>
    <row r="118" spans="1:29" ht="14.65" customHeight="1">
      <c r="A118" s="520"/>
      <c r="B118" s="2" t="s">
        <v>251</v>
      </c>
      <c r="C118" s="2" t="s">
        <v>18938</v>
      </c>
      <c r="D118" s="393">
        <f>'Air Basin Summary NOx BAU'!D118/365.25</f>
        <v>0</v>
      </c>
      <c r="E118" s="60">
        <f>'Air Basin Summary NOx BAU'!E118/365.25</f>
        <v>0</v>
      </c>
      <c r="F118" s="60">
        <f>'Air Basin Summary NOx BAU'!F118/365.25</f>
        <v>0</v>
      </c>
      <c r="G118" s="60">
        <f>'Air Basin Summary NOx BAU'!G118/365.25</f>
        <v>0</v>
      </c>
      <c r="H118" s="60">
        <f>'Air Basin Summary NOx BAU'!H118/365.25</f>
        <v>0</v>
      </c>
      <c r="I118" s="60">
        <f>'Air Basin Summary NOx BAU'!I118/365.25</f>
        <v>0</v>
      </c>
      <c r="J118" s="60">
        <f>'Air Basin Summary NOx BAU'!J118/365.25</f>
        <v>0</v>
      </c>
      <c r="K118" s="60">
        <f>'Air Basin Summary NOx BAU'!K118/365.25</f>
        <v>0</v>
      </c>
      <c r="L118" s="60">
        <f>'Air Basin Summary NOx BAU'!L118/365.25</f>
        <v>0</v>
      </c>
      <c r="M118" s="60">
        <f>'Air Basin Summary NOx BAU'!M118/365.25</f>
        <v>0</v>
      </c>
      <c r="N118" s="60">
        <f>'Air Basin Summary NOx BAU'!N118/365.25</f>
        <v>0</v>
      </c>
      <c r="O118" s="60">
        <f>'Air Basin Summary NOx BAU'!O118/365.25</f>
        <v>0</v>
      </c>
      <c r="P118" s="60">
        <f>'Air Basin Summary NOx BAU'!P118/365.25</f>
        <v>0</v>
      </c>
      <c r="Q118" s="60">
        <f>'Air Basin Summary NOx BAU'!Q118/365.25</f>
        <v>0</v>
      </c>
      <c r="R118" s="60">
        <f>'Air Basin Summary NOx BAU'!R118/365.25</f>
        <v>0</v>
      </c>
      <c r="S118" s="60">
        <f>'Air Basin Summary NOx BAU'!S118/365.25</f>
        <v>0</v>
      </c>
      <c r="T118" s="60">
        <f>'Air Basin Summary NOx BAU'!T118/365.25</f>
        <v>0</v>
      </c>
      <c r="U118" s="60">
        <f>'Air Basin Summary NOx BAU'!U118/365.25</f>
        <v>0</v>
      </c>
      <c r="V118" s="60">
        <f>'Air Basin Summary NOx BAU'!V118/365.25</f>
        <v>0</v>
      </c>
      <c r="W118" s="60">
        <f>'Air Basin Summary NOx BAU'!W118/365.25</f>
        <v>0</v>
      </c>
      <c r="X118" s="60">
        <f>'Air Basin Summary NOx BAU'!X118/365.25</f>
        <v>0</v>
      </c>
      <c r="Y118" s="60">
        <f>'Air Basin Summary NOx BAU'!Y118/365.25</f>
        <v>0</v>
      </c>
      <c r="Z118" s="60">
        <f>'Air Basin Summary NOx BAU'!Z118/365.25</f>
        <v>0</v>
      </c>
      <c r="AA118" s="60">
        <f>'Air Basin Summary NOx BAU'!AA118/365.25</f>
        <v>0</v>
      </c>
      <c r="AB118" s="61">
        <f>'Air Basin Summary NOx BAU'!AB118/365.25</f>
        <v>0</v>
      </c>
    </row>
    <row r="119" spans="1:29" ht="14.65" customHeight="1">
      <c r="A119" s="520"/>
      <c r="B119" s="2" t="s">
        <v>253</v>
      </c>
      <c r="C119" s="2" t="s">
        <v>18938</v>
      </c>
      <c r="D119" s="393">
        <f>'Air Basin Summary NOx BAU'!D119/365.25</f>
        <v>0</v>
      </c>
      <c r="E119" s="60">
        <f>'Air Basin Summary NOx BAU'!E119/365.25</f>
        <v>0</v>
      </c>
      <c r="F119" s="60">
        <f>'Air Basin Summary NOx BAU'!F119/365.25</f>
        <v>0</v>
      </c>
      <c r="G119" s="60">
        <f>'Air Basin Summary NOx BAU'!G119/365.25</f>
        <v>0</v>
      </c>
      <c r="H119" s="60">
        <f>'Air Basin Summary NOx BAU'!H119/365.25</f>
        <v>0</v>
      </c>
      <c r="I119" s="60">
        <f>'Air Basin Summary NOx BAU'!I119/365.25</f>
        <v>0</v>
      </c>
      <c r="J119" s="60">
        <f>'Air Basin Summary NOx BAU'!J119/365.25</f>
        <v>0</v>
      </c>
      <c r="K119" s="60">
        <f>'Air Basin Summary NOx BAU'!K119/365.25</f>
        <v>0</v>
      </c>
      <c r="L119" s="60">
        <f>'Air Basin Summary NOx BAU'!L119/365.25</f>
        <v>0</v>
      </c>
      <c r="M119" s="60">
        <f>'Air Basin Summary NOx BAU'!M119/365.25</f>
        <v>0</v>
      </c>
      <c r="N119" s="60">
        <f>'Air Basin Summary NOx BAU'!N119/365.25</f>
        <v>0</v>
      </c>
      <c r="O119" s="60">
        <f>'Air Basin Summary NOx BAU'!O119/365.25</f>
        <v>0</v>
      </c>
      <c r="P119" s="60">
        <f>'Air Basin Summary NOx BAU'!P119/365.25</f>
        <v>0</v>
      </c>
      <c r="Q119" s="60">
        <f>'Air Basin Summary NOx BAU'!Q119/365.25</f>
        <v>0</v>
      </c>
      <c r="R119" s="60">
        <f>'Air Basin Summary NOx BAU'!R119/365.25</f>
        <v>0</v>
      </c>
      <c r="S119" s="60">
        <f>'Air Basin Summary NOx BAU'!S119/365.25</f>
        <v>0</v>
      </c>
      <c r="T119" s="60">
        <f>'Air Basin Summary NOx BAU'!T119/365.25</f>
        <v>0</v>
      </c>
      <c r="U119" s="60">
        <f>'Air Basin Summary NOx BAU'!U119/365.25</f>
        <v>0</v>
      </c>
      <c r="V119" s="60">
        <f>'Air Basin Summary NOx BAU'!V119/365.25</f>
        <v>0</v>
      </c>
      <c r="W119" s="60">
        <f>'Air Basin Summary NOx BAU'!W119/365.25</f>
        <v>0</v>
      </c>
      <c r="X119" s="60">
        <f>'Air Basin Summary NOx BAU'!X119/365.25</f>
        <v>0</v>
      </c>
      <c r="Y119" s="60">
        <f>'Air Basin Summary NOx BAU'!Y119/365.25</f>
        <v>0</v>
      </c>
      <c r="Z119" s="60">
        <f>'Air Basin Summary NOx BAU'!Z119/365.25</f>
        <v>0</v>
      </c>
      <c r="AA119" s="60">
        <f>'Air Basin Summary NOx BAU'!AA119/365.25</f>
        <v>0</v>
      </c>
      <c r="AB119" s="61">
        <f>'Air Basin Summary NOx BAU'!AB119/365.25</f>
        <v>0</v>
      </c>
    </row>
    <row r="120" spans="1:29" ht="14.65" customHeight="1">
      <c r="A120" s="520"/>
      <c r="B120" s="2" t="s">
        <v>255</v>
      </c>
      <c r="C120" s="2" t="s">
        <v>18938</v>
      </c>
      <c r="D120" s="393">
        <f>'Air Basin Summary NOx BAU'!D120/365.25</f>
        <v>0</v>
      </c>
      <c r="E120" s="60">
        <f>'Air Basin Summary NOx BAU'!E120/365.25</f>
        <v>0</v>
      </c>
      <c r="F120" s="60">
        <f>'Air Basin Summary NOx BAU'!F120/365.25</f>
        <v>0</v>
      </c>
      <c r="G120" s="60">
        <f>'Air Basin Summary NOx BAU'!G120/365.25</f>
        <v>0</v>
      </c>
      <c r="H120" s="60">
        <f>'Air Basin Summary NOx BAU'!H120/365.25</f>
        <v>0</v>
      </c>
      <c r="I120" s="60">
        <f>'Air Basin Summary NOx BAU'!I120/365.25</f>
        <v>0</v>
      </c>
      <c r="J120" s="60">
        <f>'Air Basin Summary NOx BAU'!J120/365.25</f>
        <v>0</v>
      </c>
      <c r="K120" s="60">
        <f>'Air Basin Summary NOx BAU'!K120/365.25</f>
        <v>0</v>
      </c>
      <c r="L120" s="60">
        <f>'Air Basin Summary NOx BAU'!L120/365.25</f>
        <v>0</v>
      </c>
      <c r="M120" s="60">
        <f>'Air Basin Summary NOx BAU'!M120/365.25</f>
        <v>0</v>
      </c>
      <c r="N120" s="60">
        <f>'Air Basin Summary NOx BAU'!N120/365.25</f>
        <v>0</v>
      </c>
      <c r="O120" s="60">
        <f>'Air Basin Summary NOx BAU'!O120/365.25</f>
        <v>0</v>
      </c>
      <c r="P120" s="60">
        <f>'Air Basin Summary NOx BAU'!P120/365.25</f>
        <v>0</v>
      </c>
      <c r="Q120" s="60">
        <f>'Air Basin Summary NOx BAU'!Q120/365.25</f>
        <v>0</v>
      </c>
      <c r="R120" s="60">
        <f>'Air Basin Summary NOx BAU'!R120/365.25</f>
        <v>0</v>
      </c>
      <c r="S120" s="60">
        <f>'Air Basin Summary NOx BAU'!S120/365.25</f>
        <v>0</v>
      </c>
      <c r="T120" s="60">
        <f>'Air Basin Summary NOx BAU'!T120/365.25</f>
        <v>0</v>
      </c>
      <c r="U120" s="60">
        <f>'Air Basin Summary NOx BAU'!U120/365.25</f>
        <v>0</v>
      </c>
      <c r="V120" s="60">
        <f>'Air Basin Summary NOx BAU'!V120/365.25</f>
        <v>0</v>
      </c>
      <c r="W120" s="60">
        <f>'Air Basin Summary NOx BAU'!W120/365.25</f>
        <v>0</v>
      </c>
      <c r="X120" s="60">
        <f>'Air Basin Summary NOx BAU'!X120/365.25</f>
        <v>0</v>
      </c>
      <c r="Y120" s="60">
        <f>'Air Basin Summary NOx BAU'!Y120/365.25</f>
        <v>0</v>
      </c>
      <c r="Z120" s="60">
        <f>'Air Basin Summary NOx BAU'!Z120/365.25</f>
        <v>0</v>
      </c>
      <c r="AA120" s="60">
        <f>'Air Basin Summary NOx BAU'!AA120/365.25</f>
        <v>0</v>
      </c>
      <c r="AB120" s="61">
        <f>'Air Basin Summary NOx BAU'!AB120/365.25</f>
        <v>0</v>
      </c>
    </row>
    <row r="121" spans="1:29" ht="14.65" customHeight="1">
      <c r="A121" s="520"/>
      <c r="B121" s="2" t="s">
        <v>256</v>
      </c>
      <c r="C121" s="2" t="s">
        <v>18938</v>
      </c>
      <c r="D121" s="393">
        <f>'Air Basin Summary NOx BAU'!D121/365.25</f>
        <v>0</v>
      </c>
      <c r="E121" s="60">
        <f>'Air Basin Summary NOx BAU'!E121/365.25</f>
        <v>0</v>
      </c>
      <c r="F121" s="60">
        <f>'Air Basin Summary NOx BAU'!F121/365.25</f>
        <v>0</v>
      </c>
      <c r="G121" s="60">
        <f>'Air Basin Summary NOx BAU'!G121/365.25</f>
        <v>0</v>
      </c>
      <c r="H121" s="60">
        <f>'Air Basin Summary NOx BAU'!H121/365.25</f>
        <v>0</v>
      </c>
      <c r="I121" s="60">
        <f>'Air Basin Summary NOx BAU'!I121/365.25</f>
        <v>0</v>
      </c>
      <c r="J121" s="60">
        <f>'Air Basin Summary NOx BAU'!J121/365.25</f>
        <v>0</v>
      </c>
      <c r="K121" s="60">
        <f>'Air Basin Summary NOx BAU'!K121/365.25</f>
        <v>0</v>
      </c>
      <c r="L121" s="60">
        <f>'Air Basin Summary NOx BAU'!L121/365.25</f>
        <v>0</v>
      </c>
      <c r="M121" s="60">
        <f>'Air Basin Summary NOx BAU'!M121/365.25</f>
        <v>0</v>
      </c>
      <c r="N121" s="60">
        <f>'Air Basin Summary NOx BAU'!N121/365.25</f>
        <v>0</v>
      </c>
      <c r="O121" s="60">
        <f>'Air Basin Summary NOx BAU'!O121/365.25</f>
        <v>0</v>
      </c>
      <c r="P121" s="60">
        <f>'Air Basin Summary NOx BAU'!P121/365.25</f>
        <v>0</v>
      </c>
      <c r="Q121" s="60">
        <f>'Air Basin Summary NOx BAU'!Q121/365.25</f>
        <v>0</v>
      </c>
      <c r="R121" s="60">
        <f>'Air Basin Summary NOx BAU'!R121/365.25</f>
        <v>0</v>
      </c>
      <c r="S121" s="60">
        <f>'Air Basin Summary NOx BAU'!S121/365.25</f>
        <v>0</v>
      </c>
      <c r="T121" s="60">
        <f>'Air Basin Summary NOx BAU'!T121/365.25</f>
        <v>0</v>
      </c>
      <c r="U121" s="60">
        <f>'Air Basin Summary NOx BAU'!U121/365.25</f>
        <v>0</v>
      </c>
      <c r="V121" s="60">
        <f>'Air Basin Summary NOx BAU'!V121/365.25</f>
        <v>0</v>
      </c>
      <c r="W121" s="60">
        <f>'Air Basin Summary NOx BAU'!W121/365.25</f>
        <v>0</v>
      </c>
      <c r="X121" s="60">
        <f>'Air Basin Summary NOx BAU'!X121/365.25</f>
        <v>0</v>
      </c>
      <c r="Y121" s="60">
        <f>'Air Basin Summary NOx BAU'!Y121/365.25</f>
        <v>0</v>
      </c>
      <c r="Z121" s="60">
        <f>'Air Basin Summary NOx BAU'!Z121/365.25</f>
        <v>0</v>
      </c>
      <c r="AA121" s="60">
        <f>'Air Basin Summary NOx BAU'!AA121/365.25</f>
        <v>0</v>
      </c>
      <c r="AB121" s="61">
        <f>'Air Basin Summary NOx BAU'!AB121/365.25</f>
        <v>0</v>
      </c>
    </row>
    <row r="122" spans="1:29" ht="14.65" customHeight="1">
      <c r="A122" s="520"/>
      <c r="B122" s="2" t="s">
        <v>257</v>
      </c>
      <c r="C122" s="2" t="s">
        <v>18938</v>
      </c>
      <c r="D122" s="393">
        <f>'Air Basin Summary NOx BAU'!D122/365.25</f>
        <v>0</v>
      </c>
      <c r="E122" s="60">
        <f>'Air Basin Summary NOx BAU'!E122/365.25</f>
        <v>0</v>
      </c>
      <c r="F122" s="60">
        <f>'Air Basin Summary NOx BAU'!F122/365.25</f>
        <v>0</v>
      </c>
      <c r="G122" s="60">
        <f>'Air Basin Summary NOx BAU'!G122/365.25</f>
        <v>0</v>
      </c>
      <c r="H122" s="60">
        <f>'Air Basin Summary NOx BAU'!H122/365.25</f>
        <v>0</v>
      </c>
      <c r="I122" s="60">
        <f>'Air Basin Summary NOx BAU'!I122/365.25</f>
        <v>0</v>
      </c>
      <c r="J122" s="60">
        <f>'Air Basin Summary NOx BAU'!J122/365.25</f>
        <v>0</v>
      </c>
      <c r="K122" s="60">
        <f>'Air Basin Summary NOx BAU'!K122/365.25</f>
        <v>0</v>
      </c>
      <c r="L122" s="60">
        <f>'Air Basin Summary NOx BAU'!L122/365.25</f>
        <v>0</v>
      </c>
      <c r="M122" s="60">
        <f>'Air Basin Summary NOx BAU'!M122/365.25</f>
        <v>0</v>
      </c>
      <c r="N122" s="60">
        <f>'Air Basin Summary NOx BAU'!N122/365.25</f>
        <v>0</v>
      </c>
      <c r="O122" s="60">
        <f>'Air Basin Summary NOx BAU'!O122/365.25</f>
        <v>0</v>
      </c>
      <c r="P122" s="60">
        <f>'Air Basin Summary NOx BAU'!P122/365.25</f>
        <v>0</v>
      </c>
      <c r="Q122" s="60">
        <f>'Air Basin Summary NOx BAU'!Q122/365.25</f>
        <v>0</v>
      </c>
      <c r="R122" s="60">
        <f>'Air Basin Summary NOx BAU'!R122/365.25</f>
        <v>0</v>
      </c>
      <c r="S122" s="60">
        <f>'Air Basin Summary NOx BAU'!S122/365.25</f>
        <v>0</v>
      </c>
      <c r="T122" s="60">
        <f>'Air Basin Summary NOx BAU'!T122/365.25</f>
        <v>0</v>
      </c>
      <c r="U122" s="60">
        <f>'Air Basin Summary NOx BAU'!U122/365.25</f>
        <v>0</v>
      </c>
      <c r="V122" s="60">
        <f>'Air Basin Summary NOx BAU'!V122/365.25</f>
        <v>0</v>
      </c>
      <c r="W122" s="60">
        <f>'Air Basin Summary NOx BAU'!W122/365.25</f>
        <v>0</v>
      </c>
      <c r="X122" s="60">
        <f>'Air Basin Summary NOx BAU'!X122/365.25</f>
        <v>0</v>
      </c>
      <c r="Y122" s="60">
        <f>'Air Basin Summary NOx BAU'!Y122/365.25</f>
        <v>0</v>
      </c>
      <c r="Z122" s="60">
        <f>'Air Basin Summary NOx BAU'!Z122/365.25</f>
        <v>0</v>
      </c>
      <c r="AA122" s="60">
        <f>'Air Basin Summary NOx BAU'!AA122/365.25</f>
        <v>0</v>
      </c>
      <c r="AB122" s="61">
        <f>'Air Basin Summary NOx BAU'!AB122/365.25</f>
        <v>0</v>
      </c>
    </row>
    <row r="123" spans="1:29" ht="14.65" customHeight="1">
      <c r="A123" s="520"/>
      <c r="B123" s="2" t="s">
        <v>258</v>
      </c>
      <c r="C123" s="2" t="s">
        <v>18938</v>
      </c>
      <c r="D123" s="393">
        <f>'Air Basin Summary NOx BAU'!D123/365.25</f>
        <v>0</v>
      </c>
      <c r="E123" s="60">
        <f>'Air Basin Summary NOx BAU'!E123/365.25</f>
        <v>0</v>
      </c>
      <c r="F123" s="60">
        <f>'Air Basin Summary NOx BAU'!F123/365.25</f>
        <v>0</v>
      </c>
      <c r="G123" s="60">
        <f>'Air Basin Summary NOx BAU'!G123/365.25</f>
        <v>0</v>
      </c>
      <c r="H123" s="60">
        <f>'Air Basin Summary NOx BAU'!H123/365.25</f>
        <v>0</v>
      </c>
      <c r="I123" s="60">
        <f>'Air Basin Summary NOx BAU'!I123/365.25</f>
        <v>0</v>
      </c>
      <c r="J123" s="60">
        <f>'Air Basin Summary NOx BAU'!J123/365.25</f>
        <v>0</v>
      </c>
      <c r="K123" s="60">
        <f>'Air Basin Summary NOx BAU'!K123/365.25</f>
        <v>0</v>
      </c>
      <c r="L123" s="60">
        <f>'Air Basin Summary NOx BAU'!L123/365.25</f>
        <v>0</v>
      </c>
      <c r="M123" s="60">
        <f>'Air Basin Summary NOx BAU'!M123/365.25</f>
        <v>0</v>
      </c>
      <c r="N123" s="60">
        <f>'Air Basin Summary NOx BAU'!N123/365.25</f>
        <v>0</v>
      </c>
      <c r="O123" s="60">
        <f>'Air Basin Summary NOx BAU'!O123/365.25</f>
        <v>0</v>
      </c>
      <c r="P123" s="60">
        <f>'Air Basin Summary NOx BAU'!P123/365.25</f>
        <v>0</v>
      </c>
      <c r="Q123" s="60">
        <f>'Air Basin Summary NOx BAU'!Q123/365.25</f>
        <v>0</v>
      </c>
      <c r="R123" s="60">
        <f>'Air Basin Summary NOx BAU'!R123/365.25</f>
        <v>0</v>
      </c>
      <c r="S123" s="60">
        <f>'Air Basin Summary NOx BAU'!S123/365.25</f>
        <v>0</v>
      </c>
      <c r="T123" s="60">
        <f>'Air Basin Summary NOx BAU'!T123/365.25</f>
        <v>0</v>
      </c>
      <c r="U123" s="60">
        <f>'Air Basin Summary NOx BAU'!U123/365.25</f>
        <v>0</v>
      </c>
      <c r="V123" s="60">
        <f>'Air Basin Summary NOx BAU'!V123/365.25</f>
        <v>0</v>
      </c>
      <c r="W123" s="60">
        <f>'Air Basin Summary NOx BAU'!W123/365.25</f>
        <v>0</v>
      </c>
      <c r="X123" s="60">
        <f>'Air Basin Summary NOx BAU'!X123/365.25</f>
        <v>0</v>
      </c>
      <c r="Y123" s="60">
        <f>'Air Basin Summary NOx BAU'!Y123/365.25</f>
        <v>0</v>
      </c>
      <c r="Z123" s="60">
        <f>'Air Basin Summary NOx BAU'!Z123/365.25</f>
        <v>0</v>
      </c>
      <c r="AA123" s="60">
        <f>'Air Basin Summary NOx BAU'!AA123/365.25</f>
        <v>0</v>
      </c>
      <c r="AB123" s="61">
        <f>'Air Basin Summary NOx BAU'!AB123/365.25</f>
        <v>0</v>
      </c>
    </row>
    <row r="124" spans="1:29" ht="14.65" customHeight="1">
      <c r="A124" s="520"/>
      <c r="B124" s="2" t="s">
        <v>259</v>
      </c>
      <c r="C124" s="2" t="s">
        <v>18938</v>
      </c>
      <c r="D124" s="393">
        <f>'Air Basin Summary NOx BAU'!D124/365.25</f>
        <v>0</v>
      </c>
      <c r="E124" s="60">
        <f>'Air Basin Summary NOx BAU'!E124/365.25</f>
        <v>0</v>
      </c>
      <c r="F124" s="60">
        <f>'Air Basin Summary NOx BAU'!F124/365.25</f>
        <v>0</v>
      </c>
      <c r="G124" s="60">
        <f>'Air Basin Summary NOx BAU'!G124/365.25</f>
        <v>0</v>
      </c>
      <c r="H124" s="60">
        <f>'Air Basin Summary NOx BAU'!H124/365.25</f>
        <v>0</v>
      </c>
      <c r="I124" s="60">
        <f>'Air Basin Summary NOx BAU'!I124/365.25</f>
        <v>0</v>
      </c>
      <c r="J124" s="60">
        <f>'Air Basin Summary NOx BAU'!J124/365.25</f>
        <v>0</v>
      </c>
      <c r="K124" s="60">
        <f>'Air Basin Summary NOx BAU'!K124/365.25</f>
        <v>0</v>
      </c>
      <c r="L124" s="60">
        <f>'Air Basin Summary NOx BAU'!L124/365.25</f>
        <v>0</v>
      </c>
      <c r="M124" s="60">
        <f>'Air Basin Summary NOx BAU'!M124/365.25</f>
        <v>0</v>
      </c>
      <c r="N124" s="60">
        <f>'Air Basin Summary NOx BAU'!N124/365.25</f>
        <v>0</v>
      </c>
      <c r="O124" s="60">
        <f>'Air Basin Summary NOx BAU'!O124/365.25</f>
        <v>0</v>
      </c>
      <c r="P124" s="60">
        <f>'Air Basin Summary NOx BAU'!P124/365.25</f>
        <v>0</v>
      </c>
      <c r="Q124" s="60">
        <f>'Air Basin Summary NOx BAU'!Q124/365.25</f>
        <v>0</v>
      </c>
      <c r="R124" s="60">
        <f>'Air Basin Summary NOx BAU'!R124/365.25</f>
        <v>0</v>
      </c>
      <c r="S124" s="60">
        <f>'Air Basin Summary NOx BAU'!S124/365.25</f>
        <v>0</v>
      </c>
      <c r="T124" s="60">
        <f>'Air Basin Summary NOx BAU'!T124/365.25</f>
        <v>0</v>
      </c>
      <c r="U124" s="60">
        <f>'Air Basin Summary NOx BAU'!U124/365.25</f>
        <v>0</v>
      </c>
      <c r="V124" s="60">
        <f>'Air Basin Summary NOx BAU'!V124/365.25</f>
        <v>0</v>
      </c>
      <c r="W124" s="60">
        <f>'Air Basin Summary NOx BAU'!W124/365.25</f>
        <v>0</v>
      </c>
      <c r="X124" s="60">
        <f>'Air Basin Summary NOx BAU'!X124/365.25</f>
        <v>0</v>
      </c>
      <c r="Y124" s="60">
        <f>'Air Basin Summary NOx BAU'!Y124/365.25</f>
        <v>0</v>
      </c>
      <c r="Z124" s="60">
        <f>'Air Basin Summary NOx BAU'!Z124/365.25</f>
        <v>0</v>
      </c>
      <c r="AA124" s="60">
        <f>'Air Basin Summary NOx BAU'!AA124/365.25</f>
        <v>0</v>
      </c>
      <c r="AB124" s="61">
        <f>'Air Basin Summary NOx BAU'!AB124/365.25</f>
        <v>0</v>
      </c>
    </row>
    <row r="125" spans="1:29" ht="14.65" customHeight="1">
      <c r="A125" s="520"/>
      <c r="B125" s="2" t="s">
        <v>260</v>
      </c>
      <c r="C125" s="2" t="s">
        <v>18938</v>
      </c>
      <c r="D125" s="393">
        <f>'Air Basin Summary NOx BAU'!D125/365.25</f>
        <v>0</v>
      </c>
      <c r="E125" s="60">
        <f>'Air Basin Summary NOx BAU'!E125/365.25</f>
        <v>0</v>
      </c>
      <c r="F125" s="60">
        <f>'Air Basin Summary NOx BAU'!F125/365.25</f>
        <v>7.2738789839894491E-3</v>
      </c>
      <c r="G125" s="60">
        <f>'Air Basin Summary NOx BAU'!G125/365.25</f>
        <v>1.4611078378496204E-2</v>
      </c>
      <c r="H125" s="60">
        <f>'Air Basin Summary NOx BAU'!H125/365.25</f>
        <v>1.5097779413705423E-2</v>
      </c>
      <c r="I125" s="60">
        <f>'Air Basin Summary NOx BAU'!I125/365.25</f>
        <v>1.2997314580337304E-2</v>
      </c>
      <c r="J125" s="60">
        <f>'Air Basin Summary NOx BAU'!J125/365.25</f>
        <v>1.0181631809480814E-2</v>
      </c>
      <c r="K125" s="60">
        <f>'Air Basin Summary NOx BAU'!K125/365.25</f>
        <v>9.0704987184506685E-3</v>
      </c>
      <c r="L125" s="60">
        <f>'Air Basin Summary NOx BAU'!L125/365.25</f>
        <v>8.0975027987933764E-3</v>
      </c>
      <c r="M125" s="60">
        <f>'Air Basin Summary NOx BAU'!M125/365.25</f>
        <v>7.2187040452925608E-3</v>
      </c>
      <c r="N125" s="60">
        <f>'Air Basin Summary NOx BAU'!N125/365.25</f>
        <v>6.4698022490209828E-3</v>
      </c>
      <c r="O125" s="60">
        <f>'Air Basin Summary NOx BAU'!O125/365.25</f>
        <v>5.8569573411534634E-3</v>
      </c>
      <c r="P125" s="60">
        <f>'Air Basin Summary NOx BAU'!P125/365.25</f>
        <v>5.3058709057324871E-3</v>
      </c>
      <c r="Q125" s="60">
        <f>'Air Basin Summary NOx BAU'!Q125/365.25</f>
        <v>4.7959305524285685E-3</v>
      </c>
      <c r="R125" s="60">
        <f>'Air Basin Summary NOx BAU'!R125/365.25</f>
        <v>4.5642193332036691E-3</v>
      </c>
      <c r="S125" s="60">
        <f>'Air Basin Summary NOx BAU'!S125/365.25</f>
        <v>4.1875420721419624E-3</v>
      </c>
      <c r="T125" s="60">
        <f>'Air Basin Summary NOx BAU'!T125/365.25</f>
        <v>3.8658143215889716E-3</v>
      </c>
      <c r="U125" s="60">
        <f>'Air Basin Summary NOx BAU'!U125/365.25</f>
        <v>3.8319861012577287E-3</v>
      </c>
      <c r="V125" s="60">
        <f>'Air Basin Summary NOx BAU'!V125/365.25</f>
        <v>3.8507108279722427E-3</v>
      </c>
      <c r="W125" s="60">
        <f>'Air Basin Summary NOx BAU'!W125/365.25</f>
        <v>3.7504622543201665E-3</v>
      </c>
      <c r="X125" s="60">
        <f>'Air Basin Summary NOx BAU'!X125/365.25</f>
        <v>3.5753442110449006E-3</v>
      </c>
      <c r="Y125" s="60">
        <f>'Air Basin Summary NOx BAU'!Y125/365.25</f>
        <v>3.529277299965126E-3</v>
      </c>
      <c r="Z125" s="60">
        <f>'Air Basin Summary NOx BAU'!Z125/365.25</f>
        <v>3.4656137517048461E-3</v>
      </c>
      <c r="AA125" s="60">
        <f>'Air Basin Summary NOx BAU'!AA125/365.25</f>
        <v>3.4105940042074615E-3</v>
      </c>
      <c r="AB125" s="61">
        <f>'Air Basin Summary NOx BAU'!AB125/365.25</f>
        <v>3.2997805514862599E-3</v>
      </c>
    </row>
    <row r="126" spans="1:29" ht="14.65" customHeight="1">
      <c r="A126" s="520"/>
      <c r="B126" s="2" t="s">
        <v>261</v>
      </c>
      <c r="C126" s="2" t="s">
        <v>18938</v>
      </c>
      <c r="D126" s="393">
        <f>'Air Basin Summary NOx BAU'!D126/365.25</f>
        <v>0</v>
      </c>
      <c r="E126" s="60">
        <f>'Air Basin Summary NOx BAU'!E126/365.25</f>
        <v>0</v>
      </c>
      <c r="F126" s="60">
        <f>'Air Basin Summary NOx BAU'!F126/365.25</f>
        <v>0</v>
      </c>
      <c r="G126" s="60">
        <f>'Air Basin Summary NOx BAU'!G126/365.25</f>
        <v>0</v>
      </c>
      <c r="H126" s="60">
        <f>'Air Basin Summary NOx BAU'!H126/365.25</f>
        <v>1.2207255135511026E-5</v>
      </c>
      <c r="I126" s="60">
        <f>'Air Basin Summary NOx BAU'!I126/365.25</f>
        <v>9.2614663837398102E-5</v>
      </c>
      <c r="J126" s="60">
        <f>'Air Basin Summary NOx BAU'!J126/365.25</f>
        <v>1.2375362044428942E-4</v>
      </c>
      <c r="K126" s="60">
        <f>'Air Basin Summary NOx BAU'!K126/365.25</f>
        <v>1.3512606655707483E-4</v>
      </c>
      <c r="L126" s="60">
        <f>'Air Basin Summary NOx BAU'!L126/365.25</f>
        <v>1.3530450656370485E-4</v>
      </c>
      <c r="M126" s="60">
        <f>'Air Basin Summary NOx BAU'!M126/365.25</f>
        <v>1.2963373914501821E-4</v>
      </c>
      <c r="N126" s="60">
        <f>'Air Basin Summary NOx BAU'!N126/365.25</f>
        <v>1.2203422176852287E-4</v>
      </c>
      <c r="O126" s="60">
        <f>'Air Basin Summary NOx BAU'!O126/365.25</f>
        <v>1.1452350266756243E-4</v>
      </c>
      <c r="P126" s="60">
        <f>'Air Basin Summary NOx BAU'!P126/365.25</f>
        <v>1.0834154730986576E-4</v>
      </c>
      <c r="Q126" s="60">
        <f>'Air Basin Summary NOx BAU'!Q126/365.25</f>
        <v>9.9621015587829069E-5</v>
      </c>
      <c r="R126" s="60">
        <f>'Air Basin Summary NOx BAU'!R126/365.25</f>
        <v>9.6376188718368095E-5</v>
      </c>
      <c r="S126" s="60">
        <f>'Air Basin Summary NOx BAU'!S126/365.25</f>
        <v>8.9819120636595333E-5</v>
      </c>
      <c r="T126" s="60">
        <f>'Air Basin Summary NOx BAU'!T126/365.25</f>
        <v>8.4165584057429812E-5</v>
      </c>
      <c r="U126" s="60">
        <f>'Air Basin Summary NOx BAU'!U126/365.25</f>
        <v>7.9303993024929182E-5</v>
      </c>
      <c r="V126" s="60">
        <f>'Air Basin Summary NOx BAU'!V126/365.25</f>
        <v>7.6521359635087262E-5</v>
      </c>
      <c r="W126" s="60">
        <f>'Air Basin Summary NOx BAU'!W126/365.25</f>
        <v>7.4294682494664412E-5</v>
      </c>
      <c r="X126" s="60">
        <f>'Air Basin Summary NOx BAU'!X126/365.25</f>
        <v>7.2490428526008141E-5</v>
      </c>
      <c r="Y126" s="60">
        <f>'Air Basin Summary NOx BAU'!Y126/365.25</f>
        <v>7.0957322490832871E-5</v>
      </c>
      <c r="Z126" s="60">
        <f>'Air Basin Summary NOx BAU'!Z126/365.25</f>
        <v>6.9651683621265852E-5</v>
      </c>
      <c r="AA126" s="60">
        <f>'Air Basin Summary NOx BAU'!AA126/365.25</f>
        <v>6.8592484159264231E-5</v>
      </c>
      <c r="AB126" s="61">
        <f>'Air Basin Summary NOx BAU'!AB126/365.25</f>
        <v>6.7585832196408679E-5</v>
      </c>
    </row>
    <row r="127" spans="1:29" ht="14.65" customHeight="1">
      <c r="A127" s="520"/>
      <c r="B127" s="2" t="s">
        <v>262</v>
      </c>
      <c r="C127" s="2" t="s">
        <v>18938</v>
      </c>
      <c r="D127" s="393">
        <f>'Air Basin Summary NOx BAU'!D127/365.25</f>
        <v>0</v>
      </c>
      <c r="E127" s="60">
        <f>'Air Basin Summary NOx BAU'!E127/365.25</f>
        <v>0</v>
      </c>
      <c r="F127" s="60">
        <f>'Air Basin Summary NOx BAU'!F127/365.25</f>
        <v>4.8492526559929658E-3</v>
      </c>
      <c r="G127" s="60">
        <f>'Air Basin Summary NOx BAU'!G127/365.25</f>
        <v>9.7407189189974725E-3</v>
      </c>
      <c r="H127" s="60">
        <f>'Air Basin Summary NOx BAU'!H127/365.25</f>
        <v>1.0081462615984296E-2</v>
      </c>
      <c r="I127" s="60">
        <f>'Air Basin Summary NOx BAU'!I127/365.25</f>
        <v>8.7883626053413995E-3</v>
      </c>
      <c r="J127" s="60">
        <f>'Air Basin Summary NOx BAU'!J127/365.25</f>
        <v>6.9527593669129299E-3</v>
      </c>
      <c r="K127" s="60">
        <f>'Air Basin Summary NOx BAU'!K127/365.25</f>
        <v>6.2271672343765455E-3</v>
      </c>
      <c r="L127" s="60">
        <f>'Air Basin Summary NOx BAU'!L127/365.25</f>
        <v>5.5787412079471915E-3</v>
      </c>
      <c r="M127" s="60">
        <f>'Air Basin Summary NOx BAU'!M127/365.25</f>
        <v>4.9853143490550646E-3</v>
      </c>
      <c r="N127" s="60">
        <f>'Air Basin Summary NOx BAU'!N127/365.25</f>
        <v>4.475913795038684E-3</v>
      </c>
      <c r="O127" s="60">
        <f>'Air Basin Summary NOx BAU'!O127/365.25</f>
        <v>4.0573362309923927E-3</v>
      </c>
      <c r="P127" s="60">
        <f>'Air Basin Summary NOx BAU'!P127/365.25</f>
        <v>3.6817026669014796E-3</v>
      </c>
      <c r="Q127" s="60">
        <f>'Air Basin Summary NOx BAU'!Q127/365.25</f>
        <v>3.3301150557361512E-3</v>
      </c>
      <c r="R127" s="60">
        <f>'Air Basin Summary NOx BAU'!R127/365.25</f>
        <v>3.1713144737602699E-3</v>
      </c>
      <c r="S127" s="60">
        <f>'Air Basin Summary NOx BAU'!S127/365.25</f>
        <v>2.9114535422767691E-3</v>
      </c>
      <c r="T127" s="60">
        <f>'Air Basin Summary NOx BAU'!T127/365.25</f>
        <v>2.6894303264692206E-3</v>
      </c>
      <c r="U127" s="60">
        <f>'Air Basin Summary NOx BAU'!U127/365.25</f>
        <v>2.6603960582050586E-3</v>
      </c>
      <c r="V127" s="60">
        <f>'Air Basin Summary NOx BAU'!V127/365.25</f>
        <v>2.669169031494945E-3</v>
      </c>
      <c r="W127" s="60">
        <f>'Air Basin Summary NOx BAU'!W127/365.25</f>
        <v>2.5993677462063302E-3</v>
      </c>
      <c r="X127" s="60">
        <f>'Air Basin Summary NOx BAU'!X127/365.25</f>
        <v>2.4802167120646121E-3</v>
      </c>
      <c r="Y127" s="60">
        <f>'Air Basin Summary NOx BAU'!Y127/365.25</f>
        <v>2.447461296631195E-3</v>
      </c>
      <c r="Z127" s="60">
        <f>'Air Basin Summary NOx BAU'!Z127/365.25</f>
        <v>2.403278079298252E-3</v>
      </c>
      <c r="AA127" s="60">
        <f>'Air Basin Summary NOx BAU'!AA127/365.25</f>
        <v>2.3651859816839938E-3</v>
      </c>
      <c r="AB127" s="61">
        <f>'Air Basin Summary NOx BAU'!AB127/365.25</f>
        <v>2.289968143919385E-3</v>
      </c>
    </row>
    <row r="128" spans="1:29" ht="14.65" customHeight="1">
      <c r="A128" s="520"/>
      <c r="B128" s="2" t="s">
        <v>263</v>
      </c>
      <c r="C128" s="2" t="s">
        <v>18938</v>
      </c>
      <c r="D128" s="393">
        <f>'Air Basin Summary NOx BAU'!D128/365.25</f>
        <v>0</v>
      </c>
      <c r="E128" s="60">
        <f>'Air Basin Summary NOx BAU'!E128/365.25</f>
        <v>0</v>
      </c>
      <c r="F128" s="60">
        <f>'Air Basin Summary NOx BAU'!F128/365.25</f>
        <v>1.4547757967978898E-2</v>
      </c>
      <c r="G128" s="60">
        <f>'Air Basin Summary NOx BAU'!G128/365.25</f>
        <v>2.9222156756992409E-2</v>
      </c>
      <c r="H128" s="60">
        <f>'Air Basin Summary NOx BAU'!H128/365.25</f>
        <v>3.0213038366888493E-2</v>
      </c>
      <c r="I128" s="60">
        <f>'Air Basin Summary NOx BAU'!I128/365.25</f>
        <v>2.6127261120352296E-2</v>
      </c>
      <c r="J128" s="60">
        <f>'Air Basin Summary NOx BAU'!J128/365.25</f>
        <v>2.0540530937697886E-2</v>
      </c>
      <c r="K128" s="60">
        <f>'Air Basin Summary NOx BAU'!K128/365.25</f>
        <v>1.8334586852014931E-2</v>
      </c>
      <c r="L128" s="60">
        <f>'Air Basin Summary NOx BAU'!L128/365.25</f>
        <v>1.6388885444246423E-2</v>
      </c>
      <c r="M128" s="60">
        <f>'Air Basin Summary NOx BAU'!M128/365.25</f>
        <v>1.4623197654969375E-2</v>
      </c>
      <c r="N128" s="60">
        <f>'Air Basin Summary NOx BAU'!N128/365.25</f>
        <v>1.3114537504464369E-2</v>
      </c>
      <c r="O128" s="60">
        <f>'Air Basin Summary NOx BAU'!O128/365.25</f>
        <v>1.1878115336151912E-2</v>
      </c>
      <c r="P128" s="60">
        <f>'Air Basin Summary NOx BAU'!P128/365.25</f>
        <v>1.0767110599428422E-2</v>
      </c>
      <c r="Q128" s="60">
        <f>'Air Basin Summary NOx BAU'!Q128/365.25</f>
        <v>9.7347558702029786E-3</v>
      </c>
      <c r="R128" s="60">
        <f>'Air Basin Summary NOx BAU'!R128/365.25</f>
        <v>9.2667103174072212E-3</v>
      </c>
      <c r="S128" s="60">
        <f>'Air Basin Summary NOx BAU'!S128/365.25</f>
        <v>8.5039777975457406E-3</v>
      </c>
      <c r="T128" s="60">
        <f>'Air Basin Summary NOx BAU'!T128/365.25</f>
        <v>7.8524372136046447E-3</v>
      </c>
      <c r="U128" s="60">
        <f>'Air Basin Summary NOx BAU'!U128/365.25</f>
        <v>7.7778101713662489E-3</v>
      </c>
      <c r="V128" s="60">
        <f>'Air Basin Summary NOx BAU'!V128/365.25</f>
        <v>7.8112742156463228E-3</v>
      </c>
      <c r="W128" s="60">
        <f>'Air Basin Summary NOx BAU'!W128/365.25</f>
        <v>7.6075990784005938E-3</v>
      </c>
      <c r="X128" s="60">
        <f>'Air Basin Summary NOx BAU'!X128/365.25</f>
        <v>7.2547983733210041E-3</v>
      </c>
      <c r="Y128" s="60">
        <f>'Air Basin Summary NOx BAU'!Y128/365.25</f>
        <v>7.1604789537608737E-3</v>
      </c>
      <c r="Z128" s="60">
        <f>'Air Basin Summary NOx BAU'!Z128/365.25</f>
        <v>7.0312946516589356E-3</v>
      </c>
      <c r="AA128" s="60">
        <f>'Air Basin Summary NOx BAU'!AA128/365.25</f>
        <v>6.9197516876788557E-3</v>
      </c>
      <c r="AB128" s="61">
        <f>'Air Basin Summary NOx BAU'!AB128/365.25</f>
        <v>6.6967021904489237E-3</v>
      </c>
    </row>
    <row r="129" spans="1:29" ht="14.65" customHeight="1">
      <c r="A129" s="520"/>
      <c r="B129" s="2" t="s">
        <v>265</v>
      </c>
      <c r="C129" s="2" t="s">
        <v>18938</v>
      </c>
      <c r="D129" s="393">
        <f>'Air Basin Summary NOx BAU'!D129/365.25</f>
        <v>0</v>
      </c>
      <c r="E129" s="60">
        <f>'Air Basin Summary NOx BAU'!E129/365.25</f>
        <v>0</v>
      </c>
      <c r="F129" s="60">
        <f>'Air Basin Summary NOx BAU'!F129/365.25</f>
        <v>7.2738789839894491E-3</v>
      </c>
      <c r="G129" s="60">
        <f>'Air Basin Summary NOx BAU'!G129/365.25</f>
        <v>1.4611078378496204E-2</v>
      </c>
      <c r="H129" s="60">
        <f>'Air Basin Summary NOx BAU'!H129/365.25</f>
        <v>1.5165750660176353E-2</v>
      </c>
      <c r="I129" s="60">
        <f>'Air Basin Summary NOx BAU'!I129/365.25</f>
        <v>1.3512985267521399E-2</v>
      </c>
      <c r="J129" s="60">
        <f>'Air Basin Summary NOx BAU'!J129/365.25</f>
        <v>1.0870639833854584E-2</v>
      </c>
      <c r="K129" s="60">
        <f>'Air Basin Summary NOx BAU'!K129/365.25</f>
        <v>9.8227917692366006E-3</v>
      </c>
      <c r="L129" s="60">
        <f>'Air Basin Summary NOx BAU'!L129/365.25</f>
        <v>8.8507544980796406E-3</v>
      </c>
      <c r="M129" s="60">
        <f>'Air Basin Summary NOx BAU'!M129/365.25</f>
        <v>7.9403506549234337E-3</v>
      </c>
      <c r="N129" s="60">
        <f>'Air Basin Summary NOx BAU'!N129/365.25</f>
        <v>7.1491087949782373E-3</v>
      </c>
      <c r="O129" s="60">
        <f>'Air Basin Summary NOx BAU'!O129/365.25</f>
        <v>6.4944212059814144E-3</v>
      </c>
      <c r="P129" s="60">
        <f>'Air Basin Summary NOx BAU'!P129/365.25</f>
        <v>5.9088929489381006E-3</v>
      </c>
      <c r="Q129" s="60">
        <f>'Air Basin Summary NOx BAU'!Q129/365.25</f>
        <v>5.350382896197531E-3</v>
      </c>
      <c r="R129" s="60">
        <f>'Air Basin Summary NOx BAU'!R129/365.25</f>
        <v>5.100581003232363E-3</v>
      </c>
      <c r="S129" s="60">
        <f>'Air Basin Summary NOx BAU'!S129/365.25</f>
        <v>4.6873822633363123E-3</v>
      </c>
      <c r="T129" s="60">
        <f>'Air Basin Summary NOx BAU'!T129/365.25</f>
        <v>4.3341648395642772E-3</v>
      </c>
      <c r="U129" s="60">
        <f>'Air Basin Summary NOx BAU'!U129/365.25</f>
        <v>4.2732760835814424E-3</v>
      </c>
      <c r="V129" s="60">
        <f>'Air Basin Summary NOx BAU'!V129/365.25</f>
        <v>4.2765077857160163E-3</v>
      </c>
      <c r="W129" s="60">
        <f>'Air Basin Summary NOx BAU'!W129/365.25</f>
        <v>4.1638504620225567E-3</v>
      </c>
      <c r="X129" s="60">
        <f>'Air Basin Summary NOx BAU'!X129/365.25</f>
        <v>3.9786672594957556E-3</v>
      </c>
      <c r="Y129" s="60">
        <f>'Air Basin Summary NOx BAU'!Y129/365.25</f>
        <v>3.9240542035703339E-3</v>
      </c>
      <c r="Z129" s="60">
        <f>'Air Basin Summary NOx BAU'!Z129/365.25</f>
        <v>3.8531083888044652E-3</v>
      </c>
      <c r="AA129" s="60">
        <f>'Air Basin Summary NOx BAU'!AA129/365.25</f>
        <v>3.7921777140583783E-3</v>
      </c>
      <c r="AB129" s="61">
        <f>'Air Basin Summary NOx BAU'!AB129/365.25</f>
        <v>3.6757402893847161E-3</v>
      </c>
    </row>
    <row r="130" spans="1:29" ht="14.65" customHeight="1">
      <c r="A130" s="520"/>
      <c r="B130" s="2" t="s">
        <v>267</v>
      </c>
      <c r="C130" s="2" t="s">
        <v>18938</v>
      </c>
      <c r="D130" s="393">
        <f>'Air Basin Summary NOx BAU'!D130/365.25</f>
        <v>0</v>
      </c>
      <c r="E130" s="60">
        <f>'Air Basin Summary NOx BAU'!E130/365.25</f>
        <v>0</v>
      </c>
      <c r="F130" s="60">
        <f>'Air Basin Summary NOx BAU'!F130/365.25</f>
        <v>0</v>
      </c>
      <c r="G130" s="60">
        <f>'Air Basin Summary NOx BAU'!G130/365.25</f>
        <v>0</v>
      </c>
      <c r="H130" s="60">
        <f>'Air Basin Summary NOx BAU'!H130/365.25</f>
        <v>0</v>
      </c>
      <c r="I130" s="60">
        <f>'Air Basin Summary NOx BAU'!I130/365.25</f>
        <v>0</v>
      </c>
      <c r="J130" s="60">
        <f>'Air Basin Summary NOx BAU'!J130/365.25</f>
        <v>0</v>
      </c>
      <c r="K130" s="60">
        <f>'Air Basin Summary NOx BAU'!K130/365.25</f>
        <v>0</v>
      </c>
      <c r="L130" s="60">
        <f>'Air Basin Summary NOx BAU'!L130/365.25</f>
        <v>0</v>
      </c>
      <c r="M130" s="60">
        <f>'Air Basin Summary NOx BAU'!M130/365.25</f>
        <v>0</v>
      </c>
      <c r="N130" s="60">
        <f>'Air Basin Summary NOx BAU'!N130/365.25</f>
        <v>0</v>
      </c>
      <c r="O130" s="60">
        <f>'Air Basin Summary NOx BAU'!O130/365.25</f>
        <v>0</v>
      </c>
      <c r="P130" s="60">
        <f>'Air Basin Summary NOx BAU'!P130/365.25</f>
        <v>0</v>
      </c>
      <c r="Q130" s="60">
        <f>'Air Basin Summary NOx BAU'!Q130/365.25</f>
        <v>0</v>
      </c>
      <c r="R130" s="60">
        <f>'Air Basin Summary NOx BAU'!R130/365.25</f>
        <v>0</v>
      </c>
      <c r="S130" s="60">
        <f>'Air Basin Summary NOx BAU'!S130/365.25</f>
        <v>0</v>
      </c>
      <c r="T130" s="60">
        <f>'Air Basin Summary NOx BAU'!T130/365.25</f>
        <v>0</v>
      </c>
      <c r="U130" s="60">
        <f>'Air Basin Summary NOx BAU'!U130/365.25</f>
        <v>0</v>
      </c>
      <c r="V130" s="60">
        <f>'Air Basin Summary NOx BAU'!V130/365.25</f>
        <v>0</v>
      </c>
      <c r="W130" s="60">
        <f>'Air Basin Summary NOx BAU'!W130/365.25</f>
        <v>0</v>
      </c>
      <c r="X130" s="60">
        <f>'Air Basin Summary NOx BAU'!X130/365.25</f>
        <v>0</v>
      </c>
      <c r="Y130" s="60">
        <f>'Air Basin Summary NOx BAU'!Y130/365.25</f>
        <v>0</v>
      </c>
      <c r="Z130" s="60">
        <f>'Air Basin Summary NOx BAU'!Z130/365.25</f>
        <v>0</v>
      </c>
      <c r="AA130" s="60">
        <f>'Air Basin Summary NOx BAU'!AA130/365.25</f>
        <v>0</v>
      </c>
      <c r="AB130" s="61">
        <f>'Air Basin Summary NOx BAU'!AB130/365.25</f>
        <v>0</v>
      </c>
    </row>
    <row r="131" spans="1:29" ht="14.65" customHeight="1">
      <c r="A131" s="520"/>
      <c r="B131" s="2" t="s">
        <v>268</v>
      </c>
      <c r="C131" s="2" t="s">
        <v>18938</v>
      </c>
      <c r="D131" s="394">
        <f>'Air Basin Summary NOx BAU'!D131/365.25</f>
        <v>0</v>
      </c>
      <c r="E131" s="64">
        <f>'Air Basin Summary NOx BAU'!E131/365.25</f>
        <v>0</v>
      </c>
      <c r="F131" s="64">
        <f>'Air Basin Summary NOx BAU'!F131/365.25</f>
        <v>1.4547757967978898E-2</v>
      </c>
      <c r="G131" s="64">
        <f>'Air Basin Summary NOx BAU'!G131/365.25</f>
        <v>2.9222156756992409E-2</v>
      </c>
      <c r="H131" s="64">
        <f>'Air Basin Summary NOx BAU'!H131/365.25</f>
        <v>3.0244387847952886E-2</v>
      </c>
      <c r="I131" s="64">
        <f>'Air Basin Summary NOx BAU'!I131/365.25</f>
        <v>2.6365087816024198E-2</v>
      </c>
      <c r="J131" s="64">
        <f>'Air Basin Summary NOx BAU'!J131/365.25</f>
        <v>2.0858278100738786E-2</v>
      </c>
      <c r="K131" s="64">
        <f>'Air Basin Summary NOx BAU'!K131/365.25</f>
        <v>1.8681501703129638E-2</v>
      </c>
      <c r="L131" s="64">
        <f>'Air Basin Summary NOx BAU'!L131/365.25</f>
        <v>1.673622362384157E-2</v>
      </c>
      <c r="M131" s="64">
        <f>'Air Basin Summary NOx BAU'!M131/365.25</f>
        <v>1.4955943047165195E-2</v>
      </c>
      <c r="N131" s="64">
        <f>'Air Basin Summary NOx BAU'!N131/365.25</f>
        <v>1.3427741385116055E-2</v>
      </c>
      <c r="O131" s="64">
        <f>'Air Basin Summary NOx BAU'!O131/365.25</f>
        <v>1.2172008692977175E-2</v>
      </c>
      <c r="P131" s="64">
        <f>'Air Basin Summary NOx BAU'!P131/365.25</f>
        <v>1.1045108000704438E-2</v>
      </c>
      <c r="Q131" s="64">
        <f>'Air Basin Summary NOx BAU'!Q131/365.25</f>
        <v>9.9903451672084531E-3</v>
      </c>
      <c r="R131" s="64">
        <f>'Air Basin Summary NOx BAU'!R131/365.25</f>
        <v>9.5139434212808092E-3</v>
      </c>
      <c r="S131" s="64">
        <f>'Air Basin Summary NOx BAU'!S131/365.25</f>
        <v>8.7343606268303047E-3</v>
      </c>
      <c r="T131" s="64">
        <f>'Air Basin Summary NOx BAU'!T131/365.25</f>
        <v>8.0682909794076614E-3</v>
      </c>
      <c r="U131" s="64">
        <f>'Air Basin Summary NOx BAU'!U131/365.25</f>
        <v>7.9811881746151749E-3</v>
      </c>
      <c r="V131" s="64">
        <f>'Air Basin Summary NOx BAU'!V131/365.25</f>
        <v>8.0075070944848337E-3</v>
      </c>
      <c r="W131" s="64">
        <f>'Air Basin Summary NOx BAU'!W131/365.25</f>
        <v>7.7981032386189907E-3</v>
      </c>
      <c r="X131" s="64">
        <f>'Air Basin Summary NOx BAU'!X131/365.25</f>
        <v>7.440650136193834E-3</v>
      </c>
      <c r="Y131" s="64">
        <f>'Air Basin Summary NOx BAU'!Y131/365.25</f>
        <v>7.3423838898935816E-3</v>
      </c>
      <c r="Z131" s="64">
        <f>'Air Basin Summary NOx BAU'!Z131/365.25</f>
        <v>7.2098342378947569E-3</v>
      </c>
      <c r="AA131" s="64">
        <f>'Air Basin Summary NOx BAU'!AA131/365.25</f>
        <v>7.0955579450519791E-3</v>
      </c>
      <c r="AB131" s="65">
        <f>'Air Basin Summary NOx BAU'!AB131/365.25</f>
        <v>6.8699044317581531E-3</v>
      </c>
    </row>
    <row r="132" spans="1:29" ht="14.65" customHeight="1">
      <c r="A132" s="520"/>
      <c r="B132" s="72" t="s">
        <v>270</v>
      </c>
      <c r="C132" s="72" t="s">
        <v>18938</v>
      </c>
      <c r="D132" s="175">
        <f>'Air Basin Summary NOx BAU'!D132/365.25</f>
        <v>0</v>
      </c>
      <c r="E132" s="175">
        <f>'Air Basin Summary NOx BAU'!E132/365.25</f>
        <v>0</v>
      </c>
      <c r="F132" s="175">
        <f>'Air Basin Summary NOx BAU'!F132/365.25</f>
        <v>4.8492526559929659E-2</v>
      </c>
      <c r="G132" s="175">
        <f>'Air Basin Summary NOx BAU'!G132/365.25</f>
        <v>9.7407189189974694E-2</v>
      </c>
      <c r="H132" s="175">
        <f>'Air Basin Summary NOx BAU'!H132/365.25</f>
        <v>0.10081462615984296</v>
      </c>
      <c r="I132" s="175">
        <f>'Air Basin Summary NOx BAU'!I132/365.25</f>
        <v>8.7883626053413974E-2</v>
      </c>
      <c r="J132" s="175">
        <f>'Air Basin Summary NOx BAU'!J132/365.25</f>
        <v>6.9527593669129292E-2</v>
      </c>
      <c r="K132" s="175">
        <f>'Air Basin Summary NOx BAU'!K132/365.25</f>
        <v>6.2271672343765461E-2</v>
      </c>
      <c r="L132" s="175">
        <f>'Air Basin Summary NOx BAU'!L132/365.25</f>
        <v>5.578741207947191E-2</v>
      </c>
      <c r="M132" s="175">
        <f>'Air Basin Summary NOx BAU'!M132/365.25</f>
        <v>4.9853143490550651E-2</v>
      </c>
      <c r="N132" s="175">
        <f>'Air Basin Summary NOx BAU'!N132/365.25</f>
        <v>4.4759137950386843E-2</v>
      </c>
      <c r="O132" s="175">
        <f>'Air Basin Summary NOx BAU'!O132/365.25</f>
        <v>4.0573362309923922E-2</v>
      </c>
      <c r="P132" s="175">
        <f>'Air Basin Summary NOx BAU'!P132/365.25</f>
        <v>3.6817026669014791E-2</v>
      </c>
      <c r="Q132" s="175">
        <f>'Air Basin Summary NOx BAU'!Q132/365.25</f>
        <v>3.3301150557361513E-2</v>
      </c>
      <c r="R132" s="175">
        <f>'Air Basin Summary NOx BAU'!R132/365.25</f>
        <v>3.17131447376027E-2</v>
      </c>
      <c r="S132" s="175">
        <f>'Air Basin Summary NOx BAU'!S132/365.25</f>
        <v>2.9114535422767686E-2</v>
      </c>
      <c r="T132" s="175">
        <f>'Air Basin Summary NOx BAU'!T132/365.25</f>
        <v>2.6894303264692204E-2</v>
      </c>
      <c r="U132" s="175">
        <f>'Air Basin Summary NOx BAU'!U132/365.25</f>
        <v>2.6603960582050581E-2</v>
      </c>
      <c r="V132" s="175">
        <f>'Air Basin Summary NOx BAU'!V132/365.25</f>
        <v>2.6691690314949449E-2</v>
      </c>
      <c r="W132" s="175">
        <f>'Air Basin Summary NOx BAU'!W132/365.25</f>
        <v>2.5993677462063304E-2</v>
      </c>
      <c r="X132" s="175">
        <f>'Air Basin Summary NOx BAU'!X132/365.25</f>
        <v>2.4802167120646111E-2</v>
      </c>
      <c r="Y132" s="175">
        <f>'Air Basin Summary NOx BAU'!Y132/365.25</f>
        <v>2.4474612966311943E-2</v>
      </c>
      <c r="Z132" s="175">
        <f>'Air Basin Summary NOx BAU'!Z132/365.25</f>
        <v>2.4032780792982524E-2</v>
      </c>
      <c r="AA132" s="175">
        <f>'Air Basin Summary NOx BAU'!AA132/365.25</f>
        <v>2.365185981683993E-2</v>
      </c>
      <c r="AB132" s="175">
        <f>'Air Basin Summary NOx BAU'!AB132/365.25</f>
        <v>2.2899681439193846E-2</v>
      </c>
      <c r="AC132" s="66"/>
    </row>
    <row r="133" spans="1:29" ht="14.65" customHeight="1">
      <c r="A133" s="520"/>
    </row>
    <row r="134" spans="1:29" ht="15.6" customHeight="1">
      <c r="A134" s="520"/>
      <c r="B134" s="86"/>
      <c r="C134" s="86"/>
      <c r="D134" s="519" t="s">
        <v>18934</v>
      </c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</row>
    <row r="135" spans="1:29" ht="14.65" customHeight="1">
      <c r="A135" s="520"/>
      <c r="B135" s="88" t="s">
        <v>18814</v>
      </c>
      <c r="C135" s="90">
        <f>'BAU Comparison - Production'!C203</f>
        <v>0</v>
      </c>
      <c r="D135" s="89">
        <v>2022</v>
      </c>
      <c r="E135" s="89">
        <v>2023</v>
      </c>
      <c r="F135" s="89">
        <v>2024</v>
      </c>
      <c r="G135" s="89">
        <v>2025</v>
      </c>
      <c r="H135" s="89">
        <v>2026</v>
      </c>
      <c r="I135" s="89">
        <v>2027</v>
      </c>
      <c r="J135" s="89">
        <v>2028</v>
      </c>
      <c r="K135" s="89">
        <v>2029</v>
      </c>
      <c r="L135" s="90">
        <v>2030</v>
      </c>
      <c r="M135" s="89">
        <v>2031</v>
      </c>
      <c r="N135" s="89">
        <v>2032</v>
      </c>
      <c r="O135" s="89">
        <v>2033</v>
      </c>
      <c r="P135" s="89">
        <v>2034</v>
      </c>
      <c r="Q135" s="89">
        <v>2035</v>
      </c>
      <c r="R135" s="89">
        <v>2036</v>
      </c>
      <c r="S135" s="89">
        <v>2037</v>
      </c>
      <c r="T135" s="89">
        <v>2038</v>
      </c>
      <c r="U135" s="90">
        <v>2039</v>
      </c>
      <c r="V135" s="89">
        <v>2040</v>
      </c>
      <c r="W135" s="89">
        <v>2041</v>
      </c>
      <c r="X135" s="89">
        <v>2042</v>
      </c>
      <c r="Y135" s="89">
        <v>2043</v>
      </c>
      <c r="Z135" s="89">
        <v>2044</v>
      </c>
      <c r="AA135" s="89">
        <v>2045</v>
      </c>
      <c r="AB135" s="89">
        <v>2046</v>
      </c>
    </row>
    <row r="136" spans="1:29" ht="14.65" customHeight="1">
      <c r="A136" s="520"/>
      <c r="B136" s="2" t="s">
        <v>249</v>
      </c>
      <c r="C136" s="2" t="s">
        <v>18938</v>
      </c>
      <c r="D136" s="104">
        <f>'Air Basin Summary NOx BAU'!D136/365.25</f>
        <v>0</v>
      </c>
      <c r="E136" s="79">
        <f>'Air Basin Summary NOx BAU'!E136/365.25</f>
        <v>0</v>
      </c>
      <c r="F136" s="79">
        <f>'Air Basin Summary NOx BAU'!F136/365.25</f>
        <v>0</v>
      </c>
      <c r="G136" s="79">
        <f>'Air Basin Summary NOx BAU'!G136/365.25</f>
        <v>0</v>
      </c>
      <c r="H136" s="79">
        <f>'Air Basin Summary NOx BAU'!H136/365.25</f>
        <v>0</v>
      </c>
      <c r="I136" s="79">
        <f>'Air Basin Summary NOx BAU'!I136/365.25</f>
        <v>0</v>
      </c>
      <c r="J136" s="79">
        <f>'Air Basin Summary NOx BAU'!J136/365.25</f>
        <v>0</v>
      </c>
      <c r="K136" s="79">
        <f>'Air Basin Summary NOx BAU'!K136/365.25</f>
        <v>0</v>
      </c>
      <c r="L136" s="79">
        <f>'Air Basin Summary NOx BAU'!L136/365.25</f>
        <v>0</v>
      </c>
      <c r="M136" s="79">
        <f>'Air Basin Summary NOx BAU'!M136/365.25</f>
        <v>0</v>
      </c>
      <c r="N136" s="79">
        <f>'Air Basin Summary NOx BAU'!N136/365.25</f>
        <v>0</v>
      </c>
      <c r="O136" s="79">
        <f>'Air Basin Summary NOx BAU'!O136/365.25</f>
        <v>0</v>
      </c>
      <c r="P136" s="79">
        <f>'Air Basin Summary NOx BAU'!P136/365.25</f>
        <v>0</v>
      </c>
      <c r="Q136" s="79">
        <f>'Air Basin Summary NOx BAU'!Q136/365.25</f>
        <v>0</v>
      </c>
      <c r="R136" s="79">
        <f>'Air Basin Summary NOx BAU'!R136/365.25</f>
        <v>0</v>
      </c>
      <c r="S136" s="79">
        <f>'Air Basin Summary NOx BAU'!S136/365.25</f>
        <v>0</v>
      </c>
      <c r="T136" s="79">
        <f>'Air Basin Summary NOx BAU'!T136/365.25</f>
        <v>0</v>
      </c>
      <c r="U136" s="79">
        <f>'Air Basin Summary NOx BAU'!U136/365.25</f>
        <v>0</v>
      </c>
      <c r="V136" s="79">
        <f>'Air Basin Summary NOx BAU'!V136/365.25</f>
        <v>0</v>
      </c>
      <c r="W136" s="79">
        <f>'Air Basin Summary NOx BAU'!W136/365.25</f>
        <v>0</v>
      </c>
      <c r="X136" s="79">
        <f>'Air Basin Summary NOx BAU'!X136/365.25</f>
        <v>0</v>
      </c>
      <c r="Y136" s="79">
        <f>'Air Basin Summary NOx BAU'!Y136/365.25</f>
        <v>0</v>
      </c>
      <c r="Z136" s="79">
        <f>'Air Basin Summary NOx BAU'!Z136/365.25</f>
        <v>0</v>
      </c>
      <c r="AA136" s="79">
        <f>'Air Basin Summary NOx BAU'!AA136/365.25</f>
        <v>0</v>
      </c>
      <c r="AB136" s="80">
        <f>'Air Basin Summary NOx BAU'!AB136/365.25</f>
        <v>0</v>
      </c>
    </row>
    <row r="137" spans="1:29" ht="14.65" customHeight="1">
      <c r="A137" s="520"/>
      <c r="B137" s="2" t="s">
        <v>251</v>
      </c>
      <c r="C137" s="2" t="s">
        <v>18938</v>
      </c>
      <c r="D137" s="393">
        <f>'Air Basin Summary NOx BAU'!D137/365.25</f>
        <v>0</v>
      </c>
      <c r="E137" s="60">
        <f>'Air Basin Summary NOx BAU'!E137/365.25</f>
        <v>0</v>
      </c>
      <c r="F137" s="60">
        <f>'Air Basin Summary NOx BAU'!F137/365.25</f>
        <v>0</v>
      </c>
      <c r="G137" s="60">
        <f>'Air Basin Summary NOx BAU'!G137/365.25</f>
        <v>0</v>
      </c>
      <c r="H137" s="60">
        <f>'Air Basin Summary NOx BAU'!H137/365.25</f>
        <v>0</v>
      </c>
      <c r="I137" s="60">
        <f>'Air Basin Summary NOx BAU'!I137/365.25</f>
        <v>0</v>
      </c>
      <c r="J137" s="60">
        <f>'Air Basin Summary NOx BAU'!J137/365.25</f>
        <v>0</v>
      </c>
      <c r="K137" s="60">
        <f>'Air Basin Summary NOx BAU'!K137/365.25</f>
        <v>0</v>
      </c>
      <c r="L137" s="60">
        <f>'Air Basin Summary NOx BAU'!L137/365.25</f>
        <v>0</v>
      </c>
      <c r="M137" s="60">
        <f>'Air Basin Summary NOx BAU'!M137/365.25</f>
        <v>0</v>
      </c>
      <c r="N137" s="60">
        <f>'Air Basin Summary NOx BAU'!N137/365.25</f>
        <v>0</v>
      </c>
      <c r="O137" s="60">
        <f>'Air Basin Summary NOx BAU'!O137/365.25</f>
        <v>0</v>
      </c>
      <c r="P137" s="60">
        <f>'Air Basin Summary NOx BAU'!P137/365.25</f>
        <v>0</v>
      </c>
      <c r="Q137" s="60">
        <f>'Air Basin Summary NOx BAU'!Q137/365.25</f>
        <v>0</v>
      </c>
      <c r="R137" s="60">
        <f>'Air Basin Summary NOx BAU'!R137/365.25</f>
        <v>0</v>
      </c>
      <c r="S137" s="60">
        <f>'Air Basin Summary NOx BAU'!S137/365.25</f>
        <v>0</v>
      </c>
      <c r="T137" s="60">
        <f>'Air Basin Summary NOx BAU'!T137/365.25</f>
        <v>0</v>
      </c>
      <c r="U137" s="60">
        <f>'Air Basin Summary NOx BAU'!U137/365.25</f>
        <v>0</v>
      </c>
      <c r="V137" s="60">
        <f>'Air Basin Summary NOx BAU'!V137/365.25</f>
        <v>0</v>
      </c>
      <c r="W137" s="60">
        <f>'Air Basin Summary NOx BAU'!W137/365.25</f>
        <v>0</v>
      </c>
      <c r="X137" s="60">
        <f>'Air Basin Summary NOx BAU'!X137/365.25</f>
        <v>0</v>
      </c>
      <c r="Y137" s="60">
        <f>'Air Basin Summary NOx BAU'!Y137/365.25</f>
        <v>0</v>
      </c>
      <c r="Z137" s="60">
        <f>'Air Basin Summary NOx BAU'!Z137/365.25</f>
        <v>0</v>
      </c>
      <c r="AA137" s="60">
        <f>'Air Basin Summary NOx BAU'!AA137/365.25</f>
        <v>0</v>
      </c>
      <c r="AB137" s="61">
        <f>'Air Basin Summary NOx BAU'!AB137/365.25</f>
        <v>0</v>
      </c>
    </row>
    <row r="138" spans="1:29" ht="14.65" customHeight="1">
      <c r="A138" s="520"/>
      <c r="B138" s="2" t="s">
        <v>253</v>
      </c>
      <c r="C138" s="2" t="s">
        <v>18938</v>
      </c>
      <c r="D138" s="393">
        <f>'Air Basin Summary NOx BAU'!D138/365.25</f>
        <v>0</v>
      </c>
      <c r="E138" s="60">
        <f>'Air Basin Summary NOx BAU'!E138/365.25</f>
        <v>0</v>
      </c>
      <c r="F138" s="60">
        <f>'Air Basin Summary NOx BAU'!F138/365.25</f>
        <v>0</v>
      </c>
      <c r="G138" s="60">
        <f>'Air Basin Summary NOx BAU'!G138/365.25</f>
        <v>0</v>
      </c>
      <c r="H138" s="60">
        <f>'Air Basin Summary NOx BAU'!H138/365.25</f>
        <v>0</v>
      </c>
      <c r="I138" s="60">
        <f>'Air Basin Summary NOx BAU'!I138/365.25</f>
        <v>0</v>
      </c>
      <c r="J138" s="60">
        <f>'Air Basin Summary NOx BAU'!J138/365.25</f>
        <v>0</v>
      </c>
      <c r="K138" s="60">
        <f>'Air Basin Summary NOx BAU'!K138/365.25</f>
        <v>0</v>
      </c>
      <c r="L138" s="60">
        <f>'Air Basin Summary NOx BAU'!L138/365.25</f>
        <v>0</v>
      </c>
      <c r="M138" s="60">
        <f>'Air Basin Summary NOx BAU'!M138/365.25</f>
        <v>0</v>
      </c>
      <c r="N138" s="60">
        <f>'Air Basin Summary NOx BAU'!N138/365.25</f>
        <v>0</v>
      </c>
      <c r="O138" s="60">
        <f>'Air Basin Summary NOx BAU'!O138/365.25</f>
        <v>0</v>
      </c>
      <c r="P138" s="60">
        <f>'Air Basin Summary NOx BAU'!P138/365.25</f>
        <v>0</v>
      </c>
      <c r="Q138" s="60">
        <f>'Air Basin Summary NOx BAU'!Q138/365.25</f>
        <v>0</v>
      </c>
      <c r="R138" s="60">
        <f>'Air Basin Summary NOx BAU'!R138/365.25</f>
        <v>0</v>
      </c>
      <c r="S138" s="60">
        <f>'Air Basin Summary NOx BAU'!S138/365.25</f>
        <v>0</v>
      </c>
      <c r="T138" s="60">
        <f>'Air Basin Summary NOx BAU'!T138/365.25</f>
        <v>0</v>
      </c>
      <c r="U138" s="60">
        <f>'Air Basin Summary NOx BAU'!U138/365.25</f>
        <v>0</v>
      </c>
      <c r="V138" s="60">
        <f>'Air Basin Summary NOx BAU'!V138/365.25</f>
        <v>0</v>
      </c>
      <c r="W138" s="60">
        <f>'Air Basin Summary NOx BAU'!W138/365.25</f>
        <v>0</v>
      </c>
      <c r="X138" s="60">
        <f>'Air Basin Summary NOx BAU'!X138/365.25</f>
        <v>0</v>
      </c>
      <c r="Y138" s="60">
        <f>'Air Basin Summary NOx BAU'!Y138/365.25</f>
        <v>0</v>
      </c>
      <c r="Z138" s="60">
        <f>'Air Basin Summary NOx BAU'!Z138/365.25</f>
        <v>0</v>
      </c>
      <c r="AA138" s="60">
        <f>'Air Basin Summary NOx BAU'!AA138/365.25</f>
        <v>0</v>
      </c>
      <c r="AB138" s="61">
        <f>'Air Basin Summary NOx BAU'!AB138/365.25</f>
        <v>0</v>
      </c>
    </row>
    <row r="139" spans="1:29" ht="14.65" customHeight="1">
      <c r="A139" s="520"/>
      <c r="B139" s="2" t="s">
        <v>255</v>
      </c>
      <c r="C139" s="2" t="s">
        <v>18938</v>
      </c>
      <c r="D139" s="393">
        <f>'Air Basin Summary NOx BAU'!D139/365.25</f>
        <v>0</v>
      </c>
      <c r="E139" s="60">
        <f>'Air Basin Summary NOx BAU'!E139/365.25</f>
        <v>-5.1164291124912081E-18</v>
      </c>
      <c r="F139" s="60">
        <f>'Air Basin Summary NOx BAU'!F139/365.25</f>
        <v>5.7372738705053127E-2</v>
      </c>
      <c r="G139" s="60">
        <f>'Air Basin Summary NOx BAU'!G139/365.25</f>
        <v>0.1560898251300952</v>
      </c>
      <c r="H139" s="60">
        <f>'Air Basin Summary NOx BAU'!H139/365.25</f>
        <v>0.17417190120303438</v>
      </c>
      <c r="I139" s="60">
        <f>'Air Basin Summary NOx BAU'!I139/365.25</f>
        <v>0.16098590986008476</v>
      </c>
      <c r="J139" s="60">
        <f>'Air Basin Summary NOx BAU'!J139/365.25</f>
        <v>0.13646204504341719</v>
      </c>
      <c r="K139" s="60">
        <f>'Air Basin Summary NOx BAU'!K139/365.25</f>
        <v>0.12813102424430045</v>
      </c>
      <c r="L139" s="60">
        <f>'Air Basin Summary NOx BAU'!L139/365.25</f>
        <v>6.6892126854859277E-2</v>
      </c>
      <c r="M139" s="60">
        <f>'Air Basin Summary NOx BAU'!M139/365.25</f>
        <v>5.8802320696180653E-2</v>
      </c>
      <c r="N139" s="60">
        <f>'Air Basin Summary NOx BAU'!N139/365.25</f>
        <v>5.538294079780956E-2</v>
      </c>
      <c r="O139" s="60">
        <f>'Air Basin Summary NOx BAU'!O139/365.25</f>
        <v>5.2006520621527004E-2</v>
      </c>
      <c r="P139" s="60">
        <f>'Air Basin Summary NOx BAU'!P139/365.25</f>
        <v>4.9187815827340366E-2</v>
      </c>
      <c r="Q139" s="60">
        <f>'Air Basin Summary NOx BAU'!Q139/365.25</f>
        <v>3.5055442627843943E-2</v>
      </c>
      <c r="R139" s="60">
        <f>'Air Basin Summary NOx BAU'!R139/365.25</f>
        <v>2.6578976886590819E-2</v>
      </c>
      <c r="S139" s="60">
        <f>'Air Basin Summary NOx BAU'!S139/365.25</f>
        <v>1.7776953737863626E-2</v>
      </c>
      <c r="T139" s="60">
        <f>'Air Basin Summary NOx BAU'!T139/365.25</f>
        <v>1.7057541809338796E-2</v>
      </c>
      <c r="U139" s="60">
        <f>'Air Basin Summary NOx BAU'!U139/365.25</f>
        <v>1.7109226678150732E-2</v>
      </c>
      <c r="V139" s="60">
        <f>'Air Basin Summary NOx BAU'!V139/365.25</f>
        <v>1.7259631102574755E-2</v>
      </c>
      <c r="W139" s="60">
        <f>'Air Basin Summary NOx BAU'!W139/365.25</f>
        <v>1.6851970744970433E-2</v>
      </c>
      <c r="X139" s="60">
        <f>'Air Basin Summary NOx BAU'!X139/365.25</f>
        <v>1.6040355997305907E-2</v>
      </c>
      <c r="Y139" s="60">
        <f>'Air Basin Summary NOx BAU'!Y139/365.25</f>
        <v>1.5783534131893515E-2</v>
      </c>
      <c r="Z139" s="60">
        <f>'Air Basin Summary NOx BAU'!Z139/365.25</f>
        <v>1.5397271279515451E-2</v>
      </c>
      <c r="AA139" s="60">
        <f>'Air Basin Summary NOx BAU'!AA139/365.25</f>
        <v>1.5001646602960028E-2</v>
      </c>
      <c r="AB139" s="61">
        <f>'Air Basin Summary NOx BAU'!AB139/365.25</f>
        <v>1.4345699719257291E-2</v>
      </c>
    </row>
    <row r="140" spans="1:29" ht="14.65" customHeight="1">
      <c r="A140" s="520"/>
      <c r="B140" s="2" t="s">
        <v>256</v>
      </c>
      <c r="C140" s="2" t="s">
        <v>18938</v>
      </c>
      <c r="D140" s="393">
        <f>'Air Basin Summary NOx BAU'!D140/365.25</f>
        <v>0</v>
      </c>
      <c r="E140" s="60">
        <f>'Air Basin Summary NOx BAU'!E140/365.25</f>
        <v>-5.2908528322352254E-18</v>
      </c>
      <c r="F140" s="60">
        <f>'Air Basin Summary NOx BAU'!F140/365.25</f>
        <v>5.932862752454357E-2</v>
      </c>
      <c r="G140" s="60">
        <f>'Air Basin Summary NOx BAU'!G140/365.25</f>
        <v>0.16141106916862116</v>
      </c>
      <c r="H140" s="60">
        <f>'Air Basin Summary NOx BAU'!H140/365.25</f>
        <v>0.18010957965313784</v>
      </c>
      <c r="I140" s="60">
        <f>'Air Basin Summary NOx BAU'!I140/365.25</f>
        <v>0.1664740658780422</v>
      </c>
      <c r="J140" s="60">
        <f>'Air Basin Summary NOx BAU'!J140/365.25</f>
        <v>0.14111416021535184</v>
      </c>
      <c r="K140" s="60">
        <f>'Air Basin Summary NOx BAU'!K140/365.25</f>
        <v>0.132499127343538</v>
      </c>
      <c r="L140" s="60">
        <f>'Air Basin Summary NOx BAU'!L140/365.25</f>
        <v>6.9172540270365832E-2</v>
      </c>
      <c r="M140" s="60">
        <f>'Air Basin Summary NOx BAU'!M140/365.25</f>
        <v>6.0806945265368624E-2</v>
      </c>
      <c r="N140" s="60">
        <f>'Air Basin Summary NOx BAU'!N140/365.25</f>
        <v>5.7270995597734888E-2</v>
      </c>
      <c r="O140" s="60">
        <f>'Air Basin Summary NOx BAU'!O140/365.25</f>
        <v>5.3779470188169955E-2</v>
      </c>
      <c r="P140" s="60">
        <f>'Air Basin Summary NOx BAU'!P140/365.25</f>
        <v>5.0864673185090595E-2</v>
      </c>
      <c r="Q140" s="60">
        <f>'Air Basin Summary NOx BAU'!Q140/365.25</f>
        <v>3.6250514535611351E-2</v>
      </c>
      <c r="R140" s="60">
        <f>'Air Basin Summary NOx BAU'!R140/365.25</f>
        <v>2.7485078371360959E-2</v>
      </c>
      <c r="S140" s="60">
        <f>'Air Basin Summary NOx BAU'!S140/365.25</f>
        <v>1.8382986251654427E-2</v>
      </c>
      <c r="T140" s="60">
        <f>'Air Basin Summary NOx BAU'!T140/365.25</f>
        <v>1.7639048916475344E-2</v>
      </c>
      <c r="U140" s="60">
        <f>'Air Basin Summary NOx BAU'!U140/365.25</f>
        <v>1.7692495769451325E-2</v>
      </c>
      <c r="V140" s="60">
        <f>'Air Basin Summary NOx BAU'!V140/365.25</f>
        <v>1.7848027617435258E-2</v>
      </c>
      <c r="W140" s="60">
        <f>'Air Basin Summary NOx BAU'!W140/365.25</f>
        <v>1.7426469747639877E-2</v>
      </c>
      <c r="X140" s="60">
        <f>'Air Basin Summary NOx BAU'!X140/365.25</f>
        <v>1.658718631539588E-2</v>
      </c>
      <c r="Y140" s="60">
        <f>'Air Basin Summary NOx BAU'!Y140/365.25</f>
        <v>1.6321609159117158E-2</v>
      </c>
      <c r="Z140" s="60">
        <f>'Air Basin Summary NOx BAU'!Z140/365.25</f>
        <v>1.5922178254953474E-2</v>
      </c>
      <c r="AA140" s="60">
        <f>'Air Basin Summary NOx BAU'!AA140/365.25</f>
        <v>1.5513066373515481E-2</v>
      </c>
      <c r="AB140" s="61">
        <f>'Air Basin Summary NOx BAU'!AB140/365.25</f>
        <v>1.4834757664231972E-2</v>
      </c>
    </row>
    <row r="141" spans="1:29" ht="14.65" customHeight="1">
      <c r="A141" s="520"/>
      <c r="B141" s="2" t="s">
        <v>257</v>
      </c>
      <c r="C141" s="2" t="s">
        <v>18938</v>
      </c>
      <c r="D141" s="393">
        <f>'Air Basin Summary NOx BAU'!D141/365.25</f>
        <v>0</v>
      </c>
      <c r="E141" s="60">
        <f>'Air Basin Summary NOx BAU'!E141/365.25</f>
        <v>0</v>
      </c>
      <c r="F141" s="60">
        <f>'Air Basin Summary NOx BAU'!F141/365.25</f>
        <v>0</v>
      </c>
      <c r="G141" s="60">
        <f>'Air Basin Summary NOx BAU'!G141/365.25</f>
        <v>0</v>
      </c>
      <c r="H141" s="60">
        <f>'Air Basin Summary NOx BAU'!H141/365.25</f>
        <v>8.2390184171073175E-4</v>
      </c>
      <c r="I141" s="60">
        <f>'Air Basin Summary NOx BAU'!I141/365.25</f>
        <v>6.8297972510033712E-3</v>
      </c>
      <c r="J141" s="60">
        <f>'Air Basin Summary NOx BAU'!J141/365.25</f>
        <v>1.0018236491301806E-2</v>
      </c>
      <c r="K141" s="60">
        <f>'Air Basin Summary NOx BAU'!K141/365.25</f>
        <v>1.1621693262940861E-2</v>
      </c>
      <c r="L141" s="60">
        <f>'Air Basin Summary NOx BAU'!L141/365.25</f>
        <v>6.8422962447925485E-3</v>
      </c>
      <c r="M141" s="60">
        <f>'Air Basin Summary NOx BAU'!M141/365.25</f>
        <v>6.4893535578594763E-3</v>
      </c>
      <c r="N141" s="60">
        <f>'Air Basin Summary NOx BAU'!N141/365.25</f>
        <v>6.4384769369948362E-3</v>
      </c>
      <c r="O141" s="60">
        <f>'Air Basin Summary NOx BAU'!O141/365.25</f>
        <v>6.2821739482952759E-3</v>
      </c>
      <c r="P141" s="60">
        <f>'Air Basin Summary NOx BAU'!P141/365.25</f>
        <v>6.2223342520193259E-3</v>
      </c>
      <c r="Q141" s="60">
        <f>'Air Basin Summary NOx BAU'!Q141/365.25</f>
        <v>4.5175019829327831E-3</v>
      </c>
      <c r="R141" s="60">
        <f>'Air Basin Summary NOx BAU'!R141/365.25</f>
        <v>3.4866248150792266E-3</v>
      </c>
      <c r="S141" s="60">
        <f>'Air Basin Summary NOx BAU'!S141/365.25</f>
        <v>2.3720276765645523E-3</v>
      </c>
      <c r="T141" s="60">
        <f>'Air Basin Summary NOx BAU'!T141/365.25</f>
        <v>2.3133467188635824E-3</v>
      </c>
      <c r="U141" s="60">
        <f>'Air Basin Summary NOx BAU'!U141/365.25</f>
        <v>2.1991126977021222E-3</v>
      </c>
      <c r="V141" s="60">
        <f>'Air Basin Summary NOx BAU'!V141/365.25</f>
        <v>2.1255110349036751E-3</v>
      </c>
      <c r="W141" s="60">
        <f>'Air Basin Summary NOx BAU'!W141/365.25</f>
        <v>2.0690492910993819E-3</v>
      </c>
      <c r="X141" s="60">
        <f>'Air Basin Summary NOx BAU'!X141/365.25</f>
        <v>2.0192597808015716E-3</v>
      </c>
      <c r="Y141" s="60">
        <f>'Air Basin Summary NOx BAU'!Y141/365.25</f>
        <v>1.9699012198267111E-3</v>
      </c>
      <c r="Z141" s="60">
        <f>'Air Basin Summary NOx BAU'!Z141/365.25</f>
        <v>1.9215691309256416E-3</v>
      </c>
      <c r="AA141" s="60">
        <f>'Air Basin Summary NOx BAU'!AA141/365.25</f>
        <v>1.8741607384986524E-3</v>
      </c>
      <c r="AB141" s="61">
        <f>'Air Basin Summary NOx BAU'!AB141/365.25</f>
        <v>1.8279417029567111E-3</v>
      </c>
    </row>
    <row r="142" spans="1:29" ht="14.65" customHeight="1">
      <c r="A142" s="520"/>
      <c r="B142" s="2" t="s">
        <v>258</v>
      </c>
      <c r="C142" s="2" t="s">
        <v>18938</v>
      </c>
      <c r="D142" s="393">
        <f>'Air Basin Summary NOx BAU'!D142/365.25</f>
        <v>0</v>
      </c>
      <c r="E142" s="60">
        <f>'Air Basin Summary NOx BAU'!E142/365.25</f>
        <v>0</v>
      </c>
      <c r="F142" s="60">
        <f>'Air Basin Summary NOx BAU'!F142/365.25</f>
        <v>0</v>
      </c>
      <c r="G142" s="60">
        <f>'Air Basin Summary NOx BAU'!G142/365.25</f>
        <v>0</v>
      </c>
      <c r="H142" s="60">
        <f>'Air Basin Summary NOx BAU'!H142/365.25</f>
        <v>0</v>
      </c>
      <c r="I142" s="60">
        <f>'Air Basin Summary NOx BAU'!I142/365.25</f>
        <v>0</v>
      </c>
      <c r="J142" s="60">
        <f>'Air Basin Summary NOx BAU'!J142/365.25</f>
        <v>0</v>
      </c>
      <c r="K142" s="60">
        <f>'Air Basin Summary NOx BAU'!K142/365.25</f>
        <v>0</v>
      </c>
      <c r="L142" s="60">
        <f>'Air Basin Summary NOx BAU'!L142/365.25</f>
        <v>0</v>
      </c>
      <c r="M142" s="60">
        <f>'Air Basin Summary NOx BAU'!M142/365.25</f>
        <v>0</v>
      </c>
      <c r="N142" s="60">
        <f>'Air Basin Summary NOx BAU'!N142/365.25</f>
        <v>0</v>
      </c>
      <c r="O142" s="60">
        <f>'Air Basin Summary NOx BAU'!O142/365.25</f>
        <v>0</v>
      </c>
      <c r="P142" s="60">
        <f>'Air Basin Summary NOx BAU'!P142/365.25</f>
        <v>0</v>
      </c>
      <c r="Q142" s="60">
        <f>'Air Basin Summary NOx BAU'!Q142/365.25</f>
        <v>0</v>
      </c>
      <c r="R142" s="60">
        <f>'Air Basin Summary NOx BAU'!R142/365.25</f>
        <v>0</v>
      </c>
      <c r="S142" s="60">
        <f>'Air Basin Summary NOx BAU'!S142/365.25</f>
        <v>0</v>
      </c>
      <c r="T142" s="60">
        <f>'Air Basin Summary NOx BAU'!T142/365.25</f>
        <v>0</v>
      </c>
      <c r="U142" s="60">
        <f>'Air Basin Summary NOx BAU'!U142/365.25</f>
        <v>0</v>
      </c>
      <c r="V142" s="60">
        <f>'Air Basin Summary NOx BAU'!V142/365.25</f>
        <v>0</v>
      </c>
      <c r="W142" s="60">
        <f>'Air Basin Summary NOx BAU'!W142/365.25</f>
        <v>0</v>
      </c>
      <c r="X142" s="60">
        <f>'Air Basin Summary NOx BAU'!X142/365.25</f>
        <v>0</v>
      </c>
      <c r="Y142" s="60">
        <f>'Air Basin Summary NOx BAU'!Y142/365.25</f>
        <v>0</v>
      </c>
      <c r="Z142" s="60">
        <f>'Air Basin Summary NOx BAU'!Z142/365.25</f>
        <v>0</v>
      </c>
      <c r="AA142" s="60">
        <f>'Air Basin Summary NOx BAU'!AA142/365.25</f>
        <v>0</v>
      </c>
      <c r="AB142" s="61">
        <f>'Air Basin Summary NOx BAU'!AB142/365.25</f>
        <v>0</v>
      </c>
    </row>
    <row r="143" spans="1:29" ht="14.65" customHeight="1">
      <c r="A143" s="520"/>
      <c r="B143" s="2" t="s">
        <v>259</v>
      </c>
      <c r="C143" s="2" t="s">
        <v>18938</v>
      </c>
      <c r="D143" s="393">
        <f>'Air Basin Summary NOx BAU'!D143/365.25</f>
        <v>0</v>
      </c>
      <c r="E143" s="60">
        <f>'Air Basin Summary NOx BAU'!E143/365.25</f>
        <v>0</v>
      </c>
      <c r="F143" s="60">
        <f>'Air Basin Summary NOx BAU'!F143/365.25</f>
        <v>0</v>
      </c>
      <c r="G143" s="60">
        <f>'Air Basin Summary NOx BAU'!G143/365.25</f>
        <v>0</v>
      </c>
      <c r="H143" s="60">
        <f>'Air Basin Summary NOx BAU'!H143/365.25</f>
        <v>0</v>
      </c>
      <c r="I143" s="60">
        <f>'Air Basin Summary NOx BAU'!I143/365.25</f>
        <v>0</v>
      </c>
      <c r="J143" s="60">
        <f>'Air Basin Summary NOx BAU'!J143/365.25</f>
        <v>0</v>
      </c>
      <c r="K143" s="60">
        <f>'Air Basin Summary NOx BAU'!K143/365.25</f>
        <v>0</v>
      </c>
      <c r="L143" s="60">
        <f>'Air Basin Summary NOx BAU'!L143/365.25</f>
        <v>0</v>
      </c>
      <c r="M143" s="60">
        <f>'Air Basin Summary NOx BAU'!M143/365.25</f>
        <v>0</v>
      </c>
      <c r="N143" s="60">
        <f>'Air Basin Summary NOx BAU'!N143/365.25</f>
        <v>0</v>
      </c>
      <c r="O143" s="60">
        <f>'Air Basin Summary NOx BAU'!O143/365.25</f>
        <v>0</v>
      </c>
      <c r="P143" s="60">
        <f>'Air Basin Summary NOx BAU'!P143/365.25</f>
        <v>0</v>
      </c>
      <c r="Q143" s="60">
        <f>'Air Basin Summary NOx BAU'!Q143/365.25</f>
        <v>0</v>
      </c>
      <c r="R143" s="60">
        <f>'Air Basin Summary NOx BAU'!R143/365.25</f>
        <v>0</v>
      </c>
      <c r="S143" s="60">
        <f>'Air Basin Summary NOx BAU'!S143/365.25</f>
        <v>0</v>
      </c>
      <c r="T143" s="60">
        <f>'Air Basin Summary NOx BAU'!T143/365.25</f>
        <v>0</v>
      </c>
      <c r="U143" s="60">
        <f>'Air Basin Summary NOx BAU'!U143/365.25</f>
        <v>0</v>
      </c>
      <c r="V143" s="60">
        <f>'Air Basin Summary NOx BAU'!V143/365.25</f>
        <v>0</v>
      </c>
      <c r="W143" s="60">
        <f>'Air Basin Summary NOx BAU'!W143/365.25</f>
        <v>0</v>
      </c>
      <c r="X143" s="60">
        <f>'Air Basin Summary NOx BAU'!X143/365.25</f>
        <v>0</v>
      </c>
      <c r="Y143" s="60">
        <f>'Air Basin Summary NOx BAU'!Y143/365.25</f>
        <v>0</v>
      </c>
      <c r="Z143" s="60">
        <f>'Air Basin Summary NOx BAU'!Z143/365.25</f>
        <v>0</v>
      </c>
      <c r="AA143" s="60">
        <f>'Air Basin Summary NOx BAU'!AA143/365.25</f>
        <v>0</v>
      </c>
      <c r="AB143" s="61">
        <f>'Air Basin Summary NOx BAU'!AB143/365.25</f>
        <v>0</v>
      </c>
    </row>
    <row r="144" spans="1:29" ht="14.65" customHeight="1">
      <c r="A144" s="520"/>
      <c r="B144" s="2" t="s">
        <v>260</v>
      </c>
      <c r="C144" s="2" t="s">
        <v>18938</v>
      </c>
      <c r="D144" s="393">
        <f>'Air Basin Summary NOx BAU'!D144/365.25</f>
        <v>0</v>
      </c>
      <c r="E144" s="60">
        <f>'Air Basin Summary NOx BAU'!E144/365.25</f>
        <v>-6.1048301910406456E-18</v>
      </c>
      <c r="F144" s="60">
        <f>'Air Basin Summary NOx BAU'!F144/365.25</f>
        <v>6.8456108682165687E-2</v>
      </c>
      <c r="G144" s="60">
        <f>'Air Basin Summary NOx BAU'!G144/365.25</f>
        <v>0.18624354134840904</v>
      </c>
      <c r="H144" s="60">
        <f>'Air Basin Summary NOx BAU'!H144/365.25</f>
        <v>0.20850533062171286</v>
      </c>
      <c r="I144" s="60">
        <f>'Air Basin Summary NOx BAU'!I144/365.25</f>
        <v>0.19777695833767972</v>
      </c>
      <c r="J144" s="60">
        <f>'Air Basin Summary NOx BAU'!J144/365.25</f>
        <v>0.17117256142713189</v>
      </c>
      <c r="K144" s="60">
        <f>'Air Basin Summary NOx BAU'!K144/365.25</f>
        <v>0.16256835285909713</v>
      </c>
      <c r="L144" s="60">
        <f>'Air Basin Summary NOx BAU'!L144/365.25</f>
        <v>8.5516383080056949E-2</v>
      </c>
      <c r="M144" s="60">
        <f>'Air Basin Summary NOx BAU'!M144/365.25</f>
        <v>7.5569654553128765E-2</v>
      </c>
      <c r="N144" s="60">
        <f>'Air Basin Summary NOx BAU'!N144/365.25</f>
        <v>7.1447315444882115E-2</v>
      </c>
      <c r="O144" s="60">
        <f>'Air Basin Summary NOx BAU'!O144/365.25</f>
        <v>6.7288379789416541E-2</v>
      </c>
      <c r="P144" s="60">
        <f>'Air Basin Summary NOx BAU'!P144/365.25</f>
        <v>6.3875286064607822E-2</v>
      </c>
      <c r="Q144" s="60">
        <f>'Air Basin Summary NOx BAU'!Q144/365.25</f>
        <v>4.5592101757636574E-2</v>
      </c>
      <c r="R144" s="60">
        <f>'Air Basin Summary NOx BAU'!R144/365.25</f>
        <v>3.4619072646187653E-2</v>
      </c>
      <c r="S144" s="60">
        <f>'Air Basin Summary NOx BAU'!S144/365.25</f>
        <v>2.3187827713148649E-2</v>
      </c>
      <c r="T144" s="60">
        <f>'Air Basin Summary NOx BAU'!T144/365.25</f>
        <v>2.2280537682165567E-2</v>
      </c>
      <c r="U144" s="60">
        <f>'Air Basin Summary NOx BAU'!U144/365.25</f>
        <v>2.2247012110272527E-2</v>
      </c>
      <c r="V144" s="60">
        <f>'Air Basin Summary NOx BAU'!V144/365.25</f>
        <v>2.2365137215870669E-2</v>
      </c>
      <c r="W144" s="60">
        <f>'Air Basin Summary NOx BAU'!W144/365.25</f>
        <v>2.1831672836013449E-2</v>
      </c>
      <c r="X144" s="60">
        <f>'Air Basin Summary NOx BAU'!X144/365.25</f>
        <v>2.0821777617150403E-2</v>
      </c>
      <c r="Y144" s="60">
        <f>'Air Basin Summary NOx BAU'!Y144/365.25</f>
        <v>2.0474210302683087E-2</v>
      </c>
      <c r="Z144" s="60">
        <f>'Air Basin Summary NOx BAU'!Z144/365.25</f>
        <v>1.9973051749435634E-2</v>
      </c>
      <c r="AA144" s="60">
        <f>'Air Basin Summary NOx BAU'!AA144/365.25</f>
        <v>1.9461492584856487E-2</v>
      </c>
      <c r="AB144" s="61">
        <f>'Air Basin Summary NOx BAU'!AB144/365.25</f>
        <v>1.8640312826577739E-2</v>
      </c>
    </row>
    <row r="145" spans="1:29" ht="14.65" customHeight="1">
      <c r="A145" s="520"/>
      <c r="B145" s="2" t="s">
        <v>261</v>
      </c>
      <c r="C145" s="2" t="s">
        <v>18938</v>
      </c>
      <c r="D145" s="393">
        <f>'Air Basin Summary NOx BAU'!D145/365.25</f>
        <v>0</v>
      </c>
      <c r="E145" s="60">
        <f>'Air Basin Summary NOx BAU'!E145/365.25</f>
        <v>-1.1628247982934564E-18</v>
      </c>
      <c r="F145" s="60">
        <f>'Air Basin Summary NOx BAU'!F145/365.25</f>
        <v>1.3039258796602983E-2</v>
      </c>
      <c r="G145" s="60">
        <f>'Air Basin Summary NOx BAU'!G145/365.25</f>
        <v>3.547496025683982E-2</v>
      </c>
      <c r="H145" s="60">
        <f>'Air Basin Summary NOx BAU'!H145/365.25</f>
        <v>3.985915694792655E-2</v>
      </c>
      <c r="I145" s="60">
        <f>'Air Basin Summary NOx BAU'!I145/365.25</f>
        <v>3.8864305870050693E-2</v>
      </c>
      <c r="J145" s="60">
        <f>'Air Basin Summary NOx BAU'!J145/365.25</f>
        <v>3.4353513309998446E-2</v>
      </c>
      <c r="K145" s="60">
        <f>'Air Basin Summary NOx BAU'!K145/365.25</f>
        <v>3.2994585082563727E-2</v>
      </c>
      <c r="L145" s="60">
        <f>'Air Basin Summary NOx BAU'!L145/365.25</f>
        <v>1.7483521518307961E-2</v>
      </c>
      <c r="M145" s="60">
        <f>'Air Basin Summary NOx BAU'!M145/365.25</f>
        <v>1.5527281647206339E-2</v>
      </c>
      <c r="N145" s="60">
        <f>'Air Basin Summary NOx BAU'!N145/365.25</f>
        <v>1.4733190978500454E-2</v>
      </c>
      <c r="O145" s="60">
        <f>'Air Basin Summary NOx BAU'!O145/365.25</f>
        <v>1.3913721760384865E-2</v>
      </c>
      <c r="P145" s="60">
        <f>'Air Basin Summary NOx BAU'!P145/365.25</f>
        <v>1.3253160469008037E-2</v>
      </c>
      <c r="Q145" s="60">
        <f>'Air Basin Summary NOx BAU'!Q145/365.25</f>
        <v>9.4729800460936417E-3</v>
      </c>
      <c r="R145" s="60">
        <f>'Air Basin Summary NOx BAU'!R145/365.25</f>
        <v>7.2028848368273527E-3</v>
      </c>
      <c r="S145" s="60">
        <f>'Air Basin Summary NOx BAU'!S145/365.25</f>
        <v>4.8308926507935534E-3</v>
      </c>
      <c r="T145" s="60">
        <f>'Air Basin Summary NOx BAU'!T145/365.25</f>
        <v>4.6478296205315264E-3</v>
      </c>
      <c r="U145" s="60">
        <f>'Air Basin Summary NOx BAU'!U145/365.25</f>
        <v>4.6214981745713287E-3</v>
      </c>
      <c r="V145" s="60">
        <f>'Air Basin Summary NOx BAU'!V145/365.25</f>
        <v>4.6311471107045787E-3</v>
      </c>
      <c r="W145" s="60">
        <f>'Air Basin Summary NOx BAU'!W145/365.25</f>
        <v>4.5196764481627702E-3</v>
      </c>
      <c r="X145" s="60">
        <f>'Air Basin Summary NOx BAU'!X145/365.25</f>
        <v>4.3186220475336847E-3</v>
      </c>
      <c r="Y145" s="60">
        <f>'Air Basin Summary NOx BAU'!Y145/365.25</f>
        <v>4.2438005880998551E-3</v>
      </c>
      <c r="Z145" s="60">
        <f>'Air Basin Summary NOx BAU'!Z145/365.25</f>
        <v>4.1399028798953909E-3</v>
      </c>
      <c r="AA145" s="60">
        <f>'Air Basin Summary NOx BAU'!AA145/365.25</f>
        <v>4.0341853832025869E-3</v>
      </c>
      <c r="AB145" s="61">
        <f>'Air Basin Summary NOx BAU'!AB145/365.25</f>
        <v>3.8697002008167736E-3</v>
      </c>
    </row>
    <row r="146" spans="1:29" ht="14.65" customHeight="1">
      <c r="A146" s="520"/>
      <c r="B146" s="2" t="s">
        <v>262</v>
      </c>
      <c r="C146" s="2" t="s">
        <v>18938</v>
      </c>
      <c r="D146" s="393">
        <f>'Air Basin Summary NOx BAU'!D146/365.25</f>
        <v>0</v>
      </c>
      <c r="E146" s="60">
        <f>'Air Basin Summary NOx BAU'!E146/365.25</f>
        <v>-1.1628247982934564E-18</v>
      </c>
      <c r="F146" s="60">
        <f>'Air Basin Summary NOx BAU'!F146/365.25</f>
        <v>1.3039258796602983E-2</v>
      </c>
      <c r="G146" s="60">
        <f>'Air Basin Summary NOx BAU'!G146/365.25</f>
        <v>3.547496025683982E-2</v>
      </c>
      <c r="H146" s="60">
        <f>'Air Basin Summary NOx BAU'!H146/365.25</f>
        <v>3.9927815434735774E-2</v>
      </c>
      <c r="I146" s="60">
        <f>'Air Basin Summary NOx BAU'!I146/365.25</f>
        <v>3.9433455640967639E-2</v>
      </c>
      <c r="J146" s="60">
        <f>'Air Basin Summary NOx BAU'!J146/365.25</f>
        <v>3.5188366350940262E-2</v>
      </c>
      <c r="K146" s="60">
        <f>'Air Basin Summary NOx BAU'!K146/365.25</f>
        <v>3.396305952114214E-2</v>
      </c>
      <c r="L146" s="60">
        <f>'Air Basin Summary NOx BAU'!L146/365.25</f>
        <v>1.8053712872040672E-2</v>
      </c>
      <c r="M146" s="60">
        <f>'Air Basin Summary NOx BAU'!M146/365.25</f>
        <v>1.6068061110361295E-2</v>
      </c>
      <c r="N146" s="60">
        <f>'Air Basin Summary NOx BAU'!N146/365.25</f>
        <v>1.5269730723250023E-2</v>
      </c>
      <c r="O146" s="60">
        <f>'Air Basin Summary NOx BAU'!O146/365.25</f>
        <v>1.4437236256076137E-2</v>
      </c>
      <c r="P146" s="60">
        <f>'Air Basin Summary NOx BAU'!P146/365.25</f>
        <v>1.3771688323342985E-2</v>
      </c>
      <c r="Q146" s="60">
        <f>'Air Basin Summary NOx BAU'!Q146/365.25</f>
        <v>9.8494385446713743E-3</v>
      </c>
      <c r="R146" s="60">
        <f>'Air Basin Summary NOx BAU'!R146/365.25</f>
        <v>7.4934369047506225E-3</v>
      </c>
      <c r="S146" s="60">
        <f>'Air Basin Summary NOx BAU'!S146/365.25</f>
        <v>5.0285616238405998E-3</v>
      </c>
      <c r="T146" s="60">
        <f>'Air Basin Summary NOx BAU'!T146/365.25</f>
        <v>4.8406085137701581E-3</v>
      </c>
      <c r="U146" s="60">
        <f>'Air Basin Summary NOx BAU'!U146/365.25</f>
        <v>4.8047575660465055E-3</v>
      </c>
      <c r="V146" s="60">
        <f>'Air Basin Summary NOx BAU'!V146/365.25</f>
        <v>4.8082730302798846E-3</v>
      </c>
      <c r="W146" s="60">
        <f>'Air Basin Summary NOx BAU'!W146/365.25</f>
        <v>4.692097222421053E-3</v>
      </c>
      <c r="X146" s="60">
        <f>'Air Basin Summary NOx BAU'!X146/365.25</f>
        <v>4.4868936959338154E-3</v>
      </c>
      <c r="Y146" s="60">
        <f>'Air Basin Summary NOx BAU'!Y146/365.25</f>
        <v>4.4079590230854141E-3</v>
      </c>
      <c r="Z146" s="60">
        <f>'Air Basin Summary NOx BAU'!Z146/365.25</f>
        <v>4.3000336408058615E-3</v>
      </c>
      <c r="AA146" s="60">
        <f>'Air Basin Summary NOx BAU'!AA146/365.25</f>
        <v>4.1903654447441414E-3</v>
      </c>
      <c r="AB146" s="61">
        <f>'Air Basin Summary NOx BAU'!AB146/365.25</f>
        <v>4.0220286760631659E-3</v>
      </c>
    </row>
    <row r="147" spans="1:29" ht="14.65" customHeight="1">
      <c r="A147" s="520"/>
      <c r="B147" s="2" t="s">
        <v>263</v>
      </c>
      <c r="C147" s="2" t="s">
        <v>18938</v>
      </c>
      <c r="D147" s="393">
        <f>'Air Basin Summary NOx BAU'!D147/365.25</f>
        <v>0</v>
      </c>
      <c r="E147" s="60">
        <f>'Air Basin Summary NOx BAU'!E147/365.25</f>
        <v>-9.30259838634765E-19</v>
      </c>
      <c r="F147" s="60">
        <f>'Air Basin Summary NOx BAU'!F147/365.25</f>
        <v>1.0431407037282387E-2</v>
      </c>
      <c r="G147" s="60">
        <f>'Air Basin Summary NOx BAU'!G147/365.25</f>
        <v>2.8379968205471853E-2</v>
      </c>
      <c r="H147" s="60">
        <f>'Air Basin Summary NOx BAU'!H147/365.25</f>
        <v>3.2491520242262442E-2</v>
      </c>
      <c r="I147" s="60">
        <f>'Air Basin Summary NOx BAU'!I147/365.25</f>
        <v>3.6099962680109697E-2</v>
      </c>
      <c r="J147" s="60">
        <f>'Air Basin Summary NOx BAU'!J147/365.25</f>
        <v>3.4829517408286749E-2</v>
      </c>
      <c r="K147" s="60">
        <f>'Air Basin Summary NOx BAU'!K147/365.25</f>
        <v>3.4918243125540947E-2</v>
      </c>
      <c r="L147" s="60">
        <f>'Air Basin Summary NOx BAU'!L147/365.25</f>
        <v>1.9004501127494237E-2</v>
      </c>
      <c r="M147" s="60">
        <f>'Air Basin Summary NOx BAU'!M147/365.25</f>
        <v>1.7180684593528686E-2</v>
      </c>
      <c r="N147" s="60">
        <f>'Air Basin Summary NOx BAU'!N147/365.25</f>
        <v>1.6508102536596573E-2</v>
      </c>
      <c r="O147" s="60">
        <f>'Air Basin Summary NOx BAU'!O147/365.25</f>
        <v>1.5737904970391094E-2</v>
      </c>
      <c r="P147" s="60">
        <f>'Air Basin Summary NOx BAU'!P147/365.25</f>
        <v>1.5165573493353937E-2</v>
      </c>
      <c r="Q147" s="60">
        <f>'Air Basin Summary NOx BAU'!Q147/365.25</f>
        <v>1.0891218824358955E-2</v>
      </c>
      <c r="R147" s="60">
        <f>'Air Basin Summary NOx BAU'!R147/365.25</f>
        <v>8.319166067186648E-3</v>
      </c>
      <c r="S147" s="60">
        <f>'Air Basin Summary NOx BAU'!S147/365.25</f>
        <v>5.6042010834488482E-3</v>
      </c>
      <c r="T147" s="60">
        <f>'Air Basin Summary NOx BAU'!T147/365.25</f>
        <v>5.4147179569251818E-3</v>
      </c>
      <c r="U147" s="60">
        <f>'Air Basin Summary NOx BAU'!U147/365.25</f>
        <v>5.3098811846386202E-3</v>
      </c>
      <c r="V147" s="60">
        <f>'Air Basin Summary NOx BAU'!V147/365.25</f>
        <v>5.2636257808263576E-3</v>
      </c>
      <c r="W147" s="60">
        <f>'Air Basin Summary NOx BAU'!W147/365.25</f>
        <v>5.1330439720030973E-3</v>
      </c>
      <c r="X147" s="60">
        <f>'Air Basin Summary NOx BAU'!X147/365.25</f>
        <v>4.9356881439481005E-3</v>
      </c>
      <c r="Y147" s="60">
        <f>'Air Basin Summary NOx BAU'!Y147/365.25</f>
        <v>4.839634698352805E-3</v>
      </c>
      <c r="Z147" s="60">
        <f>'Air Basin Summary NOx BAU'!Z147/365.25</f>
        <v>4.7210729999284514E-3</v>
      </c>
      <c r="AA147" s="60">
        <f>'Air Basin Summary NOx BAU'!AA147/365.25</f>
        <v>4.6017328481277476E-3</v>
      </c>
      <c r="AB147" s="61">
        <f>'Air Basin Summary NOx BAU'!AB147/365.25</f>
        <v>4.4362507428216732E-3</v>
      </c>
    </row>
    <row r="148" spans="1:29" ht="14.65" customHeight="1">
      <c r="A148" s="520"/>
      <c r="B148" s="2" t="s">
        <v>265</v>
      </c>
      <c r="C148" s="2" t="s">
        <v>18938</v>
      </c>
      <c r="D148" s="393">
        <f>'Air Basin Summary NOx BAU'!D148/365.25</f>
        <v>0</v>
      </c>
      <c r="E148" s="60">
        <f>'Air Basin Summary NOx BAU'!E148/365.25</f>
        <v>-1.0465423184641107E-18</v>
      </c>
      <c r="F148" s="60">
        <f>'Air Basin Summary NOx BAU'!F148/365.25</f>
        <v>1.1735332916942684E-2</v>
      </c>
      <c r="G148" s="60">
        <f>'Air Basin Summary NOx BAU'!G148/365.25</f>
        <v>3.192746423115584E-2</v>
      </c>
      <c r="H148" s="60">
        <f>'Air Basin Summary NOx BAU'!H148/365.25</f>
        <v>4.3453138196872625E-2</v>
      </c>
      <c r="I148" s="60">
        <f>'Air Basin Summary NOx BAU'!I148/365.25</f>
        <v>9.7812009992276655E-2</v>
      </c>
      <c r="J148" s="60">
        <f>'Air Basin Summary NOx BAU'!J148/365.25</f>
        <v>0.12308593769897526</v>
      </c>
      <c r="K148" s="60">
        <f>'Air Basin Summary NOx BAU'!K148/365.25</f>
        <v>0.13661470459336331</v>
      </c>
      <c r="L148" s="60">
        <f>'Air Basin Summary NOx BAU'!L148/365.25</f>
        <v>7.8684294818568631E-2</v>
      </c>
      <c r="M148" s="60">
        <f>'Air Basin Summary NOx BAU'!M148/365.25</f>
        <v>7.3676606214792897E-2</v>
      </c>
      <c r="N148" s="60">
        <f>'Air Basin Summary NOx BAU'!N148/365.25</f>
        <v>7.2493859701002916E-2</v>
      </c>
      <c r="O148" s="60">
        <f>'Air Basin Summary NOx BAU'!O148/365.25</f>
        <v>7.0318349908662925E-2</v>
      </c>
      <c r="P148" s="60">
        <f>'Air Basin Summary NOx BAU'!P148/365.25</f>
        <v>6.9173319540685035E-2</v>
      </c>
      <c r="Q148" s="60">
        <f>'Air Basin Summary NOx BAU'!Q148/365.25</f>
        <v>5.0086700284465879E-2</v>
      </c>
      <c r="R148" s="60">
        <f>'Air Basin Summary NOx BAU'!R148/365.25</f>
        <v>3.8559544651873508E-2</v>
      </c>
      <c r="S148" s="60">
        <f>'Air Basin Summary NOx BAU'!S148/365.25</f>
        <v>2.6170458010108085E-2</v>
      </c>
      <c r="T148" s="60">
        <f>'Air Basin Summary NOx BAU'!T148/365.25</f>
        <v>2.5465836472023336E-2</v>
      </c>
      <c r="U148" s="60">
        <f>'Air Basin Summary NOx BAU'!U148/365.25</f>
        <v>2.4391185175973721E-2</v>
      </c>
      <c r="V148" s="60">
        <f>'Air Basin Summary NOx BAU'!V148/365.25</f>
        <v>2.3722733920747936E-2</v>
      </c>
      <c r="W148" s="60">
        <f>'Air Basin Summary NOx BAU'!W148/365.25</f>
        <v>2.3102962281460811E-2</v>
      </c>
      <c r="X148" s="60">
        <f>'Air Basin Summary NOx BAU'!X148/365.25</f>
        <v>2.2463949826154773E-2</v>
      </c>
      <c r="Y148" s="60">
        <f>'Air Basin Summary NOx BAU'!Y148/365.25</f>
        <v>2.1942511751695613E-2</v>
      </c>
      <c r="Z148" s="60">
        <f>'Air Basin Summary NOx BAU'!Z148/365.25</f>
        <v>2.1404348596421756E-2</v>
      </c>
      <c r="AA148" s="60">
        <f>'Air Basin Summary NOx BAU'!AA148/365.25</f>
        <v>2.0873045639069932E-2</v>
      </c>
      <c r="AB148" s="61">
        <f>'Air Basin Summary NOx BAU'!AB148/365.25</f>
        <v>2.0299793847936842E-2</v>
      </c>
    </row>
    <row r="149" spans="1:29" ht="14.65" customHeight="1">
      <c r="A149" s="520"/>
      <c r="B149" s="2" t="s">
        <v>267</v>
      </c>
      <c r="C149" s="2" t="s">
        <v>18938</v>
      </c>
      <c r="D149" s="393">
        <f>'Air Basin Summary NOx BAU'!D149/365.25</f>
        <v>0</v>
      </c>
      <c r="E149" s="60">
        <f>'Air Basin Summary NOx BAU'!E149/365.25</f>
        <v>0</v>
      </c>
      <c r="F149" s="60">
        <f>'Air Basin Summary NOx BAU'!F149/365.25</f>
        <v>0</v>
      </c>
      <c r="G149" s="60">
        <f>'Air Basin Summary NOx BAU'!G149/365.25</f>
        <v>0</v>
      </c>
      <c r="H149" s="60">
        <f>'Air Basin Summary NOx BAU'!H149/365.25</f>
        <v>1.0298773021384146E-3</v>
      </c>
      <c r="I149" s="60">
        <f>'Air Basin Summary NOx BAU'!I149/365.25</f>
        <v>8.5372465637542135E-3</v>
      </c>
      <c r="J149" s="60">
        <f>'Air Basin Summary NOx BAU'!J149/365.25</f>
        <v>1.2522795614127259E-2</v>
      </c>
      <c r="K149" s="60">
        <f>'Air Basin Summary NOx BAU'!K149/365.25</f>
        <v>1.4527116578676077E-2</v>
      </c>
      <c r="L149" s="60">
        <f>'Air Basin Summary NOx BAU'!L149/365.25</f>
        <v>8.5528703059906865E-3</v>
      </c>
      <c r="M149" s="60">
        <f>'Air Basin Summary NOx BAU'!M149/365.25</f>
        <v>8.1116919473243447E-3</v>
      </c>
      <c r="N149" s="60">
        <f>'Air Basin Summary NOx BAU'!N149/365.25</f>
        <v>8.0480961712435465E-3</v>
      </c>
      <c r="O149" s="60">
        <f>'Air Basin Summary NOx BAU'!O149/365.25</f>
        <v>7.8527174353690936E-3</v>
      </c>
      <c r="P149" s="60">
        <f>'Air Basin Summary NOx BAU'!P149/365.25</f>
        <v>7.7779178150241572E-3</v>
      </c>
      <c r="Q149" s="60">
        <f>'Air Basin Summary NOx BAU'!Q149/365.25</f>
        <v>5.646877478665979E-3</v>
      </c>
      <c r="R149" s="60">
        <f>'Air Basin Summary NOx BAU'!R149/365.25</f>
        <v>4.3582810188490329E-3</v>
      </c>
      <c r="S149" s="60">
        <f>'Air Basin Summary NOx BAU'!S149/365.25</f>
        <v>2.9650345957056906E-3</v>
      </c>
      <c r="T149" s="60">
        <f>'Air Basin Summary NOx BAU'!T149/365.25</f>
        <v>2.8916833985794779E-3</v>
      </c>
      <c r="U149" s="60">
        <f>'Air Basin Summary NOx BAU'!U149/365.25</f>
        <v>2.7488908721276526E-3</v>
      </c>
      <c r="V149" s="60">
        <f>'Air Basin Summary NOx BAU'!V149/365.25</f>
        <v>2.6568887936295939E-3</v>
      </c>
      <c r="W149" s="60">
        <f>'Air Basin Summary NOx BAU'!W149/365.25</f>
        <v>2.5863116138742275E-3</v>
      </c>
      <c r="X149" s="60">
        <f>'Air Basin Summary NOx BAU'!X149/365.25</f>
        <v>2.5240747260019646E-3</v>
      </c>
      <c r="Y149" s="60">
        <f>'Air Basin Summary NOx BAU'!Y149/365.25</f>
        <v>2.4623765247833882E-3</v>
      </c>
      <c r="Z149" s="60">
        <f>'Air Basin Summary NOx BAU'!Z149/365.25</f>
        <v>2.401961413657052E-3</v>
      </c>
      <c r="AA149" s="60">
        <f>'Air Basin Summary NOx BAU'!AA149/365.25</f>
        <v>2.3427009231233153E-3</v>
      </c>
      <c r="AB149" s="61">
        <f>'Air Basin Summary NOx BAU'!AB149/365.25</f>
        <v>2.2849271286958885E-3</v>
      </c>
    </row>
    <row r="150" spans="1:29" ht="14.65" customHeight="1">
      <c r="A150" s="520"/>
      <c r="B150" s="2" t="s">
        <v>268</v>
      </c>
      <c r="C150" s="2" t="s">
        <v>18938</v>
      </c>
      <c r="D150" s="394">
        <f>'Air Basin Summary NOx BAU'!D150/365.25</f>
        <v>0</v>
      </c>
      <c r="E150" s="64">
        <f>'Air Basin Summary NOx BAU'!E150/365.25</f>
        <v>-2.4419320764162578E-18</v>
      </c>
      <c r="F150" s="64">
        <f>'Air Basin Summary NOx BAU'!F150/365.25</f>
        <v>2.738244347286627E-2</v>
      </c>
      <c r="G150" s="64">
        <f>'Air Basin Summary NOx BAU'!G150/365.25</f>
        <v>7.449741653936362E-2</v>
      </c>
      <c r="H150" s="64">
        <f>'Air Basin Summary NOx BAU'!H150/365.25</f>
        <v>8.5049935932106607E-2</v>
      </c>
      <c r="I150" s="64">
        <f>'Air Basin Summary NOx BAU'!I150/365.25</f>
        <v>9.277037783707863E-2</v>
      </c>
      <c r="J150" s="64">
        <f>'Air Basin Summary NOx BAU'!J150/365.25</f>
        <v>8.8505497553456366E-2</v>
      </c>
      <c r="K150" s="64">
        <f>'Air Basin Summary NOx BAU'!K150/365.25</f>
        <v>8.8270727669520571E-2</v>
      </c>
      <c r="L150" s="64">
        <f>'Air Basin Summary NOx BAU'!L150/365.25</f>
        <v>4.7891145721607874E-2</v>
      </c>
      <c r="M150" s="64">
        <f>'Air Basin Summary NOx BAU'!M150/365.25</f>
        <v>4.3206568936970453E-2</v>
      </c>
      <c r="N150" s="64">
        <f>'Air Basin Summary NOx BAU'!N150/365.25</f>
        <v>4.1455880051942513E-2</v>
      </c>
      <c r="O150" s="64">
        <f>'Air Basin Summary NOx BAU'!O150/365.25</f>
        <v>3.9479699812357168E-2</v>
      </c>
      <c r="P150" s="64">
        <f>'Air Basin Summary NOx BAU'!P150/365.25</f>
        <v>3.799478292988178E-2</v>
      </c>
      <c r="Q150" s="64">
        <f>'Air Basin Summary NOx BAU'!Q150/365.25</f>
        <v>2.7271844668920193E-2</v>
      </c>
      <c r="R150" s="64">
        <f>'Air Basin Summary NOx BAU'!R150/365.25</f>
        <v>2.0820878688633512E-2</v>
      </c>
      <c r="S150" s="64">
        <f>'Air Basin Summary NOx BAU'!S150/365.25</f>
        <v>1.4019186438388563E-2</v>
      </c>
      <c r="T150" s="64">
        <f>'Air Basin Summary NOx BAU'!T150/365.25</f>
        <v>1.3538908510593389E-2</v>
      </c>
      <c r="U150" s="64">
        <f>'Air Basin Summary NOx BAU'!U150/365.25</f>
        <v>1.3297030239513256E-2</v>
      </c>
      <c r="V150" s="64">
        <f>'Air Basin Summary NOx BAU'!V150/365.25</f>
        <v>1.3197076956155617E-2</v>
      </c>
      <c r="W150" s="64">
        <f>'Air Basin Summary NOx BAU'!W150/365.25</f>
        <v>1.2870767716604142E-2</v>
      </c>
      <c r="X150" s="64">
        <f>'Air Basin Summary NOx BAU'!X150/365.25</f>
        <v>1.2367230608463306E-2</v>
      </c>
      <c r="Y150" s="64">
        <f>'Air Basin Summary NOx BAU'!Y150/365.25</f>
        <v>1.2129486560726654E-2</v>
      </c>
      <c r="Z150" s="64">
        <f>'Air Basin Summary NOx BAU'!Z150/365.25</f>
        <v>1.1832358961625536E-2</v>
      </c>
      <c r="AA150" s="64">
        <f>'Air Basin Summary NOx BAU'!AA150/365.25</f>
        <v>1.1532918510939899E-2</v>
      </c>
      <c r="AB150" s="65">
        <f>'Air Basin Summary NOx BAU'!AB150/365.25</f>
        <v>1.1112008536544518E-2</v>
      </c>
    </row>
    <row r="151" spans="1:29" ht="14.65" customHeight="1">
      <c r="A151" s="521"/>
      <c r="B151" s="72" t="s">
        <v>270</v>
      </c>
      <c r="C151" s="72" t="s">
        <v>18938</v>
      </c>
      <c r="D151" s="175">
        <f>'Air Basin Summary NOx BAU'!D151/365.25</f>
        <v>0</v>
      </c>
      <c r="E151" s="175">
        <f>'Air Basin Summary NOx BAU'!E151/365.25</f>
        <v>-2.3256495965869124E-17</v>
      </c>
      <c r="F151" s="175">
        <f>'Air Basin Summary NOx BAU'!F151/365.25</f>
        <v>0.26078517593205969</v>
      </c>
      <c r="G151" s="175">
        <f>'Air Basin Summary NOx BAU'!G151/365.25</f>
        <v>0.70949920513679643</v>
      </c>
      <c r="H151" s="175">
        <f>'Air Basin Summary NOx BAU'!H151/365.25</f>
        <v>0.80542215737563816</v>
      </c>
      <c r="I151" s="175">
        <f>'Air Basin Summary NOx BAU'!I151/365.25</f>
        <v>0.84558408991104761</v>
      </c>
      <c r="J151" s="175">
        <f>'Air Basin Summary NOx BAU'!J151/365.25</f>
        <v>0.78725263111298704</v>
      </c>
      <c r="K151" s="175">
        <f>'Air Basin Summary NOx BAU'!K151/365.25</f>
        <v>0.77610863428068333</v>
      </c>
      <c r="L151" s="175">
        <f>'Air Basin Summary NOx BAU'!L151/365.25</f>
        <v>0.41809339281408464</v>
      </c>
      <c r="M151" s="175">
        <f>'Air Basin Summary NOx BAU'!M151/365.25</f>
        <v>0.37543916852272158</v>
      </c>
      <c r="N151" s="175">
        <f>'Air Basin Summary NOx BAU'!N151/365.25</f>
        <v>0.35904858893995745</v>
      </c>
      <c r="O151" s="175">
        <f>'Air Basin Summary NOx BAU'!O151/365.25</f>
        <v>0.34109617469065001</v>
      </c>
      <c r="P151" s="175">
        <f>'Air Basin Summary NOx BAU'!P151/365.25</f>
        <v>0.32728655190035399</v>
      </c>
      <c r="Q151" s="175">
        <f>'Air Basin Summary NOx BAU'!Q151/365.25</f>
        <v>0.2346346207512007</v>
      </c>
      <c r="R151" s="175">
        <f>'Air Basin Summary NOx BAU'!R151/365.25</f>
        <v>0.17892394488733937</v>
      </c>
      <c r="S151" s="175">
        <f>'Air Basin Summary NOx BAU'!S151/365.25</f>
        <v>0.12033812978151658</v>
      </c>
      <c r="T151" s="175">
        <f>'Air Basin Summary NOx BAU'!T151/365.25</f>
        <v>0.11609005959926637</v>
      </c>
      <c r="U151" s="175">
        <f>'Air Basin Summary NOx BAU'!U151/365.25</f>
        <v>0.11442109046844778</v>
      </c>
      <c r="V151" s="175">
        <f>'Air Basin Summary NOx BAU'!V151/365.25</f>
        <v>0.11387805256312834</v>
      </c>
      <c r="W151" s="175">
        <f>'Air Basin Summary NOx BAU'!W151/365.25</f>
        <v>0.11108402187424925</v>
      </c>
      <c r="X151" s="175">
        <f>'Air Basin Summary NOx BAU'!X151/365.25</f>
        <v>0.1065650387586894</v>
      </c>
      <c r="Y151" s="175">
        <f>'Air Basin Summary NOx BAU'!Y151/365.25</f>
        <v>0.10457502396026418</v>
      </c>
      <c r="Z151" s="175">
        <f>'Air Basin Summary NOx BAU'!Z151/365.25</f>
        <v>0.10201374890716425</v>
      </c>
      <c r="AA151" s="175">
        <f>'Air Basin Summary NOx BAU'!AA151/365.25</f>
        <v>9.9425315049038274E-2</v>
      </c>
      <c r="AB151" s="175">
        <f>'Air Basin Summary NOx BAU'!AB151/365.25</f>
        <v>9.5673421045902582E-2</v>
      </c>
      <c r="AC151" s="66"/>
    </row>
    <row r="152" spans="1:29">
      <c r="R152" s="66"/>
    </row>
    <row r="153" spans="1:29">
      <c r="B153" s="522" t="s">
        <v>18935</v>
      </c>
      <c r="C153" s="522"/>
      <c r="D153" s="522"/>
      <c r="E153" s="522"/>
      <c r="F153" s="522"/>
      <c r="G153" s="522"/>
      <c r="H153" s="522"/>
      <c r="I153" s="522"/>
      <c r="J153" s="522"/>
      <c r="K153" s="522"/>
      <c r="L153" s="522"/>
      <c r="M153" s="522"/>
      <c r="N153" s="522"/>
      <c r="O153" s="522"/>
      <c r="P153" s="522"/>
      <c r="Q153" s="522"/>
      <c r="R153" s="522"/>
      <c r="S153" s="522"/>
      <c r="T153" s="522"/>
      <c r="U153" s="522"/>
      <c r="V153" s="522"/>
      <c r="W153" s="522"/>
      <c r="X153" s="522"/>
      <c r="Y153" s="522"/>
      <c r="Z153" s="522"/>
      <c r="AA153" s="522"/>
      <c r="AB153" s="522"/>
    </row>
    <row r="154" spans="1:29">
      <c r="B154" s="295" t="s">
        <v>18936</v>
      </c>
      <c r="C154" s="295" t="s">
        <v>1</v>
      </c>
      <c r="D154" s="295">
        <v>2022</v>
      </c>
      <c r="E154" s="295">
        <v>2023</v>
      </c>
      <c r="F154" s="295">
        <v>2024</v>
      </c>
      <c r="G154" s="295">
        <v>2025</v>
      </c>
      <c r="H154" s="295">
        <v>2026</v>
      </c>
      <c r="I154" s="295">
        <v>2027</v>
      </c>
      <c r="J154" s="295">
        <v>2028</v>
      </c>
      <c r="K154" s="295">
        <v>2029</v>
      </c>
      <c r="L154" s="295">
        <v>2030</v>
      </c>
      <c r="M154" s="295">
        <v>2031</v>
      </c>
      <c r="N154" s="295">
        <v>2032</v>
      </c>
      <c r="O154" s="295">
        <v>2033</v>
      </c>
      <c r="P154" s="295">
        <v>2034</v>
      </c>
      <c r="Q154" s="295">
        <v>2035</v>
      </c>
      <c r="R154" s="295">
        <v>2036</v>
      </c>
      <c r="S154" s="295">
        <v>2037</v>
      </c>
      <c r="T154" s="295">
        <v>2038</v>
      </c>
      <c r="U154" s="295">
        <v>2039</v>
      </c>
      <c r="V154" s="295">
        <v>2040</v>
      </c>
      <c r="W154" s="295">
        <v>2041</v>
      </c>
      <c r="X154" s="295">
        <v>2042</v>
      </c>
      <c r="Y154" s="295">
        <v>2043</v>
      </c>
      <c r="Z154" s="295">
        <v>2044</v>
      </c>
      <c r="AA154" s="295">
        <v>2045</v>
      </c>
      <c r="AB154" s="295">
        <v>2046</v>
      </c>
    </row>
    <row r="155" spans="1:29">
      <c r="B155" t="s">
        <v>18937</v>
      </c>
      <c r="C155" t="s">
        <v>65</v>
      </c>
      <c r="D155" s="114">
        <f t="shared" ref="D155:AB155" si="1">D18+D37+D56+D75+D94+D113+D132+D151</f>
        <v>0</v>
      </c>
      <c r="E155" s="114">
        <f t="shared" si="1"/>
        <v>-2.3256495965869124E-17</v>
      </c>
      <c r="F155" s="114">
        <f t="shared" si="1"/>
        <v>-1.8237311101873164</v>
      </c>
      <c r="G155" s="114">
        <f t="shared" si="1"/>
        <v>-4.8178660955110049</v>
      </c>
      <c r="H155" s="114">
        <f t="shared" si="1"/>
        <v>-5.4510641037765097</v>
      </c>
      <c r="I155" s="114">
        <f t="shared" si="1"/>
        <v>-5.2261958910581647</v>
      </c>
      <c r="J155" s="114">
        <f t="shared" si="1"/>
        <v>-4.8041195482463355</v>
      </c>
      <c r="K155" s="114">
        <f t="shared" si="1"/>
        <v>-4.8186219373345338</v>
      </c>
      <c r="L155" s="114">
        <f t="shared" si="1"/>
        <v>-5.0803545857830983</v>
      </c>
      <c r="M155" s="114">
        <f t="shared" si="1"/>
        <v>-4.9642634440475666</v>
      </c>
      <c r="N155" s="114">
        <f t="shared" si="1"/>
        <v>-4.7937355024769097</v>
      </c>
      <c r="O155" s="114">
        <f t="shared" si="1"/>
        <v>-4.6123020446171275</v>
      </c>
      <c r="P155" s="114">
        <f t="shared" si="1"/>
        <v>-4.4267210809699398</v>
      </c>
      <c r="Q155" s="114">
        <f t="shared" si="1"/>
        <v>-4.3180829640280836</v>
      </c>
      <c r="R155" s="114">
        <f t="shared" si="1"/>
        <v>-4.1557350206697521</v>
      </c>
      <c r="S155" s="114">
        <f t="shared" si="1"/>
        <v>-3.9629085347771387</v>
      </c>
      <c r="T155" s="114">
        <f t="shared" si="1"/>
        <v>-3.821301256885858</v>
      </c>
      <c r="U155" s="114">
        <f t="shared" si="1"/>
        <v>-3.8335599505116371</v>
      </c>
      <c r="V155" s="114">
        <f t="shared" si="1"/>
        <v>-3.8278080471146483</v>
      </c>
      <c r="W155" s="114">
        <f t="shared" si="1"/>
        <v>-3.7643403818564369</v>
      </c>
      <c r="X155" s="114">
        <f t="shared" si="1"/>
        <v>-3.642833344931792</v>
      </c>
      <c r="Y155" s="114">
        <f t="shared" si="1"/>
        <v>-3.5876343721419013</v>
      </c>
      <c r="Z155" s="114">
        <f t="shared" si="1"/>
        <v>-3.5332740916133258</v>
      </c>
      <c r="AA155" s="114">
        <f t="shared" si="1"/>
        <v>-3.5208005204549888</v>
      </c>
      <c r="AB155" s="114">
        <f t="shared" si="1"/>
        <v>-3.4793292658634565</v>
      </c>
      <c r="AC155" s="66"/>
    </row>
    <row r="159" spans="1:29" ht="75">
      <c r="D159" s="339" t="s">
        <v>449</v>
      </c>
      <c r="E159" s="339" t="s">
        <v>18939</v>
      </c>
      <c r="F159" s="339" t="s">
        <v>18940</v>
      </c>
      <c r="G159" s="339" t="s">
        <v>18941</v>
      </c>
      <c r="H159" s="339" t="s">
        <v>18942</v>
      </c>
      <c r="I159" s="339" t="s">
        <v>18943</v>
      </c>
      <c r="J159" s="339" t="s">
        <v>18944</v>
      </c>
      <c r="K159" s="339" t="s">
        <v>18945</v>
      </c>
      <c r="L159" s="339" t="s">
        <v>18946</v>
      </c>
      <c r="M159" s="339" t="s">
        <v>18947</v>
      </c>
      <c r="N159" s="449"/>
      <c r="O159" s="449"/>
    </row>
    <row r="160" spans="1:29">
      <c r="D160" s="340">
        <v>2024</v>
      </c>
      <c r="E160" s="341" cm="1">
        <f t="array" ref="E160:E182">TRANSPOSE(F18:AB18)</f>
        <v>-8.348093661111923E-2</v>
      </c>
      <c r="F160" s="341" cm="1">
        <f t="array" ref="F160:F182">TRANSPOSE(F37:AB37)</f>
        <v>-2.0495278760681868</v>
      </c>
      <c r="G160" s="341" cm="1">
        <f t="array" ref="G160:G182">TRANSPOSE(F56:AB56)</f>
        <v>0</v>
      </c>
      <c r="H160" s="341" cm="1">
        <f t="array" ref="H160:H182">TRANSPOSE(F75:AB75)</f>
        <v>0</v>
      </c>
      <c r="I160" s="341" cm="1">
        <f t="array" ref="I160:I182">TRANSPOSE(F94:AB94)</f>
        <v>0</v>
      </c>
      <c r="J160" s="341" cm="1">
        <f t="array" ref="J160:J182">TRANSPOSE(F113:AB113)</f>
        <v>0</v>
      </c>
      <c r="K160" s="341" cm="1">
        <f t="array" ref="K160:K182">TRANSPOSE(F132:AB132)</f>
        <v>4.8492526559929659E-2</v>
      </c>
      <c r="L160" s="341" cm="1">
        <f t="array" ref="L160:L182">TRANSPOSE(F151:AB151)</f>
        <v>0.26078517593205969</v>
      </c>
      <c r="M160" s="420">
        <f>SUM(E160:L160)</f>
        <v>-1.8237311101873164</v>
      </c>
      <c r="N160" s="381"/>
      <c r="O160" s="101"/>
      <c r="Q160" s="344"/>
      <c r="R160" s="344"/>
    </row>
    <row r="161" spans="4:18">
      <c r="D161" s="340">
        <v>2025</v>
      </c>
      <c r="E161" s="341">
        <v>-0.16696187322223846</v>
      </c>
      <c r="F161" s="341">
        <v>-5.5497136896029211</v>
      </c>
      <c r="G161" s="341">
        <v>0</v>
      </c>
      <c r="H161" s="341">
        <v>9.1903072987383483E-2</v>
      </c>
      <c r="I161" s="341">
        <v>0</v>
      </c>
      <c r="J161" s="341">
        <v>0</v>
      </c>
      <c r="K161" s="341">
        <v>9.7407189189974694E-2</v>
      </c>
      <c r="L161" s="341">
        <v>0.70949920513679643</v>
      </c>
      <c r="M161" s="420">
        <f t="shared" ref="M161:M183" si="2">SUM(E161:L161)</f>
        <v>-4.8178660955110049</v>
      </c>
      <c r="N161" s="381"/>
      <c r="O161" s="101"/>
      <c r="Q161" s="344"/>
      <c r="R161" s="344"/>
    </row>
    <row r="162" spans="4:18">
      <c r="D162" s="340">
        <v>2026</v>
      </c>
      <c r="E162" s="341">
        <v>-0.2504428098333577</v>
      </c>
      <c r="F162" s="341">
        <v>-6.2126418069071558</v>
      </c>
      <c r="G162" s="341">
        <v>0</v>
      </c>
      <c r="H162" s="341">
        <v>0.10328811899991706</v>
      </c>
      <c r="I162" s="341">
        <v>2.4956104286063632E-3</v>
      </c>
      <c r="J162" s="341">
        <v>0</v>
      </c>
      <c r="K162" s="341">
        <v>0.10081462615984296</v>
      </c>
      <c r="L162" s="341">
        <v>0.80542215737563816</v>
      </c>
      <c r="M162" s="420">
        <f t="shared" si="2"/>
        <v>-5.4510641037765097</v>
      </c>
      <c r="N162" s="381"/>
      <c r="O162" s="101"/>
      <c r="Q162" s="344"/>
      <c r="R162" s="344"/>
    </row>
    <row r="163" spans="4:18">
      <c r="D163" s="340">
        <v>2027</v>
      </c>
      <c r="E163" s="341">
        <v>-0.33392374644447692</v>
      </c>
      <c r="F163" s="341">
        <v>-5.8872673028613818</v>
      </c>
      <c r="G163" s="341">
        <v>0</v>
      </c>
      <c r="H163" s="341">
        <v>3.998924794668645E-2</v>
      </c>
      <c r="I163" s="341">
        <v>2.153819433654644E-2</v>
      </c>
      <c r="J163" s="341">
        <v>0</v>
      </c>
      <c r="K163" s="341">
        <v>8.7883626053413974E-2</v>
      </c>
      <c r="L163" s="341">
        <v>0.84558408991104761</v>
      </c>
      <c r="M163" s="420">
        <f t="shared" si="2"/>
        <v>-5.2261958910581647</v>
      </c>
      <c r="N163" s="381"/>
      <c r="O163" s="101"/>
      <c r="Q163" s="344"/>
      <c r="R163" s="344"/>
    </row>
    <row r="164" spans="4:18">
      <c r="D164" s="340">
        <v>2028</v>
      </c>
      <c r="E164" s="341">
        <v>-0.41740468305559608</v>
      </c>
      <c r="F164" s="341">
        <v>-5.345488633928948</v>
      </c>
      <c r="G164" s="341">
        <v>0</v>
      </c>
      <c r="H164" s="341">
        <v>6.9029799274781714E-2</v>
      </c>
      <c r="I164" s="341">
        <v>3.2963744681310497E-2</v>
      </c>
      <c r="J164" s="341">
        <v>0</v>
      </c>
      <c r="K164" s="341">
        <v>6.9527593669129292E-2</v>
      </c>
      <c r="L164" s="341">
        <v>0.78725263111298704</v>
      </c>
      <c r="M164" s="420">
        <f t="shared" si="2"/>
        <v>-4.8041195482463355</v>
      </c>
      <c r="N164" s="381"/>
      <c r="O164" s="101"/>
      <c r="Q164" s="344"/>
      <c r="R164" s="344"/>
    </row>
    <row r="165" spans="4:18">
      <c r="D165" s="340">
        <v>2029</v>
      </c>
      <c r="E165" s="341">
        <v>-0.5008856196667153</v>
      </c>
      <c r="F165" s="341">
        <v>-5.2135254778445601</v>
      </c>
      <c r="G165" s="341">
        <v>0</v>
      </c>
      <c r="H165" s="341">
        <v>1.7589778664123801E-2</v>
      </c>
      <c r="I165" s="341">
        <v>3.9819074888168923E-2</v>
      </c>
      <c r="J165" s="341">
        <v>0</v>
      </c>
      <c r="K165" s="341">
        <v>6.2271672343765461E-2</v>
      </c>
      <c r="L165" s="341">
        <v>0.77610863428068333</v>
      </c>
      <c r="M165" s="420">
        <f t="shared" si="2"/>
        <v>-4.8186219373345338</v>
      </c>
      <c r="N165" s="381"/>
      <c r="O165" s="101"/>
      <c r="Q165" s="344"/>
      <c r="R165" s="344"/>
    </row>
    <row r="166" spans="4:18">
      <c r="D166" s="340">
        <v>2030</v>
      </c>
      <c r="E166" s="341">
        <v>-0.58436655627783463</v>
      </c>
      <c r="F166" s="341">
        <v>-5.013801107411104</v>
      </c>
      <c r="G166" s="341">
        <v>0</v>
      </c>
      <c r="H166" s="341">
        <v>0</v>
      </c>
      <c r="I166" s="341">
        <v>4.3932273012284147E-2</v>
      </c>
      <c r="J166" s="341">
        <v>0</v>
      </c>
      <c r="K166" s="341">
        <v>5.578741207947191E-2</v>
      </c>
      <c r="L166" s="341">
        <v>0.41809339281408464</v>
      </c>
      <c r="M166" s="420">
        <f t="shared" si="2"/>
        <v>-5.0803545857830983</v>
      </c>
      <c r="N166" s="381"/>
      <c r="O166" s="101"/>
      <c r="Q166" s="344"/>
      <c r="R166" s="344"/>
    </row>
    <row r="167" spans="4:18">
      <c r="D167" s="340">
        <v>2031</v>
      </c>
      <c r="E167" s="341">
        <v>-0.66784749288895384</v>
      </c>
      <c r="F167" s="341">
        <v>-4.7681084550586377</v>
      </c>
      <c r="G167" s="341">
        <v>0</v>
      </c>
      <c r="H167" s="341">
        <v>0</v>
      </c>
      <c r="I167" s="341">
        <v>4.640019188675315E-2</v>
      </c>
      <c r="J167" s="341">
        <v>0</v>
      </c>
      <c r="K167" s="341">
        <v>4.9853143490550651E-2</v>
      </c>
      <c r="L167" s="341">
        <v>0.37543916852272158</v>
      </c>
      <c r="M167" s="420">
        <f t="shared" si="2"/>
        <v>-4.9642634440475666</v>
      </c>
      <c r="N167" s="381"/>
      <c r="O167" s="101"/>
      <c r="Q167" s="344"/>
      <c r="R167" s="344"/>
    </row>
    <row r="168" spans="4:18">
      <c r="D168" s="340">
        <v>2032</v>
      </c>
      <c r="E168" s="341">
        <v>-0.75132842950007295</v>
      </c>
      <c r="F168" s="341">
        <v>-4.4940957430786161</v>
      </c>
      <c r="G168" s="341">
        <v>0</v>
      </c>
      <c r="H168" s="341">
        <v>0</v>
      </c>
      <c r="I168" s="341">
        <v>4.7880943211434566E-2</v>
      </c>
      <c r="J168" s="341">
        <v>0</v>
      </c>
      <c r="K168" s="341">
        <v>4.4759137950386843E-2</v>
      </c>
      <c r="L168" s="341">
        <v>0.35904858893995745</v>
      </c>
      <c r="M168" s="420">
        <f t="shared" si="2"/>
        <v>-4.7937355024769097</v>
      </c>
      <c r="N168" s="381"/>
      <c r="O168" s="101"/>
      <c r="Q168" s="344"/>
      <c r="R168" s="344"/>
    </row>
    <row r="169" spans="4:18">
      <c r="D169" s="340">
        <v>2033</v>
      </c>
      <c r="E169" s="341">
        <v>-0.83480936611119227</v>
      </c>
      <c r="F169" s="341">
        <v>-4.2092152391974329</v>
      </c>
      <c r="G169" s="341">
        <v>0</v>
      </c>
      <c r="H169" s="341">
        <v>1.283629684679999E-3</v>
      </c>
      <c r="I169" s="341">
        <v>4.8769394006243381E-2</v>
      </c>
      <c r="J169" s="341">
        <v>0</v>
      </c>
      <c r="K169" s="341">
        <v>4.0573362309923922E-2</v>
      </c>
      <c r="L169" s="341">
        <v>0.34109617469065001</v>
      </c>
      <c r="M169" s="420">
        <f t="shared" si="2"/>
        <v>-4.6123020446171275</v>
      </c>
      <c r="N169" s="381"/>
      <c r="O169" s="101"/>
      <c r="Q169" s="344"/>
      <c r="R169" s="344"/>
    </row>
    <row r="170" spans="4:18">
      <c r="D170" s="340">
        <v>2034</v>
      </c>
      <c r="E170" s="341">
        <v>-0.91829030272231138</v>
      </c>
      <c r="F170" s="341">
        <v>-3.9410716715703025</v>
      </c>
      <c r="G170" s="341">
        <v>0</v>
      </c>
      <c r="H170" s="341">
        <v>1.8435244554848604E-2</v>
      </c>
      <c r="I170" s="341">
        <v>5.0102070198456736E-2</v>
      </c>
      <c r="J170" s="341">
        <v>0</v>
      </c>
      <c r="K170" s="341">
        <v>3.6817026669014791E-2</v>
      </c>
      <c r="L170" s="341">
        <v>0.32728655190035399</v>
      </c>
      <c r="M170" s="420">
        <f t="shared" si="2"/>
        <v>-4.4267210809699398</v>
      </c>
      <c r="N170" s="381"/>
      <c r="O170" s="101"/>
      <c r="Q170" s="344"/>
      <c r="R170" s="344"/>
    </row>
    <row r="171" spans="4:18">
      <c r="D171" s="340">
        <v>2035</v>
      </c>
      <c r="E171" s="341">
        <v>-1.0017712393334308</v>
      </c>
      <c r="F171" s="341">
        <v>-3.6644358843274802</v>
      </c>
      <c r="G171" s="341">
        <v>0</v>
      </c>
      <c r="H171" s="341">
        <v>3.0086318125807764E-2</v>
      </c>
      <c r="I171" s="341">
        <v>5.0102070198456722E-2</v>
      </c>
      <c r="J171" s="341">
        <v>0</v>
      </c>
      <c r="K171" s="341">
        <v>3.3301150557361513E-2</v>
      </c>
      <c r="L171" s="341">
        <v>0.2346346207512007</v>
      </c>
      <c r="M171" s="420">
        <f t="shared" si="2"/>
        <v>-4.3180829640280836</v>
      </c>
      <c r="N171" s="381"/>
      <c r="O171" s="101"/>
      <c r="Q171" s="344"/>
      <c r="R171" s="344"/>
    </row>
    <row r="172" spans="4:18">
      <c r="D172" s="340">
        <v>2036</v>
      </c>
      <c r="E172" s="341">
        <v>-1.0852521759445499</v>
      </c>
      <c r="F172" s="341">
        <v>-3.3576696953855056</v>
      </c>
      <c r="G172" s="341">
        <v>0</v>
      </c>
      <c r="H172" s="341">
        <v>3.0086318125807761E-2</v>
      </c>
      <c r="I172" s="341">
        <v>5.0102070198456736E-2</v>
      </c>
      <c r="J172" s="341">
        <v>-3.6386272889043568E-3</v>
      </c>
      <c r="K172" s="341">
        <v>3.17131447376027E-2</v>
      </c>
      <c r="L172" s="341">
        <v>0.17892394488733937</v>
      </c>
      <c r="M172" s="420">
        <f t="shared" si="2"/>
        <v>-4.1557350206697521</v>
      </c>
      <c r="N172" s="381"/>
      <c r="O172" s="101"/>
      <c r="Q172" s="344"/>
      <c r="R172" s="344"/>
    </row>
    <row r="173" spans="4:18">
      <c r="D173" s="340">
        <v>2037</v>
      </c>
      <c r="E173" s="341">
        <v>-1.1687331125556693</v>
      </c>
      <c r="F173" s="341">
        <v>-3.0526756059683855</v>
      </c>
      <c r="G173" s="341">
        <v>0</v>
      </c>
      <c r="H173" s="341">
        <v>7.1889312342743455E-2</v>
      </c>
      <c r="I173" s="341">
        <v>5.0102070198456722E-2</v>
      </c>
      <c r="J173" s="341">
        <v>-1.2943863998567466E-2</v>
      </c>
      <c r="K173" s="341">
        <v>2.9114535422767686E-2</v>
      </c>
      <c r="L173" s="341">
        <v>0.12033812978151658</v>
      </c>
      <c r="M173" s="420">
        <f t="shared" si="2"/>
        <v>-3.9629085347771387</v>
      </c>
      <c r="N173" s="381"/>
      <c r="O173" s="101"/>
      <c r="Q173" s="344"/>
      <c r="R173" s="344"/>
    </row>
    <row r="174" spans="4:18">
      <c r="D174" s="340">
        <v>2038</v>
      </c>
      <c r="E174" s="341">
        <v>-1.2522140491667884</v>
      </c>
      <c r="F174" s="341">
        <v>-2.811603076541803</v>
      </c>
      <c r="G174" s="341">
        <v>0</v>
      </c>
      <c r="H174" s="341">
        <v>7.1889312342743414E-2</v>
      </c>
      <c r="I174" s="341">
        <v>5.0102070198456722E-2</v>
      </c>
      <c r="J174" s="341">
        <v>-2.2459876582424723E-2</v>
      </c>
      <c r="K174" s="341">
        <v>2.6894303264692204E-2</v>
      </c>
      <c r="L174" s="341">
        <v>0.11609005959926637</v>
      </c>
      <c r="M174" s="420">
        <f t="shared" si="2"/>
        <v>-3.821301256885858</v>
      </c>
      <c r="N174" s="381"/>
      <c r="O174" s="101"/>
      <c r="Q174" s="344"/>
      <c r="R174" s="344"/>
    </row>
    <row r="175" spans="4:18">
      <c r="D175" s="340">
        <v>2039</v>
      </c>
      <c r="E175" s="341">
        <v>-1.3356949857779077</v>
      </c>
      <c r="F175" s="341">
        <v>-2.7430963134453044</v>
      </c>
      <c r="G175" s="341">
        <v>0</v>
      </c>
      <c r="H175" s="341">
        <v>8.6276263500600983E-2</v>
      </c>
      <c r="I175" s="341">
        <v>5.0102070198456715E-2</v>
      </c>
      <c r="J175" s="341">
        <v>-3.2172036037981175E-2</v>
      </c>
      <c r="K175" s="341">
        <v>2.6603960582050581E-2</v>
      </c>
      <c r="L175" s="341">
        <v>0.11442109046844778</v>
      </c>
      <c r="M175" s="420">
        <f t="shared" si="2"/>
        <v>-3.8335599505116371</v>
      </c>
      <c r="N175" s="381"/>
      <c r="O175" s="101"/>
      <c r="Q175" s="344"/>
      <c r="R175" s="344"/>
    </row>
    <row r="176" spans="4:18">
      <c r="D176" s="340">
        <v>2040</v>
      </c>
      <c r="E176" s="341">
        <v>-1.4191759223890268</v>
      </c>
      <c r="F176" s="341">
        <v>-2.66638309977357</v>
      </c>
      <c r="G176" s="341">
        <v>0</v>
      </c>
      <c r="H176" s="341">
        <v>0.10769146897426884</v>
      </c>
      <c r="I176" s="341">
        <v>5.0102070198456722E-2</v>
      </c>
      <c r="J176" s="341">
        <v>-4.0612307002854439E-2</v>
      </c>
      <c r="K176" s="341">
        <v>2.6691690314949449E-2</v>
      </c>
      <c r="L176" s="341">
        <v>0.11387805256312834</v>
      </c>
      <c r="M176" s="420">
        <f t="shared" si="2"/>
        <v>-3.8278080471146483</v>
      </c>
      <c r="N176" s="381"/>
      <c r="O176" s="101"/>
      <c r="Q176" s="344"/>
      <c r="R176" s="344"/>
    </row>
    <row r="177" spans="4:18">
      <c r="D177" s="340">
        <v>2041</v>
      </c>
      <c r="E177" s="341">
        <v>-1.5026568590001461</v>
      </c>
      <c r="F177" s="341">
        <v>-2.5048893547420623</v>
      </c>
      <c r="G177" s="341">
        <v>0</v>
      </c>
      <c r="H177" s="341">
        <v>0.10567002014870004</v>
      </c>
      <c r="I177" s="341">
        <v>5.0102070198456715E-2</v>
      </c>
      <c r="J177" s="341">
        <v>-4.9643957797697799E-2</v>
      </c>
      <c r="K177" s="341">
        <v>2.5993677462063304E-2</v>
      </c>
      <c r="L177" s="341">
        <v>0.11108402187424925</v>
      </c>
      <c r="M177" s="420">
        <f t="shared" si="2"/>
        <v>-3.7643403818564369</v>
      </c>
      <c r="N177" s="381"/>
      <c r="O177" s="101"/>
      <c r="Q177" s="344"/>
      <c r="R177" s="344"/>
    </row>
    <row r="178" spans="4:18">
      <c r="D178" s="340">
        <v>2042</v>
      </c>
      <c r="E178" s="341">
        <v>-1.5861377956112652</v>
      </c>
      <c r="F178" s="341">
        <v>-2.2845148278979113</v>
      </c>
      <c r="G178" s="341">
        <v>0</v>
      </c>
      <c r="H178" s="341">
        <v>0.10626193359588565</v>
      </c>
      <c r="I178" s="341">
        <v>5.0102070198456722E-2</v>
      </c>
      <c r="J178" s="341">
        <v>-5.9911931096293378E-2</v>
      </c>
      <c r="K178" s="341">
        <v>2.4802167120646111E-2</v>
      </c>
      <c r="L178" s="341">
        <v>0.1065650387586894</v>
      </c>
      <c r="M178" s="420">
        <f t="shared" si="2"/>
        <v>-3.642833344931792</v>
      </c>
      <c r="N178" s="381"/>
      <c r="O178" s="101"/>
      <c r="Q178" s="344"/>
      <c r="R178" s="344"/>
    </row>
    <row r="179" spans="4:18">
      <c r="D179" s="340">
        <v>2043</v>
      </c>
      <c r="E179" s="341">
        <v>-1.6696187322223843</v>
      </c>
      <c r="F179" s="341">
        <v>-2.1387800706813462</v>
      </c>
      <c r="G179" s="341">
        <v>0</v>
      </c>
      <c r="H179" s="341">
        <v>0.10694646096512095</v>
      </c>
      <c r="I179" s="341">
        <v>5.0102070198456722E-2</v>
      </c>
      <c r="J179" s="341">
        <v>-6.5333737328324704E-2</v>
      </c>
      <c r="K179" s="341">
        <v>2.4474612966311943E-2</v>
      </c>
      <c r="L179" s="341">
        <v>0.10457502396026418</v>
      </c>
      <c r="M179" s="420">
        <f t="shared" si="2"/>
        <v>-3.5876343721419013</v>
      </c>
      <c r="N179" s="381"/>
      <c r="O179" s="101"/>
      <c r="Q179" s="344"/>
      <c r="R179" s="344"/>
    </row>
    <row r="180" spans="4:18">
      <c r="D180" s="340">
        <v>2044</v>
      </c>
      <c r="E180" s="341">
        <v>-1.7530996688335037</v>
      </c>
      <c r="F180" s="341">
        <v>-1.9782876475123861</v>
      </c>
      <c r="G180" s="341">
        <v>0</v>
      </c>
      <c r="H180" s="341">
        <v>9.2923601516169907E-2</v>
      </c>
      <c r="I180" s="341">
        <v>5.0102070198456722E-2</v>
      </c>
      <c r="J180" s="341">
        <v>-7.0958976682209518E-2</v>
      </c>
      <c r="K180" s="341">
        <v>2.4032780792982524E-2</v>
      </c>
      <c r="L180" s="341">
        <v>0.10201374890716425</v>
      </c>
      <c r="M180" s="420">
        <f t="shared" si="2"/>
        <v>-3.5332740916133258</v>
      </c>
      <c r="N180" s="381"/>
      <c r="O180" s="101"/>
      <c r="Q180" s="344"/>
      <c r="R180" s="344"/>
    </row>
    <row r="181" spans="4:18">
      <c r="D181" s="340">
        <v>2045</v>
      </c>
      <c r="E181" s="341">
        <v>-1.8365806054446228</v>
      </c>
      <c r="F181" s="341">
        <v>-1.8666456459155611</v>
      </c>
      <c r="G181" s="341">
        <v>0</v>
      </c>
      <c r="H181" s="341">
        <v>8.5816548044706176E-2</v>
      </c>
      <c r="I181" s="341">
        <v>5.0102070198456736E-2</v>
      </c>
      <c r="J181" s="341">
        <v>-7.6570062203845629E-2</v>
      </c>
      <c r="K181" s="341">
        <v>2.365185981683993E-2</v>
      </c>
      <c r="L181" s="341">
        <v>9.9425315049038274E-2</v>
      </c>
      <c r="M181" s="420">
        <f t="shared" si="2"/>
        <v>-3.5208005204549888</v>
      </c>
      <c r="N181" s="381"/>
      <c r="O181" s="101"/>
      <c r="Q181" s="344"/>
      <c r="R181" s="344"/>
    </row>
    <row r="182" spans="4:18">
      <c r="D182" s="340">
        <v>2046</v>
      </c>
      <c r="E182" s="341">
        <v>-1.9200615420557421</v>
      </c>
      <c r="F182" s="341">
        <v>-1.7239577882487893</v>
      </c>
      <c r="G182" s="341">
        <v>0</v>
      </c>
      <c r="H182" s="341">
        <v>8.0245653763921079E-2</v>
      </c>
      <c r="I182" s="341">
        <v>5.0102070198456722E-2</v>
      </c>
      <c r="J182" s="341">
        <v>-8.4230762006399229E-2</v>
      </c>
      <c r="K182" s="341">
        <v>2.2899681439193846E-2</v>
      </c>
      <c r="L182" s="341">
        <v>9.5673421045902582E-2</v>
      </c>
      <c r="M182" s="420">
        <f t="shared" si="2"/>
        <v>-3.4793292658634565</v>
      </c>
      <c r="N182" s="381"/>
      <c r="O182" s="101"/>
      <c r="Q182" s="344"/>
      <c r="R182" s="344"/>
    </row>
    <row r="183" spans="4:18">
      <c r="D183" s="68" t="s">
        <v>495</v>
      </c>
      <c r="E183" s="338">
        <f>SUM(_xlfn.ANCHORARRAY(E160))</f>
        <v>-23.040738504668905</v>
      </c>
      <c r="F183" s="338">
        <f t="shared" ref="F183:L183" si="3">SUM(_xlfn.ANCHORARRAY(F160))</f>
        <v>-83.477396013969354</v>
      </c>
      <c r="G183" s="338">
        <f t="shared" si="3"/>
        <v>0</v>
      </c>
      <c r="H183" s="338">
        <f t="shared" si="3"/>
        <v>1.3173021035588972</v>
      </c>
      <c r="I183" s="338">
        <f t="shared" si="3"/>
        <v>0.93512633903128473</v>
      </c>
      <c r="J183" s="338">
        <f t="shared" si="3"/>
        <v>-0.51847613802550241</v>
      </c>
      <c r="K183" s="338">
        <f t="shared" si="3"/>
        <v>1.0143608809528659</v>
      </c>
      <c r="L183" s="338">
        <f t="shared" si="3"/>
        <v>7.5032382382631866</v>
      </c>
      <c r="M183" s="420">
        <f t="shared" si="2"/>
        <v>-96.266583094857538</v>
      </c>
      <c r="N183" s="101"/>
      <c r="O183" s="101"/>
    </row>
    <row r="185" spans="4:18">
      <c r="E185" s="101"/>
      <c r="F185" s="101"/>
      <c r="G185" s="101"/>
      <c r="H185" s="101"/>
      <c r="I185" s="101"/>
      <c r="J185" s="101"/>
      <c r="K185" s="101"/>
      <c r="L185" s="101"/>
      <c r="M185" s="101"/>
    </row>
    <row r="198" spans="4:5">
      <c r="D198" s="66"/>
      <c r="E198" s="66"/>
    </row>
    <row r="199" spans="4:5">
      <c r="D199" s="66"/>
      <c r="E199" s="66"/>
    </row>
    <row r="200" spans="4:5">
      <c r="D200" s="66"/>
      <c r="E200" s="66"/>
    </row>
    <row r="201" spans="4:5">
      <c r="D201" s="66"/>
      <c r="E201" s="66"/>
    </row>
    <row r="202" spans="4:5">
      <c r="D202" s="66"/>
      <c r="E202" s="66"/>
    </row>
    <row r="203" spans="4:5">
      <c r="D203" s="66"/>
      <c r="E203" s="66"/>
    </row>
    <row r="204" spans="4:5">
      <c r="D204" s="66"/>
      <c r="E204" s="66"/>
    </row>
    <row r="205" spans="4:5">
      <c r="D205" s="66"/>
      <c r="E205" s="66"/>
    </row>
    <row r="206" spans="4:5">
      <c r="D206" s="66"/>
      <c r="E206" s="66"/>
    </row>
    <row r="207" spans="4:5">
      <c r="D207" s="66"/>
      <c r="E207" s="66"/>
    </row>
    <row r="208" spans="4:5">
      <c r="D208" s="66"/>
      <c r="E208" s="66"/>
    </row>
    <row r="209" spans="4:5">
      <c r="D209" s="66"/>
      <c r="E209" s="66"/>
    </row>
    <row r="210" spans="4:5">
      <c r="D210" s="66"/>
      <c r="E210" s="66"/>
    </row>
    <row r="211" spans="4:5">
      <c r="D211" s="66"/>
      <c r="E211" s="66"/>
    </row>
    <row r="212" spans="4:5">
      <c r="D212" s="66"/>
      <c r="E212" s="66"/>
    </row>
    <row r="213" spans="4:5">
      <c r="D213" s="66"/>
      <c r="E213" s="66"/>
    </row>
    <row r="214" spans="4:5">
      <c r="D214" s="66"/>
      <c r="E214" s="66"/>
    </row>
    <row r="215" spans="4:5">
      <c r="D215" s="66"/>
      <c r="E215" s="66"/>
    </row>
    <row r="216" spans="4:5">
      <c r="D216" s="66"/>
      <c r="E216" s="66"/>
    </row>
    <row r="217" spans="4:5">
      <c r="D217" s="66"/>
      <c r="E217" s="66"/>
    </row>
    <row r="218" spans="4:5">
      <c r="D218" s="66"/>
      <c r="E218" s="66"/>
    </row>
    <row r="219" spans="4:5">
      <c r="D219" s="66"/>
      <c r="E219" s="66"/>
    </row>
    <row r="220" spans="4:5">
      <c r="D220" s="66"/>
      <c r="E220" s="66"/>
    </row>
  </sheetData>
  <mergeCells count="10">
    <mergeCell ref="D1:AB1"/>
    <mergeCell ref="A1:A151"/>
    <mergeCell ref="D39:AB39"/>
    <mergeCell ref="B153:AB153"/>
    <mergeCell ref="D20:AB20"/>
    <mergeCell ref="D58:AB58"/>
    <mergeCell ref="D115:AB115"/>
    <mergeCell ref="D134:AB134"/>
    <mergeCell ref="D77:AB77"/>
    <mergeCell ref="D96:AB9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1">
    <tabColor rgb="FFB889DB"/>
  </sheetPr>
  <dimension ref="A1:AY193"/>
  <sheetViews>
    <sheetView topLeftCell="D149" zoomScale="96" zoomScaleNormal="96" workbookViewId="0">
      <selection activeCell="H18" sqref="H18"/>
    </sheetView>
  </sheetViews>
  <sheetFormatPr defaultRowHeight="15"/>
  <cols>
    <col min="1" max="1" width="28.5703125" customWidth="1"/>
    <col min="2" max="2" width="19.28515625" bestFit="1" customWidth="1"/>
    <col min="3" max="3" width="13.42578125" bestFit="1" customWidth="1"/>
    <col min="4" max="5" width="8.7109375" bestFit="1" customWidth="1"/>
    <col min="6" max="6" width="9.85546875" bestFit="1" customWidth="1"/>
    <col min="7" max="7" width="11.28515625" customWidth="1"/>
    <col min="8" max="8" width="9.5703125" bestFit="1" customWidth="1"/>
    <col min="9" max="25" width="10.5703125" bestFit="1" customWidth="1"/>
    <col min="26" max="26" width="13.140625" customWidth="1"/>
    <col min="27" max="27" width="10.5703125" bestFit="1" customWidth="1"/>
    <col min="28" max="28" width="12" customWidth="1"/>
    <col min="29" max="29" width="12.85546875" customWidth="1"/>
  </cols>
  <sheetData>
    <row r="1" spans="1:28" ht="15.75" customHeight="1">
      <c r="A1" s="520" t="s">
        <v>18948</v>
      </c>
      <c r="B1" s="86"/>
      <c r="C1" s="87"/>
      <c r="D1" s="518" t="s">
        <v>18949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</row>
    <row r="2" spans="1:28">
      <c r="A2" s="520"/>
      <c r="B2" s="88" t="s">
        <v>18814</v>
      </c>
      <c r="C2" s="88" t="s">
        <v>1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8">
      <c r="A3" s="520"/>
      <c r="B3" s="2" t="s">
        <v>249</v>
      </c>
      <c r="C3" s="2" t="s">
        <v>240</v>
      </c>
      <c r="D3" s="104">
        <v>0</v>
      </c>
      <c r="E3" s="79">
        <v>0</v>
      </c>
      <c r="F3" s="79">
        <f>'Air Basin Summary PM2.5 BAU tpd'!F3*365.25</f>
        <v>0</v>
      </c>
      <c r="G3" s="79">
        <f>'Air Basin Summary PM2.5 BAU tpd'!G3*365.25</f>
        <v>0</v>
      </c>
      <c r="H3" s="79">
        <f>'Air Basin Summary PM2.5 BAU tpd'!H3*365.25</f>
        <v>0</v>
      </c>
      <c r="I3" s="79">
        <f>'Air Basin Summary PM2.5 BAU tpd'!I3*365.25</f>
        <v>0</v>
      </c>
      <c r="J3" s="79">
        <f>'Air Basin Summary PM2.5 BAU tpd'!J3*365.25</f>
        <v>0</v>
      </c>
      <c r="K3" s="79">
        <f>'Air Basin Summary PM2.5 BAU tpd'!K3*365.25</f>
        <v>0</v>
      </c>
      <c r="L3" s="79">
        <f>'Air Basin Summary PM2.5 BAU tpd'!L3*365.25</f>
        <v>0</v>
      </c>
      <c r="M3" s="79">
        <f>'Air Basin Summary PM2.5 BAU tpd'!M3*365.25</f>
        <v>0</v>
      </c>
      <c r="N3" s="79">
        <f>'Air Basin Summary PM2.5 BAU tpd'!N3*365.25</f>
        <v>0</v>
      </c>
      <c r="O3" s="79">
        <f>'Air Basin Summary PM2.5 BAU tpd'!O3*365.25</f>
        <v>0</v>
      </c>
      <c r="P3" s="79">
        <f>'Air Basin Summary PM2.5 BAU tpd'!P3*365.25</f>
        <v>0</v>
      </c>
      <c r="Q3" s="79">
        <f>'Air Basin Summary PM2.5 BAU tpd'!Q3*365.25</f>
        <v>0</v>
      </c>
      <c r="R3" s="79">
        <f>'Air Basin Summary PM2.5 BAU tpd'!R3*365.25</f>
        <v>0</v>
      </c>
      <c r="S3" s="79">
        <f>'Air Basin Summary PM2.5 BAU tpd'!S3*365.25</f>
        <v>0</v>
      </c>
      <c r="T3" s="79">
        <f>'Air Basin Summary PM2.5 BAU tpd'!T3*365.25</f>
        <v>0</v>
      </c>
      <c r="U3" s="79">
        <f>'Air Basin Summary PM2.5 BAU tpd'!U3*365.25</f>
        <v>0</v>
      </c>
      <c r="V3" s="79">
        <f>'Air Basin Summary PM2.5 BAU tpd'!V3*365.25</f>
        <v>0</v>
      </c>
      <c r="W3" s="79">
        <f>'Air Basin Summary PM2.5 BAU tpd'!W3*365.25</f>
        <v>0</v>
      </c>
      <c r="X3" s="79">
        <f>'Air Basin Summary PM2.5 BAU tpd'!X3*365.25</f>
        <v>0</v>
      </c>
      <c r="Y3" s="79">
        <f>'Air Basin Summary PM2.5 BAU tpd'!Y3*365.25</f>
        <v>0</v>
      </c>
      <c r="Z3" s="79">
        <f>'Air Basin Summary PM2.5 BAU tpd'!Z3*365.25</f>
        <v>0</v>
      </c>
      <c r="AA3" s="79">
        <f>'Air Basin Summary PM2.5 BAU tpd'!AA3*365.25</f>
        <v>0</v>
      </c>
      <c r="AB3" s="80">
        <f>'Air Basin Summary PM2.5 BAU tpd'!AB3*365.25</f>
        <v>0</v>
      </c>
    </row>
    <row r="4" spans="1:28">
      <c r="A4" s="520"/>
      <c r="B4" s="2" t="s">
        <v>416</v>
      </c>
      <c r="C4" s="2" t="s">
        <v>240</v>
      </c>
      <c r="D4" s="393">
        <v>0</v>
      </c>
      <c r="E4" s="60">
        <v>0</v>
      </c>
      <c r="F4" s="60">
        <f>'Air Basin Summary PM2.5 BAU tpd'!F4*365.25</f>
        <v>0</v>
      </c>
      <c r="G4" s="60">
        <f>'Air Basin Summary PM2.5 BAU tpd'!G4*365.25</f>
        <v>0</v>
      </c>
      <c r="H4" s="60">
        <f>'Air Basin Summary PM2.5 BAU tpd'!H4*365.25</f>
        <v>0</v>
      </c>
      <c r="I4" s="60">
        <f>'Air Basin Summary PM2.5 BAU tpd'!I4*365.25</f>
        <v>0</v>
      </c>
      <c r="J4" s="60">
        <f>'Air Basin Summary PM2.5 BAU tpd'!J4*365.25</f>
        <v>0</v>
      </c>
      <c r="K4" s="60">
        <f>'Air Basin Summary PM2.5 BAU tpd'!K4*365.25</f>
        <v>0</v>
      </c>
      <c r="L4" s="60">
        <f>'Air Basin Summary PM2.5 BAU tpd'!L4*365.25</f>
        <v>0</v>
      </c>
      <c r="M4" s="60">
        <f>'Air Basin Summary PM2.5 BAU tpd'!M4*365.25</f>
        <v>0</v>
      </c>
      <c r="N4" s="60">
        <f>'Air Basin Summary PM2.5 BAU tpd'!N4*365.25</f>
        <v>0</v>
      </c>
      <c r="O4" s="60">
        <f>'Air Basin Summary PM2.5 BAU tpd'!O4*365.25</f>
        <v>0</v>
      </c>
      <c r="P4" s="60">
        <f>'Air Basin Summary PM2.5 BAU tpd'!P4*365.25</f>
        <v>0</v>
      </c>
      <c r="Q4" s="60">
        <f>'Air Basin Summary PM2.5 BAU tpd'!Q4*365.25</f>
        <v>0</v>
      </c>
      <c r="R4" s="60">
        <f>'Air Basin Summary PM2.5 BAU tpd'!R4*365.25</f>
        <v>0</v>
      </c>
      <c r="S4" s="60">
        <f>'Air Basin Summary PM2.5 BAU tpd'!S4*365.25</f>
        <v>0</v>
      </c>
      <c r="T4" s="60">
        <f>'Air Basin Summary PM2.5 BAU tpd'!T4*365.25</f>
        <v>0</v>
      </c>
      <c r="U4" s="60">
        <f>'Air Basin Summary PM2.5 BAU tpd'!U4*365.25</f>
        <v>0</v>
      </c>
      <c r="V4" s="60">
        <f>'Air Basin Summary PM2.5 BAU tpd'!V4*365.25</f>
        <v>0</v>
      </c>
      <c r="W4" s="60">
        <f>'Air Basin Summary PM2.5 BAU tpd'!W4*365.25</f>
        <v>0</v>
      </c>
      <c r="X4" s="60">
        <f>'Air Basin Summary PM2.5 BAU tpd'!X4*365.25</f>
        <v>0</v>
      </c>
      <c r="Y4" s="60">
        <f>'Air Basin Summary PM2.5 BAU tpd'!Y4*365.25</f>
        <v>0</v>
      </c>
      <c r="Z4" s="60">
        <f>'Air Basin Summary PM2.5 BAU tpd'!Z4*365.25</f>
        <v>0</v>
      </c>
      <c r="AA4" s="60">
        <f>'Air Basin Summary PM2.5 BAU tpd'!AA4*365.25</f>
        <v>0</v>
      </c>
      <c r="AB4" s="61">
        <f>'Air Basin Summary PM2.5 BAU tpd'!AB4*365.25</f>
        <v>0</v>
      </c>
    </row>
    <row r="5" spans="1:28">
      <c r="A5" s="520"/>
      <c r="B5" s="2" t="s">
        <v>417</v>
      </c>
      <c r="C5" s="2" t="s">
        <v>240</v>
      </c>
      <c r="D5" s="393">
        <v>0</v>
      </c>
      <c r="E5" s="60">
        <v>0</v>
      </c>
      <c r="F5" s="60">
        <f>'Air Basin Summary PM2.5 BAU tpd'!F5*365.25</f>
        <v>0</v>
      </c>
      <c r="G5" s="60">
        <f>'Air Basin Summary PM2.5 BAU tpd'!G5*365.25</f>
        <v>0</v>
      </c>
      <c r="H5" s="60">
        <f>'Air Basin Summary PM2.5 BAU tpd'!H5*365.25</f>
        <v>0</v>
      </c>
      <c r="I5" s="60">
        <f>'Air Basin Summary PM2.5 BAU tpd'!I5*365.25</f>
        <v>0</v>
      </c>
      <c r="J5" s="60">
        <f>'Air Basin Summary PM2.5 BAU tpd'!J5*365.25</f>
        <v>0</v>
      </c>
      <c r="K5" s="60">
        <f>'Air Basin Summary PM2.5 BAU tpd'!K5*365.25</f>
        <v>0</v>
      </c>
      <c r="L5" s="60">
        <f>'Air Basin Summary PM2.5 BAU tpd'!L5*365.25</f>
        <v>0</v>
      </c>
      <c r="M5" s="60">
        <f>'Air Basin Summary PM2.5 BAU tpd'!M5*365.25</f>
        <v>0</v>
      </c>
      <c r="N5" s="60">
        <f>'Air Basin Summary PM2.5 BAU tpd'!N5*365.25</f>
        <v>0</v>
      </c>
      <c r="O5" s="60">
        <f>'Air Basin Summary PM2.5 BAU tpd'!O5*365.25</f>
        <v>0</v>
      </c>
      <c r="P5" s="60">
        <f>'Air Basin Summary PM2.5 BAU tpd'!P5*365.25</f>
        <v>0</v>
      </c>
      <c r="Q5" s="60">
        <f>'Air Basin Summary PM2.5 BAU tpd'!Q5*365.25</f>
        <v>0</v>
      </c>
      <c r="R5" s="60">
        <f>'Air Basin Summary PM2.5 BAU tpd'!R5*365.25</f>
        <v>0</v>
      </c>
      <c r="S5" s="60">
        <f>'Air Basin Summary PM2.5 BAU tpd'!S5*365.25</f>
        <v>0</v>
      </c>
      <c r="T5" s="60">
        <f>'Air Basin Summary PM2.5 BAU tpd'!T5*365.25</f>
        <v>0</v>
      </c>
      <c r="U5" s="60">
        <f>'Air Basin Summary PM2.5 BAU tpd'!U5*365.25</f>
        <v>0</v>
      </c>
      <c r="V5" s="60">
        <f>'Air Basin Summary PM2.5 BAU tpd'!V5*365.25</f>
        <v>0</v>
      </c>
      <c r="W5" s="60">
        <f>'Air Basin Summary PM2.5 BAU tpd'!W5*365.25</f>
        <v>0</v>
      </c>
      <c r="X5" s="60">
        <f>'Air Basin Summary PM2.5 BAU tpd'!X5*365.25</f>
        <v>0</v>
      </c>
      <c r="Y5" s="60">
        <f>'Air Basin Summary PM2.5 BAU tpd'!Y5*365.25</f>
        <v>0</v>
      </c>
      <c r="Z5" s="60">
        <f>'Air Basin Summary PM2.5 BAU tpd'!Z5*365.25</f>
        <v>0</v>
      </c>
      <c r="AA5" s="60">
        <f>'Air Basin Summary PM2.5 BAU tpd'!AA5*365.25</f>
        <v>0</v>
      </c>
      <c r="AB5" s="61">
        <f>'Air Basin Summary PM2.5 BAU tpd'!AB5*365.25</f>
        <v>0</v>
      </c>
    </row>
    <row r="6" spans="1:28">
      <c r="A6" s="520"/>
      <c r="B6" s="2" t="s">
        <v>255</v>
      </c>
      <c r="C6" s="2" t="s">
        <v>240</v>
      </c>
      <c r="D6" s="393">
        <v>0</v>
      </c>
      <c r="E6" s="60">
        <v>0</v>
      </c>
      <c r="F6" s="60">
        <f>'Air Basin Summary PM2.5 BAU tpd'!F6*365.25</f>
        <v>-0.15302160621773353</v>
      </c>
      <c r="G6" s="60">
        <f>'Air Basin Summary PM2.5 BAU tpd'!G6*365.25</f>
        <v>-0.30604321243546706</v>
      </c>
      <c r="H6" s="60">
        <f>'Air Basin Summary PM2.5 BAU tpd'!H6*365.25</f>
        <v>-0.45906481865320065</v>
      </c>
      <c r="I6" s="60">
        <f>'Air Basin Summary PM2.5 BAU tpd'!I6*365.25</f>
        <v>-0.61208642487093412</v>
      </c>
      <c r="J6" s="60">
        <f>'Air Basin Summary PM2.5 BAU tpd'!J6*365.25</f>
        <v>-0.76510803108866765</v>
      </c>
      <c r="K6" s="60">
        <f>'Air Basin Summary PM2.5 BAU tpd'!K6*365.25</f>
        <v>-0.91812963730640118</v>
      </c>
      <c r="L6" s="60">
        <f>'Air Basin Summary PM2.5 BAU tpd'!L6*365.25</f>
        <v>-1.0711512435241346</v>
      </c>
      <c r="M6" s="60">
        <f>'Air Basin Summary PM2.5 BAU tpd'!M6*365.25</f>
        <v>-1.224172849741868</v>
      </c>
      <c r="N6" s="60">
        <f>'Air Basin Summary PM2.5 BAU tpd'!N6*365.25</f>
        <v>-1.3771944559596017</v>
      </c>
      <c r="O6" s="60">
        <f>'Air Basin Summary PM2.5 BAU tpd'!O6*365.25</f>
        <v>-1.5302160621773353</v>
      </c>
      <c r="P6" s="60">
        <f>'Air Basin Summary PM2.5 BAU tpd'!P6*365.25</f>
        <v>-1.6832376683950689</v>
      </c>
      <c r="Q6" s="60">
        <f>'Air Basin Summary PM2.5 BAU tpd'!Q6*365.25</f>
        <v>-1.8362592746128026</v>
      </c>
      <c r="R6" s="60">
        <f>'Air Basin Summary PM2.5 BAU tpd'!R6*365.25</f>
        <v>-1.9892808808305362</v>
      </c>
      <c r="S6" s="60">
        <f>'Air Basin Summary PM2.5 BAU tpd'!S6*365.25</f>
        <v>-2.1423024870482701</v>
      </c>
      <c r="T6" s="60">
        <f>'Air Basin Summary PM2.5 BAU tpd'!T6*365.25</f>
        <v>-2.2953240932660037</v>
      </c>
      <c r="U6" s="60">
        <f>'Air Basin Summary PM2.5 BAU tpd'!U6*365.25</f>
        <v>-2.4483456994837374</v>
      </c>
      <c r="V6" s="60">
        <f>'Air Basin Summary PM2.5 BAU tpd'!V6*365.25</f>
        <v>-2.601367305701471</v>
      </c>
      <c r="W6" s="60">
        <f>'Air Basin Summary PM2.5 BAU tpd'!W6*365.25</f>
        <v>-2.7543889119192047</v>
      </c>
      <c r="X6" s="60">
        <f>'Air Basin Summary PM2.5 BAU tpd'!X6*365.25</f>
        <v>-2.9074105181369383</v>
      </c>
      <c r="Y6" s="60">
        <f>'Air Basin Summary PM2.5 BAU tpd'!Y6*365.25</f>
        <v>-3.0604321243546719</v>
      </c>
      <c r="Z6" s="60">
        <f>'Air Basin Summary PM2.5 BAU tpd'!Z6*365.25</f>
        <v>-3.2134537305724056</v>
      </c>
      <c r="AA6" s="60">
        <f>'Air Basin Summary PM2.5 BAU tpd'!AA6*365.25</f>
        <v>-3.3664753367901392</v>
      </c>
      <c r="AB6" s="61">
        <f>'Air Basin Summary PM2.5 BAU tpd'!AB6*365.25</f>
        <v>-3.5194969430078729</v>
      </c>
    </row>
    <row r="7" spans="1:28">
      <c r="A7" s="520"/>
      <c r="B7" s="2" t="s">
        <v>419</v>
      </c>
      <c r="C7" s="2" t="s">
        <v>240</v>
      </c>
      <c r="D7" s="393">
        <v>0</v>
      </c>
      <c r="E7" s="60">
        <v>0</v>
      </c>
      <c r="F7" s="60">
        <f>'Air Basin Summary PM2.5 BAU tpd'!F7*365.25</f>
        <v>0</v>
      </c>
      <c r="G7" s="60">
        <f>'Air Basin Summary PM2.5 BAU tpd'!G7*365.25</f>
        <v>0</v>
      </c>
      <c r="H7" s="60">
        <f>'Air Basin Summary PM2.5 BAU tpd'!H7*365.25</f>
        <v>0</v>
      </c>
      <c r="I7" s="60">
        <f>'Air Basin Summary PM2.5 BAU tpd'!I7*365.25</f>
        <v>0</v>
      </c>
      <c r="J7" s="60">
        <f>'Air Basin Summary PM2.5 BAU tpd'!J7*365.25</f>
        <v>0</v>
      </c>
      <c r="K7" s="60">
        <f>'Air Basin Summary PM2.5 BAU tpd'!K7*365.25</f>
        <v>0</v>
      </c>
      <c r="L7" s="60">
        <f>'Air Basin Summary PM2.5 BAU tpd'!L7*365.25</f>
        <v>0</v>
      </c>
      <c r="M7" s="60">
        <f>'Air Basin Summary PM2.5 BAU tpd'!M7*365.25</f>
        <v>0</v>
      </c>
      <c r="N7" s="60">
        <f>'Air Basin Summary PM2.5 BAU tpd'!N7*365.25</f>
        <v>0</v>
      </c>
      <c r="O7" s="60">
        <f>'Air Basin Summary PM2.5 BAU tpd'!O7*365.25</f>
        <v>0</v>
      </c>
      <c r="P7" s="60">
        <f>'Air Basin Summary PM2.5 BAU tpd'!P7*365.25</f>
        <v>0</v>
      </c>
      <c r="Q7" s="60">
        <f>'Air Basin Summary PM2.5 BAU tpd'!Q7*365.25</f>
        <v>0</v>
      </c>
      <c r="R7" s="60">
        <f>'Air Basin Summary PM2.5 BAU tpd'!R7*365.25</f>
        <v>0</v>
      </c>
      <c r="S7" s="60">
        <f>'Air Basin Summary PM2.5 BAU tpd'!S7*365.25</f>
        <v>0</v>
      </c>
      <c r="T7" s="60">
        <f>'Air Basin Summary PM2.5 BAU tpd'!T7*365.25</f>
        <v>0</v>
      </c>
      <c r="U7" s="60">
        <f>'Air Basin Summary PM2.5 BAU tpd'!U7*365.25</f>
        <v>0</v>
      </c>
      <c r="V7" s="60">
        <f>'Air Basin Summary PM2.5 BAU tpd'!V7*365.25</f>
        <v>0</v>
      </c>
      <c r="W7" s="60">
        <f>'Air Basin Summary PM2.5 BAU tpd'!W7*365.25</f>
        <v>0</v>
      </c>
      <c r="X7" s="60">
        <f>'Air Basin Summary PM2.5 BAU tpd'!X7*365.25</f>
        <v>0</v>
      </c>
      <c r="Y7" s="60">
        <f>'Air Basin Summary PM2.5 BAU tpd'!Y7*365.25</f>
        <v>0</v>
      </c>
      <c r="Z7" s="60">
        <f>'Air Basin Summary PM2.5 BAU tpd'!Z7*365.25</f>
        <v>0</v>
      </c>
      <c r="AA7" s="60">
        <f>'Air Basin Summary PM2.5 BAU tpd'!AA7*365.25</f>
        <v>0</v>
      </c>
      <c r="AB7" s="61">
        <f>'Air Basin Summary PM2.5 BAU tpd'!AB7*365.25</f>
        <v>0</v>
      </c>
    </row>
    <row r="8" spans="1:28">
      <c r="A8" s="520"/>
      <c r="B8" s="2" t="s">
        <v>420</v>
      </c>
      <c r="C8" s="2" t="s">
        <v>240</v>
      </c>
      <c r="D8" s="393">
        <v>0</v>
      </c>
      <c r="E8" s="60">
        <v>0</v>
      </c>
      <c r="F8" s="60">
        <f>'Air Basin Summary PM2.5 BAU tpd'!F8*365.25</f>
        <v>-0.85127553750253704</v>
      </c>
      <c r="G8" s="60">
        <f>'Air Basin Summary PM2.5 BAU tpd'!G8*365.25</f>
        <v>-1.7025510750050741</v>
      </c>
      <c r="H8" s="60">
        <f>'Air Basin Summary PM2.5 BAU tpd'!H8*365.25</f>
        <v>-2.5538266125076108</v>
      </c>
      <c r="I8" s="60">
        <f>'Air Basin Summary PM2.5 BAU tpd'!I8*365.25</f>
        <v>-3.4051021500101482</v>
      </c>
      <c r="J8" s="60">
        <f>'Air Basin Summary PM2.5 BAU tpd'!J8*365.25</f>
        <v>-4.2563776875126846</v>
      </c>
      <c r="K8" s="60">
        <f>'Air Basin Summary PM2.5 BAU tpd'!K8*365.25</f>
        <v>-5.1076532250152216</v>
      </c>
      <c r="L8" s="60">
        <f>'Air Basin Summary PM2.5 BAU tpd'!L8*365.25</f>
        <v>-5.9589287625177585</v>
      </c>
      <c r="M8" s="60">
        <f>'Air Basin Summary PM2.5 BAU tpd'!M8*365.25</f>
        <v>-6.8102043000202963</v>
      </c>
      <c r="N8" s="60">
        <f>'Air Basin Summary PM2.5 BAU tpd'!N8*365.25</f>
        <v>-7.6614798375228332</v>
      </c>
      <c r="O8" s="60">
        <f>'Air Basin Summary PM2.5 BAU tpd'!O8*365.25</f>
        <v>-8.5127553750253711</v>
      </c>
      <c r="P8" s="60">
        <f>'Air Basin Summary PM2.5 BAU tpd'!P8*365.25</f>
        <v>-9.3640309125279089</v>
      </c>
      <c r="Q8" s="60">
        <f>'Air Basin Summary PM2.5 BAU tpd'!Q8*365.25</f>
        <v>-10.215306450030447</v>
      </c>
      <c r="R8" s="60">
        <f>'Air Basin Summary PM2.5 BAU tpd'!R8*365.25</f>
        <v>-11.066581987532984</v>
      </c>
      <c r="S8" s="60">
        <f>'Air Basin Summary PM2.5 BAU tpd'!S8*365.25</f>
        <v>-11.917857525035522</v>
      </c>
      <c r="T8" s="60">
        <f>'Air Basin Summary PM2.5 BAU tpd'!T8*365.25</f>
        <v>-12.76913306253806</v>
      </c>
      <c r="U8" s="60">
        <f>'Air Basin Summary PM2.5 BAU tpd'!U8*365.25</f>
        <v>-13.620408600040596</v>
      </c>
      <c r="V8" s="60">
        <f>'Air Basin Summary PM2.5 BAU tpd'!V8*365.25</f>
        <v>-14.471684137543134</v>
      </c>
      <c r="W8" s="60">
        <f>'Air Basin Summary PM2.5 BAU tpd'!W8*365.25</f>
        <v>-15.322959675045672</v>
      </c>
      <c r="X8" s="60">
        <f>'Air Basin Summary PM2.5 BAU tpd'!X8*365.25</f>
        <v>-16.174235212548211</v>
      </c>
      <c r="Y8" s="60">
        <f>'Air Basin Summary PM2.5 BAU tpd'!Y8*365.25</f>
        <v>-17.025510750050749</v>
      </c>
      <c r="Z8" s="60">
        <f>'Air Basin Summary PM2.5 BAU tpd'!Z8*365.25</f>
        <v>-17.876786287553283</v>
      </c>
      <c r="AA8" s="60">
        <f>'Air Basin Summary PM2.5 BAU tpd'!AA8*365.25</f>
        <v>-18.728061825055821</v>
      </c>
      <c r="AB8" s="61">
        <f>'Air Basin Summary PM2.5 BAU tpd'!AB8*365.25</f>
        <v>-19.579337362558359</v>
      </c>
    </row>
    <row r="9" spans="1:28">
      <c r="A9" s="520"/>
      <c r="B9" s="2" t="s">
        <v>258</v>
      </c>
      <c r="C9" s="2" t="s">
        <v>240</v>
      </c>
      <c r="D9" s="393">
        <v>0</v>
      </c>
      <c r="E9" s="60">
        <v>0</v>
      </c>
      <c r="F9" s="60">
        <f>'Air Basin Summary PM2.5 BAU tpd'!F9*365.25</f>
        <v>0</v>
      </c>
      <c r="G9" s="60">
        <f>'Air Basin Summary PM2.5 BAU tpd'!G9*365.25</f>
        <v>0</v>
      </c>
      <c r="H9" s="60">
        <f>'Air Basin Summary PM2.5 BAU tpd'!H9*365.25</f>
        <v>0</v>
      </c>
      <c r="I9" s="60">
        <f>'Air Basin Summary PM2.5 BAU tpd'!I9*365.25</f>
        <v>0</v>
      </c>
      <c r="J9" s="60">
        <f>'Air Basin Summary PM2.5 BAU tpd'!J9*365.25</f>
        <v>0</v>
      </c>
      <c r="K9" s="60">
        <f>'Air Basin Summary PM2.5 BAU tpd'!K9*365.25</f>
        <v>0</v>
      </c>
      <c r="L9" s="60">
        <f>'Air Basin Summary PM2.5 BAU tpd'!L9*365.25</f>
        <v>0</v>
      </c>
      <c r="M9" s="60">
        <f>'Air Basin Summary PM2.5 BAU tpd'!M9*365.25</f>
        <v>0</v>
      </c>
      <c r="N9" s="60">
        <f>'Air Basin Summary PM2.5 BAU tpd'!N9*365.25</f>
        <v>0</v>
      </c>
      <c r="O9" s="60">
        <f>'Air Basin Summary PM2.5 BAU tpd'!O9*365.25</f>
        <v>0</v>
      </c>
      <c r="P9" s="60">
        <f>'Air Basin Summary PM2.5 BAU tpd'!P9*365.25</f>
        <v>0</v>
      </c>
      <c r="Q9" s="60">
        <f>'Air Basin Summary PM2.5 BAU tpd'!Q9*365.25</f>
        <v>0</v>
      </c>
      <c r="R9" s="60">
        <f>'Air Basin Summary PM2.5 BAU tpd'!R9*365.25</f>
        <v>0</v>
      </c>
      <c r="S9" s="60">
        <f>'Air Basin Summary PM2.5 BAU tpd'!S9*365.25</f>
        <v>0</v>
      </c>
      <c r="T9" s="60">
        <f>'Air Basin Summary PM2.5 BAU tpd'!T9*365.25</f>
        <v>0</v>
      </c>
      <c r="U9" s="60">
        <f>'Air Basin Summary PM2.5 BAU tpd'!U9*365.25</f>
        <v>0</v>
      </c>
      <c r="V9" s="60">
        <f>'Air Basin Summary PM2.5 BAU tpd'!V9*365.25</f>
        <v>0</v>
      </c>
      <c r="W9" s="60">
        <f>'Air Basin Summary PM2.5 BAU tpd'!W9*365.25</f>
        <v>0</v>
      </c>
      <c r="X9" s="60">
        <f>'Air Basin Summary PM2.5 BAU tpd'!X9*365.25</f>
        <v>0</v>
      </c>
      <c r="Y9" s="60">
        <f>'Air Basin Summary PM2.5 BAU tpd'!Y9*365.25</f>
        <v>0</v>
      </c>
      <c r="Z9" s="60">
        <f>'Air Basin Summary PM2.5 BAU tpd'!Z9*365.25</f>
        <v>0</v>
      </c>
      <c r="AA9" s="60">
        <f>'Air Basin Summary PM2.5 BAU tpd'!AA9*365.25</f>
        <v>0</v>
      </c>
      <c r="AB9" s="61">
        <f>'Air Basin Summary PM2.5 BAU tpd'!AB9*365.25</f>
        <v>0</v>
      </c>
    </row>
    <row r="10" spans="1:28">
      <c r="A10" s="520"/>
      <c r="B10" s="2" t="s">
        <v>259</v>
      </c>
      <c r="C10" s="2" t="s">
        <v>240</v>
      </c>
      <c r="D10" s="393">
        <v>0</v>
      </c>
      <c r="E10" s="60">
        <v>0</v>
      </c>
      <c r="F10" s="60">
        <f>'Air Basin Summary PM2.5 BAU tpd'!F10*365.25</f>
        <v>0</v>
      </c>
      <c r="G10" s="60">
        <f>'Air Basin Summary PM2.5 BAU tpd'!G10*365.25</f>
        <v>0</v>
      </c>
      <c r="H10" s="60">
        <f>'Air Basin Summary PM2.5 BAU tpd'!H10*365.25</f>
        <v>0</v>
      </c>
      <c r="I10" s="60">
        <f>'Air Basin Summary PM2.5 BAU tpd'!I10*365.25</f>
        <v>0</v>
      </c>
      <c r="J10" s="60">
        <f>'Air Basin Summary PM2.5 BAU tpd'!J10*365.25</f>
        <v>0</v>
      </c>
      <c r="K10" s="60">
        <f>'Air Basin Summary PM2.5 BAU tpd'!K10*365.25</f>
        <v>0</v>
      </c>
      <c r="L10" s="60">
        <f>'Air Basin Summary PM2.5 BAU tpd'!L10*365.25</f>
        <v>0</v>
      </c>
      <c r="M10" s="60">
        <f>'Air Basin Summary PM2.5 BAU tpd'!M10*365.25</f>
        <v>0</v>
      </c>
      <c r="N10" s="60">
        <f>'Air Basin Summary PM2.5 BAU tpd'!N10*365.25</f>
        <v>0</v>
      </c>
      <c r="O10" s="60">
        <f>'Air Basin Summary PM2.5 BAU tpd'!O10*365.25</f>
        <v>0</v>
      </c>
      <c r="P10" s="60">
        <f>'Air Basin Summary PM2.5 BAU tpd'!P10*365.25</f>
        <v>0</v>
      </c>
      <c r="Q10" s="60">
        <f>'Air Basin Summary PM2.5 BAU tpd'!Q10*365.25</f>
        <v>0</v>
      </c>
      <c r="R10" s="60">
        <f>'Air Basin Summary PM2.5 BAU tpd'!R10*365.25</f>
        <v>0</v>
      </c>
      <c r="S10" s="60">
        <f>'Air Basin Summary PM2.5 BAU tpd'!S10*365.25</f>
        <v>0</v>
      </c>
      <c r="T10" s="60">
        <f>'Air Basin Summary PM2.5 BAU tpd'!T10*365.25</f>
        <v>0</v>
      </c>
      <c r="U10" s="60">
        <f>'Air Basin Summary PM2.5 BAU tpd'!U10*365.25</f>
        <v>0</v>
      </c>
      <c r="V10" s="60">
        <f>'Air Basin Summary PM2.5 BAU tpd'!V10*365.25</f>
        <v>0</v>
      </c>
      <c r="W10" s="60">
        <f>'Air Basin Summary PM2.5 BAU tpd'!W10*365.25</f>
        <v>0</v>
      </c>
      <c r="X10" s="60">
        <f>'Air Basin Summary PM2.5 BAU tpd'!X10*365.25</f>
        <v>0</v>
      </c>
      <c r="Y10" s="60">
        <f>'Air Basin Summary PM2.5 BAU tpd'!Y10*365.25</f>
        <v>0</v>
      </c>
      <c r="Z10" s="60">
        <f>'Air Basin Summary PM2.5 BAU tpd'!Z10*365.25</f>
        <v>0</v>
      </c>
      <c r="AA10" s="60">
        <f>'Air Basin Summary PM2.5 BAU tpd'!AA10*365.25</f>
        <v>0</v>
      </c>
      <c r="AB10" s="61">
        <f>'Air Basin Summary PM2.5 BAU tpd'!AB10*365.25</f>
        <v>0</v>
      </c>
    </row>
    <row r="11" spans="1:28">
      <c r="A11" s="520"/>
      <c r="B11" s="2" t="s">
        <v>490</v>
      </c>
      <c r="C11" s="2" t="s">
        <v>240</v>
      </c>
      <c r="D11" s="393">
        <v>0</v>
      </c>
      <c r="E11" s="60">
        <v>0</v>
      </c>
      <c r="F11" s="60">
        <f>'Air Basin Summary PM2.5 BAU tpd'!F11*365.25</f>
        <v>-4.7540693193858972E-2</v>
      </c>
      <c r="G11" s="60">
        <f>'Air Basin Summary PM2.5 BAU tpd'!G11*365.25</f>
        <v>-9.5081386387717945E-2</v>
      </c>
      <c r="H11" s="60">
        <f>'Air Basin Summary PM2.5 BAU tpd'!H11*365.25</f>
        <v>-0.14262207958157691</v>
      </c>
      <c r="I11" s="60">
        <f>'Air Basin Summary PM2.5 BAU tpd'!I11*365.25</f>
        <v>-0.19016277277543589</v>
      </c>
      <c r="J11" s="60">
        <f>'Air Basin Summary PM2.5 BAU tpd'!J11*365.25</f>
        <v>-0.23770346596929487</v>
      </c>
      <c r="K11" s="60">
        <f>'Air Basin Summary PM2.5 BAU tpd'!K11*365.25</f>
        <v>-0.28524415916315388</v>
      </c>
      <c r="L11" s="60">
        <f>'Air Basin Summary PM2.5 BAU tpd'!L11*365.25</f>
        <v>-0.33278485235701283</v>
      </c>
      <c r="M11" s="60">
        <f>'Air Basin Summary PM2.5 BAU tpd'!M11*365.25</f>
        <v>-0.38032554555087178</v>
      </c>
      <c r="N11" s="60">
        <f>'Air Basin Summary PM2.5 BAU tpd'!N11*365.25</f>
        <v>-0.42786623874473079</v>
      </c>
      <c r="O11" s="60">
        <f>'Air Basin Summary PM2.5 BAU tpd'!O11*365.25</f>
        <v>-0.47540693193858974</v>
      </c>
      <c r="P11" s="60">
        <f>'Air Basin Summary PM2.5 BAU tpd'!P11*365.25</f>
        <v>-0.52294762513244875</v>
      </c>
      <c r="Q11" s="60">
        <f>'Air Basin Summary PM2.5 BAU tpd'!Q11*365.25</f>
        <v>-0.57048831832630775</v>
      </c>
      <c r="R11" s="60">
        <f>'Air Basin Summary PM2.5 BAU tpd'!R11*365.25</f>
        <v>-0.61802901152016665</v>
      </c>
      <c r="S11" s="60">
        <f>'Air Basin Summary PM2.5 BAU tpd'!S11*365.25</f>
        <v>-0.66556970471402566</v>
      </c>
      <c r="T11" s="60">
        <f>'Air Basin Summary PM2.5 BAU tpd'!T11*365.25</f>
        <v>-0.71311039790788466</v>
      </c>
      <c r="U11" s="60">
        <f>'Air Basin Summary PM2.5 BAU tpd'!U11*365.25</f>
        <v>-0.76065109110174356</v>
      </c>
      <c r="V11" s="60">
        <f>'Air Basin Summary PM2.5 BAU tpd'!V11*365.25</f>
        <v>-0.80819178429560246</v>
      </c>
      <c r="W11" s="60">
        <f>'Air Basin Summary PM2.5 BAU tpd'!W11*365.25</f>
        <v>-0.85573247748946135</v>
      </c>
      <c r="X11" s="60">
        <f>'Air Basin Summary PM2.5 BAU tpd'!X11*365.25</f>
        <v>-0.90327317068332025</v>
      </c>
      <c r="Y11" s="60">
        <f>'Air Basin Summary PM2.5 BAU tpd'!Y11*365.25</f>
        <v>-0.95081386387717914</v>
      </c>
      <c r="Z11" s="60">
        <f>'Air Basin Summary PM2.5 BAU tpd'!Z11*365.25</f>
        <v>-0.99835455707103804</v>
      </c>
      <c r="AA11" s="60">
        <f>'Air Basin Summary PM2.5 BAU tpd'!AA11*365.25</f>
        <v>-1.045895250264897</v>
      </c>
      <c r="AB11" s="61">
        <f>'Air Basin Summary PM2.5 BAU tpd'!AB11*365.25</f>
        <v>-1.0934359434587559</v>
      </c>
    </row>
    <row r="12" spans="1:28">
      <c r="A12" s="520"/>
      <c r="B12" s="2" t="s">
        <v>261</v>
      </c>
      <c r="C12" s="2" t="s">
        <v>240</v>
      </c>
      <c r="D12" s="393">
        <v>0</v>
      </c>
      <c r="E12" s="60">
        <v>0</v>
      </c>
      <c r="F12" s="60">
        <f>'Air Basin Summary PM2.5 BAU tpd'!F12*365.25</f>
        <v>0</v>
      </c>
      <c r="G12" s="60">
        <f>'Air Basin Summary PM2.5 BAU tpd'!G12*365.25</f>
        <v>0</v>
      </c>
      <c r="H12" s="60">
        <f>'Air Basin Summary PM2.5 BAU tpd'!H12*365.25</f>
        <v>0</v>
      </c>
      <c r="I12" s="60">
        <f>'Air Basin Summary PM2.5 BAU tpd'!I12*365.25</f>
        <v>0</v>
      </c>
      <c r="J12" s="60">
        <f>'Air Basin Summary PM2.5 BAU tpd'!J12*365.25</f>
        <v>0</v>
      </c>
      <c r="K12" s="60">
        <f>'Air Basin Summary PM2.5 BAU tpd'!K12*365.25</f>
        <v>0</v>
      </c>
      <c r="L12" s="60">
        <f>'Air Basin Summary PM2.5 BAU tpd'!L12*365.25</f>
        <v>0</v>
      </c>
      <c r="M12" s="60">
        <f>'Air Basin Summary PM2.5 BAU tpd'!M12*365.25</f>
        <v>0</v>
      </c>
      <c r="N12" s="60">
        <f>'Air Basin Summary PM2.5 BAU tpd'!N12*365.25</f>
        <v>0</v>
      </c>
      <c r="O12" s="60">
        <f>'Air Basin Summary PM2.5 BAU tpd'!O12*365.25</f>
        <v>0</v>
      </c>
      <c r="P12" s="60">
        <f>'Air Basin Summary PM2.5 BAU tpd'!P12*365.25</f>
        <v>0</v>
      </c>
      <c r="Q12" s="60">
        <f>'Air Basin Summary PM2.5 BAU tpd'!Q12*365.25</f>
        <v>0</v>
      </c>
      <c r="R12" s="60">
        <f>'Air Basin Summary PM2.5 BAU tpd'!R12*365.25</f>
        <v>0</v>
      </c>
      <c r="S12" s="60">
        <f>'Air Basin Summary PM2.5 BAU tpd'!S12*365.25</f>
        <v>0</v>
      </c>
      <c r="T12" s="60">
        <f>'Air Basin Summary PM2.5 BAU tpd'!T12*365.25</f>
        <v>0</v>
      </c>
      <c r="U12" s="60">
        <f>'Air Basin Summary PM2.5 BAU tpd'!U12*365.25</f>
        <v>0</v>
      </c>
      <c r="V12" s="60">
        <f>'Air Basin Summary PM2.5 BAU tpd'!V12*365.25</f>
        <v>0</v>
      </c>
      <c r="W12" s="60">
        <f>'Air Basin Summary PM2.5 BAU tpd'!W12*365.25</f>
        <v>0</v>
      </c>
      <c r="X12" s="60">
        <f>'Air Basin Summary PM2.5 BAU tpd'!X12*365.25</f>
        <v>0</v>
      </c>
      <c r="Y12" s="60">
        <f>'Air Basin Summary PM2.5 BAU tpd'!Y12*365.25</f>
        <v>0</v>
      </c>
      <c r="Z12" s="60">
        <f>'Air Basin Summary PM2.5 BAU tpd'!Z12*365.25</f>
        <v>0</v>
      </c>
      <c r="AA12" s="60">
        <f>'Air Basin Summary PM2.5 BAU tpd'!AA12*365.25</f>
        <v>0</v>
      </c>
      <c r="AB12" s="61">
        <f>'Air Basin Summary PM2.5 BAU tpd'!AB12*365.25</f>
        <v>0</v>
      </c>
    </row>
    <row r="13" spans="1:28">
      <c r="A13" s="520"/>
      <c r="B13" s="2" t="s">
        <v>373</v>
      </c>
      <c r="C13" s="2" t="s">
        <v>240</v>
      </c>
      <c r="D13" s="393">
        <v>0</v>
      </c>
      <c r="E13" s="60">
        <v>0</v>
      </c>
      <c r="F13" s="60">
        <f>'Air Basin Summary PM2.5 BAU tpd'!F13*365.25</f>
        <v>0</v>
      </c>
      <c r="G13" s="60">
        <f>'Air Basin Summary PM2.5 BAU tpd'!G13*365.25</f>
        <v>0</v>
      </c>
      <c r="H13" s="60">
        <f>'Air Basin Summary PM2.5 BAU tpd'!H13*365.25</f>
        <v>0</v>
      </c>
      <c r="I13" s="60">
        <f>'Air Basin Summary PM2.5 BAU tpd'!I13*365.25</f>
        <v>0</v>
      </c>
      <c r="J13" s="60">
        <f>'Air Basin Summary PM2.5 BAU tpd'!J13*365.25</f>
        <v>0</v>
      </c>
      <c r="K13" s="60">
        <f>'Air Basin Summary PM2.5 BAU tpd'!K13*365.25</f>
        <v>0</v>
      </c>
      <c r="L13" s="60">
        <f>'Air Basin Summary PM2.5 BAU tpd'!L13*365.25</f>
        <v>0</v>
      </c>
      <c r="M13" s="60">
        <f>'Air Basin Summary PM2.5 BAU tpd'!M13*365.25</f>
        <v>0</v>
      </c>
      <c r="N13" s="60">
        <f>'Air Basin Summary PM2.5 BAU tpd'!N13*365.25</f>
        <v>0</v>
      </c>
      <c r="O13" s="60">
        <f>'Air Basin Summary PM2.5 BAU tpd'!O13*365.25</f>
        <v>0</v>
      </c>
      <c r="P13" s="60">
        <f>'Air Basin Summary PM2.5 BAU tpd'!P13*365.25</f>
        <v>0</v>
      </c>
      <c r="Q13" s="60">
        <f>'Air Basin Summary PM2.5 BAU tpd'!Q13*365.25</f>
        <v>0</v>
      </c>
      <c r="R13" s="60">
        <f>'Air Basin Summary PM2.5 BAU tpd'!R13*365.25</f>
        <v>0</v>
      </c>
      <c r="S13" s="60">
        <f>'Air Basin Summary PM2.5 BAU tpd'!S13*365.25</f>
        <v>0</v>
      </c>
      <c r="T13" s="60">
        <f>'Air Basin Summary PM2.5 BAU tpd'!T13*365.25</f>
        <v>0</v>
      </c>
      <c r="U13" s="60">
        <f>'Air Basin Summary PM2.5 BAU tpd'!U13*365.25</f>
        <v>0</v>
      </c>
      <c r="V13" s="60">
        <f>'Air Basin Summary PM2.5 BAU tpd'!V13*365.25</f>
        <v>0</v>
      </c>
      <c r="W13" s="60">
        <f>'Air Basin Summary PM2.5 BAU tpd'!W13*365.25</f>
        <v>0</v>
      </c>
      <c r="X13" s="60">
        <f>'Air Basin Summary PM2.5 BAU tpd'!X13*365.25</f>
        <v>0</v>
      </c>
      <c r="Y13" s="60">
        <f>'Air Basin Summary PM2.5 BAU tpd'!Y13*365.25</f>
        <v>0</v>
      </c>
      <c r="Z13" s="60">
        <f>'Air Basin Summary PM2.5 BAU tpd'!Z13*365.25</f>
        <v>0</v>
      </c>
      <c r="AA13" s="60">
        <f>'Air Basin Summary PM2.5 BAU tpd'!AA13*365.25</f>
        <v>0</v>
      </c>
      <c r="AB13" s="61">
        <f>'Air Basin Summary PM2.5 BAU tpd'!AB13*365.25</f>
        <v>0</v>
      </c>
    </row>
    <row r="14" spans="1:28">
      <c r="A14" s="520"/>
      <c r="B14" s="2" t="s">
        <v>18927</v>
      </c>
      <c r="C14" s="2" t="s">
        <v>240</v>
      </c>
      <c r="D14" s="393">
        <v>0</v>
      </c>
      <c r="E14" s="60">
        <v>0</v>
      </c>
      <c r="F14" s="60">
        <f>'Air Basin Summary PM2.5 BAU tpd'!F14*365.25</f>
        <v>-1.3370819960772834E-2</v>
      </c>
      <c r="G14" s="60">
        <f>'Air Basin Summary PM2.5 BAU tpd'!G14*365.25</f>
        <v>-2.6741639921545667E-2</v>
      </c>
      <c r="H14" s="60">
        <f>'Air Basin Summary PM2.5 BAU tpd'!H14*365.25</f>
        <v>-4.0112459882318499E-2</v>
      </c>
      <c r="I14" s="60">
        <f>'Air Basin Summary PM2.5 BAU tpd'!I14*365.25</f>
        <v>-5.3483279843091334E-2</v>
      </c>
      <c r="J14" s="60">
        <f>'Air Basin Summary PM2.5 BAU tpd'!J14*365.25</f>
        <v>-6.685409980386417E-2</v>
      </c>
      <c r="K14" s="60">
        <f>'Air Basin Summary PM2.5 BAU tpd'!K14*365.25</f>
        <v>-8.0224919764637012E-2</v>
      </c>
      <c r="L14" s="60">
        <f>'Air Basin Summary PM2.5 BAU tpd'!L14*365.25</f>
        <v>-9.3595739725409841E-2</v>
      </c>
      <c r="M14" s="60">
        <f>'Air Basin Summary PM2.5 BAU tpd'!M14*365.25</f>
        <v>-0.10696655968618267</v>
      </c>
      <c r="N14" s="60">
        <f>'Air Basin Summary PM2.5 BAU tpd'!N14*365.25</f>
        <v>-0.1203373796469555</v>
      </c>
      <c r="O14" s="60">
        <f>'Air Basin Summary PM2.5 BAU tpd'!O14*365.25</f>
        <v>-0.13370819960772831</v>
      </c>
      <c r="P14" s="60">
        <f>'Air Basin Summary PM2.5 BAU tpd'!P14*365.25</f>
        <v>-0.14707901956850114</v>
      </c>
      <c r="Q14" s="60">
        <f>'Air Basin Summary PM2.5 BAU tpd'!Q14*365.25</f>
        <v>-0.16044983952927397</v>
      </c>
      <c r="R14" s="60">
        <f>'Air Basin Summary PM2.5 BAU tpd'!R14*365.25</f>
        <v>-0.1738206594900468</v>
      </c>
      <c r="S14" s="60">
        <f>'Air Basin Summary PM2.5 BAU tpd'!S14*365.25</f>
        <v>-0.18719147945081965</v>
      </c>
      <c r="T14" s="60">
        <f>'Air Basin Summary PM2.5 BAU tpd'!T14*365.25</f>
        <v>-0.20056229941159248</v>
      </c>
      <c r="U14" s="60">
        <f>'Air Basin Summary PM2.5 BAU tpd'!U14*365.25</f>
        <v>-0.21393311937236531</v>
      </c>
      <c r="V14" s="60">
        <f>'Air Basin Summary PM2.5 BAU tpd'!V14*365.25</f>
        <v>-0.22730393933313814</v>
      </c>
      <c r="W14" s="60">
        <f>'Air Basin Summary PM2.5 BAU tpd'!W14*365.25</f>
        <v>-0.24067475929391097</v>
      </c>
      <c r="X14" s="60">
        <f>'Air Basin Summary PM2.5 BAU tpd'!X14*365.25</f>
        <v>-0.2540455792546838</v>
      </c>
      <c r="Y14" s="60">
        <f>'Air Basin Summary PM2.5 BAU tpd'!Y14*365.25</f>
        <v>-0.26741639921545662</v>
      </c>
      <c r="Z14" s="60">
        <f>'Air Basin Summary PM2.5 BAU tpd'!Z14*365.25</f>
        <v>-0.28078721917622945</v>
      </c>
      <c r="AA14" s="60">
        <f>'Air Basin Summary PM2.5 BAU tpd'!AA14*365.25</f>
        <v>-0.29415803913700228</v>
      </c>
      <c r="AB14" s="61">
        <f>'Air Basin Summary PM2.5 BAU tpd'!AB14*365.25</f>
        <v>-0.30752885909777511</v>
      </c>
    </row>
    <row r="15" spans="1:28">
      <c r="A15" s="520"/>
      <c r="B15" s="2" t="s">
        <v>18845</v>
      </c>
      <c r="C15" s="2" t="s">
        <v>240</v>
      </c>
      <c r="D15" s="393">
        <v>0</v>
      </c>
      <c r="E15" s="60">
        <v>0</v>
      </c>
      <c r="F15" s="60">
        <f>'Air Basin Summary PM2.5 BAU tpd'!F15*365.25</f>
        <v>-6.7686061934756694</v>
      </c>
      <c r="G15" s="60">
        <f>'Air Basin Summary PM2.5 BAU tpd'!G15*365.25</f>
        <v>-13.537212386951339</v>
      </c>
      <c r="H15" s="60">
        <f>'Air Basin Summary PM2.5 BAU tpd'!H15*365.25</f>
        <v>-20.305818580427008</v>
      </c>
      <c r="I15" s="60">
        <f>'Air Basin Summary PM2.5 BAU tpd'!I15*365.25</f>
        <v>-27.074424773902678</v>
      </c>
      <c r="J15" s="60">
        <f>'Air Basin Summary PM2.5 BAU tpd'!J15*365.25</f>
        <v>-33.843030967378347</v>
      </c>
      <c r="K15" s="60">
        <f>'Air Basin Summary PM2.5 BAU tpd'!K15*365.25</f>
        <v>-40.611637160854009</v>
      </c>
      <c r="L15" s="60">
        <f>'Air Basin Summary PM2.5 BAU tpd'!L15*365.25</f>
        <v>-47.380243354329679</v>
      </c>
      <c r="M15" s="60">
        <f>'Air Basin Summary PM2.5 BAU tpd'!M15*365.25</f>
        <v>-54.148849547805348</v>
      </c>
      <c r="N15" s="60">
        <f>'Air Basin Summary PM2.5 BAU tpd'!N15*365.25</f>
        <v>-60.91745574128101</v>
      </c>
      <c r="O15" s="60">
        <f>'Air Basin Summary PM2.5 BAU tpd'!O15*365.25</f>
        <v>-67.68606193475668</v>
      </c>
      <c r="P15" s="60">
        <f>'Air Basin Summary PM2.5 BAU tpd'!P15*365.25</f>
        <v>-74.454668128232342</v>
      </c>
      <c r="Q15" s="60">
        <f>'Air Basin Summary PM2.5 BAU tpd'!Q15*365.25</f>
        <v>-81.223274321708018</v>
      </c>
      <c r="R15" s="60">
        <f>'Air Basin Summary PM2.5 BAU tpd'!R15*365.25</f>
        <v>-87.991880515183681</v>
      </c>
      <c r="S15" s="60">
        <f>'Air Basin Summary PM2.5 BAU tpd'!S15*365.25</f>
        <v>-94.760486708659357</v>
      </c>
      <c r="T15" s="60">
        <f>'Air Basin Summary PM2.5 BAU tpd'!T15*365.25</f>
        <v>-101.52909290213503</v>
      </c>
      <c r="U15" s="60">
        <f>'Air Basin Summary PM2.5 BAU tpd'!U15*365.25</f>
        <v>-108.29769909561071</v>
      </c>
      <c r="V15" s="60">
        <f>'Air Basin Summary PM2.5 BAU tpd'!V15*365.25</f>
        <v>-115.06630528908639</v>
      </c>
      <c r="W15" s="60">
        <f>'Air Basin Summary PM2.5 BAU tpd'!W15*365.25</f>
        <v>-121.83491148256206</v>
      </c>
      <c r="X15" s="60">
        <f>'Air Basin Summary PM2.5 BAU tpd'!X15*365.25</f>
        <v>-128.60351767603774</v>
      </c>
      <c r="Y15" s="60">
        <f>'Air Basin Summary PM2.5 BAU tpd'!Y15*365.25</f>
        <v>-135.37212386951342</v>
      </c>
      <c r="Z15" s="60">
        <f>'Air Basin Summary PM2.5 BAU tpd'!Z15*365.25</f>
        <v>-142.14073006298909</v>
      </c>
      <c r="AA15" s="60">
        <f>'Air Basin Summary PM2.5 BAU tpd'!AA15*365.25</f>
        <v>-148.90933625646477</v>
      </c>
      <c r="AB15" s="61">
        <f>'Air Basin Summary PM2.5 BAU tpd'!AB15*365.25</f>
        <v>-155.67794244994045</v>
      </c>
    </row>
    <row r="16" spans="1:28">
      <c r="A16" s="520"/>
      <c r="B16" s="2" t="s">
        <v>267</v>
      </c>
      <c r="C16" s="2" t="s">
        <v>240</v>
      </c>
      <c r="D16" s="393">
        <v>0</v>
      </c>
      <c r="E16" s="60">
        <v>0</v>
      </c>
      <c r="F16" s="60">
        <f>'Air Basin Summary PM2.5 BAU tpd'!F16*365.25</f>
        <v>-0.3001006257862347</v>
      </c>
      <c r="G16" s="60">
        <f>'Air Basin Summary PM2.5 BAU tpd'!G16*365.25</f>
        <v>-0.6002012515724694</v>
      </c>
      <c r="H16" s="60">
        <f>'Air Basin Summary PM2.5 BAU tpd'!H16*365.25</f>
        <v>-0.90030187735870404</v>
      </c>
      <c r="I16" s="60">
        <f>'Air Basin Summary PM2.5 BAU tpd'!I16*365.25</f>
        <v>-1.2004025031449388</v>
      </c>
      <c r="J16" s="60">
        <f>'Air Basin Summary PM2.5 BAU tpd'!J16*365.25</f>
        <v>-1.5005031289311737</v>
      </c>
      <c r="K16" s="60">
        <f>'Air Basin Summary PM2.5 BAU tpd'!K16*365.25</f>
        <v>-1.8006037547174081</v>
      </c>
      <c r="L16" s="60">
        <f>'Air Basin Summary PM2.5 BAU tpd'!L16*365.25</f>
        <v>-2.1007043805036427</v>
      </c>
      <c r="M16" s="60">
        <f>'Air Basin Summary PM2.5 BAU tpd'!M16*365.25</f>
        <v>-2.4008050062898771</v>
      </c>
      <c r="N16" s="60">
        <f>'Air Basin Summary PM2.5 BAU tpd'!N16*365.25</f>
        <v>-2.700905632076112</v>
      </c>
      <c r="O16" s="60">
        <f>'Air Basin Summary PM2.5 BAU tpd'!O16*365.25</f>
        <v>-3.0010062578623464</v>
      </c>
      <c r="P16" s="60">
        <f>'Air Basin Summary PM2.5 BAU tpd'!P16*365.25</f>
        <v>-3.3011068836485813</v>
      </c>
      <c r="Q16" s="60">
        <f>'Air Basin Summary PM2.5 BAU tpd'!Q16*365.25</f>
        <v>-3.6012075094348157</v>
      </c>
      <c r="R16" s="60">
        <f>'Air Basin Summary PM2.5 BAU tpd'!R16*365.25</f>
        <v>-3.9013081352210501</v>
      </c>
      <c r="S16" s="60">
        <f>'Air Basin Summary PM2.5 BAU tpd'!S16*365.25</f>
        <v>-4.2014087610072846</v>
      </c>
      <c r="T16" s="60">
        <f>'Air Basin Summary PM2.5 BAU tpd'!T16*365.25</f>
        <v>-4.5015093867935194</v>
      </c>
      <c r="U16" s="60">
        <f>'Air Basin Summary PM2.5 BAU tpd'!U16*365.25</f>
        <v>-4.8016100125797543</v>
      </c>
      <c r="V16" s="60">
        <f>'Air Basin Summary PM2.5 BAU tpd'!V16*365.25</f>
        <v>-5.1017106383659883</v>
      </c>
      <c r="W16" s="60">
        <f>'Air Basin Summary PM2.5 BAU tpd'!W16*365.25</f>
        <v>-5.4018112641522231</v>
      </c>
      <c r="X16" s="60">
        <f>'Air Basin Summary PM2.5 BAU tpd'!X16*365.25</f>
        <v>-5.701911889938458</v>
      </c>
      <c r="Y16" s="60">
        <f>'Air Basin Summary PM2.5 BAU tpd'!Y16*365.25</f>
        <v>-6.0020125157246929</v>
      </c>
      <c r="Z16" s="60">
        <f>'Air Basin Summary PM2.5 BAU tpd'!Z16*365.25</f>
        <v>-6.3021131415109277</v>
      </c>
      <c r="AA16" s="60">
        <f>'Air Basin Summary PM2.5 BAU tpd'!AA16*365.25</f>
        <v>-6.6022137672971626</v>
      </c>
      <c r="AB16" s="61">
        <f>'Air Basin Summary PM2.5 BAU tpd'!AB16*365.25</f>
        <v>-6.9023143930833966</v>
      </c>
    </row>
    <row r="17" spans="1:29">
      <c r="A17" s="520"/>
      <c r="B17" s="2" t="s">
        <v>268</v>
      </c>
      <c r="C17" s="2" t="s">
        <v>240</v>
      </c>
      <c r="D17" s="394">
        <v>0</v>
      </c>
      <c r="E17" s="64">
        <v>0</v>
      </c>
      <c r="F17" s="64">
        <f>'Air Basin Summary PM2.5 BAU tpd'!F17*365.25</f>
        <v>-0.15896419286696586</v>
      </c>
      <c r="G17" s="64">
        <f>'Air Basin Summary PM2.5 BAU tpd'!G17*365.25</f>
        <v>-0.31792838573393173</v>
      </c>
      <c r="H17" s="64">
        <f>'Air Basin Summary PM2.5 BAU tpd'!H17*365.25</f>
        <v>-0.47689257860089762</v>
      </c>
      <c r="I17" s="64">
        <f>'Air Basin Summary PM2.5 BAU tpd'!I17*365.25</f>
        <v>-0.63585677146786346</v>
      </c>
      <c r="J17" s="64">
        <f>'Air Basin Summary PM2.5 BAU tpd'!J17*365.25</f>
        <v>-0.79482096433482929</v>
      </c>
      <c r="K17" s="64">
        <f>'Air Basin Summary PM2.5 BAU tpd'!K17*365.25</f>
        <v>-0.95378515720179524</v>
      </c>
      <c r="L17" s="64">
        <f>'Air Basin Summary PM2.5 BAU tpd'!L17*365.25</f>
        <v>-1.1127493500687611</v>
      </c>
      <c r="M17" s="64">
        <f>'Air Basin Summary PM2.5 BAU tpd'!M17*365.25</f>
        <v>-1.2717135429357269</v>
      </c>
      <c r="N17" s="64">
        <f>'Air Basin Summary PM2.5 BAU tpd'!N17*365.25</f>
        <v>-1.430677735802693</v>
      </c>
      <c r="O17" s="64">
        <f>'Air Basin Summary PM2.5 BAU tpd'!O17*365.25</f>
        <v>-1.5896419286696586</v>
      </c>
      <c r="P17" s="64">
        <f>'Air Basin Summary PM2.5 BAU tpd'!P17*365.25</f>
        <v>-1.7486061215366244</v>
      </c>
      <c r="Q17" s="64">
        <f>'Air Basin Summary PM2.5 BAU tpd'!Q17*365.25</f>
        <v>-1.90757031440359</v>
      </c>
      <c r="R17" s="64">
        <f>'Air Basin Summary PM2.5 BAU tpd'!R17*365.25</f>
        <v>-2.0665345072705557</v>
      </c>
      <c r="S17" s="64">
        <f>'Air Basin Summary PM2.5 BAU tpd'!S17*365.25</f>
        <v>-2.2254987001375217</v>
      </c>
      <c r="T17" s="64">
        <f>'Air Basin Summary PM2.5 BAU tpd'!T17*365.25</f>
        <v>-2.3844628930044873</v>
      </c>
      <c r="U17" s="64">
        <f>'Air Basin Summary PM2.5 BAU tpd'!U17*365.25</f>
        <v>-2.5434270858714529</v>
      </c>
      <c r="V17" s="64">
        <f>'Air Basin Summary PM2.5 BAU tpd'!V17*365.25</f>
        <v>-2.702391278738419</v>
      </c>
      <c r="W17" s="64">
        <f>'Air Basin Summary PM2.5 BAU tpd'!W17*365.25</f>
        <v>-2.8613554716053846</v>
      </c>
      <c r="X17" s="64">
        <f>'Air Basin Summary PM2.5 BAU tpd'!X17*365.25</f>
        <v>-3.0203196644723502</v>
      </c>
      <c r="Y17" s="64">
        <f>'Air Basin Summary PM2.5 BAU tpd'!Y17*365.25</f>
        <v>-3.1792838573393158</v>
      </c>
      <c r="Z17" s="64">
        <f>'Air Basin Summary PM2.5 BAU tpd'!Z17*365.25</f>
        <v>-3.3382480502062819</v>
      </c>
      <c r="AA17" s="64">
        <f>'Air Basin Summary PM2.5 BAU tpd'!AA17*365.25</f>
        <v>-3.4972122430732475</v>
      </c>
      <c r="AB17" s="65">
        <f>'Air Basin Summary PM2.5 BAU tpd'!AB17*365.25</f>
        <v>-3.6561764359402131</v>
      </c>
    </row>
    <row r="18" spans="1:29">
      <c r="A18" s="520"/>
      <c r="B18" s="72" t="s">
        <v>18950</v>
      </c>
      <c r="C18" s="72" t="s">
        <v>240</v>
      </c>
      <c r="D18" s="175">
        <v>0</v>
      </c>
      <c r="E18" s="175">
        <v>0</v>
      </c>
      <c r="F18" s="175">
        <f>'Air Basin Summary PM2.5 BAU tpd'!F18*365.25</f>
        <v>-8.2928796690037725</v>
      </c>
      <c r="G18" s="175">
        <f>'Air Basin Summary PM2.5 BAU tpd'!G18*365.25</f>
        <v>-16.585759338007545</v>
      </c>
      <c r="H18" s="175">
        <f>'Air Basin Summary PM2.5 BAU tpd'!H18*365.25</f>
        <v>-24.878639007011316</v>
      </c>
      <c r="I18" s="175">
        <f>'Air Basin Summary PM2.5 BAU tpd'!I18*365.25</f>
        <v>-33.17151867601509</v>
      </c>
      <c r="J18" s="175">
        <f>'Air Basin Summary PM2.5 BAU tpd'!J18*365.25</f>
        <v>-41.464398345018857</v>
      </c>
      <c r="K18" s="175">
        <f>'Air Basin Summary PM2.5 BAU tpd'!K18*365.25</f>
        <v>-49.757278014022624</v>
      </c>
      <c r="L18" s="175">
        <f>'Air Basin Summary PM2.5 BAU tpd'!L18*365.25</f>
        <v>-58.050157683026399</v>
      </c>
      <c r="M18" s="175">
        <f>'Air Basin Summary PM2.5 BAU tpd'!M18*365.25</f>
        <v>-66.343037352030166</v>
      </c>
      <c r="N18" s="175">
        <f>'Air Basin Summary PM2.5 BAU tpd'!N18*365.25</f>
        <v>-74.635917021033933</v>
      </c>
      <c r="O18" s="175">
        <f>'Air Basin Summary PM2.5 BAU tpd'!O18*365.25</f>
        <v>-82.928796690037714</v>
      </c>
      <c r="P18" s="175">
        <f>'Air Basin Summary PM2.5 BAU tpd'!P18*365.25</f>
        <v>-91.221676359041481</v>
      </c>
      <c r="Q18" s="175">
        <f>'Air Basin Summary PM2.5 BAU tpd'!Q18*365.25</f>
        <v>-99.514556028045249</v>
      </c>
      <c r="R18" s="175">
        <f>'Air Basin Summary PM2.5 BAU tpd'!R18*365.25</f>
        <v>-107.80743569704902</v>
      </c>
      <c r="S18" s="175">
        <f>'Air Basin Summary PM2.5 BAU tpd'!S18*365.25</f>
        <v>-116.1003153660528</v>
      </c>
      <c r="T18" s="175">
        <f>'Air Basin Summary PM2.5 BAU tpd'!T18*365.25</f>
        <v>-124.39319503505656</v>
      </c>
      <c r="U18" s="175">
        <f>'Air Basin Summary PM2.5 BAU tpd'!U18*365.25</f>
        <v>-132.68607470406036</v>
      </c>
      <c r="V18" s="175">
        <f>'Air Basin Summary PM2.5 BAU tpd'!V18*365.25</f>
        <v>-140.97895437306414</v>
      </c>
      <c r="W18" s="175">
        <f>'Air Basin Summary PM2.5 BAU tpd'!W18*365.25</f>
        <v>-149.27183404206792</v>
      </c>
      <c r="X18" s="175">
        <f>'Air Basin Summary PM2.5 BAU tpd'!X18*365.25</f>
        <v>-157.5647137110717</v>
      </c>
      <c r="Y18" s="175">
        <f>'Air Basin Summary PM2.5 BAU tpd'!Y18*365.25</f>
        <v>-165.85759338007549</v>
      </c>
      <c r="Z18" s="175">
        <f>'Air Basin Summary PM2.5 BAU tpd'!Z18*365.25</f>
        <v>-174.15047304907927</v>
      </c>
      <c r="AA18" s="175">
        <f>'Air Basin Summary PM2.5 BAU tpd'!AA18*365.25</f>
        <v>-182.44335271808305</v>
      </c>
      <c r="AB18" s="175">
        <f>'Air Basin Summary PM2.5 BAU tpd'!AB18*365.25</f>
        <v>-190.73623238708683</v>
      </c>
      <c r="AC18" s="101"/>
    </row>
    <row r="19" spans="1:29" ht="15" customHeight="1">
      <c r="A19" s="520"/>
      <c r="B19" s="2"/>
      <c r="C19" s="72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66"/>
    </row>
    <row r="20" spans="1:29" ht="15.75" customHeight="1">
      <c r="A20" s="520"/>
      <c r="B20" s="186"/>
      <c r="C20" s="87"/>
      <c r="D20" s="524" t="s">
        <v>18951</v>
      </c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B20" s="525"/>
    </row>
    <row r="21" spans="1:29" ht="15" customHeight="1">
      <c r="A21" s="520"/>
      <c r="B21" s="185" t="s">
        <v>18814</v>
      </c>
      <c r="C21" s="88" t="s">
        <v>1</v>
      </c>
      <c r="D21" s="156">
        <f>'BAU Comparison - BD RD PM2.5'!C5</f>
        <v>2022</v>
      </c>
      <c r="E21" s="156">
        <f>'BAU Comparison - BD RD PM2.5'!D5</f>
        <v>2023</v>
      </c>
      <c r="F21" s="156">
        <f>'BAU Comparison - BD RD PM2.5'!E5</f>
        <v>2024</v>
      </c>
      <c r="G21" s="156">
        <f>'BAU Comparison - BD RD PM2.5'!F5</f>
        <v>2025</v>
      </c>
      <c r="H21" s="156">
        <f>'BAU Comparison - BD RD PM2.5'!G5</f>
        <v>2026</v>
      </c>
      <c r="I21" s="156">
        <f>'BAU Comparison - BD RD PM2.5'!H5</f>
        <v>2027</v>
      </c>
      <c r="J21" s="156">
        <f>'BAU Comparison - BD RD PM2.5'!I5</f>
        <v>2028</v>
      </c>
      <c r="K21" s="156">
        <f>'BAU Comparison - BD RD PM2.5'!J5</f>
        <v>2029</v>
      </c>
      <c r="L21" s="157">
        <f>'BAU Comparison - BD RD PM2.5'!K5</f>
        <v>2030</v>
      </c>
      <c r="M21" s="156">
        <f>'BAU Comparison - BD RD PM2.5'!L5</f>
        <v>2031</v>
      </c>
      <c r="N21" s="156">
        <f>'BAU Comparison - BD RD PM2.5'!M5</f>
        <v>2032</v>
      </c>
      <c r="O21" s="156">
        <f>'BAU Comparison - BD RD PM2.5'!N5</f>
        <v>2033</v>
      </c>
      <c r="P21" s="156">
        <f>'BAU Comparison - BD RD PM2.5'!O5</f>
        <v>2034</v>
      </c>
      <c r="Q21" s="156">
        <f>'BAU Comparison - BD RD PM2.5'!P5</f>
        <v>2035</v>
      </c>
      <c r="R21" s="156">
        <f>'BAU Comparison - BD RD PM2.5'!Q5</f>
        <v>2036</v>
      </c>
      <c r="S21" s="156">
        <f>'BAU Comparison - BD RD PM2.5'!R5</f>
        <v>2037</v>
      </c>
      <c r="T21" s="156">
        <f>'BAU Comparison - BD RD PM2.5'!S5</f>
        <v>2038</v>
      </c>
      <c r="U21" s="157">
        <f>'BAU Comparison - BD RD PM2.5'!T5</f>
        <v>2039</v>
      </c>
      <c r="V21" s="156">
        <f>'BAU Comparison - BD RD PM2.5'!U5</f>
        <v>2040</v>
      </c>
      <c r="W21" s="156">
        <f>'BAU Comparison - BD RD PM2.5'!V5</f>
        <v>2041</v>
      </c>
      <c r="X21" s="156">
        <f>'BAU Comparison - BD RD PM2.5'!W5</f>
        <v>2042</v>
      </c>
      <c r="Y21" s="156">
        <f>'BAU Comparison - BD RD PM2.5'!X5</f>
        <v>2043</v>
      </c>
      <c r="Z21" s="156">
        <f>'BAU Comparison - BD RD PM2.5'!Y5</f>
        <v>2044</v>
      </c>
      <c r="AA21" s="156">
        <f>'BAU Comparison - BD RD PM2.5'!Z5</f>
        <v>2045</v>
      </c>
      <c r="AB21" s="156">
        <f>'BAU Comparison - BD RD PM2.5'!AA5</f>
        <v>2046</v>
      </c>
    </row>
    <row r="22" spans="1:29" ht="15" customHeight="1">
      <c r="A22" s="520"/>
      <c r="B22" s="53" t="str">
        <f>'BAU Comparison - BD RD PM2.5'!B9</f>
        <v>Great Basin</v>
      </c>
      <c r="C22" s="2" t="s">
        <v>240</v>
      </c>
      <c r="D22" s="104">
        <f>'BAU Comparison - BD RD PM2.5'!C9</f>
        <v>0</v>
      </c>
      <c r="E22" s="79">
        <f>'BAU Comparison - BD RD PM2.5'!D9</f>
        <v>0</v>
      </c>
      <c r="F22" s="79">
        <f>'BAU Comparison - BD RD PM2.5'!E9</f>
        <v>-0.24925841257615969</v>
      </c>
      <c r="G22" s="79">
        <f>'BAU Comparison - BD RD PM2.5'!F9</f>
        <v>-0.66077205518573212</v>
      </c>
      <c r="H22" s="79">
        <f>'BAU Comparison - BD RD PM2.5'!G9</f>
        <v>-0.74608672790787267</v>
      </c>
      <c r="I22" s="79">
        <f>'BAU Comparison - BD RD PM2.5'!H9</f>
        <v>-0.74599717212336503</v>
      </c>
      <c r="J22" s="79">
        <f>'BAU Comparison - BD RD PM2.5'!I9</f>
        <v>-0.67943563799725126</v>
      </c>
      <c r="K22" s="79">
        <f>'BAU Comparison - BD RD PM2.5'!J9</f>
        <v>-0.66261822056092601</v>
      </c>
      <c r="L22" s="79">
        <f>'BAU Comparison - BD RD PM2.5'!K9</f>
        <v>-0.64053147937411414</v>
      </c>
      <c r="M22" s="79">
        <f>'BAU Comparison - BD RD PM2.5'!L9</f>
        <v>-0.60723685669709582</v>
      </c>
      <c r="N22" s="79">
        <f>'BAU Comparison - BD RD PM2.5'!M9</f>
        <v>-0.57615142202748326</v>
      </c>
      <c r="O22" s="79">
        <f>'BAU Comparison - BD RD PM2.5'!N9</f>
        <v>-0.54408550557922275</v>
      </c>
      <c r="P22" s="79">
        <f>'BAU Comparison - BD RD PM2.5'!O9</f>
        <v>-0.51550337035290761</v>
      </c>
      <c r="Q22" s="79">
        <f>'BAU Comparison - BD RD PM2.5'!P9</f>
        <v>-0.48099278481731161</v>
      </c>
      <c r="R22" s="79">
        <f>'BAU Comparison - BD RD PM2.5'!Q9</f>
        <v>-0.45186439825339469</v>
      </c>
      <c r="S22" s="79">
        <f>'BAU Comparison - BD RD PM2.5'!R9</f>
        <v>-0.42489408444760857</v>
      </c>
      <c r="T22" s="79">
        <f>'BAU Comparison - BD RD PM2.5'!S9</f>
        <v>-0.40064315477940787</v>
      </c>
      <c r="U22" s="79">
        <f>'BAU Comparison - BD RD PM2.5'!T9</f>
        <v>-0.40227047300829794</v>
      </c>
      <c r="V22" s="79">
        <f>'BAU Comparison - BD RD PM2.5'!U9</f>
        <v>-0.4012327848678624</v>
      </c>
      <c r="W22" s="79">
        <f>'BAU Comparison - BD RD PM2.5'!V9</f>
        <v>-0.38587902369540394</v>
      </c>
      <c r="X22" s="79">
        <f>'BAU Comparison - BD RD PM2.5'!W9</f>
        <v>-0.36034257670461795</v>
      </c>
      <c r="Y22" s="79">
        <f>'BAU Comparison - BD RD PM2.5'!X9</f>
        <v>-0.34856080013154306</v>
      </c>
      <c r="Z22" s="79">
        <f>'BAU Comparison - BD RD PM2.5'!Y9</f>
        <v>-0.33444575296121015</v>
      </c>
      <c r="AA22" s="79">
        <f>'BAU Comparison - BD RD PM2.5'!Z9</f>
        <v>-0.32122853408397145</v>
      </c>
      <c r="AB22" s="80">
        <f>'BAU Comparison - BD RD PM2.5'!AA9</f>
        <v>-0.30279901764263834</v>
      </c>
    </row>
    <row r="23" spans="1:29" ht="15" customHeight="1">
      <c r="A23" s="520"/>
      <c r="B23" s="53" t="str">
        <f>'BAU Comparison - BD RD PM2.5'!B10</f>
        <v>Lake County</v>
      </c>
      <c r="C23" s="2" t="s">
        <v>240</v>
      </c>
      <c r="D23" s="393">
        <f>'BAU Comparison - BD RD PM2.5'!C10</f>
        <v>0</v>
      </c>
      <c r="E23" s="60">
        <f>'BAU Comparison - BD RD PM2.5'!D10</f>
        <v>0</v>
      </c>
      <c r="F23" s="60">
        <f>'BAU Comparison - BD RD PM2.5'!E10</f>
        <v>-0.25938304497984799</v>
      </c>
      <c r="G23" s="60">
        <f>'BAU Comparison - BD RD PM2.5'!F10</f>
        <v>-0.6776073004332579</v>
      </c>
      <c r="H23" s="60">
        <f>'BAU Comparison - BD RD PM2.5'!G10</f>
        <v>-0.74185877320078641</v>
      </c>
      <c r="I23" s="60">
        <f>'BAU Comparison - BD RD PM2.5'!H10</f>
        <v>-0.73227150301836497</v>
      </c>
      <c r="J23" s="60">
        <f>'BAU Comparison - BD RD PM2.5'!I10</f>
        <v>-0.64583483784335072</v>
      </c>
      <c r="K23" s="60">
        <f>'BAU Comparison - BD RD PM2.5'!J10</f>
        <v>-0.61029262000709616</v>
      </c>
      <c r="L23" s="60">
        <f>'BAU Comparison - BD RD PM2.5'!K10</f>
        <v>-0.56917025014046707</v>
      </c>
      <c r="M23" s="60">
        <f>'BAU Comparison - BD RD PM2.5'!L10</f>
        <v>-0.52578435459443462</v>
      </c>
      <c r="N23" s="60">
        <f>'BAU Comparison - BD RD PM2.5'!M10</f>
        <v>-0.4830585094180182</v>
      </c>
      <c r="O23" s="60">
        <f>'BAU Comparison - BD RD PM2.5'!N10</f>
        <v>-0.44179548376153738</v>
      </c>
      <c r="P23" s="60">
        <f>'BAU Comparison - BD RD PM2.5'!O10</f>
        <v>-0.40518602667143072</v>
      </c>
      <c r="Q23" s="60">
        <f>'BAU Comparison - BD RD PM2.5'!P10</f>
        <v>-0.36786561887020564</v>
      </c>
      <c r="R23" s="60">
        <f>'BAU Comparison - BD RD PM2.5'!Q10</f>
        <v>-0.33405552722737047</v>
      </c>
      <c r="S23" s="60">
        <f>'BAU Comparison - BD RD PM2.5'!R10</f>
        <v>-0.30238725524243021</v>
      </c>
      <c r="T23" s="60">
        <f>'BAU Comparison - BD RD PM2.5'!S10</f>
        <v>-0.27423013297945925</v>
      </c>
      <c r="U23" s="60">
        <f>'BAU Comparison - BD RD PM2.5'!T10</f>
        <v>-0.26533476942920164</v>
      </c>
      <c r="V23" s="60">
        <f>'BAU Comparison - BD RD PM2.5'!U10</f>
        <v>-0.25456995338511473</v>
      </c>
      <c r="W23" s="60">
        <f>'BAU Comparison - BD RD PM2.5'!V10</f>
        <v>-0.23580155337846703</v>
      </c>
      <c r="X23" s="60">
        <f>'BAU Comparison - BD RD PM2.5'!W10</f>
        <v>-0.21218791622194325</v>
      </c>
      <c r="Y23" s="60">
        <f>'BAU Comparison - BD RD PM2.5'!X10</f>
        <v>-0.19760826106539148</v>
      </c>
      <c r="Z23" s="60">
        <f>'BAU Comparison - BD RD PM2.5'!Y10</f>
        <v>-0.18244935782252156</v>
      </c>
      <c r="AA23" s="60">
        <f>'BAU Comparison - BD RD PM2.5'!Z10</f>
        <v>-0.16865231137674644</v>
      </c>
      <c r="AB23" s="61">
        <f>'BAU Comparison - BD RD PM2.5'!AA10</f>
        <v>-0.1530855941944608</v>
      </c>
    </row>
    <row r="24" spans="1:29" ht="15" customHeight="1">
      <c r="A24" s="520"/>
      <c r="B24" s="53" t="str">
        <f>'BAU Comparison - BD RD PM2.5'!B11</f>
        <v>Lake Tahoe</v>
      </c>
      <c r="C24" s="2" t="s">
        <v>240</v>
      </c>
      <c r="D24" s="393">
        <f>'BAU Comparison - BD RD PM2.5'!C11</f>
        <v>0</v>
      </c>
      <c r="E24" s="60">
        <f>'BAU Comparison - BD RD PM2.5'!D11</f>
        <v>0</v>
      </c>
      <c r="F24" s="60">
        <f>'BAU Comparison - BD RD PM2.5'!E11</f>
        <v>-0.18000172238354381</v>
      </c>
      <c r="G24" s="60">
        <f>'BAU Comparison - BD RD PM2.5'!F11</f>
        <v>-0.48551578808751156</v>
      </c>
      <c r="H24" s="60">
        <f>'BAU Comparison - BD RD PM2.5'!G11</f>
        <v>-0.53548848813979122</v>
      </c>
      <c r="I24" s="60">
        <f>'BAU Comparison - BD RD PM2.5'!H11</f>
        <v>-0.53383521817721358</v>
      </c>
      <c r="J24" s="60">
        <f>'BAU Comparison - BD RD PM2.5'!I11</f>
        <v>-0.47620352161626422</v>
      </c>
      <c r="K24" s="60">
        <f>'BAU Comparison - BD RD PM2.5'!J11</f>
        <v>-0.45604459191834107</v>
      </c>
      <c r="L24" s="60">
        <f>'BAU Comparison - BD RD PM2.5'!K11</f>
        <v>-0.43203711246543886</v>
      </c>
      <c r="M24" s="60">
        <f>'BAU Comparison - BD RD PM2.5'!L11</f>
        <v>-0.40511713227191026</v>
      </c>
      <c r="N24" s="60">
        <f>'BAU Comparison - BD RD PM2.5'!M11</f>
        <v>-0.37729308920572463</v>
      </c>
      <c r="O24" s="60">
        <f>'BAU Comparison - BD RD PM2.5'!N11</f>
        <v>-0.34938016739975625</v>
      </c>
      <c r="P24" s="60">
        <f>'BAU Comparison - BD RD PM2.5'!O11</f>
        <v>-0.32498352100466443</v>
      </c>
      <c r="Q24" s="60">
        <f>'BAU Comparison - BD RD PM2.5'!P11</f>
        <v>-0.29952542214221761</v>
      </c>
      <c r="R24" s="60">
        <f>'BAU Comparison - BD RD PM2.5'!Q11</f>
        <v>-0.27604995601755444</v>
      </c>
      <c r="S24" s="60">
        <f>'BAU Comparison - BD RD PM2.5'!R11</f>
        <v>-0.25406201752307367</v>
      </c>
      <c r="T24" s="60">
        <f>'BAU Comparison - BD RD PM2.5'!S11</f>
        <v>-0.2344760779534856</v>
      </c>
      <c r="U24" s="60">
        <f>'BAU Comparison - BD RD PM2.5'!T11</f>
        <v>-0.23087156938702241</v>
      </c>
      <c r="V24" s="60">
        <f>'BAU Comparison - BD RD PM2.5'!U11</f>
        <v>-0.22533153395887337</v>
      </c>
      <c r="W24" s="60">
        <f>'BAU Comparison - BD RD PM2.5'!V11</f>
        <v>-0.21216364893587855</v>
      </c>
      <c r="X24" s="60">
        <f>'BAU Comparison - BD RD PM2.5'!W11</f>
        <v>-0.19437710035899386</v>
      </c>
      <c r="Y24" s="60">
        <f>'BAU Comparison - BD RD PM2.5'!X11</f>
        <v>-0.18405180925230682</v>
      </c>
      <c r="Z24" s="60">
        <f>'BAU Comparison - BD RD PM2.5'!Y11</f>
        <v>-0.17283739382679331</v>
      </c>
      <c r="AA24" s="60">
        <f>'BAU Comparison - BD RD PM2.5'!Z11</f>
        <v>-0.16256887573529524</v>
      </c>
      <c r="AB24" s="61">
        <f>'BAU Comparison - BD RD PM2.5'!AA11</f>
        <v>-0.15024213910005391</v>
      </c>
    </row>
    <row r="25" spans="1:29" ht="15" customHeight="1">
      <c r="A25" s="520"/>
      <c r="B25" s="53" t="str">
        <f>'BAU Comparison - BD RD PM2.5'!B12</f>
        <v>Mojave</v>
      </c>
      <c r="C25" s="2" t="s">
        <v>240</v>
      </c>
      <c r="D25" s="393">
        <f>'BAU Comparison - BD RD PM2.5'!C12</f>
        <v>0</v>
      </c>
      <c r="E25" s="60">
        <f>'BAU Comparison - BD RD PM2.5'!D12</f>
        <v>0</v>
      </c>
      <c r="F25" s="60">
        <f>'BAU Comparison - BD RD PM2.5'!E12</f>
        <v>-8.6169901427312769</v>
      </c>
      <c r="G25" s="60">
        <f>'BAU Comparison - BD RD PM2.5'!F12</f>
        <v>-24.25515795156042</v>
      </c>
      <c r="H25" s="60">
        <f>'BAU Comparison - BD RD PM2.5'!G12</f>
        <v>-28.21848655969281</v>
      </c>
      <c r="I25" s="60">
        <f>'BAU Comparison - BD RD PM2.5'!H12</f>
        <v>-29.752554206494459</v>
      </c>
      <c r="J25" s="60">
        <f>'BAU Comparison - BD RD PM2.5'!I12</f>
        <v>-27.999739004175549</v>
      </c>
      <c r="K25" s="60">
        <f>'BAU Comparison - BD RD PM2.5'!J12</f>
        <v>-28.348845860570552</v>
      </c>
      <c r="L25" s="60">
        <f>'BAU Comparison - BD RD PM2.5'!K12</f>
        <v>-28.29855192806162</v>
      </c>
      <c r="M25" s="60">
        <f>'BAU Comparison - BD RD PM2.5'!L12</f>
        <v>-27.596601835159102</v>
      </c>
      <c r="N25" s="60">
        <f>'BAU Comparison - BD RD PM2.5'!M12</f>
        <v>-26.653238963120355</v>
      </c>
      <c r="O25" s="60">
        <f>'BAU Comparison - BD RD PM2.5'!N12</f>
        <v>-25.594685928423552</v>
      </c>
      <c r="P25" s="60">
        <f>'BAU Comparison - BD RD PM2.5'!O12</f>
        <v>-24.460180642555805</v>
      </c>
      <c r="Q25" s="60">
        <f>'BAU Comparison - BD RD PM2.5'!P12</f>
        <v>-23.524955163062454</v>
      </c>
      <c r="R25" s="60">
        <f>'BAU Comparison - BD RD PM2.5'!Q12</f>
        <v>-21.646811140378787</v>
      </c>
      <c r="S25" s="60">
        <f>'BAU Comparison - BD RD PM2.5'!R12</f>
        <v>-20.243726005574402</v>
      </c>
      <c r="T25" s="60">
        <f>'BAU Comparison - BD RD PM2.5'!S12</f>
        <v>-19.054388292953</v>
      </c>
      <c r="U25" s="60">
        <f>'BAU Comparison - BD RD PM2.5'!T12</f>
        <v>-19.073468455532399</v>
      </c>
      <c r="V25" s="60">
        <f>'BAU Comparison - BD RD PM2.5'!U12</f>
        <v>-18.992788977671601</v>
      </c>
      <c r="W25" s="60">
        <f>'BAU Comparison - BD RD PM2.5'!V12</f>
        <v>-18.17242184242102</v>
      </c>
      <c r="X25" s="60">
        <f>'BAU Comparison - BD RD PM2.5'!W12</f>
        <v>-16.869013494037997</v>
      </c>
      <c r="Y25" s="60">
        <f>'BAU Comparison - BD RD PM2.5'!X12</f>
        <v>-16.069538484279796</v>
      </c>
      <c r="Z25" s="60">
        <f>'BAU Comparison - BD RD PM2.5'!Y12</f>
        <v>-15.204361486708082</v>
      </c>
      <c r="AA25" s="60">
        <f>'BAU Comparison - BD RD PM2.5'!Z12</f>
        <v>-14.772557593174952</v>
      </c>
      <c r="AB25" s="61">
        <f>'BAU Comparison - BD RD PM2.5'!AA12</f>
        <v>-14.100323250589222</v>
      </c>
    </row>
    <row r="26" spans="1:29" ht="15" customHeight="1">
      <c r="A26" s="520"/>
      <c r="B26" s="53" t="str">
        <f>'BAU Comparison - BD RD PM2.5'!B13</f>
        <v>Mountain Counties</v>
      </c>
      <c r="C26" s="2" t="s">
        <v>240</v>
      </c>
      <c r="D26" s="393">
        <f>'BAU Comparison - BD RD PM2.5'!C13</f>
        <v>0</v>
      </c>
      <c r="E26" s="60">
        <f>'BAU Comparison - BD RD PM2.5'!D13</f>
        <v>0</v>
      </c>
      <c r="F26" s="60">
        <f>'BAU Comparison - BD RD PM2.5'!E13</f>
        <v>-2.400133809906023</v>
      </c>
      <c r="G26" s="60">
        <f>'BAU Comparison - BD RD PM2.5'!F13</f>
        <v>-6.5598384037714474</v>
      </c>
      <c r="H26" s="60">
        <f>'BAU Comparison - BD RD PM2.5'!G13</f>
        <v>-7.3311569972403747</v>
      </c>
      <c r="I26" s="60">
        <f>'BAU Comparison - BD RD PM2.5'!H13</f>
        <v>-7.4255390030097388</v>
      </c>
      <c r="J26" s="60">
        <f>'BAU Comparison - BD RD PM2.5'!I13</f>
        <v>-6.737394628003571</v>
      </c>
      <c r="K26" s="60">
        <f>'BAU Comparison - BD RD PM2.5'!J13</f>
        <v>-6.5707577961813257</v>
      </c>
      <c r="L26" s="60">
        <f>'BAU Comparison - BD RD PM2.5'!K13</f>
        <v>-6.3278361660119868</v>
      </c>
      <c r="M26" s="60">
        <f>'BAU Comparison - BD RD PM2.5'!L13</f>
        <v>-6.0062042306645678</v>
      </c>
      <c r="N26" s="60">
        <f>'BAU Comparison - BD RD PM2.5'!M13</f>
        <v>-5.6087463637901251</v>
      </c>
      <c r="O26" s="60">
        <f>'BAU Comparison - BD RD PM2.5'!N13</f>
        <v>-5.2419162686442808</v>
      </c>
      <c r="P26" s="60">
        <f>'BAU Comparison - BD RD PM2.5'!O13</f>
        <v>-4.8746211799199992</v>
      </c>
      <c r="Q26" s="60">
        <f>'BAU Comparison - BD RD PM2.5'!P13</f>
        <v>-4.5853198332995966</v>
      </c>
      <c r="R26" s="60">
        <f>'BAU Comparison - BD RD PM2.5'!Q13</f>
        <v>-4.1941633568349044</v>
      </c>
      <c r="S26" s="60">
        <f>'BAU Comparison - BD RD PM2.5'!R13</f>
        <v>-3.855076314837667</v>
      </c>
      <c r="T26" s="60">
        <f>'BAU Comparison - BD RD PM2.5'!S13</f>
        <v>-3.6114110313633705</v>
      </c>
      <c r="U26" s="60">
        <f>'BAU Comparison - BD RD PM2.5'!T13</f>
        <v>-3.5584199306737623</v>
      </c>
      <c r="V26" s="60">
        <f>'BAU Comparison - BD RD PM2.5'!U13</f>
        <v>-3.4592858632530912</v>
      </c>
      <c r="W26" s="60">
        <f>'BAU Comparison - BD RD PM2.5'!V13</f>
        <v>-3.2922003236883333</v>
      </c>
      <c r="X26" s="60">
        <f>'BAU Comparison - BD RD PM2.5'!W13</f>
        <v>-3.012411181305362</v>
      </c>
      <c r="Y26" s="60">
        <f>'BAU Comparison - BD RD PM2.5'!X13</f>
        <v>-2.8494761561554318</v>
      </c>
      <c r="Z26" s="60">
        <f>'BAU Comparison - BD RD PM2.5'!Y13</f>
        <v>-2.6910912781348335</v>
      </c>
      <c r="AA26" s="60">
        <f>'BAU Comparison - BD RD PM2.5'!Z13</f>
        <v>-2.5813384753770183</v>
      </c>
      <c r="AB26" s="61">
        <f>'BAU Comparison - BD RD PM2.5'!AA13</f>
        <v>-2.4179709377240717</v>
      </c>
    </row>
    <row r="27" spans="1:29" ht="15" customHeight="1">
      <c r="A27" s="520"/>
      <c r="B27" s="53" t="str">
        <f>'BAU Comparison - BD RD PM2.5'!B14</f>
        <v>North Central Coast</v>
      </c>
      <c r="C27" s="2" t="s">
        <v>240</v>
      </c>
      <c r="D27" s="393">
        <f>'BAU Comparison - BD RD PM2.5'!C14</f>
        <v>0</v>
      </c>
      <c r="E27" s="60">
        <f>'BAU Comparison - BD RD PM2.5'!D14</f>
        <v>0</v>
      </c>
      <c r="F27" s="60">
        <f>'BAU Comparison - BD RD PM2.5'!E14</f>
        <v>-1.8424641597833373</v>
      </c>
      <c r="G27" s="60">
        <f>'BAU Comparison - BD RD PM2.5'!F14</f>
        <v>-5.0244860690893942</v>
      </c>
      <c r="H27" s="60">
        <f>'BAU Comparison - BD RD PM2.5'!G14</f>
        <v>-5.59128825947555</v>
      </c>
      <c r="I27" s="60">
        <f>'BAU Comparison - BD RD PM2.5'!H14</f>
        <v>-5.632237409150437</v>
      </c>
      <c r="J27" s="60">
        <f>'BAU Comparison - BD RD PM2.5'!I14</f>
        <v>-5.0699802301011463</v>
      </c>
      <c r="K27" s="60">
        <f>'BAU Comparison - BD RD PM2.5'!J14</f>
        <v>-4.8937623568958672</v>
      </c>
      <c r="L27" s="60">
        <f>'BAU Comparison - BD RD PM2.5'!K14</f>
        <v>-4.6709423584129324</v>
      </c>
      <c r="M27" s="60">
        <f>'BAU Comparison - BD RD PM2.5'!L14</f>
        <v>-4.4167626910726181</v>
      </c>
      <c r="N27" s="60">
        <f>'BAU Comparison - BD RD PM2.5'!M14</f>
        <v>-4.1523865342399322</v>
      </c>
      <c r="O27" s="60">
        <f>'BAU Comparison - BD RD PM2.5'!N14</f>
        <v>-3.8855949180598146</v>
      </c>
      <c r="P27" s="60">
        <f>'BAU Comparison - BD RD PM2.5'!O14</f>
        <v>-3.6507627053620504</v>
      </c>
      <c r="Q27" s="60">
        <f>'BAU Comparison - BD RD PM2.5'!P14</f>
        <v>-3.4000812725842446</v>
      </c>
      <c r="R27" s="60">
        <f>'BAU Comparison - BD RD PM2.5'!Q14</f>
        <v>-3.1706210083609179</v>
      </c>
      <c r="S27" s="60">
        <f>'BAU Comparison - BD RD PM2.5'!R14</f>
        <v>-2.9503493804204299</v>
      </c>
      <c r="T27" s="60">
        <f>'BAU Comparison - BD RD PM2.5'!S14</f>
        <v>-2.7504757334761707</v>
      </c>
      <c r="U27" s="60">
        <f>'BAU Comparison - BD RD PM2.5'!T14</f>
        <v>-2.7347007353328405</v>
      </c>
      <c r="V27" s="60">
        <f>'BAU Comparison - BD RD PM2.5'!U14</f>
        <v>-2.6984882704845123</v>
      </c>
      <c r="W27" s="60">
        <f>'BAU Comparison - BD RD PM2.5'!V14</f>
        <v>-2.5698269722328813</v>
      </c>
      <c r="X27" s="60">
        <f>'BAU Comparison - BD RD PM2.5'!W14</f>
        <v>-2.3808613970703316</v>
      </c>
      <c r="Y27" s="60">
        <f>'BAU Comparison - BD RD PM2.5'!X14</f>
        <v>-2.2805444634367031</v>
      </c>
      <c r="Z27" s="60">
        <f>'BAU Comparison - BD RD PM2.5'!Y14</f>
        <v>-2.167786709943488</v>
      </c>
      <c r="AA27" s="60">
        <f>'BAU Comparison - BD RD PM2.5'!Z14</f>
        <v>-2.062096577097019</v>
      </c>
      <c r="AB27" s="61">
        <f>'BAU Comparison - BD RD PM2.5'!AA14</f>
        <v>-1.9263176013647025</v>
      </c>
    </row>
    <row r="28" spans="1:29" ht="15" customHeight="1">
      <c r="A28" s="520"/>
      <c r="B28" s="53" t="str">
        <f>'BAU Comparison - BD RD PM2.5'!B15</f>
        <v>North Coast</v>
      </c>
      <c r="C28" s="2" t="s">
        <v>240</v>
      </c>
      <c r="D28" s="393">
        <f>'BAU Comparison - BD RD PM2.5'!C15</f>
        <v>0</v>
      </c>
      <c r="E28" s="60">
        <f>'BAU Comparison - BD RD PM2.5'!D15</f>
        <v>0</v>
      </c>
      <c r="F28" s="60">
        <f>'BAU Comparison - BD RD PM2.5'!E15</f>
        <v>-2.3687741514537377</v>
      </c>
      <c r="G28" s="60">
        <f>'BAU Comparison - BD RD PM2.5'!F15</f>
        <v>-6.4447747104224558</v>
      </c>
      <c r="H28" s="60">
        <f>'BAU Comparison - BD RD PM2.5'!G15</f>
        <v>-7.1170195986072633</v>
      </c>
      <c r="I28" s="60">
        <f>'BAU Comparison - BD RD PM2.5'!H15</f>
        <v>-7.1253852412851675</v>
      </c>
      <c r="J28" s="60">
        <f>'BAU Comparison - BD RD PM2.5'!I15</f>
        <v>-6.3607197365682033</v>
      </c>
      <c r="K28" s="60">
        <f>'BAU Comparison - BD RD PM2.5'!J15</f>
        <v>-6.0895780687486534</v>
      </c>
      <c r="L28" s="60">
        <f>'BAU Comparison - BD RD PM2.5'!K15</f>
        <v>-5.746189458681819</v>
      </c>
      <c r="M28" s="60">
        <f>'BAU Comparison - BD RD PM2.5'!L15</f>
        <v>-5.3748768864325145</v>
      </c>
      <c r="N28" s="60">
        <f>'BAU Comparison - BD RD PM2.5'!M15</f>
        <v>-4.9747253677243224</v>
      </c>
      <c r="O28" s="60">
        <f>'BAU Comparison - BD RD PM2.5'!N15</f>
        <v>-4.5943678443475751</v>
      </c>
      <c r="P28" s="60">
        <f>'BAU Comparison - BD RD PM2.5'!O15</f>
        <v>-4.2633973996616623</v>
      </c>
      <c r="Q28" s="60">
        <f>'BAU Comparison - BD RD PM2.5'!P15</f>
        <v>-3.9242968680460177</v>
      </c>
      <c r="R28" s="60">
        <f>'BAU Comparison - BD RD PM2.5'!Q15</f>
        <v>-3.6242955653408337</v>
      </c>
      <c r="S28" s="60">
        <f>'BAU Comparison - BD RD PM2.5'!R15</f>
        <v>-3.3145853139324619</v>
      </c>
      <c r="T28" s="60">
        <f>'BAU Comparison - BD RD PM2.5'!S15</f>
        <v>-3.0379750444674118</v>
      </c>
      <c r="U28" s="60">
        <f>'BAU Comparison - BD RD PM2.5'!T15</f>
        <v>-2.9843521341240016</v>
      </c>
      <c r="V28" s="60">
        <f>'BAU Comparison - BD RD PM2.5'!U15</f>
        <v>-2.8873134153571693</v>
      </c>
      <c r="W28" s="60">
        <f>'BAU Comparison - BD RD PM2.5'!V15</f>
        <v>-2.7044225478244255</v>
      </c>
      <c r="X28" s="60">
        <f>'BAU Comparison - BD RD PM2.5'!W15</f>
        <v>-2.4659945600658939</v>
      </c>
      <c r="Y28" s="60">
        <f>'BAU Comparison - BD RD PM2.5'!X15</f>
        <v>-2.309981423863519</v>
      </c>
      <c r="Z28" s="60">
        <f>'BAU Comparison - BD RD PM2.5'!Y15</f>
        <v>-2.1604572884523363</v>
      </c>
      <c r="AA28" s="60">
        <f>'BAU Comparison - BD RD PM2.5'!Z15</f>
        <v>-2.0230355710852144</v>
      </c>
      <c r="AB28" s="61">
        <f>'BAU Comparison - BD RD PM2.5'!AA15</f>
        <v>-1.8645233230775808</v>
      </c>
    </row>
    <row r="29" spans="1:29" ht="15" customHeight="1">
      <c r="A29" s="520"/>
      <c r="B29" s="53" t="str">
        <f>'BAU Comparison - BD RD PM2.5'!B16</f>
        <v>Northeast Plateau</v>
      </c>
      <c r="C29" s="2" t="s">
        <v>240</v>
      </c>
      <c r="D29" s="393">
        <f>'BAU Comparison - BD RD PM2.5'!C16</f>
        <v>0</v>
      </c>
      <c r="E29" s="60">
        <f>'BAU Comparison - BD RD PM2.5'!D16</f>
        <v>0</v>
      </c>
      <c r="F29" s="60">
        <f>'BAU Comparison - BD RD PM2.5'!E16</f>
        <v>-1.6564316252823277</v>
      </c>
      <c r="G29" s="60">
        <f>'BAU Comparison - BD RD PM2.5'!F16</f>
        <v>-4.5573147019698439</v>
      </c>
      <c r="H29" s="60">
        <f>'BAU Comparison - BD RD PM2.5'!G16</f>
        <v>-5.1149486106565005</v>
      </c>
      <c r="I29" s="60">
        <f>'BAU Comparison - BD RD PM2.5'!H16</f>
        <v>-5.2409945052586373</v>
      </c>
      <c r="J29" s="60">
        <f>'BAU Comparison - BD RD PM2.5'!I16</f>
        <v>-4.7716443646472371</v>
      </c>
      <c r="K29" s="60">
        <f>'BAU Comparison - BD RD PM2.5'!J16</f>
        <v>-4.6547132081100084</v>
      </c>
      <c r="L29" s="60">
        <f>'BAU Comparison - BD RD PM2.5'!K16</f>
        <v>-4.5318125021731879</v>
      </c>
      <c r="M29" s="60">
        <f>'BAU Comparison - BD RD PM2.5'!L16</f>
        <v>-4.2779421382700651</v>
      </c>
      <c r="N29" s="60">
        <f>'BAU Comparison - BD RD PM2.5'!M16</f>
        <v>-4.0315065806744323</v>
      </c>
      <c r="O29" s="60">
        <f>'BAU Comparison - BD RD PM2.5'!N16</f>
        <v>-3.7891205803142269</v>
      </c>
      <c r="P29" s="60">
        <f>'BAU Comparison - BD RD PM2.5'!O16</f>
        <v>-3.5300444148269761</v>
      </c>
      <c r="Q29" s="60">
        <f>'BAU Comparison - BD RD PM2.5'!P16</f>
        <v>-3.2828590854225288</v>
      </c>
      <c r="R29" s="60">
        <f>'BAU Comparison - BD RD PM2.5'!Q16</f>
        <v>-2.9891941085741887</v>
      </c>
      <c r="S29" s="60">
        <f>'BAU Comparison - BD RD PM2.5'!R16</f>
        <v>-2.7216935052082927</v>
      </c>
      <c r="T29" s="60">
        <f>'BAU Comparison - BD RD PM2.5'!S16</f>
        <v>-2.5201010854674037</v>
      </c>
      <c r="U29" s="60">
        <f>'BAU Comparison - BD RD PM2.5'!T16</f>
        <v>-2.4725555087584339</v>
      </c>
      <c r="V29" s="60">
        <f>'BAU Comparison - BD RD PM2.5'!U16</f>
        <v>-2.4149664775930111</v>
      </c>
      <c r="W29" s="60">
        <f>'BAU Comparison - BD RD PM2.5'!V16</f>
        <v>-2.2347665782940163</v>
      </c>
      <c r="X29" s="60">
        <f>'BAU Comparison - BD RD PM2.5'!W16</f>
        <v>-2.0268167012686069</v>
      </c>
      <c r="Y29" s="60">
        <f>'BAU Comparison - BD RD PM2.5'!X16</f>
        <v>-1.8967174863505463</v>
      </c>
      <c r="Z29" s="60">
        <f>'BAU Comparison - BD RD PM2.5'!Y16</f>
        <v>-1.7386940544089673</v>
      </c>
      <c r="AA29" s="60">
        <f>'BAU Comparison - BD RD PM2.5'!Z16</f>
        <v>-1.6649967405044941</v>
      </c>
      <c r="AB29" s="61">
        <f>'BAU Comparison - BD RD PM2.5'!AA16</f>
        <v>-1.5315958121483026</v>
      </c>
    </row>
    <row r="30" spans="1:29" ht="15" customHeight="1">
      <c r="A30" s="520"/>
      <c r="B30" s="53" t="str">
        <f>'BAU Comparison - BD RD PM2.5'!B17</f>
        <v>Sacramento</v>
      </c>
      <c r="C30" s="2" t="s">
        <v>240</v>
      </c>
      <c r="D30" s="393">
        <f>'BAU Comparison - BD RD PM2.5'!C17</f>
        <v>0</v>
      </c>
      <c r="E30" s="60">
        <f>'BAU Comparison - BD RD PM2.5'!D17</f>
        <v>0</v>
      </c>
      <c r="F30" s="60">
        <f>'BAU Comparison - BD RD PM2.5'!E17</f>
        <v>-10.051511904607745</v>
      </c>
      <c r="G30" s="60">
        <f>'BAU Comparison - BD RD PM2.5'!F17</f>
        <v>-27.29201098394201</v>
      </c>
      <c r="H30" s="60">
        <f>'BAU Comparison - BD RD PM2.5'!G17</f>
        <v>-30.497921611262679</v>
      </c>
      <c r="I30" s="60">
        <f>'BAU Comparison - BD RD PM2.5'!H17</f>
        <v>-30.876200291679478</v>
      </c>
      <c r="J30" s="60">
        <f>'BAU Comparison - BD RD PM2.5'!I17</f>
        <v>-27.961764771818224</v>
      </c>
      <c r="K30" s="60">
        <f>'BAU Comparison - BD RD PM2.5'!J17</f>
        <v>-27.171848704712126</v>
      </c>
      <c r="L30" s="60">
        <f>'BAU Comparison - BD RD PM2.5'!K17</f>
        <v>-26.038685724173835</v>
      </c>
      <c r="M30" s="60">
        <f>'BAU Comparison - BD RD PM2.5'!L17</f>
        <v>-24.695679482304651</v>
      </c>
      <c r="N30" s="60">
        <f>'BAU Comparison - BD RD PM2.5'!M17</f>
        <v>-23.258696181014859</v>
      </c>
      <c r="O30" s="60">
        <f>'BAU Comparison - BD RD PM2.5'!N17</f>
        <v>-21.867370080232604</v>
      </c>
      <c r="P30" s="60">
        <f>'BAU Comparison - BD RD PM2.5'!O17</f>
        <v>-20.577751181574531</v>
      </c>
      <c r="Q30" s="60">
        <f>'BAU Comparison - BD RD PM2.5'!P17</f>
        <v>-19.212196705717506</v>
      </c>
      <c r="R30" s="60">
        <f>'BAU Comparison - BD RD PM2.5'!Q17</f>
        <v>-17.810371838666427</v>
      </c>
      <c r="S30" s="60">
        <f>'BAU Comparison - BD RD PM2.5'!R17</f>
        <v>-16.575610893817775</v>
      </c>
      <c r="T30" s="60">
        <f>'BAU Comparison - BD RD PM2.5'!S17</f>
        <v>-15.458518003365837</v>
      </c>
      <c r="U30" s="60">
        <f>'BAU Comparison - BD RD PM2.5'!T17</f>
        <v>-15.402351881742769</v>
      </c>
      <c r="V30" s="60">
        <f>'BAU Comparison - BD RD PM2.5'!U17</f>
        <v>-15.184437615099226</v>
      </c>
      <c r="W30" s="60">
        <f>'BAU Comparison - BD RD PM2.5'!V17</f>
        <v>-14.44889483928112</v>
      </c>
      <c r="X30" s="60">
        <f>'BAU Comparison - BD RD PM2.5'!W17</f>
        <v>-13.416836054040095</v>
      </c>
      <c r="Y30" s="60">
        <f>'BAU Comparison - BD RD PM2.5'!X17</f>
        <v>-12.845890745863633</v>
      </c>
      <c r="Z30" s="60">
        <f>'BAU Comparison - BD RD PM2.5'!Y17</f>
        <v>-12.206076682094871</v>
      </c>
      <c r="AA30" s="60">
        <f>'BAU Comparison - BD RD PM2.5'!Z17</f>
        <v>-11.69605051114754</v>
      </c>
      <c r="AB30" s="61">
        <f>'BAU Comparison - BD RD PM2.5'!AA17</f>
        <v>-11.014306224055234</v>
      </c>
    </row>
    <row r="31" spans="1:29" ht="15" customHeight="1">
      <c r="A31" s="520"/>
      <c r="B31" s="53" t="str">
        <f>'BAU Comparison - BD RD PM2.5'!B18</f>
        <v>Salton Sea</v>
      </c>
      <c r="C31" s="2" t="s">
        <v>240</v>
      </c>
      <c r="D31" s="393">
        <f>'BAU Comparison - BD RD PM2.5'!C18</f>
        <v>0</v>
      </c>
      <c r="E31" s="60">
        <f>'BAU Comparison - BD RD PM2.5'!D18</f>
        <v>0</v>
      </c>
      <c r="F31" s="60">
        <f>'BAU Comparison - BD RD PM2.5'!E18</f>
        <v>-3.9383614395527022</v>
      </c>
      <c r="G31" s="60">
        <f>'BAU Comparison - BD RD PM2.5'!F18</f>
        <v>-10.918536265747271</v>
      </c>
      <c r="H31" s="60">
        <f>'BAU Comparison - BD RD PM2.5'!G18</f>
        <v>-12.597915770406425</v>
      </c>
      <c r="I31" s="60">
        <f>'BAU Comparison - BD RD PM2.5'!H18</f>
        <v>-13.095062225706306</v>
      </c>
      <c r="J31" s="60">
        <f>'BAU Comparison - BD RD PM2.5'!I18</f>
        <v>-12.287579726697849</v>
      </c>
      <c r="K31" s="60">
        <f>'BAU Comparison - BD RD PM2.5'!J18</f>
        <v>-12.372864634397697</v>
      </c>
      <c r="L31" s="60">
        <f>'BAU Comparison - BD RD PM2.5'!K18</f>
        <v>-12.311791089880712</v>
      </c>
      <c r="M31" s="60">
        <f>'BAU Comparison - BD RD PM2.5'!L18</f>
        <v>-11.994598792247148</v>
      </c>
      <c r="N31" s="60">
        <f>'BAU Comparison - BD RD PM2.5'!M18</f>
        <v>-11.621612822090798</v>
      </c>
      <c r="O31" s="60">
        <f>'BAU Comparison - BD RD PM2.5'!N18</f>
        <v>-11.192839939615526</v>
      </c>
      <c r="P31" s="60">
        <f>'BAU Comparison - BD RD PM2.5'!O18</f>
        <v>-10.744400841691716</v>
      </c>
      <c r="Q31" s="60">
        <f>'BAU Comparison - BD RD PM2.5'!P18</f>
        <v>-10.343801824190356</v>
      </c>
      <c r="R31" s="60">
        <f>'BAU Comparison - BD RD PM2.5'!Q18</f>
        <v>-9.6456293168531619</v>
      </c>
      <c r="S31" s="60">
        <f>'BAU Comparison - BD RD PM2.5'!R18</f>
        <v>-9.1227091378008094</v>
      </c>
      <c r="T31" s="60">
        <f>'BAU Comparison - BD RD PM2.5'!S18</f>
        <v>-8.7043716735567873</v>
      </c>
      <c r="U31" s="60">
        <f>'BAU Comparison - BD RD PM2.5'!T18</f>
        <v>-8.7858912539212035</v>
      </c>
      <c r="V31" s="60">
        <f>'BAU Comparison - BD RD PM2.5'!U18</f>
        <v>-8.8320446716534402</v>
      </c>
      <c r="W31" s="60">
        <f>'BAU Comparison - BD RD PM2.5'!V18</f>
        <v>-8.5576210118511096</v>
      </c>
      <c r="X31" s="60">
        <f>'BAU Comparison - BD RD PM2.5'!W18</f>
        <v>-8.025276089710248</v>
      </c>
      <c r="Y31" s="60">
        <f>'BAU Comparison - BD RD PM2.5'!X18</f>
        <v>-7.7573765764031464</v>
      </c>
      <c r="Z31" s="60">
        <f>'BAU Comparison - BD RD PM2.5'!Y18</f>
        <v>-7.4566114713680749</v>
      </c>
      <c r="AA31" s="60">
        <f>'BAU Comparison - BD RD PM2.5'!Z18</f>
        <v>-7.2946024668588008</v>
      </c>
      <c r="AB31" s="61">
        <f>'BAU Comparison - BD RD PM2.5'!AA18</f>
        <v>-7.0036727855910392</v>
      </c>
    </row>
    <row r="32" spans="1:29" ht="15" customHeight="1">
      <c r="A32" s="520"/>
      <c r="B32" s="53" t="str">
        <f>'BAU Comparison - BD RD PM2.5'!B19</f>
        <v>San Diego</v>
      </c>
      <c r="C32" s="2" t="s">
        <v>240</v>
      </c>
      <c r="D32" s="393">
        <f>'BAU Comparison - BD RD PM2.5'!C19</f>
        <v>0</v>
      </c>
      <c r="E32" s="60">
        <f>'BAU Comparison - BD RD PM2.5'!D19</f>
        <v>0</v>
      </c>
      <c r="F32" s="60">
        <f>'BAU Comparison - BD RD PM2.5'!E19</f>
        <v>-4.8124598620640198</v>
      </c>
      <c r="G32" s="60">
        <f>'BAU Comparison - BD RD PM2.5'!F19</f>
        <v>-13.193965983884096</v>
      </c>
      <c r="H32" s="60">
        <f>'BAU Comparison - BD RD PM2.5'!G19</f>
        <v>-14.897875297112011</v>
      </c>
      <c r="I32" s="60">
        <f>'BAU Comparison - BD RD PM2.5'!H19</f>
        <v>-15.174687055874319</v>
      </c>
      <c r="J32" s="60">
        <f>'BAU Comparison - BD RD PM2.5'!I19</f>
        <v>-13.868880829603885</v>
      </c>
      <c r="K32" s="60">
        <f>'BAU Comparison - BD RD PM2.5'!J19</f>
        <v>-13.602115977271405</v>
      </c>
      <c r="L32" s="60">
        <f>'BAU Comparison - BD RD PM2.5'!K19</f>
        <v>-13.021604617455402</v>
      </c>
      <c r="M32" s="60">
        <f>'BAU Comparison - BD RD PM2.5'!L19</f>
        <v>-12.522113792187636</v>
      </c>
      <c r="N32" s="60">
        <f>'BAU Comparison - BD RD PM2.5'!M19</f>
        <v>-11.961366504860154</v>
      </c>
      <c r="O32" s="60">
        <f>'BAU Comparison - BD RD PM2.5'!N19</f>
        <v>-11.375338238692168</v>
      </c>
      <c r="P32" s="60">
        <f>'BAU Comparison - BD RD PM2.5'!O19</f>
        <v>-10.855910936633194</v>
      </c>
      <c r="Q32" s="60">
        <f>'BAU Comparison - BD RD PM2.5'!P19</f>
        <v>-10.269374577989584</v>
      </c>
      <c r="R32" s="60">
        <f>'BAU Comparison - BD RD PM2.5'!Q19</f>
        <v>-9.7148238525657273</v>
      </c>
      <c r="S32" s="60">
        <f>'BAU Comparison - BD RD PM2.5'!R19</f>
        <v>-9.1823920401321146</v>
      </c>
      <c r="T32" s="60">
        <f>'BAU Comparison - BD RD PM2.5'!S19</f>
        <v>-8.7008117942785628</v>
      </c>
      <c r="U32" s="60">
        <f>'BAU Comparison - BD RD PM2.5'!T19</f>
        <v>-8.8043568537204777</v>
      </c>
      <c r="V32" s="60">
        <f>'BAU Comparison - BD RD PM2.5'!U19</f>
        <v>-8.8412346655545253</v>
      </c>
      <c r="W32" s="60">
        <f>'BAU Comparison - BD RD PM2.5'!V19</f>
        <v>-8.5593355883770812</v>
      </c>
      <c r="X32" s="60">
        <f>'BAU Comparison - BD RD PM2.5'!W19</f>
        <v>-8.063568514704242</v>
      </c>
      <c r="Y32" s="60">
        <f>'BAU Comparison - BD RD PM2.5'!X19</f>
        <v>-7.8511793884335157</v>
      </c>
      <c r="Z32" s="60">
        <f>'BAU Comparison - BD RD PM2.5'!Y19</f>
        <v>-7.5822713085728903</v>
      </c>
      <c r="AA32" s="60">
        <f>'BAU Comparison - BD RD PM2.5'!Z19</f>
        <v>-7.3249827503741516</v>
      </c>
      <c r="AB32" s="61">
        <f>'BAU Comparison - BD RD PM2.5'!AA19</f>
        <v>-6.950121354635435</v>
      </c>
    </row>
    <row r="33" spans="1:29" ht="15" customHeight="1">
      <c r="A33" s="520"/>
      <c r="B33" s="53" t="str">
        <f>'BAU Comparison - BD RD PM2.5'!B20</f>
        <v>San Francisco</v>
      </c>
      <c r="C33" s="2" t="s">
        <v>240</v>
      </c>
      <c r="D33" s="393">
        <f>'BAU Comparison - BD RD PM2.5'!C20</f>
        <v>0</v>
      </c>
      <c r="E33" s="60">
        <f>'BAU Comparison - BD RD PM2.5'!D20</f>
        <v>0</v>
      </c>
      <c r="F33" s="60">
        <f>'BAU Comparison - BD RD PM2.5'!E20</f>
        <v>-13.078405313449181</v>
      </c>
      <c r="G33" s="60">
        <f>'BAU Comparison - BD RD PM2.5'!F20</f>
        <v>-36.578258475241697</v>
      </c>
      <c r="H33" s="60">
        <f>'BAU Comparison - BD RD PM2.5'!G20</f>
        <v>-41.924354147783966</v>
      </c>
      <c r="I33" s="60">
        <f>'BAU Comparison - BD RD PM2.5'!H20</f>
        <v>-43.084505076149803</v>
      </c>
      <c r="J33" s="60">
        <f>'BAU Comparison - BD RD PM2.5'!I20</f>
        <v>-39.803581005529793</v>
      </c>
      <c r="K33" s="60">
        <f>'BAU Comparison - BD RD PM2.5'!J20</f>
        <v>-39.459344979752338</v>
      </c>
      <c r="L33" s="60">
        <f>'BAU Comparison - BD RD PM2.5'!K20</f>
        <v>-38.691464221048015</v>
      </c>
      <c r="M33" s="60">
        <f>'BAU Comparison - BD RD PM2.5'!L20</f>
        <v>-37.466578402775767</v>
      </c>
      <c r="N33" s="60">
        <f>'BAU Comparison - BD RD PM2.5'!M20</f>
        <v>-36.148743574847657</v>
      </c>
      <c r="O33" s="60">
        <f>'BAU Comparison - BD RD PM2.5'!N20</f>
        <v>-34.746418546309606</v>
      </c>
      <c r="P33" s="60">
        <f>'BAU Comparison - BD RD PM2.5'!O20</f>
        <v>-33.520577217000906</v>
      </c>
      <c r="Q33" s="60">
        <f>'BAU Comparison - BD RD PM2.5'!P20</f>
        <v>-31.932924073009321</v>
      </c>
      <c r="R33" s="60">
        <f>'BAU Comparison - BD RD PM2.5'!Q20</f>
        <v>-30.492152822599227</v>
      </c>
      <c r="S33" s="60">
        <f>'BAU Comparison - BD RD PM2.5'!R20</f>
        <v>-29.125711080636862</v>
      </c>
      <c r="T33" s="60">
        <f>'BAU Comparison - BD RD PM2.5'!S20</f>
        <v>-27.844906173932358</v>
      </c>
      <c r="U33" s="60">
        <f>'BAU Comparison - BD RD PM2.5'!T20</f>
        <v>-28.428938380064697</v>
      </c>
      <c r="V33" s="60">
        <f>'BAU Comparison - BD RD PM2.5'!U20</f>
        <v>-28.756602635269285</v>
      </c>
      <c r="W33" s="60">
        <f>'BAU Comparison - BD RD PM2.5'!V20</f>
        <v>-28.022632091887829</v>
      </c>
      <c r="X33" s="60">
        <f>'BAU Comparison - BD RD PM2.5'!W20</f>
        <v>-26.576960185404538</v>
      </c>
      <c r="Y33" s="60">
        <f>'BAU Comparison - BD RD PM2.5'!X20</f>
        <v>-25.969040770150059</v>
      </c>
      <c r="Z33" s="60">
        <f>'BAU Comparison - BD RD PM2.5'!Y20</f>
        <v>-25.186379761841383</v>
      </c>
      <c r="AA33" s="60">
        <f>'BAU Comparison - BD RD PM2.5'!Z20</f>
        <v>-24.455799508327217</v>
      </c>
      <c r="AB33" s="61">
        <f>'BAU Comparison - BD RD PM2.5'!AA20</f>
        <v>-23.302862660171968</v>
      </c>
    </row>
    <row r="34" spans="1:29" ht="15" customHeight="1">
      <c r="A34" s="520"/>
      <c r="B34" s="53" t="str">
        <f>'BAU Comparison - BD RD PM2.5'!B21</f>
        <v>San Joaquin</v>
      </c>
      <c r="C34" s="2" t="s">
        <v>240</v>
      </c>
      <c r="D34" s="393">
        <f>'BAU Comparison - BD RD PM2.5'!C21</f>
        <v>0</v>
      </c>
      <c r="E34" s="60">
        <f>'BAU Comparison - BD RD PM2.5'!D21</f>
        <v>0</v>
      </c>
      <c r="F34" s="60">
        <f>'BAU Comparison - BD RD PM2.5'!E21</f>
        <v>-24.589128055940215</v>
      </c>
      <c r="G34" s="60">
        <f>'BAU Comparison - BD RD PM2.5'!F21</f>
        <v>-66.927808201120271</v>
      </c>
      <c r="H34" s="60">
        <f>'BAU Comparison - BD RD PM2.5'!G21</f>
        <v>-75.01017631925113</v>
      </c>
      <c r="I34" s="60">
        <f>'BAU Comparison - BD RD PM2.5'!H21</f>
        <v>-75.778731365699542</v>
      </c>
      <c r="J34" s="60">
        <f>'BAU Comparison - BD RD PM2.5'!I21</f>
        <v>-68.884528790131029</v>
      </c>
      <c r="K34" s="60">
        <f>'BAU Comparison - BD RD PM2.5'!J21</f>
        <v>-67.117885537611784</v>
      </c>
      <c r="L34" s="60">
        <f>'BAU Comparison - BD RD PM2.5'!K21</f>
        <v>-64.619163217309833</v>
      </c>
      <c r="M34" s="60">
        <f>'BAU Comparison - BD RD PM2.5'!L21</f>
        <v>-61.536311989368393</v>
      </c>
      <c r="N34" s="60">
        <f>'BAU Comparison - BD RD PM2.5'!M21</f>
        <v>-58.289767684947478</v>
      </c>
      <c r="O34" s="60">
        <f>'BAU Comparison - BD RD PM2.5'!N21</f>
        <v>-54.97009918891186</v>
      </c>
      <c r="P34" s="60">
        <f>'BAU Comparison - BD RD PM2.5'!O21</f>
        <v>-51.955835953789183</v>
      </c>
      <c r="Q34" s="60">
        <f>'BAU Comparison - BD RD PM2.5'!P21</f>
        <v>-48.85515528309061</v>
      </c>
      <c r="R34" s="60">
        <f>'BAU Comparison - BD RD PM2.5'!Q21</f>
        <v>-45.589850020819185</v>
      </c>
      <c r="S34" s="60">
        <f>'BAU Comparison - BD RD PM2.5'!R21</f>
        <v>-42.609736409035051</v>
      </c>
      <c r="T34" s="60">
        <f>'BAU Comparison - BD RD PM2.5'!S21</f>
        <v>-39.953575026980772</v>
      </c>
      <c r="U34" s="60">
        <f>'BAU Comparison - BD RD PM2.5'!T21</f>
        <v>-39.967226531244101</v>
      </c>
      <c r="V34" s="60">
        <f>'BAU Comparison - BD RD PM2.5'!U21</f>
        <v>-39.742292214976914</v>
      </c>
      <c r="W34" s="60">
        <f>'BAU Comparison - BD RD PM2.5'!V21</f>
        <v>-38.127477909874479</v>
      </c>
      <c r="X34" s="60">
        <f>'BAU Comparison - BD RD PM2.5'!W21</f>
        <v>-35.559247183723585</v>
      </c>
      <c r="Y34" s="60">
        <f>'BAU Comparison - BD RD PM2.5'!X21</f>
        <v>-34.263160685058487</v>
      </c>
      <c r="Z34" s="60">
        <f>'BAU Comparison - BD RD PM2.5'!Y21</f>
        <v>-32.74805620348414</v>
      </c>
      <c r="AA34" s="60">
        <f>'BAU Comparison - BD RD PM2.5'!Z21</f>
        <v>-31.556296850187923</v>
      </c>
      <c r="AB34" s="61">
        <f>'BAU Comparison - BD RD PM2.5'!AA21</f>
        <v>-29.854865534227084</v>
      </c>
    </row>
    <row r="35" spans="1:29" ht="15" customHeight="1">
      <c r="A35" s="520"/>
      <c r="B35" s="53" t="str">
        <f>'BAU Comparison - BD RD PM2.5'!B22</f>
        <v>South Central Coast</v>
      </c>
      <c r="C35" s="2" t="s">
        <v>240</v>
      </c>
      <c r="D35" s="393">
        <f>'BAU Comparison - BD RD PM2.5'!C22</f>
        <v>0</v>
      </c>
      <c r="E35" s="60">
        <f>'BAU Comparison - BD RD PM2.5'!D22</f>
        <v>0</v>
      </c>
      <c r="F35" s="60">
        <f>'BAU Comparison - BD RD PM2.5'!E22</f>
        <v>-3.8319211134967239</v>
      </c>
      <c r="G35" s="60">
        <f>'BAU Comparison - BD RD PM2.5'!F22</f>
        <v>-10.465110115843476</v>
      </c>
      <c r="H35" s="60">
        <f>'BAU Comparison - BD RD PM2.5'!G22</f>
        <v>-11.730970249284054</v>
      </c>
      <c r="I35" s="60">
        <f>'BAU Comparison - BD RD PM2.5'!H22</f>
        <v>-11.872102136377679</v>
      </c>
      <c r="J35" s="60">
        <f>'BAU Comparison - BD RD PM2.5'!I22</f>
        <v>-10.750918816863232</v>
      </c>
      <c r="K35" s="60">
        <f>'BAU Comparison - BD RD PM2.5'!J22</f>
        <v>-10.437177662805505</v>
      </c>
      <c r="L35" s="60">
        <f>'BAU Comparison - BD RD PM2.5'!K22</f>
        <v>-10.036524881392062</v>
      </c>
      <c r="M35" s="60">
        <f>'BAU Comparison - BD RD PM2.5'!L22</f>
        <v>-9.5512305358634642</v>
      </c>
      <c r="N35" s="60">
        <f>'BAU Comparison - BD RD PM2.5'!M22</f>
        <v>-9.0426798999626996</v>
      </c>
      <c r="O35" s="60">
        <f>'BAU Comparison - BD RD PM2.5'!N22</f>
        <v>-8.5074122265852008</v>
      </c>
      <c r="P35" s="60">
        <f>'BAU Comparison - BD RD PM2.5'!O22</f>
        <v>-8.0486533142155992</v>
      </c>
      <c r="Q35" s="60">
        <f>'BAU Comparison - BD RD PM2.5'!P22</f>
        <v>-7.5484232659074717</v>
      </c>
      <c r="R35" s="60">
        <f>'BAU Comparison - BD RD PM2.5'!Q22</f>
        <v>-7.0600046806045933</v>
      </c>
      <c r="S35" s="60">
        <f>'BAU Comparison - BD RD PM2.5'!R22</f>
        <v>-6.6026480601274642</v>
      </c>
      <c r="T35" s="60">
        <f>'BAU Comparison - BD RD PM2.5'!S22</f>
        <v>-6.202769320666512</v>
      </c>
      <c r="U35" s="60">
        <f>'BAU Comparison - BD RD PM2.5'!T22</f>
        <v>-6.2089369419518823</v>
      </c>
      <c r="V35" s="60">
        <f>'BAU Comparison - BD RD PM2.5'!U22</f>
        <v>-6.1629524398030471</v>
      </c>
      <c r="W35" s="60">
        <f>'BAU Comparison - BD RD PM2.5'!V22</f>
        <v>-5.8940087297880215</v>
      </c>
      <c r="X35" s="60">
        <f>'BAU Comparison - BD RD PM2.5'!W22</f>
        <v>-5.4898484234940828</v>
      </c>
      <c r="Y35" s="60">
        <f>'BAU Comparison - BD RD PM2.5'!X22</f>
        <v>-5.2585318837956132</v>
      </c>
      <c r="Z35" s="60">
        <f>'BAU Comparison - BD RD PM2.5'!Y22</f>
        <v>-4.9973445510533372</v>
      </c>
      <c r="AA35" s="60">
        <f>'BAU Comparison - BD RD PM2.5'!Z22</f>
        <v>-4.7645885726779733</v>
      </c>
      <c r="AB35" s="61">
        <f>'BAU Comparison - BD RD PM2.5'!AA22</f>
        <v>-4.4645040251054739</v>
      </c>
    </row>
    <row r="36" spans="1:29" ht="15" customHeight="1">
      <c r="A36" s="520"/>
      <c r="B36" s="53" t="str">
        <f>'BAU Comparison - BD RD PM2.5'!B23</f>
        <v>South Coast</v>
      </c>
      <c r="C36" s="2" t="s">
        <v>240</v>
      </c>
      <c r="D36" s="394">
        <f>'BAU Comparison - BD RD PM2.5'!C23</f>
        <v>0</v>
      </c>
      <c r="E36" s="64">
        <f>'BAU Comparison - BD RD PM2.5'!D23</f>
        <v>0</v>
      </c>
      <c r="F36" s="64">
        <f>'BAU Comparison - BD RD PM2.5'!E23</f>
        <v>-23.246077980117782</v>
      </c>
      <c r="G36" s="64">
        <f>'BAU Comparison - BD RD PM2.5'!F23</f>
        <v>-63.598054853560761</v>
      </c>
      <c r="H36" s="64">
        <f>'BAU Comparison - BD RD PM2.5'!G23</f>
        <v>-72.484939198926256</v>
      </c>
      <c r="I36" s="64">
        <f>'BAU Comparison - BD RD PM2.5'!H23</f>
        <v>-74.415158827177905</v>
      </c>
      <c r="J36" s="64">
        <f>'BAU Comparison - BD RD PM2.5'!I23</f>
        <v>-68.825521459975519</v>
      </c>
      <c r="K36" s="64">
        <f>'BAU Comparison - BD RD PM2.5'!J23</f>
        <v>-68.237359282392603</v>
      </c>
      <c r="L36" s="64">
        <f>'BAU Comparison - BD RD PM2.5'!K23</f>
        <v>-67.070949222000593</v>
      </c>
      <c r="M36" s="64">
        <f>'BAU Comparison - BD RD PM2.5'!L23</f>
        <v>-65.452025823559666</v>
      </c>
      <c r="N36" s="64">
        <f>'BAU Comparison - BD RD PM2.5'!M23</f>
        <v>-63.3898733967117</v>
      </c>
      <c r="O36" s="64">
        <f>'BAU Comparison - BD RD PM2.5'!N23</f>
        <v>-60.80749291525273</v>
      </c>
      <c r="P36" s="64">
        <f>'BAU Comparison - BD RD PM2.5'!O23</f>
        <v>-58.321346796871332</v>
      </c>
      <c r="Q36" s="64">
        <f>'BAU Comparison - BD RD PM2.5'!P23</f>
        <v>-55.927710406747529</v>
      </c>
      <c r="R36" s="64">
        <f>'BAU Comparison - BD RD PM2.5'!Q23</f>
        <v>-52.953736321919841</v>
      </c>
      <c r="S36" s="64">
        <f>'BAU Comparison - BD RD PM2.5'!R23</f>
        <v>-50.323686342008699</v>
      </c>
      <c r="T36" s="64">
        <f>'BAU Comparison - BD RD PM2.5'!S23</f>
        <v>-48.135355875939609</v>
      </c>
      <c r="U36" s="64">
        <f>'BAU Comparison - BD RD PM2.5'!T23</f>
        <v>-49.074846256328861</v>
      </c>
      <c r="V36" s="64">
        <f>'BAU Comparison - BD RD PM2.5'!U23</f>
        <v>-49.686505469314547</v>
      </c>
      <c r="W36" s="64">
        <f>'BAU Comparison - BD RD PM2.5'!V23</f>
        <v>-48.501448862079457</v>
      </c>
      <c r="X36" s="64">
        <f>'BAU Comparison - BD RD PM2.5'!W23</f>
        <v>-45.916127241859307</v>
      </c>
      <c r="Y36" s="64">
        <f>'BAU Comparison - BD RD PM2.5'!X23</f>
        <v>-44.79003244336608</v>
      </c>
      <c r="Z36" s="64">
        <f>'BAU Comparison - BD RD PM2.5'!Y23</f>
        <v>-43.359935813396817</v>
      </c>
      <c r="AA36" s="64">
        <f>'BAU Comparison - BD RD PM2.5'!Z23</f>
        <v>-42.144353882854631</v>
      </c>
      <c r="AB36" s="65">
        <f>'BAU Comparison - BD RD PM2.5'!AA23</f>
        <v>-40.208456908122173</v>
      </c>
    </row>
    <row r="37" spans="1:29" ht="15" customHeight="1">
      <c r="A37" s="520"/>
      <c r="B37" s="72" t="s">
        <v>270</v>
      </c>
      <c r="C37" s="72" t="s">
        <v>240</v>
      </c>
      <c r="D37" s="175">
        <f>'BAU Comparison - BD RD PM2.5'!C24</f>
        <v>0</v>
      </c>
      <c r="E37" s="175">
        <f>'BAU Comparison - BD RD PM2.5'!D24</f>
        <v>0</v>
      </c>
      <c r="F37" s="175">
        <f>'BAU Comparison - BD RD PM2.5'!E24</f>
        <v>-101.12130273832463</v>
      </c>
      <c r="G37" s="175">
        <f>'BAU Comparison - BD RD PM2.5'!F24</f>
        <v>-277.63921185985964</v>
      </c>
      <c r="H37" s="175">
        <f>'BAU Comparison - BD RD PM2.5'!G24</f>
        <v>-314.5404866089475</v>
      </c>
      <c r="I37" s="175">
        <f>'BAU Comparison - BD RD PM2.5'!H24</f>
        <v>-321.48526123718239</v>
      </c>
      <c r="J37" s="175">
        <f>'BAU Comparison - BD RD PM2.5'!I24</f>
        <v>-295.12372736157204</v>
      </c>
      <c r="K37" s="175">
        <f>'BAU Comparison - BD RD PM2.5'!J24</f>
        <v>-290.68520950193624</v>
      </c>
      <c r="L37" s="175">
        <f>'BAU Comparison - BD RD PM2.5'!K24</f>
        <v>-283.00725422858204</v>
      </c>
      <c r="M37" s="175">
        <f>'BAU Comparison - BD RD PM2.5'!L24</f>
        <v>-272.42906494346903</v>
      </c>
      <c r="N37" s="175">
        <f>'BAU Comparison - BD RD PM2.5'!M24</f>
        <v>-260.5698468946357</v>
      </c>
      <c r="O37" s="175">
        <f>'BAU Comparison - BD RD PM2.5'!N24</f>
        <v>-247.90791783212967</v>
      </c>
      <c r="P37" s="175">
        <f>'BAU Comparison - BD RD PM2.5'!O24</f>
        <v>-236.04915550213195</v>
      </c>
      <c r="Q37" s="175">
        <f>'BAU Comparison - BD RD PM2.5'!P24</f>
        <v>-223.95548218489694</v>
      </c>
      <c r="R37" s="175">
        <f>'BAU Comparison - BD RD PM2.5'!Q24</f>
        <v>-209.95362391501612</v>
      </c>
      <c r="S37" s="175">
        <f>'BAU Comparison - BD RD PM2.5'!R24</f>
        <v>-197.60926784074513</v>
      </c>
      <c r="T37" s="175">
        <f>'BAU Comparison - BD RD PM2.5'!S24</f>
        <v>-186.88400842216015</v>
      </c>
      <c r="U37" s="175">
        <f>'BAU Comparison - BD RD PM2.5'!T24</f>
        <v>-188.39452167521995</v>
      </c>
      <c r="V37" s="175">
        <f>'BAU Comparison - BD RD PM2.5'!U24</f>
        <v>-188.54004698824224</v>
      </c>
      <c r="W37" s="175">
        <f>'BAU Comparison - BD RD PM2.5'!V24</f>
        <v>-181.91890152360952</v>
      </c>
      <c r="X37" s="175">
        <f>'BAU Comparison - BD RD PM2.5'!W24</f>
        <v>-170.56986861996984</v>
      </c>
      <c r="Y37" s="175">
        <f>'BAU Comparison - BD RD PM2.5'!X24</f>
        <v>-164.87169137760577</v>
      </c>
      <c r="Z37" s="175">
        <f>'BAU Comparison - BD RD PM2.5'!Y24</f>
        <v>-158.18879911406975</v>
      </c>
      <c r="AA37" s="175">
        <f>'BAU Comparison - BD RD PM2.5'!Z24</f>
        <v>-152.99314922086296</v>
      </c>
      <c r="AB37" s="175">
        <f>'BAU Comparison - BD RD PM2.5'!AA24</f>
        <v>-145.24564716774944</v>
      </c>
      <c r="AC37" s="101"/>
    </row>
    <row r="38" spans="1:29" ht="15" customHeight="1">
      <c r="A38" s="520"/>
      <c r="B38" s="2"/>
      <c r="C38" s="2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29" ht="15.75" customHeight="1">
      <c r="A39" s="520"/>
      <c r="B39" s="86"/>
      <c r="C39" s="86"/>
      <c r="D39" s="519" t="s">
        <v>18952</v>
      </c>
      <c r="E39" s="519"/>
      <c r="F39" s="519"/>
      <c r="G39" s="519"/>
      <c r="H39" s="519"/>
      <c r="I39" s="519"/>
      <c r="J39" s="519"/>
      <c r="K39" s="519"/>
      <c r="L39" s="519"/>
      <c r="M39" s="519"/>
      <c r="N39" s="519"/>
      <c r="O39" s="519"/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</row>
    <row r="40" spans="1:29" ht="15" customHeight="1">
      <c r="A40" s="520"/>
      <c r="B40" s="91" t="s">
        <v>18814</v>
      </c>
      <c r="C40" s="90" t="str">
        <f>'BAU Comparison - AJF'!B25</f>
        <v>Units</v>
      </c>
      <c r="D40" s="156">
        <f>'BAU Comparison - AJF'!C25</f>
        <v>2022</v>
      </c>
      <c r="E40" s="156">
        <f>'BAU Comparison - AJF'!D25</f>
        <v>2023</v>
      </c>
      <c r="F40" s="156">
        <f>'BAU Comparison - AJF'!E25</f>
        <v>2024</v>
      </c>
      <c r="G40" s="156">
        <f>'BAU Comparison - AJF'!F25</f>
        <v>2025</v>
      </c>
      <c r="H40" s="156">
        <f>'BAU Comparison - AJF'!G25</f>
        <v>2026</v>
      </c>
      <c r="I40" s="156">
        <f>'BAU Comparison - AJF'!H25</f>
        <v>2027</v>
      </c>
      <c r="J40" s="156">
        <f>'BAU Comparison - AJF'!I25</f>
        <v>2028</v>
      </c>
      <c r="K40" s="156">
        <f>'BAU Comparison - AJF'!J25</f>
        <v>2029</v>
      </c>
      <c r="L40" s="157">
        <f>'BAU Comparison - AJF'!K25</f>
        <v>2030</v>
      </c>
      <c r="M40" s="156">
        <f>'BAU Comparison - AJF'!L25</f>
        <v>2031</v>
      </c>
      <c r="N40" s="156">
        <f>'BAU Comparison - AJF'!M25</f>
        <v>2032</v>
      </c>
      <c r="O40" s="156">
        <f>'BAU Comparison - AJF'!N25</f>
        <v>2033</v>
      </c>
      <c r="P40" s="156">
        <f>'BAU Comparison - AJF'!O25</f>
        <v>2034</v>
      </c>
      <c r="Q40" s="156">
        <f>'BAU Comparison - AJF'!P25</f>
        <v>2035</v>
      </c>
      <c r="R40" s="156">
        <f>'BAU Comparison - AJF'!Q25</f>
        <v>2036</v>
      </c>
      <c r="S40" s="156">
        <f>'BAU Comparison - AJF'!R25</f>
        <v>2037</v>
      </c>
      <c r="T40" s="156">
        <f>'BAU Comparison - AJF'!S25</f>
        <v>2038</v>
      </c>
      <c r="U40" s="157">
        <f>'BAU Comparison - AJF'!T25</f>
        <v>2039</v>
      </c>
      <c r="V40" s="156">
        <f>'BAU Comparison - AJF'!U25</f>
        <v>2040</v>
      </c>
      <c r="W40" s="156">
        <f>'BAU Comparison - AJF'!V25</f>
        <v>2041</v>
      </c>
      <c r="X40" s="156">
        <f>'BAU Comparison - AJF'!W25</f>
        <v>2042</v>
      </c>
      <c r="Y40" s="156">
        <f>'BAU Comparison - AJF'!X25</f>
        <v>2043</v>
      </c>
      <c r="Z40" s="156">
        <f>'BAU Comparison - AJF'!Y25</f>
        <v>2044</v>
      </c>
      <c r="AA40" s="156">
        <f>'BAU Comparison - AJF'!Z25</f>
        <v>2045</v>
      </c>
      <c r="AB40" s="156">
        <f>'BAU Comparison - AJF'!AA25</f>
        <v>2046</v>
      </c>
    </row>
    <row r="41" spans="1:29" ht="15" customHeight="1">
      <c r="A41" s="520"/>
      <c r="B41" s="2" t="str">
        <f>'BAU Comparison - AJF'!A26</f>
        <v>Great Basin Valleys</v>
      </c>
      <c r="C41" s="2" t="str">
        <f>'BAU Comparison - AJF'!B26</f>
        <v>tons/year</v>
      </c>
      <c r="D41" s="104">
        <f>'BAU Comparison - AJF'!AC26</f>
        <v>0</v>
      </c>
      <c r="E41" s="79">
        <f>'BAU Comparison - AJF'!AD26</f>
        <v>3.329545769001518E-17</v>
      </c>
      <c r="F41" s="79">
        <f>'BAU Comparison - AJF'!AE26</f>
        <v>-3.3635418325468271E-2</v>
      </c>
      <c r="G41" s="79">
        <f>'BAU Comparison - AJF'!AF26</f>
        <v>-5.3295226379393726E-2</v>
      </c>
      <c r="H41" s="79">
        <f>'BAU Comparison - AJF'!AG26</f>
        <v>-6.8461217647638364E-2</v>
      </c>
      <c r="I41" s="79">
        <f>'BAU Comparison - AJF'!AH26</f>
        <v>-8.3220772081139704E-2</v>
      </c>
      <c r="J41" s="79">
        <f>'BAU Comparison - AJF'!AI26</f>
        <v>-9.8191321942061691E-2</v>
      </c>
      <c r="K41" s="79">
        <f>'BAU Comparison - AJF'!AJ26</f>
        <v>-0.11252374809866854</v>
      </c>
      <c r="L41" s="79">
        <f>'BAU Comparison - AJF'!AK26</f>
        <v>-0.12625400191689706</v>
      </c>
      <c r="M41" s="79">
        <f>'BAU Comparison - AJF'!AL26</f>
        <v>-0.14065449711414527</v>
      </c>
      <c r="N41" s="79">
        <f>'BAU Comparison - AJF'!AM26</f>
        <v>-0.15462898916555443</v>
      </c>
      <c r="O41" s="79">
        <f>'BAU Comparison - AJF'!AN26</f>
        <v>-0.16888591723148011</v>
      </c>
      <c r="P41" s="79">
        <f>'BAU Comparison - AJF'!AO26</f>
        <v>-0.18258505416054685</v>
      </c>
      <c r="Q41" s="79">
        <f>'BAU Comparison - AJF'!AP26</f>
        <v>-0.19663595501823256</v>
      </c>
      <c r="R41" s="79">
        <f>'BAU Comparison - AJF'!AQ26</f>
        <v>-0.21001648641584508</v>
      </c>
      <c r="S41" s="79">
        <f>'BAU Comparison - AJF'!AR26</f>
        <v>-0.22381403601276573</v>
      </c>
      <c r="T41" s="79">
        <f>'BAU Comparison - AJF'!AS26</f>
        <v>-0.2369499846076174</v>
      </c>
      <c r="U41" s="79">
        <f>'BAU Comparison - AJF'!AT26</f>
        <v>-0.25070393122721629</v>
      </c>
      <c r="V41" s="79">
        <f>'BAU Comparison - AJF'!AU26</f>
        <v>-0.26368066122854938</v>
      </c>
      <c r="W41" s="79">
        <f>'BAU Comparison - AJF'!AV26</f>
        <v>-0.27710847300980279</v>
      </c>
      <c r="X41" s="79">
        <f>'BAU Comparison - AJF'!AW26</f>
        <v>-0.28965336012230197</v>
      </c>
      <c r="Y41" s="79">
        <f>'BAU Comparison - AJF'!AX26</f>
        <v>-0.3028599963454176</v>
      </c>
      <c r="Z41" s="79">
        <f>'BAU Comparison - AJF'!AY26</f>
        <v>-0.31516425680648374</v>
      </c>
      <c r="AA41" s="79">
        <f>'BAU Comparison - AJF'!AZ26</f>
        <v>-0.32810928403964362</v>
      </c>
      <c r="AB41" s="80">
        <f>'BAU Comparison - AJF'!BA26</f>
        <v>-0.34009524327703389</v>
      </c>
    </row>
    <row r="42" spans="1:29" ht="15" customHeight="1">
      <c r="A42" s="520"/>
      <c r="B42" s="2" t="str">
        <f>'BAU Comparison - AJF'!A27</f>
        <v xml:space="preserve">Lake County </v>
      </c>
      <c r="C42" s="2" t="str">
        <f>'BAU Comparison - AJF'!B27</f>
        <v>tons/year</v>
      </c>
      <c r="D42" s="393">
        <f>'BAU Comparison - AJF'!AC27</f>
        <v>0</v>
      </c>
      <c r="E42" s="60">
        <f>'BAU Comparison - AJF'!AD27</f>
        <v>5.1235679042181181E-19</v>
      </c>
      <c r="F42" s="60">
        <f>'BAU Comparison - AJF'!AE27</f>
        <v>-5.175881688780612E-4</v>
      </c>
      <c r="G42" s="60">
        <f>'BAU Comparison - AJF'!AF27</f>
        <v>-8.2011700775444724E-4</v>
      </c>
      <c r="H42" s="60">
        <f>'BAU Comparison - AJF'!AG27</f>
        <v>-1.0534941453239743E-3</v>
      </c>
      <c r="I42" s="60">
        <f>'BAU Comparison - AJF'!AH27</f>
        <v>-1.280616956129262E-3</v>
      </c>
      <c r="J42" s="60">
        <f>'BAU Comparison - AJF'!AI27</f>
        <v>-1.5109866044159079E-3</v>
      </c>
      <c r="K42" s="60">
        <f>'BAU Comparison - AJF'!AJ27</f>
        <v>-1.7315366846377771E-3</v>
      </c>
      <c r="L42" s="60">
        <f>'BAU Comparison - AJF'!AK27</f>
        <v>-1.9428204232029335E-3</v>
      </c>
      <c r="M42" s="60">
        <f>'BAU Comparison - AJF'!AL27</f>
        <v>-2.164417962676296E-3</v>
      </c>
      <c r="N42" s="60">
        <f>'BAU Comparison - AJF'!AM27</f>
        <v>-2.3794600852953905E-3</v>
      </c>
      <c r="O42" s="60">
        <f>'BAU Comparison - AJF'!AN27</f>
        <v>-2.5988483866408586E-3</v>
      </c>
      <c r="P42" s="60">
        <f>'BAU Comparison - AJF'!AO27</f>
        <v>-2.8096532926395047E-3</v>
      </c>
      <c r="Q42" s="60">
        <f>'BAU Comparison - AJF'!AP27</f>
        <v>-3.0258712083985613E-3</v>
      </c>
      <c r="R42" s="60">
        <f>'BAU Comparison - AJF'!AQ27</f>
        <v>-3.2317733523139739E-3</v>
      </c>
      <c r="S42" s="60">
        <f>'BAU Comparison - AJF'!AR27</f>
        <v>-3.4440926510297264E-3</v>
      </c>
      <c r="T42" s="60">
        <f>'BAU Comparison - AJF'!AS27</f>
        <v>-3.6462311085894319E-3</v>
      </c>
      <c r="U42" s="60">
        <f>'BAU Comparison - AJF'!AT27</f>
        <v>-3.8578794364562056E-3</v>
      </c>
      <c r="V42" s="60">
        <f>'BAU Comparison - AJF'!AU27</f>
        <v>-4.0575678082321346E-3</v>
      </c>
      <c r="W42" s="60">
        <f>'BAU Comparison - AJF'!AV27</f>
        <v>-4.264197511619403E-3</v>
      </c>
      <c r="X42" s="60">
        <f>'BAU Comparison - AJF'!AW27</f>
        <v>-4.4572406034730852E-3</v>
      </c>
      <c r="Y42" s="60">
        <f>'BAU Comparison - AJF'!AX27</f>
        <v>-4.6604668156051141E-3</v>
      </c>
      <c r="Z42" s="60">
        <f>'BAU Comparison - AJF'!AY27</f>
        <v>-4.8498070991067985E-3</v>
      </c>
      <c r="AA42" s="60">
        <f>'BAU Comparison - AJF'!AZ27</f>
        <v>-5.0490076226993525E-3</v>
      </c>
      <c r="AB42" s="61">
        <f>'BAU Comparison - AJF'!BA27</f>
        <v>-5.2334498268633628E-3</v>
      </c>
    </row>
    <row r="43" spans="1:29" ht="15" customHeight="1">
      <c r="A43" s="520"/>
      <c r="B43" s="2" t="str">
        <f>'BAU Comparison - AJF'!A28</f>
        <v xml:space="preserve">Lake Tahoe </v>
      </c>
      <c r="C43" s="2" t="str">
        <f>'BAU Comparison - AJF'!B28</f>
        <v>tons/year</v>
      </c>
      <c r="D43" s="393">
        <f>'BAU Comparison - AJF'!AC28</f>
        <v>0</v>
      </c>
      <c r="E43" s="60">
        <f>'BAU Comparison - AJF'!AD28</f>
        <v>2.0949592462700159E-16</v>
      </c>
      <c r="F43" s="60">
        <f>'BAU Comparison - AJF'!AE28</f>
        <v>-0.21444166127343431</v>
      </c>
      <c r="G43" s="60">
        <f>'BAU Comparison - AJF'!AF28</f>
        <v>-0.34423250857557425</v>
      </c>
      <c r="H43" s="60">
        <f>'BAU Comparison - AJF'!AG28</f>
        <v>-0.44790198064609898</v>
      </c>
      <c r="I43" s="60">
        <f>'BAU Comparison - AJF'!AH28</f>
        <v>-0.55141433124199779</v>
      </c>
      <c r="J43" s="60">
        <f>'BAU Comparison - AJF'!AI28</f>
        <v>-0.6588015631978219</v>
      </c>
      <c r="K43" s="60">
        <f>'BAU Comparison - AJF'!AJ28</f>
        <v>-0.76435909950538561</v>
      </c>
      <c r="L43" s="60">
        <f>'BAU Comparison - AJF'!AK28</f>
        <v>-0.86816946745224521</v>
      </c>
      <c r="M43" s="60">
        <f>'BAU Comparison - AJF'!AL28</f>
        <v>-0.9789376578661515</v>
      </c>
      <c r="N43" s="60">
        <f>'BAU Comparison - AJF'!AM28</f>
        <v>-1.089101328776354</v>
      </c>
      <c r="O43" s="60">
        <f>'BAU Comparison - AJF'!AN28</f>
        <v>-1.203619854116299</v>
      </c>
      <c r="P43" s="60">
        <f>'BAU Comparison - AJF'!AO28</f>
        <v>-1.3164975082783197</v>
      </c>
      <c r="Q43" s="60">
        <f>'BAU Comparison - AJF'!AP28</f>
        <v>-1.4342286976351626</v>
      </c>
      <c r="R43" s="60">
        <f>'BAU Comparison - AJF'!AQ28</f>
        <v>-1.5493365358416007</v>
      </c>
      <c r="S43" s="60">
        <f>'BAU Comparison - AJF'!AR28</f>
        <v>-1.6698130864035858</v>
      </c>
      <c r="T43" s="60">
        <f>'BAU Comparison - AJF'!AS28</f>
        <v>-1.7876026392333226</v>
      </c>
      <c r="U43" s="60">
        <f>'BAU Comparison - AJF'!AT28</f>
        <v>-1.9122998835267089</v>
      </c>
      <c r="V43" s="60">
        <f>'BAU Comparison - AJF'!AU28</f>
        <v>-2.0332855076467098</v>
      </c>
      <c r="W43" s="60">
        <f>'BAU Comparison - AJF'!AV28</f>
        <v>-2.1599689070931909</v>
      </c>
      <c r="X43" s="60">
        <f>'BAU Comparison - AJF'!AW28</f>
        <v>-2.2819389912195986</v>
      </c>
      <c r="Y43" s="60">
        <f>'BAU Comparison - AJF'!AX28</f>
        <v>-2.4112727703924</v>
      </c>
      <c r="Z43" s="60">
        <f>'BAU Comparison - AJF'!AY28</f>
        <v>-2.5355340548896281</v>
      </c>
      <c r="AA43" s="60">
        <f>'BAU Comparison - AJF'!AZ28</f>
        <v>-2.6670763548993337</v>
      </c>
      <c r="AB43" s="61">
        <f>'BAU Comparison - AJF'!BA28</f>
        <v>-2.7928848094906291</v>
      </c>
    </row>
    <row r="44" spans="1:29" ht="15" customHeight="1">
      <c r="A44" s="520"/>
      <c r="B44" s="2" t="str">
        <f>'BAU Comparison - AJF'!A29</f>
        <v>Mojave Desert</v>
      </c>
      <c r="C44" s="2" t="str">
        <f>'BAU Comparison - AJF'!B29</f>
        <v>tons/year</v>
      </c>
      <c r="D44" s="393">
        <f>'BAU Comparison - AJF'!AC29</f>
        <v>0</v>
      </c>
      <c r="E44" s="60">
        <f>'BAU Comparison - AJF'!AD29</f>
        <v>5.8587476960834512E-15</v>
      </c>
      <c r="F44" s="60">
        <f>'BAU Comparison - AJF'!AE29</f>
        <v>-5.9212828721552748</v>
      </c>
      <c r="G44" s="60">
        <f>'BAU Comparison - AJF'!AF29</f>
        <v>-9.3864341249628147</v>
      </c>
      <c r="H44" s="60">
        <f>'BAU Comparison - AJF'!AG29</f>
        <v>-12.062448332215432</v>
      </c>
      <c r="I44" s="60">
        <f>'BAU Comparison - AJF'!AH29</f>
        <v>-14.669017808396847</v>
      </c>
      <c r="J44" s="60">
        <f>'BAU Comparison - AJF'!AI29</f>
        <v>-17.314823137720122</v>
      </c>
      <c r="K44" s="60">
        <f>'BAU Comparison - AJF'!AJ29</f>
        <v>-19.849820358732433</v>
      </c>
      <c r="L44" s="60">
        <f>'BAU Comparison - AJF'!AK29</f>
        <v>-22.280235287699949</v>
      </c>
      <c r="M44" s="60">
        <f>'BAU Comparison - AJF'!AL29</f>
        <v>-24.830513237190701</v>
      </c>
      <c r="N44" s="60">
        <f>'BAU Comparison - AJF'!AM29</f>
        <v>-27.306674959755245</v>
      </c>
      <c r="O44" s="60">
        <f>'BAU Comparison - AJF'!AN29</f>
        <v>-29.834495076360788</v>
      </c>
      <c r="P44" s="60">
        <f>'BAU Comparison - AJF'!AO29</f>
        <v>-32.264976961216043</v>
      </c>
      <c r="Q44" s="60">
        <f>'BAU Comparison - AJF'!AP29</f>
        <v>-34.758810581879793</v>
      </c>
      <c r="R44" s="60">
        <f>'BAU Comparison - AJF'!AQ29</f>
        <v>-37.135478306202295</v>
      </c>
      <c r="S44" s="60">
        <f>'BAU Comparison - AJF'!AR29</f>
        <v>-39.586881804249217</v>
      </c>
      <c r="T44" s="60">
        <f>'BAU Comparison - AJF'!AS29</f>
        <v>-41.922273863434853</v>
      </c>
      <c r="U44" s="60">
        <f>'BAU Comparison - AJF'!AT29</f>
        <v>-44.367491505839958</v>
      </c>
      <c r="V44" s="60">
        <f>'BAU Comparison - AJF'!AU29</f>
        <v>-46.676300184093215</v>
      </c>
      <c r="W44" s="60">
        <f>'BAU Comparison - AJF'!AV29</f>
        <v>-49.06501514311109</v>
      </c>
      <c r="X44" s="60">
        <f>'BAU Comparison - AJF'!AW29</f>
        <v>-51.298247547164848</v>
      </c>
      <c r="Y44" s="60">
        <f>'BAU Comparison - AJF'!AX29</f>
        <v>-53.649306687849219</v>
      </c>
      <c r="Z44" s="60">
        <f>'BAU Comparison - AJF'!AY29</f>
        <v>-55.840258012461796</v>
      </c>
      <c r="AA44" s="60">
        <f>'BAU Comparison - AJF'!AZ29</f>
        <v>-58.145248214517608</v>
      </c>
      <c r="AB44" s="61">
        <f>'BAU Comparison - AJF'!BA29</f>
        <v>-60.27998104237939</v>
      </c>
    </row>
    <row r="45" spans="1:29" ht="15" customHeight="1">
      <c r="A45" s="520"/>
      <c r="B45" s="2" t="str">
        <f>'BAU Comparison - AJF'!A30</f>
        <v xml:space="preserve">Mountain Counties </v>
      </c>
      <c r="C45" s="2" t="str">
        <f>'BAU Comparison - AJF'!B30</f>
        <v>tons/year</v>
      </c>
      <c r="D45" s="393">
        <f>'BAU Comparison - AJF'!AC30</f>
        <v>0</v>
      </c>
      <c r="E45" s="60">
        <f>'BAU Comparison - AJF'!AD30</f>
        <v>1.2025883911032716E-17</v>
      </c>
      <c r="F45" s="60">
        <f>'BAU Comparison - AJF'!AE30</f>
        <v>-1.2158439061380871E-2</v>
      </c>
      <c r="G45" s="60">
        <f>'BAU Comparison - AJF'!AF30</f>
        <v>-1.9280486635132859E-2</v>
      </c>
      <c r="H45" s="60">
        <f>'BAU Comparison - AJF'!AG30</f>
        <v>-2.4786928287150872E-2</v>
      </c>
      <c r="I45" s="60">
        <f>'BAU Comparison - AJF'!AH30</f>
        <v>-3.0154904929232434E-2</v>
      </c>
      <c r="J45" s="60">
        <f>'BAU Comparison - AJF'!AI30</f>
        <v>-3.5613669174270793E-2</v>
      </c>
      <c r="K45" s="60">
        <f>'BAU Comparison - AJF'!AJ30</f>
        <v>-4.0844663455361301E-2</v>
      </c>
      <c r="L45" s="60">
        <f>'BAU Comparison - AJF'!AK30</f>
        <v>-4.5865224783236049E-2</v>
      </c>
      <c r="M45" s="60">
        <f>'BAU Comparison - AJF'!AL30</f>
        <v>-5.1137437223835056E-2</v>
      </c>
      <c r="N45" s="60">
        <f>'BAU Comparison - AJF'!AM30</f>
        <v>-5.6263007148909132E-2</v>
      </c>
      <c r="O45" s="60">
        <f>'BAU Comparison - AJF'!AN30</f>
        <v>-6.150934747551496E-2</v>
      </c>
      <c r="P45" s="60">
        <f>'BAU Comparison - AJF'!AO30</f>
        <v>-6.6551674407162906E-2</v>
      </c>
      <c r="Q45" s="60">
        <f>'BAU Comparison - AJF'!AP30</f>
        <v>-7.1730275211923641E-2</v>
      </c>
      <c r="R45" s="60">
        <f>'BAU Comparison - AJF'!AQ30</f>
        <v>-7.6672298362256433E-2</v>
      </c>
      <c r="S45" s="60">
        <f>'BAU Comparison - AJF'!AR30</f>
        <v>-8.1774456453883163E-2</v>
      </c>
      <c r="T45" s="60">
        <f>'BAU Comparison - AJF'!AS30</f>
        <v>-8.6656466120363179E-2</v>
      </c>
      <c r="U45" s="60">
        <f>'BAU Comparison - AJF'!AT30</f>
        <v>-9.1759298445220613E-2</v>
      </c>
      <c r="V45" s="60">
        <f>'BAU Comparison - AJF'!AU30</f>
        <v>-9.6585425412559642E-2</v>
      </c>
      <c r="W45" s="60">
        <f>'BAU Comparison - AJF'!AV30</f>
        <v>-0.1015844486447294</v>
      </c>
      <c r="X45" s="60">
        <f>'BAU Comparison - AJF'!AW30</f>
        <v>-0.10626734389714323</v>
      </c>
      <c r="Y45" s="60">
        <f>'BAU Comparison - AJF'!AX30</f>
        <v>-0.11120049688706088</v>
      </c>
      <c r="Z45" s="60">
        <f>'BAU Comparison - AJF'!AY30</f>
        <v>-0.11582803445376201</v>
      </c>
      <c r="AA45" s="60">
        <f>'BAU Comparison - AJF'!AZ30</f>
        <v>-0.12068080861199133</v>
      </c>
      <c r="AB45" s="61">
        <f>'BAU Comparison - AJF'!BA30</f>
        <v>-0.12518806963202586</v>
      </c>
    </row>
    <row r="46" spans="1:29" ht="15" customHeight="1">
      <c r="A46" s="520"/>
      <c r="B46" s="2" t="str">
        <f>'BAU Comparison - AJF'!A31</f>
        <v>North Central coast</v>
      </c>
      <c r="C46" s="2" t="str">
        <f>'BAU Comparison - AJF'!B31</f>
        <v>tons/year</v>
      </c>
      <c r="D46" s="393">
        <f>'BAU Comparison - AJF'!AC31</f>
        <v>0</v>
      </c>
      <c r="E46" s="60">
        <f>'BAU Comparison - AJF'!AD31</f>
        <v>1.382067941498958E-16</v>
      </c>
      <c r="F46" s="60">
        <f>'BAU Comparison - AJF'!AE31</f>
        <v>-0.1406414010430285</v>
      </c>
      <c r="G46" s="60">
        <f>'BAU Comparison - AJF'!AF31</f>
        <v>-0.22447066719413422</v>
      </c>
      <c r="H46" s="60">
        <f>'BAU Comparison - AJF'!AG31</f>
        <v>-0.29043442179220225</v>
      </c>
      <c r="I46" s="60">
        <f>'BAU Comparison - AJF'!AH31</f>
        <v>-0.35558625232416358</v>
      </c>
      <c r="J46" s="60">
        <f>'BAU Comparison - AJF'!AI31</f>
        <v>-0.42255168030209089</v>
      </c>
      <c r="K46" s="60">
        <f>'BAU Comparison - AJF'!AJ31</f>
        <v>-0.48765300319957205</v>
      </c>
      <c r="L46" s="60">
        <f>'BAU Comparison - AJF'!AK31</f>
        <v>-0.55101832959012198</v>
      </c>
      <c r="M46" s="60">
        <f>'BAU Comparison - AJF'!AL31</f>
        <v>-0.61816022042483632</v>
      </c>
      <c r="N46" s="60">
        <f>'BAU Comparison - AJF'!AM31</f>
        <v>-0.68430488533750367</v>
      </c>
      <c r="O46" s="60">
        <f>'BAU Comparison - AJF'!AN31</f>
        <v>-0.7525617667359028</v>
      </c>
      <c r="P46" s="60">
        <f>'BAU Comparison - AJF'!AO31</f>
        <v>-0.81918887548112718</v>
      </c>
      <c r="Q46" s="60">
        <f>'BAU Comparison - AJF'!AP31</f>
        <v>-0.88823136208619158</v>
      </c>
      <c r="R46" s="60">
        <f>'BAU Comparison - AJF'!AQ31</f>
        <v>-0.9551073207088453</v>
      </c>
      <c r="S46" s="60">
        <f>'BAU Comparison - AJF'!AR31</f>
        <v>-1.0246994421104056</v>
      </c>
      <c r="T46" s="60">
        <f>'BAU Comparison - AJF'!AS31</f>
        <v>-1.0920861191742894</v>
      </c>
      <c r="U46" s="60">
        <f>'BAU Comparison - AJF'!AT31</f>
        <v>-1.1631433710737413</v>
      </c>
      <c r="V46" s="60">
        <f>'BAU Comparison - AJF'!AU31</f>
        <v>-1.2313968030729421</v>
      </c>
      <c r="W46" s="60">
        <f>'BAU Comparison - AJF'!AV31</f>
        <v>-1.3025932640956295</v>
      </c>
      <c r="X46" s="60">
        <f>'BAU Comparison - AJF'!AW31</f>
        <v>-1.3704030122128006</v>
      </c>
      <c r="Y46" s="60">
        <f>'BAU Comparison - AJF'!AX31</f>
        <v>-1.442164748755135</v>
      </c>
      <c r="Z46" s="60">
        <f>'BAU Comparison - AJF'!AY31</f>
        <v>-1.510374509816887</v>
      </c>
      <c r="AA46" s="60">
        <f>'BAU Comparison - AJF'!AZ31</f>
        <v>-1.5824447268192683</v>
      </c>
      <c r="AB46" s="61">
        <f>'BAU Comparison - AJF'!BA31</f>
        <v>-1.6506517991467029</v>
      </c>
    </row>
    <row r="47" spans="1:29" ht="15" customHeight="1">
      <c r="A47" s="520"/>
      <c r="B47" s="2" t="str">
        <f>'BAU Comparison - AJF'!A32</f>
        <v>North Coast</v>
      </c>
      <c r="C47" s="2" t="str">
        <f>'BAU Comparison - AJF'!B32</f>
        <v>tons/year</v>
      </c>
      <c r="D47" s="393">
        <f>'BAU Comparison - AJF'!AC32</f>
        <v>0</v>
      </c>
      <c r="E47" s="60">
        <f>'BAU Comparison - AJF'!AD32</f>
        <v>2.5617839521090593E-18</v>
      </c>
      <c r="F47" s="60">
        <f>'BAU Comparison - AJF'!AE32</f>
        <v>-2.5879408443903059E-3</v>
      </c>
      <c r="G47" s="60">
        <f>'BAU Comparison - AJF'!AF32</f>
        <v>-4.1005850387722366E-3</v>
      </c>
      <c r="H47" s="60">
        <f>'BAU Comparison - AJF'!AG32</f>
        <v>-5.2674707266198726E-3</v>
      </c>
      <c r="I47" s="60">
        <f>'BAU Comparison - AJF'!AH32</f>
        <v>-6.4030847806463105E-3</v>
      </c>
      <c r="J47" s="60">
        <f>'BAU Comparison - AJF'!AI32</f>
        <v>-7.5549330220795394E-3</v>
      </c>
      <c r="K47" s="60">
        <f>'BAU Comparison - AJF'!AJ32</f>
        <v>-8.6576834231888861E-3</v>
      </c>
      <c r="L47" s="60">
        <f>'BAU Comparison - AJF'!AK32</f>
        <v>-9.7141021160146671E-3</v>
      </c>
      <c r="M47" s="60">
        <f>'BAU Comparison - AJF'!AL32</f>
        <v>-1.082208981338148E-2</v>
      </c>
      <c r="N47" s="60">
        <f>'BAU Comparison - AJF'!AM32</f>
        <v>-1.1897300426476954E-2</v>
      </c>
      <c r="O47" s="60">
        <f>'BAU Comparison - AJF'!AN32</f>
        <v>-1.2994241933204295E-2</v>
      </c>
      <c r="P47" s="60">
        <f>'BAU Comparison - AJF'!AO32</f>
        <v>-1.4048266463197526E-2</v>
      </c>
      <c r="Q47" s="60">
        <f>'BAU Comparison - AJF'!AP32</f>
        <v>-1.5129356041992809E-2</v>
      </c>
      <c r="R47" s="60">
        <f>'BAU Comparison - AJF'!AQ32</f>
        <v>-1.6158866761569871E-2</v>
      </c>
      <c r="S47" s="60">
        <f>'BAU Comparison - AJF'!AR32</f>
        <v>-1.7220463255148633E-2</v>
      </c>
      <c r="T47" s="60">
        <f>'BAU Comparison - AJF'!AS32</f>
        <v>-1.8231155542947162E-2</v>
      </c>
      <c r="U47" s="60">
        <f>'BAU Comparison - AJF'!AT32</f>
        <v>-1.9289397182281027E-2</v>
      </c>
      <c r="V47" s="60">
        <f>'BAU Comparison - AJF'!AU32</f>
        <v>-2.0287839041160674E-2</v>
      </c>
      <c r="W47" s="60">
        <f>'BAU Comparison - AJF'!AV32</f>
        <v>-2.1320987558097016E-2</v>
      </c>
      <c r="X47" s="60">
        <f>'BAU Comparison - AJF'!AW32</f>
        <v>-2.2286203017365429E-2</v>
      </c>
      <c r="Y47" s="60">
        <f>'BAU Comparison - AJF'!AX32</f>
        <v>-2.330233407802557E-2</v>
      </c>
      <c r="Z47" s="60">
        <f>'BAU Comparison - AJF'!AY32</f>
        <v>-2.4249035495533994E-2</v>
      </c>
      <c r="AA47" s="60">
        <f>'BAU Comparison - AJF'!AZ32</f>
        <v>-2.5245038113496765E-2</v>
      </c>
      <c r="AB47" s="61">
        <f>'BAU Comparison - AJF'!BA32</f>
        <v>-2.6167249134316815E-2</v>
      </c>
    </row>
    <row r="48" spans="1:29" ht="15" customHeight="1">
      <c r="A48" s="520"/>
      <c r="B48" s="2" t="str">
        <f>'BAU Comparison - AJF'!A33</f>
        <v>Northeast Plateau</v>
      </c>
      <c r="C48" s="2" t="str">
        <f>'BAU Comparison - AJF'!B33</f>
        <v>tons/year</v>
      </c>
      <c r="D48" s="393">
        <f>'BAU Comparison - AJF'!AC33</f>
        <v>0</v>
      </c>
      <c r="E48" s="60">
        <f>'BAU Comparison - AJF'!AD33</f>
        <v>1.0247135808436236E-18</v>
      </c>
      <c r="F48" s="60">
        <f>'BAU Comparison - AJF'!AE33</f>
        <v>-1.0351763377561224E-3</v>
      </c>
      <c r="G48" s="60">
        <f>'BAU Comparison - AJF'!AF33</f>
        <v>-1.6402340155088945E-3</v>
      </c>
      <c r="H48" s="60">
        <f>'BAU Comparison - AJF'!AG33</f>
        <v>-2.1069882906479486E-3</v>
      </c>
      <c r="I48" s="60">
        <f>'BAU Comparison - AJF'!AH33</f>
        <v>-2.5612339122585239E-3</v>
      </c>
      <c r="J48" s="60">
        <f>'BAU Comparison - AJF'!AI33</f>
        <v>-3.0219732088318158E-3</v>
      </c>
      <c r="K48" s="60">
        <f>'BAU Comparison - AJF'!AJ33</f>
        <v>-3.4630733692755543E-3</v>
      </c>
      <c r="L48" s="60">
        <f>'BAU Comparison - AJF'!AK33</f>
        <v>-3.8856408464058669E-3</v>
      </c>
      <c r="M48" s="60">
        <f>'BAU Comparison - AJF'!AL33</f>
        <v>-4.3288359253525919E-3</v>
      </c>
      <c r="N48" s="60">
        <f>'BAU Comparison - AJF'!AM33</f>
        <v>-4.7589201705907809E-3</v>
      </c>
      <c r="O48" s="60">
        <f>'BAU Comparison - AJF'!AN33</f>
        <v>-5.1976967732817172E-3</v>
      </c>
      <c r="P48" s="60">
        <f>'BAU Comparison - AJF'!AO33</f>
        <v>-5.6193065852790094E-3</v>
      </c>
      <c r="Q48" s="60">
        <f>'BAU Comparison - AJF'!AP33</f>
        <v>-6.0517424167971226E-3</v>
      </c>
      <c r="R48" s="60">
        <f>'BAU Comparison - AJF'!AQ33</f>
        <v>-6.4635467046279477E-3</v>
      </c>
      <c r="S48" s="60">
        <f>'BAU Comparison - AJF'!AR33</f>
        <v>-6.8881853020594528E-3</v>
      </c>
      <c r="T48" s="60">
        <f>'BAU Comparison - AJF'!AS33</f>
        <v>-7.2924622171788639E-3</v>
      </c>
      <c r="U48" s="60">
        <f>'BAU Comparison - AJF'!AT33</f>
        <v>-7.7157588729124113E-3</v>
      </c>
      <c r="V48" s="60">
        <f>'BAU Comparison - AJF'!AU33</f>
        <v>-8.1151356164642693E-3</v>
      </c>
      <c r="W48" s="60">
        <f>'BAU Comparison - AJF'!AV33</f>
        <v>-8.5283950232388061E-3</v>
      </c>
      <c r="X48" s="60">
        <f>'BAU Comparison - AJF'!AW33</f>
        <v>-8.9144812069461704E-3</v>
      </c>
      <c r="Y48" s="60">
        <f>'BAU Comparison - AJF'!AX33</f>
        <v>-9.3209336312102282E-3</v>
      </c>
      <c r="Z48" s="60">
        <f>'BAU Comparison - AJF'!AY33</f>
        <v>-9.6996141982135971E-3</v>
      </c>
      <c r="AA48" s="60">
        <f>'BAU Comparison - AJF'!AZ33</f>
        <v>-1.0098015245398705E-2</v>
      </c>
      <c r="AB48" s="61">
        <f>'BAU Comparison - AJF'!BA33</f>
        <v>-1.0466899653726726E-2</v>
      </c>
    </row>
    <row r="49" spans="1:29" ht="15" customHeight="1">
      <c r="A49" s="520"/>
      <c r="B49" s="2" t="str">
        <f>'BAU Comparison - AJF'!A34</f>
        <v xml:space="preserve">Sacramento Valley </v>
      </c>
      <c r="C49" s="2" t="str">
        <f>'BAU Comparison - AJF'!B34</f>
        <v>tons/year</v>
      </c>
      <c r="D49" s="393">
        <f>'BAU Comparison - AJF'!AC34</f>
        <v>0</v>
      </c>
      <c r="E49" s="60">
        <f>'BAU Comparison - AJF'!AD34</f>
        <v>2.8491878835766765E-16</v>
      </c>
      <c r="F49" s="60">
        <f>'BAU Comparison - AJF'!AE34</f>
        <v>-0.28948616439856495</v>
      </c>
      <c r="G49" s="60">
        <f>'BAU Comparison - AJF'!AF34</f>
        <v>-0.46128963501325171</v>
      </c>
      <c r="H49" s="60">
        <f>'BAU Comparison - AJF'!AG34</f>
        <v>-0.59586439851243411</v>
      </c>
      <c r="I49" s="60">
        <f>'BAU Comparison - AJF'!AH34</f>
        <v>-0.72844411304789025</v>
      </c>
      <c r="J49" s="60">
        <f>'BAU Comparison - AJF'!AI34</f>
        <v>-0.86446132272288434</v>
      </c>
      <c r="K49" s="60">
        <f>'BAU Comparison - AJF'!AJ34</f>
        <v>-0.99641794711435938</v>
      </c>
      <c r="L49" s="60">
        <f>'BAU Comparison - AJF'!AK34</f>
        <v>-1.1246367193665923</v>
      </c>
      <c r="M49" s="60">
        <f>'BAU Comparison - AJF'!AL34</f>
        <v>-1.2603123197186681</v>
      </c>
      <c r="N49" s="60">
        <f>'BAU Comparison - AJF'!AM34</f>
        <v>-1.3936187042899815</v>
      </c>
      <c r="O49" s="60">
        <f>'BAU Comparison - AJF'!AN34</f>
        <v>-1.5309574594115218</v>
      </c>
      <c r="P49" s="60">
        <f>'BAU Comparison - AJF'!AO34</f>
        <v>-1.6647677110811654</v>
      </c>
      <c r="Q49" s="60">
        <f>'BAU Comparison - AJF'!AP34</f>
        <v>-1.8034196969408194</v>
      </c>
      <c r="R49" s="60">
        <f>'BAU Comparison - AJF'!AQ34</f>
        <v>-1.9373815379857988</v>
      </c>
      <c r="S49" s="60">
        <f>'BAU Comparison - AJF'!AR34</f>
        <v>-2.0766584226735505</v>
      </c>
      <c r="T49" s="60">
        <f>'BAU Comparison - AJF'!AS34</f>
        <v>-2.2112264476125518</v>
      </c>
      <c r="U49" s="60">
        <f>'BAU Comparison - AJF'!AT34</f>
        <v>-2.3530013198119151</v>
      </c>
      <c r="V49" s="60">
        <f>'BAU Comparison - AJF'!AU34</f>
        <v>-2.4889280176092918</v>
      </c>
      <c r="W49" s="60">
        <f>'BAU Comparison - AJF'!AV34</f>
        <v>-2.6305277689806874</v>
      </c>
      <c r="X49" s="60">
        <f>'BAU Comparison - AJF'!AW34</f>
        <v>-2.7651381849788392</v>
      </c>
      <c r="Y49" s="60">
        <f>'BAU Comparison - AJF'!AX34</f>
        <v>-2.9074461163823608</v>
      </c>
      <c r="Z49" s="60">
        <f>'BAU Comparison - AJF'!AY34</f>
        <v>-3.0424402851663981</v>
      </c>
      <c r="AA49" s="60">
        <f>'BAU Comparison - AJF'!AZ34</f>
        <v>-3.1849719290899712</v>
      </c>
      <c r="AB49" s="61">
        <f>'BAU Comparison - AJF'!BA34</f>
        <v>-3.3195483918332149</v>
      </c>
    </row>
    <row r="50" spans="1:29" ht="15" customHeight="1">
      <c r="A50" s="520"/>
      <c r="B50" s="2" t="str">
        <f>'BAU Comparison - AJF'!A35</f>
        <v>Salton Sea</v>
      </c>
      <c r="C50" s="2" t="str">
        <f>'BAU Comparison - AJF'!B35</f>
        <v>tons/year</v>
      </c>
      <c r="D50" s="393">
        <f>'BAU Comparison - AJF'!AC35</f>
        <v>0</v>
      </c>
      <c r="E50" s="60">
        <f>'BAU Comparison - AJF'!AD35</f>
        <v>2.6871392912176954E-15</v>
      </c>
      <c r="F50" s="60">
        <f>'BAU Comparison - AJF'!AE35</f>
        <v>-2.7448833430086408</v>
      </c>
      <c r="G50" s="60">
        <f>'BAU Comparison - AJF'!AF35</f>
        <v>-4.3949915706502765</v>
      </c>
      <c r="H50" s="60">
        <f>'BAU Comparison - AJF'!AG35</f>
        <v>-5.7015659707878195</v>
      </c>
      <c r="I50" s="60">
        <f>'BAU Comparison - AJF'!AH35</f>
        <v>-7.0021863878244721</v>
      </c>
      <c r="J50" s="60">
        <f>'BAU Comparison - AJF'!AI35</f>
        <v>-8.3418890566768003</v>
      </c>
      <c r="K50" s="60">
        <f>'BAU Comparison - AJF'!AJ35</f>
        <v>-9.6512979797403133</v>
      </c>
      <c r="L50" s="60">
        <f>'BAU Comparison - AJF'!AK35</f>
        <v>-10.937433819624056</v>
      </c>
      <c r="M50" s="60">
        <f>'BAU Comparison - AJF'!AL35</f>
        <v>-12.299701202233296</v>
      </c>
      <c r="N50" s="60">
        <f>'BAU Comparison - AJF'!AM35</f>
        <v>-13.647209247771151</v>
      </c>
      <c r="O50" s="60">
        <f>'BAU Comparison - AJF'!AN35</f>
        <v>-15.042595389704353</v>
      </c>
      <c r="P50" s="60">
        <f>'BAU Comparison - AJF'!AO35</f>
        <v>-16.418977694269952</v>
      </c>
      <c r="Q50" s="60">
        <f>'BAU Comparison - AJF'!AP35</f>
        <v>-17.842158054950339</v>
      </c>
      <c r="R50" s="60">
        <f>'BAU Comparison - AJF'!AQ35</f>
        <v>-19.253673900601431</v>
      </c>
      <c r="S50" s="60">
        <f>'BAU Comparison - AJF'!AR35</f>
        <v>-20.728966937040632</v>
      </c>
      <c r="T50" s="60">
        <f>'BAU Comparison - AJF'!AS35</f>
        <v>-22.16819078164994</v>
      </c>
      <c r="U50" s="60">
        <f>'BAU Comparison - AJF'!AT35</f>
        <v>-23.690509717497093</v>
      </c>
      <c r="V50" s="60">
        <f>'BAU Comparison - AJF'!AU35</f>
        <v>-25.16448432989684</v>
      </c>
      <c r="W50" s="60">
        <f>'BAU Comparison - AJF'!AV35</f>
        <v>-26.706315006422294</v>
      </c>
      <c r="X50" s="60">
        <f>'BAU Comparison - AJF'!AW35</f>
        <v>-28.187455018156896</v>
      </c>
      <c r="Y50" s="60">
        <f>'BAU Comparison - AJF'!AX35</f>
        <v>-29.757186137642016</v>
      </c>
      <c r="Z50" s="60">
        <f>'BAU Comparison - AJF'!AY35</f>
        <v>-31.262240885178578</v>
      </c>
      <c r="AA50" s="60">
        <f>'BAU Comparison - AJF'!AZ35</f>
        <v>-32.854559450968054</v>
      </c>
      <c r="AB50" s="61">
        <f>'BAU Comparison - AJF'!BA35</f>
        <v>-34.359730991023262</v>
      </c>
    </row>
    <row r="51" spans="1:29" ht="15" customHeight="1">
      <c r="A51" s="520"/>
      <c r="B51" s="2" t="str">
        <f>'BAU Comparison - AJF'!A36</f>
        <v xml:space="preserve">San Diego </v>
      </c>
      <c r="C51" s="2" t="str">
        <f>'BAU Comparison - AJF'!B36</f>
        <v>tons/year</v>
      </c>
      <c r="D51" s="393">
        <f>'BAU Comparison - AJF'!AC36</f>
        <v>0</v>
      </c>
      <c r="E51" s="60">
        <f>'BAU Comparison - AJF'!AD36</f>
        <v>3.324656145141228E-15</v>
      </c>
      <c r="F51" s="60">
        <f>'BAU Comparison - AJF'!AE36</f>
        <v>-3.3616218734147245</v>
      </c>
      <c r="G51" s="60">
        <f>'BAU Comparison - AJF'!AF36</f>
        <v>-5.3313609379492073</v>
      </c>
      <c r="H51" s="60">
        <f>'BAU Comparison - AJF'!AG36</f>
        <v>-6.8546292269185276</v>
      </c>
      <c r="I51" s="60">
        <f>'BAU Comparison - AJF'!AH36</f>
        <v>-8.3398850325793887</v>
      </c>
      <c r="J51" s="60">
        <f>'BAU Comparison - AJF'!AI36</f>
        <v>-9.8489584995937136</v>
      </c>
      <c r="K51" s="60">
        <f>'BAU Comparison - AJF'!AJ36</f>
        <v>-11.296656410288701</v>
      </c>
      <c r="L51" s="60">
        <f>'BAU Comparison - AJF'!AK36</f>
        <v>-12.686419415773923</v>
      </c>
      <c r="M51" s="60">
        <f>'BAU Comparison - AJF'!AL36</f>
        <v>-14.144773587842872</v>
      </c>
      <c r="N51" s="60">
        <f>'BAU Comparison - AJF'!AM36</f>
        <v>-15.562584825487328</v>
      </c>
      <c r="O51" s="60">
        <f>'BAU Comparison - AJF'!AN36</f>
        <v>-17.011100455396754</v>
      </c>
      <c r="P51" s="60">
        <f>'BAU Comparison - AJF'!AO36</f>
        <v>-18.405688838727972</v>
      </c>
      <c r="Q51" s="60">
        <f>'BAU Comparison - AJF'!AP36</f>
        <v>-19.837965612100444</v>
      </c>
      <c r="R51" s="60">
        <f>'BAU Comparison - AJF'!AQ36</f>
        <v>-21.204445468284998</v>
      </c>
      <c r="S51" s="60">
        <f>'BAU Comparison - AJF'!AR36</f>
        <v>-22.615588904970551</v>
      </c>
      <c r="T51" s="60">
        <f>'BAU Comparison - AJF'!AS36</f>
        <v>-23.962053930899899</v>
      </c>
      <c r="U51" s="60">
        <f>'BAU Comparison - AJF'!AT36</f>
        <v>-25.373171147323198</v>
      </c>
      <c r="V51" s="60">
        <f>'BAU Comparison - AJF'!AU36</f>
        <v>-26.707799385228725</v>
      </c>
      <c r="W51" s="60">
        <f>'BAU Comparison - AJF'!AV36</f>
        <v>-28.090248240334848</v>
      </c>
      <c r="X51" s="60">
        <f>'BAU Comparison - AJF'!AW36</f>
        <v>-29.38525853640494</v>
      </c>
      <c r="Y51" s="60">
        <f>'BAU Comparison - AJF'!AX36</f>
        <v>-30.749513836021336</v>
      </c>
      <c r="Z51" s="60">
        <f>'BAU Comparison - AJF'!AY36</f>
        <v>-32.024209634504281</v>
      </c>
      <c r="AA51" s="60">
        <f>'BAU Comparison - AJF'!AZ36</f>
        <v>-33.366052502435942</v>
      </c>
      <c r="AB51" s="61">
        <f>'BAU Comparison - AJF'!BA36</f>
        <v>-34.61235850115623</v>
      </c>
    </row>
    <row r="52" spans="1:29" ht="15" customHeight="1">
      <c r="A52" s="520"/>
      <c r="B52" s="2" t="str">
        <f>'BAU Comparison - AJF'!A37</f>
        <v>San Franscisco Bay Area</v>
      </c>
      <c r="C52" s="2" t="str">
        <f>'BAU Comparison - AJF'!B37</f>
        <v>tons/year</v>
      </c>
      <c r="D52" s="393">
        <f>'BAU Comparison - AJF'!AC37</f>
        <v>0</v>
      </c>
      <c r="E52" s="60">
        <f>'BAU Comparison - AJF'!AD37</f>
        <v>6.7710946658110954E-16</v>
      </c>
      <c r="F52" s="60">
        <f>'BAU Comparison - AJF'!AE37</f>
        <v>-0.70593557378843552</v>
      </c>
      <c r="G52" s="60">
        <f>'BAU Comparison - AJF'!AF37</f>
        <v>-1.1297220099158158</v>
      </c>
      <c r="H52" s="60">
        <f>'BAU Comparison - AJF'!AG37</f>
        <v>-1.456660391565052</v>
      </c>
      <c r="I52" s="60">
        <f>'BAU Comparison - AJF'!AH37</f>
        <v>-1.7861320426568608</v>
      </c>
      <c r="J52" s="60">
        <f>'BAU Comparison - AJF'!AI37</f>
        <v>-2.1911415443440601</v>
      </c>
      <c r="K52" s="60">
        <f>'BAU Comparison - AJF'!AJ37</f>
        <v>-2.5295986755369806</v>
      </c>
      <c r="L52" s="60">
        <f>'BAU Comparison - AJF'!AK37</f>
        <v>-2.8701542710900756</v>
      </c>
      <c r="M52" s="60">
        <f>'BAU Comparison - AJF'!AL37</f>
        <v>-3.1975232429140297</v>
      </c>
      <c r="N52" s="60">
        <f>'BAU Comparison - AJF'!AM37</f>
        <v>-3.5152078108381963</v>
      </c>
      <c r="O52" s="60">
        <f>'BAU Comparison - AJF'!AN37</f>
        <v>-3.8393130459971943</v>
      </c>
      <c r="P52" s="60">
        <f>'BAU Comparison - AJF'!AO37</f>
        <v>-4.1507379178447339</v>
      </c>
      <c r="Q52" s="60">
        <f>'BAU Comparison - AJF'!AP37</f>
        <v>-4.4701595005039101</v>
      </c>
      <c r="R52" s="60">
        <f>'BAU Comparison - AJF'!AQ37</f>
        <v>-4.7743414571724268</v>
      </c>
      <c r="S52" s="60">
        <f>'BAU Comparison - AJF'!AR37</f>
        <v>-5.0880035613823607</v>
      </c>
      <c r="T52" s="60">
        <f>'BAU Comparison - AJF'!AS37</f>
        <v>-5.3866253744885269</v>
      </c>
      <c r="U52" s="60">
        <f>'BAU Comparison - AJF'!AT37</f>
        <v>-5.6992962446013848</v>
      </c>
      <c r="V52" s="60">
        <f>'BAU Comparison - AJF'!AU37</f>
        <v>-5.9942985136195546</v>
      </c>
      <c r="W52" s="60">
        <f>'BAU Comparison - AJF'!AV37</f>
        <v>-6.2995553035051204</v>
      </c>
      <c r="X52" s="60">
        <f>'BAU Comparison - AJF'!AW37</f>
        <v>-6.5847404127263074</v>
      </c>
      <c r="Y52" s="60">
        <f>'BAU Comparison - AJF'!AX37</f>
        <v>-6.8849691800287349</v>
      </c>
      <c r="Z52" s="60">
        <f>'BAU Comparison - AJF'!AY37</f>
        <v>-7.1646840815664996</v>
      </c>
      <c r="AA52" s="60">
        <f>'BAU Comparison - AJF'!AZ37</f>
        <v>-7.4589656460200917</v>
      </c>
      <c r="AB52" s="61">
        <f>'BAU Comparison - AJF'!BA37</f>
        <v>-7.7314445502606945</v>
      </c>
    </row>
    <row r="53" spans="1:29" ht="15" customHeight="1">
      <c r="A53" s="520"/>
      <c r="B53" s="2" t="str">
        <f>'BAU Comparison - AJF'!A38</f>
        <v xml:space="preserve">San Joaquin Valley </v>
      </c>
      <c r="C53" s="2" t="str">
        <f>'BAU Comparison - AJF'!B38</f>
        <v>tons/year</v>
      </c>
      <c r="D53" s="393">
        <f>'BAU Comparison - AJF'!AC38</f>
        <v>0</v>
      </c>
      <c r="E53" s="60">
        <f>'BAU Comparison - AJF'!AD38</f>
        <v>3.252808255749285E-15</v>
      </c>
      <c r="F53" s="60">
        <f>'BAU Comparison - AJF'!AE38</f>
        <v>-3.2879837257051374</v>
      </c>
      <c r="G53" s="60">
        <f>'BAU Comparison - AJF'!AF38</f>
        <v>-5.2129205681236579</v>
      </c>
      <c r="H53" s="60">
        <f>'BAU Comparison - AJF'!AG38</f>
        <v>-6.7003420277486274</v>
      </c>
      <c r="I53" s="60">
        <f>'BAU Comparison - AJF'!AH38</f>
        <v>-8.1497303284030504</v>
      </c>
      <c r="J53" s="60">
        <f>'BAU Comparison - AJF'!AI38</f>
        <v>-9.6215236555297832</v>
      </c>
      <c r="K53" s="60">
        <f>'BAU Comparison - AJF'!AJ38</f>
        <v>-11.03250232142134</v>
      </c>
      <c r="L53" s="60">
        <f>'BAU Comparison - AJF'!AK38</f>
        <v>-12.38608137254022</v>
      </c>
      <c r="M53" s="60">
        <f>'BAU Comparison - AJF'!AL38</f>
        <v>-13.807124385665372</v>
      </c>
      <c r="N53" s="60">
        <f>'BAU Comparison - AJF'!AM38</f>
        <v>-15.188021891683189</v>
      </c>
      <c r="O53" s="60">
        <f>'BAU Comparison - AJF'!AN38</f>
        <v>-16.598324875797839</v>
      </c>
      <c r="P53" s="60">
        <f>'BAU Comparison - AJF'!AO38</f>
        <v>-17.95547635659457</v>
      </c>
      <c r="Q53" s="60">
        <f>'BAU Comparison - AJF'!AP38</f>
        <v>-19.348824967476379</v>
      </c>
      <c r="R53" s="60">
        <f>'BAU Comparison - AJF'!AQ38</f>
        <v>-20.677849342424928</v>
      </c>
      <c r="S53" s="60">
        <f>'BAU Comparison - AJF'!AR38</f>
        <v>-22.049523035477723</v>
      </c>
      <c r="T53" s="60">
        <f>'BAU Comparison - AJF'!AS38</f>
        <v>-23.357605128634493</v>
      </c>
      <c r="U53" s="60">
        <f>'BAU Comparison - AJF'!AT38</f>
        <v>-24.728221053761381</v>
      </c>
      <c r="V53" s="60">
        <f>'BAU Comparison - AJF'!AU38</f>
        <v>-26.023724075914068</v>
      </c>
      <c r="W53" s="60">
        <f>'BAU Comparison - AJF'!AV38</f>
        <v>-27.365302480736826</v>
      </c>
      <c r="X53" s="60">
        <f>'BAU Comparison - AJF'!AW38</f>
        <v>-28.621237037642071</v>
      </c>
      <c r="Y53" s="60">
        <f>'BAU Comparison - AJF'!AX38</f>
        <v>-29.944044476946946</v>
      </c>
      <c r="Z53" s="60">
        <f>'BAU Comparison - AJF'!AY38</f>
        <v>-31.179190226251237</v>
      </c>
      <c r="AA53" s="60">
        <f>'BAU Comparison - AJF'!AZ38</f>
        <v>-32.479180023864586</v>
      </c>
      <c r="AB53" s="61">
        <f>'BAU Comparison - AJF'!BA38</f>
        <v>-33.685702151057804</v>
      </c>
    </row>
    <row r="54" spans="1:29" ht="15" customHeight="1">
      <c r="A54" s="520"/>
      <c r="B54" s="2" t="str">
        <f>'BAU Comparison - AJF'!A39</f>
        <v>South Central Coast</v>
      </c>
      <c r="C54" s="2" t="str">
        <f>'BAU Comparison - AJF'!B39</f>
        <v>tons/year</v>
      </c>
      <c r="D54" s="393">
        <f>'BAU Comparison - AJF'!AC39</f>
        <v>0</v>
      </c>
      <c r="E54" s="60">
        <f>'BAU Comparison - AJF'!AD39</f>
        <v>5.1360848772792169E-16</v>
      </c>
      <c r="F54" s="60">
        <f>'BAU Comparison - AJF'!AE39</f>
        <v>-0.5527576013463098</v>
      </c>
      <c r="G54" s="60">
        <f>'BAU Comparison - AJF'!AF39</f>
        <v>-0.96680158837082697</v>
      </c>
      <c r="H54" s="60">
        <f>'BAU Comparison - AJF'!AG39</f>
        <v>-1.2423494689891574</v>
      </c>
      <c r="I54" s="60">
        <f>'BAU Comparison - AJF'!AH39</f>
        <v>-1.5192147418717241</v>
      </c>
      <c r="J54" s="60">
        <f>'BAU Comparison - AJF'!AI39</f>
        <v>-1.9303931518463164</v>
      </c>
      <c r="K54" s="60">
        <f>'BAU Comparison - AJF'!AJ39</f>
        <v>-2.2086397288523827</v>
      </c>
      <c r="L54" s="60">
        <f>'BAU Comparison - AJF'!AK39</f>
        <v>-2.6623267381512554</v>
      </c>
      <c r="M54" s="60">
        <f>'BAU Comparison - AJF'!AL39</f>
        <v>-2.9695193709182317</v>
      </c>
      <c r="N54" s="60">
        <f>'BAU Comparison - AJF'!AM39</f>
        <v>-3.4992196348839428</v>
      </c>
      <c r="O54" s="60">
        <f>'BAU Comparison - AJF'!AN39</f>
        <v>-3.8363013239612043</v>
      </c>
      <c r="P54" s="60">
        <f>'BAU Comparison - AJF'!AO39</f>
        <v>-4.4362442829775057</v>
      </c>
      <c r="Q54" s="60">
        <f>'BAU Comparison - AJF'!AP39</f>
        <v>-4.8073751481879556</v>
      </c>
      <c r="R54" s="60">
        <f>'BAU Comparison - AJF'!AQ39</f>
        <v>-5.4809437001450387</v>
      </c>
      <c r="S54" s="60">
        <f>'BAU Comparison - AJF'!AR39</f>
        <v>-5.8908878408752017</v>
      </c>
      <c r="T54" s="60">
        <f>'BAU Comparison - AJF'!AS39</f>
        <v>-6.644891572293381</v>
      </c>
      <c r="U54" s="60">
        <f>'BAU Comparison - AJF'!AT39</f>
        <v>-7.1058863661511227</v>
      </c>
      <c r="V54" s="60">
        <f>'BAU Comparison - AJF'!AU39</f>
        <v>-7.9490800367017842</v>
      </c>
      <c r="W54" s="60">
        <f>'BAU Comparison - AJF'!AV39</f>
        <v>-8.4602370556917634</v>
      </c>
      <c r="X54" s="60">
        <f>'BAU Comparison - AJF'!AW39</f>
        <v>-9.3906776552229623</v>
      </c>
      <c r="Y54" s="60">
        <f>'BAU Comparison - AJF'!AX39</f>
        <v>-9.9621294490347925</v>
      </c>
      <c r="Z54" s="60">
        <f>'BAU Comparison - AJF'!AY39</f>
        <v>-10.992053017923716</v>
      </c>
      <c r="AA54" s="60">
        <f>'BAU Comparison - AJF'!AZ39</f>
        <v>-11.630646272483833</v>
      </c>
      <c r="AB54" s="61">
        <f>'BAU Comparison - AJF'!BA39</f>
        <v>-12.764670486295175</v>
      </c>
    </row>
    <row r="55" spans="1:29" ht="15" customHeight="1">
      <c r="A55" s="520"/>
      <c r="B55" s="2" t="str">
        <f>'BAU Comparison - AJF'!A40</f>
        <v>South Coast</v>
      </c>
      <c r="C55" s="2" t="str">
        <f>'BAU Comparison - AJF'!B40</f>
        <v>tons/year</v>
      </c>
      <c r="D55" s="394">
        <f>'BAU Comparison - AJF'!AC40</f>
        <v>0</v>
      </c>
      <c r="E55" s="64">
        <f>'BAU Comparison - AJF'!AD40</f>
        <v>1.0031945956459079E-15</v>
      </c>
      <c r="F55" s="64">
        <f>'BAU Comparison - AJF'!AE40</f>
        <v>-1.0257445141051329</v>
      </c>
      <c r="G55" s="64">
        <f>'BAU Comparison - AJF'!AF40</f>
        <v>-1.6448359550958034</v>
      </c>
      <c r="H55" s="64">
        <f>'BAU Comparison - AJF'!AG40</f>
        <v>-2.1382432754424285</v>
      </c>
      <c r="I55" s="64">
        <f>'BAU Comparison - AJF'!AH40</f>
        <v>-2.6300344541619665</v>
      </c>
      <c r="J55" s="64">
        <f>'BAU Comparison - AJF'!AI40</f>
        <v>-3.1386099710202382</v>
      </c>
      <c r="K55" s="64">
        <f>'BAU Comparison - AJF'!AJ40</f>
        <v>-3.6380108472295438</v>
      </c>
      <c r="L55" s="64">
        <f>'BAU Comparison - AJF'!AK40</f>
        <v>-4.1286400272627022</v>
      </c>
      <c r="M55" s="64">
        <f>'BAU Comparison - AJF'!AL40</f>
        <v>-4.6511136761876166</v>
      </c>
      <c r="N55" s="64">
        <f>'BAU Comparison - AJF'!AM40</f>
        <v>-5.1260124976365606</v>
      </c>
      <c r="O55" s="64">
        <f>'BAU Comparison - AJF'!AN40</f>
        <v>-5.6111784550837998</v>
      </c>
      <c r="P55" s="64">
        <f>'BAU Comparison - AJF'!AO40</f>
        <v>-6.0812241890541996</v>
      </c>
      <c r="Q55" s="64">
        <f>'BAU Comparison - AJF'!AP40</f>
        <v>-6.5633772738006053</v>
      </c>
      <c r="R55" s="64">
        <f>'BAU Comparison - AJF'!AQ40</f>
        <v>-7.0277533550862641</v>
      </c>
      <c r="S55" s="64">
        <f>'BAU Comparison - AJF'!AR40</f>
        <v>-7.5064194277833511</v>
      </c>
      <c r="T55" s="64">
        <f>'BAU Comparison - AJF'!AS40</f>
        <v>-7.9469813402146778</v>
      </c>
      <c r="U55" s="64">
        <f>'BAU Comparison - AJF'!AT40</f>
        <v>-8.4082700688097134</v>
      </c>
      <c r="V55" s="64">
        <f>'BAU Comparison - AJF'!AU40</f>
        <v>-8.8434920054068886</v>
      </c>
      <c r="W55" s="64">
        <f>'BAU Comparison - AJF'!AV40</f>
        <v>-9.2938426135415355</v>
      </c>
      <c r="X55" s="64">
        <f>'BAU Comparison - AJF'!AW40</f>
        <v>-9.7145811249333835</v>
      </c>
      <c r="Y55" s="64">
        <f>'BAU Comparison - AJF'!AX40</f>
        <v>-10.157513804612188</v>
      </c>
      <c r="Z55" s="64">
        <f>'BAU Comparison - AJF'!AY40</f>
        <v>-10.570182024241564</v>
      </c>
      <c r="AA55" s="64">
        <f>'BAU Comparison - AJF'!AZ40</f>
        <v>-11.004340692961671</v>
      </c>
      <c r="AB55" s="65">
        <f>'BAU Comparison - AJF'!BA40</f>
        <v>-11.406333520949605</v>
      </c>
    </row>
    <row r="56" spans="1:29" ht="15" customHeight="1">
      <c r="A56" s="520"/>
      <c r="B56" s="72" t="str">
        <f>'BAU Comparison - AJF'!A41</f>
        <v>STATEWIDE</v>
      </c>
      <c r="C56" s="72" t="s">
        <v>240</v>
      </c>
      <c r="D56" s="175">
        <f>'BAU Comparison - AJF'!AC41</f>
        <v>0</v>
      </c>
      <c r="E56" s="175">
        <f>'BAU Comparison - AJF'!AD41</f>
        <v>1.7999305641205586E-14</v>
      </c>
      <c r="F56" s="175">
        <f>'BAU Comparison - AJF'!AE41</f>
        <v>-18.29471329297656</v>
      </c>
      <c r="G56" s="175">
        <f>'BAU Comparison - AJF'!AF41</f>
        <v>-29.176196214927923</v>
      </c>
      <c r="H56" s="175">
        <f>'BAU Comparison - AJF'!AG41</f>
        <v>-37.592115593715157</v>
      </c>
      <c r="I56" s="175">
        <f>'BAU Comparison - AJF'!AH41</f>
        <v>-45.855266105167772</v>
      </c>
      <c r="J56" s="175">
        <f>'BAU Comparison - AJF'!AI41</f>
        <v>-54.479046466905494</v>
      </c>
      <c r="K56" s="175">
        <f>'BAU Comparison - AJF'!AJ41</f>
        <v>-62.622177076652136</v>
      </c>
      <c r="L56" s="175">
        <f>'BAU Comparison - AJF'!AK41</f>
        <v>-70.682777238636902</v>
      </c>
      <c r="M56" s="175">
        <f>'BAU Comparison - AJF'!AL41</f>
        <v>-78.966786179001161</v>
      </c>
      <c r="N56" s="175">
        <f>'BAU Comparison - AJF'!AM41</f>
        <v>-87.24188346345629</v>
      </c>
      <c r="O56" s="175">
        <f>'BAU Comparison - AJF'!AN41</f>
        <v>-95.511633754365789</v>
      </c>
      <c r="P56" s="175">
        <f>'BAU Comparison - AJF'!AO41</f>
        <v>-103.78539429043441</v>
      </c>
      <c r="Q56" s="175">
        <f>'BAU Comparison - AJF'!AP41</f>
        <v>-112.04712409545893</v>
      </c>
      <c r="R56" s="175">
        <f>'BAU Comparison - AJF'!AQ41</f>
        <v>-120.30885389605024</v>
      </c>
      <c r="S56" s="175">
        <f>'BAU Comparison - AJF'!AR41</f>
        <v>-128.57058369664148</v>
      </c>
      <c r="T56" s="175">
        <f>'BAU Comparison - AJF'!AS41</f>
        <v>-136.83231349723263</v>
      </c>
      <c r="U56" s="175">
        <f>'BAU Comparison - AJF'!AT41</f>
        <v>-145.1746169435603</v>
      </c>
      <c r="V56" s="175">
        <f>'BAU Comparison - AJF'!AU41</f>
        <v>-153.50551548829699</v>
      </c>
      <c r="W56" s="175">
        <f>'BAU Comparison - AJF'!AV41</f>
        <v>-161.7864122852605</v>
      </c>
      <c r="X56" s="175">
        <f>'BAU Comparison - AJF'!AW41</f>
        <v>-170.03125614950991</v>
      </c>
      <c r="Y56" s="175">
        <f>'BAU Comparison - AJF'!AX41</f>
        <v>-178.31689143542246</v>
      </c>
      <c r="Z56" s="175">
        <f>'BAU Comparison - AJF'!AY41</f>
        <v>-186.59095748005367</v>
      </c>
      <c r="AA56" s="175">
        <f>'BAU Comparison - AJF'!AZ41</f>
        <v>-194.8626679676936</v>
      </c>
      <c r="AB56" s="175">
        <f>'BAU Comparison - AJF'!BA41</f>
        <v>-203.11045715511668</v>
      </c>
      <c r="AC56" s="66"/>
    </row>
    <row r="57" spans="1:29" ht="15" customHeight="1">
      <c r="A57" s="520"/>
      <c r="B57" s="20"/>
      <c r="C57" s="20"/>
      <c r="D57" s="20"/>
      <c r="E57" s="20"/>
      <c r="F57" s="20"/>
      <c r="G57" s="20"/>
      <c r="H57" s="188"/>
      <c r="I57" s="20"/>
      <c r="J57" s="20"/>
      <c r="K57" s="20"/>
      <c r="L57" s="20"/>
      <c r="M57" s="20"/>
      <c r="N57" s="20"/>
      <c r="O57" s="20"/>
      <c r="AC57" s="66"/>
    </row>
    <row r="58" spans="1:29" ht="15.75" customHeight="1">
      <c r="A58" s="520"/>
      <c r="B58" s="86"/>
      <c r="C58" s="86"/>
      <c r="D58" s="519" t="s">
        <v>18953</v>
      </c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</row>
    <row r="59" spans="1:29" ht="15" customHeight="1">
      <c r="A59" s="520"/>
      <c r="B59" s="88" t="s">
        <v>18814</v>
      </c>
      <c r="C59" s="90" t="str">
        <f>'BAU Comparison - Production'!C166</f>
        <v>Units</v>
      </c>
      <c r="D59" s="156">
        <f>'BAU Comparison - Production'!D166</f>
        <v>2022</v>
      </c>
      <c r="E59" s="156">
        <f>'BAU Comparison - Production'!E166</f>
        <v>2023</v>
      </c>
      <c r="F59" s="156">
        <f>'BAU Comparison - Production'!F166</f>
        <v>2024</v>
      </c>
      <c r="G59" s="156">
        <f>'BAU Comparison - Production'!G166</f>
        <v>2025</v>
      </c>
      <c r="H59" s="156">
        <f>'BAU Comparison - Production'!H166</f>
        <v>2026</v>
      </c>
      <c r="I59" s="156">
        <f>'BAU Comparison - Production'!I166</f>
        <v>2027</v>
      </c>
      <c r="J59" s="156">
        <f>'BAU Comparison - Production'!J166</f>
        <v>2028</v>
      </c>
      <c r="K59" s="156">
        <f>'BAU Comparison - Production'!K166</f>
        <v>2029</v>
      </c>
      <c r="L59" s="157">
        <f>'BAU Comparison - Production'!L166</f>
        <v>2030</v>
      </c>
      <c r="M59" s="156">
        <f>'BAU Comparison - Production'!M166</f>
        <v>2031</v>
      </c>
      <c r="N59" s="156">
        <f>'BAU Comparison - Production'!N166</f>
        <v>2032</v>
      </c>
      <c r="O59" s="156">
        <f>'BAU Comparison - Production'!O166</f>
        <v>2033</v>
      </c>
      <c r="P59" s="156">
        <f>'BAU Comparison - Production'!P166</f>
        <v>2034</v>
      </c>
      <c r="Q59" s="156">
        <f>'BAU Comparison - Production'!Q166</f>
        <v>2035</v>
      </c>
      <c r="R59" s="156">
        <f>'BAU Comparison - Production'!R166</f>
        <v>2036</v>
      </c>
      <c r="S59" s="156">
        <f>'BAU Comparison - Production'!S166</f>
        <v>2037</v>
      </c>
      <c r="T59" s="156">
        <f>'BAU Comparison - Production'!T166</f>
        <v>2038</v>
      </c>
      <c r="U59" s="157">
        <f>'BAU Comparison - Production'!U166</f>
        <v>2039</v>
      </c>
      <c r="V59" s="156">
        <f>'BAU Comparison - Production'!V166</f>
        <v>2040</v>
      </c>
      <c r="W59" s="156">
        <f>'BAU Comparison - Production'!W166</f>
        <v>2041</v>
      </c>
      <c r="X59" s="156">
        <f>'BAU Comparison - Production'!X166</f>
        <v>2042</v>
      </c>
      <c r="Y59" s="156">
        <f>'BAU Comparison - Production'!Y166</f>
        <v>2043</v>
      </c>
      <c r="Z59" s="156">
        <f>'BAU Comparison - Production'!Z166</f>
        <v>2044</v>
      </c>
      <c r="AA59" s="156">
        <f>'BAU Comparison - Production'!AA166</f>
        <v>2045</v>
      </c>
      <c r="AB59" s="156">
        <f>'BAU Comparison - Production'!AB166</f>
        <v>2046</v>
      </c>
    </row>
    <row r="60" spans="1:29" ht="15" customHeight="1">
      <c r="A60" s="520"/>
      <c r="B60" s="83" t="str">
        <f>'BAU Comparison - Production'!B167</f>
        <v>Great Basin Valleys</v>
      </c>
      <c r="C60" s="83" t="s">
        <v>240</v>
      </c>
      <c r="D60" s="104">
        <f>'BAU Comparison - Production'!AD167</f>
        <v>0</v>
      </c>
      <c r="E60" s="79">
        <f>'BAU Comparison - Production'!AE167</f>
        <v>0</v>
      </c>
      <c r="F60" s="79">
        <f>'BAU Comparison - Production'!AF167</f>
        <v>0</v>
      </c>
      <c r="G60" s="79">
        <f>'BAU Comparison - Production'!AG167</f>
        <v>0</v>
      </c>
      <c r="H60" s="79">
        <f>'BAU Comparison - Production'!AH167</f>
        <v>0</v>
      </c>
      <c r="I60" s="79">
        <f>'BAU Comparison - Production'!AI167</f>
        <v>0</v>
      </c>
      <c r="J60" s="79">
        <f>'BAU Comparison - Production'!AJ167</f>
        <v>0</v>
      </c>
      <c r="K60" s="79">
        <f>'BAU Comparison - Production'!AK167</f>
        <v>0</v>
      </c>
      <c r="L60" s="79">
        <f>'BAU Comparison - Production'!AL167</f>
        <v>0</v>
      </c>
      <c r="M60" s="79">
        <f>'BAU Comparison - Production'!AM167</f>
        <v>0</v>
      </c>
      <c r="N60" s="79">
        <f>'BAU Comparison - Production'!AN167</f>
        <v>0</v>
      </c>
      <c r="O60" s="79">
        <f>'BAU Comparison - Production'!AO167</f>
        <v>0</v>
      </c>
      <c r="P60" s="79">
        <f>'BAU Comparison - Production'!AP167</f>
        <v>0</v>
      </c>
      <c r="Q60" s="79">
        <f>'BAU Comparison - Production'!AQ167</f>
        <v>0</v>
      </c>
      <c r="R60" s="79">
        <f>'BAU Comparison - Production'!AR167</f>
        <v>0</v>
      </c>
      <c r="S60" s="79">
        <f>'BAU Comparison - Production'!AS167</f>
        <v>0</v>
      </c>
      <c r="T60" s="79">
        <f>'BAU Comparison - Production'!AT167</f>
        <v>0</v>
      </c>
      <c r="U60" s="79">
        <f>'BAU Comparison - Production'!AU167</f>
        <v>0</v>
      </c>
      <c r="V60" s="79">
        <f>'BAU Comparison - Production'!AV167</f>
        <v>0</v>
      </c>
      <c r="W60" s="79">
        <f>'BAU Comparison - Production'!AW167</f>
        <v>0</v>
      </c>
      <c r="X60" s="79">
        <f>'BAU Comparison - Production'!AX167</f>
        <v>0</v>
      </c>
      <c r="Y60" s="79">
        <f>'BAU Comparison - Production'!AY167</f>
        <v>0</v>
      </c>
      <c r="Z60" s="79">
        <f>'BAU Comparison - Production'!AZ167</f>
        <v>0</v>
      </c>
      <c r="AA60" s="79">
        <f>'BAU Comparison - Production'!BA167</f>
        <v>0</v>
      </c>
      <c r="AB60" s="80">
        <f>'BAU Comparison - Production'!BB167</f>
        <v>0</v>
      </c>
    </row>
    <row r="61" spans="1:29" ht="15" customHeight="1">
      <c r="A61" s="520"/>
      <c r="B61" s="2" t="str">
        <f>'BAU Comparison - Production'!B168</f>
        <v xml:space="preserve">Lake County </v>
      </c>
      <c r="C61" s="2" t="s">
        <v>240</v>
      </c>
      <c r="D61" s="393">
        <f>'BAU Comparison - Production'!AD168</f>
        <v>0</v>
      </c>
      <c r="E61" s="60">
        <f>'BAU Comparison - Production'!AE168</f>
        <v>0</v>
      </c>
      <c r="F61" s="60">
        <f>'BAU Comparison - Production'!AF168</f>
        <v>0</v>
      </c>
      <c r="G61" s="60">
        <f>'BAU Comparison - Production'!AG168</f>
        <v>0</v>
      </c>
      <c r="H61" s="60">
        <f>'BAU Comparison - Production'!AH168</f>
        <v>0</v>
      </c>
      <c r="I61" s="60">
        <f>'BAU Comparison - Production'!AI168</f>
        <v>0</v>
      </c>
      <c r="J61" s="60">
        <f>'BAU Comparison - Production'!AJ168</f>
        <v>0</v>
      </c>
      <c r="K61" s="60">
        <f>'BAU Comparison - Production'!AK168</f>
        <v>0</v>
      </c>
      <c r="L61" s="60">
        <f>'BAU Comparison - Production'!AL168</f>
        <v>0</v>
      </c>
      <c r="M61" s="60">
        <f>'BAU Comparison - Production'!AM168</f>
        <v>0</v>
      </c>
      <c r="N61" s="60">
        <f>'BAU Comparison - Production'!AN168</f>
        <v>0</v>
      </c>
      <c r="O61" s="60">
        <f>'BAU Comparison - Production'!AO168</f>
        <v>0</v>
      </c>
      <c r="P61" s="60">
        <f>'BAU Comparison - Production'!AP168</f>
        <v>0</v>
      </c>
      <c r="Q61" s="60">
        <f>'BAU Comparison - Production'!AQ168</f>
        <v>0</v>
      </c>
      <c r="R61" s="60">
        <f>'BAU Comparison - Production'!AR168</f>
        <v>0</v>
      </c>
      <c r="S61" s="60">
        <f>'BAU Comparison - Production'!AS168</f>
        <v>0</v>
      </c>
      <c r="T61" s="60">
        <f>'BAU Comparison - Production'!AT168</f>
        <v>0</v>
      </c>
      <c r="U61" s="60">
        <f>'BAU Comparison - Production'!AU168</f>
        <v>0</v>
      </c>
      <c r="V61" s="60">
        <f>'BAU Comparison - Production'!AV168</f>
        <v>0</v>
      </c>
      <c r="W61" s="60">
        <f>'BAU Comparison - Production'!AW168</f>
        <v>0</v>
      </c>
      <c r="X61" s="60">
        <f>'BAU Comparison - Production'!AX168</f>
        <v>0</v>
      </c>
      <c r="Y61" s="60">
        <f>'BAU Comparison - Production'!AY168</f>
        <v>0</v>
      </c>
      <c r="Z61" s="60">
        <f>'BAU Comparison - Production'!AZ168</f>
        <v>0</v>
      </c>
      <c r="AA61" s="60">
        <f>'BAU Comparison - Production'!BA168</f>
        <v>0</v>
      </c>
      <c r="AB61" s="61">
        <f>'BAU Comparison - Production'!BB168</f>
        <v>0</v>
      </c>
    </row>
    <row r="62" spans="1:29" ht="15" customHeight="1">
      <c r="A62" s="520"/>
      <c r="B62" s="2" t="str">
        <f>'BAU Comparison - Production'!B169</f>
        <v xml:space="preserve">Lake Tahoe </v>
      </c>
      <c r="C62" s="2" t="s">
        <v>240</v>
      </c>
      <c r="D62" s="393">
        <f>'BAU Comparison - Production'!AD169</f>
        <v>0</v>
      </c>
      <c r="E62" s="60">
        <f>'BAU Comparison - Production'!AE169</f>
        <v>0</v>
      </c>
      <c r="F62" s="60">
        <f>'BAU Comparison - Production'!AF169</f>
        <v>0</v>
      </c>
      <c r="G62" s="60">
        <f>'BAU Comparison - Production'!AG169</f>
        <v>0</v>
      </c>
      <c r="H62" s="60">
        <f>'BAU Comparison - Production'!AH169</f>
        <v>0</v>
      </c>
      <c r="I62" s="60">
        <f>'BAU Comparison - Production'!AI169</f>
        <v>0</v>
      </c>
      <c r="J62" s="60">
        <f>'BAU Comparison - Production'!AJ169</f>
        <v>0</v>
      </c>
      <c r="K62" s="60">
        <f>'BAU Comparison - Production'!AK169</f>
        <v>0</v>
      </c>
      <c r="L62" s="60">
        <f>'BAU Comparison - Production'!AL169</f>
        <v>0</v>
      </c>
      <c r="M62" s="60">
        <f>'BAU Comparison - Production'!AM169</f>
        <v>0</v>
      </c>
      <c r="N62" s="60">
        <f>'BAU Comparison - Production'!AN169</f>
        <v>0</v>
      </c>
      <c r="O62" s="60">
        <f>'BAU Comparison - Production'!AO169</f>
        <v>0</v>
      </c>
      <c r="P62" s="60">
        <f>'BAU Comparison - Production'!AP169</f>
        <v>0</v>
      </c>
      <c r="Q62" s="60">
        <f>'BAU Comparison - Production'!AQ169</f>
        <v>0</v>
      </c>
      <c r="R62" s="60">
        <f>'BAU Comparison - Production'!AR169</f>
        <v>0</v>
      </c>
      <c r="S62" s="60">
        <f>'BAU Comparison - Production'!AS169</f>
        <v>0</v>
      </c>
      <c r="T62" s="60">
        <f>'BAU Comparison - Production'!AT169</f>
        <v>0</v>
      </c>
      <c r="U62" s="60">
        <f>'BAU Comparison - Production'!AU169</f>
        <v>0</v>
      </c>
      <c r="V62" s="60">
        <f>'BAU Comparison - Production'!AV169</f>
        <v>0</v>
      </c>
      <c r="W62" s="60">
        <f>'BAU Comparison - Production'!AW169</f>
        <v>0</v>
      </c>
      <c r="X62" s="60">
        <f>'BAU Comparison - Production'!AX169</f>
        <v>0</v>
      </c>
      <c r="Y62" s="60">
        <f>'BAU Comparison - Production'!AY169</f>
        <v>0</v>
      </c>
      <c r="Z62" s="60">
        <f>'BAU Comparison - Production'!AZ169</f>
        <v>0</v>
      </c>
      <c r="AA62" s="60">
        <f>'BAU Comparison - Production'!BA169</f>
        <v>0</v>
      </c>
      <c r="AB62" s="61">
        <f>'BAU Comparison - Production'!BB169</f>
        <v>0</v>
      </c>
    </row>
    <row r="63" spans="1:29" ht="15" customHeight="1">
      <c r="A63" s="520"/>
      <c r="B63" s="2" t="str">
        <f>'BAU Comparison - Production'!B170</f>
        <v>Mojave Desert</v>
      </c>
      <c r="C63" s="2" t="s">
        <v>240</v>
      </c>
      <c r="D63" s="393">
        <f>'BAU Comparison - Production'!AD170</f>
        <v>0</v>
      </c>
      <c r="E63" s="60">
        <f>'BAU Comparison - Production'!AE170</f>
        <v>0</v>
      </c>
      <c r="F63" s="60">
        <f>'BAU Comparison - Production'!AF170</f>
        <v>0</v>
      </c>
      <c r="G63" s="60">
        <f>'BAU Comparison - Production'!AG170</f>
        <v>0</v>
      </c>
      <c r="H63" s="60">
        <f>'BAU Comparison - Production'!AH170</f>
        <v>0</v>
      </c>
      <c r="I63" s="60">
        <f>'BAU Comparison - Production'!AI170</f>
        <v>0</v>
      </c>
      <c r="J63" s="60">
        <f>'BAU Comparison - Production'!AJ170</f>
        <v>0</v>
      </c>
      <c r="K63" s="60">
        <f>'BAU Comparison - Production'!AK170</f>
        <v>0</v>
      </c>
      <c r="L63" s="60">
        <f>'BAU Comparison - Production'!AL170</f>
        <v>0</v>
      </c>
      <c r="M63" s="60">
        <f>'BAU Comparison - Production'!AM170</f>
        <v>0</v>
      </c>
      <c r="N63" s="60">
        <f>'BAU Comparison - Production'!AN170</f>
        <v>0</v>
      </c>
      <c r="O63" s="60">
        <f>'BAU Comparison - Production'!AO170</f>
        <v>0</v>
      </c>
      <c r="P63" s="60">
        <f>'BAU Comparison - Production'!AP170</f>
        <v>0</v>
      </c>
      <c r="Q63" s="60">
        <f>'BAU Comparison - Production'!AQ170</f>
        <v>0</v>
      </c>
      <c r="R63" s="60">
        <f>'BAU Comparison - Production'!AR170</f>
        <v>0</v>
      </c>
      <c r="S63" s="60">
        <f>'BAU Comparison - Production'!AS170</f>
        <v>0</v>
      </c>
      <c r="T63" s="60">
        <f>'BAU Comparison - Production'!AT170</f>
        <v>0</v>
      </c>
      <c r="U63" s="60">
        <f>'BAU Comparison - Production'!AU170</f>
        <v>0</v>
      </c>
      <c r="V63" s="60">
        <f>'BAU Comparison - Production'!AV170</f>
        <v>0</v>
      </c>
      <c r="W63" s="60">
        <f>'BAU Comparison - Production'!AW170</f>
        <v>0</v>
      </c>
      <c r="X63" s="60">
        <f>'BAU Comparison - Production'!AX170</f>
        <v>0</v>
      </c>
      <c r="Y63" s="60">
        <f>'BAU Comparison - Production'!AY170</f>
        <v>0</v>
      </c>
      <c r="Z63" s="60">
        <f>'BAU Comparison - Production'!AZ170</f>
        <v>0</v>
      </c>
      <c r="AA63" s="60">
        <f>'BAU Comparison - Production'!BA170</f>
        <v>0</v>
      </c>
      <c r="AB63" s="61">
        <f>'BAU Comparison - Production'!BB170</f>
        <v>0</v>
      </c>
    </row>
    <row r="64" spans="1:29" ht="15" customHeight="1">
      <c r="A64" s="520"/>
      <c r="B64" s="2" t="str">
        <f>'BAU Comparison - Production'!B171</f>
        <v xml:space="preserve">Mountain Counties </v>
      </c>
      <c r="C64" s="2" t="s">
        <v>240</v>
      </c>
      <c r="D64" s="393">
        <f>'BAU Comparison - Production'!AD171</f>
        <v>0</v>
      </c>
      <c r="E64" s="60">
        <f>'BAU Comparison - Production'!AE171</f>
        <v>0</v>
      </c>
      <c r="F64" s="60">
        <f>'BAU Comparison - Production'!AF171</f>
        <v>0</v>
      </c>
      <c r="G64" s="60">
        <f>'BAU Comparison - Production'!AG171</f>
        <v>0</v>
      </c>
      <c r="H64" s="60">
        <f>'BAU Comparison - Production'!AH171</f>
        <v>0</v>
      </c>
      <c r="I64" s="60">
        <f>'BAU Comparison - Production'!AI171</f>
        <v>0</v>
      </c>
      <c r="J64" s="60">
        <f>'BAU Comparison - Production'!AJ171</f>
        <v>0</v>
      </c>
      <c r="K64" s="60">
        <f>'BAU Comparison - Production'!AK171</f>
        <v>0</v>
      </c>
      <c r="L64" s="60">
        <f>'BAU Comparison - Production'!AL171</f>
        <v>0</v>
      </c>
      <c r="M64" s="60">
        <f>'BAU Comparison - Production'!AM171</f>
        <v>0</v>
      </c>
      <c r="N64" s="60">
        <f>'BAU Comparison - Production'!AN171</f>
        <v>0</v>
      </c>
      <c r="O64" s="60">
        <f>'BAU Comparison - Production'!AO171</f>
        <v>0</v>
      </c>
      <c r="P64" s="60">
        <f>'BAU Comparison - Production'!AP171</f>
        <v>0</v>
      </c>
      <c r="Q64" s="60">
        <f>'BAU Comparison - Production'!AQ171</f>
        <v>0</v>
      </c>
      <c r="R64" s="60">
        <f>'BAU Comparison - Production'!AR171</f>
        <v>0</v>
      </c>
      <c r="S64" s="60">
        <f>'BAU Comparison - Production'!AS171</f>
        <v>0</v>
      </c>
      <c r="T64" s="60">
        <f>'BAU Comparison - Production'!AT171</f>
        <v>0</v>
      </c>
      <c r="U64" s="60">
        <f>'BAU Comparison - Production'!AU171</f>
        <v>0</v>
      </c>
      <c r="V64" s="60">
        <f>'BAU Comparison - Production'!AV171</f>
        <v>0</v>
      </c>
      <c r="W64" s="60">
        <f>'BAU Comparison - Production'!AW171</f>
        <v>0</v>
      </c>
      <c r="X64" s="60">
        <f>'BAU Comparison - Production'!AX171</f>
        <v>0</v>
      </c>
      <c r="Y64" s="60">
        <f>'BAU Comparison - Production'!AY171</f>
        <v>0</v>
      </c>
      <c r="Z64" s="60">
        <f>'BAU Comparison - Production'!AZ171</f>
        <v>0</v>
      </c>
      <c r="AA64" s="60">
        <f>'BAU Comparison - Production'!BA171</f>
        <v>0</v>
      </c>
      <c r="AB64" s="61">
        <f>'BAU Comparison - Production'!BB171</f>
        <v>0</v>
      </c>
    </row>
    <row r="65" spans="1:29" ht="15" customHeight="1">
      <c r="A65" s="520"/>
      <c r="B65" s="2" t="str">
        <f>'BAU Comparison - Production'!B172</f>
        <v>North Central coast</v>
      </c>
      <c r="C65" s="2" t="s">
        <v>240</v>
      </c>
      <c r="D65" s="393">
        <f>'BAU Comparison - Production'!AD172</f>
        <v>0</v>
      </c>
      <c r="E65" s="60">
        <f>'BAU Comparison - Production'!AE172</f>
        <v>0</v>
      </c>
      <c r="F65" s="60">
        <f>'BAU Comparison - Production'!AF172</f>
        <v>0</v>
      </c>
      <c r="G65" s="60">
        <f>'BAU Comparison - Production'!AG172</f>
        <v>0</v>
      </c>
      <c r="H65" s="60">
        <f>'BAU Comparison - Production'!AH172</f>
        <v>0</v>
      </c>
      <c r="I65" s="60">
        <f>'BAU Comparison - Production'!AI172</f>
        <v>0</v>
      </c>
      <c r="J65" s="60">
        <f>'BAU Comparison - Production'!AJ172</f>
        <v>0</v>
      </c>
      <c r="K65" s="60">
        <f>'BAU Comparison - Production'!AK172</f>
        <v>0</v>
      </c>
      <c r="L65" s="60">
        <f>'BAU Comparison - Production'!AL172</f>
        <v>0</v>
      </c>
      <c r="M65" s="60">
        <f>'BAU Comparison - Production'!AM172</f>
        <v>0</v>
      </c>
      <c r="N65" s="60">
        <f>'BAU Comparison - Production'!AN172</f>
        <v>0</v>
      </c>
      <c r="O65" s="60">
        <f>'BAU Comparison - Production'!AO172</f>
        <v>0</v>
      </c>
      <c r="P65" s="60">
        <f>'BAU Comparison - Production'!AP172</f>
        <v>0</v>
      </c>
      <c r="Q65" s="60">
        <f>'BAU Comparison - Production'!AQ172</f>
        <v>0</v>
      </c>
      <c r="R65" s="60">
        <f>'BAU Comparison - Production'!AR172</f>
        <v>0</v>
      </c>
      <c r="S65" s="60">
        <f>'BAU Comparison - Production'!AS172</f>
        <v>0</v>
      </c>
      <c r="T65" s="60">
        <f>'BAU Comparison - Production'!AT172</f>
        <v>0</v>
      </c>
      <c r="U65" s="60">
        <f>'BAU Comparison - Production'!AU172</f>
        <v>0</v>
      </c>
      <c r="V65" s="60">
        <f>'BAU Comparison - Production'!AV172</f>
        <v>0</v>
      </c>
      <c r="W65" s="60">
        <f>'BAU Comparison - Production'!AW172</f>
        <v>0</v>
      </c>
      <c r="X65" s="60">
        <f>'BAU Comparison - Production'!AX172</f>
        <v>0</v>
      </c>
      <c r="Y65" s="60">
        <f>'BAU Comparison - Production'!AY172</f>
        <v>0</v>
      </c>
      <c r="Z65" s="60">
        <f>'BAU Comparison - Production'!AZ172</f>
        <v>0</v>
      </c>
      <c r="AA65" s="60">
        <f>'BAU Comparison - Production'!BA172</f>
        <v>0</v>
      </c>
      <c r="AB65" s="61">
        <f>'BAU Comparison - Production'!BB172</f>
        <v>0</v>
      </c>
    </row>
    <row r="66" spans="1:29" ht="15" customHeight="1">
      <c r="A66" s="520"/>
      <c r="B66" s="2" t="str">
        <f>'BAU Comparison - Production'!B173</f>
        <v>North Coast</v>
      </c>
      <c r="C66" s="2" t="s">
        <v>240</v>
      </c>
      <c r="D66" s="393">
        <f>'BAU Comparison - Production'!AD173</f>
        <v>0</v>
      </c>
      <c r="E66" s="60">
        <f>'BAU Comparison - Production'!AE173</f>
        <v>0</v>
      </c>
      <c r="F66" s="60">
        <f>'BAU Comparison - Production'!AF173</f>
        <v>0</v>
      </c>
      <c r="G66" s="60">
        <f>'BAU Comparison - Production'!AG173</f>
        <v>0.13239025723952363</v>
      </c>
      <c r="H66" s="60">
        <f>'BAU Comparison - Production'!AH173</f>
        <v>0.14913005119097425</v>
      </c>
      <c r="I66" s="60">
        <f>'BAU Comparison - Production'!AI173</f>
        <v>5.6308445825969035E-2</v>
      </c>
      <c r="J66" s="60">
        <f>'BAU Comparison - Production'!AJ173</f>
        <v>9.3418114580819292E-2</v>
      </c>
      <c r="K66" s="60">
        <f>'BAU Comparison - Production'!AK173</f>
        <v>2.3956970022546899E-2</v>
      </c>
      <c r="L66" s="60">
        <f>'BAU Comparison - Production'!AL173</f>
        <v>0</v>
      </c>
      <c r="M66" s="60">
        <f>'BAU Comparison - Production'!AM173</f>
        <v>0</v>
      </c>
      <c r="N66" s="60">
        <f>'BAU Comparison - Production'!AN173</f>
        <v>0</v>
      </c>
      <c r="O66" s="60">
        <f>'BAU Comparison - Production'!AO173</f>
        <v>1.6058826355430118E-3</v>
      </c>
      <c r="P66" s="60">
        <f>'BAU Comparison - Production'!AP173</f>
        <v>2.3063379934221865E-2</v>
      </c>
      <c r="Q66" s="60">
        <f>'BAU Comparison - Production'!AQ173</f>
        <v>3.7639434816983314E-2</v>
      </c>
      <c r="R66" s="60">
        <f>'BAU Comparison - Production'!AR173</f>
        <v>3.7639434816983293E-2</v>
      </c>
      <c r="S66" s="60">
        <f>'BAU Comparison - Production'!AS173</f>
        <v>8.9936996432985666E-2</v>
      </c>
      <c r="T66" s="60">
        <f>'BAU Comparison - Production'!AT173</f>
        <v>8.9936996432985625E-2</v>
      </c>
      <c r="U66" s="60">
        <f>'BAU Comparison - Production'!AU173</f>
        <v>0.11042614641100489</v>
      </c>
      <c r="V66" s="60">
        <f>'BAU Comparison - Production'!AV173</f>
        <v>0.14092457182064669</v>
      </c>
      <c r="W66" s="60">
        <f>'BAU Comparison - Production'!AW173</f>
        <v>0.13804572920100319</v>
      </c>
      <c r="X66" s="60">
        <f>'BAU Comparison - Production'!AX173</f>
        <v>0.1388887016459863</v>
      </c>
      <c r="Y66" s="60">
        <f>'BAU Comparison - Production'!AY173</f>
        <v>0.13986357003738006</v>
      </c>
      <c r="Z66" s="60">
        <f>'BAU Comparison - Production'!AZ173</f>
        <v>0.11989294059562225</v>
      </c>
      <c r="AA66" s="60">
        <f>'BAU Comparison - Production'!BA173</f>
        <v>0.10977144349169334</v>
      </c>
      <c r="AB66" s="61">
        <f>'BAU Comparison - Production'!BB173</f>
        <v>0.10183766466821027</v>
      </c>
    </row>
    <row r="67" spans="1:29" ht="15" customHeight="1">
      <c r="A67" s="520"/>
      <c r="B67" s="2" t="str">
        <f>'BAU Comparison - Production'!B174</f>
        <v>Northeast Plateau</v>
      </c>
      <c r="C67" s="2" t="s">
        <v>240</v>
      </c>
      <c r="D67" s="393">
        <f>'BAU Comparison - Production'!AD174</f>
        <v>0</v>
      </c>
      <c r="E67" s="60">
        <f>'BAU Comparison - Production'!AE174</f>
        <v>0</v>
      </c>
      <c r="F67" s="60">
        <f>'BAU Comparison - Production'!AF174</f>
        <v>0</v>
      </c>
      <c r="G67" s="60">
        <f>'BAU Comparison - Production'!AG174</f>
        <v>0</v>
      </c>
      <c r="H67" s="60">
        <f>'BAU Comparison - Production'!AH174</f>
        <v>0</v>
      </c>
      <c r="I67" s="60">
        <f>'BAU Comparison - Production'!AI174</f>
        <v>0</v>
      </c>
      <c r="J67" s="60">
        <f>'BAU Comparison - Production'!AJ174</f>
        <v>0</v>
      </c>
      <c r="K67" s="60">
        <f>'BAU Comparison - Production'!AK174</f>
        <v>0</v>
      </c>
      <c r="L67" s="60">
        <f>'BAU Comparison - Production'!AL174</f>
        <v>0</v>
      </c>
      <c r="M67" s="60">
        <f>'BAU Comparison - Production'!AM174</f>
        <v>0</v>
      </c>
      <c r="N67" s="60">
        <f>'BAU Comparison - Production'!AN174</f>
        <v>0</v>
      </c>
      <c r="O67" s="60">
        <f>'BAU Comparison - Production'!AO174</f>
        <v>0</v>
      </c>
      <c r="P67" s="60">
        <f>'BAU Comparison - Production'!AP174</f>
        <v>0</v>
      </c>
      <c r="Q67" s="60">
        <f>'BAU Comparison - Production'!AQ174</f>
        <v>0</v>
      </c>
      <c r="R67" s="60">
        <f>'BAU Comparison - Production'!AR174</f>
        <v>0</v>
      </c>
      <c r="S67" s="60">
        <f>'BAU Comparison - Production'!AS174</f>
        <v>0</v>
      </c>
      <c r="T67" s="60">
        <f>'BAU Comparison - Production'!AT174</f>
        <v>0</v>
      </c>
      <c r="U67" s="60">
        <f>'BAU Comparison - Production'!AU174</f>
        <v>0</v>
      </c>
      <c r="V67" s="60">
        <f>'BAU Comparison - Production'!AV174</f>
        <v>0</v>
      </c>
      <c r="W67" s="60">
        <f>'BAU Comparison - Production'!AW174</f>
        <v>0</v>
      </c>
      <c r="X67" s="60">
        <f>'BAU Comparison - Production'!AX174</f>
        <v>0</v>
      </c>
      <c r="Y67" s="60">
        <f>'BAU Comparison - Production'!AY174</f>
        <v>0</v>
      </c>
      <c r="Z67" s="60">
        <f>'BAU Comparison - Production'!AZ174</f>
        <v>0</v>
      </c>
      <c r="AA67" s="60">
        <f>'BAU Comparison - Production'!BA174</f>
        <v>0</v>
      </c>
      <c r="AB67" s="61">
        <f>'BAU Comparison - Production'!BB174</f>
        <v>0</v>
      </c>
    </row>
    <row r="68" spans="1:29" ht="15" customHeight="1">
      <c r="A68" s="520"/>
      <c r="B68" s="2" t="str">
        <f>'BAU Comparison - Production'!B175</f>
        <v xml:space="preserve">Sacramento Valley </v>
      </c>
      <c r="C68" s="2" t="s">
        <v>240</v>
      </c>
      <c r="D68" s="393">
        <f>'BAU Comparison - Production'!AD175</f>
        <v>0</v>
      </c>
      <c r="E68" s="60">
        <f>'BAU Comparison - Production'!AE175</f>
        <v>0</v>
      </c>
      <c r="F68" s="60">
        <f>'BAU Comparison - Production'!AF175</f>
        <v>0</v>
      </c>
      <c r="G68" s="60">
        <f>'BAU Comparison - Production'!AG175</f>
        <v>0.57369111470460243</v>
      </c>
      <c r="H68" s="60">
        <f>'BAU Comparison - Production'!AH175</f>
        <v>0.64623022182755496</v>
      </c>
      <c r="I68" s="60">
        <f>'BAU Comparison - Production'!AI175</f>
        <v>0.2440032652458658</v>
      </c>
      <c r="J68" s="60">
        <f>'BAU Comparison - Production'!AJ175</f>
        <v>0.40481182985021691</v>
      </c>
      <c r="K68" s="60">
        <f>'BAU Comparison - Production'!AK175</f>
        <v>0.1038135367643699</v>
      </c>
      <c r="L68" s="60">
        <f>'BAU Comparison - Production'!AL175</f>
        <v>0</v>
      </c>
      <c r="M68" s="60">
        <f>'BAU Comparison - Production'!AM175</f>
        <v>0</v>
      </c>
      <c r="N68" s="60">
        <f>'BAU Comparison - Production'!AN175</f>
        <v>0</v>
      </c>
      <c r="O68" s="60">
        <f>'BAU Comparison - Production'!AO175</f>
        <v>6.9588247540197171E-3</v>
      </c>
      <c r="P68" s="60">
        <f>'BAU Comparison - Production'!AP175</f>
        <v>9.9941313048294747E-2</v>
      </c>
      <c r="Q68" s="60">
        <f>'BAU Comparison - Production'!AQ175</f>
        <v>0.16310421754026103</v>
      </c>
      <c r="R68" s="60">
        <f>'BAU Comparison - Production'!AR175</f>
        <v>0.16310421754026094</v>
      </c>
      <c r="S68" s="60">
        <f>'BAU Comparison - Production'!AS175</f>
        <v>0.38972698454293786</v>
      </c>
      <c r="T68" s="60">
        <f>'BAU Comparison - Production'!AT175</f>
        <v>0.38972698454293769</v>
      </c>
      <c r="U68" s="60">
        <f>'BAU Comparison - Production'!AU175</f>
        <v>0.47851330111435447</v>
      </c>
      <c r="V68" s="60">
        <f>'BAU Comparison - Production'!AV175</f>
        <v>0.61067314455613553</v>
      </c>
      <c r="W68" s="60">
        <f>'BAU Comparison - Production'!AW175</f>
        <v>0.59819815987101388</v>
      </c>
      <c r="X68" s="60">
        <f>'BAU Comparison - Production'!AX175</f>
        <v>0.60185104046594062</v>
      </c>
      <c r="Y68" s="60">
        <f>'BAU Comparison - Production'!AY175</f>
        <v>0.60607547016198027</v>
      </c>
      <c r="Z68" s="60">
        <f>'BAU Comparison - Production'!AZ175</f>
        <v>0.51953607591436302</v>
      </c>
      <c r="AA68" s="60">
        <f>'BAU Comparison - Production'!BA175</f>
        <v>0.47567625513067108</v>
      </c>
      <c r="AB68" s="61">
        <f>'BAU Comparison - Production'!BB175</f>
        <v>0.44129654689557779</v>
      </c>
    </row>
    <row r="69" spans="1:29" ht="15" customHeight="1">
      <c r="A69" s="520"/>
      <c r="B69" s="2" t="str">
        <f>'BAU Comparison - Production'!B176</f>
        <v>Salton Sea</v>
      </c>
      <c r="C69" s="2" t="s">
        <v>240</v>
      </c>
      <c r="D69" s="393">
        <f>'BAU Comparison - Production'!AD176</f>
        <v>0</v>
      </c>
      <c r="E69" s="60">
        <f>'BAU Comparison - Production'!AE176</f>
        <v>0</v>
      </c>
      <c r="F69" s="60">
        <f>'BAU Comparison - Production'!AF176</f>
        <v>0</v>
      </c>
      <c r="G69" s="60">
        <f>'BAU Comparison - Production'!AG176</f>
        <v>4.4130085746507883E-2</v>
      </c>
      <c r="H69" s="60">
        <f>'BAU Comparison - Production'!AH176</f>
        <v>4.9710017063658081E-2</v>
      </c>
      <c r="I69" s="60">
        <f>'BAU Comparison - Production'!AI176</f>
        <v>1.8769481941989678E-2</v>
      </c>
      <c r="J69" s="60">
        <f>'BAU Comparison - Production'!AJ176</f>
        <v>3.1139371526939765E-2</v>
      </c>
      <c r="K69" s="60">
        <f>'BAU Comparison - Production'!AK176</f>
        <v>7.9856566741822992E-3</v>
      </c>
      <c r="L69" s="60">
        <f>'BAU Comparison - Production'!AL176</f>
        <v>0</v>
      </c>
      <c r="M69" s="60">
        <f>'BAU Comparison - Production'!AM176</f>
        <v>0</v>
      </c>
      <c r="N69" s="60">
        <f>'BAU Comparison - Production'!AN176</f>
        <v>0</v>
      </c>
      <c r="O69" s="60">
        <f>'BAU Comparison - Production'!AO176</f>
        <v>5.3529421184767055E-4</v>
      </c>
      <c r="P69" s="60">
        <f>'BAU Comparison - Production'!AP176</f>
        <v>7.6877933114072889E-3</v>
      </c>
      <c r="Q69" s="60">
        <f>'BAU Comparison - Production'!AQ176</f>
        <v>1.2546478272327771E-2</v>
      </c>
      <c r="R69" s="60">
        <f>'BAU Comparison - Production'!AR176</f>
        <v>1.2546478272327764E-2</v>
      </c>
      <c r="S69" s="60">
        <f>'BAU Comparison - Production'!AS176</f>
        <v>2.9978998810995222E-2</v>
      </c>
      <c r="T69" s="60">
        <f>'BAU Comparison - Production'!AT176</f>
        <v>2.9978998810995208E-2</v>
      </c>
      <c r="U69" s="60">
        <f>'BAU Comparison - Production'!AU176</f>
        <v>3.6808715470334957E-2</v>
      </c>
      <c r="V69" s="60">
        <f>'BAU Comparison - Production'!AV176</f>
        <v>4.6974857273548894E-2</v>
      </c>
      <c r="W69" s="60">
        <f>'BAU Comparison - Production'!AW176</f>
        <v>4.6015243067001069E-2</v>
      </c>
      <c r="X69" s="60">
        <f>'BAU Comparison - Production'!AX176</f>
        <v>4.6296233881995434E-2</v>
      </c>
      <c r="Y69" s="60">
        <f>'BAU Comparison - Production'!AY176</f>
        <v>4.6621190012460019E-2</v>
      </c>
      <c r="Z69" s="60">
        <f>'BAU Comparison - Production'!AZ176</f>
        <v>3.9964313531874081E-2</v>
      </c>
      <c r="AA69" s="60">
        <f>'BAU Comparison - Production'!BA176</f>
        <v>3.6590481163897778E-2</v>
      </c>
      <c r="AB69" s="61">
        <f>'BAU Comparison - Production'!BB176</f>
        <v>3.3945888222736753E-2</v>
      </c>
    </row>
    <row r="70" spans="1:29" ht="15" customHeight="1">
      <c r="A70" s="520"/>
      <c r="B70" s="2" t="str">
        <f>'BAU Comparison - Production'!B177</f>
        <v xml:space="preserve">San Diego </v>
      </c>
      <c r="C70" s="2" t="s">
        <v>240</v>
      </c>
      <c r="D70" s="393">
        <f>'BAU Comparison - Production'!AD177</f>
        <v>0</v>
      </c>
      <c r="E70" s="60">
        <f>'BAU Comparison - Production'!AE177</f>
        <v>0</v>
      </c>
      <c r="F70" s="60">
        <f>'BAU Comparison - Production'!AF177</f>
        <v>0</v>
      </c>
      <c r="G70" s="60">
        <f>'BAU Comparison - Production'!AG177</f>
        <v>0</v>
      </c>
      <c r="H70" s="60">
        <f>'BAU Comparison - Production'!AH177</f>
        <v>0</v>
      </c>
      <c r="I70" s="60">
        <f>'BAU Comparison - Production'!AI177</f>
        <v>0</v>
      </c>
      <c r="J70" s="60">
        <f>'BAU Comparison - Production'!AJ177</f>
        <v>0</v>
      </c>
      <c r="K70" s="60">
        <f>'BAU Comparison - Production'!AK177</f>
        <v>0</v>
      </c>
      <c r="L70" s="60">
        <f>'BAU Comparison - Production'!AL177</f>
        <v>0</v>
      </c>
      <c r="M70" s="60">
        <f>'BAU Comparison - Production'!AM177</f>
        <v>0</v>
      </c>
      <c r="N70" s="60">
        <f>'BAU Comparison - Production'!AN177</f>
        <v>0</v>
      </c>
      <c r="O70" s="60">
        <f>'BAU Comparison - Production'!AO177</f>
        <v>0</v>
      </c>
      <c r="P70" s="60">
        <f>'BAU Comparison - Production'!AP177</f>
        <v>0</v>
      </c>
      <c r="Q70" s="60">
        <f>'BAU Comparison - Production'!AQ177</f>
        <v>0</v>
      </c>
      <c r="R70" s="60">
        <f>'BAU Comparison - Production'!AR177</f>
        <v>0</v>
      </c>
      <c r="S70" s="60">
        <f>'BAU Comparison - Production'!AS177</f>
        <v>0</v>
      </c>
      <c r="T70" s="60">
        <f>'BAU Comparison - Production'!AT177</f>
        <v>0</v>
      </c>
      <c r="U70" s="60">
        <f>'BAU Comparison - Production'!AU177</f>
        <v>0</v>
      </c>
      <c r="V70" s="60">
        <f>'BAU Comparison - Production'!AV177</f>
        <v>0</v>
      </c>
      <c r="W70" s="60">
        <f>'BAU Comparison - Production'!AW177</f>
        <v>0</v>
      </c>
      <c r="X70" s="60">
        <f>'BAU Comparison - Production'!AX177</f>
        <v>0</v>
      </c>
      <c r="Y70" s="60">
        <f>'BAU Comparison - Production'!AY177</f>
        <v>0</v>
      </c>
      <c r="Z70" s="60">
        <f>'BAU Comparison - Production'!AZ177</f>
        <v>0</v>
      </c>
      <c r="AA70" s="60">
        <f>'BAU Comparison - Production'!BA177</f>
        <v>0</v>
      </c>
      <c r="AB70" s="61">
        <f>'BAU Comparison - Production'!BB177</f>
        <v>0</v>
      </c>
    </row>
    <row r="71" spans="1:29" ht="15" customHeight="1">
      <c r="A71" s="520"/>
      <c r="B71" s="2" t="str">
        <f>'BAU Comparison - Production'!B178</f>
        <v>San Franscisco Bay Area</v>
      </c>
      <c r="C71" s="2" t="s">
        <v>240</v>
      </c>
      <c r="D71" s="393">
        <f>'BAU Comparison - Production'!AD178</f>
        <v>0</v>
      </c>
      <c r="E71" s="60">
        <f>'BAU Comparison - Production'!AE178</f>
        <v>0</v>
      </c>
      <c r="F71" s="60">
        <f>'BAU Comparison - Production'!AF178</f>
        <v>0</v>
      </c>
      <c r="G71" s="60">
        <f>'BAU Comparison - Production'!AG178</f>
        <v>0</v>
      </c>
      <c r="H71" s="60">
        <f>'BAU Comparison - Production'!AH178</f>
        <v>0</v>
      </c>
      <c r="I71" s="60">
        <f>'BAU Comparison - Production'!AI178</f>
        <v>0</v>
      </c>
      <c r="J71" s="60">
        <f>'BAU Comparison - Production'!AJ178</f>
        <v>0</v>
      </c>
      <c r="K71" s="60">
        <f>'BAU Comparison - Production'!AK178</f>
        <v>0</v>
      </c>
      <c r="L71" s="60">
        <f>'BAU Comparison - Production'!AL178</f>
        <v>0</v>
      </c>
      <c r="M71" s="60">
        <f>'BAU Comparison - Production'!AM178</f>
        <v>0</v>
      </c>
      <c r="N71" s="60">
        <f>'BAU Comparison - Production'!AN178</f>
        <v>0</v>
      </c>
      <c r="O71" s="60">
        <f>'BAU Comparison - Production'!AO178</f>
        <v>0</v>
      </c>
      <c r="P71" s="60">
        <f>'BAU Comparison - Production'!AP178</f>
        <v>0</v>
      </c>
      <c r="Q71" s="60">
        <f>'BAU Comparison - Production'!AQ178</f>
        <v>0</v>
      </c>
      <c r="R71" s="60">
        <f>'BAU Comparison - Production'!AR178</f>
        <v>0</v>
      </c>
      <c r="S71" s="60">
        <f>'BAU Comparison - Production'!AS178</f>
        <v>0</v>
      </c>
      <c r="T71" s="60">
        <f>'BAU Comparison - Production'!AT178</f>
        <v>0</v>
      </c>
      <c r="U71" s="60">
        <f>'BAU Comparison - Production'!AU178</f>
        <v>0</v>
      </c>
      <c r="V71" s="60">
        <f>'BAU Comparison - Production'!AV178</f>
        <v>0</v>
      </c>
      <c r="W71" s="60">
        <f>'BAU Comparison - Production'!AW178</f>
        <v>0</v>
      </c>
      <c r="X71" s="60">
        <f>'BAU Comparison - Production'!AX178</f>
        <v>0</v>
      </c>
      <c r="Y71" s="60">
        <f>'BAU Comparison - Production'!AY178</f>
        <v>0</v>
      </c>
      <c r="Z71" s="60">
        <f>'BAU Comparison - Production'!AZ178</f>
        <v>0</v>
      </c>
      <c r="AA71" s="60">
        <f>'BAU Comparison - Production'!BA178</f>
        <v>0</v>
      </c>
      <c r="AB71" s="61">
        <f>'BAU Comparison - Production'!BB178</f>
        <v>0</v>
      </c>
    </row>
    <row r="72" spans="1:29" ht="15" customHeight="1">
      <c r="A72" s="520"/>
      <c r="B72" s="2" t="str">
        <f>'BAU Comparison - Production'!B179</f>
        <v xml:space="preserve">San Joaquin Valley </v>
      </c>
      <c r="C72" s="2" t="s">
        <v>240</v>
      </c>
      <c r="D72" s="393">
        <f>'BAU Comparison - Production'!AD179</f>
        <v>0</v>
      </c>
      <c r="E72" s="60">
        <f>'BAU Comparison - Production'!AE179</f>
        <v>0</v>
      </c>
      <c r="F72" s="60">
        <f>'BAU Comparison - Production'!AF179</f>
        <v>0</v>
      </c>
      <c r="G72" s="60">
        <f>'BAU Comparison - Production'!AG179</f>
        <v>41.394020430224387</v>
      </c>
      <c r="H72" s="60">
        <f>'BAU Comparison - Production'!AH179</f>
        <v>46.627996005711275</v>
      </c>
      <c r="I72" s="60">
        <f>'BAU Comparison - Production'!AI179</f>
        <v>17.605774061586317</v>
      </c>
      <c r="J72" s="60">
        <f>'BAU Comparison - Production'!AJ179</f>
        <v>29.208730492269499</v>
      </c>
      <c r="K72" s="60">
        <f>'BAU Comparison - Production'!AK179</f>
        <v>7.4905459603829971</v>
      </c>
      <c r="L72" s="60">
        <f>'BAU Comparison - Production'!AL179</f>
        <v>0</v>
      </c>
      <c r="M72" s="60">
        <f>'BAU Comparison - Production'!AM179</f>
        <v>0</v>
      </c>
      <c r="N72" s="60">
        <f>'BAU Comparison - Production'!AN179</f>
        <v>0</v>
      </c>
      <c r="O72" s="60">
        <f>'BAU Comparison - Production'!AO179</f>
        <v>0.50210597071311491</v>
      </c>
      <c r="P72" s="60">
        <f>'BAU Comparison - Production'!AP179</f>
        <v>7.2111501261000361</v>
      </c>
      <c r="Q72" s="60">
        <f>'BAU Comparison - Production'!AQ179</f>
        <v>11.768596619443448</v>
      </c>
      <c r="R72" s="60">
        <f>'BAU Comparison - Production'!AR179</f>
        <v>11.768596619443443</v>
      </c>
      <c r="S72" s="60">
        <f>'BAU Comparison - Production'!AS179</f>
        <v>28.120300884713515</v>
      </c>
      <c r="T72" s="60">
        <f>'BAU Comparison - Production'!AT179</f>
        <v>28.120300884713505</v>
      </c>
      <c r="U72" s="60">
        <f>'BAU Comparison - Production'!AU179</f>
        <v>34.526575111174189</v>
      </c>
      <c r="V72" s="60">
        <f>'BAU Comparison - Production'!AV179</f>
        <v>44.062416122588857</v>
      </c>
      <c r="W72" s="60">
        <f>'BAU Comparison - Production'!AW179</f>
        <v>43.162297996846995</v>
      </c>
      <c r="X72" s="60">
        <f>'BAU Comparison - Production'!AX179</f>
        <v>43.425867381311711</v>
      </c>
      <c r="Y72" s="60">
        <f>'BAU Comparison - Production'!AY179</f>
        <v>43.730676231687497</v>
      </c>
      <c r="Z72" s="60">
        <f>'BAU Comparison - Production'!AZ179</f>
        <v>37.48652609289789</v>
      </c>
      <c r="AA72" s="60">
        <f>'BAU Comparison - Production'!BA179</f>
        <v>34.321871331736112</v>
      </c>
      <c r="AB72" s="61">
        <f>'BAU Comparison - Production'!BB179</f>
        <v>31.841243152927074</v>
      </c>
    </row>
    <row r="73" spans="1:29" ht="15" customHeight="1">
      <c r="A73" s="520"/>
      <c r="B73" s="2" t="str">
        <f>'BAU Comparison - Production'!B180</f>
        <v>South Central Coast</v>
      </c>
      <c r="C73" s="2" t="s">
        <v>240</v>
      </c>
      <c r="D73" s="393">
        <f>'BAU Comparison - Production'!AD180</f>
        <v>0</v>
      </c>
      <c r="E73" s="60">
        <f>'BAU Comparison - Production'!AE180</f>
        <v>0</v>
      </c>
      <c r="F73" s="60">
        <f>'BAU Comparison - Production'!AF180</f>
        <v>0</v>
      </c>
      <c r="G73" s="60">
        <f>'BAU Comparison - Production'!AG180</f>
        <v>0</v>
      </c>
      <c r="H73" s="60">
        <f>'BAU Comparison - Production'!AH180</f>
        <v>0</v>
      </c>
      <c r="I73" s="60">
        <f>'BAU Comparison - Production'!AI180</f>
        <v>0</v>
      </c>
      <c r="J73" s="60">
        <f>'BAU Comparison - Production'!AJ180</f>
        <v>0</v>
      </c>
      <c r="K73" s="60">
        <f>'BAU Comparison - Production'!AK180</f>
        <v>0</v>
      </c>
      <c r="L73" s="60">
        <f>'BAU Comparison - Production'!AL180</f>
        <v>0</v>
      </c>
      <c r="M73" s="60">
        <f>'BAU Comparison - Production'!AM180</f>
        <v>0</v>
      </c>
      <c r="N73" s="60">
        <f>'BAU Comparison - Production'!AN180</f>
        <v>0</v>
      </c>
      <c r="O73" s="60">
        <f>'BAU Comparison - Production'!AO180</f>
        <v>0</v>
      </c>
      <c r="P73" s="60">
        <f>'BAU Comparison - Production'!AP180</f>
        <v>0</v>
      </c>
      <c r="Q73" s="60">
        <f>'BAU Comparison - Production'!AQ180</f>
        <v>0</v>
      </c>
      <c r="R73" s="60">
        <f>'BAU Comparison - Production'!AR180</f>
        <v>0</v>
      </c>
      <c r="S73" s="60">
        <f>'BAU Comparison - Production'!AS180</f>
        <v>0</v>
      </c>
      <c r="T73" s="60">
        <f>'BAU Comparison - Production'!AT180</f>
        <v>0</v>
      </c>
      <c r="U73" s="60">
        <f>'BAU Comparison - Production'!AU180</f>
        <v>0</v>
      </c>
      <c r="V73" s="60">
        <f>'BAU Comparison - Production'!AV180</f>
        <v>0</v>
      </c>
      <c r="W73" s="60">
        <f>'BAU Comparison - Production'!AW180</f>
        <v>0</v>
      </c>
      <c r="X73" s="60">
        <f>'BAU Comparison - Production'!AX180</f>
        <v>0</v>
      </c>
      <c r="Y73" s="60">
        <f>'BAU Comparison - Production'!AY180</f>
        <v>0</v>
      </c>
      <c r="Z73" s="60">
        <f>'BAU Comparison - Production'!AZ180</f>
        <v>0</v>
      </c>
      <c r="AA73" s="60">
        <f>'BAU Comparison - Production'!BA180</f>
        <v>0</v>
      </c>
      <c r="AB73" s="61">
        <f>'BAU Comparison - Production'!BB180</f>
        <v>0</v>
      </c>
    </row>
    <row r="74" spans="1:29" ht="15" customHeight="1">
      <c r="A74" s="520"/>
      <c r="B74" s="2" t="str">
        <f>'BAU Comparison - Production'!B181</f>
        <v>South Coast</v>
      </c>
      <c r="C74" s="2" t="s">
        <v>240</v>
      </c>
      <c r="D74" s="394">
        <f>'BAU Comparison - Production'!AD181</f>
        <v>0</v>
      </c>
      <c r="E74" s="64">
        <f>'BAU Comparison - Production'!AE181</f>
        <v>0</v>
      </c>
      <c r="F74" s="64">
        <f>'BAU Comparison - Production'!AF181</f>
        <v>0</v>
      </c>
      <c r="G74" s="64">
        <f>'BAU Comparison - Production'!AG181</f>
        <v>1.9858538585928545</v>
      </c>
      <c r="H74" s="64">
        <f>'BAU Comparison - Production'!AH181</f>
        <v>2.2369507678646134</v>
      </c>
      <c r="I74" s="64">
        <f>'BAU Comparison - Production'!AI181</f>
        <v>0.8446266873895355</v>
      </c>
      <c r="J74" s="64">
        <f>'BAU Comparison - Production'!AJ181</f>
        <v>1.4012717187122894</v>
      </c>
      <c r="K74" s="64">
        <f>'BAU Comparison - Production'!AK181</f>
        <v>0.35935455033820346</v>
      </c>
      <c r="L74" s="64">
        <f>'BAU Comparison - Production'!AL181</f>
        <v>0</v>
      </c>
      <c r="M74" s="64">
        <f>'BAU Comparison - Production'!AM181</f>
        <v>0</v>
      </c>
      <c r="N74" s="64">
        <f>'BAU Comparison - Production'!AN181</f>
        <v>0</v>
      </c>
      <c r="O74" s="64">
        <f>'BAU Comparison - Production'!AO181</f>
        <v>2.4088239533145175E-2</v>
      </c>
      <c r="P74" s="64">
        <f>'BAU Comparison - Production'!AP181</f>
        <v>0.34595069901332798</v>
      </c>
      <c r="Q74" s="64">
        <f>'BAU Comparison - Production'!AQ181</f>
        <v>0.56459152225474973</v>
      </c>
      <c r="R74" s="64">
        <f>'BAU Comparison - Production'!AR181</f>
        <v>0.5645915222547494</v>
      </c>
      <c r="S74" s="64">
        <f>'BAU Comparison - Production'!AS181</f>
        <v>1.349054946494785</v>
      </c>
      <c r="T74" s="64">
        <f>'BAU Comparison - Production'!AT181</f>
        <v>1.3490549464947843</v>
      </c>
      <c r="U74" s="64">
        <f>'BAU Comparison - Production'!AU181</f>
        <v>1.6563921961650732</v>
      </c>
      <c r="V74" s="64">
        <f>'BAU Comparison - Production'!AV181</f>
        <v>2.1138685773097001</v>
      </c>
      <c r="W74" s="64">
        <f>'BAU Comparison - Production'!AW181</f>
        <v>2.070685938015048</v>
      </c>
      <c r="X74" s="64">
        <f>'BAU Comparison - Production'!AX181</f>
        <v>2.0833305246897944</v>
      </c>
      <c r="Y74" s="64">
        <f>'BAU Comparison - Production'!AY181</f>
        <v>2.097953550560701</v>
      </c>
      <c r="Z74" s="64">
        <f>'BAU Comparison - Production'!AZ181</f>
        <v>1.7983941089343336</v>
      </c>
      <c r="AA74" s="64">
        <f>'BAU Comparison - Production'!BA181</f>
        <v>1.6465716523753999</v>
      </c>
      <c r="AB74" s="65">
        <f>'BAU Comparison - Production'!BB181</f>
        <v>1.5275649700231539</v>
      </c>
    </row>
    <row r="75" spans="1:29" ht="15.75" customHeight="1">
      <c r="A75" s="520"/>
      <c r="B75" s="72" t="str">
        <f>'BAU Comparison - Production'!B182</f>
        <v>STATEWIDE</v>
      </c>
      <c r="C75" s="72" t="s">
        <v>240</v>
      </c>
      <c r="D75" s="175">
        <f>'BAU Comparison - Production'!AD182</f>
        <v>0</v>
      </c>
      <c r="E75" s="175">
        <f>'BAU Comparison - Production'!AE182</f>
        <v>0</v>
      </c>
      <c r="F75" s="175">
        <f>'BAU Comparison - Production'!AF182</f>
        <v>0</v>
      </c>
      <c r="G75" s="175">
        <f>'BAU Comparison - Production'!AG182</f>
        <v>44.130085746507874</v>
      </c>
      <c r="H75" s="175">
        <f>'BAU Comparison - Production'!AH182</f>
        <v>49.710017063658071</v>
      </c>
      <c r="I75" s="175">
        <f>'BAU Comparison - Production'!AI182</f>
        <v>18.769481941989678</v>
      </c>
      <c r="J75" s="175">
        <f>'BAU Comparison - Production'!AJ182</f>
        <v>31.139371526939765</v>
      </c>
      <c r="K75" s="175">
        <f>'BAU Comparison - Production'!AK182</f>
        <v>7.9856566741822999</v>
      </c>
      <c r="L75" s="175">
        <f>'BAU Comparison - Production'!AL182</f>
        <v>0</v>
      </c>
      <c r="M75" s="175">
        <f>'BAU Comparison - Production'!AM182</f>
        <v>0</v>
      </c>
      <c r="N75" s="175">
        <f>'BAU Comparison - Production'!AN182</f>
        <v>0</v>
      </c>
      <c r="O75" s="175">
        <f>'BAU Comparison - Production'!AO182</f>
        <v>0.53529421184767056</v>
      </c>
      <c r="P75" s="175">
        <f>'BAU Comparison - Production'!AP182</f>
        <v>7.6877933114072885</v>
      </c>
      <c r="Q75" s="175">
        <f>'BAU Comparison - Production'!AQ182</f>
        <v>12.54647827232777</v>
      </c>
      <c r="R75" s="175">
        <f>'BAU Comparison - Production'!AR182</f>
        <v>12.546478272327764</v>
      </c>
      <c r="S75" s="175">
        <f>'BAU Comparison - Production'!AS182</f>
        <v>29.978998810995218</v>
      </c>
      <c r="T75" s="175">
        <f>'BAU Comparison - Production'!AT182</f>
        <v>29.978998810995208</v>
      </c>
      <c r="U75" s="175">
        <f>'BAU Comparison - Production'!AU182</f>
        <v>36.808715470334953</v>
      </c>
      <c r="V75" s="175">
        <f>'BAU Comparison - Production'!AV182</f>
        <v>46.974857273548892</v>
      </c>
      <c r="W75" s="175">
        <f>'BAU Comparison - Production'!AW182</f>
        <v>46.015243067001059</v>
      </c>
      <c r="X75" s="175">
        <f>'BAU Comparison - Production'!AX182</f>
        <v>46.296233881995427</v>
      </c>
      <c r="Y75" s="175">
        <f>'BAU Comparison - Production'!AY182</f>
        <v>46.621190012460019</v>
      </c>
      <c r="Z75" s="175">
        <f>'BAU Comparison - Production'!AZ182</f>
        <v>39.964313531874083</v>
      </c>
      <c r="AA75" s="175">
        <f>'BAU Comparison - Production'!BA182</f>
        <v>36.590481163897778</v>
      </c>
      <c r="AB75" s="175">
        <f>'BAU Comparison - Production'!BB182</f>
        <v>33.945888222736755</v>
      </c>
      <c r="AC75" s="66"/>
    </row>
    <row r="76" spans="1:29" ht="15" customHeight="1">
      <c r="A76" s="520"/>
      <c r="B76" s="20"/>
      <c r="C76" s="20"/>
      <c r="D76" s="20"/>
      <c r="E76" s="20"/>
      <c r="F76" s="20"/>
      <c r="G76" s="20"/>
      <c r="H76" s="20"/>
      <c r="I76" s="20"/>
      <c r="J76" s="188"/>
      <c r="K76" s="20"/>
      <c r="L76" s="20"/>
      <c r="M76" s="20"/>
      <c r="N76" s="20"/>
      <c r="O76" s="20"/>
    </row>
    <row r="77" spans="1:29" ht="15.75" customHeight="1">
      <c r="A77" s="520"/>
      <c r="B77" s="86"/>
      <c r="C77" s="86"/>
      <c r="D77" s="519" t="s">
        <v>18954</v>
      </c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</row>
    <row r="78" spans="1:29" ht="15" customHeight="1">
      <c r="A78" s="520"/>
      <c r="B78" s="296" t="s">
        <v>18814</v>
      </c>
      <c r="C78" s="90" t="str">
        <f>'BAU Comparison - Production'!C185</f>
        <v>tons</v>
      </c>
      <c r="D78" s="156">
        <f>'BAU Comparison - Production'!D184</f>
        <v>2022</v>
      </c>
      <c r="E78" s="156">
        <f>'BAU Comparison - Production'!E184</f>
        <v>2023</v>
      </c>
      <c r="F78" s="156">
        <f>'BAU Comparison - Production'!F184</f>
        <v>2024</v>
      </c>
      <c r="G78" s="156">
        <f>'BAU Comparison - Production'!G184</f>
        <v>2025</v>
      </c>
      <c r="H78" s="156">
        <f>'BAU Comparison - Production'!H184</f>
        <v>2026</v>
      </c>
      <c r="I78" s="156">
        <f>'BAU Comparison - Production'!I184</f>
        <v>2027</v>
      </c>
      <c r="J78" s="156">
        <f>'BAU Comparison - Production'!J184</f>
        <v>2028</v>
      </c>
      <c r="K78" s="156">
        <f>'BAU Comparison - Production'!K184</f>
        <v>2029</v>
      </c>
      <c r="L78" s="156">
        <f>'BAU Comparison - Production'!L184</f>
        <v>2030</v>
      </c>
      <c r="M78" s="156">
        <f>'BAU Comparison - Production'!M184</f>
        <v>2031</v>
      </c>
      <c r="N78" s="156">
        <f>'BAU Comparison - Production'!N184</f>
        <v>2032</v>
      </c>
      <c r="O78" s="156">
        <f>'BAU Comparison - Production'!O184</f>
        <v>2033</v>
      </c>
      <c r="P78" s="156">
        <f>'BAU Comparison - Production'!P184</f>
        <v>2034</v>
      </c>
      <c r="Q78" s="156">
        <f>'BAU Comparison - Production'!Q184</f>
        <v>2035</v>
      </c>
      <c r="R78" s="156">
        <f>'BAU Comparison - Production'!R184</f>
        <v>2036</v>
      </c>
      <c r="S78" s="156">
        <f>'BAU Comparison - Production'!S184</f>
        <v>2037</v>
      </c>
      <c r="T78" s="156">
        <f>'BAU Comparison - Production'!T184</f>
        <v>2038</v>
      </c>
      <c r="U78" s="156">
        <f>'BAU Comparison - Production'!U184</f>
        <v>2039</v>
      </c>
      <c r="V78" s="156">
        <f>'BAU Comparison - Production'!V184</f>
        <v>2040</v>
      </c>
      <c r="W78" s="156">
        <f>'BAU Comparison - Production'!W184</f>
        <v>2041</v>
      </c>
      <c r="X78" s="156">
        <f>'BAU Comparison - Production'!X184</f>
        <v>2042</v>
      </c>
      <c r="Y78" s="156">
        <f>'BAU Comparison - Production'!Y184</f>
        <v>2043</v>
      </c>
      <c r="Z78" s="156">
        <f>'BAU Comparison - Production'!Z184</f>
        <v>2044</v>
      </c>
      <c r="AA78" s="156">
        <f>'BAU Comparison - Production'!AA184</f>
        <v>2045</v>
      </c>
      <c r="AB78" s="156">
        <f>'BAU Comparison - Production'!AB184</f>
        <v>2046</v>
      </c>
    </row>
    <row r="79" spans="1:29" ht="15" customHeight="1">
      <c r="A79" s="520"/>
      <c r="B79" s="111" t="str">
        <f>'BAU Comparison - Production'!B185</f>
        <v>Great Basin Valleys</v>
      </c>
      <c r="C79" s="83" t="s">
        <v>240</v>
      </c>
      <c r="D79" s="104">
        <f>'BAU Comparison - Production'!AD185</f>
        <v>0</v>
      </c>
      <c r="E79" s="79">
        <f>'BAU Comparison - Production'!AE185</f>
        <v>0</v>
      </c>
      <c r="F79" s="79">
        <f>'BAU Comparison - Production'!AF185</f>
        <v>0</v>
      </c>
      <c r="G79" s="79">
        <f>'BAU Comparison - Production'!AG185</f>
        <v>0</v>
      </c>
      <c r="H79" s="79">
        <f>'BAU Comparison - Production'!AH185</f>
        <v>0</v>
      </c>
      <c r="I79" s="79">
        <f>'BAU Comparison - Production'!AI185</f>
        <v>0</v>
      </c>
      <c r="J79" s="79">
        <f>'BAU Comparison - Production'!AJ185</f>
        <v>0</v>
      </c>
      <c r="K79" s="79">
        <f>'BAU Comparison - Production'!AK185</f>
        <v>0</v>
      </c>
      <c r="L79" s="79">
        <f>'BAU Comparison - Production'!AL185</f>
        <v>0</v>
      </c>
      <c r="M79" s="79">
        <f>'BAU Comparison - Production'!AM185</f>
        <v>0</v>
      </c>
      <c r="N79" s="79">
        <f>'BAU Comparison - Production'!AN185</f>
        <v>0</v>
      </c>
      <c r="O79" s="79">
        <f>'BAU Comparison - Production'!AO185</f>
        <v>0</v>
      </c>
      <c r="P79" s="79">
        <f>'BAU Comparison - Production'!AP185</f>
        <v>0</v>
      </c>
      <c r="Q79" s="79">
        <f>'BAU Comparison - Production'!AQ185</f>
        <v>0</v>
      </c>
      <c r="R79" s="79">
        <f>'BAU Comparison - Production'!AR185</f>
        <v>0</v>
      </c>
      <c r="S79" s="79">
        <f>'BAU Comparison - Production'!AS185</f>
        <v>0</v>
      </c>
      <c r="T79" s="79">
        <f>'BAU Comparison - Production'!AT185</f>
        <v>0</v>
      </c>
      <c r="U79" s="79">
        <f>'BAU Comparison - Production'!AU185</f>
        <v>0</v>
      </c>
      <c r="V79" s="79">
        <f>'BAU Comparison - Production'!AV185</f>
        <v>0</v>
      </c>
      <c r="W79" s="79">
        <f>'BAU Comparison - Production'!AW185</f>
        <v>0</v>
      </c>
      <c r="X79" s="79">
        <f>'BAU Comparison - Production'!AX185</f>
        <v>0</v>
      </c>
      <c r="Y79" s="79">
        <f>'BAU Comparison - Production'!AY185</f>
        <v>0</v>
      </c>
      <c r="Z79" s="79">
        <f>'BAU Comparison - Production'!AZ185</f>
        <v>0</v>
      </c>
      <c r="AA79" s="79">
        <f>'BAU Comparison - Production'!BA185</f>
        <v>0</v>
      </c>
      <c r="AB79" s="80">
        <f>'BAU Comparison - Production'!BB185</f>
        <v>0</v>
      </c>
    </row>
    <row r="80" spans="1:29" ht="15" customHeight="1">
      <c r="A80" s="520"/>
      <c r="B80" s="13" t="str">
        <f>'BAU Comparison - Production'!B186</f>
        <v xml:space="preserve">Lake County </v>
      </c>
      <c r="C80" s="2" t="s">
        <v>240</v>
      </c>
      <c r="D80" s="393">
        <f>'BAU Comparison - Production'!AD186</f>
        <v>0</v>
      </c>
      <c r="E80" s="60">
        <f>'BAU Comparison - Production'!AE186</f>
        <v>0</v>
      </c>
      <c r="F80" s="60">
        <f>'BAU Comparison - Production'!AF186</f>
        <v>0</v>
      </c>
      <c r="G80" s="60">
        <f>'BAU Comparison - Production'!AG186</f>
        <v>0</v>
      </c>
      <c r="H80" s="60">
        <f>'BAU Comparison - Production'!AH186</f>
        <v>0</v>
      </c>
      <c r="I80" s="60">
        <f>'BAU Comparison - Production'!AI186</f>
        <v>0</v>
      </c>
      <c r="J80" s="60">
        <f>'BAU Comparison - Production'!AJ186</f>
        <v>0</v>
      </c>
      <c r="K80" s="60">
        <f>'BAU Comparison - Production'!AK186</f>
        <v>0</v>
      </c>
      <c r="L80" s="60">
        <f>'BAU Comparison - Production'!AL186</f>
        <v>0</v>
      </c>
      <c r="M80" s="60">
        <f>'BAU Comparison - Production'!AM186</f>
        <v>0</v>
      </c>
      <c r="N80" s="60">
        <f>'BAU Comparison - Production'!AN186</f>
        <v>0</v>
      </c>
      <c r="O80" s="60">
        <f>'BAU Comparison - Production'!AO186</f>
        <v>0</v>
      </c>
      <c r="P80" s="60">
        <f>'BAU Comparison - Production'!AP186</f>
        <v>0</v>
      </c>
      <c r="Q80" s="60">
        <f>'BAU Comparison - Production'!AQ186</f>
        <v>0</v>
      </c>
      <c r="R80" s="60">
        <f>'BAU Comparison - Production'!AR186</f>
        <v>0</v>
      </c>
      <c r="S80" s="60">
        <f>'BAU Comparison - Production'!AS186</f>
        <v>0</v>
      </c>
      <c r="T80" s="60">
        <f>'BAU Comparison - Production'!AT186</f>
        <v>0</v>
      </c>
      <c r="U80" s="60">
        <f>'BAU Comparison - Production'!AU186</f>
        <v>0</v>
      </c>
      <c r="V80" s="60">
        <f>'BAU Comparison - Production'!AV186</f>
        <v>0</v>
      </c>
      <c r="W80" s="60">
        <f>'BAU Comparison - Production'!AW186</f>
        <v>0</v>
      </c>
      <c r="X80" s="60">
        <f>'BAU Comparison - Production'!AX186</f>
        <v>0</v>
      </c>
      <c r="Y80" s="60">
        <f>'BAU Comparison - Production'!AY186</f>
        <v>0</v>
      </c>
      <c r="Z80" s="60">
        <f>'BAU Comparison - Production'!AZ186</f>
        <v>0</v>
      </c>
      <c r="AA80" s="60">
        <f>'BAU Comparison - Production'!BA186</f>
        <v>0</v>
      </c>
      <c r="AB80" s="61">
        <f>'BAU Comparison - Production'!BB186</f>
        <v>0</v>
      </c>
    </row>
    <row r="81" spans="1:29" ht="15" customHeight="1">
      <c r="A81" s="520"/>
      <c r="B81" s="13" t="str">
        <f>'BAU Comparison - Production'!B187</f>
        <v xml:space="preserve">Lake Tahoe </v>
      </c>
      <c r="C81" s="2" t="s">
        <v>240</v>
      </c>
      <c r="D81" s="393">
        <f>'BAU Comparison - Production'!AD187</f>
        <v>0</v>
      </c>
      <c r="E81" s="60">
        <f>'BAU Comparison - Production'!AE187</f>
        <v>0</v>
      </c>
      <c r="F81" s="60">
        <f>'BAU Comparison - Production'!AF187</f>
        <v>0</v>
      </c>
      <c r="G81" s="60">
        <f>'BAU Comparison - Production'!AG187</f>
        <v>0</v>
      </c>
      <c r="H81" s="60">
        <f>'BAU Comparison - Production'!AH187</f>
        <v>0</v>
      </c>
      <c r="I81" s="60">
        <f>'BAU Comparison - Production'!AI187</f>
        <v>0</v>
      </c>
      <c r="J81" s="60">
        <f>'BAU Comparison - Production'!AJ187</f>
        <v>0</v>
      </c>
      <c r="K81" s="60">
        <f>'BAU Comparison - Production'!AK187</f>
        <v>0</v>
      </c>
      <c r="L81" s="60">
        <f>'BAU Comparison - Production'!AL187</f>
        <v>0</v>
      </c>
      <c r="M81" s="60">
        <f>'BAU Comparison - Production'!AM187</f>
        <v>0</v>
      </c>
      <c r="N81" s="60">
        <f>'BAU Comparison - Production'!AN187</f>
        <v>0</v>
      </c>
      <c r="O81" s="60">
        <f>'BAU Comparison - Production'!AO187</f>
        <v>0</v>
      </c>
      <c r="P81" s="60">
        <f>'BAU Comparison - Production'!AP187</f>
        <v>0</v>
      </c>
      <c r="Q81" s="60">
        <f>'BAU Comparison - Production'!AQ187</f>
        <v>0</v>
      </c>
      <c r="R81" s="60">
        <f>'BAU Comparison - Production'!AR187</f>
        <v>0</v>
      </c>
      <c r="S81" s="60">
        <f>'BAU Comparison - Production'!AS187</f>
        <v>0</v>
      </c>
      <c r="T81" s="60">
        <f>'BAU Comparison - Production'!AT187</f>
        <v>0</v>
      </c>
      <c r="U81" s="60">
        <f>'BAU Comparison - Production'!AU187</f>
        <v>0</v>
      </c>
      <c r="V81" s="60">
        <f>'BAU Comparison - Production'!AV187</f>
        <v>0</v>
      </c>
      <c r="W81" s="60">
        <f>'BAU Comparison - Production'!AW187</f>
        <v>0</v>
      </c>
      <c r="X81" s="60">
        <f>'BAU Comparison - Production'!AX187</f>
        <v>0</v>
      </c>
      <c r="Y81" s="60">
        <f>'BAU Comparison - Production'!AY187</f>
        <v>0</v>
      </c>
      <c r="Z81" s="60">
        <f>'BAU Comparison - Production'!AZ187</f>
        <v>0</v>
      </c>
      <c r="AA81" s="60">
        <f>'BAU Comparison - Production'!BA187</f>
        <v>0</v>
      </c>
      <c r="AB81" s="61">
        <f>'BAU Comparison - Production'!BB187</f>
        <v>0</v>
      </c>
    </row>
    <row r="82" spans="1:29" ht="15" customHeight="1">
      <c r="A82" s="520"/>
      <c r="B82" s="13" t="str">
        <f>'BAU Comparison - Production'!B188</f>
        <v>Mojave Desert</v>
      </c>
      <c r="C82" s="2" t="s">
        <v>240</v>
      </c>
      <c r="D82" s="393">
        <f>'BAU Comparison - Production'!AD188</f>
        <v>0</v>
      </c>
      <c r="E82" s="60">
        <f>'BAU Comparison - Production'!AE188</f>
        <v>0</v>
      </c>
      <c r="F82" s="60">
        <f>'BAU Comparison - Production'!AF188</f>
        <v>0</v>
      </c>
      <c r="G82" s="60">
        <f>'BAU Comparison - Production'!AG188</f>
        <v>0</v>
      </c>
      <c r="H82" s="60">
        <f>'BAU Comparison - Production'!AH188</f>
        <v>4.7985665403550743E-5</v>
      </c>
      <c r="I82" s="60">
        <f>'BAU Comparison - Production'!AI188</f>
        <v>4.1155148737819105E-4</v>
      </c>
      <c r="J82" s="60">
        <f>'BAU Comparison - Production'!AJ188</f>
        <v>6.2590311649086364E-4</v>
      </c>
      <c r="K82" s="60">
        <f>'BAU Comparison - Production'!AK188</f>
        <v>7.5169677953411341E-4</v>
      </c>
      <c r="L82" s="60">
        <f>'BAU Comparison - Production'!AL188</f>
        <v>8.2394095391040661E-4</v>
      </c>
      <c r="M82" s="60">
        <f>'BAU Comparison - Production'!AM188</f>
        <v>8.7022578055212562E-4</v>
      </c>
      <c r="N82" s="60">
        <f>'BAU Comparison - Production'!AN188</f>
        <v>8.9799693456778175E-4</v>
      </c>
      <c r="O82" s="60">
        <f>'BAU Comparison - Production'!AO188</f>
        <v>9.1465961659506923E-4</v>
      </c>
      <c r="P82" s="60">
        <f>'BAU Comparison - Production'!AP188</f>
        <v>9.3965365041002785E-4</v>
      </c>
      <c r="Q82" s="60">
        <f>'BAU Comparison - Production'!AQ188</f>
        <v>9.3965337702205999E-4</v>
      </c>
      <c r="R82" s="60">
        <f>'BAU Comparison - Production'!AR188</f>
        <v>9.3965333725655063E-4</v>
      </c>
      <c r="S82" s="60">
        <f>'BAU Comparison - Production'!AS188</f>
        <v>9.3965293960164239E-4</v>
      </c>
      <c r="T82" s="60">
        <f>'BAU Comparison - Production'!AT188</f>
        <v>9.3965291474822174E-4</v>
      </c>
      <c r="U82" s="60">
        <f>'BAU Comparison - Production'!AU188</f>
        <v>9.3965263887534187E-4</v>
      </c>
      <c r="V82" s="60">
        <f>'BAU Comparison - Production'!AV188</f>
        <v>9.3965248851226376E-4</v>
      </c>
      <c r="W82" s="60">
        <f>'BAU Comparison - Production'!AW188</f>
        <v>9.3965245123216884E-4</v>
      </c>
      <c r="X82" s="60">
        <f>'BAU Comparison - Production'!AX188</f>
        <v>9.3965255188843114E-4</v>
      </c>
      <c r="Y82" s="60">
        <f>'BAU Comparison - Production'!AY188</f>
        <v>9.3965265130204454E-4</v>
      </c>
      <c r="Z82" s="60">
        <f>'BAU Comparison - Production'!AZ188</f>
        <v>9.3965275071567888E-4</v>
      </c>
      <c r="AA82" s="60">
        <f>'BAU Comparison - Production'!BA188</f>
        <v>9.3965271343556379E-4</v>
      </c>
      <c r="AB82" s="61">
        <f>'BAU Comparison - Production'!BB188</f>
        <v>9.3965268858215486E-4</v>
      </c>
    </row>
    <row r="83" spans="1:29" ht="15" customHeight="1">
      <c r="A83" s="520"/>
      <c r="B83" s="13" t="str">
        <f>'BAU Comparison - Production'!B189</f>
        <v xml:space="preserve">Mountain Counties </v>
      </c>
      <c r="C83" s="2" t="s">
        <v>240</v>
      </c>
      <c r="D83" s="393">
        <f>'BAU Comparison - Production'!AD189</f>
        <v>0</v>
      </c>
      <c r="E83" s="60">
        <f>'BAU Comparison - Production'!AE189</f>
        <v>0</v>
      </c>
      <c r="F83" s="60">
        <f>'BAU Comparison - Production'!AF189</f>
        <v>0</v>
      </c>
      <c r="G83" s="60">
        <f>'BAU Comparison - Production'!AG189</f>
        <v>0</v>
      </c>
      <c r="H83" s="60">
        <f>'BAU Comparison - Production'!AH189</f>
        <v>0</v>
      </c>
      <c r="I83" s="60">
        <f>'BAU Comparison - Production'!AI189</f>
        <v>0</v>
      </c>
      <c r="J83" s="60">
        <f>'BAU Comparison - Production'!AJ189</f>
        <v>0</v>
      </c>
      <c r="K83" s="60">
        <f>'BAU Comparison - Production'!AK189</f>
        <v>0</v>
      </c>
      <c r="L83" s="60">
        <f>'BAU Comparison - Production'!AL189</f>
        <v>0</v>
      </c>
      <c r="M83" s="60">
        <f>'BAU Comparison - Production'!AM189</f>
        <v>0</v>
      </c>
      <c r="N83" s="60">
        <f>'BAU Comparison - Production'!AN189</f>
        <v>0</v>
      </c>
      <c r="O83" s="60">
        <f>'BAU Comparison - Production'!AO189</f>
        <v>0</v>
      </c>
      <c r="P83" s="60">
        <f>'BAU Comparison - Production'!AP189</f>
        <v>0</v>
      </c>
      <c r="Q83" s="60">
        <f>'BAU Comparison - Production'!AQ189</f>
        <v>0</v>
      </c>
      <c r="R83" s="60">
        <f>'BAU Comparison - Production'!AR189</f>
        <v>0</v>
      </c>
      <c r="S83" s="60">
        <f>'BAU Comparison - Production'!AS189</f>
        <v>0</v>
      </c>
      <c r="T83" s="60">
        <f>'BAU Comparison - Production'!AT189</f>
        <v>0</v>
      </c>
      <c r="U83" s="60">
        <f>'BAU Comparison - Production'!AU189</f>
        <v>0</v>
      </c>
      <c r="V83" s="60">
        <f>'BAU Comparison - Production'!AV189</f>
        <v>0</v>
      </c>
      <c r="W83" s="60">
        <f>'BAU Comparison - Production'!AW189</f>
        <v>0</v>
      </c>
      <c r="X83" s="60">
        <f>'BAU Comparison - Production'!AX189</f>
        <v>0</v>
      </c>
      <c r="Y83" s="60">
        <f>'BAU Comparison - Production'!AY189</f>
        <v>0</v>
      </c>
      <c r="Z83" s="60">
        <f>'BAU Comparison - Production'!AZ189</f>
        <v>0</v>
      </c>
      <c r="AA83" s="60">
        <f>'BAU Comparison - Production'!BA189</f>
        <v>0</v>
      </c>
      <c r="AB83" s="61">
        <f>'BAU Comparison - Production'!BB189</f>
        <v>0</v>
      </c>
    </row>
    <row r="84" spans="1:29" ht="15" customHeight="1">
      <c r="A84" s="520"/>
      <c r="B84" s="13" t="str">
        <f>'BAU Comparison - Production'!B190</f>
        <v>North Central coast</v>
      </c>
      <c r="C84" s="2" t="s">
        <v>240</v>
      </c>
      <c r="D84" s="393">
        <f>'BAU Comparison - Production'!AD190</f>
        <v>0</v>
      </c>
      <c r="E84" s="60">
        <f>'BAU Comparison - Production'!AE190</f>
        <v>0</v>
      </c>
      <c r="F84" s="60">
        <f>'BAU Comparison - Production'!AF190</f>
        <v>0</v>
      </c>
      <c r="G84" s="60">
        <f>'BAU Comparison - Production'!AG190</f>
        <v>0</v>
      </c>
      <c r="H84" s="60">
        <f>'BAU Comparison - Production'!AH190</f>
        <v>3.7675718724777653E-6</v>
      </c>
      <c r="I84" s="60">
        <f>'BAU Comparison - Production'!AI190</f>
        <v>3.2312770801084403E-5</v>
      </c>
      <c r="J84" s="60">
        <f>'BAU Comparison - Production'!AJ190</f>
        <v>4.9142487798296945E-5</v>
      </c>
      <c r="K84" s="60">
        <f>'BAU Comparison - Production'!AK190</f>
        <v>5.9019117884218905E-5</v>
      </c>
      <c r="L84" s="60">
        <f>'BAU Comparison - Production'!AL190</f>
        <v>6.4691335139965456E-5</v>
      </c>
      <c r="M84" s="60">
        <f>'BAU Comparison - Production'!AM190</f>
        <v>6.8325366459763448E-5</v>
      </c>
      <c r="N84" s="60">
        <f>'BAU Comparison - Production'!AN190</f>
        <v>7.0505805510794951E-5</v>
      </c>
      <c r="O84" s="60">
        <f>'BAU Comparison - Production'!AO190</f>
        <v>7.1814068126267703E-5</v>
      </c>
      <c r="P84" s="60">
        <f>'BAU Comparison - Production'!AP190</f>
        <v>7.377646289539448E-5</v>
      </c>
      <c r="Q84" s="60">
        <f>'BAU Comparison - Production'!AQ190</f>
        <v>7.3776441430467205E-5</v>
      </c>
      <c r="R84" s="60">
        <f>'BAU Comparison - Production'!AR190</f>
        <v>7.3776438308297012E-5</v>
      </c>
      <c r="S84" s="60">
        <f>'BAU Comparison - Production'!AS190</f>
        <v>7.3776407086609573E-5</v>
      </c>
      <c r="T84" s="60">
        <f>'BAU Comparison - Production'!AT190</f>
        <v>7.3776405135254967E-5</v>
      </c>
      <c r="U84" s="60">
        <f>'BAU Comparison - Production'!AU190</f>
        <v>7.3776383475226013E-5</v>
      </c>
      <c r="V84" s="60">
        <f>'BAU Comparison - Production'!AV190</f>
        <v>7.3776371669539878E-5</v>
      </c>
      <c r="W84" s="60">
        <f>'BAU Comparison - Production'!AW190</f>
        <v>7.3776368742510843E-5</v>
      </c>
      <c r="X84" s="60">
        <f>'BAU Comparison - Production'!AX190</f>
        <v>7.377637664548976E-5</v>
      </c>
      <c r="Y84" s="60">
        <f>'BAU Comparison - Production'!AY190</f>
        <v>7.3776384450902692E-5</v>
      </c>
      <c r="Z84" s="60">
        <f>'BAU Comparison - Production'!AZ190</f>
        <v>7.3776392256317291E-5</v>
      </c>
      <c r="AA84" s="60">
        <f>'BAU Comparison - Production'!BA190</f>
        <v>7.3776389329286644E-5</v>
      </c>
      <c r="AB84" s="61">
        <f>'BAU Comparison - Production'!BB190</f>
        <v>7.3776387377932974E-5</v>
      </c>
    </row>
    <row r="85" spans="1:29" ht="15" customHeight="1">
      <c r="A85" s="520"/>
      <c r="B85" s="13" t="str">
        <f>'BAU Comparison - Production'!B191</f>
        <v>North Coast</v>
      </c>
      <c r="C85" s="2" t="s">
        <v>240</v>
      </c>
      <c r="D85" s="393">
        <f>'BAU Comparison - Production'!AD191</f>
        <v>0</v>
      </c>
      <c r="E85" s="60">
        <f>'BAU Comparison - Production'!AE191</f>
        <v>0</v>
      </c>
      <c r="F85" s="60">
        <f>'BAU Comparison - Production'!AF191</f>
        <v>0</v>
      </c>
      <c r="G85" s="60">
        <f>'BAU Comparison - Production'!AG191</f>
        <v>0</v>
      </c>
      <c r="H85" s="60">
        <f>'BAU Comparison - Production'!AH191</f>
        <v>0</v>
      </c>
      <c r="I85" s="60">
        <f>'BAU Comparison - Production'!AI191</f>
        <v>0</v>
      </c>
      <c r="J85" s="60">
        <f>'BAU Comparison - Production'!AJ191</f>
        <v>0</v>
      </c>
      <c r="K85" s="60">
        <f>'BAU Comparison - Production'!AK191</f>
        <v>0</v>
      </c>
      <c r="L85" s="60">
        <f>'BAU Comparison - Production'!AL191</f>
        <v>0</v>
      </c>
      <c r="M85" s="60">
        <f>'BAU Comparison - Production'!AM191</f>
        <v>0</v>
      </c>
      <c r="N85" s="60">
        <f>'BAU Comparison - Production'!AN191</f>
        <v>0</v>
      </c>
      <c r="O85" s="60">
        <f>'BAU Comparison - Production'!AO191</f>
        <v>0</v>
      </c>
      <c r="P85" s="60">
        <f>'BAU Comparison - Production'!AP191</f>
        <v>0</v>
      </c>
      <c r="Q85" s="60">
        <f>'BAU Comparison - Production'!AQ191</f>
        <v>0</v>
      </c>
      <c r="R85" s="60">
        <f>'BAU Comparison - Production'!AR191</f>
        <v>0</v>
      </c>
      <c r="S85" s="60">
        <f>'BAU Comparison - Production'!AS191</f>
        <v>0</v>
      </c>
      <c r="T85" s="60">
        <f>'BAU Comparison - Production'!AT191</f>
        <v>0</v>
      </c>
      <c r="U85" s="60">
        <f>'BAU Comparison - Production'!AU191</f>
        <v>0</v>
      </c>
      <c r="V85" s="60">
        <f>'BAU Comparison - Production'!AV191</f>
        <v>0</v>
      </c>
      <c r="W85" s="60">
        <f>'BAU Comparison - Production'!AW191</f>
        <v>0</v>
      </c>
      <c r="X85" s="60">
        <f>'BAU Comparison - Production'!AX191</f>
        <v>0</v>
      </c>
      <c r="Y85" s="60">
        <f>'BAU Comparison - Production'!AY191</f>
        <v>0</v>
      </c>
      <c r="Z85" s="60">
        <f>'BAU Comparison - Production'!AZ191</f>
        <v>0</v>
      </c>
      <c r="AA85" s="60">
        <f>'BAU Comparison - Production'!BA191</f>
        <v>0</v>
      </c>
      <c r="AB85" s="61">
        <f>'BAU Comparison - Production'!BB191</f>
        <v>0</v>
      </c>
    </row>
    <row r="86" spans="1:29" ht="15" customHeight="1">
      <c r="A86" s="520"/>
      <c r="B86" s="13" t="str">
        <f>'BAU Comparison - Production'!B192</f>
        <v>Northeast Plateau</v>
      </c>
      <c r="C86" s="2" t="s">
        <v>240</v>
      </c>
      <c r="D86" s="393">
        <f>'BAU Comparison - Production'!AD192</f>
        <v>0</v>
      </c>
      <c r="E86" s="60">
        <f>'BAU Comparison - Production'!AE192</f>
        <v>0</v>
      </c>
      <c r="F86" s="60">
        <f>'BAU Comparison - Production'!AF192</f>
        <v>0</v>
      </c>
      <c r="G86" s="60">
        <f>'BAU Comparison - Production'!AG192</f>
        <v>0</v>
      </c>
      <c r="H86" s="60">
        <f>'BAU Comparison - Production'!AH192</f>
        <v>0</v>
      </c>
      <c r="I86" s="60">
        <f>'BAU Comparison - Production'!AI192</f>
        <v>0</v>
      </c>
      <c r="J86" s="60">
        <f>'BAU Comparison - Production'!AJ192</f>
        <v>0</v>
      </c>
      <c r="K86" s="60">
        <f>'BAU Comparison - Production'!AK192</f>
        <v>0</v>
      </c>
      <c r="L86" s="60">
        <f>'BAU Comparison - Production'!AL192</f>
        <v>0</v>
      </c>
      <c r="M86" s="60">
        <f>'BAU Comparison - Production'!AM192</f>
        <v>0</v>
      </c>
      <c r="N86" s="60">
        <f>'BAU Comparison - Production'!AN192</f>
        <v>0</v>
      </c>
      <c r="O86" s="60">
        <f>'BAU Comparison - Production'!AO192</f>
        <v>0</v>
      </c>
      <c r="P86" s="60">
        <f>'BAU Comparison - Production'!AP192</f>
        <v>0</v>
      </c>
      <c r="Q86" s="60">
        <f>'BAU Comparison - Production'!AQ192</f>
        <v>0</v>
      </c>
      <c r="R86" s="60">
        <f>'BAU Comparison - Production'!AR192</f>
        <v>0</v>
      </c>
      <c r="S86" s="60">
        <f>'BAU Comparison - Production'!AS192</f>
        <v>0</v>
      </c>
      <c r="T86" s="60">
        <f>'BAU Comparison - Production'!AT192</f>
        <v>0</v>
      </c>
      <c r="U86" s="60">
        <f>'BAU Comparison - Production'!AU192</f>
        <v>0</v>
      </c>
      <c r="V86" s="60">
        <f>'BAU Comparison - Production'!AV192</f>
        <v>0</v>
      </c>
      <c r="W86" s="60">
        <f>'BAU Comparison - Production'!AW192</f>
        <v>0</v>
      </c>
      <c r="X86" s="60">
        <f>'BAU Comparison - Production'!AX192</f>
        <v>0</v>
      </c>
      <c r="Y86" s="60">
        <f>'BAU Comparison - Production'!AY192</f>
        <v>0</v>
      </c>
      <c r="Z86" s="60">
        <f>'BAU Comparison - Production'!AZ192</f>
        <v>0</v>
      </c>
      <c r="AA86" s="60">
        <f>'BAU Comparison - Production'!BA192</f>
        <v>0</v>
      </c>
      <c r="AB86" s="61">
        <f>'BAU Comparison - Production'!BB192</f>
        <v>0</v>
      </c>
    </row>
    <row r="87" spans="1:29" ht="15" customHeight="1">
      <c r="A87" s="520"/>
      <c r="B87" s="13" t="str">
        <f>'BAU Comparison - Production'!B193</f>
        <v xml:space="preserve">Sacramento Valley </v>
      </c>
      <c r="C87" s="2" t="s">
        <v>240</v>
      </c>
      <c r="D87" s="393">
        <f>'BAU Comparison - Production'!AD193</f>
        <v>0</v>
      </c>
      <c r="E87" s="60">
        <f>'BAU Comparison - Production'!AE193</f>
        <v>0</v>
      </c>
      <c r="F87" s="60">
        <f>'BAU Comparison - Production'!AF193</f>
        <v>0</v>
      </c>
      <c r="G87" s="60">
        <f>'BAU Comparison - Production'!AG193</f>
        <v>0</v>
      </c>
      <c r="H87" s="60">
        <f>'BAU Comparison - Production'!AH193</f>
        <v>0</v>
      </c>
      <c r="I87" s="60">
        <f>'BAU Comparison - Production'!AI193</f>
        <v>0</v>
      </c>
      <c r="J87" s="60">
        <f>'BAU Comparison - Production'!AJ193</f>
        <v>0</v>
      </c>
      <c r="K87" s="60">
        <f>'BAU Comparison - Production'!AK193</f>
        <v>0</v>
      </c>
      <c r="L87" s="60">
        <f>'BAU Comparison - Production'!AL193</f>
        <v>0</v>
      </c>
      <c r="M87" s="60">
        <f>'BAU Comparison - Production'!AM193</f>
        <v>0</v>
      </c>
      <c r="N87" s="60">
        <f>'BAU Comparison - Production'!AN193</f>
        <v>0</v>
      </c>
      <c r="O87" s="60">
        <f>'BAU Comparison - Production'!AO193</f>
        <v>0</v>
      </c>
      <c r="P87" s="60">
        <f>'BAU Comparison - Production'!AP193</f>
        <v>0</v>
      </c>
      <c r="Q87" s="60">
        <f>'BAU Comparison - Production'!AQ193</f>
        <v>0</v>
      </c>
      <c r="R87" s="60">
        <f>'BAU Comparison - Production'!AR193</f>
        <v>0</v>
      </c>
      <c r="S87" s="60">
        <f>'BAU Comparison - Production'!AS193</f>
        <v>0</v>
      </c>
      <c r="T87" s="60">
        <f>'BAU Comparison - Production'!AT193</f>
        <v>0</v>
      </c>
      <c r="U87" s="60">
        <f>'BAU Comparison - Production'!AU193</f>
        <v>0</v>
      </c>
      <c r="V87" s="60">
        <f>'BAU Comparison - Production'!AV193</f>
        <v>0</v>
      </c>
      <c r="W87" s="60">
        <f>'BAU Comparison - Production'!AW193</f>
        <v>0</v>
      </c>
      <c r="X87" s="60">
        <f>'BAU Comparison - Production'!AX193</f>
        <v>0</v>
      </c>
      <c r="Y87" s="60">
        <f>'BAU Comparison - Production'!AY193</f>
        <v>0</v>
      </c>
      <c r="Z87" s="60">
        <f>'BAU Comparison - Production'!AZ193</f>
        <v>0</v>
      </c>
      <c r="AA87" s="60">
        <f>'BAU Comparison - Production'!BA193</f>
        <v>0</v>
      </c>
      <c r="AB87" s="61">
        <f>'BAU Comparison - Production'!BB193</f>
        <v>0</v>
      </c>
    </row>
    <row r="88" spans="1:29" ht="15" customHeight="1">
      <c r="A88" s="520"/>
      <c r="B88" s="13" t="str">
        <f>'BAU Comparison - Production'!B194</f>
        <v>Salton Sea</v>
      </c>
      <c r="C88" s="2" t="s">
        <v>240</v>
      </c>
      <c r="D88" s="393">
        <f>'BAU Comparison - Production'!AD194</f>
        <v>0</v>
      </c>
      <c r="E88" s="60">
        <f>'BAU Comparison - Production'!AE194</f>
        <v>0</v>
      </c>
      <c r="F88" s="60">
        <f>'BAU Comparison - Production'!AF194</f>
        <v>0</v>
      </c>
      <c r="G88" s="60">
        <f>'BAU Comparison - Production'!AG194</f>
        <v>0</v>
      </c>
      <c r="H88" s="60">
        <f>'BAU Comparison - Production'!AH194</f>
        <v>0</v>
      </c>
      <c r="I88" s="60">
        <f>'BAU Comparison - Production'!AI194</f>
        <v>0</v>
      </c>
      <c r="J88" s="60">
        <f>'BAU Comparison - Production'!AJ194</f>
        <v>0</v>
      </c>
      <c r="K88" s="60">
        <f>'BAU Comparison - Production'!AK194</f>
        <v>0</v>
      </c>
      <c r="L88" s="60">
        <f>'BAU Comparison - Production'!AL194</f>
        <v>0</v>
      </c>
      <c r="M88" s="60">
        <f>'BAU Comparison - Production'!AM194</f>
        <v>0</v>
      </c>
      <c r="N88" s="60">
        <f>'BAU Comparison - Production'!AN194</f>
        <v>0</v>
      </c>
      <c r="O88" s="60">
        <f>'BAU Comparison - Production'!AO194</f>
        <v>0</v>
      </c>
      <c r="P88" s="60">
        <f>'BAU Comparison - Production'!AP194</f>
        <v>0</v>
      </c>
      <c r="Q88" s="60">
        <f>'BAU Comparison - Production'!AQ194</f>
        <v>0</v>
      </c>
      <c r="R88" s="60">
        <f>'BAU Comparison - Production'!AR194</f>
        <v>0</v>
      </c>
      <c r="S88" s="60">
        <f>'BAU Comparison - Production'!AS194</f>
        <v>0</v>
      </c>
      <c r="T88" s="60">
        <f>'BAU Comparison - Production'!AT194</f>
        <v>0</v>
      </c>
      <c r="U88" s="60">
        <f>'BAU Comparison - Production'!AU194</f>
        <v>0</v>
      </c>
      <c r="V88" s="60">
        <f>'BAU Comparison - Production'!AV194</f>
        <v>0</v>
      </c>
      <c r="W88" s="60">
        <f>'BAU Comparison - Production'!AW194</f>
        <v>0</v>
      </c>
      <c r="X88" s="60">
        <f>'BAU Comparison - Production'!AX194</f>
        <v>0</v>
      </c>
      <c r="Y88" s="60">
        <f>'BAU Comparison - Production'!AY194</f>
        <v>0</v>
      </c>
      <c r="Z88" s="60">
        <f>'BAU Comparison - Production'!AZ194</f>
        <v>0</v>
      </c>
      <c r="AA88" s="60">
        <f>'BAU Comparison - Production'!BA194</f>
        <v>0</v>
      </c>
      <c r="AB88" s="61">
        <f>'BAU Comparison - Production'!BB194</f>
        <v>0</v>
      </c>
    </row>
    <row r="89" spans="1:29" ht="15" customHeight="1">
      <c r="A89" s="520"/>
      <c r="B89" s="13" t="str">
        <f>'BAU Comparison - Production'!B195</f>
        <v xml:space="preserve">San Diego </v>
      </c>
      <c r="C89" s="2" t="s">
        <v>240</v>
      </c>
      <c r="D89" s="393">
        <f>'BAU Comparison - Production'!AD195</f>
        <v>0</v>
      </c>
      <c r="E89" s="60">
        <f>'BAU Comparison - Production'!AE195</f>
        <v>0</v>
      </c>
      <c r="F89" s="60">
        <f>'BAU Comparison - Production'!AF195</f>
        <v>0</v>
      </c>
      <c r="G89" s="60">
        <f>'BAU Comparison - Production'!AG195</f>
        <v>0</v>
      </c>
      <c r="H89" s="60">
        <f>'BAU Comparison - Production'!AH195</f>
        <v>0</v>
      </c>
      <c r="I89" s="60">
        <f>'BAU Comparison - Production'!AI195</f>
        <v>0</v>
      </c>
      <c r="J89" s="60">
        <f>'BAU Comparison - Production'!AJ195</f>
        <v>0</v>
      </c>
      <c r="K89" s="60">
        <f>'BAU Comparison - Production'!AK195</f>
        <v>0</v>
      </c>
      <c r="L89" s="60">
        <f>'BAU Comparison - Production'!AL195</f>
        <v>0</v>
      </c>
      <c r="M89" s="60">
        <f>'BAU Comparison - Production'!AM195</f>
        <v>0</v>
      </c>
      <c r="N89" s="60">
        <f>'BAU Comparison - Production'!AN195</f>
        <v>0</v>
      </c>
      <c r="O89" s="60">
        <f>'BAU Comparison - Production'!AO195</f>
        <v>0</v>
      </c>
      <c r="P89" s="60">
        <f>'BAU Comparison - Production'!AP195</f>
        <v>0</v>
      </c>
      <c r="Q89" s="60">
        <f>'BAU Comparison - Production'!AQ195</f>
        <v>0</v>
      </c>
      <c r="R89" s="60">
        <f>'BAU Comparison - Production'!AR195</f>
        <v>0</v>
      </c>
      <c r="S89" s="60">
        <f>'BAU Comparison - Production'!AS195</f>
        <v>0</v>
      </c>
      <c r="T89" s="60">
        <f>'BAU Comparison - Production'!AT195</f>
        <v>0</v>
      </c>
      <c r="U89" s="60">
        <f>'BAU Comparison - Production'!AU195</f>
        <v>0</v>
      </c>
      <c r="V89" s="60">
        <f>'BAU Comparison - Production'!AV195</f>
        <v>0</v>
      </c>
      <c r="W89" s="60">
        <f>'BAU Comparison - Production'!AW195</f>
        <v>0</v>
      </c>
      <c r="X89" s="60">
        <f>'BAU Comparison - Production'!AX195</f>
        <v>0</v>
      </c>
      <c r="Y89" s="60">
        <f>'BAU Comparison - Production'!AY195</f>
        <v>0</v>
      </c>
      <c r="Z89" s="60">
        <f>'BAU Comparison - Production'!AZ195</f>
        <v>0</v>
      </c>
      <c r="AA89" s="60">
        <f>'BAU Comparison - Production'!BA195</f>
        <v>0</v>
      </c>
      <c r="AB89" s="61">
        <f>'BAU Comparison - Production'!BB195</f>
        <v>0</v>
      </c>
    </row>
    <row r="90" spans="1:29" ht="15" customHeight="1">
      <c r="A90" s="520"/>
      <c r="B90" s="13" t="str">
        <f>'BAU Comparison - Production'!B196</f>
        <v>San Franscisco Bay Area</v>
      </c>
      <c r="C90" s="2" t="s">
        <v>240</v>
      </c>
      <c r="D90" s="393">
        <f>'BAU Comparison - Production'!AD196</f>
        <v>0</v>
      </c>
      <c r="E90" s="60">
        <f>'BAU Comparison - Production'!AE196</f>
        <v>0</v>
      </c>
      <c r="F90" s="60">
        <f>'BAU Comparison - Production'!AF196</f>
        <v>0</v>
      </c>
      <c r="G90" s="60">
        <f>'BAU Comparison - Production'!AG196</f>
        <v>0</v>
      </c>
      <c r="H90" s="60">
        <f>'BAU Comparison - Production'!AH196</f>
        <v>0.20927302380199805</v>
      </c>
      <c r="I90" s="60">
        <f>'BAU Comparison - Production'!AI196</f>
        <v>1.8130544156669191</v>
      </c>
      <c r="J90" s="60">
        <f>'BAU Comparison - Production'!AJ196</f>
        <v>2.7854870562474439</v>
      </c>
      <c r="K90" s="60">
        <f>'BAU Comparison - Production'!AK196</f>
        <v>3.3765076218210286</v>
      </c>
      <c r="L90" s="60">
        <f>'BAU Comparison - Production'!AL196</f>
        <v>3.7397933744041452</v>
      </c>
      <c r="M90" s="60">
        <f>'BAU Comparison - Production'!AM196</f>
        <v>3.9498760110161952</v>
      </c>
      <c r="N90" s="60">
        <f>'BAU Comparison - Production'!AN196</f>
        <v>4.0759267641610633</v>
      </c>
      <c r="O90" s="60">
        <f>'BAU Comparison - Production'!AO196</f>
        <v>4.1515571689245441</v>
      </c>
      <c r="P90" s="60">
        <f>'BAU Comparison - Production'!AP196</f>
        <v>4.2650028249721004</v>
      </c>
      <c r="Q90" s="60">
        <f>'BAU Comparison - Production'!AQ196</f>
        <v>4.2650015840888713</v>
      </c>
      <c r="R90" s="60">
        <f>'BAU Comparison - Production'!AR196</f>
        <v>4.2650014035968269</v>
      </c>
      <c r="S90" s="60">
        <f>'BAU Comparison - Production'!AS196</f>
        <v>4.2649995986772096</v>
      </c>
      <c r="T90" s="60">
        <f>'BAU Comparison - Production'!AT196</f>
        <v>4.2649994858697831</v>
      </c>
      <c r="U90" s="60">
        <f>'BAU Comparison - Production'!AU196</f>
        <v>4.2649982337077645</v>
      </c>
      <c r="V90" s="60">
        <f>'BAU Comparison - Production'!AV196</f>
        <v>4.2649975512233693</v>
      </c>
      <c r="W90" s="60">
        <f>'BAU Comparison - Production'!AW196</f>
        <v>4.2649973820123952</v>
      </c>
      <c r="X90" s="60">
        <f>'BAU Comparison - Production'!AX196</f>
        <v>4.2649978388820537</v>
      </c>
      <c r="Y90" s="60">
        <f>'BAU Comparison - Production'!AY196</f>
        <v>4.2649982901114427</v>
      </c>
      <c r="Z90" s="60">
        <f>'BAU Comparison - Production'!AZ196</f>
        <v>4.2649987413409267</v>
      </c>
      <c r="AA90" s="60">
        <f>'BAU Comparison - Production'!BA196</f>
        <v>4.2649985721298593</v>
      </c>
      <c r="AB90" s="61">
        <f>'BAU Comparison - Production'!BB196</f>
        <v>4.264998459322487</v>
      </c>
    </row>
    <row r="91" spans="1:29" ht="15" customHeight="1">
      <c r="A91" s="520"/>
      <c r="B91" s="13" t="str">
        <f>'BAU Comparison - Production'!B197</f>
        <v xml:space="preserve">San Joaquin Valley </v>
      </c>
      <c r="C91" s="2" t="s">
        <v>240</v>
      </c>
      <c r="D91" s="393">
        <f>'BAU Comparison - Production'!AD197</f>
        <v>0</v>
      </c>
      <c r="E91" s="60">
        <f>'BAU Comparison - Production'!AE197</f>
        <v>0</v>
      </c>
      <c r="F91" s="60">
        <f>'BAU Comparison - Production'!AF197</f>
        <v>0</v>
      </c>
      <c r="G91" s="60">
        <f>'BAU Comparison - Production'!AG197</f>
        <v>0</v>
      </c>
      <c r="H91" s="60">
        <f>'BAU Comparison - Production'!AH197</f>
        <v>3.808342775248144E-3</v>
      </c>
      <c r="I91" s="60">
        <f>'BAU Comparison - Production'!AI197</f>
        <v>3.2662444511676714E-2</v>
      </c>
      <c r="J91" s="60">
        <f>'BAU Comparison - Production'!AJ197</f>
        <v>4.9674284844175513E-2</v>
      </c>
      <c r="K91" s="60">
        <f>'BAU Comparison - Production'!AK197</f>
        <v>5.9657795206987135E-2</v>
      </c>
      <c r="L91" s="60">
        <f>'BAU Comparison - Production'!AL197</f>
        <v>6.5391394548080461E-2</v>
      </c>
      <c r="M91" s="60">
        <f>'BAU Comparison - Production'!AM197</f>
        <v>6.9064751657171616E-2</v>
      </c>
      <c r="N91" s="60">
        <f>'BAU Comparison - Production'!AN197</f>
        <v>7.1268786401014139E-2</v>
      </c>
      <c r="O91" s="60">
        <f>'BAU Comparison - Production'!AO197</f>
        <v>7.2591206423352345E-2</v>
      </c>
      <c r="P91" s="60">
        <f>'BAU Comparison - Production'!AP197</f>
        <v>7.4574837311931458E-2</v>
      </c>
      <c r="Q91" s="60">
        <f>'BAU Comparison - Production'!AQ197</f>
        <v>7.4574815614720763E-2</v>
      </c>
      <c r="R91" s="60">
        <f>'BAU Comparison - Production'!AR197</f>
        <v>7.4574812458763906E-2</v>
      </c>
      <c r="S91" s="60">
        <f>'BAU Comparison - Production'!AS197</f>
        <v>7.457478089920995E-2</v>
      </c>
      <c r="T91" s="60">
        <f>'BAU Comparison - Production'!AT197</f>
        <v>7.4574778926738694E-2</v>
      </c>
      <c r="U91" s="60">
        <f>'BAU Comparison - Production'!AU197</f>
        <v>7.4574757032315017E-2</v>
      </c>
      <c r="V91" s="60">
        <f>'BAU Comparison - Production'!AV197</f>
        <v>7.4574745098873282E-2</v>
      </c>
      <c r="W91" s="60">
        <f>'BAU Comparison - Production'!AW197</f>
        <v>7.4574742140169278E-2</v>
      </c>
      <c r="X91" s="60">
        <f>'BAU Comparison - Production'!AX197</f>
        <v>7.4574750128670556E-2</v>
      </c>
      <c r="Y91" s="60">
        <f>'BAU Comparison - Production'!AY197</f>
        <v>7.4574758018550028E-2</v>
      </c>
      <c r="Z91" s="60">
        <f>'BAU Comparison - Production'!AZ197</f>
        <v>7.4574765908431165E-2</v>
      </c>
      <c r="AA91" s="60">
        <f>'BAU Comparison - Production'!BA197</f>
        <v>7.4574762949725565E-2</v>
      </c>
      <c r="AB91" s="61">
        <f>'BAU Comparison - Production'!BB197</f>
        <v>7.4574760977255253E-2</v>
      </c>
    </row>
    <row r="92" spans="1:29" ht="15" customHeight="1">
      <c r="A92" s="520"/>
      <c r="B92" s="13" t="str">
        <f>'BAU Comparison - Production'!B198</f>
        <v>South Central Coast</v>
      </c>
      <c r="C92" s="2" t="s">
        <v>240</v>
      </c>
      <c r="D92" s="393">
        <f>'BAU Comparison - Production'!AD198</f>
        <v>0</v>
      </c>
      <c r="E92" s="60">
        <f>'BAU Comparison - Production'!AE198</f>
        <v>0</v>
      </c>
      <c r="F92" s="60">
        <f>'BAU Comparison - Production'!AF198</f>
        <v>0</v>
      </c>
      <c r="G92" s="60">
        <f>'BAU Comparison - Production'!AG198</f>
        <v>0</v>
      </c>
      <c r="H92" s="60">
        <f>'BAU Comparison - Production'!AH198</f>
        <v>4.6034961524078081E-3</v>
      </c>
      <c r="I92" s="60">
        <f>'BAU Comparison - Production'!AI198</f>
        <v>3.9482117685149823E-2</v>
      </c>
      <c r="J92" s="60">
        <f>'BAU Comparison - Production'!AJ198</f>
        <v>6.0045902548483555E-2</v>
      </c>
      <c r="K92" s="60">
        <f>'BAU Comparison - Production'!AK198</f>
        <v>7.2113894915513121E-2</v>
      </c>
      <c r="L92" s="60">
        <f>'BAU Comparison - Production'!AL198</f>
        <v>7.9044626749243924E-2</v>
      </c>
      <c r="M92" s="60">
        <f>'BAU Comparison - Production'!AM198</f>
        <v>8.3484953241918736E-2</v>
      </c>
      <c r="N92" s="60">
        <f>'BAU Comparison - Production'!AN198</f>
        <v>8.6149173891645059E-2</v>
      </c>
      <c r="O92" s="60">
        <f>'BAU Comparison - Production'!AO198</f>
        <v>8.7747705285475375E-2</v>
      </c>
      <c r="P92" s="60">
        <f>'BAU Comparison - Production'!AP198</f>
        <v>9.014550340982519E-2</v>
      </c>
      <c r="Q92" s="60">
        <f>'BAU Comparison - Production'!AQ198</f>
        <v>9.0145477182399833E-2</v>
      </c>
      <c r="R92" s="60">
        <f>'BAU Comparison - Production'!AR198</f>
        <v>9.0145473367502865E-2</v>
      </c>
      <c r="S92" s="60">
        <f>'BAU Comparison - Production'!AS198</f>
        <v>9.0145435218551007E-2</v>
      </c>
      <c r="T92" s="60">
        <f>'BAU Comparison - Production'!AT198</f>
        <v>9.0145432834242561E-2</v>
      </c>
      <c r="U92" s="60">
        <f>'BAU Comparison - Production'!AU198</f>
        <v>9.0145406368427619E-2</v>
      </c>
      <c r="V92" s="60">
        <f>'BAU Comparison - Production'!AV198</f>
        <v>9.014539194337283E-2</v>
      </c>
      <c r="W92" s="60">
        <f>'BAU Comparison - Production'!AW198</f>
        <v>9.0145388366913659E-2</v>
      </c>
      <c r="X92" s="60">
        <f>'BAU Comparison - Production'!AX198</f>
        <v>9.0145398023354015E-2</v>
      </c>
      <c r="Y92" s="60">
        <f>'BAU Comparison - Production'!AY198</f>
        <v>9.0145407560581092E-2</v>
      </c>
      <c r="Z92" s="60">
        <f>'BAU Comparison - Production'!AZ198</f>
        <v>9.0145417097810168E-2</v>
      </c>
      <c r="AA92" s="60">
        <f>'BAU Comparison - Production'!BA198</f>
        <v>9.0145413521349069E-2</v>
      </c>
      <c r="AB92" s="61">
        <f>'BAU Comparison - Production'!BB198</f>
        <v>9.0145411137041748E-2</v>
      </c>
    </row>
    <row r="93" spans="1:29" ht="15" customHeight="1">
      <c r="A93" s="520"/>
      <c r="B93" s="13" t="str">
        <f>'BAU Comparison - Production'!B199</f>
        <v>South Coast</v>
      </c>
      <c r="C93" s="2" t="s">
        <v>240</v>
      </c>
      <c r="D93" s="394">
        <f>'BAU Comparison - Production'!AD199</f>
        <v>0</v>
      </c>
      <c r="E93" s="64">
        <f>'BAU Comparison - Production'!AE199</f>
        <v>0</v>
      </c>
      <c r="F93" s="64">
        <f>'BAU Comparison - Production'!AF199</f>
        <v>0</v>
      </c>
      <c r="G93" s="64">
        <f>'BAU Comparison - Production'!AG199</f>
        <v>0</v>
      </c>
      <c r="H93" s="64">
        <f>'BAU Comparison - Production'!AH199</f>
        <v>0.12031117017025231</v>
      </c>
      <c r="I93" s="64">
        <f>'BAU Comparison - Production'!AI199</f>
        <v>1.0318553496643059</v>
      </c>
      <c r="J93" s="64">
        <f>'BAU Comparison - Production'!AJ199</f>
        <v>1.5692861459312706</v>
      </c>
      <c r="K93" s="64">
        <f>'BAU Comparison - Production'!AK199</f>
        <v>1.8846805533683733</v>
      </c>
      <c r="L93" s="64">
        <f>'BAU Comparison - Production'!AL199</f>
        <v>2.0658138408390148</v>
      </c>
      <c r="M93" s="64">
        <f>'BAU Comparison - Production'!AM199</f>
        <v>2.1818643743393507</v>
      </c>
      <c r="N93" s="64">
        <f>'BAU Comparison - Production'!AN199</f>
        <v>2.2514934777511173</v>
      </c>
      <c r="O93" s="64">
        <f>'BAU Comparison - Production'!AO199</f>
        <v>2.2932709887527816</v>
      </c>
      <c r="P93" s="64">
        <f>'BAU Comparison - Production'!AP199</f>
        <v>2.3559372044526654</v>
      </c>
      <c r="Q93" s="64">
        <f>'BAU Comparison - Production'!AQ199</f>
        <v>2.3559384935553815</v>
      </c>
      <c r="R93" s="64">
        <f>'BAU Comparison - Production'!AR199</f>
        <v>2.3559386810611689</v>
      </c>
      <c r="S93" s="64">
        <f>'BAU Comparison - Production'!AS199</f>
        <v>2.3559405561181674</v>
      </c>
      <c r="T93" s="64">
        <f>'BAU Comparison - Production'!AT199</f>
        <v>2.3559406733091768</v>
      </c>
      <c r="U93" s="64">
        <f>'BAU Comparison - Production'!AU199</f>
        <v>2.3559419741289696</v>
      </c>
      <c r="V93" s="64">
        <f>'BAU Comparison - Production'!AV199</f>
        <v>2.3559426831340295</v>
      </c>
      <c r="W93" s="64">
        <f>'BAU Comparison - Production'!AW199</f>
        <v>2.3559428589203728</v>
      </c>
      <c r="X93" s="64">
        <f>'BAU Comparison - Production'!AX199</f>
        <v>2.3559423842972134</v>
      </c>
      <c r="Y93" s="64">
        <f>'BAU Comparison - Production'!AY199</f>
        <v>2.3559419155334993</v>
      </c>
      <c r="Z93" s="64">
        <f>'BAU Comparison - Production'!AZ199</f>
        <v>2.3559414467696862</v>
      </c>
      <c r="AA93" s="64">
        <f>'BAU Comparison - Production'!BA199</f>
        <v>2.3559416225561285</v>
      </c>
      <c r="AB93" s="65">
        <f>'BAU Comparison - Production'!BB199</f>
        <v>2.355941739747081</v>
      </c>
    </row>
    <row r="94" spans="1:29" ht="15.75" customHeight="1">
      <c r="A94" s="520"/>
      <c r="B94" s="10" t="str">
        <f>'BAU Comparison - Production'!B200</f>
        <v>STATEWIDE</v>
      </c>
      <c r="C94" s="72" t="s">
        <v>240</v>
      </c>
      <c r="D94" s="175">
        <f>'BAU Comparison - Production'!AD200</f>
        <v>0</v>
      </c>
      <c r="E94" s="175">
        <f>'BAU Comparison - Production'!AE200</f>
        <v>0</v>
      </c>
      <c r="F94" s="175">
        <f>'BAU Comparison - Production'!AF200</f>
        <v>0</v>
      </c>
      <c r="G94" s="175">
        <f>'BAU Comparison - Production'!AG200</f>
        <v>0</v>
      </c>
      <c r="H94" s="175">
        <f>'BAU Comparison - Production'!AH200</f>
        <v>0.33804778613718234</v>
      </c>
      <c r="I94" s="175">
        <f>'BAU Comparison - Production'!AI200</f>
        <v>2.9174981917862306</v>
      </c>
      <c r="J94" s="175">
        <f>'BAU Comparison - Production'!AJ200</f>
        <v>4.4651684351756629</v>
      </c>
      <c r="K94" s="175">
        <f>'BAU Comparison - Production'!AK200</f>
        <v>5.3937705812093206</v>
      </c>
      <c r="L94" s="175">
        <f>'BAU Comparison - Production'!AL200</f>
        <v>5.9509318688295343</v>
      </c>
      <c r="M94" s="175">
        <f>'BAU Comparison - Production'!AM200</f>
        <v>6.2852286414016474</v>
      </c>
      <c r="N94" s="175">
        <f>'BAU Comparison - Production'!AN200</f>
        <v>6.4858067049449186</v>
      </c>
      <c r="O94" s="175">
        <f>'BAU Comparison - Production'!AO200</f>
        <v>6.6061535430708744</v>
      </c>
      <c r="P94" s="175">
        <f>'BAU Comparison - Production'!AP200</f>
        <v>6.7866738002598277</v>
      </c>
      <c r="Q94" s="175">
        <f>'BAU Comparison - Production'!AQ200</f>
        <v>6.7866738002598259</v>
      </c>
      <c r="R94" s="175">
        <f>'BAU Comparison - Production'!AR200</f>
        <v>6.7866738002598268</v>
      </c>
      <c r="S94" s="175">
        <f>'BAU Comparison - Production'!AS200</f>
        <v>6.7866738002598268</v>
      </c>
      <c r="T94" s="175">
        <f>'BAU Comparison - Production'!AT200</f>
        <v>6.7866738002598241</v>
      </c>
      <c r="U94" s="175">
        <f>'BAU Comparison - Production'!AU200</f>
        <v>6.7866738002598268</v>
      </c>
      <c r="V94" s="175">
        <f>'BAU Comparison - Production'!AV200</f>
        <v>6.7866738002598268</v>
      </c>
      <c r="W94" s="175">
        <f>'BAU Comparison - Production'!AW200</f>
        <v>6.786673800259825</v>
      </c>
      <c r="X94" s="175">
        <f>'BAU Comparison - Production'!AX200</f>
        <v>6.7866738002598259</v>
      </c>
      <c r="Y94" s="175">
        <f>'BAU Comparison - Production'!AY200</f>
        <v>6.7866738002598268</v>
      </c>
      <c r="Z94" s="175">
        <f>'BAU Comparison - Production'!AZ200</f>
        <v>6.7866738002598268</v>
      </c>
      <c r="AA94" s="175">
        <f>'BAU Comparison - Production'!BA200</f>
        <v>6.7866738002598286</v>
      </c>
      <c r="AB94" s="175">
        <f>'BAU Comparison - Production'!BB200</f>
        <v>6.786673800259825</v>
      </c>
      <c r="AC94" s="66"/>
    </row>
    <row r="95" spans="1:29" ht="25.9" customHeight="1">
      <c r="A95" s="520"/>
    </row>
    <row r="96" spans="1:29" ht="15.75" customHeight="1">
      <c r="A96" s="520"/>
      <c r="B96" s="86"/>
      <c r="C96" s="86"/>
      <c r="D96" s="519" t="s">
        <v>18955</v>
      </c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</row>
    <row r="97" spans="1:28" ht="15" customHeight="1">
      <c r="A97" s="520"/>
      <c r="B97" s="88" t="s">
        <v>18814</v>
      </c>
      <c r="C97" s="90" t="s">
        <v>1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20"/>
      <c r="B98" s="2" t="str">
        <f>'BAU Comparison - Production'!B207</f>
        <v>Great Basin Valleys</v>
      </c>
      <c r="C98" s="2" t="s">
        <v>240</v>
      </c>
      <c r="D98" s="104">
        <f>'BAU Comparison - Production'!AD207</f>
        <v>0</v>
      </c>
      <c r="E98" s="79">
        <f>'BAU Comparison - Production'!AE207</f>
        <v>0</v>
      </c>
      <c r="F98" s="79">
        <f>'BAU Comparison - Production'!AF207</f>
        <v>0</v>
      </c>
      <c r="G98" s="79">
        <f>'BAU Comparison - Production'!AG207</f>
        <v>0</v>
      </c>
      <c r="H98" s="79">
        <f>'BAU Comparison - Production'!AH207</f>
        <v>0</v>
      </c>
      <c r="I98" s="79">
        <f>'BAU Comparison - Production'!AI207</f>
        <v>0</v>
      </c>
      <c r="J98" s="79">
        <f>'BAU Comparison - Production'!AJ207</f>
        <v>0</v>
      </c>
      <c r="K98" s="79">
        <f>'BAU Comparison - Production'!AK207</f>
        <v>0</v>
      </c>
      <c r="L98" s="79">
        <f>'BAU Comparison - Production'!AL207</f>
        <v>0</v>
      </c>
      <c r="M98" s="79">
        <f>'BAU Comparison - Production'!AM207</f>
        <v>0</v>
      </c>
      <c r="N98" s="79">
        <f>'BAU Comparison - Production'!AN207</f>
        <v>0</v>
      </c>
      <c r="O98" s="79">
        <f>'BAU Comparison - Production'!AO207</f>
        <v>0</v>
      </c>
      <c r="P98" s="79">
        <f>'BAU Comparison - Production'!AP207</f>
        <v>0</v>
      </c>
      <c r="Q98" s="79">
        <f>'BAU Comparison - Production'!AQ207</f>
        <v>0</v>
      </c>
      <c r="R98" s="79">
        <f>'BAU Comparison - Production'!AR207</f>
        <v>0</v>
      </c>
      <c r="S98" s="79">
        <f>'BAU Comparison - Production'!AS207</f>
        <v>0</v>
      </c>
      <c r="T98" s="79">
        <f>'BAU Comparison - Production'!AT207</f>
        <v>0</v>
      </c>
      <c r="U98" s="79">
        <f>'BAU Comparison - Production'!AU207</f>
        <v>0</v>
      </c>
      <c r="V98" s="79">
        <f>'BAU Comparison - Production'!AV207</f>
        <v>0</v>
      </c>
      <c r="W98" s="79">
        <f>'BAU Comparison - Production'!AW207</f>
        <v>0</v>
      </c>
      <c r="X98" s="79">
        <f>'BAU Comparison - Production'!AX207</f>
        <v>0</v>
      </c>
      <c r="Y98" s="79">
        <f>'BAU Comparison - Production'!AY207</f>
        <v>0</v>
      </c>
      <c r="Z98" s="79">
        <f>'BAU Comparison - Production'!AZ207</f>
        <v>0</v>
      </c>
      <c r="AA98" s="79">
        <f>'BAU Comparison - Production'!BA207</f>
        <v>0</v>
      </c>
      <c r="AB98" s="80">
        <f>'BAU Comparison - Production'!BB207</f>
        <v>0</v>
      </c>
    </row>
    <row r="99" spans="1:28" ht="15" customHeight="1">
      <c r="A99" s="520"/>
      <c r="B99" s="2" t="str">
        <f>'BAU Comparison - Production'!B208</f>
        <v xml:space="preserve">Lake County </v>
      </c>
      <c r="C99" s="2" t="s">
        <v>240</v>
      </c>
      <c r="D99" s="393">
        <f>'BAU Comparison - Production'!AD208</f>
        <v>0</v>
      </c>
      <c r="E99" s="60">
        <f>'BAU Comparison - Production'!AE208</f>
        <v>0</v>
      </c>
      <c r="F99" s="60">
        <f>'BAU Comparison - Production'!AF208</f>
        <v>0</v>
      </c>
      <c r="G99" s="60">
        <f>'BAU Comparison - Production'!AG208</f>
        <v>0</v>
      </c>
      <c r="H99" s="60">
        <f>'BAU Comparison - Production'!AH208</f>
        <v>0</v>
      </c>
      <c r="I99" s="60">
        <f>'BAU Comparison - Production'!AI208</f>
        <v>0</v>
      </c>
      <c r="J99" s="60">
        <f>'BAU Comparison - Production'!AJ208</f>
        <v>0</v>
      </c>
      <c r="K99" s="60">
        <f>'BAU Comparison - Production'!AK208</f>
        <v>0</v>
      </c>
      <c r="L99" s="60">
        <f>'BAU Comparison - Production'!AL208</f>
        <v>0</v>
      </c>
      <c r="M99" s="60">
        <f>'BAU Comparison - Production'!AM208</f>
        <v>0</v>
      </c>
      <c r="N99" s="60">
        <f>'BAU Comparison - Production'!AN208</f>
        <v>0</v>
      </c>
      <c r="O99" s="60">
        <f>'BAU Comparison - Production'!AO208</f>
        <v>0</v>
      </c>
      <c r="P99" s="60">
        <f>'BAU Comparison - Production'!AP208</f>
        <v>0</v>
      </c>
      <c r="Q99" s="60">
        <f>'BAU Comparison - Production'!AQ208</f>
        <v>0</v>
      </c>
      <c r="R99" s="60">
        <f>'BAU Comparison - Production'!AR208</f>
        <v>0</v>
      </c>
      <c r="S99" s="60">
        <f>'BAU Comparison - Production'!AS208</f>
        <v>0</v>
      </c>
      <c r="T99" s="60">
        <f>'BAU Comparison - Production'!AT208</f>
        <v>0</v>
      </c>
      <c r="U99" s="60">
        <f>'BAU Comparison - Production'!AU208</f>
        <v>0</v>
      </c>
      <c r="V99" s="60">
        <f>'BAU Comparison - Production'!AV208</f>
        <v>0</v>
      </c>
      <c r="W99" s="60">
        <f>'BAU Comparison - Production'!AW208</f>
        <v>0</v>
      </c>
      <c r="X99" s="60">
        <f>'BAU Comparison - Production'!AX208</f>
        <v>0</v>
      </c>
      <c r="Y99" s="60">
        <f>'BAU Comparison - Production'!AY208</f>
        <v>0</v>
      </c>
      <c r="Z99" s="60">
        <f>'BAU Comparison - Production'!AZ208</f>
        <v>0</v>
      </c>
      <c r="AA99" s="60">
        <f>'BAU Comparison - Production'!BA208</f>
        <v>0</v>
      </c>
      <c r="AB99" s="61">
        <f>'BAU Comparison - Production'!BB208</f>
        <v>0</v>
      </c>
    </row>
    <row r="100" spans="1:28" ht="15" customHeight="1">
      <c r="A100" s="520"/>
      <c r="B100" s="2" t="str">
        <f>'BAU Comparison - Production'!B209</f>
        <v xml:space="preserve">Lake Tahoe </v>
      </c>
      <c r="C100" s="2" t="s">
        <v>240</v>
      </c>
      <c r="D100" s="393">
        <f>'BAU Comparison - Production'!AD209</f>
        <v>0</v>
      </c>
      <c r="E100" s="60">
        <f>'BAU Comparison - Production'!AE209</f>
        <v>0</v>
      </c>
      <c r="F100" s="60">
        <f>'BAU Comparison - Production'!AF209</f>
        <v>0</v>
      </c>
      <c r="G100" s="60">
        <f>'BAU Comparison - Production'!AG209</f>
        <v>0</v>
      </c>
      <c r="H100" s="60">
        <f>'BAU Comparison - Production'!AH209</f>
        <v>0</v>
      </c>
      <c r="I100" s="60">
        <f>'BAU Comparison - Production'!AI209</f>
        <v>0</v>
      </c>
      <c r="J100" s="60">
        <f>'BAU Comparison - Production'!AJ209</f>
        <v>0</v>
      </c>
      <c r="K100" s="60">
        <f>'BAU Comparison - Production'!AK209</f>
        <v>0</v>
      </c>
      <c r="L100" s="60">
        <f>'BAU Comparison - Production'!AL209</f>
        <v>0</v>
      </c>
      <c r="M100" s="60">
        <f>'BAU Comparison - Production'!AM209</f>
        <v>0</v>
      </c>
      <c r="N100" s="60">
        <f>'BAU Comparison - Production'!AN209</f>
        <v>0</v>
      </c>
      <c r="O100" s="60">
        <f>'BAU Comparison - Production'!AO209</f>
        <v>0</v>
      </c>
      <c r="P100" s="60">
        <f>'BAU Comparison - Production'!AP209</f>
        <v>0</v>
      </c>
      <c r="Q100" s="60">
        <f>'BAU Comparison - Production'!AQ209</f>
        <v>0</v>
      </c>
      <c r="R100" s="60">
        <f>'BAU Comparison - Production'!AR209</f>
        <v>0</v>
      </c>
      <c r="S100" s="60">
        <f>'BAU Comparison - Production'!AS209</f>
        <v>0</v>
      </c>
      <c r="T100" s="60">
        <f>'BAU Comparison - Production'!AT209</f>
        <v>0</v>
      </c>
      <c r="U100" s="60">
        <f>'BAU Comparison - Production'!AU209</f>
        <v>0</v>
      </c>
      <c r="V100" s="60">
        <f>'BAU Comparison - Production'!AV209</f>
        <v>0</v>
      </c>
      <c r="W100" s="60">
        <f>'BAU Comparison - Production'!AW209</f>
        <v>0</v>
      </c>
      <c r="X100" s="60">
        <f>'BAU Comparison - Production'!AX209</f>
        <v>0</v>
      </c>
      <c r="Y100" s="60">
        <f>'BAU Comparison - Production'!AY209</f>
        <v>0</v>
      </c>
      <c r="Z100" s="60">
        <f>'BAU Comparison - Production'!AZ209</f>
        <v>0</v>
      </c>
      <c r="AA100" s="60">
        <f>'BAU Comparison - Production'!BA209</f>
        <v>0</v>
      </c>
      <c r="AB100" s="61">
        <f>'BAU Comparison - Production'!BB209</f>
        <v>0</v>
      </c>
    </row>
    <row r="101" spans="1:28" ht="15" customHeight="1">
      <c r="A101" s="520"/>
      <c r="B101" s="2" t="str">
        <f>'BAU Comparison - Production'!B210</f>
        <v>Mojave Desert</v>
      </c>
      <c r="C101" s="2" t="s">
        <v>240</v>
      </c>
      <c r="D101" s="393">
        <f>'BAU Comparison - Production'!AD210</f>
        <v>0</v>
      </c>
      <c r="E101" s="60">
        <f>'BAU Comparison - Production'!AE210</f>
        <v>0</v>
      </c>
      <c r="F101" s="60">
        <f>'BAU Comparison - Production'!AF210</f>
        <v>0</v>
      </c>
      <c r="G101" s="60">
        <f>'BAU Comparison - Production'!AG210</f>
        <v>0</v>
      </c>
      <c r="H101" s="60">
        <f>'BAU Comparison - Production'!AH210</f>
        <v>0</v>
      </c>
      <c r="I101" s="60">
        <f>'BAU Comparison - Production'!AI210</f>
        <v>0</v>
      </c>
      <c r="J101" s="60">
        <f>'BAU Comparison - Production'!AJ210</f>
        <v>0</v>
      </c>
      <c r="K101" s="60">
        <f>'BAU Comparison - Production'!AK210</f>
        <v>0</v>
      </c>
      <c r="L101" s="60">
        <f>'BAU Comparison - Production'!AL210</f>
        <v>0</v>
      </c>
      <c r="M101" s="60">
        <f>'BAU Comparison - Production'!AM210</f>
        <v>0</v>
      </c>
      <c r="N101" s="60">
        <f>'BAU Comparison - Production'!AN210</f>
        <v>0</v>
      </c>
      <c r="O101" s="60">
        <f>'BAU Comparison - Production'!AO210</f>
        <v>0</v>
      </c>
      <c r="P101" s="60">
        <f>'BAU Comparison - Production'!AP210</f>
        <v>0</v>
      </c>
      <c r="Q101" s="60">
        <f>'BAU Comparison - Production'!AQ210</f>
        <v>0</v>
      </c>
      <c r="R101" s="60">
        <f>'BAU Comparison - Production'!AR210</f>
        <v>-7.9489075250494811E-5</v>
      </c>
      <c r="S101" s="60">
        <f>'BAU Comparison - Production'!AS210</f>
        <v>-2.8277019389430567E-4</v>
      </c>
      <c r="T101" s="60">
        <f>'BAU Comparison - Production'!AT210</f>
        <v>-4.9065591918892842E-4</v>
      </c>
      <c r="U101" s="60">
        <f>'BAU Comparison - Production'!AU210</f>
        <v>-7.0282644795602962E-4</v>
      </c>
      <c r="V101" s="60">
        <f>'BAU Comparison - Production'!AV210</f>
        <v>-8.8721145509433694E-4</v>
      </c>
      <c r="W101" s="60">
        <f>'BAU Comparison - Production'!AW210</f>
        <v>-1.0845157425752149E-3</v>
      </c>
      <c r="X101" s="60">
        <f>'BAU Comparison - Production'!AX210</f>
        <v>-1.3088287534810741E-3</v>
      </c>
      <c r="Y101" s="60">
        <f>'BAU Comparison - Production'!AY210</f>
        <v>-1.4272730234172475E-3</v>
      </c>
      <c r="Z101" s="60">
        <f>'BAU Comparison - Production'!AZ210</f>
        <v>-1.5501614945717154E-3</v>
      </c>
      <c r="AA101" s="60">
        <f>'BAU Comparison - Production'!BA210</f>
        <v>-1.6727405453965045E-3</v>
      </c>
      <c r="AB101" s="61">
        <f>'BAU Comparison - Production'!BB210</f>
        <v>-1.8400952408267354E-3</v>
      </c>
    </row>
    <row r="102" spans="1:28" ht="15" customHeight="1">
      <c r="A102" s="520"/>
      <c r="B102" s="2" t="str">
        <f>'BAU Comparison - Production'!B211</f>
        <v xml:space="preserve">Mountain Counties </v>
      </c>
      <c r="C102" s="2" t="s">
        <v>240</v>
      </c>
      <c r="D102" s="393">
        <f>'BAU Comparison - Production'!AD211</f>
        <v>0</v>
      </c>
      <c r="E102" s="60">
        <f>'BAU Comparison - Production'!AE211</f>
        <v>0</v>
      </c>
      <c r="F102" s="60">
        <f>'BAU Comparison - Production'!AF211</f>
        <v>0</v>
      </c>
      <c r="G102" s="60">
        <f>'BAU Comparison - Production'!AG211</f>
        <v>0</v>
      </c>
      <c r="H102" s="60">
        <f>'BAU Comparison - Production'!AH211</f>
        <v>0</v>
      </c>
      <c r="I102" s="60">
        <f>'BAU Comparison - Production'!AI211</f>
        <v>0</v>
      </c>
      <c r="J102" s="60">
        <f>'BAU Comparison - Production'!AJ211</f>
        <v>0</v>
      </c>
      <c r="K102" s="60">
        <f>'BAU Comparison - Production'!AK211</f>
        <v>0</v>
      </c>
      <c r="L102" s="60">
        <f>'BAU Comparison - Production'!AL211</f>
        <v>0</v>
      </c>
      <c r="M102" s="60">
        <f>'BAU Comparison - Production'!AM211</f>
        <v>0</v>
      </c>
      <c r="N102" s="60">
        <f>'BAU Comparison - Production'!AN211</f>
        <v>0</v>
      </c>
      <c r="O102" s="60">
        <f>'BAU Comparison - Production'!AO211</f>
        <v>0</v>
      </c>
      <c r="P102" s="60">
        <f>'BAU Comparison - Production'!AP211</f>
        <v>0</v>
      </c>
      <c r="Q102" s="60">
        <f>'BAU Comparison - Production'!AQ211</f>
        <v>0</v>
      </c>
      <c r="R102" s="60">
        <f>'BAU Comparison - Production'!AR211</f>
        <v>0</v>
      </c>
      <c r="S102" s="60">
        <f>'BAU Comparison - Production'!AS211</f>
        <v>0</v>
      </c>
      <c r="T102" s="60">
        <f>'BAU Comparison - Production'!AT211</f>
        <v>0</v>
      </c>
      <c r="U102" s="60">
        <f>'BAU Comparison - Production'!AU211</f>
        <v>0</v>
      </c>
      <c r="V102" s="60">
        <f>'BAU Comparison - Production'!AV211</f>
        <v>0</v>
      </c>
      <c r="W102" s="60">
        <f>'BAU Comparison - Production'!AW211</f>
        <v>0</v>
      </c>
      <c r="X102" s="60">
        <f>'BAU Comparison - Production'!AX211</f>
        <v>0</v>
      </c>
      <c r="Y102" s="60">
        <f>'BAU Comparison - Production'!AY211</f>
        <v>0</v>
      </c>
      <c r="Z102" s="60">
        <f>'BAU Comparison - Production'!AZ211</f>
        <v>0</v>
      </c>
      <c r="AA102" s="60">
        <f>'BAU Comparison - Production'!BA211</f>
        <v>0</v>
      </c>
      <c r="AB102" s="61">
        <f>'BAU Comparison - Production'!BB211</f>
        <v>0</v>
      </c>
    </row>
    <row r="103" spans="1:28" ht="15" customHeight="1">
      <c r="A103" s="520"/>
      <c r="B103" s="2" t="str">
        <f>'BAU Comparison - Production'!B212</f>
        <v>North Central coast</v>
      </c>
      <c r="C103" s="2" t="s">
        <v>240</v>
      </c>
      <c r="D103" s="393">
        <f>'BAU Comparison - Production'!AD212</f>
        <v>0</v>
      </c>
      <c r="E103" s="60">
        <f>'BAU Comparison - Production'!AE212</f>
        <v>0</v>
      </c>
      <c r="F103" s="60">
        <f>'BAU Comparison - Production'!AF212</f>
        <v>0</v>
      </c>
      <c r="G103" s="60">
        <f>'BAU Comparison - Production'!AG212</f>
        <v>0</v>
      </c>
      <c r="H103" s="60">
        <f>'BAU Comparison - Production'!AH212</f>
        <v>0</v>
      </c>
      <c r="I103" s="60">
        <f>'BAU Comparison - Production'!AI212</f>
        <v>0</v>
      </c>
      <c r="J103" s="60">
        <f>'BAU Comparison - Production'!AJ212</f>
        <v>0</v>
      </c>
      <c r="K103" s="60">
        <f>'BAU Comparison - Production'!AK212</f>
        <v>0</v>
      </c>
      <c r="L103" s="60">
        <f>'BAU Comparison - Production'!AL212</f>
        <v>0</v>
      </c>
      <c r="M103" s="60">
        <f>'BAU Comparison - Production'!AM212</f>
        <v>0</v>
      </c>
      <c r="N103" s="60">
        <f>'BAU Comparison - Production'!AN212</f>
        <v>0</v>
      </c>
      <c r="O103" s="60">
        <f>'BAU Comparison - Production'!AO212</f>
        <v>0</v>
      </c>
      <c r="P103" s="60">
        <f>'BAU Comparison - Production'!AP212</f>
        <v>0</v>
      </c>
      <c r="Q103" s="60">
        <f>'BAU Comparison - Production'!AQ212</f>
        <v>0</v>
      </c>
      <c r="R103" s="60">
        <f>'BAU Comparison - Production'!AR212</f>
        <v>-6.2410472286765962E-6</v>
      </c>
      <c r="S103" s="60">
        <f>'BAU Comparison - Production'!AS212</f>
        <v>-2.2201568321118627E-5</v>
      </c>
      <c r="T103" s="60">
        <f>'BAU Comparison - Production'!AT212</f>
        <v>-3.8523617931619688E-5</v>
      </c>
      <c r="U103" s="60">
        <f>'BAU Comparison - Production'!AU212</f>
        <v>-5.5182086864563063E-5</v>
      </c>
      <c r="V103" s="60">
        <f>'BAU Comparison - Production'!AV212</f>
        <v>-6.9658988680110128E-5</v>
      </c>
      <c r="W103" s="60">
        <f>'BAU Comparison - Production'!AW212</f>
        <v>-8.5150241694540937E-5</v>
      </c>
      <c r="X103" s="60">
        <f>'BAU Comparison - Production'!AX212</f>
        <v>-1.0276207188200309E-4</v>
      </c>
      <c r="Y103" s="60">
        <f>'BAU Comparison - Production'!AY212</f>
        <v>-1.1206166783664561E-4</v>
      </c>
      <c r="Z103" s="60">
        <f>'BAU Comparison - Production'!AZ212</f>
        <v>-1.2171019815251593E-4</v>
      </c>
      <c r="AA103" s="60">
        <f>'BAU Comparison - Production'!BA212</f>
        <v>-1.3133443447723144E-4</v>
      </c>
      <c r="AB103" s="61">
        <f>'BAU Comparison - Production'!BB212</f>
        <v>-1.4447420940642033E-4</v>
      </c>
    </row>
    <row r="104" spans="1:28" ht="15" customHeight="1">
      <c r="A104" s="520"/>
      <c r="B104" s="2" t="str">
        <f>'BAU Comparison - Production'!B213</f>
        <v>North Coast</v>
      </c>
      <c r="C104" s="2" t="s">
        <v>240</v>
      </c>
      <c r="D104" s="393">
        <f>'BAU Comparison - Production'!AD213</f>
        <v>0</v>
      </c>
      <c r="E104" s="60">
        <f>'BAU Comparison - Production'!AE213</f>
        <v>0</v>
      </c>
      <c r="F104" s="60">
        <f>'BAU Comparison - Production'!AF213</f>
        <v>0</v>
      </c>
      <c r="G104" s="60">
        <f>'BAU Comparison - Production'!AG213</f>
        <v>0</v>
      </c>
      <c r="H104" s="60">
        <f>'BAU Comparison - Production'!AH213</f>
        <v>0</v>
      </c>
      <c r="I104" s="60">
        <f>'BAU Comparison - Production'!AI213</f>
        <v>0</v>
      </c>
      <c r="J104" s="60">
        <f>'BAU Comparison - Production'!AJ213</f>
        <v>0</v>
      </c>
      <c r="K104" s="60">
        <f>'BAU Comparison - Production'!AK213</f>
        <v>0</v>
      </c>
      <c r="L104" s="60">
        <f>'BAU Comparison - Production'!AL213</f>
        <v>0</v>
      </c>
      <c r="M104" s="60">
        <f>'BAU Comparison - Production'!AM213</f>
        <v>0</v>
      </c>
      <c r="N104" s="60">
        <f>'BAU Comparison - Production'!AN213</f>
        <v>0</v>
      </c>
      <c r="O104" s="60">
        <f>'BAU Comparison - Production'!AO213</f>
        <v>0</v>
      </c>
      <c r="P104" s="60">
        <f>'BAU Comparison - Production'!AP213</f>
        <v>0</v>
      </c>
      <c r="Q104" s="60">
        <f>'BAU Comparison - Production'!AQ213</f>
        <v>0</v>
      </c>
      <c r="R104" s="60">
        <f>'BAU Comparison - Production'!AR213</f>
        <v>0</v>
      </c>
      <c r="S104" s="60">
        <f>'BAU Comparison - Production'!AS213</f>
        <v>0</v>
      </c>
      <c r="T104" s="60">
        <f>'BAU Comparison - Production'!AT213</f>
        <v>0</v>
      </c>
      <c r="U104" s="60">
        <f>'BAU Comparison - Production'!AU213</f>
        <v>0</v>
      </c>
      <c r="V104" s="60">
        <f>'BAU Comparison - Production'!AV213</f>
        <v>0</v>
      </c>
      <c r="W104" s="60">
        <f>'BAU Comparison - Production'!AW213</f>
        <v>0</v>
      </c>
      <c r="X104" s="60">
        <f>'BAU Comparison - Production'!AX213</f>
        <v>0</v>
      </c>
      <c r="Y104" s="60">
        <f>'BAU Comparison - Production'!AY213</f>
        <v>0</v>
      </c>
      <c r="Z104" s="60">
        <f>'BAU Comparison - Production'!AZ213</f>
        <v>0</v>
      </c>
      <c r="AA104" s="60">
        <f>'BAU Comparison - Production'!BA213</f>
        <v>0</v>
      </c>
      <c r="AB104" s="61">
        <f>'BAU Comparison - Production'!BB213</f>
        <v>0</v>
      </c>
    </row>
    <row r="105" spans="1:28" ht="15" customHeight="1">
      <c r="A105" s="520"/>
      <c r="B105" s="2" t="str">
        <f>'BAU Comparison - Production'!B214</f>
        <v>Northeast Plateau</v>
      </c>
      <c r="C105" s="2" t="s">
        <v>240</v>
      </c>
      <c r="D105" s="393">
        <f>'BAU Comparison - Production'!AD214</f>
        <v>0</v>
      </c>
      <c r="E105" s="60">
        <f>'BAU Comparison - Production'!AE214</f>
        <v>0</v>
      </c>
      <c r="F105" s="60">
        <f>'BAU Comparison - Production'!AF214</f>
        <v>0</v>
      </c>
      <c r="G105" s="60">
        <f>'BAU Comparison - Production'!AG214</f>
        <v>0</v>
      </c>
      <c r="H105" s="60">
        <f>'BAU Comparison - Production'!AH214</f>
        <v>0</v>
      </c>
      <c r="I105" s="60">
        <f>'BAU Comparison - Production'!AI214</f>
        <v>0</v>
      </c>
      <c r="J105" s="60">
        <f>'BAU Comparison - Production'!AJ214</f>
        <v>0</v>
      </c>
      <c r="K105" s="60">
        <f>'BAU Comparison - Production'!AK214</f>
        <v>0</v>
      </c>
      <c r="L105" s="60">
        <f>'BAU Comparison - Production'!AL214</f>
        <v>0</v>
      </c>
      <c r="M105" s="60">
        <f>'BAU Comparison - Production'!AM214</f>
        <v>0</v>
      </c>
      <c r="N105" s="60">
        <f>'BAU Comparison - Production'!AN214</f>
        <v>0</v>
      </c>
      <c r="O105" s="60">
        <f>'BAU Comparison - Production'!AO214</f>
        <v>0</v>
      </c>
      <c r="P105" s="60">
        <f>'BAU Comparison - Production'!AP214</f>
        <v>0</v>
      </c>
      <c r="Q105" s="60">
        <f>'BAU Comparison - Production'!AQ214</f>
        <v>0</v>
      </c>
      <c r="R105" s="60">
        <f>'BAU Comparison - Production'!AR214</f>
        <v>0</v>
      </c>
      <c r="S105" s="60">
        <f>'BAU Comparison - Production'!AS214</f>
        <v>0</v>
      </c>
      <c r="T105" s="60">
        <f>'BAU Comparison - Production'!AT214</f>
        <v>0</v>
      </c>
      <c r="U105" s="60">
        <f>'BAU Comparison - Production'!AU214</f>
        <v>0</v>
      </c>
      <c r="V105" s="60">
        <f>'BAU Comparison - Production'!AV214</f>
        <v>0</v>
      </c>
      <c r="W105" s="60">
        <f>'BAU Comparison - Production'!AW214</f>
        <v>0</v>
      </c>
      <c r="X105" s="60">
        <f>'BAU Comparison - Production'!AX214</f>
        <v>0</v>
      </c>
      <c r="Y105" s="60">
        <f>'BAU Comparison - Production'!AY214</f>
        <v>0</v>
      </c>
      <c r="Z105" s="60">
        <f>'BAU Comparison - Production'!AZ214</f>
        <v>0</v>
      </c>
      <c r="AA105" s="60">
        <f>'BAU Comparison - Production'!BA214</f>
        <v>0</v>
      </c>
      <c r="AB105" s="61">
        <f>'BAU Comparison - Production'!BB214</f>
        <v>0</v>
      </c>
    </row>
    <row r="106" spans="1:28" ht="15" customHeight="1">
      <c r="A106" s="520"/>
      <c r="B106" s="2" t="str">
        <f>'BAU Comparison - Production'!B215</f>
        <v xml:space="preserve">Sacramento Valley </v>
      </c>
      <c r="C106" s="2" t="s">
        <v>240</v>
      </c>
      <c r="D106" s="393">
        <f>'BAU Comparison - Production'!AD215</f>
        <v>0</v>
      </c>
      <c r="E106" s="60">
        <f>'BAU Comparison - Production'!AE215</f>
        <v>0</v>
      </c>
      <c r="F106" s="60">
        <f>'BAU Comparison - Production'!AF215</f>
        <v>0</v>
      </c>
      <c r="G106" s="60">
        <f>'BAU Comparison - Production'!AG215</f>
        <v>0</v>
      </c>
      <c r="H106" s="60">
        <f>'BAU Comparison - Production'!AH215</f>
        <v>0</v>
      </c>
      <c r="I106" s="60">
        <f>'BAU Comparison - Production'!AI215</f>
        <v>0</v>
      </c>
      <c r="J106" s="60">
        <f>'BAU Comparison - Production'!AJ215</f>
        <v>0</v>
      </c>
      <c r="K106" s="60">
        <f>'BAU Comparison - Production'!AK215</f>
        <v>0</v>
      </c>
      <c r="L106" s="60">
        <f>'BAU Comparison - Production'!AL215</f>
        <v>0</v>
      </c>
      <c r="M106" s="60">
        <f>'BAU Comparison - Production'!AM215</f>
        <v>0</v>
      </c>
      <c r="N106" s="60">
        <f>'BAU Comparison - Production'!AN215</f>
        <v>0</v>
      </c>
      <c r="O106" s="60">
        <f>'BAU Comparison - Production'!AO215</f>
        <v>0</v>
      </c>
      <c r="P106" s="60">
        <f>'BAU Comparison - Production'!AP215</f>
        <v>0</v>
      </c>
      <c r="Q106" s="60">
        <f>'BAU Comparison - Production'!AQ215</f>
        <v>0</v>
      </c>
      <c r="R106" s="60">
        <f>'BAU Comparison - Production'!AR215</f>
        <v>0</v>
      </c>
      <c r="S106" s="60">
        <f>'BAU Comparison - Production'!AS215</f>
        <v>0</v>
      </c>
      <c r="T106" s="60">
        <f>'BAU Comparison - Production'!AT215</f>
        <v>0</v>
      </c>
      <c r="U106" s="60">
        <f>'BAU Comparison - Production'!AU215</f>
        <v>0</v>
      </c>
      <c r="V106" s="60">
        <f>'BAU Comparison - Production'!AV215</f>
        <v>0</v>
      </c>
      <c r="W106" s="60">
        <f>'BAU Comparison - Production'!AW215</f>
        <v>0</v>
      </c>
      <c r="X106" s="60">
        <f>'BAU Comparison - Production'!AX215</f>
        <v>0</v>
      </c>
      <c r="Y106" s="60">
        <f>'BAU Comparison - Production'!AY215</f>
        <v>0</v>
      </c>
      <c r="Z106" s="60">
        <f>'BAU Comparison - Production'!AZ215</f>
        <v>0</v>
      </c>
      <c r="AA106" s="60">
        <f>'BAU Comparison - Production'!BA215</f>
        <v>0</v>
      </c>
      <c r="AB106" s="61">
        <f>'BAU Comparison - Production'!BB215</f>
        <v>0</v>
      </c>
    </row>
    <row r="107" spans="1:28" ht="15" customHeight="1">
      <c r="A107" s="520"/>
      <c r="B107" s="2" t="str">
        <f>'BAU Comparison - Production'!B216</f>
        <v>Salton Sea</v>
      </c>
      <c r="C107" s="2" t="s">
        <v>240</v>
      </c>
      <c r="D107" s="393">
        <f>'BAU Comparison - Production'!AD216</f>
        <v>0</v>
      </c>
      <c r="E107" s="60">
        <f>'BAU Comparison - Production'!AE216</f>
        <v>0</v>
      </c>
      <c r="F107" s="60">
        <f>'BAU Comparison - Production'!AF216</f>
        <v>0</v>
      </c>
      <c r="G107" s="60">
        <f>'BAU Comparison - Production'!AG216</f>
        <v>0</v>
      </c>
      <c r="H107" s="60">
        <f>'BAU Comparison - Production'!AH216</f>
        <v>0</v>
      </c>
      <c r="I107" s="60">
        <f>'BAU Comparison - Production'!AI216</f>
        <v>0</v>
      </c>
      <c r="J107" s="60">
        <f>'BAU Comparison - Production'!AJ216</f>
        <v>0</v>
      </c>
      <c r="K107" s="60">
        <f>'BAU Comparison - Production'!AK216</f>
        <v>0</v>
      </c>
      <c r="L107" s="60">
        <f>'BAU Comparison - Production'!AL216</f>
        <v>0</v>
      </c>
      <c r="M107" s="60">
        <f>'BAU Comparison - Production'!AM216</f>
        <v>0</v>
      </c>
      <c r="N107" s="60">
        <f>'BAU Comparison - Production'!AN216</f>
        <v>0</v>
      </c>
      <c r="O107" s="60">
        <f>'BAU Comparison - Production'!AO216</f>
        <v>0</v>
      </c>
      <c r="P107" s="60">
        <f>'BAU Comparison - Production'!AP216</f>
        <v>0</v>
      </c>
      <c r="Q107" s="60">
        <f>'BAU Comparison - Production'!AQ216</f>
        <v>0</v>
      </c>
      <c r="R107" s="60">
        <f>'BAU Comparison - Production'!AR216</f>
        <v>0</v>
      </c>
      <c r="S107" s="60">
        <f>'BAU Comparison - Production'!AS216</f>
        <v>0</v>
      </c>
      <c r="T107" s="60">
        <f>'BAU Comparison - Production'!AT216</f>
        <v>0</v>
      </c>
      <c r="U107" s="60">
        <f>'BAU Comparison - Production'!AU216</f>
        <v>0</v>
      </c>
      <c r="V107" s="60">
        <f>'BAU Comparison - Production'!AV216</f>
        <v>0</v>
      </c>
      <c r="W107" s="60">
        <f>'BAU Comparison - Production'!AW216</f>
        <v>0</v>
      </c>
      <c r="X107" s="60">
        <f>'BAU Comparison - Production'!AX216</f>
        <v>0</v>
      </c>
      <c r="Y107" s="60">
        <f>'BAU Comparison - Production'!AY216</f>
        <v>0</v>
      </c>
      <c r="Z107" s="60">
        <f>'BAU Comparison - Production'!AZ216</f>
        <v>0</v>
      </c>
      <c r="AA107" s="60">
        <f>'BAU Comparison - Production'!BA216</f>
        <v>0</v>
      </c>
      <c r="AB107" s="61">
        <f>'BAU Comparison - Production'!BB216</f>
        <v>0</v>
      </c>
    </row>
    <row r="108" spans="1:28" ht="15" customHeight="1">
      <c r="A108" s="520"/>
      <c r="B108" s="2" t="str">
        <f>'BAU Comparison - Production'!B217</f>
        <v xml:space="preserve">San Diego </v>
      </c>
      <c r="C108" s="2" t="s">
        <v>240</v>
      </c>
      <c r="D108" s="393">
        <f>'BAU Comparison - Production'!AD217</f>
        <v>0</v>
      </c>
      <c r="E108" s="60">
        <f>'BAU Comparison - Production'!AE217</f>
        <v>0</v>
      </c>
      <c r="F108" s="60">
        <f>'BAU Comparison - Production'!AF217</f>
        <v>0</v>
      </c>
      <c r="G108" s="60">
        <f>'BAU Comparison - Production'!AG217</f>
        <v>0</v>
      </c>
      <c r="H108" s="60">
        <f>'BAU Comparison - Production'!AH217</f>
        <v>0</v>
      </c>
      <c r="I108" s="60">
        <f>'BAU Comparison - Production'!AI217</f>
        <v>0</v>
      </c>
      <c r="J108" s="60">
        <f>'BAU Comparison - Production'!AJ217</f>
        <v>0</v>
      </c>
      <c r="K108" s="60">
        <f>'BAU Comparison - Production'!AK217</f>
        <v>0</v>
      </c>
      <c r="L108" s="60">
        <f>'BAU Comparison - Production'!AL217</f>
        <v>0</v>
      </c>
      <c r="M108" s="60">
        <f>'BAU Comparison - Production'!AM217</f>
        <v>0</v>
      </c>
      <c r="N108" s="60">
        <f>'BAU Comparison - Production'!AN217</f>
        <v>0</v>
      </c>
      <c r="O108" s="60">
        <f>'BAU Comparison - Production'!AO217</f>
        <v>0</v>
      </c>
      <c r="P108" s="60">
        <f>'BAU Comparison - Production'!AP217</f>
        <v>0</v>
      </c>
      <c r="Q108" s="60">
        <f>'BAU Comparison - Production'!AQ217</f>
        <v>0</v>
      </c>
      <c r="R108" s="60">
        <f>'BAU Comparison - Production'!AR217</f>
        <v>0</v>
      </c>
      <c r="S108" s="60">
        <f>'BAU Comparison - Production'!AS217</f>
        <v>0</v>
      </c>
      <c r="T108" s="60">
        <f>'BAU Comparison - Production'!AT217</f>
        <v>0</v>
      </c>
      <c r="U108" s="60">
        <f>'BAU Comparison - Production'!AU217</f>
        <v>0</v>
      </c>
      <c r="V108" s="60">
        <f>'BAU Comparison - Production'!AV217</f>
        <v>0</v>
      </c>
      <c r="W108" s="60">
        <f>'BAU Comparison - Production'!AW217</f>
        <v>0</v>
      </c>
      <c r="X108" s="60">
        <f>'BAU Comparison - Production'!AX217</f>
        <v>0</v>
      </c>
      <c r="Y108" s="60">
        <f>'BAU Comparison - Production'!AY217</f>
        <v>0</v>
      </c>
      <c r="Z108" s="60">
        <f>'BAU Comparison - Production'!AZ217</f>
        <v>0</v>
      </c>
      <c r="AA108" s="60">
        <f>'BAU Comparison - Production'!BA217</f>
        <v>0</v>
      </c>
      <c r="AB108" s="61">
        <f>'BAU Comparison - Production'!BB217</f>
        <v>0</v>
      </c>
    </row>
    <row r="109" spans="1:28" ht="15" customHeight="1">
      <c r="A109" s="520"/>
      <c r="B109" s="2" t="str">
        <f>'BAU Comparison - Production'!B218</f>
        <v>San Franscisco Bay Area</v>
      </c>
      <c r="C109" s="2" t="s">
        <v>240</v>
      </c>
      <c r="D109" s="393">
        <f>'BAU Comparison - Production'!AD218</f>
        <v>0</v>
      </c>
      <c r="E109" s="60">
        <f>'BAU Comparison - Production'!AE218</f>
        <v>0</v>
      </c>
      <c r="F109" s="60">
        <f>'BAU Comparison - Production'!AF218</f>
        <v>0</v>
      </c>
      <c r="G109" s="60">
        <f>'BAU Comparison - Production'!AG218</f>
        <v>0</v>
      </c>
      <c r="H109" s="60">
        <f>'BAU Comparison - Production'!AH218</f>
        <v>0</v>
      </c>
      <c r="I109" s="60">
        <f>'BAU Comparison - Production'!AI218</f>
        <v>0</v>
      </c>
      <c r="J109" s="60">
        <f>'BAU Comparison - Production'!AJ218</f>
        <v>0</v>
      </c>
      <c r="K109" s="60">
        <f>'BAU Comparison - Production'!AK218</f>
        <v>0</v>
      </c>
      <c r="L109" s="60">
        <f>'BAU Comparison - Production'!AL218</f>
        <v>0</v>
      </c>
      <c r="M109" s="60">
        <f>'BAU Comparison - Production'!AM218</f>
        <v>0</v>
      </c>
      <c r="N109" s="60">
        <f>'BAU Comparison - Production'!AN218</f>
        <v>0</v>
      </c>
      <c r="O109" s="60">
        <f>'BAU Comparison - Production'!AO218</f>
        <v>0</v>
      </c>
      <c r="P109" s="60">
        <f>'BAU Comparison - Production'!AP218</f>
        <v>0</v>
      </c>
      <c r="Q109" s="60">
        <f>'BAU Comparison - Production'!AQ218</f>
        <v>0</v>
      </c>
      <c r="R109" s="60">
        <f>'BAU Comparison - Production'!AR218</f>
        <v>-0.36079371409864136</v>
      </c>
      <c r="S109" s="60">
        <f>'BAU Comparison - Production'!AS218</f>
        <v>-1.2834683026569043</v>
      </c>
      <c r="T109" s="60">
        <f>'BAU Comparison - Production'!AT218</f>
        <v>-2.2270427838139217</v>
      </c>
      <c r="U109" s="60">
        <f>'BAU Comparison - Production'!AU218</f>
        <v>-3.1900655999043455</v>
      </c>
      <c r="V109" s="60">
        <f>'BAU Comparison - Production'!AV218</f>
        <v>-4.0269724495549859</v>
      </c>
      <c r="W109" s="60">
        <f>'BAU Comparison - Production'!AW218</f>
        <v>-4.9225187427214667</v>
      </c>
      <c r="X109" s="60">
        <f>'BAU Comparison - Production'!AX218</f>
        <v>-5.9406551856268113</v>
      </c>
      <c r="Y109" s="60">
        <f>'BAU Comparison - Production'!AY218</f>
        <v>-6.4782630006542972</v>
      </c>
      <c r="Z109" s="60">
        <f>'BAU Comparison - Production'!AZ218</f>
        <v>-7.0360426425485247</v>
      </c>
      <c r="AA109" s="60">
        <f>'BAU Comparison - Production'!BA218</f>
        <v>-7.5924178535871816</v>
      </c>
      <c r="AB109" s="61">
        <f>'BAU Comparison - Production'!BB218</f>
        <v>-8.3520256606454755</v>
      </c>
    </row>
    <row r="110" spans="1:28" ht="15" customHeight="1">
      <c r="A110" s="520"/>
      <c r="B110" s="2" t="str">
        <f>'BAU Comparison - Production'!B219</f>
        <v xml:space="preserve">San Joaquin Valley </v>
      </c>
      <c r="C110" s="2" t="s">
        <v>240</v>
      </c>
      <c r="D110" s="393">
        <f>'BAU Comparison - Production'!AD219</f>
        <v>0</v>
      </c>
      <c r="E110" s="60">
        <f>'BAU Comparison - Production'!AE219</f>
        <v>0</v>
      </c>
      <c r="F110" s="60">
        <f>'BAU Comparison - Production'!AF219</f>
        <v>0</v>
      </c>
      <c r="G110" s="60">
        <f>'BAU Comparison - Production'!AG219</f>
        <v>0</v>
      </c>
      <c r="H110" s="60">
        <f>'BAU Comparison - Production'!AH219</f>
        <v>0</v>
      </c>
      <c r="I110" s="60">
        <f>'BAU Comparison - Production'!AI219</f>
        <v>0</v>
      </c>
      <c r="J110" s="60">
        <f>'BAU Comparison - Production'!AJ219</f>
        <v>0</v>
      </c>
      <c r="K110" s="60">
        <f>'BAU Comparison - Production'!AK219</f>
        <v>0</v>
      </c>
      <c r="L110" s="60">
        <f>'BAU Comparison - Production'!AL219</f>
        <v>0</v>
      </c>
      <c r="M110" s="60">
        <f>'BAU Comparison - Production'!AM219</f>
        <v>0</v>
      </c>
      <c r="N110" s="60">
        <f>'BAU Comparison - Production'!AN219</f>
        <v>0</v>
      </c>
      <c r="O110" s="60">
        <f>'BAU Comparison - Production'!AO219</f>
        <v>0</v>
      </c>
      <c r="P110" s="60">
        <f>'BAU Comparison - Production'!AP219</f>
        <v>0</v>
      </c>
      <c r="Q110" s="60">
        <f>'BAU Comparison - Production'!AQ219</f>
        <v>0</v>
      </c>
      <c r="R110" s="60">
        <f>'BAU Comparison - Production'!AR219</f>
        <v>-6.3085849262596201E-3</v>
      </c>
      <c r="S110" s="60">
        <f>'BAU Comparison - Production'!AS219</f>
        <v>-2.2441823321954203E-2</v>
      </c>
      <c r="T110" s="60">
        <f>'BAU Comparison - Production'!AT219</f>
        <v>-3.8940502528441015E-2</v>
      </c>
      <c r="U110" s="60">
        <f>'BAU Comparison - Production'!AU219</f>
        <v>-5.5779241630118222E-2</v>
      </c>
      <c r="V110" s="60">
        <f>'BAU Comparison - Production'!AV219</f>
        <v>-7.0412805714180904E-2</v>
      </c>
      <c r="W110" s="60">
        <f>'BAU Comparison - Production'!AW219</f>
        <v>-8.6071697831944141E-2</v>
      </c>
      <c r="X110" s="60">
        <f>'BAU Comparison - Production'!AX219</f>
        <v>-0.10387411501827069</v>
      </c>
      <c r="Y110" s="60">
        <f>'BAU Comparison - Production'!AY219</f>
        <v>-0.11327434685599756</v>
      </c>
      <c r="Z110" s="60">
        <f>'BAU Comparison - Production'!AZ219</f>
        <v>-0.12302728905960358</v>
      </c>
      <c r="AA110" s="60">
        <f>'BAU Comparison - Production'!BA219</f>
        <v>-0.13275567437383157</v>
      </c>
      <c r="AB110" s="61">
        <f>'BAU Comparison - Production'!BB219</f>
        <v>-0.1460376418090151</v>
      </c>
    </row>
    <row r="111" spans="1:28" ht="15" customHeight="1">
      <c r="A111" s="520"/>
      <c r="B111" s="2" t="str">
        <f>'BAU Comparison - Production'!B220</f>
        <v>South Central Coast</v>
      </c>
      <c r="C111" s="2" t="s">
        <v>240</v>
      </c>
      <c r="D111" s="393">
        <f>'BAU Comparison - Production'!AD220</f>
        <v>0</v>
      </c>
      <c r="E111" s="60">
        <f>'BAU Comparison - Production'!AE220</f>
        <v>0</v>
      </c>
      <c r="F111" s="60">
        <f>'BAU Comparison - Production'!AF220</f>
        <v>0</v>
      </c>
      <c r="G111" s="60">
        <f>'BAU Comparison - Production'!AG220</f>
        <v>0</v>
      </c>
      <c r="H111" s="60">
        <f>'BAU Comparison - Production'!AH220</f>
        <v>0</v>
      </c>
      <c r="I111" s="60">
        <f>'BAU Comparison - Production'!AI220</f>
        <v>0</v>
      </c>
      <c r="J111" s="60">
        <f>'BAU Comparison - Production'!AJ220</f>
        <v>0</v>
      </c>
      <c r="K111" s="60">
        <f>'BAU Comparison - Production'!AK220</f>
        <v>0</v>
      </c>
      <c r="L111" s="60">
        <f>'BAU Comparison - Production'!AL220</f>
        <v>0</v>
      </c>
      <c r="M111" s="60">
        <f>'BAU Comparison - Production'!AM220</f>
        <v>0</v>
      </c>
      <c r="N111" s="60">
        <f>'BAU Comparison - Production'!AN220</f>
        <v>0</v>
      </c>
      <c r="O111" s="60">
        <f>'BAU Comparison - Production'!AO220</f>
        <v>0</v>
      </c>
      <c r="P111" s="60">
        <f>'BAU Comparison - Production'!AP220</f>
        <v>0</v>
      </c>
      <c r="Q111" s="60">
        <f>'BAU Comparison - Production'!AQ220</f>
        <v>0</v>
      </c>
      <c r="R111" s="60">
        <f>'BAU Comparison - Production'!AR220</f>
        <v>-7.6257700918956192E-3</v>
      </c>
      <c r="S111" s="60">
        <f>'BAU Comparison - Production'!AS220</f>
        <v>-2.7127507530857818E-2</v>
      </c>
      <c r="T111" s="60">
        <f>'BAU Comparison - Production'!AT220</f>
        <v>-4.7070987078053753E-2</v>
      </c>
      <c r="U111" s="60">
        <f>'BAU Comparison - Production'!AU220</f>
        <v>-6.7425528473272323E-2</v>
      </c>
      <c r="V111" s="60">
        <f>'BAU Comparison - Production'!AV220</f>
        <v>-8.5114470864390529E-2</v>
      </c>
      <c r="W111" s="60">
        <f>'BAU Comparison - Production'!AW220</f>
        <v>-0.10404282208413994</v>
      </c>
      <c r="X111" s="60">
        <f>'BAU Comparison - Production'!AX220</f>
        <v>-0.12556225031246504</v>
      </c>
      <c r="Y111" s="60">
        <f>'BAU Comparison - Production'!AY220</f>
        <v>-0.13692517997782255</v>
      </c>
      <c r="Z111" s="60">
        <f>'BAU Comparison - Production'!AZ220</f>
        <v>-0.14871446328518728</v>
      </c>
      <c r="AA111" s="60">
        <f>'BAU Comparison - Production'!BA220</f>
        <v>-0.16047406240905321</v>
      </c>
      <c r="AB111" s="61">
        <f>'BAU Comparison - Production'!BB220</f>
        <v>-0.17652920491924629</v>
      </c>
    </row>
    <row r="112" spans="1:28" ht="15" customHeight="1">
      <c r="A112" s="520"/>
      <c r="B112" s="2" t="str">
        <f>'BAU Comparison - Production'!B221</f>
        <v>South Coast</v>
      </c>
      <c r="C112" s="2" t="s">
        <v>240</v>
      </c>
      <c r="D112" s="394">
        <f>'BAU Comparison - Production'!AD221</f>
        <v>0</v>
      </c>
      <c r="E112" s="64">
        <f>'BAU Comparison - Production'!AE221</f>
        <v>0</v>
      </c>
      <c r="F112" s="64">
        <f>'BAU Comparison - Production'!AF221</f>
        <v>0</v>
      </c>
      <c r="G112" s="64">
        <f>'BAU Comparison - Production'!AG221</f>
        <v>0</v>
      </c>
      <c r="H112" s="64">
        <f>'BAU Comparison - Production'!AH221</f>
        <v>0</v>
      </c>
      <c r="I112" s="64">
        <f>'BAU Comparison - Production'!AI221</f>
        <v>0</v>
      </c>
      <c r="J112" s="64">
        <f>'BAU Comparison - Production'!AJ221</f>
        <v>0</v>
      </c>
      <c r="K112" s="64">
        <f>'BAU Comparison - Production'!AK221</f>
        <v>0</v>
      </c>
      <c r="L112" s="64">
        <f>'BAU Comparison - Production'!AL221</f>
        <v>0</v>
      </c>
      <c r="M112" s="64">
        <f>'BAU Comparison - Production'!AM221</f>
        <v>0</v>
      </c>
      <c r="N112" s="64">
        <f>'BAU Comparison - Production'!AN221</f>
        <v>0</v>
      </c>
      <c r="O112" s="64">
        <f>'BAU Comparison - Production'!AO221</f>
        <v>0</v>
      </c>
      <c r="P112" s="64">
        <f>'BAU Comparison - Production'!AP221</f>
        <v>0</v>
      </c>
      <c r="Q112" s="64">
        <f>'BAU Comparison - Production'!AQ221</f>
        <v>0</v>
      </c>
      <c r="R112" s="64">
        <f>'BAU Comparison - Production'!AR221</f>
        <v>-0.19929837917799323</v>
      </c>
      <c r="S112" s="64">
        <f>'BAU Comparison - Production'!AS221</f>
        <v>-0.70897428165277487</v>
      </c>
      <c r="T112" s="64">
        <f>'BAU Comparison - Production'!AT221</f>
        <v>-1.2301949139665398</v>
      </c>
      <c r="U112" s="64">
        <f>'BAU Comparison - Production'!AU221</f>
        <v>-1.7621600374042554</v>
      </c>
      <c r="V112" s="64">
        <f>'BAU Comparison - Production'!AV221</f>
        <v>-2.2244599589488754</v>
      </c>
      <c r="W112" s="64">
        <f>'BAU Comparison - Production'!AW221</f>
        <v>-2.7191512306027077</v>
      </c>
      <c r="X112" s="64">
        <f>'BAU Comparison - Production'!AX221</f>
        <v>-3.281558835673839</v>
      </c>
      <c r="Y112" s="64">
        <f>'BAU Comparison - Production'!AY221</f>
        <v>-3.5785269547417524</v>
      </c>
      <c r="Z112" s="64">
        <f>'BAU Comparison - Production'!AZ221</f>
        <v>-3.8866376025253602</v>
      </c>
      <c r="AA112" s="64">
        <f>'BAU Comparison - Production'!BA221</f>
        <v>-4.1939740270936889</v>
      </c>
      <c r="AB112" s="65">
        <f>'BAU Comparison - Production'!BB221</f>
        <v>-4.6135739679678851</v>
      </c>
    </row>
    <row r="113" spans="1:29" ht="15" customHeight="1">
      <c r="A113" s="520"/>
      <c r="B113" s="2" t="str">
        <f>'BAU Comparison - Production'!B222</f>
        <v>STATEWIDE</v>
      </c>
      <c r="C113" s="73" t="s">
        <v>240</v>
      </c>
      <c r="D113" s="175">
        <f>'BAU Comparison - Production'!AD222</f>
        <v>0</v>
      </c>
      <c r="E113" s="175">
        <f>'BAU Comparison - Production'!AE222</f>
        <v>0</v>
      </c>
      <c r="F113" s="175">
        <f>'BAU Comparison - Production'!AF222</f>
        <v>0</v>
      </c>
      <c r="G113" s="175">
        <f>'BAU Comparison - Production'!AG222</f>
        <v>0</v>
      </c>
      <c r="H113" s="175">
        <f>'BAU Comparison - Production'!AH222</f>
        <v>0</v>
      </c>
      <c r="I113" s="175">
        <f>'BAU Comparison - Production'!AI222</f>
        <v>0</v>
      </c>
      <c r="J113" s="175">
        <f>'BAU Comparison - Production'!AJ222</f>
        <v>0</v>
      </c>
      <c r="K113" s="175">
        <f>'BAU Comparison - Production'!AK222</f>
        <v>0</v>
      </c>
      <c r="L113" s="175">
        <f>'BAU Comparison - Production'!AL222</f>
        <v>0</v>
      </c>
      <c r="M113" s="175">
        <f>'BAU Comparison - Production'!AM222</f>
        <v>0</v>
      </c>
      <c r="N113" s="175">
        <f>'BAU Comparison - Production'!AN222</f>
        <v>0</v>
      </c>
      <c r="O113" s="175">
        <f>'BAU Comparison - Production'!AO222</f>
        <v>0</v>
      </c>
      <c r="P113" s="175">
        <f>'BAU Comparison - Production'!AP222</f>
        <v>0</v>
      </c>
      <c r="Q113" s="175">
        <f>'BAU Comparison - Production'!AQ222</f>
        <v>0</v>
      </c>
      <c r="R113" s="175">
        <f>'BAU Comparison - Production'!AR222</f>
        <v>-0.57411217841726903</v>
      </c>
      <c r="S113" s="175">
        <f>'BAU Comparison - Production'!AS222</f>
        <v>-2.0423168869247066</v>
      </c>
      <c r="T113" s="175">
        <f>'BAU Comparison - Production'!AT222</f>
        <v>-3.5437783669240766</v>
      </c>
      <c r="U113" s="175">
        <f>'BAU Comparison - Production'!AU222</f>
        <v>-5.0761884159468122</v>
      </c>
      <c r="V113" s="175">
        <f>'BAU Comparison - Production'!AV222</f>
        <v>-6.4079165555262074</v>
      </c>
      <c r="W113" s="175">
        <f>'BAU Comparison - Production'!AW222</f>
        <v>-7.8329541592245278</v>
      </c>
      <c r="X113" s="175">
        <f>'BAU Comparison - Production'!AX222</f>
        <v>-9.4530619774567484</v>
      </c>
      <c r="Y113" s="175">
        <f>'BAU Comparison - Production'!AY222</f>
        <v>-10.308528816921124</v>
      </c>
      <c r="Z113" s="175">
        <f>'BAU Comparison - Production'!AZ222</f>
        <v>-11.196093869111399</v>
      </c>
      <c r="AA113" s="175">
        <f>'BAU Comparison - Production'!BA222</f>
        <v>-12.081425692443629</v>
      </c>
      <c r="AB113" s="175">
        <f>'BAU Comparison - Production'!BB222</f>
        <v>-13.290151044791855</v>
      </c>
      <c r="AC113" s="66"/>
    </row>
    <row r="114" spans="1:29" ht="15" customHeight="1">
      <c r="A114" s="520"/>
      <c r="B114" s="2"/>
    </row>
    <row r="115" spans="1:29" ht="25.9" customHeight="1">
      <c r="A115" s="520"/>
      <c r="B115" s="86"/>
      <c r="C115" s="86"/>
      <c r="D115" s="519" t="s">
        <v>18956</v>
      </c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</row>
    <row r="116" spans="1:29" ht="25.9" customHeight="1">
      <c r="A116" s="520"/>
      <c r="B116" s="88" t="s">
        <v>18814</v>
      </c>
      <c r="C116" s="90" t="s">
        <v>1</v>
      </c>
      <c r="D116" s="156">
        <v>2022</v>
      </c>
      <c r="E116" s="156">
        <v>2023</v>
      </c>
      <c r="F116" s="156">
        <v>2024</v>
      </c>
      <c r="G116" s="156">
        <v>2025</v>
      </c>
      <c r="H116" s="156">
        <v>2026</v>
      </c>
      <c r="I116" s="156">
        <v>2027</v>
      </c>
      <c r="J116" s="156">
        <v>2028</v>
      </c>
      <c r="K116" s="156">
        <v>2029</v>
      </c>
      <c r="L116" s="157">
        <v>2030</v>
      </c>
      <c r="M116" s="156">
        <v>2031</v>
      </c>
      <c r="N116" s="156">
        <v>2032</v>
      </c>
      <c r="O116" s="156">
        <v>2033</v>
      </c>
      <c r="P116" s="156">
        <v>2034</v>
      </c>
      <c r="Q116" s="156">
        <v>2035</v>
      </c>
      <c r="R116" s="156">
        <v>2036</v>
      </c>
      <c r="S116" s="156">
        <v>2037</v>
      </c>
      <c r="T116" s="156">
        <v>2038</v>
      </c>
      <c r="U116" s="157">
        <v>2039</v>
      </c>
      <c r="V116" s="156">
        <v>2040</v>
      </c>
      <c r="W116" s="156">
        <v>2041</v>
      </c>
      <c r="X116" s="156">
        <v>2042</v>
      </c>
      <c r="Y116" s="156">
        <v>2043</v>
      </c>
      <c r="Z116" s="156">
        <v>2044</v>
      </c>
      <c r="AA116" s="156">
        <v>2045</v>
      </c>
      <c r="AB116" s="156">
        <v>2046</v>
      </c>
    </row>
    <row r="117" spans="1:29" ht="25.9" customHeight="1">
      <c r="A117" s="520"/>
      <c r="B117" s="2" t="s">
        <v>249</v>
      </c>
      <c r="C117" s="2" t="s">
        <v>240</v>
      </c>
      <c r="D117" s="104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80">
        <v>0</v>
      </c>
    </row>
    <row r="118" spans="1:29" ht="25.9" customHeight="1">
      <c r="A118" s="520"/>
      <c r="B118" s="2" t="s">
        <v>251</v>
      </c>
      <c r="C118" s="2" t="s">
        <v>240</v>
      </c>
      <c r="D118" s="393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1">
        <v>0</v>
      </c>
    </row>
    <row r="119" spans="1:29" ht="25.9" customHeight="1">
      <c r="A119" s="520"/>
      <c r="B119" s="2" t="s">
        <v>253</v>
      </c>
      <c r="C119" s="2" t="s">
        <v>240</v>
      </c>
      <c r="D119" s="393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1">
        <v>0</v>
      </c>
    </row>
    <row r="120" spans="1:29" ht="25.9" customHeight="1">
      <c r="A120" s="520"/>
      <c r="B120" s="2" t="s">
        <v>255</v>
      </c>
      <c r="C120" s="2" t="s">
        <v>240</v>
      </c>
      <c r="D120" s="393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1">
        <v>0</v>
      </c>
    </row>
    <row r="121" spans="1:29" ht="25.9" customHeight="1">
      <c r="A121" s="520"/>
      <c r="B121" s="2" t="s">
        <v>256</v>
      </c>
      <c r="C121" s="2" t="s">
        <v>240</v>
      </c>
      <c r="D121" s="393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1">
        <v>0</v>
      </c>
    </row>
    <row r="122" spans="1:29" ht="25.9" customHeight="1">
      <c r="A122" s="520"/>
      <c r="B122" s="2" t="s">
        <v>257</v>
      </c>
      <c r="C122" s="2" t="s">
        <v>240</v>
      </c>
      <c r="D122" s="393">
        <f>'BAU Comparison - FS &amp; Fuel Tr'!BL464/907185</f>
        <v>0</v>
      </c>
      <c r="E122" s="60">
        <f>'BAU Comparison - FS &amp; Fuel Tr'!BM464/907185</f>
        <v>0</v>
      </c>
      <c r="F122" s="60">
        <f>'BAU Comparison - FS &amp; Fuel Tr'!BN464/907185</f>
        <v>0</v>
      </c>
      <c r="G122" s="60">
        <f>'BAU Comparison - FS &amp; Fuel Tr'!BO464/907185</f>
        <v>0</v>
      </c>
      <c r="H122" s="60">
        <f>'BAU Comparison - FS &amp; Fuel Tr'!BP464/907185</f>
        <v>0</v>
      </c>
      <c r="I122" s="60">
        <f>'BAU Comparison - FS &amp; Fuel Tr'!BQ464/907185</f>
        <v>0</v>
      </c>
      <c r="J122" s="60">
        <f>'BAU Comparison - FS &amp; Fuel Tr'!BR464/907185</f>
        <v>0</v>
      </c>
      <c r="K122" s="60">
        <f>'BAU Comparison - FS &amp; Fuel Tr'!BS464/907185</f>
        <v>0</v>
      </c>
      <c r="L122" s="60">
        <f>'BAU Comparison - FS &amp; Fuel Tr'!BT464/907185</f>
        <v>0</v>
      </c>
      <c r="M122" s="60">
        <f>'BAU Comparison - FS &amp; Fuel Tr'!BU464/907185</f>
        <v>0</v>
      </c>
      <c r="N122" s="60">
        <f>'BAU Comparison - FS &amp; Fuel Tr'!BV464/907185</f>
        <v>0</v>
      </c>
      <c r="O122" s="60">
        <f>'BAU Comparison - FS &amp; Fuel Tr'!BW464/907185</f>
        <v>0</v>
      </c>
      <c r="P122" s="60">
        <f>'BAU Comparison - FS &amp; Fuel Tr'!BX464/907185</f>
        <v>0</v>
      </c>
      <c r="Q122" s="60">
        <f>'BAU Comparison - FS &amp; Fuel Tr'!BY464/907185</f>
        <v>0</v>
      </c>
      <c r="R122" s="60">
        <f>'BAU Comparison - FS &amp; Fuel Tr'!BZ464/907185</f>
        <v>0</v>
      </c>
      <c r="S122" s="60">
        <f>'BAU Comparison - FS &amp; Fuel Tr'!CA464/907185</f>
        <v>0</v>
      </c>
      <c r="T122" s="60">
        <f>'BAU Comparison - FS &amp; Fuel Tr'!CB464/907185</f>
        <v>0</v>
      </c>
      <c r="U122" s="60">
        <f>'BAU Comparison - FS &amp; Fuel Tr'!CC464/907185</f>
        <v>0</v>
      </c>
      <c r="V122" s="60">
        <f>'BAU Comparison - FS &amp; Fuel Tr'!CD464/907185</f>
        <v>0</v>
      </c>
      <c r="W122" s="60">
        <f>'BAU Comparison - FS &amp; Fuel Tr'!CE464/907185</f>
        <v>0</v>
      </c>
      <c r="X122" s="60">
        <f>'BAU Comparison - FS &amp; Fuel Tr'!CF464/907185</f>
        <v>0</v>
      </c>
      <c r="Y122" s="60">
        <f>'BAU Comparison - FS &amp; Fuel Tr'!CG464/907185</f>
        <v>0</v>
      </c>
      <c r="Z122" s="60">
        <f>'BAU Comparison - FS &amp; Fuel Tr'!CH464/907185</f>
        <v>0</v>
      </c>
      <c r="AA122" s="60">
        <f>'BAU Comparison - FS &amp; Fuel Tr'!CI464/907185</f>
        <v>0</v>
      </c>
      <c r="AB122" s="61">
        <f>'BAU Comparison - FS &amp; Fuel Tr'!CJ464/907185</f>
        <v>0</v>
      </c>
    </row>
    <row r="123" spans="1:29" ht="25.9" customHeight="1">
      <c r="A123" s="520"/>
      <c r="B123" s="2" t="s">
        <v>258</v>
      </c>
      <c r="C123" s="2" t="s">
        <v>240</v>
      </c>
      <c r="D123" s="393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1">
        <v>0</v>
      </c>
    </row>
    <row r="124" spans="1:29" ht="25.9" customHeight="1">
      <c r="A124" s="520"/>
      <c r="B124" s="2" t="s">
        <v>259</v>
      </c>
      <c r="C124" s="2" t="s">
        <v>240</v>
      </c>
      <c r="D124" s="393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1">
        <v>0</v>
      </c>
    </row>
    <row r="125" spans="1:29" ht="25.9" customHeight="1">
      <c r="A125" s="520"/>
      <c r="B125" s="2" t="s">
        <v>260</v>
      </c>
      <c r="C125" s="2" t="s">
        <v>240</v>
      </c>
      <c r="D125" s="393">
        <f>'BAU Comparison - FS &amp; Fuel Tr'!BL424/907185</f>
        <v>0</v>
      </c>
      <c r="E125" s="60">
        <f>'BAU Comparison - FS &amp; Fuel Tr'!BM424/907185</f>
        <v>0</v>
      </c>
      <c r="F125" s="60">
        <f>'BAU Comparison - FS &amp; Fuel Tr'!BN424/907185</f>
        <v>8.7315165913080847E-2</v>
      </c>
      <c r="G125" s="60">
        <f>'BAU Comparison - FS &amp; Fuel Tr'!BO424/907185</f>
        <v>0.23986253230983309</v>
      </c>
      <c r="H125" s="60">
        <f>'BAU Comparison - FS &amp; Fuel Tr'!BP424/907185</f>
        <v>0.27765234270438749</v>
      </c>
      <c r="I125" s="60">
        <f>'BAU Comparison - FS &amp; Fuel Tr'!BQ424/907185</f>
        <v>0.26941985855307071</v>
      </c>
      <c r="J125" s="60">
        <f>'BAU Comparison - FS &amp; Fuel Tr'!BR424/907185</f>
        <v>0.23949859854557951</v>
      </c>
      <c r="K125" s="60">
        <f>'BAU Comparison - FS &amp; Fuel Tr'!BS424/907185</f>
        <v>0.23275619977119161</v>
      </c>
      <c r="L125" s="60">
        <f>'BAU Comparison - FS &amp; Fuel Tr'!BT424/907185</f>
        <v>0.22447322625412239</v>
      </c>
      <c r="M125" s="60">
        <f>'BAU Comparison - FS &amp; Fuel Tr'!BU424/907185</f>
        <v>0.21596032866805764</v>
      </c>
      <c r="N125" s="60">
        <f>'BAU Comparison - FS &amp; Fuel Tr'!BV424/907185</f>
        <v>0.20783766261938408</v>
      </c>
      <c r="O125" s="60">
        <f>'BAU Comparison - FS &amp; Fuel Tr'!BW424/907185</f>
        <v>0.20072070264871314</v>
      </c>
      <c r="P125" s="60">
        <f>'BAU Comparison - FS &amp; Fuel Tr'!BX424/907185</f>
        <v>0.19257052085572379</v>
      </c>
      <c r="Q125" s="60">
        <f>'BAU Comparison - FS &amp; Fuel Tr'!BY424/907185</f>
        <v>0.18454410271504754</v>
      </c>
      <c r="R125" s="60">
        <f>'BAU Comparison - FS &amp; Fuel Tr'!BZ424/907185</f>
        <v>0.17567314408772605</v>
      </c>
      <c r="S125" s="60">
        <f>'BAU Comparison - FS &amp; Fuel Tr'!CA424/907185</f>
        <v>0.16714157391117893</v>
      </c>
      <c r="T125" s="60">
        <f>'BAU Comparison - FS &amp; Fuel Tr'!CB424/907185</f>
        <v>0.15893301693925704</v>
      </c>
      <c r="U125" s="60">
        <f>'BAU Comparison - FS &amp; Fuel Tr'!CC424/907185</f>
        <v>0.16152212598897653</v>
      </c>
      <c r="V125" s="60">
        <f>'BAU Comparison - FS &amp; Fuel Tr'!CD424/907185</f>
        <v>0.16371546075324026</v>
      </c>
      <c r="W125" s="60">
        <f>'BAU Comparison - FS &amp; Fuel Tr'!CE424/907185</f>
        <v>0.15993795120854784</v>
      </c>
      <c r="X125" s="60">
        <f>'BAU Comparison - FS &amp; Fuel Tr'!CF424/907185</f>
        <v>0.1521940853214194</v>
      </c>
      <c r="Y125" s="60">
        <f>'BAU Comparison - FS &amp; Fuel Tr'!CG424/907185</f>
        <v>0.15254861023036145</v>
      </c>
      <c r="Z125" s="60">
        <f>'BAU Comparison - FS &amp; Fuel Tr'!CH424/907185</f>
        <v>0.15188333198688048</v>
      </c>
      <c r="AA125" s="60">
        <f>'BAU Comparison - FS &amp; Fuel Tr'!CI424/907185</f>
        <v>0.15124992581901506</v>
      </c>
      <c r="AB125" s="61">
        <f>'BAU Comparison - FS &amp; Fuel Tr'!CJ424/907185</f>
        <v>0.14810955949717797</v>
      </c>
    </row>
    <row r="126" spans="1:29" ht="25.9" customHeight="1">
      <c r="A126" s="520"/>
      <c r="B126" s="2" t="s">
        <v>261</v>
      </c>
      <c r="C126" s="2" t="s">
        <v>240</v>
      </c>
      <c r="D126" s="393">
        <f>'BAU Comparison - FS &amp; Fuel Tr'!BL444/907185</f>
        <v>0</v>
      </c>
      <c r="E126" s="60">
        <f>'BAU Comparison - FS &amp; Fuel Tr'!BM444/907185</f>
        <v>0</v>
      </c>
      <c r="F126" s="60">
        <f>'BAU Comparison - FS &amp; Fuel Tr'!BN444/907185</f>
        <v>0</v>
      </c>
      <c r="G126" s="60">
        <f>'BAU Comparison - FS &amp; Fuel Tr'!BO444/907185</f>
        <v>0</v>
      </c>
      <c r="H126" s="60">
        <f>'BAU Comparison - FS &amp; Fuel Tr'!BP444/907185</f>
        <v>2.2449480108896062E-4</v>
      </c>
      <c r="I126" s="60">
        <f>'BAU Comparison - FS &amp; Fuel Tr'!BQ444/907185</f>
        <v>1.9197988535847562E-3</v>
      </c>
      <c r="J126" s="60">
        <f>'BAU Comparison - FS &amp; Fuel Tr'!BR444/907185</f>
        <v>2.9110086885827239E-3</v>
      </c>
      <c r="K126" s="60">
        <f>'BAU Comparison - FS &amp; Fuel Tr'!BS444/907185</f>
        <v>3.4674421680780604E-3</v>
      </c>
      <c r="L126" s="60">
        <f>'BAU Comparison - FS &amp; Fuel Tr'!BT444/907185</f>
        <v>3.7508155130990166E-3</v>
      </c>
      <c r="M126" s="60">
        <f>'BAU Comparison - FS &amp; Fuel Tr'!BU444/907185</f>
        <v>3.8782231182457037E-3</v>
      </c>
      <c r="N126" s="60">
        <f>'BAU Comparison - FS &amp; Fuel Tr'!BV444/907185</f>
        <v>3.9202600691208705E-3</v>
      </c>
      <c r="O126" s="60">
        <f>'BAU Comparison - FS &amp; Fuel Tr'!BW444/907185</f>
        <v>3.9247746886778272E-3</v>
      </c>
      <c r="P126" s="60">
        <f>'BAU Comparison - FS &amp; Fuel Tr'!BX444/907185</f>
        <v>3.9321326444702962E-3</v>
      </c>
      <c r="Q126" s="60">
        <f>'BAU Comparison - FS &amp; Fuel Tr'!BY444/907185</f>
        <v>3.8333480295931585E-3</v>
      </c>
      <c r="R126" s="60">
        <f>'BAU Comparison - FS &amp; Fuel Tr'!BZ444/907185</f>
        <v>3.7094422619396621E-3</v>
      </c>
      <c r="S126" s="60">
        <f>'BAU Comparison - FS &amp; Fuel Tr'!CA444/907185</f>
        <v>3.5850408024293771E-3</v>
      </c>
      <c r="T126" s="60">
        <f>'BAU Comparison - FS &amp; Fuel Tr'!CB444/907185</f>
        <v>3.4602516013246365E-3</v>
      </c>
      <c r="U126" s="60">
        <f>'BAU Comparison - FS &amp; Fuel Tr'!CC444/907185</f>
        <v>3.3427442621979395E-3</v>
      </c>
      <c r="V126" s="60">
        <f>'BAU Comparison - FS &amp; Fuel Tr'!CD444/907185</f>
        <v>3.2533550842403099E-3</v>
      </c>
      <c r="W126" s="60">
        <f>'BAU Comparison - FS &amp; Fuel Tr'!CE444/907185</f>
        <v>3.1682865999247589E-3</v>
      </c>
      <c r="X126" s="60">
        <f>'BAU Comparison - FS &amp; Fuel Tr'!CF444/907185</f>
        <v>3.0857488993624024E-3</v>
      </c>
      <c r="Y126" s="60">
        <f>'BAU Comparison - FS &amp; Fuel Tr'!CG444/907185</f>
        <v>3.0670417798428829E-3</v>
      </c>
      <c r="Z126" s="60">
        <f>'BAU Comparison - FS &amp; Fuel Tr'!CH444/907185</f>
        <v>3.0525414962038902E-3</v>
      </c>
      <c r="AA126" s="60">
        <f>'BAU Comparison - FS &amp; Fuel Tr'!CI444/907185</f>
        <v>3.0418772002859607E-3</v>
      </c>
      <c r="AB126" s="61">
        <f>'BAU Comparison - FS &amp; Fuel Tr'!CJ444/907185</f>
        <v>3.0335677414522638E-3</v>
      </c>
    </row>
    <row r="127" spans="1:29" ht="25.9" customHeight="1">
      <c r="A127" s="520"/>
      <c r="B127" s="2" t="s">
        <v>262</v>
      </c>
      <c r="C127" s="2" t="s">
        <v>240</v>
      </c>
      <c r="D127" s="393">
        <f>'BAU Comparison - FS &amp; Fuel Tr'!BL384/907185</f>
        <v>0</v>
      </c>
      <c r="E127" s="60">
        <f>'BAU Comparison - FS &amp; Fuel Tr'!BM384/907185</f>
        <v>0</v>
      </c>
      <c r="F127" s="60">
        <f>'BAU Comparison - FS &amp; Fuel Tr'!BN384/907185</f>
        <v>5.8210110608720556E-2</v>
      </c>
      <c r="G127" s="60">
        <f>'BAU Comparison - FS &amp; Fuel Tr'!BO384/907185</f>
        <v>0.15990835487322205</v>
      </c>
      <c r="H127" s="60">
        <f>'BAU Comparison - FS &amp; Fuel Tr'!BP384/907185</f>
        <v>0.18540088820437695</v>
      </c>
      <c r="I127" s="60">
        <f>'BAU Comparison - FS &amp; Fuel Tr'!BQ384/907185</f>
        <v>0.18217297084016013</v>
      </c>
      <c r="J127" s="60">
        <f>'BAU Comparison - FS &amp; Fuel Tr'!BR384/907185</f>
        <v>0.16354707728182996</v>
      </c>
      <c r="K127" s="60">
        <f>'BAU Comparison - FS &amp; Fuel Tr'!BS384/907185</f>
        <v>0.15979405607156516</v>
      </c>
      <c r="L127" s="60">
        <f>'BAU Comparison - FS &amp; Fuel Tr'!BT384/907185</f>
        <v>0.15464990485354696</v>
      </c>
      <c r="M127" s="60">
        <f>'BAU Comparison - FS &amp; Fuel Tr'!BU384/907185</f>
        <v>0.14914451660303268</v>
      </c>
      <c r="N127" s="60">
        <f>'BAU Comparison - FS &amp; Fuel Tr'!BV384/907185</f>
        <v>0.14378545517175056</v>
      </c>
      <c r="O127" s="60">
        <f>'BAU Comparison - FS &amp; Fuel Tr'!BW384/907185</f>
        <v>0.13904683468404586</v>
      </c>
      <c r="P127" s="60">
        <f>'BAU Comparison - FS &amp; Fuel Tr'!BX384/907185</f>
        <v>0.13362319076310958</v>
      </c>
      <c r="Q127" s="60">
        <f>'BAU Comparison - FS &amp; Fuel Tr'!BY384/907185</f>
        <v>0.1281405325161559</v>
      </c>
      <c r="R127" s="60">
        <f>'BAU Comparison - FS &amp; Fuel Tr'!BZ384/907185</f>
        <v>0.12206135240773693</v>
      </c>
      <c r="S127" s="60">
        <f>'BAU Comparison - FS &amp; Fuel Tr'!CA384/907185</f>
        <v>0.11620777034402514</v>
      </c>
      <c r="T127" s="60">
        <f>'BAU Comparison - FS &amp; Fuel Tr'!CB384/907185</f>
        <v>0.11056901342793755</v>
      </c>
      <c r="U127" s="60">
        <f>'BAU Comparison - FS &amp; Fuel Tr'!CC384/907185</f>
        <v>0.11213840967558161</v>
      </c>
      <c r="V127" s="60">
        <f>'BAU Comparison - FS &amp; Fuel Tr'!CD384/907185</f>
        <v>0.11348144728114726</v>
      </c>
      <c r="W127" s="60">
        <f>'BAU Comparison - FS &amp; Fuel Tr'!CE384/907185</f>
        <v>0.11084968293893156</v>
      </c>
      <c r="X127" s="60">
        <f>'BAU Comparison - FS &amp; Fuel Tr'!CF384/907185</f>
        <v>0.10557705541342946</v>
      </c>
      <c r="Y127" s="60">
        <f>'BAU Comparison - FS &amp; Fuel Tr'!CG384/907185</f>
        <v>0.10578846252669814</v>
      </c>
      <c r="Z127" s="60">
        <f>'BAU Comparison - FS &amp; Fuel Tr'!CH384/907185</f>
        <v>0.10532560998619218</v>
      </c>
      <c r="AA127" s="60">
        <f>'BAU Comparison - FS &amp; Fuel Tr'!CI384/907185</f>
        <v>0.10488912014639132</v>
      </c>
      <c r="AB127" s="61">
        <f>'BAU Comparison - FS &amp; Fuel Tr'!CJ384/907185</f>
        <v>0.102784463320055</v>
      </c>
    </row>
    <row r="128" spans="1:29" ht="25.9" customHeight="1">
      <c r="A128" s="520"/>
      <c r="B128" s="2" t="s">
        <v>263</v>
      </c>
      <c r="C128" s="2" t="s">
        <v>240</v>
      </c>
      <c r="D128" s="393">
        <f>'BAU Comparison - FS &amp; Fuel Tr'!BL364/907185</f>
        <v>0</v>
      </c>
      <c r="E128" s="60">
        <f>'BAU Comparison - FS &amp; Fuel Tr'!BM364/907185</f>
        <v>0</v>
      </c>
      <c r="F128" s="60">
        <f>'BAU Comparison - FS &amp; Fuel Tr'!BN364/907185</f>
        <v>0.17463033182616169</v>
      </c>
      <c r="G128" s="60">
        <f>'BAU Comparison - FS &amp; Fuel Tr'!BO364/907185</f>
        <v>0.47972506461966619</v>
      </c>
      <c r="H128" s="60">
        <f>'BAU Comparison - FS &amp; Fuel Tr'!BP364/907185</f>
        <v>0.55562613897836133</v>
      </c>
      <c r="I128" s="60">
        <f>'BAU Comparison - FS &amp; Fuel Tr'!BQ364/907185</f>
        <v>0.54158902994265923</v>
      </c>
      <c r="J128" s="60">
        <f>'BAU Comparison - FS &amp; Fuel Tr'!BR364/907185</f>
        <v>0.48316698786730283</v>
      </c>
      <c r="K128" s="60">
        <f>'BAU Comparison - FS &amp; Fuel Tr'!BS364/907185</f>
        <v>0.47048005765870166</v>
      </c>
      <c r="L128" s="60">
        <f>'BAU Comparison - FS &amp; Fuel Tr'!BT364/907185</f>
        <v>0.45432105203191964</v>
      </c>
      <c r="M128" s="60">
        <f>'BAU Comparison - FS &amp; Fuel Tr'!BU364/907185</f>
        <v>0.43747888151815306</v>
      </c>
      <c r="N128" s="60">
        <f>'BAU Comparison - FS &amp; Fuel Tr'!BV364/907185</f>
        <v>0.42129492005332625</v>
      </c>
      <c r="O128" s="60">
        <f>'BAU Comparison - FS &amp; Fuel Tr'!BW364/907185</f>
        <v>0.40706863949009553</v>
      </c>
      <c r="P128" s="60">
        <f>'BAU Comparison - FS &amp; Fuel Tr'!BX364/907185</f>
        <v>0.39077997431165812</v>
      </c>
      <c r="Q128" s="60">
        <f>'BAU Comparison - FS &amp; Fuel Tr'!BY364/907185</f>
        <v>0.37458669752983415</v>
      </c>
      <c r="R128" s="60">
        <f>'BAU Comparison - FS &amp; Fuel Tr'!BZ364/907185</f>
        <v>0.35666825320299611</v>
      </c>
      <c r="S128" s="60">
        <f>'BAU Comparison - FS &amp; Fuel Tr'!CA364/907185</f>
        <v>0.33942780970328851</v>
      </c>
      <c r="T128" s="60">
        <f>'BAU Comparison - FS &amp; Fuel Tr'!CB364/907185</f>
        <v>0.32283276765639057</v>
      </c>
      <c r="U128" s="60">
        <f>'BAU Comparison - FS &amp; Fuel Tr'!CC364/907185</f>
        <v>0.32784263857466112</v>
      </c>
      <c r="V128" s="60">
        <f>'BAU Comparison - FS &amp; Fuel Tr'!CD364/907185</f>
        <v>0.33210137411379287</v>
      </c>
      <c r="W128" s="60">
        <f>'BAU Comparison - FS &amp; Fuel Tr'!CE364/907185</f>
        <v>0.32442502489229358</v>
      </c>
      <c r="X128" s="60">
        <f>'BAU Comparison - FS &amp; Fuel Tr'!CF364/907185</f>
        <v>0.30881988906355551</v>
      </c>
      <c r="Y128" s="60">
        <f>'BAU Comparison - FS &amp; Fuel Tr'!CG364/907185</f>
        <v>0.30950277355388522</v>
      </c>
      <c r="Z128" s="60">
        <f>'BAU Comparison - FS &amp; Fuel Tr'!CH364/907185</f>
        <v>0.30815218786286819</v>
      </c>
      <c r="AA128" s="60">
        <f>'BAU Comparison - FS &amp; Fuel Tr'!CI364/907185</f>
        <v>0.306870864182686</v>
      </c>
      <c r="AB128" s="61">
        <f>'BAU Comparison - FS &amp; Fuel Tr'!CJ364/907185</f>
        <v>0.30057926460122875</v>
      </c>
    </row>
    <row r="129" spans="1:29" ht="25.9" customHeight="1">
      <c r="A129" s="520"/>
      <c r="B129" s="2" t="s">
        <v>265</v>
      </c>
      <c r="C129" s="2" t="s">
        <v>240</v>
      </c>
      <c r="D129" s="393">
        <f>'BAU Comparison - FS &amp; Fuel Tr'!BL404/907185</f>
        <v>0</v>
      </c>
      <c r="E129" s="60">
        <f>'BAU Comparison - FS &amp; Fuel Tr'!BM404/907185</f>
        <v>0</v>
      </c>
      <c r="F129" s="60">
        <f>'BAU Comparison - FS &amp; Fuel Tr'!BN404/907185</f>
        <v>8.7315165913080847E-2</v>
      </c>
      <c r="G129" s="60">
        <f>'BAU Comparison - FS &amp; Fuel Tr'!BO404/907185</f>
        <v>0.23986253230983309</v>
      </c>
      <c r="H129" s="60">
        <f>'BAU Comparison - FS &amp; Fuel Tr'!BP404/907185</f>
        <v>0.27890235274242392</v>
      </c>
      <c r="I129" s="60">
        <f>'BAU Comparison - FS &amp; Fuel Tr'!BQ404/907185</f>
        <v>0.2801091376916463</v>
      </c>
      <c r="J129" s="60">
        <f>'BAU Comparison - FS &amp; Fuel Tr'!BR404/907185</f>
        <v>0.25570586858951472</v>
      </c>
      <c r="K129" s="60">
        <f>'BAU Comparison - FS &amp; Fuel Tr'!BS404/907185</f>
        <v>0.2520606368314196</v>
      </c>
      <c r="L129" s="60">
        <f>'BAU Comparison - FS &amp; Fuel Tr'!BT404/907185</f>
        <v>0.24535433532214068</v>
      </c>
      <c r="M129" s="60">
        <f>'BAU Comparison - FS &amp; Fuel Tr'!BU404/907185</f>
        <v>0.23754966631373983</v>
      </c>
      <c r="N129" s="60">
        <f>'BAU Comparison - FS &amp; Fuel Tr'!BV404/907185</f>
        <v>0.22965988828867212</v>
      </c>
      <c r="O129" s="60">
        <f>'BAU Comparison - FS &amp; Fuel Tr'!BW404/907185</f>
        <v>0.22256689127678872</v>
      </c>
      <c r="P129" s="60">
        <f>'BAU Comparison - FS &amp; Fuel Tr'!BX404/907185</f>
        <v>0.2144565167668053</v>
      </c>
      <c r="Q129" s="60">
        <f>'BAU Comparison - FS &amp; Fuel Tr'!BY404/907185</f>
        <v>0.20587904682246061</v>
      </c>
      <c r="R129" s="60">
        <f>'BAU Comparison - FS &amp; Fuel Tr'!BZ404/907185</f>
        <v>0.19631727489375966</v>
      </c>
      <c r="S129" s="60">
        <f>'BAU Comparison - FS &amp; Fuel Tr'!CA404/907185</f>
        <v>0.18709219764725396</v>
      </c>
      <c r="T129" s="60">
        <f>'BAU Comparison - FS &amp; Fuel Tr'!CB404/907185</f>
        <v>0.17818804437065297</v>
      </c>
      <c r="U129" s="60">
        <f>'BAU Comparison - FS &amp; Fuel Tr'!CC404/907185</f>
        <v>0.18012294922765407</v>
      </c>
      <c r="V129" s="60">
        <f>'BAU Comparison - FS &amp; Fuel Tr'!CD404/907185</f>
        <v>0.18181849373561002</v>
      </c>
      <c r="W129" s="60">
        <f>'BAU Comparison - FS &amp; Fuel Tr'!CE404/907185</f>
        <v>0.17756683493282324</v>
      </c>
      <c r="X129" s="60">
        <f>'BAU Comparison - FS &amp; Fuel Tr'!CF404/907185</f>
        <v>0.16936260919623955</v>
      </c>
      <c r="Y129" s="60">
        <f>'BAU Comparison - FS &amp; Fuel Tr'!CG404/907185</f>
        <v>0.16961234959609928</v>
      </c>
      <c r="Z129" s="60">
        <f>'BAU Comparison - FS &amp; Fuel Tr'!CH404/907185</f>
        <v>0.16886559857120054</v>
      </c>
      <c r="AA129" s="60">
        <f>'BAU Comparison - FS &amp; Fuel Tr'!CI404/907185</f>
        <v>0.16817205367636087</v>
      </c>
      <c r="AB129" s="61">
        <f>'BAU Comparison - FS &amp; Fuel Tr'!CJ404/907185</f>
        <v>0.16498438808047103</v>
      </c>
    </row>
    <row r="130" spans="1:29" ht="25.9" customHeight="1">
      <c r="A130" s="520"/>
      <c r="B130" s="2" t="s">
        <v>267</v>
      </c>
      <c r="C130" s="2" t="s">
        <v>240</v>
      </c>
      <c r="D130" s="393">
        <f>'BAU Comparison - FS &amp; Fuel Tr'!BL484/907185</f>
        <v>0</v>
      </c>
      <c r="E130" s="60">
        <f>'BAU Comparison - FS &amp; Fuel Tr'!BM484/907185</f>
        <v>0</v>
      </c>
      <c r="F130" s="60">
        <f>'BAU Comparison - FS &amp; Fuel Tr'!BN484/907185</f>
        <v>0</v>
      </c>
      <c r="G130" s="60">
        <f>'BAU Comparison - FS &amp; Fuel Tr'!BO484/907185</f>
        <v>0</v>
      </c>
      <c r="H130" s="60">
        <f>'BAU Comparison - FS &amp; Fuel Tr'!BP484/907185</f>
        <v>0</v>
      </c>
      <c r="I130" s="60">
        <f>'BAU Comparison - FS &amp; Fuel Tr'!BQ484/907185</f>
        <v>0</v>
      </c>
      <c r="J130" s="60">
        <f>'BAU Comparison - FS &amp; Fuel Tr'!BR484/907185</f>
        <v>0</v>
      </c>
      <c r="K130" s="60">
        <f>'BAU Comparison - FS &amp; Fuel Tr'!BS484/907185</f>
        <v>0</v>
      </c>
      <c r="L130" s="60">
        <f>'BAU Comparison - FS &amp; Fuel Tr'!BT484/907185</f>
        <v>0</v>
      </c>
      <c r="M130" s="60">
        <f>'BAU Comparison - FS &amp; Fuel Tr'!BU484/907185</f>
        <v>0</v>
      </c>
      <c r="N130" s="60">
        <f>'BAU Comparison - FS &amp; Fuel Tr'!BV484/907185</f>
        <v>0</v>
      </c>
      <c r="O130" s="60">
        <f>'BAU Comparison - FS &amp; Fuel Tr'!BW484/907185</f>
        <v>0</v>
      </c>
      <c r="P130" s="60">
        <f>'BAU Comparison - FS &amp; Fuel Tr'!BX484/907185</f>
        <v>0</v>
      </c>
      <c r="Q130" s="60">
        <f>'BAU Comparison - FS &amp; Fuel Tr'!BY484/907185</f>
        <v>0</v>
      </c>
      <c r="R130" s="60">
        <f>'BAU Comparison - FS &amp; Fuel Tr'!BZ484/907185</f>
        <v>0</v>
      </c>
      <c r="S130" s="60">
        <f>'BAU Comparison - FS &amp; Fuel Tr'!CA484/907185</f>
        <v>0</v>
      </c>
      <c r="T130" s="60">
        <f>'BAU Comparison - FS &amp; Fuel Tr'!CB484/907185</f>
        <v>0</v>
      </c>
      <c r="U130" s="60">
        <f>'BAU Comparison - FS &amp; Fuel Tr'!CC484/907185</f>
        <v>0</v>
      </c>
      <c r="V130" s="60">
        <f>'BAU Comparison - FS &amp; Fuel Tr'!CD484/907185</f>
        <v>0</v>
      </c>
      <c r="W130" s="60">
        <f>'BAU Comparison - FS &amp; Fuel Tr'!CE484/907185</f>
        <v>0</v>
      </c>
      <c r="X130" s="60">
        <f>'BAU Comparison - FS &amp; Fuel Tr'!CF484/907185</f>
        <v>0</v>
      </c>
      <c r="Y130" s="60">
        <f>'BAU Comparison - FS &amp; Fuel Tr'!CG484/907185</f>
        <v>0</v>
      </c>
      <c r="Z130" s="60">
        <f>'BAU Comparison - FS &amp; Fuel Tr'!CH484/907185</f>
        <v>0</v>
      </c>
      <c r="AA130" s="60">
        <f>'BAU Comparison - FS &amp; Fuel Tr'!CI484/907185</f>
        <v>0</v>
      </c>
      <c r="AB130" s="61">
        <f>'BAU Comparison - FS &amp; Fuel Tr'!CJ484/907185</f>
        <v>0</v>
      </c>
    </row>
    <row r="131" spans="1:29" ht="25.9" customHeight="1">
      <c r="A131" s="520"/>
      <c r="B131" s="2" t="s">
        <v>268</v>
      </c>
      <c r="C131" s="2" t="s">
        <v>240</v>
      </c>
      <c r="D131" s="394">
        <f>'BAU Comparison - FS &amp; Fuel Tr'!BL344/907185</f>
        <v>0</v>
      </c>
      <c r="E131" s="64">
        <f>'BAU Comparison - FS &amp; Fuel Tr'!BM344/907185</f>
        <v>0</v>
      </c>
      <c r="F131" s="64">
        <f>'BAU Comparison - FS &amp; Fuel Tr'!BN344/907185</f>
        <v>0.17463033182616169</v>
      </c>
      <c r="G131" s="64">
        <f>'BAU Comparison - FS &amp; Fuel Tr'!BO344/907185</f>
        <v>0.47972506461966619</v>
      </c>
      <c r="H131" s="64">
        <f>'BAU Comparison - FS &amp; Fuel Tr'!BP344/907185</f>
        <v>0.55620266461313084</v>
      </c>
      <c r="I131" s="64">
        <f>'BAU Comparison - FS &amp; Fuel Tr'!BQ344/907185</f>
        <v>0.54651891252048046</v>
      </c>
      <c r="J131" s="64">
        <f>'BAU Comparison - FS &amp; Fuel Tr'!BR344/907185</f>
        <v>0.49064123184548991</v>
      </c>
      <c r="K131" s="64">
        <f>'BAU Comparison - FS &amp; Fuel Tr'!BS344/907185</f>
        <v>0.47938216821469548</v>
      </c>
      <c r="L131" s="64">
        <f>'BAU Comparison - FS &amp; Fuel Tr'!BT344/907185</f>
        <v>0.46394971456064082</v>
      </c>
      <c r="M131" s="64">
        <f>'BAU Comparison - FS &amp; Fuel Tr'!BU344/907185</f>
        <v>0.44743354980909816</v>
      </c>
      <c r="N131" s="64">
        <f>'BAU Comparison - FS &amp; Fuel Tr'!BV344/907185</f>
        <v>0.43135636551525164</v>
      </c>
      <c r="O131" s="64">
        <f>'BAU Comparison - FS &amp; Fuel Tr'!BW344/907185</f>
        <v>0.4171405040521376</v>
      </c>
      <c r="P131" s="64">
        <f>'BAU Comparison - FS &amp; Fuel Tr'!BX344/907185</f>
        <v>0.40086957228932873</v>
      </c>
      <c r="Q131" s="64">
        <f>'BAU Comparison - FS &amp; Fuel Tr'!BY344/907185</f>
        <v>0.38442159754846772</v>
      </c>
      <c r="R131" s="64">
        <f>'BAU Comparison - FS &amp; Fuel Tr'!BZ344/907185</f>
        <v>0.36618405722321073</v>
      </c>
      <c r="S131" s="64">
        <f>'BAU Comparison - FS &amp; Fuel Tr'!CA344/907185</f>
        <v>0.34862331103207539</v>
      </c>
      <c r="T131" s="64">
        <f>'BAU Comparison - FS &amp; Fuel Tr'!CB344/907185</f>
        <v>0.33170704028381259</v>
      </c>
      <c r="U131" s="64">
        <f>'BAU Comparison - FS &amp; Fuel Tr'!CC344/907185</f>
        <v>0.33641522902674481</v>
      </c>
      <c r="V131" s="64">
        <f>'BAU Comparison - FS &amp; Fuel Tr'!CD344/907185</f>
        <v>0.34044434184344174</v>
      </c>
      <c r="W131" s="64">
        <f>'BAU Comparison - FS &amp; Fuel Tr'!CE344/907185</f>
        <v>0.33254904881679476</v>
      </c>
      <c r="X131" s="64">
        <f>'BAU Comparison - FS &amp; Fuel Tr'!CF344/907185</f>
        <v>0.31673116624028841</v>
      </c>
      <c r="Y131" s="64">
        <f>'BAU Comparison - FS &amp; Fuel Tr'!CG344/907185</f>
        <v>0.31736538758009447</v>
      </c>
      <c r="Z131" s="64">
        <f>'BAU Comparison - FS &amp; Fuel Tr'!CH344/907185</f>
        <v>0.31597682995857657</v>
      </c>
      <c r="AA131" s="64">
        <f>'BAU Comparison - FS &amp; Fuel Tr'!CI344/907185</f>
        <v>0.31466736043917398</v>
      </c>
      <c r="AB131" s="65">
        <f>'BAU Comparison - FS &amp; Fuel Tr'!CJ344/907185</f>
        <v>0.30835338996016498</v>
      </c>
    </row>
    <row r="132" spans="1:29" ht="25.9" customHeight="1">
      <c r="A132" s="520"/>
      <c r="B132" s="72" t="s">
        <v>270</v>
      </c>
      <c r="C132" s="73" t="s">
        <v>240</v>
      </c>
      <c r="D132" s="175">
        <f t="shared" ref="D132:L132" si="0">SUM(D117:D131)</f>
        <v>0</v>
      </c>
      <c r="E132" s="175">
        <f t="shared" si="0"/>
        <v>0</v>
      </c>
      <c r="F132" s="175">
        <f t="shared" si="0"/>
        <v>0.58210110608720567</v>
      </c>
      <c r="G132" s="175">
        <f t="shared" si="0"/>
        <v>1.5990835487322206</v>
      </c>
      <c r="H132" s="175">
        <f t="shared" si="0"/>
        <v>1.8540088820437695</v>
      </c>
      <c r="I132" s="175">
        <f t="shared" si="0"/>
        <v>1.8217297084016018</v>
      </c>
      <c r="J132" s="175">
        <f t="shared" si="0"/>
        <v>1.6354707728182998</v>
      </c>
      <c r="K132" s="175">
        <f t="shared" si="0"/>
        <v>1.5979405607156516</v>
      </c>
      <c r="L132" s="175">
        <f t="shared" si="0"/>
        <v>1.5464990485354695</v>
      </c>
      <c r="M132" s="175">
        <f t="shared" ref="M132:AA132" si="1">SUM(M117:M131)</f>
        <v>1.4914451660303272</v>
      </c>
      <c r="N132" s="175">
        <f t="shared" si="1"/>
        <v>1.4378545517175054</v>
      </c>
      <c r="O132" s="175">
        <f t="shared" si="1"/>
        <v>1.3904683468404586</v>
      </c>
      <c r="P132" s="175">
        <f t="shared" si="1"/>
        <v>1.3362319076310958</v>
      </c>
      <c r="Q132" s="175">
        <f t="shared" si="1"/>
        <v>1.2814053251615589</v>
      </c>
      <c r="R132" s="175">
        <f t="shared" si="1"/>
        <v>1.220613524077369</v>
      </c>
      <c r="S132" s="175">
        <f t="shared" si="1"/>
        <v>1.1620777034402512</v>
      </c>
      <c r="T132" s="175">
        <f t="shared" si="1"/>
        <v>1.1056901342793752</v>
      </c>
      <c r="U132" s="175">
        <f t="shared" si="1"/>
        <v>1.1213840967558162</v>
      </c>
      <c r="V132" s="175">
        <f t="shared" si="1"/>
        <v>1.1348144728114724</v>
      </c>
      <c r="W132" s="175">
        <f t="shared" si="1"/>
        <v>1.1084968293893158</v>
      </c>
      <c r="X132" s="175">
        <f t="shared" si="1"/>
        <v>1.0557705541342948</v>
      </c>
      <c r="Y132" s="175">
        <f t="shared" si="1"/>
        <v>1.0578846252669813</v>
      </c>
      <c r="Z132" s="175">
        <f t="shared" si="1"/>
        <v>1.053256099861922</v>
      </c>
      <c r="AA132" s="175">
        <f t="shared" si="1"/>
        <v>1.0488912014639133</v>
      </c>
      <c r="AB132" s="175">
        <f>SUM(AB117:AB131)</f>
        <v>1.02784463320055</v>
      </c>
      <c r="AC132" s="66"/>
    </row>
    <row r="133" spans="1:29" ht="25.9" customHeight="1">
      <c r="A133" s="520"/>
    </row>
    <row r="134" spans="1:29" ht="25.9" customHeight="1">
      <c r="A134" s="520"/>
      <c r="B134" s="86"/>
      <c r="C134" s="86"/>
      <c r="D134" s="519" t="s">
        <v>18957</v>
      </c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</row>
    <row r="135" spans="1:29" ht="25.9" customHeight="1">
      <c r="A135" s="520"/>
      <c r="B135" s="88" t="s">
        <v>18814</v>
      </c>
      <c r="C135" s="90" t="s">
        <v>1</v>
      </c>
      <c r="D135" s="156">
        <v>2022</v>
      </c>
      <c r="E135" s="156">
        <v>2023</v>
      </c>
      <c r="F135" s="156">
        <v>2024</v>
      </c>
      <c r="G135" s="156">
        <v>2025</v>
      </c>
      <c r="H135" s="156">
        <v>2026</v>
      </c>
      <c r="I135" s="156">
        <v>2027</v>
      </c>
      <c r="J135" s="156">
        <v>2028</v>
      </c>
      <c r="K135" s="156">
        <v>2029</v>
      </c>
      <c r="L135" s="157">
        <v>2030</v>
      </c>
      <c r="M135" s="156">
        <v>2031</v>
      </c>
      <c r="N135" s="156">
        <v>2032</v>
      </c>
      <c r="O135" s="156">
        <v>2033</v>
      </c>
      <c r="P135" s="156">
        <v>2034</v>
      </c>
      <c r="Q135" s="156">
        <v>2035</v>
      </c>
      <c r="R135" s="156">
        <v>2036</v>
      </c>
      <c r="S135" s="156">
        <v>2037</v>
      </c>
      <c r="T135" s="156">
        <v>2038</v>
      </c>
      <c r="U135" s="157">
        <v>2039</v>
      </c>
      <c r="V135" s="156">
        <v>2040</v>
      </c>
      <c r="W135" s="156">
        <v>2041</v>
      </c>
      <c r="X135" s="156">
        <v>2042</v>
      </c>
      <c r="Y135" s="156">
        <v>2043</v>
      </c>
      <c r="Z135" s="156">
        <v>2044</v>
      </c>
      <c r="AA135" s="156">
        <v>2045</v>
      </c>
      <c r="AB135" s="156">
        <v>2046</v>
      </c>
    </row>
    <row r="136" spans="1:29" ht="25.9" customHeight="1">
      <c r="A136" s="520"/>
      <c r="B136" s="95" t="s">
        <v>249</v>
      </c>
      <c r="C136" s="83" t="s">
        <v>240</v>
      </c>
      <c r="D136" s="104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80">
        <v>0</v>
      </c>
    </row>
    <row r="137" spans="1:29" ht="25.9" customHeight="1">
      <c r="A137" s="520"/>
      <c r="B137" s="53" t="s">
        <v>251</v>
      </c>
      <c r="C137" s="2" t="s">
        <v>240</v>
      </c>
      <c r="D137" s="393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1">
        <v>0</v>
      </c>
    </row>
    <row r="138" spans="1:29" ht="25.9" customHeight="1">
      <c r="A138" s="520"/>
      <c r="B138" s="53" t="s">
        <v>253</v>
      </c>
      <c r="C138" s="2" t="s">
        <v>240</v>
      </c>
      <c r="D138" s="393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1">
        <v>0</v>
      </c>
    </row>
    <row r="139" spans="1:29" ht="25.9" customHeight="1">
      <c r="A139" s="520"/>
      <c r="B139" s="53" t="s">
        <v>255</v>
      </c>
      <c r="C139" s="2" t="s">
        <v>240</v>
      </c>
      <c r="D139" s="393">
        <f>'BAU Comparison - FS &amp; Fuel Tr'!AH407/907185</f>
        <v>0</v>
      </c>
      <c r="E139" s="60">
        <f>'BAU Comparison - FS &amp; Fuel Tr'!AI407/907185</f>
        <v>-4.0803257845521469E-17</v>
      </c>
      <c r="F139" s="60">
        <f>'BAU Comparison - FS &amp; Fuel Tr'!AJ407/907185</f>
        <v>0.45035358739893727</v>
      </c>
      <c r="G139" s="60">
        <f>'BAU Comparison - FS &amp; Fuel Tr'!AK407/907185</f>
        <v>1.2049841294911798</v>
      </c>
      <c r="H139" s="60">
        <f>'BAU Comparison - FS &amp; Fuel Tr'!AL407/907185</f>
        <v>1.3267251465115855</v>
      </c>
      <c r="I139" s="60">
        <f>'BAU Comparison - FS &amp; Fuel Tr'!AM407/907185</f>
        <v>1.2125282949920322</v>
      </c>
      <c r="J139" s="60">
        <f>'BAU Comparison - FS &amp; Fuel Tr'!AN407/907185</f>
        <v>1.0153313988427992</v>
      </c>
      <c r="K139" s="60">
        <f>'BAU Comparison - FS &amp; Fuel Tr'!AO407/907185</f>
        <v>0.94390787203143389</v>
      </c>
      <c r="L139" s="60">
        <f>'BAU Comparison - FS &amp; Fuel Tr'!AP407/907185</f>
        <v>0.35838440728250354</v>
      </c>
      <c r="M139" s="60">
        <f>'BAU Comparison - FS &amp; Fuel Tr'!AQ407/907185</f>
        <v>0.31242439252603771</v>
      </c>
      <c r="N139" s="60">
        <f>'BAU Comparison - FS &amp; Fuel Tr'!AR407/907185</f>
        <v>0.29347022126395883</v>
      </c>
      <c r="O139" s="60">
        <f>'BAU Comparison - FS &amp; Fuel Tr'!AS407/907185</f>
        <v>0.27483157835291433</v>
      </c>
      <c r="P139" s="60">
        <f>'BAU Comparison - FS &amp; Fuel Tr'!AT407/907185</f>
        <v>0.25933134314518264</v>
      </c>
      <c r="Q139" s="60">
        <f>'BAU Comparison - FS &amp; Fuel Tr'!AU407/907185</f>
        <v>0.18288436143488787</v>
      </c>
      <c r="R139" s="60">
        <f>'BAU Comparison - FS &amp; Fuel Tr'!AV407/907185</f>
        <v>0.13713621908615195</v>
      </c>
      <c r="S139" s="60">
        <f>'BAU Comparison - FS &amp; Fuel Tr'!AW407/907185</f>
        <v>8.9603846468014711E-2</v>
      </c>
      <c r="T139" s="60">
        <f>'BAU Comparison - FS &amp; Fuel Tr'!AX407/907185</f>
        <v>8.5977686612881715E-2</v>
      </c>
      <c r="U139" s="60">
        <f>'BAU Comparison - FS &amp; Fuel Tr'!AY407/907185</f>
        <v>8.6238201609884851E-2</v>
      </c>
      <c r="V139" s="60">
        <f>'BAU Comparison - FS &amp; Fuel Tr'!AZ407/907185</f>
        <v>8.6996307590972946E-2</v>
      </c>
      <c r="W139" s="60">
        <f>'BAU Comparison - FS &amp; Fuel Tr'!BA407/907185</f>
        <v>8.4941515941486231E-2</v>
      </c>
      <c r="X139" s="60">
        <f>'BAU Comparison - FS &amp; Fuel Tr'!BB407/907185</f>
        <v>8.0850612386620557E-2</v>
      </c>
      <c r="Y139" s="60">
        <f>'BAU Comparison - FS &amp; Fuel Tr'!BC407/907185</f>
        <v>7.9556114615102702E-2</v>
      </c>
      <c r="Z139" s="60">
        <f>'BAU Comparison - FS &amp; Fuel Tr'!BD407/907185</f>
        <v>7.760917602083367E-2</v>
      </c>
      <c r="AA139" s="60">
        <f>'BAU Comparison - FS &amp; Fuel Tr'!BE407/907185</f>
        <v>7.5615049619889851E-2</v>
      </c>
      <c r="AB139" s="61">
        <f>'BAU Comparison - FS &amp; Fuel Tr'!BF407/907185</f>
        <v>7.2308782149930417E-2</v>
      </c>
    </row>
    <row r="140" spans="1:29" ht="25.9" customHeight="1">
      <c r="A140" s="520"/>
      <c r="B140" s="53" t="s">
        <v>256</v>
      </c>
      <c r="C140" s="2" t="s">
        <v>240</v>
      </c>
      <c r="D140" s="393">
        <f>'BAU Comparison - FS &amp; Fuel Tr'!AH416/907185</f>
        <v>0</v>
      </c>
      <c r="E140" s="60">
        <f>'BAU Comparison - FS &amp; Fuel Tr'!AI416/907185</f>
        <v>-4.219427799934607E-17</v>
      </c>
      <c r="F140" s="60">
        <f>'BAU Comparison - FS &amp; Fuel Tr'!AJ416/907185</f>
        <v>0.46570655060571919</v>
      </c>
      <c r="G140" s="60">
        <f>'BAU Comparison - FS &amp; Fuel Tr'!AK416/907185</f>
        <v>1.246063133905652</v>
      </c>
      <c r="H140" s="60">
        <f>'BAU Comparison - FS &amp; Fuel Tr'!AL416/907185</f>
        <v>1.3719544128699348</v>
      </c>
      <c r="I140" s="60">
        <f>'BAU Comparison - FS &amp; Fuel Tr'!AM416/907185</f>
        <v>1.2538644868667606</v>
      </c>
      <c r="J140" s="60">
        <f>'BAU Comparison - FS &amp; Fuel Tr'!AN416/907185</f>
        <v>1.0499449692578946</v>
      </c>
      <c r="K140" s="60">
        <f>'BAU Comparison - FS &amp; Fuel Tr'!AO416/907185</f>
        <v>0.97608654948705087</v>
      </c>
      <c r="L140" s="60">
        <f>'BAU Comparison - FS &amp; Fuel Tr'!AP416/907185</f>
        <v>0.37060205753077069</v>
      </c>
      <c r="M140" s="60">
        <f>'BAU Comparison - FS &amp; Fuel Tr'!AQ416/907185</f>
        <v>0.32307522408942535</v>
      </c>
      <c r="N140" s="60">
        <f>'BAU Comparison - FS &amp; Fuel Tr'!AR416/907185</f>
        <v>0.30347488789795746</v>
      </c>
      <c r="O140" s="60">
        <f>'BAU Comparison - FS &amp; Fuel Tr'!AS416/907185</f>
        <v>0.28420083670585461</v>
      </c>
      <c r="P140" s="60">
        <f>'BAU Comparison - FS &amp; Fuel Tr'!AT416/907185</f>
        <v>0.26817218438876839</v>
      </c>
      <c r="Q140" s="60">
        <f>'BAU Comparison - FS &amp; Fuel Tr'!AU416/907185</f>
        <v>0.18911905557471356</v>
      </c>
      <c r="R140" s="60">
        <f>'BAU Comparison - FS &amp; Fuel Tr'!AV416/907185</f>
        <v>0.14181131746408893</v>
      </c>
      <c r="S140" s="60">
        <f>'BAU Comparison - FS &amp; Fuel Tr'!AW416/907185</f>
        <v>9.2658523052151567E-2</v>
      </c>
      <c r="T140" s="60">
        <f>'BAU Comparison - FS &amp; Fuel Tr'!AX416/907185</f>
        <v>8.8908744111048127E-2</v>
      </c>
      <c r="U140" s="60">
        <f>'BAU Comparison - FS &amp; Fuel Tr'!AY416/907185</f>
        <v>8.9178140301130915E-2</v>
      </c>
      <c r="V140" s="60">
        <f>'BAU Comparison - FS &amp; Fuel Tr'!AZ416/907185</f>
        <v>8.996209080430155E-2</v>
      </c>
      <c r="W140" s="60">
        <f>'BAU Comparison - FS &amp; Fuel Tr'!BA416/907185</f>
        <v>8.7837249439491435E-2</v>
      </c>
      <c r="X140" s="60">
        <f>'BAU Comparison - FS &amp; Fuel Tr'!BB416/907185</f>
        <v>8.3606883263437154E-2</v>
      </c>
      <c r="Y140" s="60">
        <f>'BAU Comparison - FS &amp; Fuel Tr'!BC416/907185</f>
        <v>8.2268254886072104E-2</v>
      </c>
      <c r="Z140" s="60">
        <f>'BAU Comparison - FS &amp; Fuel Tr'!BD416/907185</f>
        <v>8.0254943385180258E-2</v>
      </c>
      <c r="AA140" s="60">
        <f>'BAU Comparison - FS &amp; Fuel Tr'!BE416/907185</f>
        <v>7.8192835402386099E-2</v>
      </c>
      <c r="AB140" s="61">
        <f>'BAU Comparison - FS &amp; Fuel Tr'!BF416/907185</f>
        <v>7.4773854268678039E-2</v>
      </c>
    </row>
    <row r="141" spans="1:29" ht="25.9" customHeight="1">
      <c r="A141" s="520"/>
      <c r="B141" s="53" t="s">
        <v>257</v>
      </c>
      <c r="C141" s="2" t="s">
        <v>240</v>
      </c>
      <c r="D141" s="393">
        <f>'BAU Comparison - FS &amp; Fuel Tr'!BL474/907185</f>
        <v>0</v>
      </c>
      <c r="E141" s="60">
        <f>'BAU Comparison - FS &amp; Fuel Tr'!BM474/907185</f>
        <v>0</v>
      </c>
      <c r="F141" s="60">
        <f>'BAU Comparison - FS &amp; Fuel Tr'!BN474/907185</f>
        <v>0</v>
      </c>
      <c r="G141" s="60">
        <f>'BAU Comparison - FS &amp; Fuel Tr'!BO474/907185</f>
        <v>0</v>
      </c>
      <c r="H141" s="60">
        <f>'BAU Comparison - FS &amp; Fuel Tr'!BP474/907185</f>
        <v>6.2759336270929566E-3</v>
      </c>
      <c r="I141" s="60">
        <f>'BAU Comparison - FS &amp; Fuel Tr'!BQ474/907185</f>
        <v>5.144128714803553E-2</v>
      </c>
      <c r="J141" s="60">
        <f>'BAU Comparison - FS &amp; Fuel Tr'!BR474/907185</f>
        <v>7.4539627977985662E-2</v>
      </c>
      <c r="K141" s="60">
        <f>'BAU Comparison - FS &amp; Fuel Tr'!BS474/907185</f>
        <v>8.5613986323164165E-2</v>
      </c>
      <c r="L141" s="60">
        <f>'BAU Comparison - FS &amp; Fuel Tr'!BT474/907185</f>
        <v>3.6658608410851314E-2</v>
      </c>
      <c r="M141" s="60">
        <f>'BAU Comparison - FS &amp; Fuel Tr'!BU474/907185</f>
        <v>3.4478781095668813E-2</v>
      </c>
      <c r="N141" s="60">
        <f>'BAU Comparison - FS &amp; Fuel Tr'!BV474/907185</f>
        <v>3.4117026363784247E-2</v>
      </c>
      <c r="O141" s="60">
        <f>'BAU Comparison - FS &amp; Fuel Tr'!BW474/907185</f>
        <v>3.3198525128460256E-2</v>
      </c>
      <c r="P141" s="60">
        <f>'BAU Comparison - FS &amp; Fuel Tr'!BX474/907185</f>
        <v>3.2805813226972444E-2</v>
      </c>
      <c r="Q141" s="60">
        <f>'BAU Comparison - FS &amp; Fuel Tr'!BY474/907185</f>
        <v>2.356782295406764E-2</v>
      </c>
      <c r="R141" s="60">
        <f>'BAU Comparison - FS &amp; Fuel Tr'!BZ474/907185</f>
        <v>1.7989501497822639E-2</v>
      </c>
      <c r="S141" s="60">
        <f>'BAU Comparison - FS &amp; Fuel Tr'!CA474/907185</f>
        <v>1.19560869023398E-2</v>
      </c>
      <c r="T141" s="60">
        <f>'BAU Comparison - FS &amp; Fuel Tr'!CB474/907185</f>
        <v>1.1660308469095942E-2</v>
      </c>
      <c r="U141" s="60">
        <f>'BAU Comparison - FS &amp; Fuel Tr'!CC474/907185</f>
        <v>1.1084517597132663E-2</v>
      </c>
      <c r="V141" s="60">
        <f>'BAU Comparison - FS &amp; Fuel Tr'!CD474/907185</f>
        <v>1.071353209588023E-2</v>
      </c>
      <c r="W141" s="60">
        <f>'BAU Comparison - FS &amp; Fuel Tr'!CE474/907185</f>
        <v>1.0428939499321879E-2</v>
      </c>
      <c r="X141" s="60">
        <f>'BAU Comparison - FS &amp; Fuel Tr'!CF474/907185</f>
        <v>1.0177977962141279E-2</v>
      </c>
      <c r="Y141" s="60">
        <f>'BAU Comparison - FS &amp; Fuel Tr'!CG474/907185</f>
        <v>9.9291886034755441E-3</v>
      </c>
      <c r="Z141" s="60">
        <f>'BAU Comparison - FS &amp; Fuel Tr'!CH474/907185</f>
        <v>9.6855731259741541E-3</v>
      </c>
      <c r="AA141" s="60">
        <f>'BAU Comparison - FS &amp; Fuel Tr'!CI474/907185</f>
        <v>9.446613494365529E-3</v>
      </c>
      <c r="AB141" s="61">
        <f>'BAU Comparison - FS &amp; Fuel Tr'!CJ474/907185</f>
        <v>9.2136487566681548E-3</v>
      </c>
    </row>
    <row r="142" spans="1:29" ht="25.9" customHeight="1">
      <c r="A142" s="520"/>
      <c r="B142" s="53" t="s">
        <v>258</v>
      </c>
      <c r="C142" s="2" t="s">
        <v>240</v>
      </c>
      <c r="D142" s="393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1">
        <v>0</v>
      </c>
    </row>
    <row r="143" spans="1:29" ht="25.9" customHeight="1">
      <c r="A143" s="520"/>
      <c r="B143" s="53" t="s">
        <v>259</v>
      </c>
      <c r="C143" s="2" t="s">
        <v>240</v>
      </c>
      <c r="D143" s="393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1">
        <v>0</v>
      </c>
    </row>
    <row r="144" spans="1:29" ht="25.9" customHeight="1">
      <c r="A144" s="520"/>
      <c r="B144" s="53" t="s">
        <v>260</v>
      </c>
      <c r="C144" s="2" t="s">
        <v>240</v>
      </c>
      <c r="D144" s="393">
        <f>'BAU Comparison - FS &amp; Fuel Tr'!BL434/907185</f>
        <v>0</v>
      </c>
      <c r="E144" s="60">
        <f>'BAU Comparison - FS &amp; Fuel Tr'!BM434/907185</f>
        <v>-4.8685705383860855E-17</v>
      </c>
      <c r="F144" s="60">
        <f>'BAU Comparison - FS &amp; Fuel Tr'!BN434/907185</f>
        <v>0.53735371223736839</v>
      </c>
      <c r="G144" s="60">
        <f>'BAU Comparison - FS &amp; Fuel Tr'!BO434/907185</f>
        <v>1.4377651545065218</v>
      </c>
      <c r="H144" s="60">
        <f>'BAU Comparison - FS &amp; Fuel Tr'!BP434/907185</f>
        <v>1.588254267231477</v>
      </c>
      <c r="I144" s="60">
        <f>'BAU Comparison - FS &amp; Fuel Tr'!BQ434/907185</f>
        <v>1.4896344549055225</v>
      </c>
      <c r="J144" s="60">
        <f>'BAU Comparison - FS &amp; Fuel Tr'!BR434/907185</f>
        <v>1.2735913211766614</v>
      </c>
      <c r="K144" s="60">
        <f>'BAU Comparison - FS &amp; Fuel Tr'!BS434/907185</f>
        <v>1.1975986995492338</v>
      </c>
      <c r="L144" s="60">
        <f>'BAU Comparison - FS &amp; Fuel Tr'!BT434/907185</f>
        <v>0.45816659903172696</v>
      </c>
      <c r="M144" s="60">
        <f>'BAU Comparison - FS &amp; Fuel Tr'!BU434/907185</f>
        <v>0.40151142229829173</v>
      </c>
      <c r="N144" s="60">
        <f>'BAU Comparison - FS &amp; Fuel Tr'!BV434/907185</f>
        <v>0.37859418749310447</v>
      </c>
      <c r="O144" s="60">
        <f>'BAU Comparison - FS &amp; Fuel Tr'!BW434/907185</f>
        <v>0.35558947995995943</v>
      </c>
      <c r="P144" s="60">
        <f>'BAU Comparison - FS &amp; Fuel Tr'!BX434/907185</f>
        <v>0.33676762121464571</v>
      </c>
      <c r="Q144" s="60">
        <f>'BAU Comparison - FS &amp; Fuel Tr'!BY434/907185</f>
        <v>0.23785414735562332</v>
      </c>
      <c r="R144" s="60">
        <f>'BAU Comparison - FS &amp; Fuel Tr'!BZ434/907185</f>
        <v>0.17861969447598047</v>
      </c>
      <c r="S144" s="60">
        <f>'BAU Comparison - FS &amp; Fuel Tr'!CA434/907185</f>
        <v>0.11687708619674012</v>
      </c>
      <c r="T144" s="60">
        <f>'BAU Comparison - FS &amp; Fuel Tr'!CB434/907185</f>
        <v>0.11230393616007141</v>
      </c>
      <c r="U144" s="60">
        <f>'BAU Comparison - FS &amp; Fuel Tr'!CC434/907185</f>
        <v>0.11213495219122316</v>
      </c>
      <c r="V144" s="60">
        <f>'BAU Comparison - FS &amp; Fuel Tr'!CD434/907185</f>
        <v>0.11273035587973533</v>
      </c>
      <c r="W144" s="60">
        <f>'BAU Comparison - FS &amp; Fuel Tr'!CE434/907185</f>
        <v>0.11004145534628401</v>
      </c>
      <c r="X144" s="60">
        <f>'BAU Comparison - FS &amp; Fuel Tr'!CF434/907185</f>
        <v>0.10495112899036575</v>
      </c>
      <c r="Y144" s="60">
        <f>'BAU Comparison - FS &amp; Fuel Tr'!CG434/907185</f>
        <v>0.10319923332015897</v>
      </c>
      <c r="Z144" s="60">
        <f>'BAU Comparison - FS &amp; Fuel Tr'!CH434/907185</f>
        <v>0.10067316869044288</v>
      </c>
      <c r="AA144" s="60">
        <f>'BAU Comparison - FS &amp; Fuel Tr'!CI434/907185</f>
        <v>9.8094680299339862E-2</v>
      </c>
      <c r="AB144" s="61">
        <f>'BAU Comparison - FS &amp; Fuel Tr'!CJ434/907185</f>
        <v>9.3955564786723761E-2</v>
      </c>
    </row>
    <row r="145" spans="1:51" ht="25.9" customHeight="1">
      <c r="A145" s="520"/>
      <c r="B145" s="53" t="s">
        <v>261</v>
      </c>
      <c r="C145" s="2" t="s">
        <v>240</v>
      </c>
      <c r="D145" s="393">
        <f>'BAU Comparison - FS &amp; Fuel Tr'!BL454/907185</f>
        <v>0</v>
      </c>
      <c r="E145" s="60">
        <f>'BAU Comparison - FS &amp; Fuel Tr'!BM454/907185</f>
        <v>-9.2734676921639701E-18</v>
      </c>
      <c r="F145" s="60">
        <f>'BAU Comparison - FS &amp; Fuel Tr'!BN454/907185</f>
        <v>0.10235308804521304</v>
      </c>
      <c r="G145" s="60">
        <f>'BAU Comparison - FS &amp; Fuel Tr'!BO454/907185</f>
        <v>0.27386002942981363</v>
      </c>
      <c r="H145" s="60">
        <f>'BAU Comparison - FS &amp; Fuel Tr'!BP454/907185</f>
        <v>0.30362042026469438</v>
      </c>
      <c r="I145" s="60">
        <f>'BAU Comparison - FS &amp; Fuel Tr'!BQ454/907185</f>
        <v>0.2927217082142009</v>
      </c>
      <c r="J145" s="60">
        <f>'BAU Comparison - FS &amp; Fuel Tr'!BR454/907185</f>
        <v>0.25560367875996476</v>
      </c>
      <c r="K145" s="60">
        <f>'BAU Comparison - FS &amp; Fuel Tr'!BS454/907185</f>
        <v>0.24306251181183514</v>
      </c>
      <c r="L145" s="60">
        <f>'BAU Comparison - FS &amp; Fuel Tr'!BT454/907185</f>
        <v>9.3670537792064912E-2</v>
      </c>
      <c r="M145" s="60">
        <f>'BAU Comparison - FS &amp; Fuel Tr'!BU454/907185</f>
        <v>8.2498470787807268E-2</v>
      </c>
      <c r="N145" s="60">
        <f>'BAU Comparison - FS &amp; Fuel Tr'!BV454/907185</f>
        <v>7.8070119681252076E-2</v>
      </c>
      <c r="O145" s="60">
        <f>'BAU Comparison - FS &amp; Fuel Tr'!BW454/907185</f>
        <v>7.3527897395755173E-2</v>
      </c>
      <c r="P145" s="60">
        <f>'BAU Comparison - FS &amp; Fuel Tr'!BX454/907185</f>
        <v>6.9874212699562621E-2</v>
      </c>
      <c r="Q145" s="60">
        <f>'BAU Comparison - FS &amp; Fuel Tr'!BY454/907185</f>
        <v>4.942056858352737E-2</v>
      </c>
      <c r="R145" s="60">
        <f>'BAU Comparison - FS &amp; Fuel Tr'!BZ454/907185</f>
        <v>3.7163823018854202E-2</v>
      </c>
      <c r="S145" s="60">
        <f>'BAU Comparison - FS &amp; Fuel Tr'!CA454/907185</f>
        <v>2.4349872861692368E-2</v>
      </c>
      <c r="T145" s="60">
        <f>'BAU Comparison - FS &amp; Fuel Tr'!CB454/907185</f>
        <v>2.3427152810808125E-2</v>
      </c>
      <c r="U145" s="60">
        <f>'BAU Comparison - FS &amp; Fuel Tr'!CC454/907185</f>
        <v>2.3294430474018048E-2</v>
      </c>
      <c r="V145" s="60">
        <f>'BAU Comparison - FS &amp; Fuel Tr'!CD454/907185</f>
        <v>2.3343065454150897E-2</v>
      </c>
      <c r="W145" s="60">
        <f>'BAU Comparison - FS &amp; Fuel Tr'!CE454/907185</f>
        <v>2.2781203153142044E-2</v>
      </c>
      <c r="X145" s="60">
        <f>'BAU Comparison - FS &amp; Fuel Tr'!CF454/907185</f>
        <v>2.1767798499491162E-2</v>
      </c>
      <c r="Y145" s="60">
        <f>'BAU Comparison - FS &amp; Fuel Tr'!CG454/907185</f>
        <v>2.1390664674287914E-2</v>
      </c>
      <c r="Z145" s="60">
        <f>'BAU Comparison - FS &amp; Fuel Tr'!CH454/907185</f>
        <v>2.0866973470968733E-2</v>
      </c>
      <c r="AA145" s="60">
        <f>'BAU Comparison - FS &amp; Fuel Tr'!CI454/907185</f>
        <v>2.0334109714763481E-2</v>
      </c>
      <c r="AB145" s="61">
        <f>'BAU Comparison - FS &amp; Fuel Tr'!CJ454/907185</f>
        <v>1.9505030377206901E-2</v>
      </c>
    </row>
    <row r="146" spans="1:51" ht="25.9" customHeight="1">
      <c r="A146" s="520"/>
      <c r="B146" s="53" t="s">
        <v>262</v>
      </c>
      <c r="C146" s="2" t="s">
        <v>240</v>
      </c>
      <c r="D146" s="393">
        <f>'BAU Comparison - FS &amp; Fuel Tr'!BL394/907185</f>
        <v>0</v>
      </c>
      <c r="E146" s="60">
        <f>'BAU Comparison - FS &amp; Fuel Tr'!BM394/907185</f>
        <v>-9.2734676921639701E-18</v>
      </c>
      <c r="F146" s="60">
        <f>'BAU Comparison - FS &amp; Fuel Tr'!BN394/907185</f>
        <v>0.10235308804521304</v>
      </c>
      <c r="G146" s="60">
        <f>'BAU Comparison - FS &amp; Fuel Tr'!BO394/907185</f>
        <v>0.27386002942981363</v>
      </c>
      <c r="H146" s="60">
        <f>'BAU Comparison - FS &amp; Fuel Tr'!BP394/907185</f>
        <v>0.30414341473361872</v>
      </c>
      <c r="I146" s="60">
        <f>'BAU Comparison - FS &amp; Fuel Tr'!BQ394/907185</f>
        <v>0.29700848214320386</v>
      </c>
      <c r="J146" s="60">
        <f>'BAU Comparison - FS &amp; Fuel Tr'!BR394/907185</f>
        <v>0.26181531442479689</v>
      </c>
      <c r="K146" s="60">
        <f>'BAU Comparison - FS &amp; Fuel Tr'!BS394/907185</f>
        <v>0.25019701067209882</v>
      </c>
      <c r="L146" s="60">
        <f>'BAU Comparison - FS &amp; Fuel Tr'!BT394/907185</f>
        <v>9.6725421826302505E-2</v>
      </c>
      <c r="M146" s="60">
        <f>'BAU Comparison - FS &amp; Fuel Tr'!BU394/907185</f>
        <v>8.5371702545779665E-2</v>
      </c>
      <c r="N146" s="60">
        <f>'BAU Comparison - FS &amp; Fuel Tr'!BV394/907185</f>
        <v>8.0913205211567418E-2</v>
      </c>
      <c r="O146" s="60">
        <f>'BAU Comparison - FS &amp; Fuel Tr'!BW394/907185</f>
        <v>7.6294441156460183E-2</v>
      </c>
      <c r="P146" s="60">
        <f>'BAU Comparison - FS &amp; Fuel Tr'!BX394/907185</f>
        <v>7.2608030468476983E-2</v>
      </c>
      <c r="Q146" s="60">
        <f>'BAU Comparison - FS &amp; Fuel Tr'!BY394/907185</f>
        <v>5.1384553829699676E-2</v>
      </c>
      <c r="R146" s="60">
        <f>'BAU Comparison - FS &amp; Fuel Tr'!BZ394/907185</f>
        <v>3.866294814367275E-2</v>
      </c>
      <c r="S146" s="60">
        <f>'BAU Comparison - FS &amp; Fuel Tr'!CA394/907185</f>
        <v>2.5346213436887352E-2</v>
      </c>
      <c r="T146" s="60">
        <f>'BAU Comparison - FS &amp; Fuel Tr'!CB394/907185</f>
        <v>2.4398845183232785E-2</v>
      </c>
      <c r="U146" s="60">
        <f>'BAU Comparison - FS &amp; Fuel Tr'!CC394/907185</f>
        <v>2.4218140273779099E-2</v>
      </c>
      <c r="V146" s="60">
        <f>'BAU Comparison - FS &amp; Fuel Tr'!CD394/907185</f>
        <v>2.4235859795474244E-2</v>
      </c>
      <c r="W146" s="60">
        <f>'BAU Comparison - FS &amp; Fuel Tr'!CE394/907185</f>
        <v>2.3650281444752199E-2</v>
      </c>
      <c r="X146" s="60">
        <f>'BAU Comparison - FS &amp; Fuel Tr'!CF394/907185</f>
        <v>2.2615963329669597E-2</v>
      </c>
      <c r="Y146" s="60">
        <f>'BAU Comparison - FS &amp; Fuel Tr'!CG394/907185</f>
        <v>2.2218097057910877E-2</v>
      </c>
      <c r="Z146" s="60">
        <f>'BAU Comparison - FS &amp; Fuel Tr'!CH394/907185</f>
        <v>2.1674104564799911E-2</v>
      </c>
      <c r="AA146" s="60">
        <f>'BAU Comparison - FS &amp; Fuel Tr'!CI394/907185</f>
        <v>2.1121327505960606E-2</v>
      </c>
      <c r="AB146" s="61">
        <f>'BAU Comparison - FS &amp; Fuel Tr'!CJ394/907185</f>
        <v>2.027283444026258E-2</v>
      </c>
    </row>
    <row r="147" spans="1:51" ht="25.9" customHeight="1">
      <c r="A147" s="520"/>
      <c r="B147" s="53" t="s">
        <v>263</v>
      </c>
      <c r="C147" s="2" t="s">
        <v>240</v>
      </c>
      <c r="D147" s="393">
        <f>'BAU Comparison - FS &amp; Fuel Tr'!BL374/907185</f>
        <v>0</v>
      </c>
      <c r="E147" s="60">
        <f>'BAU Comparison - FS &amp; Fuel Tr'!BM374/907185</f>
        <v>-7.4187741537311776E-18</v>
      </c>
      <c r="F147" s="60">
        <f>'BAU Comparison - FS &amp; Fuel Tr'!BN374/907185</f>
        <v>8.1882470436170418E-2</v>
      </c>
      <c r="G147" s="60">
        <f>'BAU Comparison - FS &amp; Fuel Tr'!BO374/907185</f>
        <v>0.21908802354385093</v>
      </c>
      <c r="H147" s="60">
        <f>'BAU Comparison - FS &amp; Fuel Tr'!BP374/907185</f>
        <v>0.24749868753829032</v>
      </c>
      <c r="I147" s="60">
        <f>'BAU Comparison - FS &amp; Fuel Tr'!BQ374/907185</f>
        <v>0.27190097714658684</v>
      </c>
      <c r="J147" s="60">
        <f>'BAU Comparison - FS &amp; Fuel Tr'!BR374/907185</f>
        <v>0.25914533685849461</v>
      </c>
      <c r="K147" s="60">
        <f>'BAU Comparison - FS &amp; Fuel Tr'!BS374/907185</f>
        <v>0.25723359941978852</v>
      </c>
      <c r="L147" s="60">
        <f>'BAU Comparison - FS &amp; Fuel Tr'!BT374/907185</f>
        <v>0.10181940973494287</v>
      </c>
      <c r="M147" s="60">
        <f>'BAU Comparison - FS &amp; Fuel Tr'!BU374/907185</f>
        <v>9.128321610040295E-2</v>
      </c>
      <c r="N147" s="60">
        <f>'BAU Comparison - FS &amp; Fuel Tr'!BV374/907185</f>
        <v>8.7475248411776771E-2</v>
      </c>
      <c r="O147" s="60">
        <f>'BAU Comparison - FS &amp; Fuel Tr'!BW374/907185</f>
        <v>8.3167903010808328E-2</v>
      </c>
      <c r="P147" s="60">
        <f>'BAU Comparison - FS &amp; Fuel Tr'!BX374/907185</f>
        <v>7.9956966526096546E-2</v>
      </c>
      <c r="Q147" s="60">
        <f>'BAU Comparison - FS &amp; Fuel Tr'!BY374/907185</f>
        <v>5.6819525033138162E-2</v>
      </c>
      <c r="R147" s="60">
        <f>'BAU Comparison - FS &amp; Fuel Tr'!BZ374/907185</f>
        <v>4.2923359513486622E-2</v>
      </c>
      <c r="S147" s="60">
        <f>'BAU Comparison - FS &amp; Fuel Tr'!CA374/907185</f>
        <v>2.8247695351069746E-2</v>
      </c>
      <c r="T147" s="60">
        <f>'BAU Comparison - FS &amp; Fuel Tr'!CB374/907185</f>
        <v>2.7292615125983525E-2</v>
      </c>
      <c r="U147" s="60">
        <f>'BAU Comparison - FS &amp; Fuel Tr'!CC374/907185</f>
        <v>2.6764190617111727E-2</v>
      </c>
      <c r="V147" s="60">
        <f>'BAU Comparison - FS &amp; Fuel Tr'!CD374/907185</f>
        <v>2.6531042566966218E-2</v>
      </c>
      <c r="W147" s="60">
        <f>'BAU Comparison - FS &amp; Fuel Tr'!CE374/907185</f>
        <v>2.5872851488683013E-2</v>
      </c>
      <c r="X147" s="60">
        <f>'BAU Comparison - FS &amp; Fuel Tr'!CF374/907185</f>
        <v>2.4878089305163199E-2</v>
      </c>
      <c r="Y147" s="60">
        <f>'BAU Comparison - FS &amp; Fuel Tr'!CG374/907185</f>
        <v>2.4393936715312401E-2</v>
      </c>
      <c r="Z147" s="60">
        <f>'BAU Comparison - FS &amp; Fuel Tr'!CH374/907185</f>
        <v>2.3796332402489368E-2</v>
      </c>
      <c r="AA147" s="60">
        <f>'BAU Comparison - FS &amp; Fuel Tr'!CI374/907185</f>
        <v>2.3194804334345502E-2</v>
      </c>
      <c r="AB147" s="61">
        <f>'BAU Comparison - FS &amp; Fuel Tr'!CJ374/907185</f>
        <v>2.2360700056655504E-2</v>
      </c>
    </row>
    <row r="148" spans="1:51" ht="25.9" customHeight="1">
      <c r="A148" s="520"/>
      <c r="B148" s="53" t="s">
        <v>265</v>
      </c>
      <c r="C148" s="2" t="s">
        <v>240</v>
      </c>
      <c r="D148" s="393">
        <f>'BAU Comparison - FS &amp; Fuel Tr'!BL414/907185</f>
        <v>0</v>
      </c>
      <c r="E148" s="60">
        <f>'BAU Comparison - FS &amp; Fuel Tr'!BM414/907185</f>
        <v>-8.3461209229475731E-18</v>
      </c>
      <c r="F148" s="60">
        <f>'BAU Comparison - FS &amp; Fuel Tr'!BN414/907185</f>
        <v>9.2117779240691713E-2</v>
      </c>
      <c r="G148" s="60">
        <f>'BAU Comparison - FS &amp; Fuel Tr'!BO414/907185</f>
        <v>0.24647402648683225</v>
      </c>
      <c r="H148" s="60">
        <f>'BAU Comparison - FS &amp; Fuel Tr'!BP414/907185</f>
        <v>0.33099696760748015</v>
      </c>
      <c r="I148" s="60">
        <f>'BAU Comparison - FS &amp; Fuel Tr'!BQ414/907185</f>
        <v>0.7367093791547078</v>
      </c>
      <c r="J148" s="60">
        <f>'BAU Comparison - FS &amp; Fuel Tr'!BR414/907185</f>
        <v>0.91580788828143644</v>
      </c>
      <c r="K148" s="60">
        <f>'BAU Comparison - FS &amp; Fuel Tr'!BS414/907185</f>
        <v>1.006404934803762</v>
      </c>
      <c r="L148" s="60">
        <f>'BAU Comparison - FS &amp; Fuel Tr'!BT414/907185</f>
        <v>0.42156268139269049</v>
      </c>
      <c r="M148" s="60">
        <f>'BAU Comparison - FS &amp; Fuel Tr'!BU414/907185</f>
        <v>0.39145340978917964</v>
      </c>
      <c r="N148" s="60">
        <f>'BAU Comparison - FS &amp; Fuel Tr'!BV414/907185</f>
        <v>0.38413975025994196</v>
      </c>
      <c r="O148" s="60">
        <f>'BAU Comparison - FS &amp; Fuel Tr'!BW414/907185</f>
        <v>0.37160153883801406</v>
      </c>
      <c r="P148" s="60">
        <f>'BAU Comparison - FS &amp; Fuel Tr'!BX414/907185</f>
        <v>0.36470027311775283</v>
      </c>
      <c r="Q148" s="60">
        <f>'BAU Comparison - FS &amp; Fuel Tr'!BY414/907185</f>
        <v>0.26130248290259694</v>
      </c>
      <c r="R148" s="60">
        <f>'BAU Comparison - FS &amp; Fuel Tr'!BZ414/907185</f>
        <v>0.19895085449693706</v>
      </c>
      <c r="S148" s="60">
        <f>'BAU Comparison - FS &amp; Fuel Tr'!CA414/907185</f>
        <v>0.13191088507704929</v>
      </c>
      <c r="T148" s="60">
        <f>'BAU Comparison - FS &amp; Fuel Tr'!CB414/907185</f>
        <v>0.12835927544541001</v>
      </c>
      <c r="U148" s="60">
        <f>'BAU Comparison - FS &amp; Fuel Tr'!CC414/907185</f>
        <v>0.12294254932023675</v>
      </c>
      <c r="V148" s="60">
        <f>'BAU Comparison - FS &amp; Fuel Tr'!CD414/907185</f>
        <v>0.11957325419083394</v>
      </c>
      <c r="W148" s="60">
        <f>'BAU Comparison - FS &amp; Fuel Tr'!CE414/907185</f>
        <v>0.11644932623158914</v>
      </c>
      <c r="X148" s="60">
        <f>'BAU Comparison - FS &amp; Fuel Tr'!CF414/907185</f>
        <v>0.11322841590124183</v>
      </c>
      <c r="Y148" s="60">
        <f>'BAU Comparison - FS &amp; Fuel Tr'!CG414/907185</f>
        <v>0.11060013335883415</v>
      </c>
      <c r="Z148" s="60">
        <f>'BAU Comparison - FS &amp; Fuel Tr'!CH414/907185</f>
        <v>0.10788754888283408</v>
      </c>
      <c r="AA148" s="60">
        <f>'BAU Comparison - FS &amp; Fuel Tr'!CI414/907185</f>
        <v>0.10520954289145001</v>
      </c>
      <c r="AB148" s="61">
        <f>'BAU Comparison - FS &amp; Fuel Tr'!CJ414/907185</f>
        <v>0.10232009590083326</v>
      </c>
    </row>
    <row r="149" spans="1:51" ht="25.9" customHeight="1">
      <c r="A149" s="520"/>
      <c r="B149" s="53" t="s">
        <v>267</v>
      </c>
      <c r="C149" s="2" t="s">
        <v>240</v>
      </c>
      <c r="D149" s="393">
        <f>'BAU Comparison - FS &amp; Fuel Tr'!BL494/907185</f>
        <v>0</v>
      </c>
      <c r="E149" s="60">
        <f>'BAU Comparison - FS &amp; Fuel Tr'!BM494/907185</f>
        <v>0</v>
      </c>
      <c r="F149" s="60">
        <f>'BAU Comparison - FS &amp; Fuel Tr'!BN494/907185</f>
        <v>0</v>
      </c>
      <c r="G149" s="60">
        <f>'BAU Comparison - FS &amp; Fuel Tr'!BO494/907185</f>
        <v>0</v>
      </c>
      <c r="H149" s="60">
        <f>'BAU Comparison - FS &amp; Fuel Tr'!BP494/907185</f>
        <v>7.8449170338661962E-3</v>
      </c>
      <c r="I149" s="60">
        <f>'BAU Comparison - FS &amp; Fuel Tr'!BQ494/907185</f>
        <v>6.4301608935044413E-2</v>
      </c>
      <c r="J149" s="60">
        <f>'BAU Comparison - FS &amp; Fuel Tr'!BR494/907185</f>
        <v>9.3174534972482084E-2</v>
      </c>
      <c r="K149" s="60">
        <f>'BAU Comparison - FS &amp; Fuel Tr'!BS494/907185</f>
        <v>0.1070174829039552</v>
      </c>
      <c r="L149" s="60">
        <f>'BAU Comparison - FS &amp; Fuel Tr'!BT494/907185</f>
        <v>4.5823260513564147E-2</v>
      </c>
      <c r="M149" s="60">
        <f>'BAU Comparison - FS &amp; Fuel Tr'!BU494/907185</f>
        <v>4.3098476369586018E-2</v>
      </c>
      <c r="N149" s="60">
        <f>'BAU Comparison - FS &amp; Fuel Tr'!BV494/907185</f>
        <v>4.2646282954730302E-2</v>
      </c>
      <c r="O149" s="60">
        <f>'BAU Comparison - FS &amp; Fuel Tr'!BW494/907185</f>
        <v>4.1498156410575311E-2</v>
      </c>
      <c r="P149" s="60">
        <f>'BAU Comparison - FS &amp; Fuel Tr'!BX494/907185</f>
        <v>4.1007266533715551E-2</v>
      </c>
      <c r="Q149" s="60">
        <f>'BAU Comparison - FS &amp; Fuel Tr'!BY494/907185</f>
        <v>2.9459778692584544E-2</v>
      </c>
      <c r="R149" s="60">
        <f>'BAU Comparison - FS &amp; Fuel Tr'!BZ494/907185</f>
        <v>2.2486876872278298E-2</v>
      </c>
      <c r="S149" s="60">
        <f>'BAU Comparison - FS &amp; Fuel Tr'!CA494/907185</f>
        <v>1.4945108627924749E-2</v>
      </c>
      <c r="T149" s="60">
        <f>'BAU Comparison - FS &amp; Fuel Tr'!CB494/907185</f>
        <v>1.4575385586369926E-2</v>
      </c>
      <c r="U149" s="60">
        <f>'BAU Comparison - FS &amp; Fuel Tr'!CC494/907185</f>
        <v>1.3855646996415828E-2</v>
      </c>
      <c r="V149" s="60">
        <f>'BAU Comparison - FS &amp; Fuel Tr'!CD494/907185</f>
        <v>1.3391915119850287E-2</v>
      </c>
      <c r="W149" s="60">
        <f>'BAU Comparison - FS &amp; Fuel Tr'!CE494/907185</f>
        <v>1.3036174374152351E-2</v>
      </c>
      <c r="X149" s="60">
        <f>'BAU Comparison - FS &amp; Fuel Tr'!CF494/907185</f>
        <v>1.2722472452676598E-2</v>
      </c>
      <c r="Y149" s="60">
        <f>'BAU Comparison - FS &amp; Fuel Tr'!CG494/907185</f>
        <v>1.2411485754344432E-2</v>
      </c>
      <c r="Z149" s="60">
        <f>'BAU Comparison - FS &amp; Fuel Tr'!CH494/907185</f>
        <v>1.2106966407467692E-2</v>
      </c>
      <c r="AA149" s="60">
        <f>'BAU Comparison - FS &amp; Fuel Tr'!CI494/907185</f>
        <v>1.1808266867956911E-2</v>
      </c>
      <c r="AB149" s="61">
        <f>'BAU Comparison - FS &amp; Fuel Tr'!CJ494/907185</f>
        <v>1.1517060945835192E-2</v>
      </c>
    </row>
    <row r="150" spans="1:51" ht="25.9" customHeight="1">
      <c r="A150" s="520"/>
      <c r="B150" s="53" t="s">
        <v>268</v>
      </c>
      <c r="C150" s="2" t="s">
        <v>240</v>
      </c>
      <c r="D150" s="394">
        <f>'BAU Comparison - FS &amp; Fuel Tr'!BL354/907185</f>
        <v>0</v>
      </c>
      <c r="E150" s="64">
        <f>'BAU Comparison - FS &amp; Fuel Tr'!BM354/907185</f>
        <v>-1.947428215354434E-17</v>
      </c>
      <c r="F150" s="64">
        <f>'BAU Comparison - FS &amp; Fuel Tr'!BN354/907185</f>
        <v>0.21494148489494733</v>
      </c>
      <c r="G150" s="64">
        <f>'BAU Comparison - FS &amp; Fuel Tr'!BO354/907185</f>
        <v>0.57510606180260859</v>
      </c>
      <c r="H150" s="64">
        <f>'BAU Comparison - FS &amp; Fuel Tr'!BP354/907185</f>
        <v>0.64785357414677669</v>
      </c>
      <c r="I150" s="64">
        <f>'BAU Comparison - FS &amp; Fuel Tr'!BQ354/907185</f>
        <v>0.69873635625828012</v>
      </c>
      <c r="J150" s="64">
        <f>'BAU Comparison - FS &amp; Fuel Tr'!BR354/907185</f>
        <v>0.65851578442663583</v>
      </c>
      <c r="K150" s="64">
        <f>'BAU Comparison - FS &amp; Fuel Tr'!BS354/907185</f>
        <v>0.65026745246602191</v>
      </c>
      <c r="L150" s="64">
        <f>'BAU Comparison - FS &amp; Fuel Tr'!BT354/907185</f>
        <v>0.25658385643439346</v>
      </c>
      <c r="M150" s="64">
        <f>'BAU Comparison - FS &amp; Fuel Tr'!BU354/907185</f>
        <v>0.22956213111065432</v>
      </c>
      <c r="N150" s="64">
        <f>'BAU Comparison - FS &amp; Fuel Tr'!BV354/907185</f>
        <v>0.21967172772481028</v>
      </c>
      <c r="O150" s="64">
        <f>'BAU Comparison - FS &amp; Fuel Tr'!BW354/907185</f>
        <v>0.20863284224090425</v>
      </c>
      <c r="P150" s="64">
        <f>'BAU Comparison - FS &amp; Fuel Tr'!BX354/907185</f>
        <v>0.20031867493980318</v>
      </c>
      <c r="Q150" s="64">
        <f>'BAU Comparison - FS &amp; Fuel Tr'!BY354/907185</f>
        <v>0.14227730485038459</v>
      </c>
      <c r="R150" s="64">
        <f>'BAU Comparison - FS &amp; Fuel Tr'!BZ354/907185</f>
        <v>0.10742688078603745</v>
      </c>
      <c r="S150" s="64">
        <f>'BAU Comparison - FS &amp; Fuel Tr'!CA354/907185</f>
        <v>7.0663008283375642E-2</v>
      </c>
      <c r="T150" s="64">
        <f>'BAU Comparison - FS &amp; Fuel Tr'!CB354/907185</f>
        <v>6.8242191402220445E-2</v>
      </c>
      <c r="U150" s="64">
        <f>'BAU Comparison - FS &amp; Fuel Tr'!CC354/907185</f>
        <v>6.7023016070754601E-2</v>
      </c>
      <c r="V150" s="64">
        <f>'BAU Comparison - FS &amp; Fuel Tr'!CD354/907185</f>
        <v>6.6519206543654591E-2</v>
      </c>
      <c r="W150" s="64">
        <f>'BAU Comparison - FS &amp; Fuel Tr'!CE354/907185</f>
        <v>6.4874461137157363E-2</v>
      </c>
      <c r="X150" s="64">
        <f>'BAU Comparison - FS &amp; Fuel Tr'!CF354/907185</f>
        <v>6.2336407520428856E-2</v>
      </c>
      <c r="Y150" s="64">
        <f>'BAU Comparison - FS &amp; Fuel Tr'!CG354/907185</f>
        <v>6.1138070535014688E-2</v>
      </c>
      <c r="Z150" s="64">
        <f>'BAU Comparison - FS &amp; Fuel Tr'!CH354/907185</f>
        <v>5.9640413728125459E-2</v>
      </c>
      <c r="AA150" s="64">
        <f>'BAU Comparison - FS &amp; Fuel Tr'!CI354/907185</f>
        <v>5.8131099108466998E-2</v>
      </c>
      <c r="AB150" s="65">
        <f>'BAU Comparison - FS &amp; Fuel Tr'!CJ354/907185</f>
        <v>5.6009523428025815E-2</v>
      </c>
    </row>
    <row r="151" spans="1:51" ht="25.9" customHeight="1">
      <c r="A151" s="521"/>
      <c r="B151" s="15" t="s">
        <v>270</v>
      </c>
      <c r="C151" s="73" t="s">
        <v>240</v>
      </c>
      <c r="D151" s="175">
        <f t="shared" ref="D151:L151" si="2">SUM(D136:D150)</f>
        <v>0</v>
      </c>
      <c r="E151" s="175">
        <f t="shared" si="2"/>
        <v>-1.854693538432794E-16</v>
      </c>
      <c r="F151" s="175">
        <f t="shared" si="2"/>
        <v>2.0470617609042603</v>
      </c>
      <c r="G151" s="175">
        <f t="shared" si="2"/>
        <v>5.4772005885962711</v>
      </c>
      <c r="H151" s="175">
        <f t="shared" si="2"/>
        <v>6.1351677415648176</v>
      </c>
      <c r="I151" s="175">
        <f t="shared" si="2"/>
        <v>6.3688470357643752</v>
      </c>
      <c r="J151" s="175">
        <f t="shared" si="2"/>
        <v>5.8574698549791515</v>
      </c>
      <c r="K151" s="175">
        <f t="shared" si="2"/>
        <v>5.7173900994683446</v>
      </c>
      <c r="L151" s="175">
        <f t="shared" si="2"/>
        <v>2.2399968399498111</v>
      </c>
      <c r="M151" s="175">
        <f t="shared" ref="M151:AB151" si="3">SUM(M136:M150)</f>
        <v>1.9947572267128337</v>
      </c>
      <c r="N151" s="175">
        <f t="shared" si="3"/>
        <v>1.9025726572628838</v>
      </c>
      <c r="O151" s="175">
        <f t="shared" si="3"/>
        <v>1.8025431991997058</v>
      </c>
      <c r="P151" s="175">
        <f t="shared" si="3"/>
        <v>1.7255423862609771</v>
      </c>
      <c r="Q151" s="175">
        <f t="shared" si="3"/>
        <v>1.2240896012112237</v>
      </c>
      <c r="R151" s="175">
        <f t="shared" si="3"/>
        <v>0.92317147535531041</v>
      </c>
      <c r="S151" s="175">
        <f t="shared" si="3"/>
        <v>0.60655832625724548</v>
      </c>
      <c r="T151" s="175">
        <f t="shared" si="3"/>
        <v>0.58514614090712203</v>
      </c>
      <c r="U151" s="175">
        <f t="shared" si="3"/>
        <v>0.57673378545168752</v>
      </c>
      <c r="V151" s="175">
        <f t="shared" si="3"/>
        <v>0.57399663004182022</v>
      </c>
      <c r="W151" s="175">
        <f t="shared" si="3"/>
        <v>0.55991345805605963</v>
      </c>
      <c r="X151" s="175">
        <f t="shared" si="3"/>
        <v>0.537135749611236</v>
      </c>
      <c r="Y151" s="175">
        <f t="shared" si="3"/>
        <v>0.52710517952051383</v>
      </c>
      <c r="Z151" s="175">
        <f t="shared" si="3"/>
        <v>0.51419520067911617</v>
      </c>
      <c r="AA151" s="175">
        <f t="shared" si="3"/>
        <v>0.50114832923892483</v>
      </c>
      <c r="AB151" s="175">
        <f t="shared" si="3"/>
        <v>0.48223709511081969</v>
      </c>
      <c r="AC151" s="66"/>
    </row>
    <row r="153" spans="1:51"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51">
      <c r="B154" s="522" t="s">
        <v>18958</v>
      </c>
      <c r="C154" s="522"/>
      <c r="D154" s="522"/>
      <c r="E154" s="522"/>
      <c r="F154" s="522"/>
      <c r="G154" s="522"/>
      <c r="H154" s="522"/>
      <c r="I154" s="522"/>
      <c r="J154" s="522"/>
      <c r="K154" s="522"/>
      <c r="L154" s="522"/>
      <c r="M154" s="522"/>
      <c r="N154" s="522"/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522"/>
      <c r="Z154" s="522"/>
      <c r="AA154" s="522"/>
      <c r="AB154" s="522"/>
    </row>
    <row r="155" spans="1:51">
      <c r="B155" s="295" t="s">
        <v>18936</v>
      </c>
      <c r="C155" s="295" t="s">
        <v>1</v>
      </c>
      <c r="D155" s="295">
        <v>2022</v>
      </c>
      <c r="E155" s="295">
        <v>2023</v>
      </c>
      <c r="F155" s="295">
        <v>2024</v>
      </c>
      <c r="G155" s="295">
        <v>2025</v>
      </c>
      <c r="H155" s="295">
        <v>2026</v>
      </c>
      <c r="I155" s="295">
        <v>2027</v>
      </c>
      <c r="J155" s="295">
        <v>2028</v>
      </c>
      <c r="K155" s="295">
        <v>2029</v>
      </c>
      <c r="L155" s="295">
        <v>2030</v>
      </c>
      <c r="M155" s="295">
        <v>2031</v>
      </c>
      <c r="N155" s="295">
        <v>2032</v>
      </c>
      <c r="O155" s="295">
        <v>2033</v>
      </c>
      <c r="P155" s="295">
        <v>2034</v>
      </c>
      <c r="Q155" s="295">
        <v>2035</v>
      </c>
      <c r="R155" s="295">
        <v>2036</v>
      </c>
      <c r="S155" s="295">
        <v>2037</v>
      </c>
      <c r="T155" s="295">
        <v>2038</v>
      </c>
      <c r="U155" s="295">
        <v>2039</v>
      </c>
      <c r="V155" s="295">
        <v>2040</v>
      </c>
      <c r="W155" s="295">
        <v>2041</v>
      </c>
      <c r="X155" s="295">
        <v>2042</v>
      </c>
      <c r="Y155" s="295">
        <v>2043</v>
      </c>
      <c r="Z155" s="295">
        <v>2044</v>
      </c>
      <c r="AA155" s="295">
        <v>2045</v>
      </c>
      <c r="AB155" s="295">
        <v>2046</v>
      </c>
    </row>
    <row r="156" spans="1:51">
      <c r="B156" t="s">
        <v>246</v>
      </c>
      <c r="C156" t="s">
        <v>65</v>
      </c>
      <c r="D156" s="101">
        <f t="shared" ref="D156:AB156" si="4">D18+D37+D56+D75+D94+D113+D132+D151</f>
        <v>0</v>
      </c>
      <c r="E156" s="101">
        <f t="shared" si="4"/>
        <v>1.7813836287362305E-14</v>
      </c>
      <c r="F156" s="101">
        <f t="shared" si="4"/>
        <v>-125.0797328333135</v>
      </c>
      <c r="G156" s="101">
        <f t="shared" si="4"/>
        <v>-272.19479752895882</v>
      </c>
      <c r="H156" s="101">
        <f t="shared" si="4"/>
        <v>-318.97399973627012</v>
      </c>
      <c r="I156" s="101">
        <f t="shared" si="4"/>
        <v>-370.63448914042334</v>
      </c>
      <c r="J156" s="101">
        <f t="shared" si="4"/>
        <v>-347.96969158358354</v>
      </c>
      <c r="K156" s="101">
        <f t="shared" si="4"/>
        <v>-382.36990667703543</v>
      </c>
      <c r="L156" s="101">
        <f t="shared" si="4"/>
        <v>-402.00276139293055</v>
      </c>
      <c r="M156" s="101">
        <f t="shared" si="4"/>
        <v>-407.96745744035553</v>
      </c>
      <c r="N156" s="101">
        <f t="shared" si="4"/>
        <v>-412.62141346520059</v>
      </c>
      <c r="O156" s="101">
        <f t="shared" si="4"/>
        <v>-416.01388897557445</v>
      </c>
      <c r="P156" s="101">
        <f t="shared" si="4"/>
        <v>-413.51998474604858</v>
      </c>
      <c r="Q156" s="101">
        <f t="shared" si="4"/>
        <v>-413.67851530944068</v>
      </c>
      <c r="R156" s="101">
        <f t="shared" si="4"/>
        <v>-417.16708861451241</v>
      </c>
      <c r="S156" s="101">
        <f t="shared" si="4"/>
        <v>-405.78817514941153</v>
      </c>
      <c r="T156" s="101">
        <f t="shared" si="4"/>
        <v>-413.19678643493188</v>
      </c>
      <c r="U156" s="101">
        <f t="shared" si="4"/>
        <v>-426.03789458598516</v>
      </c>
      <c r="V156" s="101">
        <f t="shared" si="4"/>
        <v>-433.96209122846756</v>
      </c>
      <c r="W156" s="101">
        <f t="shared" si="4"/>
        <v>-446.33977485545614</v>
      </c>
      <c r="X156" s="101">
        <f t="shared" si="4"/>
        <v>-452.94308647200734</v>
      </c>
      <c r="Y156" s="101">
        <f t="shared" si="4"/>
        <v>-464.36185139251751</v>
      </c>
      <c r="Z156" s="101">
        <f t="shared" si="4"/>
        <v>-481.80788487963906</v>
      </c>
      <c r="AA156" s="101">
        <f t="shared" si="4"/>
        <v>-497.45340110422279</v>
      </c>
      <c r="AB156" s="101">
        <f t="shared" si="4"/>
        <v>-510.13984400343685</v>
      </c>
      <c r="AC156" s="66"/>
    </row>
    <row r="157" spans="1:51"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</row>
    <row r="159" spans="1:51">
      <c r="AC159" s="66"/>
    </row>
    <row r="161" spans="24:46"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24:46"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93" spans="3:28"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</sheetData>
  <mergeCells count="10">
    <mergeCell ref="D1:AB1"/>
    <mergeCell ref="A1:A151"/>
    <mergeCell ref="D20:AB20"/>
    <mergeCell ref="D96:AB96"/>
    <mergeCell ref="B154:AB154"/>
    <mergeCell ref="D134:AB134"/>
    <mergeCell ref="D115:AB115"/>
    <mergeCell ref="D58:AB58"/>
    <mergeCell ref="D39:AB39"/>
    <mergeCell ref="D77:AB7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4B9D-FDCF-42F5-86F1-D789D7B474FC}">
  <sheetPr>
    <tabColor rgb="FFB889DB"/>
  </sheetPr>
  <dimension ref="A1:BD215"/>
  <sheetViews>
    <sheetView topLeftCell="K158" zoomScaleNormal="100" workbookViewId="0">
      <selection activeCell="AK167" sqref="AK167"/>
    </sheetView>
  </sheetViews>
  <sheetFormatPr defaultRowHeight="15"/>
  <cols>
    <col min="1" max="1" width="12.85546875" customWidth="1"/>
    <col min="2" max="2" width="22.140625" bestFit="1" customWidth="1"/>
    <col min="6" max="14" width="9.28515625" bestFit="1" customWidth="1"/>
  </cols>
  <sheetData>
    <row r="1" spans="1:56" ht="15.75" customHeight="1">
      <c r="A1" s="520" t="s">
        <v>18948</v>
      </c>
      <c r="B1" s="86"/>
      <c r="C1" s="87"/>
      <c r="D1" s="518" t="s">
        <v>18949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</row>
    <row r="2" spans="1:56">
      <c r="A2" s="520"/>
      <c r="B2" s="88" t="s">
        <v>18814</v>
      </c>
      <c r="C2" s="88" t="s">
        <v>1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56">
      <c r="A3" s="520"/>
      <c r="B3" s="2" t="s">
        <v>249</v>
      </c>
      <c r="C3" s="2" t="s">
        <v>18938</v>
      </c>
      <c r="D3" s="104">
        <v>0</v>
      </c>
      <c r="E3" s="79">
        <v>0</v>
      </c>
      <c r="F3" s="79">
        <v>0</v>
      </c>
      <c r="G3" s="79">
        <v>0</v>
      </c>
      <c r="H3" s="79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79">
        <v>0</v>
      </c>
      <c r="S3" s="79">
        <v>0</v>
      </c>
      <c r="T3" s="79">
        <v>0</v>
      </c>
      <c r="U3" s="79">
        <v>0</v>
      </c>
      <c r="V3" s="79">
        <v>0</v>
      </c>
      <c r="W3" s="79">
        <v>0</v>
      </c>
      <c r="X3" s="79">
        <v>0</v>
      </c>
      <c r="Y3" s="79">
        <v>0</v>
      </c>
      <c r="Z3" s="79">
        <v>0</v>
      </c>
      <c r="AA3" s="79">
        <v>0</v>
      </c>
      <c r="AB3" s="80">
        <v>0</v>
      </c>
      <c r="AC3" s="66"/>
      <c r="AD3" s="2"/>
      <c r="AE3" s="2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</row>
    <row r="4" spans="1:56">
      <c r="A4" s="520"/>
      <c r="B4" s="2" t="s">
        <v>416</v>
      </c>
      <c r="C4" s="2" t="s">
        <v>18938</v>
      </c>
      <c r="D4" s="393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1">
        <v>0</v>
      </c>
      <c r="AC4" s="66"/>
      <c r="AD4" s="2"/>
      <c r="AE4" s="2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</row>
    <row r="5" spans="1:56">
      <c r="A5" s="520"/>
      <c r="B5" s="2" t="s">
        <v>417</v>
      </c>
      <c r="C5" s="2" t="s">
        <v>18938</v>
      </c>
      <c r="D5" s="393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1">
        <v>0</v>
      </c>
      <c r="AC5" s="66"/>
      <c r="AD5" s="2"/>
      <c r="AE5" s="2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</row>
    <row r="6" spans="1:56">
      <c r="A6" s="520"/>
      <c r="B6" s="2" t="s">
        <v>255</v>
      </c>
      <c r="C6" s="2" t="s">
        <v>18938</v>
      </c>
      <c r="D6" s="393">
        <v>0</v>
      </c>
      <c r="E6" s="60">
        <v>0</v>
      </c>
      <c r="F6" s="60">
        <v>-4.189503250314402E-4</v>
      </c>
      <c r="G6" s="60">
        <v>-8.3790065006288041E-4</v>
      </c>
      <c r="H6" s="60">
        <v>-1.2568509750943207E-3</v>
      </c>
      <c r="I6" s="60">
        <v>-1.6758013001257608E-3</v>
      </c>
      <c r="J6" s="60">
        <v>-2.0947516251572009E-3</v>
      </c>
      <c r="K6" s="60">
        <v>-2.513701950188641E-3</v>
      </c>
      <c r="L6" s="60">
        <v>-2.9326522752200811E-3</v>
      </c>
      <c r="M6" s="60">
        <v>-3.3516026002515212E-3</v>
      </c>
      <c r="N6" s="60">
        <v>-3.7705529252829613E-3</v>
      </c>
      <c r="O6" s="60">
        <v>-4.1895032503144018E-3</v>
      </c>
      <c r="P6" s="60">
        <v>-4.6084535753458424E-3</v>
      </c>
      <c r="Q6" s="60">
        <v>-5.0274039003772829E-3</v>
      </c>
      <c r="R6" s="60">
        <v>-5.4463542254087234E-3</v>
      </c>
      <c r="S6" s="60">
        <v>-5.8653045504401639E-3</v>
      </c>
      <c r="T6" s="60">
        <v>-6.2842548754716045E-3</v>
      </c>
      <c r="U6" s="60">
        <v>-6.703205200503045E-3</v>
      </c>
      <c r="V6" s="60">
        <v>-7.1221555255344855E-3</v>
      </c>
      <c r="W6" s="60">
        <v>-7.5411058505659261E-3</v>
      </c>
      <c r="X6" s="60">
        <v>-7.9600561755973666E-3</v>
      </c>
      <c r="Y6" s="60">
        <v>-8.3790065006288071E-3</v>
      </c>
      <c r="Z6" s="60">
        <v>-8.7979568256602476E-3</v>
      </c>
      <c r="AA6" s="60">
        <v>-9.2169071506916882E-3</v>
      </c>
      <c r="AB6" s="61">
        <v>-9.6358574757231287E-3</v>
      </c>
      <c r="AC6" s="66"/>
      <c r="AD6" s="2"/>
      <c r="AE6" s="2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</row>
    <row r="7" spans="1:56">
      <c r="A7" s="520"/>
      <c r="B7" s="2" t="s">
        <v>419</v>
      </c>
      <c r="C7" s="2" t="s">
        <v>18938</v>
      </c>
      <c r="D7" s="393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1">
        <v>0</v>
      </c>
      <c r="AC7" s="66"/>
      <c r="AD7" s="2"/>
      <c r="AE7" s="2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</row>
    <row r="8" spans="1:56">
      <c r="A8" s="520"/>
      <c r="B8" s="2" t="s">
        <v>420</v>
      </c>
      <c r="C8" s="2" t="s">
        <v>18938</v>
      </c>
      <c r="D8" s="393">
        <v>0</v>
      </c>
      <c r="E8" s="60">
        <v>0</v>
      </c>
      <c r="F8" s="60">
        <v>-2.3306654004176235E-3</v>
      </c>
      <c r="G8" s="60">
        <v>-4.6613308008352471E-3</v>
      </c>
      <c r="H8" s="60">
        <v>-6.9919962012528706E-3</v>
      </c>
      <c r="I8" s="60">
        <v>-9.3226616016704941E-3</v>
      </c>
      <c r="J8" s="60">
        <v>-1.1653327002088118E-2</v>
      </c>
      <c r="K8" s="60">
        <v>-1.3983992402505741E-2</v>
      </c>
      <c r="L8" s="60">
        <v>-1.6314657802923363E-2</v>
      </c>
      <c r="M8" s="60">
        <v>-1.8645323203340988E-2</v>
      </c>
      <c r="N8" s="60">
        <v>-2.0975988603758614E-2</v>
      </c>
      <c r="O8" s="60">
        <v>-2.3306654004176239E-2</v>
      </c>
      <c r="P8" s="60">
        <v>-2.5637319404593864E-2</v>
      </c>
      <c r="Q8" s="60">
        <v>-2.7967984805011489E-2</v>
      </c>
      <c r="R8" s="60">
        <v>-3.0298650205429115E-2</v>
      </c>
      <c r="S8" s="60">
        <v>-3.262931560584674E-2</v>
      </c>
      <c r="T8" s="60">
        <v>-3.4959981006264365E-2</v>
      </c>
      <c r="U8" s="60">
        <v>-3.729064640668199E-2</v>
      </c>
      <c r="V8" s="60">
        <v>-3.9621311807099616E-2</v>
      </c>
      <c r="W8" s="60">
        <v>-4.1951977207517241E-2</v>
      </c>
      <c r="X8" s="60">
        <v>-4.4282642607934866E-2</v>
      </c>
      <c r="Y8" s="60">
        <v>-4.6613308008352491E-2</v>
      </c>
      <c r="Z8" s="60">
        <v>-4.8943973408770117E-2</v>
      </c>
      <c r="AA8" s="60">
        <v>-5.1274638809187742E-2</v>
      </c>
      <c r="AB8" s="61">
        <v>-5.3605304209605367E-2</v>
      </c>
      <c r="AC8" s="66"/>
      <c r="AD8" s="2"/>
      <c r="AE8" s="2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</row>
    <row r="9" spans="1:56">
      <c r="A9" s="520"/>
      <c r="B9" s="2" t="s">
        <v>258</v>
      </c>
      <c r="C9" s="2" t="s">
        <v>18938</v>
      </c>
      <c r="D9" s="393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1">
        <v>0</v>
      </c>
      <c r="AC9" s="66"/>
      <c r="AD9" s="2"/>
      <c r="AE9" s="2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</row>
    <row r="10" spans="1:56">
      <c r="A10" s="520"/>
      <c r="B10" s="2" t="s">
        <v>259</v>
      </c>
      <c r="C10" s="2" t="s">
        <v>18938</v>
      </c>
      <c r="D10" s="393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1">
        <v>0</v>
      </c>
      <c r="AC10" s="66"/>
      <c r="AD10" s="2"/>
      <c r="AE10" s="2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</row>
    <row r="11" spans="1:56">
      <c r="A11" s="520"/>
      <c r="B11" s="2" t="s">
        <v>490</v>
      </c>
      <c r="C11" s="2" t="s">
        <v>18938</v>
      </c>
      <c r="D11" s="393">
        <v>0</v>
      </c>
      <c r="E11" s="60">
        <v>0</v>
      </c>
      <c r="F11" s="60">
        <v>-1.3015932428161252E-4</v>
      </c>
      <c r="G11" s="60">
        <v>-2.6031864856322504E-4</v>
      </c>
      <c r="H11" s="60">
        <v>-3.9047797284483753E-4</v>
      </c>
      <c r="I11" s="60">
        <v>-5.2063729712645008E-4</v>
      </c>
      <c r="J11" s="60">
        <v>-6.5079662140806263E-4</v>
      </c>
      <c r="K11" s="60">
        <v>-7.8095594568967518E-4</v>
      </c>
      <c r="L11" s="60">
        <v>-9.1111526997128772E-4</v>
      </c>
      <c r="M11" s="60">
        <v>-1.0412745942529002E-3</v>
      </c>
      <c r="N11" s="60">
        <v>-1.1714339185345127E-3</v>
      </c>
      <c r="O11" s="60">
        <v>-1.3015932428161253E-3</v>
      </c>
      <c r="P11" s="60">
        <v>-1.4317525670977378E-3</v>
      </c>
      <c r="Q11" s="60">
        <v>-1.5619118913793504E-3</v>
      </c>
      <c r="R11" s="60">
        <v>-1.6920712156609629E-3</v>
      </c>
      <c r="S11" s="60">
        <v>-1.8222305399425754E-3</v>
      </c>
      <c r="T11" s="60">
        <v>-1.952389864224188E-3</v>
      </c>
      <c r="U11" s="60">
        <v>-2.0825491885058003E-3</v>
      </c>
      <c r="V11" s="60">
        <v>-2.2127085127874127E-3</v>
      </c>
      <c r="W11" s="60">
        <v>-2.342867837069025E-3</v>
      </c>
      <c r="X11" s="60">
        <v>-2.4730271613506373E-3</v>
      </c>
      <c r="Y11" s="60">
        <v>-2.6031864856322496E-3</v>
      </c>
      <c r="Z11" s="60">
        <v>-2.733345809913862E-3</v>
      </c>
      <c r="AA11" s="60">
        <v>-2.8635051341954743E-3</v>
      </c>
      <c r="AB11" s="61">
        <v>-2.9936644584770866E-3</v>
      </c>
      <c r="AC11" s="66"/>
      <c r="AD11" s="2"/>
      <c r="AE11" s="2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</row>
    <row r="12" spans="1:56">
      <c r="A12" s="520"/>
      <c r="B12" s="2" t="s">
        <v>261</v>
      </c>
      <c r="C12" s="2" t="s">
        <v>18938</v>
      </c>
      <c r="D12" s="393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1">
        <v>0</v>
      </c>
      <c r="AC12" s="66"/>
      <c r="AD12" s="2"/>
      <c r="AE12" s="2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</row>
    <row r="13" spans="1:56">
      <c r="A13" s="520"/>
      <c r="B13" s="2" t="s">
        <v>373</v>
      </c>
      <c r="C13" s="2" t="s">
        <v>18938</v>
      </c>
      <c r="D13" s="393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1">
        <v>0</v>
      </c>
      <c r="AC13" s="66"/>
      <c r="AD13" s="2"/>
      <c r="AE13" s="2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</row>
    <row r="14" spans="1:56">
      <c r="A14" s="520"/>
      <c r="B14" s="2" t="s">
        <v>18927</v>
      </c>
      <c r="C14" s="2" t="s">
        <v>18938</v>
      </c>
      <c r="D14" s="393">
        <v>0</v>
      </c>
      <c r="E14" s="60">
        <v>0</v>
      </c>
      <c r="F14" s="60">
        <v>-3.6607309954203515E-5</v>
      </c>
      <c r="G14" s="60">
        <v>-7.3214619908407031E-5</v>
      </c>
      <c r="H14" s="60">
        <v>-1.0982192986261054E-4</v>
      </c>
      <c r="I14" s="60">
        <v>-1.4642923981681406E-4</v>
      </c>
      <c r="J14" s="60">
        <v>-1.8303654977101758E-4</v>
      </c>
      <c r="K14" s="60">
        <v>-2.1964385972522111E-4</v>
      </c>
      <c r="L14" s="60">
        <v>-2.5625116967942463E-4</v>
      </c>
      <c r="M14" s="60">
        <v>-2.9285847963362812E-4</v>
      </c>
      <c r="N14" s="60">
        <v>-3.2946578958783162E-4</v>
      </c>
      <c r="O14" s="60">
        <v>-3.6607309954203511E-4</v>
      </c>
      <c r="P14" s="60">
        <v>-4.0268040949623861E-4</v>
      </c>
      <c r="Q14" s="60">
        <v>-4.392877194504421E-4</v>
      </c>
      <c r="R14" s="60">
        <v>-4.758950294046456E-4</v>
      </c>
      <c r="S14" s="60">
        <v>-5.1250233935884915E-4</v>
      </c>
      <c r="T14" s="60">
        <v>-5.4910964931305264E-4</v>
      </c>
      <c r="U14" s="60">
        <v>-5.8571695926725614E-4</v>
      </c>
      <c r="V14" s="60">
        <v>-6.2232426922145963E-4</v>
      </c>
      <c r="W14" s="60">
        <v>-6.5893157917566313E-4</v>
      </c>
      <c r="X14" s="60">
        <v>-6.9553888912986662E-4</v>
      </c>
      <c r="Y14" s="60">
        <v>-7.3214619908407012E-4</v>
      </c>
      <c r="Z14" s="60">
        <v>-7.6875350903827361E-4</v>
      </c>
      <c r="AA14" s="60">
        <v>-8.0536081899247711E-4</v>
      </c>
      <c r="AB14" s="61">
        <v>-8.419681289466806E-4</v>
      </c>
      <c r="AC14" s="66"/>
      <c r="AD14" s="2"/>
      <c r="AE14" s="2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</row>
    <row r="15" spans="1:56">
      <c r="A15" s="520"/>
      <c r="B15" s="2" t="s">
        <v>18845</v>
      </c>
      <c r="C15" s="2" t="s">
        <v>18938</v>
      </c>
      <c r="D15" s="393">
        <v>0</v>
      </c>
      <c r="E15" s="60">
        <v>0</v>
      </c>
      <c r="F15" s="60">
        <v>-1.8531433794594578E-2</v>
      </c>
      <c r="G15" s="60">
        <v>-3.7062867589189155E-2</v>
      </c>
      <c r="H15" s="60">
        <v>-5.5594301383783733E-2</v>
      </c>
      <c r="I15" s="60">
        <v>-7.412573517837831E-2</v>
      </c>
      <c r="J15" s="60">
        <v>-9.2657168972972881E-2</v>
      </c>
      <c r="K15" s="60">
        <v>-0.11118860276756745</v>
      </c>
      <c r="L15" s="60">
        <v>-0.12972003656216202</v>
      </c>
      <c r="M15" s="60">
        <v>-0.14825147035675659</v>
      </c>
      <c r="N15" s="60">
        <v>-0.16678290415135116</v>
      </c>
      <c r="O15" s="60">
        <v>-0.18531433794594573</v>
      </c>
      <c r="P15" s="60">
        <v>-0.2038457717405403</v>
      </c>
      <c r="Q15" s="60">
        <v>-0.22237720553513488</v>
      </c>
      <c r="R15" s="60">
        <v>-0.24090863932972945</v>
      </c>
      <c r="S15" s="60">
        <v>-0.25944007312432404</v>
      </c>
      <c r="T15" s="60">
        <v>-0.27797150691891864</v>
      </c>
      <c r="U15" s="60">
        <v>-0.29650294071351324</v>
      </c>
      <c r="V15" s="60">
        <v>-0.31503437450810784</v>
      </c>
      <c r="W15" s="60">
        <v>-0.33356580830270244</v>
      </c>
      <c r="X15" s="60">
        <v>-0.35209724209729704</v>
      </c>
      <c r="Y15" s="60">
        <v>-0.37062867589189163</v>
      </c>
      <c r="Z15" s="60">
        <v>-0.38916010968648623</v>
      </c>
      <c r="AA15" s="60">
        <v>-0.40769154348108083</v>
      </c>
      <c r="AB15" s="61">
        <v>-0.42622297727567543</v>
      </c>
      <c r="AC15" s="66"/>
      <c r="AD15" s="2"/>
      <c r="AE15" s="2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</row>
    <row r="16" spans="1:56">
      <c r="A16" s="520"/>
      <c r="B16" s="2" t="s">
        <v>267</v>
      </c>
      <c r="C16" s="2" t="s">
        <v>18938</v>
      </c>
      <c r="D16" s="393">
        <v>0</v>
      </c>
      <c r="E16" s="60">
        <v>0</v>
      </c>
      <c r="F16" s="60">
        <v>-8.2163073452767887E-4</v>
      </c>
      <c r="G16" s="60">
        <v>-1.6432614690553577E-3</v>
      </c>
      <c r="H16" s="60">
        <v>-2.4648922035830365E-3</v>
      </c>
      <c r="I16" s="60">
        <v>-3.2865229381107155E-3</v>
      </c>
      <c r="J16" s="60">
        <v>-4.1081536726383944E-3</v>
      </c>
      <c r="K16" s="60">
        <v>-4.929784407166073E-3</v>
      </c>
      <c r="L16" s="60">
        <v>-5.7514151416937515E-3</v>
      </c>
      <c r="M16" s="60">
        <v>-6.5730458762214301E-3</v>
      </c>
      <c r="N16" s="60">
        <v>-7.3946766107491086E-3</v>
      </c>
      <c r="O16" s="60">
        <v>-8.2163073452767871E-3</v>
      </c>
      <c r="P16" s="60">
        <v>-9.0379380798044657E-3</v>
      </c>
      <c r="Q16" s="60">
        <v>-9.8595688143321442E-3</v>
      </c>
      <c r="R16" s="60">
        <v>-1.0681199548859823E-2</v>
      </c>
      <c r="S16" s="60">
        <v>-1.1502830283387501E-2</v>
      </c>
      <c r="T16" s="60">
        <v>-1.232446101791518E-2</v>
      </c>
      <c r="U16" s="60">
        <v>-1.3146091752442858E-2</v>
      </c>
      <c r="V16" s="60">
        <v>-1.3967722486970537E-2</v>
      </c>
      <c r="W16" s="60">
        <v>-1.4789353221498215E-2</v>
      </c>
      <c r="X16" s="60">
        <v>-1.5610983956025894E-2</v>
      </c>
      <c r="Y16" s="60">
        <v>-1.6432614690553574E-2</v>
      </c>
      <c r="Z16" s="60">
        <v>-1.7254245425081253E-2</v>
      </c>
      <c r="AA16" s="60">
        <v>-1.8075876159608931E-2</v>
      </c>
      <c r="AB16" s="61">
        <v>-1.889750689413661E-2</v>
      </c>
      <c r="AC16" s="66"/>
      <c r="AD16" s="2"/>
      <c r="AE16" s="2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</row>
    <row r="17" spans="1:56">
      <c r="A17" s="520"/>
      <c r="B17" s="2" t="s">
        <v>268</v>
      </c>
      <c r="C17" s="2" t="s">
        <v>18938</v>
      </c>
      <c r="D17" s="394">
        <v>0</v>
      </c>
      <c r="E17" s="64">
        <v>0</v>
      </c>
      <c r="F17" s="64">
        <v>-4.3522024056664169E-4</v>
      </c>
      <c r="G17" s="64">
        <v>-8.7044048113328338E-4</v>
      </c>
      <c r="H17" s="64">
        <v>-1.305660721699925E-3</v>
      </c>
      <c r="I17" s="64">
        <v>-1.7408809622665668E-3</v>
      </c>
      <c r="J17" s="64">
        <v>-2.1761012028332083E-3</v>
      </c>
      <c r="K17" s="64">
        <v>-2.61132144339985E-3</v>
      </c>
      <c r="L17" s="64">
        <v>-3.0465416839664918E-3</v>
      </c>
      <c r="M17" s="64">
        <v>-3.4817619245331335E-3</v>
      </c>
      <c r="N17" s="64">
        <v>-3.9169821650997753E-3</v>
      </c>
      <c r="O17" s="64">
        <v>-4.3522024056664166E-3</v>
      </c>
      <c r="P17" s="64">
        <v>-4.7874226462330579E-3</v>
      </c>
      <c r="Q17" s="64">
        <v>-5.2226428867996992E-3</v>
      </c>
      <c r="R17" s="64">
        <v>-5.6578631273663405E-3</v>
      </c>
      <c r="S17" s="64">
        <v>-6.0930833679329818E-3</v>
      </c>
      <c r="T17" s="64">
        <v>-6.5283036084996231E-3</v>
      </c>
      <c r="U17" s="64">
        <v>-6.9635238490662645E-3</v>
      </c>
      <c r="V17" s="64">
        <v>-7.3987440896329058E-3</v>
      </c>
      <c r="W17" s="64">
        <v>-7.8339643301995471E-3</v>
      </c>
      <c r="X17" s="64">
        <v>-8.2691845707661884E-3</v>
      </c>
      <c r="Y17" s="64">
        <v>-8.7044048113328297E-3</v>
      </c>
      <c r="Z17" s="64">
        <v>-9.139625051899471E-3</v>
      </c>
      <c r="AA17" s="64">
        <v>-9.5748452924661123E-3</v>
      </c>
      <c r="AB17" s="65">
        <v>-1.0010065533032754E-2</v>
      </c>
      <c r="AC17" s="66"/>
      <c r="AD17" s="2"/>
      <c r="AE17" s="2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</row>
    <row r="18" spans="1:56">
      <c r="A18" s="520"/>
      <c r="B18" s="72" t="s">
        <v>270</v>
      </c>
      <c r="C18" s="72" t="s">
        <v>18938</v>
      </c>
      <c r="D18" s="175">
        <v>0</v>
      </c>
      <c r="E18" s="175">
        <v>0</v>
      </c>
      <c r="F18" s="175">
        <f>SUM(F3:F17)</f>
        <v>-2.270466712937378E-2</v>
      </c>
      <c r="G18" s="175">
        <f t="shared" ref="G18:AB18" si="0">SUM(G3:G17)</f>
        <v>-4.5409334258747561E-2</v>
      </c>
      <c r="H18" s="175">
        <f t="shared" si="0"/>
        <v>-6.8114001388121334E-2</v>
      </c>
      <c r="I18" s="175">
        <f t="shared" si="0"/>
        <v>-9.0818668517495121E-2</v>
      </c>
      <c r="J18" s="175">
        <f t="shared" si="0"/>
        <v>-0.11352333564686888</v>
      </c>
      <c r="K18" s="175">
        <f t="shared" si="0"/>
        <v>-0.13622800277624264</v>
      </c>
      <c r="L18" s="175">
        <f t="shared" si="0"/>
        <v>-0.15893266990561641</v>
      </c>
      <c r="M18" s="175">
        <f t="shared" si="0"/>
        <v>-0.18163733703499019</v>
      </c>
      <c r="N18" s="175">
        <f t="shared" si="0"/>
        <v>-0.20434200416436396</v>
      </c>
      <c r="O18" s="175">
        <f>SUM(O3:O17)</f>
        <v>-0.22704667129373773</v>
      </c>
      <c r="P18" s="175">
        <f t="shared" si="0"/>
        <v>-0.24975133842311151</v>
      </c>
      <c r="Q18" s="175">
        <f t="shared" si="0"/>
        <v>-0.27245600555248528</v>
      </c>
      <c r="R18" s="175">
        <f t="shared" si="0"/>
        <v>-0.29516067268185903</v>
      </c>
      <c r="S18" s="175">
        <f t="shared" si="0"/>
        <v>-0.31786533981123283</v>
      </c>
      <c r="T18" s="175">
        <f t="shared" si="0"/>
        <v>-0.34057000694060663</v>
      </c>
      <c r="U18" s="175">
        <f t="shared" si="0"/>
        <v>-0.36327467406998049</v>
      </c>
      <c r="V18" s="175">
        <f>SUM(V3:V17)</f>
        <v>-0.38597934119935429</v>
      </c>
      <c r="W18" s="175">
        <f t="shared" si="0"/>
        <v>-0.40868400832872809</v>
      </c>
      <c r="X18" s="175">
        <f t="shared" si="0"/>
        <v>-0.43138867545810189</v>
      </c>
      <c r="Y18" s="175">
        <f t="shared" si="0"/>
        <v>-0.45409334258747569</v>
      </c>
      <c r="Z18" s="175">
        <f t="shared" si="0"/>
        <v>-0.47679800971684944</v>
      </c>
      <c r="AA18" s="175">
        <f t="shared" si="0"/>
        <v>-0.49950267684622324</v>
      </c>
      <c r="AB18" s="175">
        <f t="shared" si="0"/>
        <v>-0.52220734397559709</v>
      </c>
    </row>
    <row r="19" spans="1:56" ht="15" customHeight="1">
      <c r="A19" s="520"/>
      <c r="B19" s="2"/>
      <c r="C19" s="72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66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</row>
    <row r="20" spans="1:56" ht="15.75" customHeight="1">
      <c r="A20" s="520"/>
      <c r="B20" s="186"/>
      <c r="C20" s="87"/>
      <c r="D20" s="524" t="s">
        <v>18951</v>
      </c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B20" s="525"/>
    </row>
    <row r="21" spans="1:56" ht="26.25" customHeight="1">
      <c r="A21" s="520"/>
      <c r="B21" s="185" t="s">
        <v>18814</v>
      </c>
      <c r="C21" s="88" t="s">
        <v>1</v>
      </c>
      <c r="D21" s="156">
        <f>'BAU Comparison - BD RD PM2.5'!C5</f>
        <v>2022</v>
      </c>
      <c r="E21" s="156">
        <f>'BAU Comparison - BD RD PM2.5'!D5</f>
        <v>2023</v>
      </c>
      <c r="F21" s="156">
        <f>'BAU Comparison - BD RD PM2.5'!E5</f>
        <v>2024</v>
      </c>
      <c r="G21" s="156">
        <f>'BAU Comparison - BD RD PM2.5'!F5</f>
        <v>2025</v>
      </c>
      <c r="H21" s="156">
        <f>'BAU Comparison - BD RD PM2.5'!G5</f>
        <v>2026</v>
      </c>
      <c r="I21" s="156">
        <f>'BAU Comparison - BD RD PM2.5'!H5</f>
        <v>2027</v>
      </c>
      <c r="J21" s="156">
        <f>'BAU Comparison - BD RD PM2.5'!I5</f>
        <v>2028</v>
      </c>
      <c r="K21" s="156">
        <f>'BAU Comparison - BD RD PM2.5'!J5</f>
        <v>2029</v>
      </c>
      <c r="L21" s="157">
        <f>'BAU Comparison - BD RD PM2.5'!K5</f>
        <v>2030</v>
      </c>
      <c r="M21" s="156">
        <f>'BAU Comparison - BD RD PM2.5'!L5</f>
        <v>2031</v>
      </c>
      <c r="N21" s="156">
        <f>'BAU Comparison - BD RD PM2.5'!M5</f>
        <v>2032</v>
      </c>
      <c r="O21" s="156">
        <f>'BAU Comparison - BD RD PM2.5'!N5</f>
        <v>2033</v>
      </c>
      <c r="P21" s="156">
        <f>'BAU Comparison - BD RD PM2.5'!O5</f>
        <v>2034</v>
      </c>
      <c r="Q21" s="156">
        <f>'BAU Comparison - BD RD PM2.5'!P5</f>
        <v>2035</v>
      </c>
      <c r="R21" s="156">
        <f>'BAU Comparison - BD RD PM2.5'!Q5</f>
        <v>2036</v>
      </c>
      <c r="S21" s="156">
        <f>'BAU Comparison - BD RD PM2.5'!R5</f>
        <v>2037</v>
      </c>
      <c r="T21" s="156">
        <f>'BAU Comparison - BD RD PM2.5'!S5</f>
        <v>2038</v>
      </c>
      <c r="U21" s="157">
        <f>'BAU Comparison - BD RD PM2.5'!T5</f>
        <v>2039</v>
      </c>
      <c r="V21" s="156">
        <f>'BAU Comparison - BD RD PM2.5'!U5</f>
        <v>2040</v>
      </c>
      <c r="W21" s="156">
        <f>'BAU Comparison - BD RD PM2.5'!V5</f>
        <v>2041</v>
      </c>
      <c r="X21" s="156">
        <f>'BAU Comparison - BD RD PM2.5'!W5</f>
        <v>2042</v>
      </c>
      <c r="Y21" s="156">
        <f>'BAU Comparison - BD RD PM2.5'!X5</f>
        <v>2043</v>
      </c>
      <c r="Z21" s="156">
        <f>'BAU Comparison - BD RD PM2.5'!Y5</f>
        <v>2044</v>
      </c>
      <c r="AA21" s="156">
        <f>'BAU Comparison - BD RD PM2.5'!Z5</f>
        <v>2045</v>
      </c>
      <c r="AB21" s="156">
        <f>'BAU Comparison - BD RD PM2.5'!AA5</f>
        <v>2046</v>
      </c>
    </row>
    <row r="22" spans="1:56" ht="26.25" customHeight="1">
      <c r="A22" s="520"/>
      <c r="B22" s="53" t="str">
        <f>'Air Basin Summary PM2.5 BAU'!B22</f>
        <v>Great Basin</v>
      </c>
      <c r="C22" s="2" t="s">
        <v>18938</v>
      </c>
      <c r="D22" s="104">
        <f>'Air Basin Summary PM2.5 BAU'!D22/365.25</f>
        <v>0</v>
      </c>
      <c r="E22" s="79">
        <f>'Air Basin Summary PM2.5 BAU'!E22/365.25</f>
        <v>0</v>
      </c>
      <c r="F22" s="79">
        <f>'Air Basin Summary PM2.5 BAU'!F22/365.25</f>
        <v>-6.8243234107093686E-4</v>
      </c>
      <c r="G22" s="79">
        <f>'Air Basin Summary PM2.5 BAU'!G22/365.25</f>
        <v>-1.809095291405153E-3</v>
      </c>
      <c r="H22" s="79">
        <f>'Air Basin Summary PM2.5 BAU'!H22/365.25</f>
        <v>-2.042674135271383E-3</v>
      </c>
      <c r="I22" s="79">
        <f>'Air Basin Summary PM2.5 BAU'!I22/365.25</f>
        <v>-2.0424289448962765E-3</v>
      </c>
      <c r="J22" s="79">
        <f>'Air Basin Summary PM2.5 BAU'!J22/365.25</f>
        <v>-1.8601933962963757E-3</v>
      </c>
      <c r="K22" s="79">
        <f>'Air Basin Summary PM2.5 BAU'!K22/365.25</f>
        <v>-1.8141498167308036E-3</v>
      </c>
      <c r="L22" s="79">
        <f>'Air Basin Summary PM2.5 BAU'!L22/365.25</f>
        <v>-1.7536796149873078E-3</v>
      </c>
      <c r="M22" s="79">
        <f>'Air Basin Summary PM2.5 BAU'!M22/365.25</f>
        <v>-1.6625239060837668E-3</v>
      </c>
      <c r="N22" s="79">
        <f>'Air Basin Summary PM2.5 BAU'!N22/365.25</f>
        <v>-1.5774166243052246E-3</v>
      </c>
      <c r="O22" s="79">
        <f>'Air Basin Summary PM2.5 BAU'!O22/365.25</f>
        <v>-1.4896249297172424E-3</v>
      </c>
      <c r="P22" s="79">
        <f>'Air Basin Summary PM2.5 BAU'!P22/365.25</f>
        <v>-1.4113713082899591E-3</v>
      </c>
      <c r="Q22" s="79">
        <f>'Air Basin Summary PM2.5 BAU'!Q22/365.25</f>
        <v>-1.3168864745169381E-3</v>
      </c>
      <c r="R22" s="79">
        <f>'Air Basin Summary PM2.5 BAU'!R22/365.25</f>
        <v>-1.2371372984350299E-3</v>
      </c>
      <c r="S22" s="79">
        <f>'Air Basin Summary PM2.5 BAU'!S22/365.25</f>
        <v>-1.1632966035526587E-3</v>
      </c>
      <c r="T22" s="79">
        <f>'Air Basin Summary PM2.5 BAU'!T22/365.25</f>
        <v>-1.0969011766718902E-3</v>
      </c>
      <c r="U22" s="79">
        <f>'Air Basin Summary PM2.5 BAU'!U22/365.25</f>
        <v>-1.1013565311657713E-3</v>
      </c>
      <c r="V22" s="79">
        <f>'Air Basin Summary PM2.5 BAU'!V22/365.25</f>
        <v>-1.0985154958736822E-3</v>
      </c>
      <c r="W22" s="79">
        <f>'Air Basin Summary PM2.5 BAU'!W22/365.25</f>
        <v>-1.0564791887622284E-3</v>
      </c>
      <c r="X22" s="79">
        <f>'Air Basin Summary PM2.5 BAU'!X22/365.25</f>
        <v>-9.8656420726794792E-4</v>
      </c>
      <c r="Y22" s="79">
        <f>'Air Basin Summary PM2.5 BAU'!Y22/365.25</f>
        <v>-9.5430746100354019E-4</v>
      </c>
      <c r="Z22" s="79">
        <f>'Air Basin Summary PM2.5 BAU'!Z22/365.25</f>
        <v>-9.1566256799783749E-4</v>
      </c>
      <c r="AA22" s="79">
        <f>'Air Basin Summary PM2.5 BAU'!AA22/365.25</f>
        <v>-8.794757948910923E-4</v>
      </c>
      <c r="AB22" s="80">
        <f>'Air Basin Summary PM2.5 BAU'!AB22/365.25</f>
        <v>-8.2901852879572438E-4</v>
      </c>
    </row>
    <row r="23" spans="1:56" ht="26.25" customHeight="1">
      <c r="A23" s="520"/>
      <c r="B23" s="53" t="str">
        <f>'Air Basin Summary PM2.5 BAU'!B23</f>
        <v>Lake County</v>
      </c>
      <c r="C23" s="2" t="s">
        <v>18938</v>
      </c>
      <c r="D23" s="393">
        <f>'Air Basin Summary PM2.5 BAU'!D23/365.25</f>
        <v>0</v>
      </c>
      <c r="E23" s="60">
        <f>'Air Basin Summary PM2.5 BAU'!E23/365.25</f>
        <v>0</v>
      </c>
      <c r="F23" s="60">
        <f>'Air Basin Summary PM2.5 BAU'!F23/365.25</f>
        <v>-7.1015207386679801E-4</v>
      </c>
      <c r="G23" s="60">
        <f>'Air Basin Summary PM2.5 BAU'!G23/365.25</f>
        <v>-1.8551876808576534E-3</v>
      </c>
      <c r="H23" s="60">
        <f>'Air Basin Summary PM2.5 BAU'!H23/365.25</f>
        <v>-2.031098626148628E-3</v>
      </c>
      <c r="I23" s="60">
        <f>'Air Basin Summary PM2.5 BAU'!I23/365.25</f>
        <v>-2.0048501109332373E-3</v>
      </c>
      <c r="J23" s="60">
        <f>'Air Basin Summary PM2.5 BAU'!J23/365.25</f>
        <v>-1.7681994191467508E-3</v>
      </c>
      <c r="K23" s="60">
        <f>'Air Basin Summary PM2.5 BAU'!K23/365.25</f>
        <v>-1.6708901300673405E-3</v>
      </c>
      <c r="L23" s="60">
        <f>'Air Basin Summary PM2.5 BAU'!L23/365.25</f>
        <v>-1.5583032173592528E-3</v>
      </c>
      <c r="M23" s="60">
        <f>'Air Basin Summary PM2.5 BAU'!M23/365.25</f>
        <v>-1.4395191090881168E-3</v>
      </c>
      <c r="N23" s="60">
        <f>'Air Basin Summary PM2.5 BAU'!N23/365.25</f>
        <v>-1.3225421202409807E-3</v>
      </c>
      <c r="O23" s="60">
        <f>'Air Basin Summary PM2.5 BAU'!O23/365.25</f>
        <v>-1.2095701129679326E-3</v>
      </c>
      <c r="P23" s="60">
        <f>'Air Basin Summary PM2.5 BAU'!P23/365.25</f>
        <v>-1.1093388820573051E-3</v>
      </c>
      <c r="Q23" s="60">
        <f>'Air Basin Summary PM2.5 BAU'!Q23/365.25</f>
        <v>-1.00716117418263E-3</v>
      </c>
      <c r="R23" s="60">
        <f>'Air Basin Summary PM2.5 BAU'!R23/365.25</f>
        <v>-9.1459418816528535E-4</v>
      </c>
      <c r="S23" s="60">
        <f>'Air Basin Summary PM2.5 BAU'!S23/365.25</f>
        <v>-8.2789118478420322E-4</v>
      </c>
      <c r="T23" s="60">
        <f>'Air Basin Summary PM2.5 BAU'!T23/365.25</f>
        <v>-7.5080118543315337E-4</v>
      </c>
      <c r="U23" s="60">
        <f>'Air Basin Summary PM2.5 BAU'!U23/365.25</f>
        <v>-7.2644700733525433E-4</v>
      </c>
      <c r="V23" s="60">
        <f>'Air Basin Summary PM2.5 BAU'!V23/365.25</f>
        <v>-6.969745472556187E-4</v>
      </c>
      <c r="W23" s="60">
        <f>'Air Basin Summary PM2.5 BAU'!W23/365.25</f>
        <v>-6.4558946852420816E-4</v>
      </c>
      <c r="X23" s="60">
        <f>'Air Basin Summary PM2.5 BAU'!X23/365.25</f>
        <v>-5.8093885344816763E-4</v>
      </c>
      <c r="Y23" s="60">
        <f>'Air Basin Summary PM2.5 BAU'!Y23/365.25</f>
        <v>-5.4102193310168786E-4</v>
      </c>
      <c r="Z23" s="60">
        <f>'Air Basin Summary PM2.5 BAU'!Z23/365.25</f>
        <v>-4.9951911792613709E-4</v>
      </c>
      <c r="AA23" s="60">
        <f>'Air Basin Summary PM2.5 BAU'!AA23/365.25</f>
        <v>-4.6174486345447349E-4</v>
      </c>
      <c r="AB23" s="61">
        <f>'Air Basin Summary PM2.5 BAU'!AB23/365.25</f>
        <v>-4.1912551456388993E-4</v>
      </c>
    </row>
    <row r="24" spans="1:56" ht="26.25" customHeight="1">
      <c r="A24" s="520"/>
      <c r="B24" s="53" t="str">
        <f>'Air Basin Summary PM2.5 BAU'!B24</f>
        <v>Lake Tahoe</v>
      </c>
      <c r="C24" s="2" t="s">
        <v>18938</v>
      </c>
      <c r="D24" s="393">
        <f>'Air Basin Summary PM2.5 BAU'!D24/365.25</f>
        <v>0</v>
      </c>
      <c r="E24" s="60">
        <f>'Air Basin Summary PM2.5 BAU'!E24/365.25</f>
        <v>0</v>
      </c>
      <c r="F24" s="60">
        <f>'Air Basin Summary PM2.5 BAU'!F24/365.25</f>
        <v>-4.9281785731291943E-4</v>
      </c>
      <c r="G24" s="60">
        <f>'Air Basin Summary PM2.5 BAU'!G24/365.25</f>
        <v>-1.3292697825804561E-3</v>
      </c>
      <c r="H24" s="60">
        <f>'Air Basin Summary PM2.5 BAU'!H24/365.25</f>
        <v>-1.4660875787537062E-3</v>
      </c>
      <c r="I24" s="60">
        <f>'Air Basin Summary PM2.5 BAU'!I24/365.25</f>
        <v>-1.4615611722853213E-3</v>
      </c>
      <c r="J24" s="60">
        <f>'Air Basin Summary PM2.5 BAU'!J24/365.25</f>
        <v>-1.3037741864921676E-3</v>
      </c>
      <c r="K24" s="60">
        <f>'Air Basin Summary PM2.5 BAU'!K24/365.25</f>
        <v>-1.2485820449509681E-3</v>
      </c>
      <c r="L24" s="60">
        <f>'Air Basin Summary PM2.5 BAU'!L24/365.25</f>
        <v>-1.182853148433782E-3</v>
      </c>
      <c r="M24" s="60">
        <f>'Air Basin Summary PM2.5 BAU'!M24/365.25</f>
        <v>-1.1091502594713491E-3</v>
      </c>
      <c r="N24" s="60">
        <f>'Air Basin Summary PM2.5 BAU'!N24/365.25</f>
        <v>-1.0329721812613953E-3</v>
      </c>
      <c r="O24" s="60">
        <f>'Air Basin Summary PM2.5 BAU'!O24/365.25</f>
        <v>-9.5655076632376792E-4</v>
      </c>
      <c r="P24" s="60">
        <f>'Air Basin Summary PM2.5 BAU'!P24/365.25</f>
        <v>-8.8975638878758233E-4</v>
      </c>
      <c r="Q24" s="60">
        <f>'Air Basin Summary PM2.5 BAU'!Q24/365.25</f>
        <v>-8.2005591277814537E-4</v>
      </c>
      <c r="R24" s="60">
        <f>'Air Basin Summary PM2.5 BAU'!R24/365.25</f>
        <v>-7.557835893704434E-4</v>
      </c>
      <c r="S24" s="60">
        <f>'Air Basin Summary PM2.5 BAU'!S24/365.25</f>
        <v>-6.95583894655917E-4</v>
      </c>
      <c r="T24" s="60">
        <f>'Air Basin Summary PM2.5 BAU'!T24/365.25</f>
        <v>-6.4196051458859853E-4</v>
      </c>
      <c r="U24" s="60">
        <f>'Air Basin Summary PM2.5 BAU'!U24/365.25</f>
        <v>-6.3209190797268282E-4</v>
      </c>
      <c r="V24" s="60">
        <f>'Air Basin Summary PM2.5 BAU'!V24/365.25</f>
        <v>-6.1692411761498527E-4</v>
      </c>
      <c r="W24" s="60">
        <f>'Air Basin Summary PM2.5 BAU'!W24/365.25</f>
        <v>-5.8087241323991393E-4</v>
      </c>
      <c r="X24" s="60">
        <f>'Air Basin Summary PM2.5 BAU'!X24/365.25</f>
        <v>-5.3217549721832681E-4</v>
      </c>
      <c r="Y24" s="60">
        <f>'Air Basin Summary PM2.5 BAU'!Y24/365.25</f>
        <v>-5.0390639083451561E-4</v>
      </c>
      <c r="Z24" s="60">
        <f>'Air Basin Summary PM2.5 BAU'!Z24/365.25</f>
        <v>-4.7320299473454705E-4</v>
      </c>
      <c r="AA24" s="60">
        <f>'Air Basin Summary PM2.5 BAU'!AA24/365.25</f>
        <v>-4.4508932439505885E-4</v>
      </c>
      <c r="AB24" s="61">
        <f>'Air Basin Summary PM2.5 BAU'!AB24/365.25</f>
        <v>-4.1134055879549322E-4</v>
      </c>
    </row>
    <row r="25" spans="1:56" ht="26.25" customHeight="1">
      <c r="A25" s="520"/>
      <c r="B25" s="53" t="str">
        <f>'Air Basin Summary PM2.5 BAU'!B25</f>
        <v>Mojave</v>
      </c>
      <c r="C25" s="2" t="s">
        <v>18938</v>
      </c>
      <c r="D25" s="393">
        <f>'Air Basin Summary PM2.5 BAU'!D25/365.25</f>
        <v>0</v>
      </c>
      <c r="E25" s="60">
        <f>'Air Basin Summary PM2.5 BAU'!E25/365.25</f>
        <v>0</v>
      </c>
      <c r="F25" s="60">
        <f>'Air Basin Summary PM2.5 BAU'!F25/365.25</f>
        <v>-2.3592033244986384E-2</v>
      </c>
      <c r="G25" s="60">
        <f>'Air Basin Summary PM2.5 BAU'!G25/365.25</f>
        <v>-6.6407003289693137E-2</v>
      </c>
      <c r="H25" s="60">
        <f>'Air Basin Summary PM2.5 BAU'!H25/365.25</f>
        <v>-7.7258005639131586E-2</v>
      </c>
      <c r="I25" s="60">
        <f>'Air Basin Summary PM2.5 BAU'!I25/365.25</f>
        <v>-8.145805395344137E-2</v>
      </c>
      <c r="J25" s="60">
        <f>'Air Basin Summary PM2.5 BAU'!J25/365.25</f>
        <v>-7.6659107472075425E-2</v>
      </c>
      <c r="K25" s="60">
        <f>'Air Basin Summary PM2.5 BAU'!K25/365.25</f>
        <v>-7.7614909953649697E-2</v>
      </c>
      <c r="L25" s="60">
        <f>'Air Basin Summary PM2.5 BAU'!L25/365.25</f>
        <v>-7.7477212670942153E-2</v>
      </c>
      <c r="M25" s="60">
        <f>'Air Basin Summary PM2.5 BAU'!M25/365.25</f>
        <v>-7.555537805656154E-2</v>
      </c>
      <c r="N25" s="60">
        <f>'Air Basin Summary PM2.5 BAU'!N25/365.25</f>
        <v>-7.2972591274799062E-2</v>
      </c>
      <c r="O25" s="60">
        <f>'Air Basin Summary PM2.5 BAU'!O25/365.25</f>
        <v>-7.0074431015533331E-2</v>
      </c>
      <c r="P25" s="60">
        <f>'Air Basin Summary PM2.5 BAU'!P25/365.25</f>
        <v>-6.6968324825614794E-2</v>
      </c>
      <c r="Q25" s="60">
        <f>'Air Basin Summary PM2.5 BAU'!Q25/365.25</f>
        <v>-6.4407817010437934E-2</v>
      </c>
      <c r="R25" s="60">
        <f>'Air Basin Summary PM2.5 BAU'!R25/365.25</f>
        <v>-5.9265738919586003E-2</v>
      </c>
      <c r="S25" s="60">
        <f>'Air Basin Summary PM2.5 BAU'!S25/365.25</f>
        <v>-5.5424301178848466E-2</v>
      </c>
      <c r="T25" s="60">
        <f>'Air Basin Summary PM2.5 BAU'!T25/365.25</f>
        <v>-5.216807198618207E-2</v>
      </c>
      <c r="U25" s="60">
        <f>'Air Basin Summary PM2.5 BAU'!U25/365.25</f>
        <v>-5.2220310624318686E-2</v>
      </c>
      <c r="V25" s="60">
        <f>'Air Basin Summary PM2.5 BAU'!V25/365.25</f>
        <v>-5.1999422252352094E-2</v>
      </c>
      <c r="W25" s="60">
        <f>'Air Basin Summary PM2.5 BAU'!W25/365.25</f>
        <v>-4.9753379445368978E-2</v>
      </c>
      <c r="X25" s="60">
        <f>'Air Basin Summary PM2.5 BAU'!X25/365.25</f>
        <v>-4.6184841872793966E-2</v>
      </c>
      <c r="Y25" s="60">
        <f>'Air Basin Summary PM2.5 BAU'!Y25/365.25</f>
        <v>-4.3995998588035032E-2</v>
      </c>
      <c r="Z25" s="60">
        <f>'Air Basin Summary PM2.5 BAU'!Z25/365.25</f>
        <v>-4.1627273064224729E-2</v>
      </c>
      <c r="AA25" s="60">
        <f>'Air Basin Summary PM2.5 BAU'!AA25/365.25</f>
        <v>-4.044505843442834E-2</v>
      </c>
      <c r="AB25" s="61">
        <f>'Air Basin Summary PM2.5 BAU'!AB25/365.25</f>
        <v>-3.8604581110442772E-2</v>
      </c>
    </row>
    <row r="26" spans="1:56" ht="26.25" customHeight="1">
      <c r="A26" s="520"/>
      <c r="B26" s="53" t="str">
        <f>'Air Basin Summary PM2.5 BAU'!B26</f>
        <v>Mountain Counties</v>
      </c>
      <c r="C26" s="2" t="s">
        <v>18938</v>
      </c>
      <c r="D26" s="393">
        <f>'Air Basin Summary PM2.5 BAU'!D26/365.25</f>
        <v>0</v>
      </c>
      <c r="E26" s="60">
        <f>'Air Basin Summary PM2.5 BAU'!E26/365.25</f>
        <v>0</v>
      </c>
      <c r="F26" s="60">
        <f>'Air Basin Summary PM2.5 BAU'!F26/365.25</f>
        <v>-6.5712082406735742E-3</v>
      </c>
      <c r="G26" s="60">
        <f>'Air Basin Summary PM2.5 BAU'!G26/365.25</f>
        <v>-1.7959858737225044E-2</v>
      </c>
      <c r="H26" s="60">
        <f>'Air Basin Summary PM2.5 BAU'!H26/365.25</f>
        <v>-2.0071613955483573E-2</v>
      </c>
      <c r="I26" s="60">
        <f>'Air Basin Summary PM2.5 BAU'!I26/365.25</f>
        <v>-2.0330017804270333E-2</v>
      </c>
      <c r="J26" s="60">
        <f>'Air Basin Summary PM2.5 BAU'!J26/365.25</f>
        <v>-1.8445981185499168E-2</v>
      </c>
      <c r="K26" s="60">
        <f>'Air Basin Summary PM2.5 BAU'!K26/365.25</f>
        <v>-1.7989754404329435E-2</v>
      </c>
      <c r="L26" s="60">
        <f>'Air Basin Summary PM2.5 BAU'!L26/365.25</f>
        <v>-1.7324671227958895E-2</v>
      </c>
      <c r="M26" s="60">
        <f>'Air Basin Summary PM2.5 BAU'!M26/365.25</f>
        <v>-1.6444090980601143E-2</v>
      </c>
      <c r="N26" s="60">
        <f>'Air Basin Summary PM2.5 BAU'!N26/365.25</f>
        <v>-1.5355910646927104E-2</v>
      </c>
      <c r="O26" s="60">
        <f>'Air Basin Summary PM2.5 BAU'!O26/365.25</f>
        <v>-1.4351584582188312E-2</v>
      </c>
      <c r="P26" s="60">
        <f>'Air Basin Summary PM2.5 BAU'!P26/365.25</f>
        <v>-1.3345985434414783E-2</v>
      </c>
      <c r="Q26" s="60">
        <f>'Air Basin Summary PM2.5 BAU'!Q26/365.25</f>
        <v>-1.2553921514851737E-2</v>
      </c>
      <c r="R26" s="60">
        <f>'Air Basin Summary PM2.5 BAU'!R26/365.25</f>
        <v>-1.148299344787106E-2</v>
      </c>
      <c r="S26" s="60">
        <f>'Air Basin Summary PM2.5 BAU'!S26/365.25</f>
        <v>-1.0554623723032628E-2</v>
      </c>
      <c r="T26" s="60">
        <f>'Air Basin Summary PM2.5 BAU'!T26/365.25</f>
        <v>-9.8875045348757584E-3</v>
      </c>
      <c r="U26" s="60">
        <f>'Air Basin Summary PM2.5 BAU'!U26/365.25</f>
        <v>-9.7424228081417173E-3</v>
      </c>
      <c r="V26" s="60">
        <f>'Air Basin Summary PM2.5 BAU'!V26/365.25</f>
        <v>-9.4710085236224262E-3</v>
      </c>
      <c r="W26" s="60">
        <f>'Air Basin Summary PM2.5 BAU'!W26/365.25</f>
        <v>-9.0135532476066614E-3</v>
      </c>
      <c r="X26" s="60">
        <f>'Air Basin Summary PM2.5 BAU'!X26/365.25</f>
        <v>-8.2475323239024293E-3</v>
      </c>
      <c r="Y26" s="60">
        <f>'Air Basin Summary PM2.5 BAU'!Y26/365.25</f>
        <v>-7.8014405370443038E-3</v>
      </c>
      <c r="Z26" s="60">
        <f>'Air Basin Summary PM2.5 BAU'!Z26/365.25</f>
        <v>-7.3678063740857868E-3</v>
      </c>
      <c r="AA26" s="60">
        <f>'Air Basin Summary PM2.5 BAU'!AA26/365.25</f>
        <v>-7.0673195766653481E-3</v>
      </c>
      <c r="AB26" s="61">
        <f>'Air Basin Summary PM2.5 BAU'!AB26/365.25</f>
        <v>-6.6200436351103948E-3</v>
      </c>
    </row>
    <row r="27" spans="1:56" ht="26.25" customHeight="1">
      <c r="A27" s="520"/>
      <c r="B27" s="53" t="str">
        <f>'Air Basin Summary PM2.5 BAU'!B27</f>
        <v>North Central Coast</v>
      </c>
      <c r="C27" s="2" t="s">
        <v>18938</v>
      </c>
      <c r="D27" s="393">
        <f>'Air Basin Summary PM2.5 BAU'!D27/365.25</f>
        <v>0</v>
      </c>
      <c r="E27" s="60">
        <f>'Air Basin Summary PM2.5 BAU'!E27/365.25</f>
        <v>0</v>
      </c>
      <c r="F27" s="60">
        <f>'Air Basin Summary PM2.5 BAU'!F27/365.25</f>
        <v>-5.0443919501254961E-3</v>
      </c>
      <c r="G27" s="60">
        <f>'Air Basin Summary PM2.5 BAU'!G27/365.25</f>
        <v>-1.3756293139190676E-2</v>
      </c>
      <c r="H27" s="60">
        <f>'Air Basin Summary PM2.5 BAU'!H27/365.25</f>
        <v>-1.5308112962287611E-2</v>
      </c>
      <c r="I27" s="60">
        <f>'Air Basin Summary PM2.5 BAU'!I27/365.25</f>
        <v>-1.542022562395739E-2</v>
      </c>
      <c r="J27" s="60">
        <f>'Air Basin Summary PM2.5 BAU'!J27/365.25</f>
        <v>-1.3880849363726615E-2</v>
      </c>
      <c r="K27" s="60">
        <f>'Air Basin Summary PM2.5 BAU'!K27/365.25</f>
        <v>-1.3398391120864798E-2</v>
      </c>
      <c r="L27" s="60">
        <f>'Air Basin Summary PM2.5 BAU'!L27/365.25</f>
        <v>-1.2788343212629521E-2</v>
      </c>
      <c r="M27" s="60">
        <f>'Air Basin Summary PM2.5 BAU'!M27/365.25</f>
        <v>-1.2092437210328865E-2</v>
      </c>
      <c r="N27" s="60">
        <f>'Air Basin Summary PM2.5 BAU'!N27/365.25</f>
        <v>-1.1368614741245536E-2</v>
      </c>
      <c r="O27" s="60">
        <f>'Air Basin Summary PM2.5 BAU'!O27/365.25</f>
        <v>-1.0638179104886555E-2</v>
      </c>
      <c r="P27" s="60">
        <f>'Air Basin Summary PM2.5 BAU'!P27/365.25</f>
        <v>-9.9952435465080099E-3</v>
      </c>
      <c r="Q27" s="60">
        <f>'Air Basin Summary PM2.5 BAU'!Q27/365.25</f>
        <v>-9.3089151884578909E-3</v>
      </c>
      <c r="R27" s="60">
        <f>'Air Basin Summary PM2.5 BAU'!R27/365.25</f>
        <v>-8.6806872234385154E-3</v>
      </c>
      <c r="S27" s="60">
        <f>'Air Basin Summary PM2.5 BAU'!S27/365.25</f>
        <v>-8.0776163734987815E-3</v>
      </c>
      <c r="T27" s="60">
        <f>'Air Basin Summary PM2.5 BAU'!T27/365.25</f>
        <v>-7.5303921518854776E-3</v>
      </c>
      <c r="U27" s="60">
        <f>'Air Basin Summary PM2.5 BAU'!U27/365.25</f>
        <v>-7.4872025608017541E-3</v>
      </c>
      <c r="V27" s="60">
        <f>'Air Basin Summary PM2.5 BAU'!V27/365.25</f>
        <v>-7.3880582354127651E-3</v>
      </c>
      <c r="W27" s="60">
        <f>'Air Basin Summary PM2.5 BAU'!W27/365.25</f>
        <v>-7.0358027987210987E-3</v>
      </c>
      <c r="X27" s="60">
        <f>'Air Basin Summary PM2.5 BAU'!X27/365.25</f>
        <v>-6.5184432500214416E-3</v>
      </c>
      <c r="Y27" s="60">
        <f>'Air Basin Summary PM2.5 BAU'!Y27/365.25</f>
        <v>-6.2437904543099334E-3</v>
      </c>
      <c r="Z27" s="60">
        <f>'Air Basin Summary PM2.5 BAU'!Z27/365.25</f>
        <v>-5.9350765501532867E-3</v>
      </c>
      <c r="AA27" s="60">
        <f>'Air Basin Summary PM2.5 BAU'!AA27/365.25</f>
        <v>-5.6457127367474848E-3</v>
      </c>
      <c r="AB27" s="61">
        <f>'Air Basin Summary PM2.5 BAU'!AB27/365.25</f>
        <v>-5.2739701611627726E-3</v>
      </c>
    </row>
    <row r="28" spans="1:56" ht="26.25" customHeight="1">
      <c r="A28" s="520"/>
      <c r="B28" s="53" t="str">
        <f>'Air Basin Summary PM2.5 BAU'!B28</f>
        <v>North Coast</v>
      </c>
      <c r="C28" s="2" t="s">
        <v>18938</v>
      </c>
      <c r="D28" s="393">
        <f>'Air Basin Summary PM2.5 BAU'!D28/365.25</f>
        <v>0</v>
      </c>
      <c r="E28" s="60">
        <f>'Air Basin Summary PM2.5 BAU'!E28/365.25</f>
        <v>0</v>
      </c>
      <c r="F28" s="60">
        <f>'Air Basin Summary PM2.5 BAU'!F28/365.25</f>
        <v>-6.4853501750957911E-3</v>
      </c>
      <c r="G28" s="60">
        <f>'Air Basin Summary PM2.5 BAU'!G28/365.25</f>
        <v>-1.7644831513819181E-2</v>
      </c>
      <c r="H28" s="60">
        <f>'Air Basin Summary PM2.5 BAU'!H28/365.25</f>
        <v>-1.9485337710081489E-2</v>
      </c>
      <c r="I28" s="60">
        <f>'Air Basin Summary PM2.5 BAU'!I28/365.25</f>
        <v>-1.9508241591472054E-2</v>
      </c>
      <c r="J28" s="60">
        <f>'Air Basin Summary PM2.5 BAU'!J28/365.25</f>
        <v>-1.7414701537489946E-2</v>
      </c>
      <c r="K28" s="60">
        <f>'Air Basin Summary PM2.5 BAU'!K28/365.25</f>
        <v>-1.6672356108825882E-2</v>
      </c>
      <c r="L28" s="60">
        <f>'Air Basin Summary PM2.5 BAU'!L28/365.25</f>
        <v>-1.5732209332462201E-2</v>
      </c>
      <c r="M28" s="60">
        <f>'Air Basin Summary PM2.5 BAU'!M28/365.25</f>
        <v>-1.4715610914257398E-2</v>
      </c>
      <c r="N28" s="60">
        <f>'Air Basin Summary PM2.5 BAU'!N28/365.25</f>
        <v>-1.3620055763790068E-2</v>
      </c>
      <c r="O28" s="60">
        <f>'Air Basin Summary PM2.5 BAU'!O28/365.25</f>
        <v>-1.2578693619021425E-2</v>
      </c>
      <c r="P28" s="60">
        <f>'Air Basin Summary PM2.5 BAU'!P28/365.25</f>
        <v>-1.1672545926520636E-2</v>
      </c>
      <c r="Q28" s="60">
        <f>'Air Basin Summary PM2.5 BAU'!Q28/365.25</f>
        <v>-1.074413926911983E-2</v>
      </c>
      <c r="R28" s="60">
        <f>'Air Basin Summary PM2.5 BAU'!R28/365.25</f>
        <v>-9.9227804663677855E-3</v>
      </c>
      <c r="S28" s="60">
        <f>'Air Basin Summary PM2.5 BAU'!S28/365.25</f>
        <v>-9.0748400107664943E-3</v>
      </c>
      <c r="T28" s="60">
        <f>'Air Basin Summary PM2.5 BAU'!T28/365.25</f>
        <v>-8.3175223667827838E-3</v>
      </c>
      <c r="U28" s="60">
        <f>'Air Basin Summary PM2.5 BAU'!U28/365.25</f>
        <v>-8.1707108394907645E-3</v>
      </c>
      <c r="V28" s="60">
        <f>'Air Basin Summary PM2.5 BAU'!V28/365.25</f>
        <v>-7.905033306932702E-3</v>
      </c>
      <c r="W28" s="60">
        <f>'Air Basin Summary PM2.5 BAU'!W28/365.25</f>
        <v>-7.4043054012989063E-3</v>
      </c>
      <c r="X28" s="60">
        <f>'Air Basin Summary PM2.5 BAU'!X28/365.25</f>
        <v>-6.7515251473398872E-3</v>
      </c>
      <c r="Y28" s="60">
        <f>'Air Basin Summary PM2.5 BAU'!Y28/365.25</f>
        <v>-6.324384459585268E-3</v>
      </c>
      <c r="Z28" s="60">
        <f>'Air Basin Summary PM2.5 BAU'!Z28/365.25</f>
        <v>-5.9150096877545145E-3</v>
      </c>
      <c r="AA28" s="60">
        <f>'Air Basin Summary PM2.5 BAU'!AA28/365.25</f>
        <v>-5.5387695306918939E-3</v>
      </c>
      <c r="AB28" s="61">
        <f>'Air Basin Summary PM2.5 BAU'!AB28/365.25</f>
        <v>-5.1047866477141159E-3</v>
      </c>
    </row>
    <row r="29" spans="1:56" ht="26.25" customHeight="1">
      <c r="A29" s="520"/>
      <c r="B29" s="53" t="str">
        <f>'Air Basin Summary PM2.5 BAU'!B29</f>
        <v>Northeast Plateau</v>
      </c>
      <c r="C29" s="2" t="s">
        <v>18938</v>
      </c>
      <c r="D29" s="393">
        <f>'Air Basin Summary PM2.5 BAU'!D29/365.25</f>
        <v>0</v>
      </c>
      <c r="E29" s="60">
        <f>'Air Basin Summary PM2.5 BAU'!E29/365.25</f>
        <v>0</v>
      </c>
      <c r="F29" s="60">
        <f>'Air Basin Summary PM2.5 BAU'!F29/365.25</f>
        <v>-4.5350626291097264E-3</v>
      </c>
      <c r="G29" s="60">
        <f>'Air Basin Summary PM2.5 BAU'!G29/365.25</f>
        <v>-1.2477247643996835E-2</v>
      </c>
      <c r="H29" s="60">
        <f>'Air Basin Summary PM2.5 BAU'!H29/365.25</f>
        <v>-1.4003966079826147E-2</v>
      </c>
      <c r="I29" s="60">
        <f>'Air Basin Summary PM2.5 BAU'!I29/365.25</f>
        <v>-1.4349060931577378E-2</v>
      </c>
      <c r="J29" s="60">
        <f>'Air Basin Summary PM2.5 BAU'!J29/365.25</f>
        <v>-1.3064050279663893E-2</v>
      </c>
      <c r="K29" s="60">
        <f>'Air Basin Summary PM2.5 BAU'!K29/365.25</f>
        <v>-1.2743910220698176E-2</v>
      </c>
      <c r="L29" s="60">
        <f>'Air Basin Summary PM2.5 BAU'!L29/365.25</f>
        <v>-1.2407426426209961E-2</v>
      </c>
      <c r="M29" s="60">
        <f>'Air Basin Summary PM2.5 BAU'!M29/365.25</f>
        <v>-1.1712367250568283E-2</v>
      </c>
      <c r="N29" s="60">
        <f>'Air Basin Summary PM2.5 BAU'!N29/365.25</f>
        <v>-1.1037663465227741E-2</v>
      </c>
      <c r="O29" s="60">
        <f>'Air Basin Summary PM2.5 BAU'!O29/365.25</f>
        <v>-1.0374046763351751E-2</v>
      </c>
      <c r="P29" s="60">
        <f>'Air Basin Summary PM2.5 BAU'!P29/365.25</f>
        <v>-9.6647348797453143E-3</v>
      </c>
      <c r="Q29" s="60">
        <f>'Air Basin Summary PM2.5 BAU'!Q29/365.25</f>
        <v>-8.9879783310678404E-3</v>
      </c>
      <c r="R29" s="60">
        <f>'Air Basin Summary PM2.5 BAU'!R29/365.25</f>
        <v>-8.183967443050482E-3</v>
      </c>
      <c r="S29" s="60">
        <f>'Air Basin Summary PM2.5 BAU'!S29/365.25</f>
        <v>-7.4515907055668516E-3</v>
      </c>
      <c r="T29" s="60">
        <f>'Air Basin Summary PM2.5 BAU'!T29/365.25</f>
        <v>-6.8996607404993946E-3</v>
      </c>
      <c r="U29" s="60">
        <f>'Air Basin Summary PM2.5 BAU'!U29/365.25</f>
        <v>-6.7694880458820912E-3</v>
      </c>
      <c r="V29" s="60">
        <f>'Air Basin Summary PM2.5 BAU'!V29/365.25</f>
        <v>-6.6118178715756631E-3</v>
      </c>
      <c r="W29" s="60">
        <f>'Air Basin Summary PM2.5 BAU'!W29/365.25</f>
        <v>-6.1184574354387847E-3</v>
      </c>
      <c r="X29" s="60">
        <f>'Air Basin Summary PM2.5 BAU'!X29/365.25</f>
        <v>-5.5491217009407444E-3</v>
      </c>
      <c r="Y29" s="60">
        <f>'Air Basin Summary PM2.5 BAU'!Y29/365.25</f>
        <v>-5.1929294629720641E-3</v>
      </c>
      <c r="Z29" s="60">
        <f>'Air Basin Summary PM2.5 BAU'!Z29/365.25</f>
        <v>-4.7602848854454956E-3</v>
      </c>
      <c r="AA29" s="60">
        <f>'Air Basin Summary PM2.5 BAU'!AA29/365.25</f>
        <v>-4.5585126365626123E-3</v>
      </c>
      <c r="AB29" s="61">
        <f>'Air Basin Summary PM2.5 BAU'!AB29/365.25</f>
        <v>-4.1932807998584605E-3</v>
      </c>
    </row>
    <row r="30" spans="1:56" ht="26.25" customHeight="1">
      <c r="A30" s="520"/>
      <c r="B30" s="53" t="str">
        <f>'Air Basin Summary PM2.5 BAU'!B30</f>
        <v>Sacramento</v>
      </c>
      <c r="C30" s="2" t="s">
        <v>18938</v>
      </c>
      <c r="D30" s="393">
        <f>'Air Basin Summary PM2.5 BAU'!D30/365.25</f>
        <v>0</v>
      </c>
      <c r="E30" s="60">
        <f>'Air Basin Summary PM2.5 BAU'!E30/365.25</f>
        <v>0</v>
      </c>
      <c r="F30" s="60">
        <f>'Air Basin Summary PM2.5 BAU'!F30/365.25</f>
        <v>-2.7519539779897999E-2</v>
      </c>
      <c r="G30" s="60">
        <f>'Air Basin Summary PM2.5 BAU'!G30/365.25</f>
        <v>-7.4721453754803588E-2</v>
      </c>
      <c r="H30" s="60">
        <f>'Air Basin Summary PM2.5 BAU'!H30/365.25</f>
        <v>-8.3498758689288646E-2</v>
      </c>
      <c r="I30" s="60">
        <f>'Air Basin Summary PM2.5 BAU'!I30/365.25</f>
        <v>-8.4534429272223072E-2</v>
      </c>
      <c r="J30" s="60">
        <f>'Air Basin Summary PM2.5 BAU'!J30/365.25</f>
        <v>-7.6555139690125187E-2</v>
      </c>
      <c r="K30" s="60">
        <f>'Air Basin Summary PM2.5 BAU'!K30/365.25</f>
        <v>-7.4392467364030462E-2</v>
      </c>
      <c r="L30" s="60">
        <f>'Air Basin Summary PM2.5 BAU'!L30/365.25</f>
        <v>-7.1290036205814741E-2</v>
      </c>
      <c r="M30" s="60">
        <f>'Air Basin Summary PM2.5 BAU'!M30/365.25</f>
        <v>-6.7613085509389881E-2</v>
      </c>
      <c r="N30" s="60">
        <f>'Air Basin Summary PM2.5 BAU'!N30/365.25</f>
        <v>-6.3678839646857929E-2</v>
      </c>
      <c r="O30" s="60">
        <f>'Air Basin Summary PM2.5 BAU'!O30/365.25</f>
        <v>-5.9869596386673794E-2</v>
      </c>
      <c r="P30" s="60">
        <f>'Air Basin Summary PM2.5 BAU'!P30/365.25</f>
        <v>-5.6338812269882355E-2</v>
      </c>
      <c r="Q30" s="60">
        <f>'Air Basin Summary PM2.5 BAU'!Q30/365.25</f>
        <v>-5.260012787328544E-2</v>
      </c>
      <c r="R30" s="60">
        <f>'Air Basin Summary PM2.5 BAU'!R30/365.25</f>
        <v>-4.8762140557608288E-2</v>
      </c>
      <c r="S30" s="60">
        <f>'Air Basin Summary PM2.5 BAU'!S30/365.25</f>
        <v>-4.5381549332834427E-2</v>
      </c>
      <c r="T30" s="60">
        <f>'Air Basin Summary PM2.5 BAU'!T30/365.25</f>
        <v>-4.232311568341092E-2</v>
      </c>
      <c r="U30" s="60">
        <f>'Air Basin Summary PM2.5 BAU'!U30/365.25</f>
        <v>-4.2169341223115039E-2</v>
      </c>
      <c r="V30" s="60">
        <f>'Air Basin Summary PM2.5 BAU'!V30/365.25</f>
        <v>-4.1572724476657705E-2</v>
      </c>
      <c r="W30" s="60">
        <f>'Air Basin Summary PM2.5 BAU'!W30/365.25</f>
        <v>-3.9558918108914772E-2</v>
      </c>
      <c r="X30" s="60">
        <f>'Air Basin Summary PM2.5 BAU'!X30/365.25</f>
        <v>-3.6733295151376029E-2</v>
      </c>
      <c r="Y30" s="60">
        <f>'Air Basin Summary PM2.5 BAU'!Y30/365.25</f>
        <v>-3.5170132089975721E-2</v>
      </c>
      <c r="Z30" s="60">
        <f>'Air Basin Summary PM2.5 BAU'!Z30/365.25</f>
        <v>-3.3418416651868232E-2</v>
      </c>
      <c r="AA30" s="60">
        <f>'Air Basin Summary PM2.5 BAU'!AA30/365.25</f>
        <v>-3.2022041098282106E-2</v>
      </c>
      <c r="AB30" s="61">
        <f>'Air Basin Summary PM2.5 BAU'!AB30/365.25</f>
        <v>-3.0155526965243627E-2</v>
      </c>
    </row>
    <row r="31" spans="1:56" ht="26.25" customHeight="1">
      <c r="A31" s="520"/>
      <c r="B31" s="53" t="str">
        <f>'Air Basin Summary PM2.5 BAU'!B31</f>
        <v>Salton Sea</v>
      </c>
      <c r="C31" s="2" t="s">
        <v>18938</v>
      </c>
      <c r="D31" s="393">
        <f>'Air Basin Summary PM2.5 BAU'!D31/365.25</f>
        <v>0</v>
      </c>
      <c r="E31" s="60">
        <f>'Air Basin Summary PM2.5 BAU'!E31/365.25</f>
        <v>0</v>
      </c>
      <c r="F31" s="60">
        <f>'Air Basin Summary PM2.5 BAU'!F31/365.25</f>
        <v>-1.0782645967290082E-2</v>
      </c>
      <c r="G31" s="60">
        <f>'Air Basin Summary PM2.5 BAU'!G31/365.25</f>
        <v>-2.9893323109506559E-2</v>
      </c>
      <c r="H31" s="60">
        <f>'Air Basin Summary PM2.5 BAU'!H31/365.25</f>
        <v>-3.4491213608231146E-2</v>
      </c>
      <c r="I31" s="60">
        <f>'Air Basin Summary PM2.5 BAU'!I31/365.25</f>
        <v>-3.5852326422193853E-2</v>
      </c>
      <c r="J31" s="60">
        <f>'Air Basin Summary PM2.5 BAU'!J31/365.25</f>
        <v>-3.3641559826688157E-2</v>
      </c>
      <c r="K31" s="60">
        <f>'Air Basin Summary PM2.5 BAU'!K31/365.25</f>
        <v>-3.387505717836467E-2</v>
      </c>
      <c r="L31" s="60">
        <f>'Air Basin Summary PM2.5 BAU'!L31/365.25</f>
        <v>-3.37078469264359E-2</v>
      </c>
      <c r="M31" s="60">
        <f>'Air Basin Summary PM2.5 BAU'!M31/365.25</f>
        <v>-3.2839421744687604E-2</v>
      </c>
      <c r="N31" s="60">
        <f>'Air Basin Summary PM2.5 BAU'!N31/365.25</f>
        <v>-3.1818241812705809E-2</v>
      </c>
      <c r="O31" s="60">
        <f>'Air Basin Summary PM2.5 BAU'!O31/365.25</f>
        <v>-3.064432563891999E-2</v>
      </c>
      <c r="P31" s="60">
        <f>'Air Basin Summary PM2.5 BAU'!P31/365.25</f>
        <v>-2.9416566301688478E-2</v>
      </c>
      <c r="Q31" s="60">
        <f>'Air Basin Summary PM2.5 BAU'!Q31/365.25</f>
        <v>-2.8319785966298031E-2</v>
      </c>
      <c r="R31" s="60">
        <f>'Air Basin Summary PM2.5 BAU'!R31/365.25</f>
        <v>-2.6408293817530903E-2</v>
      </c>
      <c r="S31" s="60">
        <f>'Air Basin Summary PM2.5 BAU'!S31/365.25</f>
        <v>-2.4976616393705159E-2</v>
      </c>
      <c r="T31" s="60">
        <f>'Air Basin Summary PM2.5 BAU'!T31/365.25</f>
        <v>-2.3831270837937815E-2</v>
      </c>
      <c r="U31" s="60">
        <f>'Air Basin Summary PM2.5 BAU'!U31/365.25</f>
        <v>-2.405445928520521E-2</v>
      </c>
      <c r="V31" s="60">
        <f>'Air Basin Summary PM2.5 BAU'!V31/365.25</f>
        <v>-2.4180820456272251E-2</v>
      </c>
      <c r="W31" s="60">
        <f>'Air Basin Summary PM2.5 BAU'!W31/365.25</f>
        <v>-2.3429489423274771E-2</v>
      </c>
      <c r="X31" s="60">
        <f>'Air Basin Summary PM2.5 BAU'!X31/365.25</f>
        <v>-2.1972008459165634E-2</v>
      </c>
      <c r="Y31" s="60">
        <f>'Air Basin Summary PM2.5 BAU'!Y31/365.25</f>
        <v>-2.1238539565785478E-2</v>
      </c>
      <c r="Z31" s="60">
        <f>'Air Basin Summary PM2.5 BAU'!Z31/365.25</f>
        <v>-2.0415089586223342E-2</v>
      </c>
      <c r="AA31" s="60">
        <f>'Air Basin Summary PM2.5 BAU'!AA31/365.25</f>
        <v>-1.9971533105705135E-2</v>
      </c>
      <c r="AB31" s="61">
        <f>'Air Basin Summary PM2.5 BAU'!AB31/365.25</f>
        <v>-1.9175011048846103E-2</v>
      </c>
    </row>
    <row r="32" spans="1:56" ht="26.25" customHeight="1">
      <c r="A32" s="520"/>
      <c r="B32" s="53" t="str">
        <f>'Air Basin Summary PM2.5 BAU'!B32</f>
        <v>San Diego</v>
      </c>
      <c r="C32" s="2" t="s">
        <v>18938</v>
      </c>
      <c r="D32" s="393">
        <f>'Air Basin Summary PM2.5 BAU'!D32/365.25</f>
        <v>0</v>
      </c>
      <c r="E32" s="60">
        <f>'Air Basin Summary PM2.5 BAU'!E32/365.25</f>
        <v>0</v>
      </c>
      <c r="F32" s="60">
        <f>'Air Basin Summary PM2.5 BAU'!F32/365.25</f>
        <v>-1.3175797021393621E-2</v>
      </c>
      <c r="G32" s="60">
        <f>'Air Basin Summary PM2.5 BAU'!G32/365.25</f>
        <v>-3.6123110154371245E-2</v>
      </c>
      <c r="H32" s="60">
        <f>'Air Basin Summary PM2.5 BAU'!H32/365.25</f>
        <v>-4.0788159608794006E-2</v>
      </c>
      <c r="I32" s="60">
        <f>'Air Basin Summary PM2.5 BAU'!I32/365.25</f>
        <v>-4.1546028900408816E-2</v>
      </c>
      <c r="J32" s="60">
        <f>'Air Basin Summary PM2.5 BAU'!J32/365.25</f>
        <v>-3.7970926295972304E-2</v>
      </c>
      <c r="K32" s="60">
        <f>'Air Basin Summary PM2.5 BAU'!K32/365.25</f>
        <v>-3.7240563935034644E-2</v>
      </c>
      <c r="L32" s="60">
        <f>'Air Basin Summary PM2.5 BAU'!L32/365.25</f>
        <v>-3.5651210451623276E-2</v>
      </c>
      <c r="M32" s="60">
        <f>'Air Basin Summary PM2.5 BAU'!M32/365.25</f>
        <v>-3.428367910249866E-2</v>
      </c>
      <c r="N32" s="60">
        <f>'Air Basin Summary PM2.5 BAU'!N32/365.25</f>
        <v>-3.2748436700506922E-2</v>
      </c>
      <c r="O32" s="60">
        <f>'Air Basin Summary PM2.5 BAU'!O32/365.25</f>
        <v>-3.1143978750697243E-2</v>
      </c>
      <c r="P32" s="60">
        <f>'Air Basin Summary PM2.5 BAU'!P32/365.25</f>
        <v>-2.9721864302897177E-2</v>
      </c>
      <c r="Q32" s="60">
        <f>'Air Basin Summary PM2.5 BAU'!Q32/365.25</f>
        <v>-2.8116015271703175E-2</v>
      </c>
      <c r="R32" s="60">
        <f>'Air Basin Summary PM2.5 BAU'!R32/365.25</f>
        <v>-2.6597738131596788E-2</v>
      </c>
      <c r="S32" s="60">
        <f>'Air Basin Summary PM2.5 BAU'!S32/365.25</f>
        <v>-2.5140019274831251E-2</v>
      </c>
      <c r="T32" s="60">
        <f>'Air Basin Summary PM2.5 BAU'!T32/365.25</f>
        <v>-2.3821524419653833E-2</v>
      </c>
      <c r="U32" s="60">
        <f>'Air Basin Summary PM2.5 BAU'!U32/365.25</f>
        <v>-2.410501534215052E-2</v>
      </c>
      <c r="V32" s="60">
        <f>'Air Basin Summary PM2.5 BAU'!V32/365.25</f>
        <v>-2.4205981288308077E-2</v>
      </c>
      <c r="W32" s="60">
        <f>'Air Basin Summary PM2.5 BAU'!W32/365.25</f>
        <v>-2.3434183677966E-2</v>
      </c>
      <c r="X32" s="60">
        <f>'Air Basin Summary PM2.5 BAU'!X32/365.25</f>
        <v>-2.2076847405076639E-2</v>
      </c>
      <c r="Y32" s="60">
        <f>'Air Basin Summary PM2.5 BAU'!Y32/365.25</f>
        <v>-2.149535766853803E-2</v>
      </c>
      <c r="Z32" s="60">
        <f>'Air Basin Summary PM2.5 BAU'!Z32/365.25</f>
        <v>-2.0759127470425437E-2</v>
      </c>
      <c r="AA32" s="60">
        <f>'Air Basin Summary PM2.5 BAU'!AA32/365.25</f>
        <v>-2.0054709788840934E-2</v>
      </c>
      <c r="AB32" s="61">
        <f>'Air Basin Summary PM2.5 BAU'!AB32/365.25</f>
        <v>-1.9028395221452252E-2</v>
      </c>
    </row>
    <row r="33" spans="1:28" ht="26.25" customHeight="1">
      <c r="A33" s="520"/>
      <c r="B33" s="53" t="str">
        <f>'Air Basin Summary PM2.5 BAU'!B33</f>
        <v>San Francisco</v>
      </c>
      <c r="C33" s="2" t="s">
        <v>18938</v>
      </c>
      <c r="D33" s="393">
        <f>'Air Basin Summary PM2.5 BAU'!D33/365.25</f>
        <v>0</v>
      </c>
      <c r="E33" s="60">
        <f>'Air Basin Summary PM2.5 BAU'!E33/365.25</f>
        <v>0</v>
      </c>
      <c r="F33" s="60">
        <f>'Air Basin Summary PM2.5 BAU'!F33/365.25</f>
        <v>-3.58067222818595E-2</v>
      </c>
      <c r="G33" s="60">
        <f>'Air Basin Summary PM2.5 BAU'!G33/365.25</f>
        <v>-0.10014581375836193</v>
      </c>
      <c r="H33" s="60">
        <f>'Air Basin Summary PM2.5 BAU'!H33/365.25</f>
        <v>-0.11478262600351531</v>
      </c>
      <c r="I33" s="60">
        <f>'Air Basin Summary PM2.5 BAU'!I33/365.25</f>
        <v>-0.11795894613593375</v>
      </c>
      <c r="J33" s="60">
        <f>'Air Basin Summary PM2.5 BAU'!J33/365.25</f>
        <v>-0.10897626558666609</v>
      </c>
      <c r="K33" s="60">
        <f>'Air Basin Summary PM2.5 BAU'!K33/365.25</f>
        <v>-0.10803379871253206</v>
      </c>
      <c r="L33" s="60">
        <f>'Air Basin Summary PM2.5 BAU'!L33/365.25</f>
        <v>-0.10593145577288984</v>
      </c>
      <c r="M33" s="60">
        <f>'Air Basin Summary PM2.5 BAU'!M33/365.25</f>
        <v>-0.10257790117118622</v>
      </c>
      <c r="N33" s="60">
        <f>'Air Basin Summary PM2.5 BAU'!N33/365.25</f>
        <v>-9.8969866050233141E-2</v>
      </c>
      <c r="O33" s="60">
        <f>'Air Basin Summary PM2.5 BAU'!O33/365.25</f>
        <v>-9.5130509367035196E-2</v>
      </c>
      <c r="P33" s="60">
        <f>'Air Basin Summary PM2.5 BAU'!P33/365.25</f>
        <v>-9.1774338718688314E-2</v>
      </c>
      <c r="Q33" s="60">
        <f>'Air Basin Summary PM2.5 BAU'!Q33/365.25</f>
        <v>-8.7427581308718194E-2</v>
      </c>
      <c r="R33" s="60">
        <f>'Air Basin Summary PM2.5 BAU'!R33/365.25</f>
        <v>-8.3482964606705623E-2</v>
      </c>
      <c r="S33" s="60">
        <f>'Air Basin Summary PM2.5 BAU'!S33/365.25</f>
        <v>-7.9741851007903791E-2</v>
      </c>
      <c r="T33" s="60">
        <f>'Air Basin Summary PM2.5 BAU'!T33/365.25</f>
        <v>-7.6235198285920208E-2</v>
      </c>
      <c r="U33" s="60">
        <f>'Air Basin Summary PM2.5 BAU'!U33/365.25</f>
        <v>-7.7834191321190141E-2</v>
      </c>
      <c r="V33" s="60">
        <f>'Air Basin Summary PM2.5 BAU'!V33/365.25</f>
        <v>-7.8731287160217073E-2</v>
      </c>
      <c r="W33" s="60">
        <f>'Air Basin Summary PM2.5 BAU'!W33/365.25</f>
        <v>-7.6721785330288381E-2</v>
      </c>
      <c r="X33" s="60">
        <f>'Air Basin Summary PM2.5 BAU'!X33/365.25</f>
        <v>-7.2763751363188328E-2</v>
      </c>
      <c r="Y33" s="60">
        <f>'Air Basin Summary PM2.5 BAU'!Y33/365.25</f>
        <v>-7.1099358713620969E-2</v>
      </c>
      <c r="Z33" s="60">
        <f>'Air Basin Summary PM2.5 BAU'!Z33/365.25</f>
        <v>-6.8956549655965454E-2</v>
      </c>
      <c r="AA33" s="60">
        <f>'Air Basin Summary PM2.5 BAU'!AA33/365.25</f>
        <v>-6.6956329933818531E-2</v>
      </c>
      <c r="AB33" s="61">
        <f>'Air Basin Summary PM2.5 BAU'!AB33/365.25</f>
        <v>-6.3799760876583081E-2</v>
      </c>
    </row>
    <row r="34" spans="1:28" ht="26.25" customHeight="1">
      <c r="A34" s="520"/>
      <c r="B34" s="53" t="str">
        <f>'Air Basin Summary PM2.5 BAU'!B34</f>
        <v>San Joaquin</v>
      </c>
      <c r="C34" s="2" t="s">
        <v>18938</v>
      </c>
      <c r="D34" s="393">
        <f>'Air Basin Summary PM2.5 BAU'!D34/365.25</f>
        <v>0</v>
      </c>
      <c r="E34" s="60">
        <f>'Air Basin Summary PM2.5 BAU'!E34/365.25</f>
        <v>0</v>
      </c>
      <c r="F34" s="60">
        <f>'Air Basin Summary PM2.5 BAU'!F34/365.25</f>
        <v>-6.7321363602847947E-2</v>
      </c>
      <c r="G34" s="60">
        <f>'Air Basin Summary PM2.5 BAU'!G34/365.25</f>
        <v>-0.18323835236446345</v>
      </c>
      <c r="H34" s="60">
        <f>'Air Basin Summary PM2.5 BAU'!H34/365.25</f>
        <v>-0.20536667027857941</v>
      </c>
      <c r="I34" s="60">
        <f>'Air Basin Summary PM2.5 BAU'!I34/365.25</f>
        <v>-0.20747085931745254</v>
      </c>
      <c r="J34" s="60">
        <f>'Air Basin Summary PM2.5 BAU'!J34/365.25</f>
        <v>-0.18859556136928413</v>
      </c>
      <c r="K34" s="60">
        <f>'Air Basin Summary PM2.5 BAU'!K34/365.25</f>
        <v>-0.1837587557497927</v>
      </c>
      <c r="L34" s="60">
        <f>'Air Basin Summary PM2.5 BAU'!L34/365.25</f>
        <v>-0.17691762687832946</v>
      </c>
      <c r="M34" s="60">
        <f>'Air Basin Summary PM2.5 BAU'!M34/365.25</f>
        <v>-0.16847724021729882</v>
      </c>
      <c r="N34" s="60">
        <f>'Air Basin Summary PM2.5 BAU'!N34/365.25</f>
        <v>-0.15958868633798076</v>
      </c>
      <c r="O34" s="60">
        <f>'Air Basin Summary PM2.5 BAU'!O34/365.25</f>
        <v>-0.15049992933309203</v>
      </c>
      <c r="P34" s="60">
        <f>'Air Basin Summary PM2.5 BAU'!P34/365.25</f>
        <v>-0.14224732636218804</v>
      </c>
      <c r="Q34" s="60">
        <f>'Air Basin Summary PM2.5 BAU'!Q34/365.25</f>
        <v>-0.13375812534727066</v>
      </c>
      <c r="R34" s="60">
        <f>'Air Basin Summary PM2.5 BAU'!R34/365.25</f>
        <v>-0.12481820676473425</v>
      </c>
      <c r="S34" s="60">
        <f>'Air Basin Summary PM2.5 BAU'!S34/365.25</f>
        <v>-0.11665910036696797</v>
      </c>
      <c r="T34" s="60">
        <f>'Air Basin Summary PM2.5 BAU'!T34/365.25</f>
        <v>-0.10938692683636077</v>
      </c>
      <c r="U34" s="60">
        <f>'Air Basin Summary PM2.5 BAU'!U34/365.25</f>
        <v>-0.10942430261805366</v>
      </c>
      <c r="V34" s="60">
        <f>'Air Basin Summary PM2.5 BAU'!V34/365.25</f>
        <v>-0.10880846602320852</v>
      </c>
      <c r="W34" s="60">
        <f>'Air Basin Summary PM2.5 BAU'!W34/365.25</f>
        <v>-0.10438734540691165</v>
      </c>
      <c r="X34" s="60">
        <f>'Air Basin Summary PM2.5 BAU'!X34/365.25</f>
        <v>-9.7355912891782567E-2</v>
      </c>
      <c r="Y34" s="60">
        <f>'Air Basin Summary PM2.5 BAU'!Y34/365.25</f>
        <v>-9.3807421451221049E-2</v>
      </c>
      <c r="Z34" s="60">
        <f>'Air Basin Summary PM2.5 BAU'!Z34/365.25</f>
        <v>-8.9659291453755341E-2</v>
      </c>
      <c r="AA34" s="60">
        <f>'Air Basin Summary PM2.5 BAU'!AA34/365.25</f>
        <v>-8.6396432170261259E-2</v>
      </c>
      <c r="AB34" s="61">
        <f>'Air Basin Summary PM2.5 BAU'!AB34/365.25</f>
        <v>-8.173816710260666E-2</v>
      </c>
    </row>
    <row r="35" spans="1:28" ht="26.25" customHeight="1">
      <c r="A35" s="520"/>
      <c r="B35" s="53" t="str">
        <f>'Air Basin Summary PM2.5 BAU'!B35</f>
        <v>South Central Coast</v>
      </c>
      <c r="C35" s="2" t="s">
        <v>18938</v>
      </c>
      <c r="D35" s="393">
        <f>'Air Basin Summary PM2.5 BAU'!D35/365.25</f>
        <v>0</v>
      </c>
      <c r="E35" s="60">
        <f>'Air Basin Summary PM2.5 BAU'!E35/365.25</f>
        <v>0</v>
      </c>
      <c r="F35" s="60">
        <f>'Air Basin Summary PM2.5 BAU'!F35/365.25</f>
        <v>-1.0491228236815123E-2</v>
      </c>
      <c r="G35" s="60">
        <f>'Air Basin Summary PM2.5 BAU'!G35/365.25</f>
        <v>-2.8651909968086177E-2</v>
      </c>
      <c r="H35" s="60">
        <f>'Air Basin Summary PM2.5 BAU'!H35/365.25</f>
        <v>-3.2117646130825607E-2</v>
      </c>
      <c r="I35" s="60">
        <f>'Air Basin Summary PM2.5 BAU'!I35/365.25</f>
        <v>-3.2504044178994329E-2</v>
      </c>
      <c r="J35" s="60">
        <f>'Air Basin Summary PM2.5 BAU'!J35/365.25</f>
        <v>-2.9434411545142317E-2</v>
      </c>
      <c r="K35" s="60">
        <f>'Air Basin Summary PM2.5 BAU'!K35/365.25</f>
        <v>-2.8575435079549637E-2</v>
      </c>
      <c r="L35" s="60">
        <f>'Air Basin Summary PM2.5 BAU'!L35/365.25</f>
        <v>-2.7478507546590175E-2</v>
      </c>
      <c r="M35" s="60">
        <f>'Air Basin Summary PM2.5 BAU'!M35/365.25</f>
        <v>-2.6149844040693947E-2</v>
      </c>
      <c r="N35" s="60">
        <f>'Air Basin Summary PM2.5 BAU'!N35/365.25</f>
        <v>-2.4757508281896507E-2</v>
      </c>
      <c r="O35" s="60">
        <f>'Air Basin Summary PM2.5 BAU'!O35/365.25</f>
        <v>-2.3292025261013555E-2</v>
      </c>
      <c r="P35" s="60">
        <f>'Air Basin Summary PM2.5 BAU'!P35/365.25</f>
        <v>-2.2036011811678573E-2</v>
      </c>
      <c r="Q35" s="60">
        <f>'Air Basin Summary PM2.5 BAU'!Q35/365.25</f>
        <v>-2.0666456580171039E-2</v>
      </c>
      <c r="R35" s="60">
        <f>'Air Basin Summary PM2.5 BAU'!R35/365.25</f>
        <v>-1.9329239371949605E-2</v>
      </c>
      <c r="S35" s="60">
        <f>'Air Basin Summary PM2.5 BAU'!S35/365.25</f>
        <v>-1.807706518857622E-2</v>
      </c>
      <c r="T35" s="60">
        <f>'Air Basin Summary PM2.5 BAU'!T35/365.25</f>
        <v>-1.6982256866985658E-2</v>
      </c>
      <c r="U35" s="60">
        <f>'Air Basin Summary PM2.5 BAU'!U35/365.25</f>
        <v>-1.6999142893776544E-2</v>
      </c>
      <c r="V35" s="60">
        <f>'Air Basin Summary PM2.5 BAU'!V35/365.25</f>
        <v>-1.6873244188372476E-2</v>
      </c>
      <c r="W35" s="60">
        <f>'Air Basin Summary PM2.5 BAU'!W35/365.25</f>
        <v>-1.613691644021361E-2</v>
      </c>
      <c r="X35" s="60">
        <f>'Air Basin Summary PM2.5 BAU'!X35/365.25</f>
        <v>-1.50303858274992E-2</v>
      </c>
      <c r="Y35" s="60">
        <f>'Air Basin Summary PM2.5 BAU'!Y35/365.25</f>
        <v>-1.4397075657209071E-2</v>
      </c>
      <c r="Z35" s="60">
        <f>'Air Basin Summary PM2.5 BAU'!Z35/365.25</f>
        <v>-1.3681983712671696E-2</v>
      </c>
      <c r="AA35" s="60">
        <f>'Air Basin Summary PM2.5 BAU'!AA35/365.25</f>
        <v>-1.3044732574067004E-2</v>
      </c>
      <c r="AB35" s="61">
        <f>'Air Basin Summary PM2.5 BAU'!AB35/365.25</f>
        <v>-1.2223145859289457E-2</v>
      </c>
    </row>
    <row r="36" spans="1:28" ht="26.25" customHeight="1">
      <c r="A36" s="520"/>
      <c r="B36" s="53" t="str">
        <f>'Air Basin Summary PM2.5 BAU'!B36</f>
        <v>South Coast</v>
      </c>
      <c r="C36" s="2" t="s">
        <v>18938</v>
      </c>
      <c r="D36" s="394">
        <f>'Air Basin Summary PM2.5 BAU'!D36/365.25</f>
        <v>0</v>
      </c>
      <c r="E36" s="64">
        <f>'Air Basin Summary PM2.5 BAU'!E36/365.25</f>
        <v>0</v>
      </c>
      <c r="F36" s="64">
        <f>'Air Basin Summary PM2.5 BAU'!F36/365.25</f>
        <v>-6.3644292895599683E-2</v>
      </c>
      <c r="G36" s="64">
        <f>'Air Basin Summary PM2.5 BAU'!G36/365.25</f>
        <v>-0.17412198454089189</v>
      </c>
      <c r="H36" s="64">
        <f>'Air Basin Summary PM2.5 BAU'!H36/365.25</f>
        <v>-0.19845294784100276</v>
      </c>
      <c r="I36" s="64">
        <f>'Air Basin Summary PM2.5 BAU'!I36/365.25</f>
        <v>-0.20373760116954936</v>
      </c>
      <c r="J36" s="64">
        <f>'Air Basin Summary PM2.5 BAU'!J36/365.25</f>
        <v>-0.18843400810397132</v>
      </c>
      <c r="K36" s="64">
        <f>'Air Basin Summary PM2.5 BAU'!K36/365.25</f>
        <v>-0.18682370782311458</v>
      </c>
      <c r="L36" s="64">
        <f>'Air Basin Summary PM2.5 BAU'!L36/365.25</f>
        <v>-0.18363025112115153</v>
      </c>
      <c r="M36" s="64">
        <f>'Air Basin Summary PM2.5 BAU'!M36/365.25</f>
        <v>-0.17919788042042345</v>
      </c>
      <c r="N36" s="64">
        <f>'Air Basin Summary PM2.5 BAU'!N36/365.25</f>
        <v>-0.17355201477539137</v>
      </c>
      <c r="O36" s="64">
        <f>'Air Basin Summary PM2.5 BAU'!O36/365.25</f>
        <v>-0.16648184234155436</v>
      </c>
      <c r="P36" s="64">
        <f>'Air Basin Summary PM2.5 BAU'!P36/365.25</f>
        <v>-0.15967514523441842</v>
      </c>
      <c r="Q36" s="64">
        <f>'Air Basin Summary PM2.5 BAU'!Q36/365.25</f>
        <v>-0.15312172595960993</v>
      </c>
      <c r="R36" s="64">
        <f>'Air Basin Summary PM2.5 BAU'!R36/365.25</f>
        <v>-0.14497942867055397</v>
      </c>
      <c r="S36" s="64">
        <f>'Air Basin Summary PM2.5 BAU'!S36/365.25</f>
        <v>-0.13777874426285749</v>
      </c>
      <c r="T36" s="64">
        <f>'Air Basin Summary PM2.5 BAU'!T36/365.25</f>
        <v>-0.13178742197382506</v>
      </c>
      <c r="U36" s="64">
        <f>'Air Basin Summary PM2.5 BAU'!U36/365.25</f>
        <v>-0.13435960645127681</v>
      </c>
      <c r="V36" s="64">
        <f>'Air Basin Summary PM2.5 BAU'!V36/365.25</f>
        <v>-0.13603423810900628</v>
      </c>
      <c r="W36" s="64">
        <f>'Air Basin Summary PM2.5 BAU'!W36/365.25</f>
        <v>-0.13278972994409161</v>
      </c>
      <c r="X36" s="64">
        <f>'Air Basin Summary PM2.5 BAU'!X36/365.25</f>
        <v>-0.12571150511118223</v>
      </c>
      <c r="Y36" s="64">
        <f>'Air Basin Summary PM2.5 BAU'!Y36/365.25</f>
        <v>-0.12262842558074218</v>
      </c>
      <c r="Z36" s="64">
        <f>'Air Basin Summary PM2.5 BAU'!Z36/365.25</f>
        <v>-0.11871303439670586</v>
      </c>
      <c r="AA36" s="64">
        <f>'Air Basin Summary PM2.5 BAU'!AA36/365.25</f>
        <v>-0.11538495245134738</v>
      </c>
      <c r="AB36" s="65">
        <f>'Air Basin Summary PM2.5 BAU'!AB36/365.25</f>
        <v>-0.11008475539526946</v>
      </c>
    </row>
    <row r="37" spans="1:28" ht="26.25" customHeight="1">
      <c r="A37" s="520"/>
      <c r="B37" s="53" t="str">
        <f>'Air Basin Summary PM2.5 BAU'!B37</f>
        <v>STATEWIDE</v>
      </c>
      <c r="C37" s="83" t="s">
        <v>18938</v>
      </c>
      <c r="D37" s="175">
        <f>'Air Basin Summary PM2.5 BAU'!D37/365.25</f>
        <v>0</v>
      </c>
      <c r="E37" s="175">
        <f>'Air Basin Summary PM2.5 BAU'!E37/365.25</f>
        <v>0</v>
      </c>
      <c r="F37" s="175">
        <f>'Air Basin Summary PM2.5 BAU'!F37/365.25</f>
        <v>-0.27685503829794561</v>
      </c>
      <c r="G37" s="175">
        <f>'Air Basin Summary PM2.5 BAU'!G37/365.25</f>
        <v>-0.76013473472925297</v>
      </c>
      <c r="H37" s="175">
        <f>'Air Basin Summary PM2.5 BAU'!H37/365.25</f>
        <v>-0.86116491884722113</v>
      </c>
      <c r="I37" s="175">
        <f>'Air Basin Summary PM2.5 BAU'!I37/365.25</f>
        <v>-0.88017867552958906</v>
      </c>
      <c r="J37" s="175">
        <f>'Air Basin Summary PM2.5 BAU'!J37/365.25</f>
        <v>-0.80800472925823963</v>
      </c>
      <c r="K37" s="175">
        <f>'Air Basin Summary PM2.5 BAU'!K37/365.25</f>
        <v>-0.79585272964253595</v>
      </c>
      <c r="L37" s="175">
        <f>'Air Basin Summary PM2.5 BAU'!L37/365.25</f>
        <v>-0.77483163375381803</v>
      </c>
      <c r="M37" s="175">
        <f>'Air Basin Summary PM2.5 BAU'!M37/365.25</f>
        <v>-0.74587012989313906</v>
      </c>
      <c r="N37" s="175">
        <f>'Air Basin Summary PM2.5 BAU'!N37/365.25</f>
        <v>-0.71340136042336944</v>
      </c>
      <c r="O37" s="175">
        <f>'Air Basin Summary PM2.5 BAU'!O37/365.25</f>
        <v>-0.67873488797297654</v>
      </c>
      <c r="P37" s="175">
        <f>'Air Basin Summary PM2.5 BAU'!P37/365.25</f>
        <v>-0.64626736619337977</v>
      </c>
      <c r="Q37" s="175">
        <f>'Air Basin Summary PM2.5 BAU'!Q37/365.25</f>
        <v>-0.61315669318246935</v>
      </c>
      <c r="R37" s="175">
        <f>'Air Basin Summary PM2.5 BAU'!R37/365.25</f>
        <v>-0.57482169449696408</v>
      </c>
      <c r="S37" s="175">
        <f>'Air Basin Summary PM2.5 BAU'!S37/365.25</f>
        <v>-0.54102468950238225</v>
      </c>
      <c r="T37" s="175">
        <f>'Air Basin Summary PM2.5 BAU'!T37/365.25</f>
        <v>-0.51166052956101338</v>
      </c>
      <c r="U37" s="175">
        <f>'Air Basin Summary PM2.5 BAU'!U37/365.25</f>
        <v>-0.51579608945987665</v>
      </c>
      <c r="V37" s="175">
        <f>'Air Basin Summary PM2.5 BAU'!V37/365.25</f>
        <v>-0.51619451605268241</v>
      </c>
      <c r="W37" s="175">
        <f>'Air Basin Summary PM2.5 BAU'!W37/365.25</f>
        <v>-0.49806680773062156</v>
      </c>
      <c r="X37" s="175">
        <f>'Air Basin Summary PM2.5 BAU'!X37/365.25</f>
        <v>-0.46699484906220351</v>
      </c>
      <c r="Y37" s="175">
        <f>'Air Basin Summary PM2.5 BAU'!Y37/365.25</f>
        <v>-0.45139409001397884</v>
      </c>
      <c r="Z37" s="175">
        <f>'Air Basin Summary PM2.5 BAU'!Z37/365.25</f>
        <v>-0.43309732816993773</v>
      </c>
      <c r="AA37" s="175">
        <f>'Air Basin Summary PM2.5 BAU'!AA37/365.25</f>
        <v>-0.41887241402015868</v>
      </c>
      <c r="AB37" s="175">
        <f>'Air Basin Summary PM2.5 BAU'!AB37/365.25</f>
        <v>-0.39766090942573429</v>
      </c>
    </row>
    <row r="38" spans="1:28" ht="26.25" customHeight="1">
      <c r="A38" s="520"/>
      <c r="B38" s="2"/>
      <c r="C38" s="2"/>
      <c r="L38" s="101"/>
    </row>
    <row r="39" spans="1:28" ht="26.25" customHeight="1">
      <c r="A39" s="520"/>
      <c r="B39" s="86"/>
      <c r="C39" s="86"/>
      <c r="D39" s="519" t="s">
        <v>18952</v>
      </c>
      <c r="E39" s="519"/>
      <c r="F39" s="519"/>
      <c r="G39" s="519"/>
      <c r="H39" s="519"/>
      <c r="I39" s="519"/>
      <c r="J39" s="519"/>
      <c r="K39" s="519"/>
      <c r="L39" s="519"/>
      <c r="M39" s="519"/>
      <c r="N39" s="519"/>
      <c r="O39" s="519"/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</row>
    <row r="40" spans="1:28" ht="26.25" customHeight="1">
      <c r="A40" s="520"/>
      <c r="B40" s="91" t="s">
        <v>18814</v>
      </c>
      <c r="C40" s="90" t="str">
        <f>'BAU Comparison - AJF'!B25</f>
        <v>Units</v>
      </c>
      <c r="D40" s="156">
        <f>'BAU Comparison - AJF'!C25</f>
        <v>2022</v>
      </c>
      <c r="E40" s="156">
        <f>'BAU Comparison - AJF'!D25</f>
        <v>2023</v>
      </c>
      <c r="F40" s="156">
        <f>'BAU Comparison - AJF'!E25</f>
        <v>2024</v>
      </c>
      <c r="G40" s="156">
        <f>'BAU Comparison - AJF'!F25</f>
        <v>2025</v>
      </c>
      <c r="H40" s="156">
        <f>'BAU Comparison - AJF'!G25</f>
        <v>2026</v>
      </c>
      <c r="I40" s="156">
        <f>'BAU Comparison - AJF'!H25</f>
        <v>2027</v>
      </c>
      <c r="J40" s="156">
        <f>'BAU Comparison - AJF'!I25</f>
        <v>2028</v>
      </c>
      <c r="K40" s="156">
        <f>'BAU Comparison - AJF'!J25</f>
        <v>2029</v>
      </c>
      <c r="L40" s="157">
        <f>'BAU Comparison - AJF'!K25</f>
        <v>2030</v>
      </c>
      <c r="M40" s="156">
        <f>'BAU Comparison - AJF'!L25</f>
        <v>2031</v>
      </c>
      <c r="N40" s="156">
        <f>'BAU Comparison - AJF'!M25</f>
        <v>2032</v>
      </c>
      <c r="O40" s="156">
        <f>'BAU Comparison - AJF'!N25</f>
        <v>2033</v>
      </c>
      <c r="P40" s="156">
        <f>'BAU Comparison - AJF'!O25</f>
        <v>2034</v>
      </c>
      <c r="Q40" s="156">
        <f>'BAU Comparison - AJF'!P25</f>
        <v>2035</v>
      </c>
      <c r="R40" s="156">
        <f>'BAU Comparison - AJF'!Q25</f>
        <v>2036</v>
      </c>
      <c r="S40" s="156">
        <f>'BAU Comparison - AJF'!R25</f>
        <v>2037</v>
      </c>
      <c r="T40" s="156">
        <f>'BAU Comparison - AJF'!S25</f>
        <v>2038</v>
      </c>
      <c r="U40" s="157">
        <f>'BAU Comparison - AJF'!T25</f>
        <v>2039</v>
      </c>
      <c r="V40" s="156">
        <f>'BAU Comparison - AJF'!U25</f>
        <v>2040</v>
      </c>
      <c r="W40" s="156">
        <f>'BAU Comparison - AJF'!V25</f>
        <v>2041</v>
      </c>
      <c r="X40" s="156">
        <f>'BAU Comparison - AJF'!W25</f>
        <v>2042</v>
      </c>
      <c r="Y40" s="156">
        <f>'BAU Comparison - AJF'!X25</f>
        <v>2043</v>
      </c>
      <c r="Z40" s="156">
        <f>'BAU Comparison - AJF'!Y25</f>
        <v>2044</v>
      </c>
      <c r="AA40" s="156">
        <f>'BAU Comparison - AJF'!Z25</f>
        <v>2045</v>
      </c>
      <c r="AB40" s="156">
        <f>'BAU Comparison - AJF'!AA25</f>
        <v>2046</v>
      </c>
    </row>
    <row r="41" spans="1:28" ht="26.25" customHeight="1">
      <c r="A41" s="520"/>
      <c r="B41" s="2" t="str">
        <f>'BAU Comparison - AJF'!A26</f>
        <v>Great Basin Valleys</v>
      </c>
      <c r="C41" s="2" t="s">
        <v>18938</v>
      </c>
      <c r="D41" s="104">
        <f>'Air Basin Summary PM2.5 BAU'!D41/365.25</f>
        <v>0</v>
      </c>
      <c r="E41" s="79">
        <f>'Air Basin Summary PM2.5 BAU'!E41/365.25</f>
        <v>9.1157995044531636E-20</v>
      </c>
      <c r="F41" s="79">
        <f>'Air Basin Summary PM2.5 BAU'!F41/365.25</f>
        <v>-9.208875653790081E-5</v>
      </c>
      <c r="G41" s="79">
        <f>'Air Basin Summary PM2.5 BAU'!G41/365.25</f>
        <v>-1.4591437749320664E-4</v>
      </c>
      <c r="H41" s="79">
        <f>'Air Basin Summary PM2.5 BAU'!H41/365.25</f>
        <v>-1.8743659862460881E-4</v>
      </c>
      <c r="I41" s="79">
        <f>'Air Basin Summary PM2.5 BAU'!I41/365.25</f>
        <v>-2.2784605634808955E-4</v>
      </c>
      <c r="J41" s="79">
        <f>'Air Basin Summary PM2.5 BAU'!J41/365.25</f>
        <v>-2.6883318806861516E-4</v>
      </c>
      <c r="K41" s="79">
        <f>'Air Basin Summary PM2.5 BAU'!K41/365.25</f>
        <v>-3.0807323230299397E-4</v>
      </c>
      <c r="L41" s="79">
        <f>'Air Basin Summary PM2.5 BAU'!L41/365.25</f>
        <v>-3.4566461852675448E-4</v>
      </c>
      <c r="M41" s="79">
        <f>'Air Basin Summary PM2.5 BAU'!M41/365.25</f>
        <v>-3.8509102563763248E-4</v>
      </c>
      <c r="N41" s="79">
        <f>'Air Basin Summary PM2.5 BAU'!N41/365.25</f>
        <v>-4.2335109970035434E-4</v>
      </c>
      <c r="O41" s="79">
        <f>'Air Basin Summary PM2.5 BAU'!O41/365.25</f>
        <v>-4.6238444142773473E-4</v>
      </c>
      <c r="P41" s="79">
        <f>'Air Basin Summary PM2.5 BAU'!P41/365.25</f>
        <v>-4.9989063425201052E-4</v>
      </c>
      <c r="Q41" s="79">
        <f>'Air Basin Summary PM2.5 BAU'!Q41/365.25</f>
        <v>-5.3835990422514048E-4</v>
      </c>
      <c r="R41" s="79">
        <f>'Air Basin Summary PM2.5 BAU'!R41/365.25</f>
        <v>-5.7499380264433976E-4</v>
      </c>
      <c r="S41" s="79">
        <f>'Air Basin Summary PM2.5 BAU'!S41/365.25</f>
        <v>-6.127694346687631E-4</v>
      </c>
      <c r="T41" s="79">
        <f>'Air Basin Summary PM2.5 BAU'!T41/365.25</f>
        <v>-6.4873370186890455E-4</v>
      </c>
      <c r="U41" s="79">
        <f>'Air Basin Summary PM2.5 BAU'!U41/365.25</f>
        <v>-6.8638995544754631E-4</v>
      </c>
      <c r="V41" s="79">
        <f>'Air Basin Summary PM2.5 BAU'!V41/365.25</f>
        <v>-7.2191830589609686E-4</v>
      </c>
      <c r="W41" s="79">
        <f>'Air Basin Summary PM2.5 BAU'!W41/365.25</f>
        <v>-7.5868165095086318E-4</v>
      </c>
      <c r="X41" s="79">
        <f>'Air Basin Summary PM2.5 BAU'!X41/365.25</f>
        <v>-7.9302768000630243E-4</v>
      </c>
      <c r="Y41" s="79">
        <f>'Air Basin Summary PM2.5 BAU'!Y41/365.25</f>
        <v>-8.2918547938512694E-4</v>
      </c>
      <c r="Z41" s="79">
        <f>'Air Basin Summary PM2.5 BAU'!Z41/365.25</f>
        <v>-8.6287270857353523E-4</v>
      </c>
      <c r="AA41" s="79">
        <f>'Air Basin Summary PM2.5 BAU'!AA41/365.25</f>
        <v>-8.9831426157328852E-4</v>
      </c>
      <c r="AB41" s="80">
        <f>'Air Basin Summary PM2.5 BAU'!AB41/365.25</f>
        <v>-9.3113002950591069E-4</v>
      </c>
    </row>
    <row r="42" spans="1:28" ht="26.25" customHeight="1">
      <c r="A42" s="520"/>
      <c r="B42" s="2" t="str">
        <f>'BAU Comparison - AJF'!A27</f>
        <v xml:space="preserve">Lake County </v>
      </c>
      <c r="C42" s="2" t="s">
        <v>18938</v>
      </c>
      <c r="D42" s="393">
        <f>'Air Basin Summary PM2.5 BAU'!D42/365.25</f>
        <v>0</v>
      </c>
      <c r="E42" s="60">
        <f>'Air Basin Summary PM2.5 BAU'!E42/365.25</f>
        <v>1.4027564419488345E-21</v>
      </c>
      <c r="F42" s="60">
        <f>'Air Basin Summary PM2.5 BAU'!F42/365.25</f>
        <v>-1.4170791755730628E-6</v>
      </c>
      <c r="G42" s="60">
        <f>'Air Basin Summary PM2.5 BAU'!G42/365.25</f>
        <v>-2.245357995220937E-6</v>
      </c>
      <c r="H42" s="60">
        <f>'Air Basin Summary PM2.5 BAU'!H42/365.25</f>
        <v>-2.8843097750143035E-6</v>
      </c>
      <c r="I42" s="60">
        <f>'Air Basin Summary PM2.5 BAU'!I42/365.25</f>
        <v>-3.5061381413532157E-6</v>
      </c>
      <c r="J42" s="60">
        <f>'Air Basin Summary PM2.5 BAU'!J42/365.25</f>
        <v>-4.1368558642461547E-6</v>
      </c>
      <c r="K42" s="60">
        <f>'Air Basin Summary PM2.5 BAU'!K42/365.25</f>
        <v>-4.7406890749836468E-6</v>
      </c>
      <c r="L42" s="60">
        <f>'Air Basin Summary PM2.5 BAU'!L42/365.25</f>
        <v>-5.319152424922474E-6</v>
      </c>
      <c r="M42" s="60">
        <f>'Air Basin Summary PM2.5 BAU'!M42/365.25</f>
        <v>-5.925853422796156E-6</v>
      </c>
      <c r="N42" s="60">
        <f>'Air Basin Summary PM2.5 BAU'!N42/365.25</f>
        <v>-6.5146066674754015E-6</v>
      </c>
      <c r="O42" s="60">
        <f>'Air Basin Summary PM2.5 BAU'!O42/365.25</f>
        <v>-7.1152591010016662E-6</v>
      </c>
      <c r="P42" s="60">
        <f>'Air Basin Summary PM2.5 BAU'!P42/365.25</f>
        <v>-7.6924114788213684E-6</v>
      </c>
      <c r="Q42" s="60">
        <f>'Air Basin Summary PM2.5 BAU'!Q42/365.25</f>
        <v>-8.2843838696743632E-6</v>
      </c>
      <c r="R42" s="60">
        <f>'Air Basin Summary PM2.5 BAU'!R42/365.25</f>
        <v>-8.848113216465363E-6</v>
      </c>
      <c r="S42" s="60">
        <f>'Air Basin Summary PM2.5 BAU'!S42/365.25</f>
        <v>-9.4294117755776222E-6</v>
      </c>
      <c r="T42" s="60">
        <f>'Air Basin Summary PM2.5 BAU'!T42/365.25</f>
        <v>-9.9828367107171302E-6</v>
      </c>
      <c r="U42" s="60">
        <f>'Air Basin Summary PM2.5 BAU'!U42/365.25</f>
        <v>-1.056229825176237E-5</v>
      </c>
      <c r="V42" s="60">
        <f>'Air Basin Summary PM2.5 BAU'!V42/365.25</f>
        <v>-1.1109015217610226E-5</v>
      </c>
      <c r="W42" s="60">
        <f>'Air Basin Summary PM2.5 BAU'!W42/365.25</f>
        <v>-1.1674736513673931E-5</v>
      </c>
      <c r="X42" s="60">
        <f>'Air Basin Summary PM2.5 BAU'!X42/365.25</f>
        <v>-1.2203259694655948E-5</v>
      </c>
      <c r="Y42" s="60">
        <f>'Air Basin Summary PM2.5 BAU'!Y42/365.25</f>
        <v>-1.2759662739507499E-5</v>
      </c>
      <c r="Z42" s="60">
        <f>'Air Basin Summary PM2.5 BAU'!Z42/365.25</f>
        <v>-1.3278048183728401E-5</v>
      </c>
      <c r="AA42" s="60">
        <f>'Air Basin Summary PM2.5 BAU'!AA42/365.25</f>
        <v>-1.3823429494043401E-5</v>
      </c>
      <c r="AB42" s="61">
        <f>'Air Basin Summary PM2.5 BAU'!AB42/365.25</f>
        <v>-1.4328404727894217E-5</v>
      </c>
    </row>
    <row r="43" spans="1:28" ht="26.25" customHeight="1">
      <c r="A43" s="520"/>
      <c r="B43" s="2" t="str">
        <f>'BAU Comparison - AJF'!A28</f>
        <v xml:space="preserve">Lake Tahoe </v>
      </c>
      <c r="C43" s="2" t="s">
        <v>18938</v>
      </c>
      <c r="D43" s="393">
        <f>'Air Basin Summary PM2.5 BAU'!D43/365.25</f>
        <v>0</v>
      </c>
      <c r="E43" s="60">
        <f>'Air Basin Summary PM2.5 BAU'!E43/365.25</f>
        <v>5.7356858214100365E-19</v>
      </c>
      <c r="F43" s="60">
        <f>'Air Basin Summary PM2.5 BAU'!F43/365.25</f>
        <v>-5.8710927111138762E-4</v>
      </c>
      <c r="G43" s="60">
        <f>'Air Basin Summary PM2.5 BAU'!G43/365.25</f>
        <v>-9.4245724456009381E-4</v>
      </c>
      <c r="H43" s="60">
        <f>'Air Basin Summary PM2.5 BAU'!H43/365.25</f>
        <v>-1.2262887902699494E-3</v>
      </c>
      <c r="I43" s="60">
        <f>'Air Basin Summary PM2.5 BAU'!I43/365.25</f>
        <v>-1.5096901608268249E-3</v>
      </c>
      <c r="J43" s="60">
        <f>'Air Basin Summary PM2.5 BAU'!J43/365.25</f>
        <v>-1.8037003783650154E-3</v>
      </c>
      <c r="K43" s="60">
        <f>'Air Basin Summary PM2.5 BAU'!K43/365.25</f>
        <v>-2.0927011622324039E-3</v>
      </c>
      <c r="L43" s="60">
        <f>'Air Basin Summary PM2.5 BAU'!L43/365.25</f>
        <v>-2.3769184598281868E-3</v>
      </c>
      <c r="M43" s="60">
        <f>'Air Basin Summary PM2.5 BAU'!M43/365.25</f>
        <v>-2.6801852371420984E-3</v>
      </c>
      <c r="N43" s="60">
        <f>'Air Basin Summary PM2.5 BAU'!N43/365.25</f>
        <v>-2.9817969302569584E-3</v>
      </c>
      <c r="O43" s="60">
        <f>'Air Basin Summary PM2.5 BAU'!O43/365.25</f>
        <v>-3.2953315650001342E-3</v>
      </c>
      <c r="P43" s="60">
        <f>'Air Basin Summary PM2.5 BAU'!P43/365.25</f>
        <v>-3.6043737392972477E-3</v>
      </c>
      <c r="Q43" s="60">
        <f>'Air Basin Summary PM2.5 BAU'!Q43/365.25</f>
        <v>-3.9267041687478781E-3</v>
      </c>
      <c r="R43" s="60">
        <f>'Air Basin Summary PM2.5 BAU'!R43/365.25</f>
        <v>-4.2418522541864496E-3</v>
      </c>
      <c r="S43" s="60">
        <f>'Air Basin Summary PM2.5 BAU'!S43/365.25</f>
        <v>-4.5716990729735407E-3</v>
      </c>
      <c r="T43" s="60">
        <f>'Air Basin Summary PM2.5 BAU'!T43/365.25</f>
        <v>-4.8941892929043737E-3</v>
      </c>
      <c r="U43" s="60">
        <f>'Air Basin Summary PM2.5 BAU'!U43/365.25</f>
        <v>-5.2355917413462252E-3</v>
      </c>
      <c r="V43" s="60">
        <f>'Air Basin Summary PM2.5 BAU'!V43/365.25</f>
        <v>-5.5668323275748386E-3</v>
      </c>
      <c r="W43" s="60">
        <f>'Air Basin Summary PM2.5 BAU'!W43/365.25</f>
        <v>-5.9136725724659575E-3</v>
      </c>
      <c r="X43" s="60">
        <f>'Air Basin Summary PM2.5 BAU'!X43/365.25</f>
        <v>-6.247608463298011E-3</v>
      </c>
      <c r="Y43" s="60">
        <f>'Air Basin Summary PM2.5 BAU'!Y43/365.25</f>
        <v>-6.6017050524090348E-3</v>
      </c>
      <c r="Z43" s="60">
        <f>'Air Basin Summary PM2.5 BAU'!Z43/365.25</f>
        <v>-6.9419139079798173E-3</v>
      </c>
      <c r="AA43" s="60">
        <f>'Air Basin Summary PM2.5 BAU'!AA43/365.25</f>
        <v>-7.3020570976025561E-3</v>
      </c>
      <c r="AB43" s="61">
        <f>'Air Basin Summary PM2.5 BAU'!AB43/365.25</f>
        <v>-7.6465018740332078E-3</v>
      </c>
    </row>
    <row r="44" spans="1:28" ht="26.25" customHeight="1">
      <c r="A44" s="520"/>
      <c r="B44" s="2" t="str">
        <f>'BAU Comparison - AJF'!A29</f>
        <v>Mojave Desert</v>
      </c>
      <c r="C44" s="2" t="s">
        <v>18938</v>
      </c>
      <c r="D44" s="393">
        <f>'Air Basin Summary PM2.5 BAU'!D44/365.25</f>
        <v>0</v>
      </c>
      <c r="E44" s="60">
        <f>'Air Basin Summary PM2.5 BAU'!E44/365.25</f>
        <v>1.6040376991330462E-17</v>
      </c>
      <c r="F44" s="60">
        <f>'Air Basin Summary PM2.5 BAU'!F44/365.25</f>
        <v>-1.6211588972362148E-2</v>
      </c>
      <c r="G44" s="60">
        <f>'Air Basin Summary PM2.5 BAU'!G44/365.25</f>
        <v>-2.5698656057393059E-2</v>
      </c>
      <c r="H44" s="60">
        <f>'Air Basin Summary PM2.5 BAU'!H44/365.25</f>
        <v>-3.3025183661096323E-2</v>
      </c>
      <c r="I44" s="60">
        <f>'Air Basin Summary PM2.5 BAU'!I44/365.25</f>
        <v>-4.0161581953174118E-2</v>
      </c>
      <c r="J44" s="60">
        <f>'Air Basin Summary PM2.5 BAU'!J44/365.25</f>
        <v>-4.7405402156660156E-2</v>
      </c>
      <c r="K44" s="60">
        <f>'Air Basin Summary PM2.5 BAU'!K44/365.25</f>
        <v>-5.4345846293586401E-2</v>
      </c>
      <c r="L44" s="60">
        <f>'Air Basin Summary PM2.5 BAU'!L44/365.25</f>
        <v>-6.0999959719917722E-2</v>
      </c>
      <c r="M44" s="60">
        <f>'Air Basin Summary PM2.5 BAU'!M44/365.25</f>
        <v>-6.7982240211336614E-2</v>
      </c>
      <c r="N44" s="60">
        <f>'Air Basin Summary PM2.5 BAU'!N44/365.25</f>
        <v>-7.4761601532526339E-2</v>
      </c>
      <c r="O44" s="60">
        <f>'Air Basin Summary PM2.5 BAU'!O44/365.25</f>
        <v>-8.1682395828503188E-2</v>
      </c>
      <c r="P44" s="60">
        <f>'Air Basin Summary PM2.5 BAU'!P44/365.25</f>
        <v>-8.8336692570064462E-2</v>
      </c>
      <c r="Q44" s="60">
        <f>'Air Basin Summary PM2.5 BAU'!Q44/365.25</f>
        <v>-9.5164436911375203E-2</v>
      </c>
      <c r="R44" s="60">
        <f>'Air Basin Summary PM2.5 BAU'!R44/365.25</f>
        <v>-0.10167139851116302</v>
      </c>
      <c r="S44" s="60">
        <f>'Air Basin Summary PM2.5 BAU'!S44/365.25</f>
        <v>-0.10838297550786917</v>
      </c>
      <c r="T44" s="60">
        <f>'Air Basin Summary PM2.5 BAU'!T44/365.25</f>
        <v>-0.11477693049537263</v>
      </c>
      <c r="U44" s="60">
        <f>'Air Basin Summary PM2.5 BAU'!U44/365.25</f>
        <v>-0.12147157154234074</v>
      </c>
      <c r="V44" s="60">
        <f>'Air Basin Summary PM2.5 BAU'!V44/365.25</f>
        <v>-0.12779274519943384</v>
      </c>
      <c r="W44" s="60">
        <f>'Air Basin Summary PM2.5 BAU'!W44/365.25</f>
        <v>-0.13433269033021517</v>
      </c>
      <c r="X44" s="60">
        <f>'Air Basin Summary PM2.5 BAU'!X44/365.25</f>
        <v>-0.14044694742550268</v>
      </c>
      <c r="Y44" s="60">
        <f>'Air Basin Summary PM2.5 BAU'!Y44/365.25</f>
        <v>-0.14688379654441949</v>
      </c>
      <c r="Z44" s="60">
        <f>'Air Basin Summary PM2.5 BAU'!Z44/365.25</f>
        <v>-0.15288229435307815</v>
      </c>
      <c r="AA44" s="60">
        <f>'Air Basin Summary PM2.5 BAU'!AA44/365.25</f>
        <v>-0.15919301359210844</v>
      </c>
      <c r="AB44" s="61">
        <f>'Air Basin Summary PM2.5 BAU'!AB44/365.25</f>
        <v>-0.16503759354518655</v>
      </c>
    </row>
    <row r="45" spans="1:28" ht="26.25" customHeight="1">
      <c r="A45" s="520"/>
      <c r="B45" s="2" t="str">
        <f>'BAU Comparison - AJF'!A30</f>
        <v xml:space="preserve">Mountain Counties </v>
      </c>
      <c r="C45" s="2" t="s">
        <v>18938</v>
      </c>
      <c r="D45" s="393">
        <f>'Air Basin Summary PM2.5 BAU'!D45/365.25</f>
        <v>0</v>
      </c>
      <c r="E45" s="60">
        <f>'Air Basin Summary PM2.5 BAU'!E45/365.25</f>
        <v>3.2925075731780194E-20</v>
      </c>
      <c r="F45" s="60">
        <f>'Air Basin Summary PM2.5 BAU'!F45/365.25</f>
        <v>-3.3287991954499303E-5</v>
      </c>
      <c r="G45" s="60">
        <f>'Air Basin Summary PM2.5 BAU'!G45/365.25</f>
        <v>-5.2787095510288454E-5</v>
      </c>
      <c r="H45" s="60">
        <f>'Air Basin Summary PM2.5 BAU'!H45/365.25</f>
        <v>-6.7862911121562957E-5</v>
      </c>
      <c r="I45" s="60">
        <f>'Air Basin Summary PM2.5 BAU'!I45/365.25</f>
        <v>-8.2559630196392704E-5</v>
      </c>
      <c r="J45" s="60">
        <f>'Air Basin Summary PM2.5 BAU'!J45/365.25</f>
        <v>-9.7504912181439548E-5</v>
      </c>
      <c r="K45" s="60">
        <f>'Air Basin Summary PM2.5 BAU'!K45/365.25</f>
        <v>-1.118265939914067E-4</v>
      </c>
      <c r="L45" s="60">
        <f>'Air Basin Summary PM2.5 BAU'!L45/365.25</f>
        <v>-1.2557214177477357E-4</v>
      </c>
      <c r="M45" s="60">
        <f>'Air Basin Summary PM2.5 BAU'!M45/365.25</f>
        <v>-1.4000667275519522E-4</v>
      </c>
      <c r="N45" s="60">
        <f>'Air Basin Summary PM2.5 BAU'!N45/365.25</f>
        <v>-1.5403971840905991E-4</v>
      </c>
      <c r="O45" s="60">
        <f>'Air Basin Summary PM2.5 BAU'!O45/365.25</f>
        <v>-1.6840341540182057E-4</v>
      </c>
      <c r="P45" s="60">
        <f>'Air Basin Summary PM2.5 BAU'!P45/365.25</f>
        <v>-1.8220855416061028E-4</v>
      </c>
      <c r="Q45" s="60">
        <f>'Air Basin Summary PM2.5 BAU'!Q45/365.25</f>
        <v>-1.963867904501674E-4</v>
      </c>
      <c r="R45" s="60">
        <f>'Air Basin Summary PM2.5 BAU'!R45/365.25</f>
        <v>-2.0991731242233109E-4</v>
      </c>
      <c r="S45" s="60">
        <f>'Air Basin Summary PM2.5 BAU'!S45/365.25</f>
        <v>-2.2388625996956377E-4</v>
      </c>
      <c r="T45" s="60">
        <f>'Air Basin Summary PM2.5 BAU'!T45/365.25</f>
        <v>-2.372524739777226E-4</v>
      </c>
      <c r="U45" s="60">
        <f>'Air Basin Summary PM2.5 BAU'!U45/365.25</f>
        <v>-2.5122326747493664E-4</v>
      </c>
      <c r="V45" s="60">
        <f>'Air Basin Summary PM2.5 BAU'!V45/365.25</f>
        <v>-2.6443648299126526E-4</v>
      </c>
      <c r="W45" s="60">
        <f>'Air Basin Summary PM2.5 BAU'!W45/365.25</f>
        <v>-2.7812306268235293E-4</v>
      </c>
      <c r="X45" s="60">
        <f>'Air Basin Summary PM2.5 BAU'!X45/365.25</f>
        <v>-2.9094413113523132E-4</v>
      </c>
      <c r="Y45" s="60">
        <f>'Air Basin Summary PM2.5 BAU'!Y45/365.25</f>
        <v>-3.0445036793172041E-4</v>
      </c>
      <c r="Z45" s="60">
        <f>'Air Basin Summary PM2.5 BAU'!Z45/365.25</f>
        <v>-3.1711987530119647E-4</v>
      </c>
      <c r="AA45" s="60">
        <f>'Air Basin Summary PM2.5 BAU'!AA45/365.25</f>
        <v>-3.3040604685007893E-4</v>
      </c>
      <c r="AB45" s="61">
        <f>'Air Basin Summary PM2.5 BAU'!AB45/365.25</f>
        <v>-3.4274625498159031E-4</v>
      </c>
    </row>
    <row r="46" spans="1:28" ht="26.25" customHeight="1">
      <c r="A46" s="520"/>
      <c r="B46" s="2" t="str">
        <f>'BAU Comparison - AJF'!A31</f>
        <v>North Central coast</v>
      </c>
      <c r="C46" s="2" t="s">
        <v>18938</v>
      </c>
      <c r="D46" s="393">
        <f>'Air Basin Summary PM2.5 BAU'!D46/365.25</f>
        <v>0</v>
      </c>
      <c r="E46" s="60">
        <f>'Air Basin Summary PM2.5 BAU'!E46/365.25</f>
        <v>3.7838958015029652E-19</v>
      </c>
      <c r="F46" s="60">
        <f>'Air Basin Summary PM2.5 BAU'!F46/365.25</f>
        <v>-3.8505517054901711E-4</v>
      </c>
      <c r="G46" s="60">
        <f>'Air Basin Summary PM2.5 BAU'!G46/365.25</f>
        <v>-6.1456719286552834E-4</v>
      </c>
      <c r="H46" s="60">
        <f>'Air Basin Summary PM2.5 BAU'!H46/365.25</f>
        <v>-7.9516611031403767E-4</v>
      </c>
      <c r="I46" s="60">
        <f>'Air Basin Summary PM2.5 BAU'!I46/365.25</f>
        <v>-9.7354210081906521E-4</v>
      </c>
      <c r="J46" s="60">
        <f>'Air Basin Summary PM2.5 BAU'!J46/365.25</f>
        <v>-1.1568834505190715E-3</v>
      </c>
      <c r="K46" s="60">
        <f>'Air Basin Summary PM2.5 BAU'!K46/365.25</f>
        <v>-1.3351211586572814E-3</v>
      </c>
      <c r="L46" s="60">
        <f>'Air Basin Summary PM2.5 BAU'!L46/365.25</f>
        <v>-1.508605967392531E-3</v>
      </c>
      <c r="M46" s="60">
        <f>'Air Basin Summary PM2.5 BAU'!M46/365.25</f>
        <v>-1.6924304460638913E-3</v>
      </c>
      <c r="N46" s="60">
        <f>'Air Basin Summary PM2.5 BAU'!N46/365.25</f>
        <v>-1.8735246689596267E-3</v>
      </c>
      <c r="O46" s="60">
        <f>'Air Basin Summary PM2.5 BAU'!O46/365.25</f>
        <v>-2.0604018254234161E-3</v>
      </c>
      <c r="P46" s="60">
        <f>'Air Basin Summary PM2.5 BAU'!P46/365.25</f>
        <v>-2.2428169075458648E-3</v>
      </c>
      <c r="Q46" s="60">
        <f>'Air Basin Summary PM2.5 BAU'!Q46/365.25</f>
        <v>-2.4318449338430982E-3</v>
      </c>
      <c r="R46" s="60">
        <f>'Air Basin Summary PM2.5 BAU'!R46/365.25</f>
        <v>-2.6149413297983444E-3</v>
      </c>
      <c r="S46" s="60">
        <f>'Air Basin Summary PM2.5 BAU'!S46/365.25</f>
        <v>-2.8054741741557992E-3</v>
      </c>
      <c r="T46" s="60">
        <f>'Air Basin Summary PM2.5 BAU'!T46/365.25</f>
        <v>-2.9899688409973702E-3</v>
      </c>
      <c r="U46" s="60">
        <f>'Air Basin Summary PM2.5 BAU'!U46/365.25</f>
        <v>-3.1845129940417283E-3</v>
      </c>
      <c r="V46" s="60">
        <f>'Air Basin Summary PM2.5 BAU'!V46/365.25</f>
        <v>-3.3713807065652076E-3</v>
      </c>
      <c r="W46" s="60">
        <f>'Air Basin Summary PM2.5 BAU'!W46/365.25</f>
        <v>-3.5663059934171923E-3</v>
      </c>
      <c r="X46" s="60">
        <f>'Air Basin Summary PM2.5 BAU'!X46/365.25</f>
        <v>-3.7519589656750188E-3</v>
      </c>
      <c r="Y46" s="60">
        <f>'Air Basin Summary PM2.5 BAU'!Y46/365.25</f>
        <v>-3.9484318925534154E-3</v>
      </c>
      <c r="Z46" s="60">
        <f>'Air Basin Summary PM2.5 BAU'!Z46/365.25</f>
        <v>-4.1351800405664257E-3</v>
      </c>
      <c r="AA46" s="60">
        <f>'Air Basin Summary PM2.5 BAU'!AA46/365.25</f>
        <v>-4.3324975409151766E-3</v>
      </c>
      <c r="AB46" s="61">
        <f>'Air Basin Summary PM2.5 BAU'!AB46/365.25</f>
        <v>-4.5192383275748198E-3</v>
      </c>
    </row>
    <row r="47" spans="1:28" ht="26.25" customHeight="1">
      <c r="A47" s="520"/>
      <c r="B47" s="2" t="str">
        <f>'BAU Comparison - AJF'!A32</f>
        <v>North Coast</v>
      </c>
      <c r="C47" s="2" t="s">
        <v>18938</v>
      </c>
      <c r="D47" s="393">
        <f>'Air Basin Summary PM2.5 BAU'!D47/365.25</f>
        <v>0</v>
      </c>
      <c r="E47" s="60">
        <f>'Air Basin Summary PM2.5 BAU'!E47/365.25</f>
        <v>7.0137822097441734E-21</v>
      </c>
      <c r="F47" s="60">
        <f>'Air Basin Summary PM2.5 BAU'!F47/365.25</f>
        <v>-7.0853958778653138E-6</v>
      </c>
      <c r="G47" s="60">
        <f>'Air Basin Summary PM2.5 BAU'!G47/365.25</f>
        <v>-1.1226789976104686E-5</v>
      </c>
      <c r="H47" s="60">
        <f>'Air Basin Summary PM2.5 BAU'!H47/365.25</f>
        <v>-1.442154887507152E-5</v>
      </c>
      <c r="I47" s="60">
        <f>'Air Basin Summary PM2.5 BAU'!I47/365.25</f>
        <v>-1.7530690706766081E-5</v>
      </c>
      <c r="J47" s="60">
        <f>'Air Basin Summary PM2.5 BAU'!J47/365.25</f>
        <v>-2.0684279321230771E-5</v>
      </c>
      <c r="K47" s="60">
        <f>'Air Basin Summary PM2.5 BAU'!K47/365.25</f>
        <v>-2.3703445374918237E-5</v>
      </c>
      <c r="L47" s="60">
        <f>'Air Basin Summary PM2.5 BAU'!L47/365.25</f>
        <v>-2.6595762124612366E-5</v>
      </c>
      <c r="M47" s="60">
        <f>'Air Basin Summary PM2.5 BAU'!M47/365.25</f>
        <v>-2.9629267113980779E-5</v>
      </c>
      <c r="N47" s="60">
        <f>'Air Basin Summary PM2.5 BAU'!N47/365.25</f>
        <v>-3.2573033337377016E-5</v>
      </c>
      <c r="O47" s="60">
        <f>'Air Basin Summary PM2.5 BAU'!O47/365.25</f>
        <v>-3.5576295505008334E-5</v>
      </c>
      <c r="P47" s="60">
        <f>'Air Basin Summary PM2.5 BAU'!P47/365.25</f>
        <v>-3.8462057394106847E-5</v>
      </c>
      <c r="Q47" s="60">
        <f>'Air Basin Summary PM2.5 BAU'!Q47/365.25</f>
        <v>-4.1421919348371826E-5</v>
      </c>
      <c r="R47" s="60">
        <f>'Air Basin Summary PM2.5 BAU'!R47/365.25</f>
        <v>-4.4240566082326817E-5</v>
      </c>
      <c r="S47" s="60">
        <f>'Air Basin Summary PM2.5 BAU'!S47/365.25</f>
        <v>-4.7147058877888114E-5</v>
      </c>
      <c r="T47" s="60">
        <f>'Air Basin Summary PM2.5 BAU'!T47/365.25</f>
        <v>-4.9914183553585658E-5</v>
      </c>
      <c r="U47" s="60">
        <f>'Air Basin Summary PM2.5 BAU'!U47/365.25</f>
        <v>-5.2811491258811848E-5</v>
      </c>
      <c r="V47" s="60">
        <f>'Air Basin Summary PM2.5 BAU'!V47/365.25</f>
        <v>-5.5545076088051127E-5</v>
      </c>
      <c r="W47" s="60">
        <f>'Air Basin Summary PM2.5 BAU'!W47/365.25</f>
        <v>-5.8373682568369655E-5</v>
      </c>
      <c r="X47" s="60">
        <f>'Air Basin Summary PM2.5 BAU'!X47/365.25</f>
        <v>-6.1016298473279749E-5</v>
      </c>
      <c r="Y47" s="60">
        <f>'Air Basin Summary PM2.5 BAU'!Y47/365.25</f>
        <v>-6.3798313697537498E-5</v>
      </c>
      <c r="Z47" s="60">
        <f>'Air Basin Summary PM2.5 BAU'!Z47/365.25</f>
        <v>-6.6390240918642017E-5</v>
      </c>
      <c r="AA47" s="60">
        <f>'Air Basin Summary PM2.5 BAU'!AA47/365.25</f>
        <v>-6.911714747021701E-5</v>
      </c>
      <c r="AB47" s="61">
        <f>'Air Basin Summary PM2.5 BAU'!AB47/365.25</f>
        <v>-7.1642023639471094E-5</v>
      </c>
    </row>
    <row r="48" spans="1:28" ht="26.25" customHeight="1">
      <c r="A48" s="520"/>
      <c r="B48" s="2" t="str">
        <f>'BAU Comparison - AJF'!A33</f>
        <v>Northeast Plateau</v>
      </c>
      <c r="C48" s="2" t="s">
        <v>18938</v>
      </c>
      <c r="D48" s="393">
        <f>'Air Basin Summary PM2.5 BAU'!D48/365.25</f>
        <v>0</v>
      </c>
      <c r="E48" s="60">
        <f>'Air Basin Summary PM2.5 BAU'!E48/365.25</f>
        <v>2.805512883897669E-21</v>
      </c>
      <c r="F48" s="60">
        <f>'Air Basin Summary PM2.5 BAU'!F48/365.25</f>
        <v>-2.8341583511461256E-6</v>
      </c>
      <c r="G48" s="60">
        <f>'Air Basin Summary PM2.5 BAU'!G48/365.25</f>
        <v>-4.490715990441874E-6</v>
      </c>
      <c r="H48" s="60">
        <f>'Air Basin Summary PM2.5 BAU'!H48/365.25</f>
        <v>-5.768619550028607E-6</v>
      </c>
      <c r="I48" s="60">
        <f>'Air Basin Summary PM2.5 BAU'!I48/365.25</f>
        <v>-7.0122762827064313E-6</v>
      </c>
      <c r="J48" s="60">
        <f>'Air Basin Summary PM2.5 BAU'!J48/365.25</f>
        <v>-8.2737117284923094E-6</v>
      </c>
      <c r="K48" s="60">
        <f>'Air Basin Summary PM2.5 BAU'!K48/365.25</f>
        <v>-9.4813781499672936E-6</v>
      </c>
      <c r="L48" s="60">
        <f>'Air Basin Summary PM2.5 BAU'!L48/365.25</f>
        <v>-1.0638304849844948E-5</v>
      </c>
      <c r="M48" s="60">
        <f>'Air Basin Summary PM2.5 BAU'!M48/365.25</f>
        <v>-1.1851706845592312E-5</v>
      </c>
      <c r="N48" s="60">
        <f>'Air Basin Summary PM2.5 BAU'!N48/365.25</f>
        <v>-1.3029213334950803E-5</v>
      </c>
      <c r="O48" s="60">
        <f>'Air Basin Summary PM2.5 BAU'!O48/365.25</f>
        <v>-1.4230518202003332E-5</v>
      </c>
      <c r="P48" s="60">
        <f>'Air Basin Summary PM2.5 BAU'!P48/365.25</f>
        <v>-1.5384822957642737E-5</v>
      </c>
      <c r="Q48" s="60">
        <f>'Air Basin Summary PM2.5 BAU'!Q48/365.25</f>
        <v>-1.6568767739348726E-5</v>
      </c>
      <c r="R48" s="60">
        <f>'Air Basin Summary PM2.5 BAU'!R48/365.25</f>
        <v>-1.7696226432930726E-5</v>
      </c>
      <c r="S48" s="60">
        <f>'Air Basin Summary PM2.5 BAU'!S48/365.25</f>
        <v>-1.8858823551155244E-5</v>
      </c>
      <c r="T48" s="60">
        <f>'Air Basin Summary PM2.5 BAU'!T48/365.25</f>
        <v>-1.996567342143426E-5</v>
      </c>
      <c r="U48" s="60">
        <f>'Air Basin Summary PM2.5 BAU'!U48/365.25</f>
        <v>-2.1124596503524739E-5</v>
      </c>
      <c r="V48" s="60">
        <f>'Air Basin Summary PM2.5 BAU'!V48/365.25</f>
        <v>-2.2218030435220451E-5</v>
      </c>
      <c r="W48" s="60">
        <f>'Air Basin Summary PM2.5 BAU'!W48/365.25</f>
        <v>-2.3349473027347862E-5</v>
      </c>
      <c r="X48" s="60">
        <f>'Air Basin Summary PM2.5 BAU'!X48/365.25</f>
        <v>-2.4406519389311897E-5</v>
      </c>
      <c r="Y48" s="60">
        <f>'Air Basin Summary PM2.5 BAU'!Y48/365.25</f>
        <v>-2.5519325479014997E-5</v>
      </c>
      <c r="Z48" s="60">
        <f>'Air Basin Summary PM2.5 BAU'!Z48/365.25</f>
        <v>-2.6556096367456801E-5</v>
      </c>
      <c r="AA48" s="60">
        <f>'Air Basin Summary PM2.5 BAU'!AA48/365.25</f>
        <v>-2.7646858988086802E-5</v>
      </c>
      <c r="AB48" s="61">
        <f>'Air Basin Summary PM2.5 BAU'!AB48/365.25</f>
        <v>-2.8656809455788433E-5</v>
      </c>
    </row>
    <row r="49" spans="1:28" ht="26.25" customHeight="1">
      <c r="A49" s="520"/>
      <c r="B49" s="2" t="str">
        <f>'BAU Comparison - AJF'!A34</f>
        <v xml:space="preserve">Sacramento Valley </v>
      </c>
      <c r="C49" s="2" t="s">
        <v>18938</v>
      </c>
      <c r="D49" s="393">
        <f>'Air Basin Summary PM2.5 BAU'!D49/365.25</f>
        <v>0</v>
      </c>
      <c r="E49" s="60">
        <f>'Air Basin Summary PM2.5 BAU'!E49/365.25</f>
        <v>7.8006512897376497E-19</v>
      </c>
      <c r="F49" s="60">
        <f>'Air Basin Summary PM2.5 BAU'!F49/365.25</f>
        <v>-7.9256992306246394E-4</v>
      </c>
      <c r="G49" s="60">
        <f>'Air Basin Summary PM2.5 BAU'!G49/365.25</f>
        <v>-1.2629421903169109E-3</v>
      </c>
      <c r="H49" s="60">
        <f>'Air Basin Summary PM2.5 BAU'!H49/365.25</f>
        <v>-1.6313878124912639E-3</v>
      </c>
      <c r="I49" s="60">
        <f>'Air Basin Summary PM2.5 BAU'!I49/365.25</f>
        <v>-1.9943712882899119E-3</v>
      </c>
      <c r="J49" s="60">
        <f>'Air Basin Summary PM2.5 BAU'!J49/365.25</f>
        <v>-2.3667661128621061E-3</v>
      </c>
      <c r="K49" s="60">
        <f>'Air Basin Summary PM2.5 BAU'!K49/365.25</f>
        <v>-2.7280436608196012E-3</v>
      </c>
      <c r="L49" s="60">
        <f>'Air Basin Summary PM2.5 BAU'!L49/365.25</f>
        <v>-3.0790875273554886E-3</v>
      </c>
      <c r="M49" s="60">
        <f>'Air Basin Summary PM2.5 BAU'!M49/365.25</f>
        <v>-3.4505470765740401E-3</v>
      </c>
      <c r="N49" s="60">
        <f>'Air Basin Summary PM2.5 BAU'!N49/365.25</f>
        <v>-3.8155200665023451E-3</v>
      </c>
      <c r="O49" s="60">
        <f>'Air Basin Summary PM2.5 BAU'!O49/365.25</f>
        <v>-4.1915330853155974E-3</v>
      </c>
      <c r="P49" s="60">
        <f>'Air Basin Summary PM2.5 BAU'!P49/365.25</f>
        <v>-4.5578855881756751E-3</v>
      </c>
      <c r="Q49" s="60">
        <f>'Air Basin Summary PM2.5 BAU'!Q49/365.25</f>
        <v>-4.9374940367989577E-3</v>
      </c>
      <c r="R49" s="60">
        <f>'Air Basin Summary PM2.5 BAU'!R49/365.25</f>
        <v>-5.3042615687496205E-3</v>
      </c>
      <c r="S49" s="60">
        <f>'Air Basin Summary PM2.5 BAU'!S49/365.25</f>
        <v>-5.6855808971212878E-3</v>
      </c>
      <c r="T49" s="60">
        <f>'Air Basin Summary PM2.5 BAU'!T49/365.25</f>
        <v>-6.0540080701233451E-3</v>
      </c>
      <c r="U49" s="60">
        <f>'Air Basin Summary PM2.5 BAU'!U49/365.25</f>
        <v>-6.4421665155699253E-3</v>
      </c>
      <c r="V49" s="60">
        <f>'Air Basin Summary PM2.5 BAU'!V49/365.25</f>
        <v>-6.81431353212674E-3</v>
      </c>
      <c r="W49" s="60">
        <f>'Air Basin Summary PM2.5 BAU'!W49/365.25</f>
        <v>-7.2019925228766256E-3</v>
      </c>
      <c r="X49" s="60">
        <f>'Air Basin Summary PM2.5 BAU'!X49/365.25</f>
        <v>-7.5705357562733449E-3</v>
      </c>
      <c r="Y49" s="60">
        <f>'Air Basin Summary PM2.5 BAU'!Y49/365.25</f>
        <v>-7.9601536382816179E-3</v>
      </c>
      <c r="Z49" s="60">
        <f>'Air Basin Summary PM2.5 BAU'!Z49/365.25</f>
        <v>-8.3297475295452377E-3</v>
      </c>
      <c r="AA49" s="60">
        <f>'Air Basin Summary PM2.5 BAU'!AA49/365.25</f>
        <v>-8.7199779030526243E-3</v>
      </c>
      <c r="AB49" s="61">
        <f>'Air Basin Summary PM2.5 BAU'!AB49/365.25</f>
        <v>-9.0884281775036688E-3</v>
      </c>
    </row>
    <row r="50" spans="1:28" ht="26.25" customHeight="1">
      <c r="A50" s="520"/>
      <c r="B50" s="2" t="str">
        <f>'BAU Comparison - AJF'!A35</f>
        <v>Salton Sea</v>
      </c>
      <c r="C50" s="2" t="s">
        <v>18938</v>
      </c>
      <c r="D50" s="393">
        <f>'Air Basin Summary PM2.5 BAU'!D50/365.25</f>
        <v>0</v>
      </c>
      <c r="E50" s="60">
        <f>'Air Basin Summary PM2.5 BAU'!E50/365.25</f>
        <v>7.3569864235939648E-18</v>
      </c>
      <c r="F50" s="60">
        <f>'Air Basin Summary PM2.5 BAU'!F50/365.25</f>
        <v>-7.5150810212420011E-3</v>
      </c>
      <c r="G50" s="60">
        <f>'Air Basin Summary PM2.5 BAU'!G50/365.25</f>
        <v>-1.203283113114381E-2</v>
      </c>
      <c r="H50" s="60">
        <f>'Air Basin Summary PM2.5 BAU'!H50/365.25</f>
        <v>-1.5610036881007035E-2</v>
      </c>
      <c r="I50" s="60">
        <f>'Air Basin Summary PM2.5 BAU'!I50/365.25</f>
        <v>-1.9170941513550917E-2</v>
      </c>
      <c r="J50" s="60">
        <f>'Air Basin Summary PM2.5 BAU'!J50/365.25</f>
        <v>-2.283884751999124E-2</v>
      </c>
      <c r="K50" s="60">
        <f>'Air Basin Summary PM2.5 BAU'!K50/365.25</f>
        <v>-2.6423813770678477E-2</v>
      </c>
      <c r="L50" s="60">
        <f>'Air Basin Summary PM2.5 BAU'!L50/365.25</f>
        <v>-2.9945061792262986E-2</v>
      </c>
      <c r="M50" s="60">
        <f>'Air Basin Summary PM2.5 BAU'!M50/365.25</f>
        <v>-3.3674746618024082E-2</v>
      </c>
      <c r="N50" s="60">
        <f>'Air Basin Summary PM2.5 BAU'!N50/365.25</f>
        <v>-3.7364022581166736E-2</v>
      </c>
      <c r="O50" s="60">
        <f>'Air Basin Summary PM2.5 BAU'!O50/365.25</f>
        <v>-4.118438162821178E-2</v>
      </c>
      <c r="P50" s="60">
        <f>'Air Basin Summary PM2.5 BAU'!P50/365.25</f>
        <v>-4.49527110041614E-2</v>
      </c>
      <c r="Q50" s="60">
        <f>'Air Basin Summary PM2.5 BAU'!Q50/365.25</f>
        <v>-4.8849166474881148E-2</v>
      </c>
      <c r="R50" s="60">
        <f>'Air Basin Summary PM2.5 BAU'!R50/365.25</f>
        <v>-5.2713686243946421E-2</v>
      </c>
      <c r="S50" s="60">
        <f>'Air Basin Summary PM2.5 BAU'!S50/365.25</f>
        <v>-5.6752818445011996E-2</v>
      </c>
      <c r="T50" s="60">
        <f>'Air Basin Summary PM2.5 BAU'!T50/365.25</f>
        <v>-6.0693198580834884E-2</v>
      </c>
      <c r="U50" s="60">
        <f>'Air Basin Summary PM2.5 BAU'!U50/365.25</f>
        <v>-6.4861080677610108E-2</v>
      </c>
      <c r="V50" s="60">
        <f>'Air Basin Summary PM2.5 BAU'!V50/365.25</f>
        <v>-6.8896603230381492E-2</v>
      </c>
      <c r="W50" s="60">
        <f>'Air Basin Summary PM2.5 BAU'!W50/365.25</f>
        <v>-7.3117905561731131E-2</v>
      </c>
      <c r="X50" s="60">
        <f>'Air Basin Summary PM2.5 BAU'!X50/365.25</f>
        <v>-7.717304590871156E-2</v>
      </c>
      <c r="Y50" s="60">
        <f>'Air Basin Summary PM2.5 BAU'!Y50/365.25</f>
        <v>-8.147073548977965E-2</v>
      </c>
      <c r="Z50" s="60">
        <f>'Air Basin Summary PM2.5 BAU'!Z50/365.25</f>
        <v>-8.5591350814999523E-2</v>
      </c>
      <c r="AA50" s="60">
        <f>'Air Basin Summary PM2.5 BAU'!AA50/365.25</f>
        <v>-8.9950881453711301E-2</v>
      </c>
      <c r="AB50" s="61">
        <f>'Air Basin Summary PM2.5 BAU'!AB50/365.25</f>
        <v>-9.4071816539420289E-2</v>
      </c>
    </row>
    <row r="51" spans="1:28" ht="26.25" customHeight="1">
      <c r="A51" s="520"/>
      <c r="B51" s="2" t="str">
        <f>'BAU Comparison - AJF'!A36</f>
        <v xml:space="preserve">San Diego </v>
      </c>
      <c r="C51" s="2" t="s">
        <v>18938</v>
      </c>
      <c r="D51" s="393">
        <f>'Air Basin Summary PM2.5 BAU'!D51/365.25</f>
        <v>0</v>
      </c>
      <c r="E51" s="60">
        <f>'Air Basin Summary PM2.5 BAU'!E51/365.25</f>
        <v>9.102412443918488E-18</v>
      </c>
      <c r="F51" s="60">
        <f>'Air Basin Summary PM2.5 BAU'!F51/365.25</f>
        <v>-9.2036190921689926E-3</v>
      </c>
      <c r="G51" s="60">
        <f>'Air Basin Summary PM2.5 BAU'!G51/365.25</f>
        <v>-1.4596470740449575E-2</v>
      </c>
      <c r="H51" s="60">
        <f>'Air Basin Summary PM2.5 BAU'!H51/365.25</f>
        <v>-1.8766952024417596E-2</v>
      </c>
      <c r="I51" s="60">
        <f>'Air Basin Summary PM2.5 BAU'!I51/365.25</f>
        <v>-2.2833360801038708E-2</v>
      </c>
      <c r="J51" s="60">
        <f>'Air Basin Summary PM2.5 BAU'!J51/365.25</f>
        <v>-2.6964978780544047E-2</v>
      </c>
      <c r="K51" s="60">
        <f>'Air Basin Summary PM2.5 BAU'!K51/365.25</f>
        <v>-3.0928559644869819E-2</v>
      </c>
      <c r="L51" s="60">
        <f>'Air Basin Summary PM2.5 BAU'!L51/365.25</f>
        <v>-3.4733523383364606E-2</v>
      </c>
      <c r="M51" s="60">
        <f>'Air Basin Summary PM2.5 BAU'!M51/365.25</f>
        <v>-3.8726279501280964E-2</v>
      </c>
      <c r="N51" s="60">
        <f>'Air Basin Summary PM2.5 BAU'!N51/365.25</f>
        <v>-4.2608035114270575E-2</v>
      </c>
      <c r="O51" s="60">
        <f>'Air Basin Summary PM2.5 BAU'!O51/365.25</f>
        <v>-4.6573854771791247E-2</v>
      </c>
      <c r="P51" s="60">
        <f>'Air Basin Summary PM2.5 BAU'!P51/365.25</f>
        <v>-5.0392029674819913E-2</v>
      </c>
      <c r="Q51" s="60">
        <f>'Air Basin Summary PM2.5 BAU'!Q51/365.25</f>
        <v>-5.4313389766188755E-2</v>
      </c>
      <c r="R51" s="60">
        <f>'Air Basin Summary PM2.5 BAU'!R51/365.25</f>
        <v>-5.8054607716043802E-2</v>
      </c>
      <c r="S51" s="60">
        <f>'Air Basin Summary PM2.5 BAU'!S51/365.25</f>
        <v>-6.1918107884929637E-2</v>
      </c>
      <c r="T51" s="60">
        <f>'Air Basin Summary PM2.5 BAU'!T51/365.25</f>
        <v>-6.5604528216016145E-2</v>
      </c>
      <c r="U51" s="60">
        <f>'Air Basin Summary PM2.5 BAU'!U51/365.25</f>
        <v>-6.9467956597736344E-2</v>
      </c>
      <c r="V51" s="60">
        <f>'Air Basin Summary PM2.5 BAU'!V51/365.25</f>
        <v>-7.3121969569414719E-2</v>
      </c>
      <c r="W51" s="60">
        <f>'Air Basin Summary PM2.5 BAU'!W51/365.25</f>
        <v>-7.6906908255536893E-2</v>
      </c>
      <c r="X51" s="60">
        <f>'Air Basin Summary PM2.5 BAU'!X51/365.25</f>
        <v>-8.0452453213976566E-2</v>
      </c>
      <c r="Y51" s="60">
        <f>'Air Basin Summary PM2.5 BAU'!Y51/365.25</f>
        <v>-8.4187580659880454E-2</v>
      </c>
      <c r="Z51" s="60">
        <f>'Air Basin Summary PM2.5 BAU'!Z51/365.25</f>
        <v>-8.7677507555110973E-2</v>
      </c>
      <c r="AA51" s="60">
        <f>'Air Basin Summary PM2.5 BAU'!AA51/365.25</f>
        <v>-9.1351273107285261E-2</v>
      </c>
      <c r="AB51" s="61">
        <f>'Air Basin Summary PM2.5 BAU'!AB51/365.25</f>
        <v>-9.4763472966889056E-2</v>
      </c>
    </row>
    <row r="52" spans="1:28" ht="26.25" customHeight="1">
      <c r="A52" s="520"/>
      <c r="B52" s="2" t="str">
        <f>'BAU Comparison - AJF'!A37</f>
        <v>San Franscisco Bay Area</v>
      </c>
      <c r="C52" s="2" t="s">
        <v>18938</v>
      </c>
      <c r="D52" s="393">
        <f>'Air Basin Summary PM2.5 BAU'!D52/365.25</f>
        <v>0</v>
      </c>
      <c r="E52" s="60">
        <f>'Air Basin Summary PM2.5 BAU'!E52/365.25</f>
        <v>1.8538246860536881E-18</v>
      </c>
      <c r="F52" s="60">
        <f>'Air Basin Summary PM2.5 BAU'!F52/365.25</f>
        <v>-1.9327462663612197E-3</v>
      </c>
      <c r="G52" s="60">
        <f>'Air Basin Summary PM2.5 BAU'!G52/365.25</f>
        <v>-3.093010294088476E-3</v>
      </c>
      <c r="H52" s="60">
        <f>'Air Basin Summary PM2.5 BAU'!H52/365.25</f>
        <v>-3.9881187996305325E-3</v>
      </c>
      <c r="I52" s="60">
        <f>'Air Basin Summary PM2.5 BAU'!I52/365.25</f>
        <v>-4.8901630189099538E-3</v>
      </c>
      <c r="J52" s="60">
        <f>'Air Basin Summary PM2.5 BAU'!J52/365.25</f>
        <v>-5.9990186019002328E-3</v>
      </c>
      <c r="K52" s="60">
        <f>'Air Basin Summary PM2.5 BAU'!K52/365.25</f>
        <v>-6.9256637249472432E-3</v>
      </c>
      <c r="L52" s="60">
        <f>'Air Basin Summary PM2.5 BAU'!L52/365.25</f>
        <v>-7.8580541302945266E-3</v>
      </c>
      <c r="M52" s="60">
        <f>'Air Basin Summary PM2.5 BAU'!M52/365.25</f>
        <v>-8.754341527485365E-3</v>
      </c>
      <c r="N52" s="60">
        <f>'Air Basin Summary PM2.5 BAU'!N52/365.25</f>
        <v>-9.6241144718362658E-3</v>
      </c>
      <c r="O52" s="60">
        <f>'Air Basin Summary PM2.5 BAU'!O52/365.25</f>
        <v>-1.0511466245029964E-2</v>
      </c>
      <c r="P52" s="60">
        <f>'Air Basin Summary PM2.5 BAU'!P52/365.25</f>
        <v>-1.1364101075550264E-2</v>
      </c>
      <c r="Q52" s="60">
        <f>'Air Basin Summary PM2.5 BAU'!Q52/365.25</f>
        <v>-1.2238629707060671E-2</v>
      </c>
      <c r="R52" s="60">
        <f>'Air Basin Summary PM2.5 BAU'!R52/365.25</f>
        <v>-1.3071434516556952E-2</v>
      </c>
      <c r="S52" s="60">
        <f>'Air Basin Summary PM2.5 BAU'!S52/365.25</f>
        <v>-1.3930194555461631E-2</v>
      </c>
      <c r="T52" s="60">
        <f>'Air Basin Summary PM2.5 BAU'!T52/365.25</f>
        <v>-1.4747776521529163E-2</v>
      </c>
      <c r="U52" s="60">
        <f>'Air Basin Summary PM2.5 BAU'!U52/365.25</f>
        <v>-1.5603822709380931E-2</v>
      </c>
      <c r="V52" s="60">
        <f>'Air Basin Summary PM2.5 BAU'!V52/365.25</f>
        <v>-1.6411494903818082E-2</v>
      </c>
      <c r="W52" s="60">
        <f>'Air Basin Summary PM2.5 BAU'!W52/365.25</f>
        <v>-1.7247242446283697E-2</v>
      </c>
      <c r="X52" s="60">
        <f>'Air Basin Summary PM2.5 BAU'!X52/365.25</f>
        <v>-1.8028036722043277E-2</v>
      </c>
      <c r="Y52" s="60">
        <f>'Air Basin Summary PM2.5 BAU'!Y52/365.25</f>
        <v>-1.8850018288921931E-2</v>
      </c>
      <c r="Z52" s="60">
        <f>'Air Basin Summary PM2.5 BAU'!Z52/365.25</f>
        <v>-1.9615835952269678E-2</v>
      </c>
      <c r="AA52" s="60">
        <f>'Air Basin Summary PM2.5 BAU'!AA52/365.25</f>
        <v>-2.0421534965147412E-2</v>
      </c>
      <c r="AB52" s="61">
        <f>'Air Basin Summary PM2.5 BAU'!AB52/365.25</f>
        <v>-2.1167541547599436E-2</v>
      </c>
    </row>
    <row r="53" spans="1:28" ht="26.25" customHeight="1">
      <c r="A53" s="520"/>
      <c r="B53" s="2" t="str">
        <f>'BAU Comparison - AJF'!A38</f>
        <v xml:space="preserve">San Joaquin Valley </v>
      </c>
      <c r="C53" s="2" t="s">
        <v>18938</v>
      </c>
      <c r="D53" s="393">
        <f>'Air Basin Summary PM2.5 BAU'!D53/365.25</f>
        <v>0</v>
      </c>
      <c r="E53" s="60">
        <f>'Air Basin Summary PM2.5 BAU'!E53/365.25</f>
        <v>8.9057036433929779E-18</v>
      </c>
      <c r="F53" s="60">
        <f>'Air Basin Summary PM2.5 BAU'!F53/365.25</f>
        <v>-9.0020088314993491E-3</v>
      </c>
      <c r="G53" s="60">
        <f>'Air Basin Summary PM2.5 BAU'!G53/365.25</f>
        <v>-1.4272198680694478E-2</v>
      </c>
      <c r="H53" s="60">
        <f>'Air Basin Summary PM2.5 BAU'!H53/365.25</f>
        <v>-1.8344536694725879E-2</v>
      </c>
      <c r="I53" s="60">
        <f>'Air Basin Summary PM2.5 BAU'!I53/365.25</f>
        <v>-2.2312745594532651E-2</v>
      </c>
      <c r="J53" s="60">
        <f>'Air Basin Summary PM2.5 BAU'!J53/365.25</f>
        <v>-2.6342296113702351E-2</v>
      </c>
      <c r="K53" s="60">
        <f>'Air Basin Summary PM2.5 BAU'!K53/365.25</f>
        <v>-3.020534516474015E-2</v>
      </c>
      <c r="L53" s="60">
        <f>'Air Basin Summary PM2.5 BAU'!L53/365.25</f>
        <v>-3.3911242635291501E-2</v>
      </c>
      <c r="M53" s="60">
        <f>'Air Basin Summary PM2.5 BAU'!M53/365.25</f>
        <v>-3.7801846367324768E-2</v>
      </c>
      <c r="N53" s="60">
        <f>'Air Basin Summary PM2.5 BAU'!N53/365.25</f>
        <v>-4.1582537691124404E-2</v>
      </c>
      <c r="O53" s="60">
        <f>'Air Basin Summary PM2.5 BAU'!O53/365.25</f>
        <v>-4.5443736826277455E-2</v>
      </c>
      <c r="P53" s="60">
        <f>'Air Basin Summary PM2.5 BAU'!P53/365.25</f>
        <v>-4.9159415076234281E-2</v>
      </c>
      <c r="Q53" s="60">
        <f>'Air Basin Summary PM2.5 BAU'!Q53/365.25</f>
        <v>-5.2974195667286457E-2</v>
      </c>
      <c r="R53" s="60">
        <f>'Air Basin Summary PM2.5 BAU'!R53/365.25</f>
        <v>-5.6612866098357091E-2</v>
      </c>
      <c r="S53" s="60">
        <f>'Air Basin Summary PM2.5 BAU'!S53/365.25</f>
        <v>-6.0368303998570086E-2</v>
      </c>
      <c r="T53" s="60">
        <f>'Air Basin Summary PM2.5 BAU'!T53/365.25</f>
        <v>-6.3949637586952754E-2</v>
      </c>
      <c r="U53" s="60">
        <f>'Air Basin Summary PM2.5 BAU'!U53/365.25</f>
        <v>-6.7702179476417199E-2</v>
      </c>
      <c r="V53" s="60">
        <f>'Air Basin Summary PM2.5 BAU'!V53/365.25</f>
        <v>-7.1249073445349947E-2</v>
      </c>
      <c r="W53" s="60">
        <f>'Air Basin Summary PM2.5 BAU'!W53/365.25</f>
        <v>-7.492211493699337E-2</v>
      </c>
      <c r="X53" s="60">
        <f>'Air Basin Summary PM2.5 BAU'!X53/365.25</f>
        <v>-7.8360676352202799E-2</v>
      </c>
      <c r="Y53" s="60">
        <f>'Air Basin Summary PM2.5 BAU'!Y53/365.25</f>
        <v>-8.1982325741127848E-2</v>
      </c>
      <c r="Z53" s="60">
        <f>'Air Basin Summary PM2.5 BAU'!Z53/365.25</f>
        <v>-8.5363970503083461E-2</v>
      </c>
      <c r="AA53" s="60">
        <f>'Air Basin Summary PM2.5 BAU'!AA53/365.25</f>
        <v>-8.8923148593742882E-2</v>
      </c>
      <c r="AB53" s="61">
        <f>'Air Basin Summary PM2.5 BAU'!AB53/365.25</f>
        <v>-9.2226426149371127E-2</v>
      </c>
    </row>
    <row r="54" spans="1:28" ht="26.25" customHeight="1">
      <c r="A54" s="520"/>
      <c r="B54" s="2" t="str">
        <f>'BAU Comparison - AJF'!A39</f>
        <v>South Central Coast</v>
      </c>
      <c r="C54" s="2" t="s">
        <v>18938</v>
      </c>
      <c r="D54" s="393">
        <f>'Air Basin Summary PM2.5 BAU'!D54/365.25</f>
        <v>0</v>
      </c>
      <c r="E54" s="60">
        <f>'Air Basin Summary PM2.5 BAU'!E54/365.25</f>
        <v>1.4061834024036186E-18</v>
      </c>
      <c r="F54" s="60">
        <f>'Air Basin Summary PM2.5 BAU'!F54/365.25</f>
        <v>-1.5133678339392465E-3</v>
      </c>
      <c r="G54" s="60">
        <f>'Air Basin Summary PM2.5 BAU'!G54/365.25</f>
        <v>-2.6469584897216344E-3</v>
      </c>
      <c r="H54" s="60">
        <f>'Air Basin Summary PM2.5 BAU'!H54/365.25</f>
        <v>-3.4013674715651127E-3</v>
      </c>
      <c r="I54" s="60">
        <f>'Air Basin Summary PM2.5 BAU'!I54/365.25</f>
        <v>-4.1593832768561916E-3</v>
      </c>
      <c r="J54" s="60">
        <f>'Air Basin Summary PM2.5 BAU'!J54/365.25</f>
        <v>-5.2851284102568554E-3</v>
      </c>
      <c r="K54" s="60">
        <f>'Air Basin Summary PM2.5 BAU'!K54/365.25</f>
        <v>-6.0469260201297271E-3</v>
      </c>
      <c r="L54" s="60">
        <f>'Air Basin Summary PM2.5 BAU'!L54/365.25</f>
        <v>-7.2890533556502542E-3</v>
      </c>
      <c r="M54" s="60">
        <f>'Air Basin Summary PM2.5 BAU'!M54/365.25</f>
        <v>-8.1301009470725032E-3</v>
      </c>
      <c r="N54" s="60">
        <f>'Air Basin Summary PM2.5 BAU'!N54/365.25</f>
        <v>-9.5803412317151063E-3</v>
      </c>
      <c r="O54" s="60">
        <f>'Air Basin Summary PM2.5 BAU'!O54/365.25</f>
        <v>-1.0503220599483106E-2</v>
      </c>
      <c r="P54" s="60">
        <f>'Air Basin Summary PM2.5 BAU'!P54/365.25</f>
        <v>-1.2145774902060249E-2</v>
      </c>
      <c r="Q54" s="60">
        <f>'Air Basin Summary PM2.5 BAU'!Q54/365.25</f>
        <v>-1.3161875833505697E-2</v>
      </c>
      <c r="R54" s="60">
        <f>'Air Basin Summary PM2.5 BAU'!R54/365.25</f>
        <v>-1.5006006023668826E-2</v>
      </c>
      <c r="S54" s="60">
        <f>'Air Basin Summary PM2.5 BAU'!S54/365.25</f>
        <v>-1.6128371912047097E-2</v>
      </c>
      <c r="T54" s="60">
        <f>'Air Basin Summary PM2.5 BAU'!T54/365.25</f>
        <v>-1.81927216216109E-2</v>
      </c>
      <c r="U54" s="60">
        <f>'Air Basin Summary PM2.5 BAU'!U54/365.25</f>
        <v>-1.9454856580838117E-2</v>
      </c>
      <c r="V54" s="60">
        <f>'Air Basin Summary PM2.5 BAU'!V54/365.25</f>
        <v>-2.1763395035460053E-2</v>
      </c>
      <c r="W54" s="60">
        <f>'Air Basin Summary PM2.5 BAU'!W54/365.25</f>
        <v>-2.3162866682249865E-2</v>
      </c>
      <c r="X54" s="60">
        <f>'Air Basin Summary PM2.5 BAU'!X54/365.25</f>
        <v>-2.5710274210056023E-2</v>
      </c>
      <c r="Y54" s="60">
        <f>'Air Basin Summary PM2.5 BAU'!Y54/365.25</f>
        <v>-2.7274823953551793E-2</v>
      </c>
      <c r="Z54" s="60">
        <f>'Air Basin Summary PM2.5 BAU'!Z54/365.25</f>
        <v>-3.0094601007320237E-2</v>
      </c>
      <c r="AA54" s="60">
        <f>'Air Basin Summary PM2.5 BAU'!AA54/365.25</f>
        <v>-3.18429740519749E-2</v>
      </c>
      <c r="AB54" s="61">
        <f>'Air Basin Summary PM2.5 BAU'!AB54/365.25</f>
        <v>-3.494776313838515E-2</v>
      </c>
    </row>
    <row r="55" spans="1:28" ht="26.25" customHeight="1">
      <c r="A55" s="520"/>
      <c r="B55" s="2" t="str">
        <f>'BAU Comparison - AJF'!A40</f>
        <v>South Coast</v>
      </c>
      <c r="C55" s="2" t="s">
        <v>18938</v>
      </c>
      <c r="D55" s="394">
        <f>'Air Basin Summary PM2.5 BAU'!D55/365.25</f>
        <v>0</v>
      </c>
      <c r="E55" s="64">
        <f>'Air Basin Summary PM2.5 BAU'!E55/365.25</f>
        <v>2.7465971133358188E-18</v>
      </c>
      <c r="F55" s="64">
        <f>'Air Basin Summary PM2.5 BAU'!F55/365.25</f>
        <v>-2.8083354253391731E-3</v>
      </c>
      <c r="G55" s="64">
        <f>'Air Basin Summary PM2.5 BAU'!G55/365.25</f>
        <v>-4.5033154143622267E-3</v>
      </c>
      <c r="H55" s="64">
        <f>'Air Basin Summary PM2.5 BAU'!H55/365.25</f>
        <v>-5.8541910347499754E-3</v>
      </c>
      <c r="I55" s="64">
        <f>'Air Basin Summary PM2.5 BAU'!I55/365.25</f>
        <v>-7.2006419005118862E-3</v>
      </c>
      <c r="J55" s="64">
        <f>'Air Basin Summary PM2.5 BAU'!J55/365.25</f>
        <v>-8.59304577965842E-3</v>
      </c>
      <c r="K55" s="64">
        <f>'Air Basin Summary PM2.5 BAU'!K55/365.25</f>
        <v>-9.960330861682529E-3</v>
      </c>
      <c r="L55" s="64">
        <f>'Air Basin Summary PM2.5 BAU'!L55/365.25</f>
        <v>-1.130360034842629E-2</v>
      </c>
      <c r="M55" s="64">
        <f>'Air Basin Summary PM2.5 BAU'!M55/365.25</f>
        <v>-1.2734055239391147E-2</v>
      </c>
      <c r="N55" s="64">
        <f>'Air Basin Summary PM2.5 BAU'!N55/365.25</f>
        <v>-1.4034257351503246E-2</v>
      </c>
      <c r="O55" s="64">
        <f>'Air Basin Summary PM2.5 BAU'!O55/365.25</f>
        <v>-1.536256934998987E-2</v>
      </c>
      <c r="P55" s="64">
        <f>'Air Basin Summary PM2.5 BAU'!P55/365.25</f>
        <v>-1.6649484432728814E-2</v>
      </c>
      <c r="Q55" s="64">
        <f>'Air Basin Summary PM2.5 BAU'!Q55/365.25</f>
        <v>-1.7969547635319931E-2</v>
      </c>
      <c r="R55" s="64">
        <f>'Air Basin Summary PM2.5 BAU'!R55/365.25</f>
        <v>-1.9240940054993196E-2</v>
      </c>
      <c r="S55" s="64">
        <f>'Air Basin Summary PM2.5 BAU'!S55/365.25</f>
        <v>-2.0551456338900344E-2</v>
      </c>
      <c r="T55" s="64">
        <f>'Air Basin Summary PM2.5 BAU'!T55/365.25</f>
        <v>-2.1757649117630878E-2</v>
      </c>
      <c r="U55" s="64">
        <f>'Air Basin Summary PM2.5 BAU'!U55/365.25</f>
        <v>-2.3020588826309963E-2</v>
      </c>
      <c r="V55" s="64">
        <f>'Air Basin Summary PM2.5 BAU'!V55/365.25</f>
        <v>-2.4212161547999694E-2</v>
      </c>
      <c r="W55" s="64">
        <f>'Air Basin Summary PM2.5 BAU'!W55/365.25</f>
        <v>-2.5445154314966557E-2</v>
      </c>
      <c r="X55" s="64">
        <f>'Air Basin Summary PM2.5 BAU'!X55/365.25</f>
        <v>-2.6597073579557519E-2</v>
      </c>
      <c r="Y55" s="64">
        <f>'Air Basin Summary PM2.5 BAU'!Y55/365.25</f>
        <v>-2.7809757165262666E-2</v>
      </c>
      <c r="Z55" s="64">
        <f>'Air Basin Summary PM2.5 BAU'!Z55/365.25</f>
        <v>-2.8939581175199354E-2</v>
      </c>
      <c r="AA55" s="64">
        <f>'Air Basin Summary PM2.5 BAU'!AA55/365.25</f>
        <v>-3.0128242828094925E-2</v>
      </c>
      <c r="AB55" s="65">
        <f>'Air Basin Summary PM2.5 BAU'!AB55/365.25</f>
        <v>-3.1228839208623148E-2</v>
      </c>
    </row>
    <row r="56" spans="1:28" ht="26.25" customHeight="1">
      <c r="A56" s="520"/>
      <c r="B56" s="15" t="str">
        <f>'BAU Comparison - AJF'!A41</f>
        <v>STATEWIDE</v>
      </c>
      <c r="C56" s="73" t="s">
        <v>18938</v>
      </c>
      <c r="D56" s="175">
        <f>'Air Basin Summary PM2.5 BAU'!D56/365.25</f>
        <v>0</v>
      </c>
      <c r="E56" s="175">
        <f>'Air Basin Summary PM2.5 BAU'!E56/365.25</f>
        <v>4.9279413117605986E-17</v>
      </c>
      <c r="F56" s="175">
        <f>'Air Basin Summary PM2.5 BAU'!F56/365.25</f>
        <v>-5.0088195189531989E-2</v>
      </c>
      <c r="G56" s="175">
        <f>'Air Basin Summary PM2.5 BAU'!G56/365.25</f>
        <v>-7.9880071772561054E-2</v>
      </c>
      <c r="H56" s="175">
        <f>'Air Basin Summary PM2.5 BAU'!H56/365.25</f>
        <v>-0.10292160326821398</v>
      </c>
      <c r="I56" s="175">
        <f>'Air Basin Summary PM2.5 BAU'!I56/365.25</f>
        <v>-0.12554487640018555</v>
      </c>
      <c r="J56" s="175">
        <f>'Air Basin Summary PM2.5 BAU'!J56/365.25</f>
        <v>-0.14915550025162352</v>
      </c>
      <c r="K56" s="175">
        <f>'Air Basin Summary PM2.5 BAU'!K56/365.25</f>
        <v>-0.17145017680123789</v>
      </c>
      <c r="L56" s="175">
        <f>'Air Basin Summary PM2.5 BAU'!L56/365.25</f>
        <v>-0.19351889729948502</v>
      </c>
      <c r="M56" s="175">
        <f>'Air Basin Summary PM2.5 BAU'!M56/365.25</f>
        <v>-0.21619927769747066</v>
      </c>
      <c r="N56" s="175">
        <f>'Air Basin Summary PM2.5 BAU'!N56/365.25</f>
        <v>-0.23885525931131085</v>
      </c>
      <c r="O56" s="175">
        <f>'Air Basin Summary PM2.5 BAU'!O56/365.25</f>
        <v>-0.26149660165466337</v>
      </c>
      <c r="P56" s="175">
        <f>'Air Basin Summary PM2.5 BAU'!P56/365.25</f>
        <v>-0.28414892345088133</v>
      </c>
      <c r="Q56" s="175">
        <f>'Air Basin Summary PM2.5 BAU'!Q56/365.25</f>
        <v>-0.30676830690064044</v>
      </c>
      <c r="R56" s="175">
        <f>'Air Basin Summary PM2.5 BAU'!R56/365.25</f>
        <v>-0.3293876903382621</v>
      </c>
      <c r="S56" s="175">
        <f>'Air Basin Summary PM2.5 BAU'!S56/365.25</f>
        <v>-0.35200707377588358</v>
      </c>
      <c r="T56" s="175">
        <f>'Air Basin Summary PM2.5 BAU'!T56/365.25</f>
        <v>-0.37462645721350479</v>
      </c>
      <c r="U56" s="175">
        <f>'Air Basin Summary PM2.5 BAU'!U56/365.25</f>
        <v>-0.39746643927052783</v>
      </c>
      <c r="V56" s="175">
        <f>'Air Basin Summary PM2.5 BAU'!V56/365.25</f>
        <v>-0.42027519640875288</v>
      </c>
      <c r="W56" s="175">
        <f>'Air Basin Summary PM2.5 BAU'!W56/365.25</f>
        <v>-0.4429470562224791</v>
      </c>
      <c r="X56" s="175">
        <f>'Air Basin Summary PM2.5 BAU'!X56/365.25</f>
        <v>-0.46552020848599568</v>
      </c>
      <c r="Y56" s="175">
        <f>'Air Basin Summary PM2.5 BAU'!Y56/365.25</f>
        <v>-0.48820504157542083</v>
      </c>
      <c r="Z56" s="175">
        <f>'Air Basin Summary PM2.5 BAU'!Z56/365.25</f>
        <v>-0.51085819980849745</v>
      </c>
      <c r="AA56" s="175">
        <f>'Air Basin Summary PM2.5 BAU'!AA56/365.25</f>
        <v>-0.53350490887801116</v>
      </c>
      <c r="AB56" s="175">
        <f>'Air Basin Summary PM2.5 BAU'!AB56/365.25</f>
        <v>-0.55608612499689714</v>
      </c>
    </row>
    <row r="57" spans="1:28" ht="26.25" customHeight="1">
      <c r="A57" s="5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8" ht="26.25" customHeight="1">
      <c r="A58" s="520"/>
      <c r="B58" s="86"/>
      <c r="C58" s="86"/>
      <c r="D58" s="519" t="s">
        <v>18959</v>
      </c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</row>
    <row r="59" spans="1:28" ht="26.25" customHeight="1">
      <c r="A59" s="520"/>
      <c r="B59" s="88" t="s">
        <v>18814</v>
      </c>
      <c r="C59" s="90" t="str">
        <f>'BAU Comparison - Production'!C166</f>
        <v>Units</v>
      </c>
      <c r="D59" s="156">
        <f>'BAU Comparison - Production'!D166</f>
        <v>2022</v>
      </c>
      <c r="E59" s="156">
        <f>'BAU Comparison - Production'!E166</f>
        <v>2023</v>
      </c>
      <c r="F59" s="156">
        <f>'BAU Comparison - Production'!F166</f>
        <v>2024</v>
      </c>
      <c r="G59" s="156">
        <f>'BAU Comparison - Production'!G166</f>
        <v>2025</v>
      </c>
      <c r="H59" s="156">
        <f>'BAU Comparison - Production'!H166</f>
        <v>2026</v>
      </c>
      <c r="I59" s="156">
        <f>'BAU Comparison - Production'!I166</f>
        <v>2027</v>
      </c>
      <c r="J59" s="156">
        <f>'BAU Comparison - Production'!J166</f>
        <v>2028</v>
      </c>
      <c r="K59" s="156">
        <f>'BAU Comparison - Production'!K166</f>
        <v>2029</v>
      </c>
      <c r="L59" s="157">
        <f>'BAU Comparison - Production'!L166</f>
        <v>2030</v>
      </c>
      <c r="M59" s="156">
        <f>'BAU Comparison - Production'!M166</f>
        <v>2031</v>
      </c>
      <c r="N59" s="156">
        <f>'BAU Comparison - Production'!N166</f>
        <v>2032</v>
      </c>
      <c r="O59" s="156">
        <f>'BAU Comparison - Production'!O166</f>
        <v>2033</v>
      </c>
      <c r="P59" s="156">
        <f>'BAU Comparison - Production'!P166</f>
        <v>2034</v>
      </c>
      <c r="Q59" s="156">
        <f>'BAU Comparison - Production'!Q166</f>
        <v>2035</v>
      </c>
      <c r="R59" s="156">
        <f>'BAU Comparison - Production'!R166</f>
        <v>2036</v>
      </c>
      <c r="S59" s="156">
        <f>'BAU Comparison - Production'!S166</f>
        <v>2037</v>
      </c>
      <c r="T59" s="156">
        <f>'BAU Comparison - Production'!T166</f>
        <v>2038</v>
      </c>
      <c r="U59" s="157">
        <f>'BAU Comparison - Production'!U166</f>
        <v>2039</v>
      </c>
      <c r="V59" s="156">
        <f>'BAU Comparison - Production'!V166</f>
        <v>2040</v>
      </c>
      <c r="W59" s="156">
        <f>'BAU Comparison - Production'!W166</f>
        <v>2041</v>
      </c>
      <c r="X59" s="156">
        <f>'BAU Comparison - Production'!X166</f>
        <v>2042</v>
      </c>
      <c r="Y59" s="156">
        <f>'BAU Comparison - Production'!Y166</f>
        <v>2043</v>
      </c>
      <c r="Z59" s="156">
        <f>'BAU Comparison - Production'!Z166</f>
        <v>2044</v>
      </c>
      <c r="AA59" s="156">
        <f>'BAU Comparison - Production'!AA166</f>
        <v>2045</v>
      </c>
      <c r="AB59" s="156">
        <f>'BAU Comparison - Production'!AB166</f>
        <v>2046</v>
      </c>
    </row>
    <row r="60" spans="1:28" ht="26.25" customHeight="1">
      <c r="A60" s="520"/>
      <c r="B60" s="83" t="str">
        <f>'BAU Comparison - Production'!B167</f>
        <v>Great Basin Valleys</v>
      </c>
      <c r="C60" s="2" t="s">
        <v>18938</v>
      </c>
      <c r="D60" s="104">
        <f>'Air Basin Summary PM2.5 BAU'!D60/365.25</f>
        <v>0</v>
      </c>
      <c r="E60" s="79">
        <f>'Air Basin Summary PM2.5 BAU'!E60/365.25</f>
        <v>0</v>
      </c>
      <c r="F60" s="79">
        <f>'Air Basin Summary PM2.5 BAU'!F60/365.25</f>
        <v>0</v>
      </c>
      <c r="G60" s="79">
        <f>'Air Basin Summary PM2.5 BAU'!G60/365.25</f>
        <v>0</v>
      </c>
      <c r="H60" s="79">
        <f>'Air Basin Summary PM2.5 BAU'!H60/365.25</f>
        <v>0</v>
      </c>
      <c r="I60" s="79">
        <f>'Air Basin Summary PM2.5 BAU'!I60/365.25</f>
        <v>0</v>
      </c>
      <c r="J60" s="79">
        <f>'Air Basin Summary PM2.5 BAU'!J60/365.25</f>
        <v>0</v>
      </c>
      <c r="K60" s="79">
        <f>'Air Basin Summary PM2.5 BAU'!K60/365.25</f>
        <v>0</v>
      </c>
      <c r="L60" s="79">
        <f>'Air Basin Summary PM2.5 BAU'!L60/365.25</f>
        <v>0</v>
      </c>
      <c r="M60" s="79">
        <f>'Air Basin Summary PM2.5 BAU'!M60/365.25</f>
        <v>0</v>
      </c>
      <c r="N60" s="79">
        <f>'Air Basin Summary PM2.5 BAU'!N60/365.25</f>
        <v>0</v>
      </c>
      <c r="O60" s="79">
        <f>'Air Basin Summary PM2.5 BAU'!O60/365.25</f>
        <v>0</v>
      </c>
      <c r="P60" s="79">
        <f>'Air Basin Summary PM2.5 BAU'!P60/365.25</f>
        <v>0</v>
      </c>
      <c r="Q60" s="79">
        <f>'Air Basin Summary PM2.5 BAU'!Q60/365.25</f>
        <v>0</v>
      </c>
      <c r="R60" s="79">
        <f>'Air Basin Summary PM2.5 BAU'!R60/365.25</f>
        <v>0</v>
      </c>
      <c r="S60" s="79">
        <f>'Air Basin Summary PM2.5 BAU'!S60/365.25</f>
        <v>0</v>
      </c>
      <c r="T60" s="79">
        <f>'Air Basin Summary PM2.5 BAU'!T60/365.25</f>
        <v>0</v>
      </c>
      <c r="U60" s="79">
        <f>'Air Basin Summary PM2.5 BAU'!U60/365.25</f>
        <v>0</v>
      </c>
      <c r="V60" s="79">
        <f>'Air Basin Summary PM2.5 BAU'!V60/365.25</f>
        <v>0</v>
      </c>
      <c r="W60" s="79">
        <f>'Air Basin Summary PM2.5 BAU'!W60/365.25</f>
        <v>0</v>
      </c>
      <c r="X60" s="79">
        <f>'Air Basin Summary PM2.5 BAU'!X60/365.25</f>
        <v>0</v>
      </c>
      <c r="Y60" s="79">
        <f>'Air Basin Summary PM2.5 BAU'!Y60/365.25</f>
        <v>0</v>
      </c>
      <c r="Z60" s="79">
        <f>'Air Basin Summary PM2.5 BAU'!Z60/365.25</f>
        <v>0</v>
      </c>
      <c r="AA60" s="79">
        <f>'Air Basin Summary PM2.5 BAU'!AA60/365.25</f>
        <v>0</v>
      </c>
      <c r="AB60" s="80">
        <f>'Air Basin Summary PM2.5 BAU'!AB60/365.25</f>
        <v>0</v>
      </c>
    </row>
    <row r="61" spans="1:28" ht="26.25" customHeight="1">
      <c r="A61" s="520"/>
      <c r="B61" s="2" t="str">
        <f>'BAU Comparison - Production'!B168</f>
        <v xml:space="preserve">Lake County </v>
      </c>
      <c r="C61" s="2" t="s">
        <v>18938</v>
      </c>
      <c r="D61" s="393">
        <f>'Air Basin Summary PM2.5 BAU'!D61/365.25</f>
        <v>0</v>
      </c>
      <c r="E61" s="60">
        <f>'Air Basin Summary PM2.5 BAU'!E61/365.25</f>
        <v>0</v>
      </c>
      <c r="F61" s="60">
        <f>'Air Basin Summary PM2.5 BAU'!F61/365.25</f>
        <v>0</v>
      </c>
      <c r="G61" s="60">
        <f>'Air Basin Summary PM2.5 BAU'!G61/365.25</f>
        <v>0</v>
      </c>
      <c r="H61" s="60">
        <f>'Air Basin Summary PM2.5 BAU'!H61/365.25</f>
        <v>0</v>
      </c>
      <c r="I61" s="60">
        <f>'Air Basin Summary PM2.5 BAU'!I61/365.25</f>
        <v>0</v>
      </c>
      <c r="J61" s="60">
        <f>'Air Basin Summary PM2.5 BAU'!J61/365.25</f>
        <v>0</v>
      </c>
      <c r="K61" s="60">
        <f>'Air Basin Summary PM2.5 BAU'!K61/365.25</f>
        <v>0</v>
      </c>
      <c r="L61" s="60">
        <f>'Air Basin Summary PM2.5 BAU'!L61/365.25</f>
        <v>0</v>
      </c>
      <c r="M61" s="60">
        <f>'Air Basin Summary PM2.5 BAU'!M61/365.25</f>
        <v>0</v>
      </c>
      <c r="N61" s="60">
        <f>'Air Basin Summary PM2.5 BAU'!N61/365.25</f>
        <v>0</v>
      </c>
      <c r="O61" s="60">
        <f>'Air Basin Summary PM2.5 BAU'!O61/365.25</f>
        <v>0</v>
      </c>
      <c r="P61" s="60">
        <f>'Air Basin Summary PM2.5 BAU'!P61/365.25</f>
        <v>0</v>
      </c>
      <c r="Q61" s="60">
        <f>'Air Basin Summary PM2.5 BAU'!Q61/365.25</f>
        <v>0</v>
      </c>
      <c r="R61" s="60">
        <f>'Air Basin Summary PM2.5 BAU'!R61/365.25</f>
        <v>0</v>
      </c>
      <c r="S61" s="60">
        <f>'Air Basin Summary PM2.5 BAU'!S61/365.25</f>
        <v>0</v>
      </c>
      <c r="T61" s="60">
        <f>'Air Basin Summary PM2.5 BAU'!T61/365.25</f>
        <v>0</v>
      </c>
      <c r="U61" s="60">
        <f>'Air Basin Summary PM2.5 BAU'!U61/365.25</f>
        <v>0</v>
      </c>
      <c r="V61" s="60">
        <f>'Air Basin Summary PM2.5 BAU'!V61/365.25</f>
        <v>0</v>
      </c>
      <c r="W61" s="60">
        <f>'Air Basin Summary PM2.5 BAU'!W61/365.25</f>
        <v>0</v>
      </c>
      <c r="X61" s="60">
        <f>'Air Basin Summary PM2.5 BAU'!X61/365.25</f>
        <v>0</v>
      </c>
      <c r="Y61" s="60">
        <f>'Air Basin Summary PM2.5 BAU'!Y61/365.25</f>
        <v>0</v>
      </c>
      <c r="Z61" s="60">
        <f>'Air Basin Summary PM2.5 BAU'!Z61/365.25</f>
        <v>0</v>
      </c>
      <c r="AA61" s="60">
        <f>'Air Basin Summary PM2.5 BAU'!AA61/365.25</f>
        <v>0</v>
      </c>
      <c r="AB61" s="61">
        <f>'Air Basin Summary PM2.5 BAU'!AB61/365.25</f>
        <v>0</v>
      </c>
    </row>
    <row r="62" spans="1:28" ht="26.25" customHeight="1">
      <c r="A62" s="520"/>
      <c r="B62" s="2" t="str">
        <f>'BAU Comparison - Production'!B169</f>
        <v xml:space="preserve">Lake Tahoe </v>
      </c>
      <c r="C62" s="2" t="s">
        <v>18938</v>
      </c>
      <c r="D62" s="393">
        <f>'Air Basin Summary PM2.5 BAU'!D62/365.25</f>
        <v>0</v>
      </c>
      <c r="E62" s="60">
        <f>'Air Basin Summary PM2.5 BAU'!E62/365.25</f>
        <v>0</v>
      </c>
      <c r="F62" s="60">
        <f>'Air Basin Summary PM2.5 BAU'!F62/365.25</f>
        <v>0</v>
      </c>
      <c r="G62" s="60">
        <f>'Air Basin Summary PM2.5 BAU'!G62/365.25</f>
        <v>0</v>
      </c>
      <c r="H62" s="60">
        <f>'Air Basin Summary PM2.5 BAU'!H62/365.25</f>
        <v>0</v>
      </c>
      <c r="I62" s="60">
        <f>'Air Basin Summary PM2.5 BAU'!I62/365.25</f>
        <v>0</v>
      </c>
      <c r="J62" s="60">
        <f>'Air Basin Summary PM2.5 BAU'!J62/365.25</f>
        <v>0</v>
      </c>
      <c r="K62" s="60">
        <f>'Air Basin Summary PM2.5 BAU'!K62/365.25</f>
        <v>0</v>
      </c>
      <c r="L62" s="60">
        <f>'Air Basin Summary PM2.5 BAU'!L62/365.25</f>
        <v>0</v>
      </c>
      <c r="M62" s="60">
        <f>'Air Basin Summary PM2.5 BAU'!M62/365.25</f>
        <v>0</v>
      </c>
      <c r="N62" s="60">
        <f>'Air Basin Summary PM2.5 BAU'!N62/365.25</f>
        <v>0</v>
      </c>
      <c r="O62" s="60">
        <f>'Air Basin Summary PM2.5 BAU'!O62/365.25</f>
        <v>0</v>
      </c>
      <c r="P62" s="60">
        <f>'Air Basin Summary PM2.5 BAU'!P62/365.25</f>
        <v>0</v>
      </c>
      <c r="Q62" s="60">
        <f>'Air Basin Summary PM2.5 BAU'!Q62/365.25</f>
        <v>0</v>
      </c>
      <c r="R62" s="60">
        <f>'Air Basin Summary PM2.5 BAU'!R62/365.25</f>
        <v>0</v>
      </c>
      <c r="S62" s="60">
        <f>'Air Basin Summary PM2.5 BAU'!S62/365.25</f>
        <v>0</v>
      </c>
      <c r="T62" s="60">
        <f>'Air Basin Summary PM2.5 BAU'!T62/365.25</f>
        <v>0</v>
      </c>
      <c r="U62" s="60">
        <f>'Air Basin Summary PM2.5 BAU'!U62/365.25</f>
        <v>0</v>
      </c>
      <c r="V62" s="60">
        <f>'Air Basin Summary PM2.5 BAU'!V62/365.25</f>
        <v>0</v>
      </c>
      <c r="W62" s="60">
        <f>'Air Basin Summary PM2.5 BAU'!W62/365.25</f>
        <v>0</v>
      </c>
      <c r="X62" s="60">
        <f>'Air Basin Summary PM2.5 BAU'!X62/365.25</f>
        <v>0</v>
      </c>
      <c r="Y62" s="60">
        <f>'Air Basin Summary PM2.5 BAU'!Y62/365.25</f>
        <v>0</v>
      </c>
      <c r="Z62" s="60">
        <f>'Air Basin Summary PM2.5 BAU'!Z62/365.25</f>
        <v>0</v>
      </c>
      <c r="AA62" s="60">
        <f>'Air Basin Summary PM2.5 BAU'!AA62/365.25</f>
        <v>0</v>
      </c>
      <c r="AB62" s="61">
        <f>'Air Basin Summary PM2.5 BAU'!AB62/365.25</f>
        <v>0</v>
      </c>
    </row>
    <row r="63" spans="1:28" ht="26.25" customHeight="1">
      <c r="A63" s="520"/>
      <c r="B63" s="2" t="str">
        <f>'BAU Comparison - Production'!B170</f>
        <v>Mojave Desert</v>
      </c>
      <c r="C63" s="2" t="s">
        <v>18938</v>
      </c>
      <c r="D63" s="393">
        <f>'Air Basin Summary PM2.5 BAU'!D63/365.25</f>
        <v>0</v>
      </c>
      <c r="E63" s="60">
        <f>'Air Basin Summary PM2.5 BAU'!E63/365.25</f>
        <v>0</v>
      </c>
      <c r="F63" s="60">
        <f>'Air Basin Summary PM2.5 BAU'!F63/365.25</f>
        <v>0</v>
      </c>
      <c r="G63" s="60">
        <f>'Air Basin Summary PM2.5 BAU'!G63/365.25</f>
        <v>0</v>
      </c>
      <c r="H63" s="60">
        <f>'Air Basin Summary PM2.5 BAU'!H63/365.25</f>
        <v>0</v>
      </c>
      <c r="I63" s="60">
        <f>'Air Basin Summary PM2.5 BAU'!I63/365.25</f>
        <v>0</v>
      </c>
      <c r="J63" s="60">
        <f>'Air Basin Summary PM2.5 BAU'!J63/365.25</f>
        <v>0</v>
      </c>
      <c r="K63" s="60">
        <f>'Air Basin Summary PM2.5 BAU'!K63/365.25</f>
        <v>0</v>
      </c>
      <c r="L63" s="60">
        <f>'Air Basin Summary PM2.5 BAU'!L63/365.25</f>
        <v>0</v>
      </c>
      <c r="M63" s="60">
        <f>'Air Basin Summary PM2.5 BAU'!M63/365.25</f>
        <v>0</v>
      </c>
      <c r="N63" s="60">
        <f>'Air Basin Summary PM2.5 BAU'!N63/365.25</f>
        <v>0</v>
      </c>
      <c r="O63" s="60">
        <f>'Air Basin Summary PM2.5 BAU'!O63/365.25</f>
        <v>0</v>
      </c>
      <c r="P63" s="60">
        <f>'Air Basin Summary PM2.5 BAU'!P63/365.25</f>
        <v>0</v>
      </c>
      <c r="Q63" s="60">
        <f>'Air Basin Summary PM2.5 BAU'!Q63/365.25</f>
        <v>0</v>
      </c>
      <c r="R63" s="60">
        <f>'Air Basin Summary PM2.5 BAU'!R63/365.25</f>
        <v>0</v>
      </c>
      <c r="S63" s="60">
        <f>'Air Basin Summary PM2.5 BAU'!S63/365.25</f>
        <v>0</v>
      </c>
      <c r="T63" s="60">
        <f>'Air Basin Summary PM2.5 BAU'!T63/365.25</f>
        <v>0</v>
      </c>
      <c r="U63" s="60">
        <f>'Air Basin Summary PM2.5 BAU'!U63/365.25</f>
        <v>0</v>
      </c>
      <c r="V63" s="60">
        <f>'Air Basin Summary PM2.5 BAU'!V63/365.25</f>
        <v>0</v>
      </c>
      <c r="W63" s="60">
        <f>'Air Basin Summary PM2.5 BAU'!W63/365.25</f>
        <v>0</v>
      </c>
      <c r="X63" s="60">
        <f>'Air Basin Summary PM2.5 BAU'!X63/365.25</f>
        <v>0</v>
      </c>
      <c r="Y63" s="60">
        <f>'Air Basin Summary PM2.5 BAU'!Y63/365.25</f>
        <v>0</v>
      </c>
      <c r="Z63" s="60">
        <f>'Air Basin Summary PM2.5 BAU'!Z63/365.25</f>
        <v>0</v>
      </c>
      <c r="AA63" s="60">
        <f>'Air Basin Summary PM2.5 BAU'!AA63/365.25</f>
        <v>0</v>
      </c>
      <c r="AB63" s="61">
        <f>'Air Basin Summary PM2.5 BAU'!AB63/365.25</f>
        <v>0</v>
      </c>
    </row>
    <row r="64" spans="1:28" ht="26.25" customHeight="1">
      <c r="A64" s="520"/>
      <c r="B64" s="2" t="str">
        <f>'BAU Comparison - Production'!B171</f>
        <v xml:space="preserve">Mountain Counties </v>
      </c>
      <c r="C64" s="2" t="s">
        <v>18938</v>
      </c>
      <c r="D64" s="393">
        <f>'Air Basin Summary PM2.5 BAU'!D64/365.25</f>
        <v>0</v>
      </c>
      <c r="E64" s="60">
        <f>'Air Basin Summary PM2.5 BAU'!E64/365.25</f>
        <v>0</v>
      </c>
      <c r="F64" s="60">
        <f>'Air Basin Summary PM2.5 BAU'!F64/365.25</f>
        <v>0</v>
      </c>
      <c r="G64" s="60">
        <f>'Air Basin Summary PM2.5 BAU'!G64/365.25</f>
        <v>0</v>
      </c>
      <c r="H64" s="60">
        <f>'Air Basin Summary PM2.5 BAU'!H64/365.25</f>
        <v>0</v>
      </c>
      <c r="I64" s="60">
        <f>'Air Basin Summary PM2.5 BAU'!I64/365.25</f>
        <v>0</v>
      </c>
      <c r="J64" s="60">
        <f>'Air Basin Summary PM2.5 BAU'!J64/365.25</f>
        <v>0</v>
      </c>
      <c r="K64" s="60">
        <f>'Air Basin Summary PM2.5 BAU'!K64/365.25</f>
        <v>0</v>
      </c>
      <c r="L64" s="60">
        <f>'Air Basin Summary PM2.5 BAU'!L64/365.25</f>
        <v>0</v>
      </c>
      <c r="M64" s="60">
        <f>'Air Basin Summary PM2.5 BAU'!M64/365.25</f>
        <v>0</v>
      </c>
      <c r="N64" s="60">
        <f>'Air Basin Summary PM2.5 BAU'!N64/365.25</f>
        <v>0</v>
      </c>
      <c r="O64" s="60">
        <f>'Air Basin Summary PM2.5 BAU'!O64/365.25</f>
        <v>0</v>
      </c>
      <c r="P64" s="60">
        <f>'Air Basin Summary PM2.5 BAU'!P64/365.25</f>
        <v>0</v>
      </c>
      <c r="Q64" s="60">
        <f>'Air Basin Summary PM2.5 BAU'!Q64/365.25</f>
        <v>0</v>
      </c>
      <c r="R64" s="60">
        <f>'Air Basin Summary PM2.5 BAU'!R64/365.25</f>
        <v>0</v>
      </c>
      <c r="S64" s="60">
        <f>'Air Basin Summary PM2.5 BAU'!S64/365.25</f>
        <v>0</v>
      </c>
      <c r="T64" s="60">
        <f>'Air Basin Summary PM2.5 BAU'!T64/365.25</f>
        <v>0</v>
      </c>
      <c r="U64" s="60">
        <f>'Air Basin Summary PM2.5 BAU'!U64/365.25</f>
        <v>0</v>
      </c>
      <c r="V64" s="60">
        <f>'Air Basin Summary PM2.5 BAU'!V64/365.25</f>
        <v>0</v>
      </c>
      <c r="W64" s="60">
        <f>'Air Basin Summary PM2.5 BAU'!W64/365.25</f>
        <v>0</v>
      </c>
      <c r="X64" s="60">
        <f>'Air Basin Summary PM2.5 BAU'!X64/365.25</f>
        <v>0</v>
      </c>
      <c r="Y64" s="60">
        <f>'Air Basin Summary PM2.5 BAU'!Y64/365.25</f>
        <v>0</v>
      </c>
      <c r="Z64" s="60">
        <f>'Air Basin Summary PM2.5 BAU'!Z64/365.25</f>
        <v>0</v>
      </c>
      <c r="AA64" s="60">
        <f>'Air Basin Summary PM2.5 BAU'!AA64/365.25</f>
        <v>0</v>
      </c>
      <c r="AB64" s="61">
        <f>'Air Basin Summary PM2.5 BAU'!AB64/365.25</f>
        <v>0</v>
      </c>
    </row>
    <row r="65" spans="1:28" ht="26.25" customHeight="1">
      <c r="A65" s="520"/>
      <c r="B65" s="2" t="str">
        <f>'BAU Comparison - Production'!B172</f>
        <v>North Central coast</v>
      </c>
      <c r="C65" s="2" t="s">
        <v>18938</v>
      </c>
      <c r="D65" s="393">
        <f>'Air Basin Summary PM2.5 BAU'!D65/365.25</f>
        <v>0</v>
      </c>
      <c r="E65" s="60">
        <f>'Air Basin Summary PM2.5 BAU'!E65/365.25</f>
        <v>0</v>
      </c>
      <c r="F65" s="60">
        <f>'Air Basin Summary PM2.5 BAU'!F65/365.25</f>
        <v>0</v>
      </c>
      <c r="G65" s="60">
        <f>'Air Basin Summary PM2.5 BAU'!G65/365.25</f>
        <v>0</v>
      </c>
      <c r="H65" s="60">
        <f>'Air Basin Summary PM2.5 BAU'!H65/365.25</f>
        <v>0</v>
      </c>
      <c r="I65" s="60">
        <f>'Air Basin Summary PM2.5 BAU'!I65/365.25</f>
        <v>0</v>
      </c>
      <c r="J65" s="60">
        <f>'Air Basin Summary PM2.5 BAU'!J65/365.25</f>
        <v>0</v>
      </c>
      <c r="K65" s="60">
        <f>'Air Basin Summary PM2.5 BAU'!K65/365.25</f>
        <v>0</v>
      </c>
      <c r="L65" s="60">
        <f>'Air Basin Summary PM2.5 BAU'!L65/365.25</f>
        <v>0</v>
      </c>
      <c r="M65" s="60">
        <f>'Air Basin Summary PM2.5 BAU'!M65/365.25</f>
        <v>0</v>
      </c>
      <c r="N65" s="60">
        <f>'Air Basin Summary PM2.5 BAU'!N65/365.25</f>
        <v>0</v>
      </c>
      <c r="O65" s="60">
        <f>'Air Basin Summary PM2.5 BAU'!O65/365.25</f>
        <v>0</v>
      </c>
      <c r="P65" s="60">
        <f>'Air Basin Summary PM2.5 BAU'!P65/365.25</f>
        <v>0</v>
      </c>
      <c r="Q65" s="60">
        <f>'Air Basin Summary PM2.5 BAU'!Q65/365.25</f>
        <v>0</v>
      </c>
      <c r="R65" s="60">
        <f>'Air Basin Summary PM2.5 BAU'!R65/365.25</f>
        <v>0</v>
      </c>
      <c r="S65" s="60">
        <f>'Air Basin Summary PM2.5 BAU'!S65/365.25</f>
        <v>0</v>
      </c>
      <c r="T65" s="60">
        <f>'Air Basin Summary PM2.5 BAU'!T65/365.25</f>
        <v>0</v>
      </c>
      <c r="U65" s="60">
        <f>'Air Basin Summary PM2.5 BAU'!U65/365.25</f>
        <v>0</v>
      </c>
      <c r="V65" s="60">
        <f>'Air Basin Summary PM2.5 BAU'!V65/365.25</f>
        <v>0</v>
      </c>
      <c r="W65" s="60">
        <f>'Air Basin Summary PM2.5 BAU'!W65/365.25</f>
        <v>0</v>
      </c>
      <c r="X65" s="60">
        <f>'Air Basin Summary PM2.5 BAU'!X65/365.25</f>
        <v>0</v>
      </c>
      <c r="Y65" s="60">
        <f>'Air Basin Summary PM2.5 BAU'!Y65/365.25</f>
        <v>0</v>
      </c>
      <c r="Z65" s="60">
        <f>'Air Basin Summary PM2.5 BAU'!Z65/365.25</f>
        <v>0</v>
      </c>
      <c r="AA65" s="60">
        <f>'Air Basin Summary PM2.5 BAU'!AA65/365.25</f>
        <v>0</v>
      </c>
      <c r="AB65" s="61">
        <f>'Air Basin Summary PM2.5 BAU'!AB65/365.25</f>
        <v>0</v>
      </c>
    </row>
    <row r="66" spans="1:28" ht="26.25" customHeight="1">
      <c r="A66" s="520"/>
      <c r="B66" s="2" t="str">
        <f>'BAU Comparison - Production'!B173</f>
        <v>North Coast</v>
      </c>
      <c r="C66" s="2" t="s">
        <v>18938</v>
      </c>
      <c r="D66" s="393">
        <f>'Air Basin Summary PM2.5 BAU'!D66/365.25</f>
        <v>0</v>
      </c>
      <c r="E66" s="60">
        <f>'Air Basin Summary PM2.5 BAU'!E66/365.25</f>
        <v>0</v>
      </c>
      <c r="F66" s="60">
        <f>'Air Basin Summary PM2.5 BAU'!F66/365.25</f>
        <v>0</v>
      </c>
      <c r="G66" s="60">
        <f>'Air Basin Summary PM2.5 BAU'!G66/365.25</f>
        <v>3.6246476999185115E-4</v>
      </c>
      <c r="H66" s="60">
        <f>'Air Basin Summary PM2.5 BAU'!H66/365.25</f>
        <v>4.0829582803825941E-4</v>
      </c>
      <c r="I66" s="60">
        <f>'Air Basin Summary PM2.5 BAU'!I66/365.25</f>
        <v>1.5416412272681462E-4</v>
      </c>
      <c r="J66" s="60">
        <f>'Air Basin Summary PM2.5 BAU'!J66/365.25</f>
        <v>2.557648585374929E-4</v>
      </c>
      <c r="K66" s="60">
        <f>'Air Basin Summary PM2.5 BAU'!K66/365.25</f>
        <v>6.5590609233530188E-5</v>
      </c>
      <c r="L66" s="60">
        <f>'Air Basin Summary PM2.5 BAU'!L66/365.25</f>
        <v>0</v>
      </c>
      <c r="M66" s="60">
        <f>'Air Basin Summary PM2.5 BAU'!M66/365.25</f>
        <v>0</v>
      </c>
      <c r="N66" s="60">
        <f>'Air Basin Summary PM2.5 BAU'!N66/365.25</f>
        <v>0</v>
      </c>
      <c r="O66" s="60">
        <f>'Air Basin Summary PM2.5 BAU'!O66/365.25</f>
        <v>4.3966670377632084E-6</v>
      </c>
      <c r="P66" s="60">
        <f>'Air Basin Summary PM2.5 BAU'!P66/365.25</f>
        <v>6.3144092906836037E-5</v>
      </c>
      <c r="Q66" s="60">
        <f>'Air Basin Summary PM2.5 BAU'!Q66/365.25</f>
        <v>1.0305115624088518E-4</v>
      </c>
      <c r="R66" s="60">
        <f>'Air Basin Summary PM2.5 BAU'!R66/365.25</f>
        <v>1.0305115624088512E-4</v>
      </c>
      <c r="S66" s="60">
        <f>'Air Basin Summary PM2.5 BAU'!S66/365.25</f>
        <v>2.4623407647634681E-4</v>
      </c>
      <c r="T66" s="60">
        <f>'Air Basin Summary PM2.5 BAU'!T66/365.25</f>
        <v>2.462340764763467E-4</v>
      </c>
      <c r="U66" s="60">
        <f>'Air Basin Summary PM2.5 BAU'!U66/365.25</f>
        <v>3.0233031187133438E-4</v>
      </c>
      <c r="V66" s="60">
        <f>'Air Basin Summary PM2.5 BAU'!V66/365.25</f>
        <v>3.8583044988541189E-4</v>
      </c>
      <c r="W66" s="60">
        <f>'Air Basin Summary PM2.5 BAU'!W66/365.25</f>
        <v>3.7794860835319147E-4</v>
      </c>
      <c r="X66" s="60">
        <f>'Air Basin Summary PM2.5 BAU'!X66/365.25</f>
        <v>3.8025654112521916E-4</v>
      </c>
      <c r="Y66" s="60">
        <f>'Air Basin Summary PM2.5 BAU'!Y66/365.25</f>
        <v>3.8292558531794678E-4</v>
      </c>
      <c r="Z66" s="60">
        <f>'Air Basin Summary PM2.5 BAU'!Z66/365.25</f>
        <v>3.2824898178130665E-4</v>
      </c>
      <c r="AA66" s="60">
        <f>'Air Basin Summary PM2.5 BAU'!AA66/365.25</f>
        <v>3.0053783296835957E-4</v>
      </c>
      <c r="AB66" s="61">
        <f>'Air Basin Summary PM2.5 BAU'!AB66/365.25</f>
        <v>2.7881633037155448E-4</v>
      </c>
    </row>
    <row r="67" spans="1:28" ht="26.25" customHeight="1">
      <c r="A67" s="520"/>
      <c r="B67" s="2" t="str">
        <f>'BAU Comparison - Production'!B174</f>
        <v>Northeast Plateau</v>
      </c>
      <c r="C67" s="2" t="s">
        <v>18938</v>
      </c>
      <c r="D67" s="393">
        <f>'Air Basin Summary PM2.5 BAU'!D67/365.25</f>
        <v>0</v>
      </c>
      <c r="E67" s="60">
        <f>'Air Basin Summary PM2.5 BAU'!E67/365.25</f>
        <v>0</v>
      </c>
      <c r="F67" s="60">
        <f>'Air Basin Summary PM2.5 BAU'!F67/365.25</f>
        <v>0</v>
      </c>
      <c r="G67" s="60">
        <f>'Air Basin Summary PM2.5 BAU'!G67/365.25</f>
        <v>0</v>
      </c>
      <c r="H67" s="60">
        <f>'Air Basin Summary PM2.5 BAU'!H67/365.25</f>
        <v>0</v>
      </c>
      <c r="I67" s="60">
        <f>'Air Basin Summary PM2.5 BAU'!I67/365.25</f>
        <v>0</v>
      </c>
      <c r="J67" s="60">
        <f>'Air Basin Summary PM2.5 BAU'!J67/365.25</f>
        <v>0</v>
      </c>
      <c r="K67" s="60">
        <f>'Air Basin Summary PM2.5 BAU'!K67/365.25</f>
        <v>0</v>
      </c>
      <c r="L67" s="60">
        <f>'Air Basin Summary PM2.5 BAU'!L67/365.25</f>
        <v>0</v>
      </c>
      <c r="M67" s="60">
        <f>'Air Basin Summary PM2.5 BAU'!M67/365.25</f>
        <v>0</v>
      </c>
      <c r="N67" s="60">
        <f>'Air Basin Summary PM2.5 BAU'!N67/365.25</f>
        <v>0</v>
      </c>
      <c r="O67" s="60">
        <f>'Air Basin Summary PM2.5 BAU'!O67/365.25</f>
        <v>0</v>
      </c>
      <c r="P67" s="60">
        <f>'Air Basin Summary PM2.5 BAU'!P67/365.25</f>
        <v>0</v>
      </c>
      <c r="Q67" s="60">
        <f>'Air Basin Summary PM2.5 BAU'!Q67/365.25</f>
        <v>0</v>
      </c>
      <c r="R67" s="60">
        <f>'Air Basin Summary PM2.5 BAU'!R67/365.25</f>
        <v>0</v>
      </c>
      <c r="S67" s="60">
        <f>'Air Basin Summary PM2.5 BAU'!S67/365.25</f>
        <v>0</v>
      </c>
      <c r="T67" s="60">
        <f>'Air Basin Summary PM2.5 BAU'!T67/365.25</f>
        <v>0</v>
      </c>
      <c r="U67" s="60">
        <f>'Air Basin Summary PM2.5 BAU'!U67/365.25</f>
        <v>0</v>
      </c>
      <c r="V67" s="60">
        <f>'Air Basin Summary PM2.5 BAU'!V67/365.25</f>
        <v>0</v>
      </c>
      <c r="W67" s="60">
        <f>'Air Basin Summary PM2.5 BAU'!W67/365.25</f>
        <v>0</v>
      </c>
      <c r="X67" s="60">
        <f>'Air Basin Summary PM2.5 BAU'!X67/365.25</f>
        <v>0</v>
      </c>
      <c r="Y67" s="60">
        <f>'Air Basin Summary PM2.5 BAU'!Y67/365.25</f>
        <v>0</v>
      </c>
      <c r="Z67" s="60">
        <f>'Air Basin Summary PM2.5 BAU'!Z67/365.25</f>
        <v>0</v>
      </c>
      <c r="AA67" s="60">
        <f>'Air Basin Summary PM2.5 BAU'!AA67/365.25</f>
        <v>0</v>
      </c>
      <c r="AB67" s="61">
        <f>'Air Basin Summary PM2.5 BAU'!AB67/365.25</f>
        <v>0</v>
      </c>
    </row>
    <row r="68" spans="1:28" ht="26.25" customHeight="1">
      <c r="A68" s="520"/>
      <c r="B68" s="2" t="str">
        <f>'BAU Comparison - Production'!B175</f>
        <v xml:space="preserve">Sacramento Valley </v>
      </c>
      <c r="C68" s="2" t="s">
        <v>18938</v>
      </c>
      <c r="D68" s="393">
        <f>'Air Basin Summary PM2.5 BAU'!D68/365.25</f>
        <v>0</v>
      </c>
      <c r="E68" s="60">
        <f>'Air Basin Summary PM2.5 BAU'!E68/365.25</f>
        <v>0</v>
      </c>
      <c r="F68" s="60">
        <f>'Air Basin Summary PM2.5 BAU'!F68/365.25</f>
        <v>0</v>
      </c>
      <c r="G68" s="60">
        <f>'Air Basin Summary PM2.5 BAU'!G68/365.25</f>
        <v>1.5706806699646884E-3</v>
      </c>
      <c r="H68" s="60">
        <f>'Air Basin Summary PM2.5 BAU'!H68/365.25</f>
        <v>1.7692819214991237E-3</v>
      </c>
      <c r="I68" s="60">
        <f>'Air Basin Summary PM2.5 BAU'!I68/365.25</f>
        <v>6.6804453181619657E-4</v>
      </c>
      <c r="J68" s="60">
        <f>'Air Basin Summary PM2.5 BAU'!J68/365.25</f>
        <v>1.1083143869958026E-3</v>
      </c>
      <c r="K68" s="60">
        <f>'Air Basin Summary PM2.5 BAU'!K68/365.25</f>
        <v>2.8422597334529747E-4</v>
      </c>
      <c r="L68" s="60">
        <f>'Air Basin Summary PM2.5 BAU'!L68/365.25</f>
        <v>0</v>
      </c>
      <c r="M68" s="60">
        <f>'Air Basin Summary PM2.5 BAU'!M68/365.25</f>
        <v>0</v>
      </c>
      <c r="N68" s="60">
        <f>'Air Basin Summary PM2.5 BAU'!N68/365.25</f>
        <v>0</v>
      </c>
      <c r="O68" s="60">
        <f>'Air Basin Summary PM2.5 BAU'!O68/365.25</f>
        <v>1.9052223830307235E-5</v>
      </c>
      <c r="P68" s="60">
        <f>'Air Basin Summary PM2.5 BAU'!P68/365.25</f>
        <v>2.7362440259628951E-4</v>
      </c>
      <c r="Q68" s="60">
        <f>'Air Basin Summary PM2.5 BAU'!Q68/365.25</f>
        <v>4.4655501037716913E-4</v>
      </c>
      <c r="R68" s="60">
        <f>'Air Basin Summary PM2.5 BAU'!R68/365.25</f>
        <v>4.4655501037716891E-4</v>
      </c>
      <c r="S68" s="60">
        <f>'Air Basin Summary PM2.5 BAU'!S68/365.25</f>
        <v>1.0670143313975028E-3</v>
      </c>
      <c r="T68" s="60">
        <f>'Air Basin Summary PM2.5 BAU'!T68/365.25</f>
        <v>1.0670143313975023E-3</v>
      </c>
      <c r="U68" s="60">
        <f>'Air Basin Summary PM2.5 BAU'!U68/365.25</f>
        <v>1.3100980181091155E-3</v>
      </c>
      <c r="V68" s="60">
        <f>'Air Basin Summary PM2.5 BAU'!V68/365.25</f>
        <v>1.6719319495034511E-3</v>
      </c>
      <c r="W68" s="60">
        <f>'Air Basin Summary PM2.5 BAU'!W68/365.25</f>
        <v>1.6377773028638299E-3</v>
      </c>
      <c r="X68" s="60">
        <f>'Air Basin Summary PM2.5 BAU'!X68/365.25</f>
        <v>1.6477783448759498E-3</v>
      </c>
      <c r="Y68" s="60">
        <f>'Air Basin Summary PM2.5 BAU'!Y68/365.25</f>
        <v>1.659344203044436E-3</v>
      </c>
      <c r="Z68" s="60">
        <f>'Air Basin Summary PM2.5 BAU'!Z68/365.25</f>
        <v>1.4224122543856619E-3</v>
      </c>
      <c r="AA68" s="60">
        <f>'Air Basin Summary PM2.5 BAU'!AA68/365.25</f>
        <v>1.3023306095295581E-3</v>
      </c>
      <c r="AB68" s="61">
        <f>'Air Basin Summary PM2.5 BAU'!AB68/365.25</f>
        <v>1.208204098276736E-3</v>
      </c>
    </row>
    <row r="69" spans="1:28" ht="26.25" customHeight="1">
      <c r="A69" s="520"/>
      <c r="B69" s="2" t="str">
        <f>'BAU Comparison - Production'!B176</f>
        <v>Salton Sea</v>
      </c>
      <c r="C69" s="2" t="s">
        <v>18938</v>
      </c>
      <c r="D69" s="393">
        <f>'Air Basin Summary PM2.5 BAU'!D69/365.25</f>
        <v>0</v>
      </c>
      <c r="E69" s="60">
        <f>'Air Basin Summary PM2.5 BAU'!E69/365.25</f>
        <v>0</v>
      </c>
      <c r="F69" s="60">
        <f>'Air Basin Summary PM2.5 BAU'!F69/365.25</f>
        <v>0</v>
      </c>
      <c r="G69" s="60">
        <f>'Air Basin Summary PM2.5 BAU'!G69/365.25</f>
        <v>1.2082158999728374E-4</v>
      </c>
      <c r="H69" s="60">
        <f>'Air Basin Summary PM2.5 BAU'!H69/365.25</f>
        <v>1.3609860934608647E-4</v>
      </c>
      <c r="I69" s="60">
        <f>'Air Basin Summary PM2.5 BAU'!I69/365.25</f>
        <v>5.13880409089382E-5</v>
      </c>
      <c r="J69" s="60">
        <f>'Air Basin Summary PM2.5 BAU'!J69/365.25</f>
        <v>8.5254952845830985E-5</v>
      </c>
      <c r="K69" s="60">
        <f>'Air Basin Summary PM2.5 BAU'!K69/365.25</f>
        <v>2.1863536411176725E-5</v>
      </c>
      <c r="L69" s="60">
        <f>'Air Basin Summary PM2.5 BAU'!L69/365.25</f>
        <v>0</v>
      </c>
      <c r="M69" s="60">
        <f>'Air Basin Summary PM2.5 BAU'!M69/365.25</f>
        <v>0</v>
      </c>
      <c r="N69" s="60">
        <f>'Air Basin Summary PM2.5 BAU'!N69/365.25</f>
        <v>0</v>
      </c>
      <c r="O69" s="60">
        <f>'Air Basin Summary PM2.5 BAU'!O69/365.25</f>
        <v>1.4655556792544026E-6</v>
      </c>
      <c r="P69" s="60">
        <f>'Air Basin Summary PM2.5 BAU'!P69/365.25</f>
        <v>2.104803096894535E-5</v>
      </c>
      <c r="Q69" s="60">
        <f>'Air Basin Summary PM2.5 BAU'!Q69/365.25</f>
        <v>3.4350385413628395E-5</v>
      </c>
      <c r="R69" s="60">
        <f>'Air Basin Summary PM2.5 BAU'!R69/365.25</f>
        <v>3.4350385413628375E-5</v>
      </c>
      <c r="S69" s="60">
        <f>'Air Basin Summary PM2.5 BAU'!S69/365.25</f>
        <v>8.2078025492115603E-5</v>
      </c>
      <c r="T69" s="60">
        <f>'Air Basin Summary PM2.5 BAU'!T69/365.25</f>
        <v>8.2078025492115562E-5</v>
      </c>
      <c r="U69" s="60">
        <f>'Air Basin Summary PM2.5 BAU'!U69/365.25</f>
        <v>1.0077677062377811E-4</v>
      </c>
      <c r="V69" s="60">
        <f>'Air Basin Summary PM2.5 BAU'!V69/365.25</f>
        <v>1.2861014996180396E-4</v>
      </c>
      <c r="W69" s="60">
        <f>'Air Basin Summary PM2.5 BAU'!W69/365.25</f>
        <v>1.2598286945106384E-4</v>
      </c>
      <c r="X69" s="60">
        <f>'Air Basin Summary PM2.5 BAU'!X69/365.25</f>
        <v>1.2675218037507305E-4</v>
      </c>
      <c r="Y69" s="60">
        <f>'Air Basin Summary PM2.5 BAU'!Y69/365.25</f>
        <v>1.2764186177264893E-4</v>
      </c>
      <c r="Z69" s="60">
        <f>'Air Basin Summary PM2.5 BAU'!Z69/365.25</f>
        <v>1.0941632726043555E-4</v>
      </c>
      <c r="AA69" s="60">
        <f>'Air Basin Summary PM2.5 BAU'!AA69/365.25</f>
        <v>1.0017927765611986E-4</v>
      </c>
      <c r="AB69" s="61">
        <f>'Air Basin Summary PM2.5 BAU'!AB69/365.25</f>
        <v>9.293877679051815E-5</v>
      </c>
    </row>
    <row r="70" spans="1:28" ht="26.25" customHeight="1">
      <c r="A70" s="520"/>
      <c r="B70" s="2" t="str">
        <f>'BAU Comparison - Production'!B177</f>
        <v xml:space="preserve">San Diego </v>
      </c>
      <c r="C70" s="2" t="s">
        <v>18938</v>
      </c>
      <c r="D70" s="393">
        <f>'Air Basin Summary PM2.5 BAU'!D70/365.25</f>
        <v>0</v>
      </c>
      <c r="E70" s="60">
        <f>'Air Basin Summary PM2.5 BAU'!E70/365.25</f>
        <v>0</v>
      </c>
      <c r="F70" s="60">
        <f>'Air Basin Summary PM2.5 BAU'!F70/365.25</f>
        <v>0</v>
      </c>
      <c r="G70" s="60">
        <f>'Air Basin Summary PM2.5 BAU'!G70/365.25</f>
        <v>0</v>
      </c>
      <c r="H70" s="60">
        <f>'Air Basin Summary PM2.5 BAU'!H70/365.25</f>
        <v>0</v>
      </c>
      <c r="I70" s="60">
        <f>'Air Basin Summary PM2.5 BAU'!I70/365.25</f>
        <v>0</v>
      </c>
      <c r="J70" s="60">
        <f>'Air Basin Summary PM2.5 BAU'!J70/365.25</f>
        <v>0</v>
      </c>
      <c r="K70" s="60">
        <f>'Air Basin Summary PM2.5 BAU'!K70/365.25</f>
        <v>0</v>
      </c>
      <c r="L70" s="60">
        <f>'Air Basin Summary PM2.5 BAU'!L70/365.25</f>
        <v>0</v>
      </c>
      <c r="M70" s="60">
        <f>'Air Basin Summary PM2.5 BAU'!M70/365.25</f>
        <v>0</v>
      </c>
      <c r="N70" s="60">
        <f>'Air Basin Summary PM2.5 BAU'!N70/365.25</f>
        <v>0</v>
      </c>
      <c r="O70" s="60">
        <f>'Air Basin Summary PM2.5 BAU'!O70/365.25</f>
        <v>0</v>
      </c>
      <c r="P70" s="60">
        <f>'Air Basin Summary PM2.5 BAU'!P70/365.25</f>
        <v>0</v>
      </c>
      <c r="Q70" s="60">
        <f>'Air Basin Summary PM2.5 BAU'!Q70/365.25</f>
        <v>0</v>
      </c>
      <c r="R70" s="60">
        <f>'Air Basin Summary PM2.5 BAU'!R70/365.25</f>
        <v>0</v>
      </c>
      <c r="S70" s="60">
        <f>'Air Basin Summary PM2.5 BAU'!S70/365.25</f>
        <v>0</v>
      </c>
      <c r="T70" s="60">
        <f>'Air Basin Summary PM2.5 BAU'!T70/365.25</f>
        <v>0</v>
      </c>
      <c r="U70" s="60">
        <f>'Air Basin Summary PM2.5 BAU'!U70/365.25</f>
        <v>0</v>
      </c>
      <c r="V70" s="60">
        <f>'Air Basin Summary PM2.5 BAU'!V70/365.25</f>
        <v>0</v>
      </c>
      <c r="W70" s="60">
        <f>'Air Basin Summary PM2.5 BAU'!W70/365.25</f>
        <v>0</v>
      </c>
      <c r="X70" s="60">
        <f>'Air Basin Summary PM2.5 BAU'!X70/365.25</f>
        <v>0</v>
      </c>
      <c r="Y70" s="60">
        <f>'Air Basin Summary PM2.5 BAU'!Y70/365.25</f>
        <v>0</v>
      </c>
      <c r="Z70" s="60">
        <f>'Air Basin Summary PM2.5 BAU'!Z70/365.25</f>
        <v>0</v>
      </c>
      <c r="AA70" s="60">
        <f>'Air Basin Summary PM2.5 BAU'!AA70/365.25</f>
        <v>0</v>
      </c>
      <c r="AB70" s="61">
        <f>'Air Basin Summary PM2.5 BAU'!AB70/365.25</f>
        <v>0</v>
      </c>
    </row>
    <row r="71" spans="1:28" ht="26.25" customHeight="1">
      <c r="A71" s="520"/>
      <c r="B71" s="2" t="str">
        <f>'BAU Comparison - Production'!B178</f>
        <v>San Franscisco Bay Area</v>
      </c>
      <c r="C71" s="2" t="s">
        <v>18938</v>
      </c>
      <c r="D71" s="393">
        <f>'Air Basin Summary PM2.5 BAU'!D71/365.25</f>
        <v>0</v>
      </c>
      <c r="E71" s="60">
        <f>'Air Basin Summary PM2.5 BAU'!E71/365.25</f>
        <v>0</v>
      </c>
      <c r="F71" s="60">
        <f>'Air Basin Summary PM2.5 BAU'!F71/365.25</f>
        <v>0</v>
      </c>
      <c r="G71" s="60">
        <f>'Air Basin Summary PM2.5 BAU'!G71/365.25</f>
        <v>0</v>
      </c>
      <c r="H71" s="60">
        <f>'Air Basin Summary PM2.5 BAU'!H71/365.25</f>
        <v>0</v>
      </c>
      <c r="I71" s="60">
        <f>'Air Basin Summary PM2.5 BAU'!I71/365.25</f>
        <v>0</v>
      </c>
      <c r="J71" s="60">
        <f>'Air Basin Summary PM2.5 BAU'!J71/365.25</f>
        <v>0</v>
      </c>
      <c r="K71" s="60">
        <f>'Air Basin Summary PM2.5 BAU'!K71/365.25</f>
        <v>0</v>
      </c>
      <c r="L71" s="60">
        <f>'Air Basin Summary PM2.5 BAU'!L71/365.25</f>
        <v>0</v>
      </c>
      <c r="M71" s="60">
        <f>'Air Basin Summary PM2.5 BAU'!M71/365.25</f>
        <v>0</v>
      </c>
      <c r="N71" s="60">
        <f>'Air Basin Summary PM2.5 BAU'!N71/365.25</f>
        <v>0</v>
      </c>
      <c r="O71" s="60">
        <f>'Air Basin Summary PM2.5 BAU'!O71/365.25</f>
        <v>0</v>
      </c>
      <c r="P71" s="60">
        <f>'Air Basin Summary PM2.5 BAU'!P71/365.25</f>
        <v>0</v>
      </c>
      <c r="Q71" s="60">
        <f>'Air Basin Summary PM2.5 BAU'!Q71/365.25</f>
        <v>0</v>
      </c>
      <c r="R71" s="60">
        <f>'Air Basin Summary PM2.5 BAU'!R71/365.25</f>
        <v>0</v>
      </c>
      <c r="S71" s="60">
        <f>'Air Basin Summary PM2.5 BAU'!S71/365.25</f>
        <v>0</v>
      </c>
      <c r="T71" s="60">
        <f>'Air Basin Summary PM2.5 BAU'!T71/365.25</f>
        <v>0</v>
      </c>
      <c r="U71" s="60">
        <f>'Air Basin Summary PM2.5 BAU'!U71/365.25</f>
        <v>0</v>
      </c>
      <c r="V71" s="60">
        <f>'Air Basin Summary PM2.5 BAU'!V71/365.25</f>
        <v>0</v>
      </c>
      <c r="W71" s="60">
        <f>'Air Basin Summary PM2.5 BAU'!W71/365.25</f>
        <v>0</v>
      </c>
      <c r="X71" s="60">
        <f>'Air Basin Summary PM2.5 BAU'!X71/365.25</f>
        <v>0</v>
      </c>
      <c r="Y71" s="60">
        <f>'Air Basin Summary PM2.5 BAU'!Y71/365.25</f>
        <v>0</v>
      </c>
      <c r="Z71" s="60">
        <f>'Air Basin Summary PM2.5 BAU'!Z71/365.25</f>
        <v>0</v>
      </c>
      <c r="AA71" s="60">
        <f>'Air Basin Summary PM2.5 BAU'!AA71/365.25</f>
        <v>0</v>
      </c>
      <c r="AB71" s="61">
        <f>'Air Basin Summary PM2.5 BAU'!AB71/365.25</f>
        <v>0</v>
      </c>
    </row>
    <row r="72" spans="1:28" ht="26.25" customHeight="1">
      <c r="A72" s="520"/>
      <c r="B72" s="2" t="str">
        <f>'BAU Comparison - Production'!B179</f>
        <v xml:space="preserve">San Joaquin Valley </v>
      </c>
      <c r="C72" s="2" t="s">
        <v>18938</v>
      </c>
      <c r="D72" s="393">
        <f>'Air Basin Summary PM2.5 BAU'!D72/365.25</f>
        <v>0</v>
      </c>
      <c r="E72" s="60">
        <f>'Air Basin Summary PM2.5 BAU'!E72/365.25</f>
        <v>0</v>
      </c>
      <c r="F72" s="60">
        <f>'Air Basin Summary PM2.5 BAU'!F72/365.25</f>
        <v>0</v>
      </c>
      <c r="G72" s="60">
        <f>'Air Basin Summary PM2.5 BAU'!G72/365.25</f>
        <v>0.11333065141745212</v>
      </c>
      <c r="H72" s="60">
        <f>'Air Basin Summary PM2.5 BAU'!H72/365.25</f>
        <v>0.12766049556662909</v>
      </c>
      <c r="I72" s="60">
        <f>'Air Basin Summary PM2.5 BAU'!I72/365.25</f>
        <v>4.820198237258403E-2</v>
      </c>
      <c r="J72" s="60">
        <f>'Air Basin Summary PM2.5 BAU'!J72/365.25</f>
        <v>7.996914576938946E-2</v>
      </c>
      <c r="K72" s="60">
        <f>'Air Basin Summary PM2.5 BAU'!K72/365.25</f>
        <v>2.0507997153683771E-2</v>
      </c>
      <c r="L72" s="60">
        <f>'Air Basin Summary PM2.5 BAU'!L72/365.25</f>
        <v>0</v>
      </c>
      <c r="M72" s="60">
        <f>'Air Basin Summary PM2.5 BAU'!M72/365.25</f>
        <v>0</v>
      </c>
      <c r="N72" s="60">
        <f>'Air Basin Summary PM2.5 BAU'!N72/365.25</f>
        <v>0</v>
      </c>
      <c r="O72" s="60">
        <f>'Air Basin Summary PM2.5 BAU'!O72/365.25</f>
        <v>1.3746912271406294E-3</v>
      </c>
      <c r="P72" s="60">
        <f>'Air Basin Summary PM2.5 BAU'!P72/365.25</f>
        <v>1.9743053048870734E-2</v>
      </c>
      <c r="Q72" s="60">
        <f>'Air Basin Summary PM2.5 BAU'!Q72/365.25</f>
        <v>3.2220661517983432E-2</v>
      </c>
      <c r="R72" s="60">
        <f>'Air Basin Summary PM2.5 BAU'!R72/365.25</f>
        <v>3.2220661517983418E-2</v>
      </c>
      <c r="S72" s="60">
        <f>'Air Basin Summary PM2.5 BAU'!S72/365.25</f>
        <v>7.6989187911604418E-2</v>
      </c>
      <c r="T72" s="60">
        <f>'Air Basin Summary PM2.5 BAU'!T72/365.25</f>
        <v>7.698918791160439E-2</v>
      </c>
      <c r="U72" s="60">
        <f>'Air Basin Summary PM2.5 BAU'!U72/365.25</f>
        <v>9.4528610845103875E-2</v>
      </c>
      <c r="V72" s="60">
        <f>'Air Basin Summary PM2.5 BAU'!V72/365.25</f>
        <v>0.1206363206641721</v>
      </c>
      <c r="W72" s="60">
        <f>'Air Basin Summary PM2.5 BAU'!W72/365.25</f>
        <v>0.11817193154509786</v>
      </c>
      <c r="X72" s="60">
        <f>'Air Basin Summary PM2.5 BAU'!X72/365.25</f>
        <v>0.11889354519181851</v>
      </c>
      <c r="Y72" s="60">
        <f>'Air Basin Summary PM2.5 BAU'!Y72/365.25</f>
        <v>0.11972806634274469</v>
      </c>
      <c r="Z72" s="60">
        <f>'Air Basin Summary PM2.5 BAU'!Z72/365.25</f>
        <v>0.10263251497028854</v>
      </c>
      <c r="AA72" s="60">
        <f>'Air Basin Summary PM2.5 BAU'!AA72/365.25</f>
        <v>9.396816244144042E-2</v>
      </c>
      <c r="AB72" s="61">
        <f>'Air Basin Summary PM2.5 BAU'!AB72/365.25</f>
        <v>8.7176572629506024E-2</v>
      </c>
    </row>
    <row r="73" spans="1:28" ht="26.25" customHeight="1">
      <c r="A73" s="520"/>
      <c r="B73" s="2" t="str">
        <f>'BAU Comparison - Production'!B180</f>
        <v>South Central Coast</v>
      </c>
      <c r="C73" s="2" t="s">
        <v>18938</v>
      </c>
      <c r="D73" s="393">
        <f>'Air Basin Summary PM2.5 BAU'!D73/365.25</f>
        <v>0</v>
      </c>
      <c r="E73" s="60">
        <f>'Air Basin Summary PM2.5 BAU'!E73/365.25</f>
        <v>0</v>
      </c>
      <c r="F73" s="60">
        <f>'Air Basin Summary PM2.5 BAU'!F73/365.25</f>
        <v>0</v>
      </c>
      <c r="G73" s="60">
        <f>'Air Basin Summary PM2.5 BAU'!G73/365.25</f>
        <v>0</v>
      </c>
      <c r="H73" s="60">
        <f>'Air Basin Summary PM2.5 BAU'!H73/365.25</f>
        <v>0</v>
      </c>
      <c r="I73" s="60">
        <f>'Air Basin Summary PM2.5 BAU'!I73/365.25</f>
        <v>0</v>
      </c>
      <c r="J73" s="60">
        <f>'Air Basin Summary PM2.5 BAU'!J73/365.25</f>
        <v>0</v>
      </c>
      <c r="K73" s="60">
        <f>'Air Basin Summary PM2.5 BAU'!K73/365.25</f>
        <v>0</v>
      </c>
      <c r="L73" s="60">
        <f>'Air Basin Summary PM2.5 BAU'!L73/365.25</f>
        <v>0</v>
      </c>
      <c r="M73" s="60">
        <f>'Air Basin Summary PM2.5 BAU'!M73/365.25</f>
        <v>0</v>
      </c>
      <c r="N73" s="60">
        <f>'Air Basin Summary PM2.5 BAU'!N73/365.25</f>
        <v>0</v>
      </c>
      <c r="O73" s="60">
        <f>'Air Basin Summary PM2.5 BAU'!O73/365.25</f>
        <v>0</v>
      </c>
      <c r="P73" s="60">
        <f>'Air Basin Summary PM2.5 BAU'!P73/365.25</f>
        <v>0</v>
      </c>
      <c r="Q73" s="60">
        <f>'Air Basin Summary PM2.5 BAU'!Q73/365.25</f>
        <v>0</v>
      </c>
      <c r="R73" s="60">
        <f>'Air Basin Summary PM2.5 BAU'!R73/365.25</f>
        <v>0</v>
      </c>
      <c r="S73" s="60">
        <f>'Air Basin Summary PM2.5 BAU'!S73/365.25</f>
        <v>0</v>
      </c>
      <c r="T73" s="60">
        <f>'Air Basin Summary PM2.5 BAU'!T73/365.25</f>
        <v>0</v>
      </c>
      <c r="U73" s="60">
        <f>'Air Basin Summary PM2.5 BAU'!U73/365.25</f>
        <v>0</v>
      </c>
      <c r="V73" s="60">
        <f>'Air Basin Summary PM2.5 BAU'!V73/365.25</f>
        <v>0</v>
      </c>
      <c r="W73" s="60">
        <f>'Air Basin Summary PM2.5 BAU'!W73/365.25</f>
        <v>0</v>
      </c>
      <c r="X73" s="60">
        <f>'Air Basin Summary PM2.5 BAU'!X73/365.25</f>
        <v>0</v>
      </c>
      <c r="Y73" s="60">
        <f>'Air Basin Summary PM2.5 BAU'!Y73/365.25</f>
        <v>0</v>
      </c>
      <c r="Z73" s="60">
        <f>'Air Basin Summary PM2.5 BAU'!Z73/365.25</f>
        <v>0</v>
      </c>
      <c r="AA73" s="60">
        <f>'Air Basin Summary PM2.5 BAU'!AA73/365.25</f>
        <v>0</v>
      </c>
      <c r="AB73" s="61">
        <f>'Air Basin Summary PM2.5 BAU'!AB73/365.25</f>
        <v>0</v>
      </c>
    </row>
    <row r="74" spans="1:28" ht="26.25" customHeight="1">
      <c r="A74" s="520"/>
      <c r="B74" s="2" t="str">
        <f>'BAU Comparison - Production'!B181</f>
        <v>South Coast</v>
      </c>
      <c r="C74" s="2" t="s">
        <v>18938</v>
      </c>
      <c r="D74" s="394">
        <f>'Air Basin Summary PM2.5 BAU'!D74/365.25</f>
        <v>0</v>
      </c>
      <c r="E74" s="64">
        <f>'Air Basin Summary PM2.5 BAU'!E74/365.25</f>
        <v>0</v>
      </c>
      <c r="F74" s="64">
        <f>'Air Basin Summary PM2.5 BAU'!F74/365.25</f>
        <v>0</v>
      </c>
      <c r="G74" s="64">
        <f>'Air Basin Summary PM2.5 BAU'!G74/365.25</f>
        <v>5.4369715498777671E-3</v>
      </c>
      <c r="H74" s="64">
        <f>'Air Basin Summary PM2.5 BAU'!H74/365.25</f>
        <v>6.1244374205738908E-3</v>
      </c>
      <c r="I74" s="64">
        <f>'Air Basin Summary PM2.5 BAU'!I74/365.25</f>
        <v>2.312461840902219E-3</v>
      </c>
      <c r="J74" s="64">
        <f>'Air Basin Summary PM2.5 BAU'!J74/365.25</f>
        <v>3.8364728780623941E-3</v>
      </c>
      <c r="K74" s="64">
        <f>'Air Basin Summary PM2.5 BAU'!K74/365.25</f>
        <v>9.8385913850295272E-4</v>
      </c>
      <c r="L74" s="64">
        <f>'Air Basin Summary PM2.5 BAU'!L74/365.25</f>
        <v>0</v>
      </c>
      <c r="M74" s="64">
        <f>'Air Basin Summary PM2.5 BAU'!M74/365.25</f>
        <v>0</v>
      </c>
      <c r="N74" s="64">
        <f>'Air Basin Summary PM2.5 BAU'!N74/365.25</f>
        <v>0</v>
      </c>
      <c r="O74" s="64">
        <f>'Air Basin Summary PM2.5 BAU'!O74/365.25</f>
        <v>6.5950005566448117E-5</v>
      </c>
      <c r="P74" s="64">
        <f>'Air Basin Summary PM2.5 BAU'!P74/365.25</f>
        <v>9.4716139360254072E-4</v>
      </c>
      <c r="Q74" s="64">
        <f>'Air Basin Summary PM2.5 BAU'!Q74/365.25</f>
        <v>1.5457673436132778E-3</v>
      </c>
      <c r="R74" s="64">
        <f>'Air Basin Summary PM2.5 BAU'!R74/365.25</f>
        <v>1.5457673436132769E-3</v>
      </c>
      <c r="S74" s="64">
        <f>'Air Basin Summary PM2.5 BAU'!S74/365.25</f>
        <v>3.6935111471452019E-3</v>
      </c>
      <c r="T74" s="64">
        <f>'Air Basin Summary PM2.5 BAU'!T74/365.25</f>
        <v>3.6935111471452001E-3</v>
      </c>
      <c r="U74" s="64">
        <f>'Air Basin Summary PM2.5 BAU'!U74/365.25</f>
        <v>4.5349546780700158E-3</v>
      </c>
      <c r="V74" s="64">
        <f>'Air Basin Summary PM2.5 BAU'!V74/365.25</f>
        <v>5.7874567482811773E-3</v>
      </c>
      <c r="W74" s="64">
        <f>'Air Basin Summary PM2.5 BAU'!W74/365.25</f>
        <v>5.6692291252978724E-3</v>
      </c>
      <c r="X74" s="64">
        <f>'Air Basin Summary PM2.5 BAU'!X74/365.25</f>
        <v>5.7038481168782875E-3</v>
      </c>
      <c r="Y74" s="64">
        <f>'Air Basin Summary PM2.5 BAU'!Y74/365.25</f>
        <v>5.7438837797692023E-3</v>
      </c>
      <c r="Z74" s="64">
        <f>'Air Basin Summary PM2.5 BAU'!Z74/365.25</f>
        <v>4.9237347267195994E-3</v>
      </c>
      <c r="AA74" s="64">
        <f>'Air Basin Summary PM2.5 BAU'!AA74/365.25</f>
        <v>4.508067494525393E-3</v>
      </c>
      <c r="AB74" s="65">
        <f>'Air Basin Summary PM2.5 BAU'!AB74/365.25</f>
        <v>4.1822449555733165E-3</v>
      </c>
    </row>
    <row r="75" spans="1:28" ht="26.25" customHeight="1">
      <c r="A75" s="520"/>
      <c r="B75" s="15" t="str">
        <f>'BAU Comparison - Production'!B182</f>
        <v>STATEWIDE</v>
      </c>
      <c r="C75" s="73" t="s">
        <v>18938</v>
      </c>
      <c r="D75" s="175">
        <f>'Air Basin Summary PM2.5 BAU'!D75/365.25</f>
        <v>0</v>
      </c>
      <c r="E75" s="175">
        <f>'Air Basin Summary PM2.5 BAU'!E75/365.25</f>
        <v>0</v>
      </c>
      <c r="F75" s="175">
        <f>'Air Basin Summary PM2.5 BAU'!F75/365.25</f>
        <v>0</v>
      </c>
      <c r="G75" s="175">
        <f>'Air Basin Summary PM2.5 BAU'!G75/365.25</f>
        <v>0.12082158999728371</v>
      </c>
      <c r="H75" s="175">
        <f>'Air Basin Summary PM2.5 BAU'!H75/365.25</f>
        <v>0.13609860934608645</v>
      </c>
      <c r="I75" s="175">
        <f>'Air Basin Summary PM2.5 BAU'!I75/365.25</f>
        <v>5.1388040908938198E-2</v>
      </c>
      <c r="J75" s="175">
        <f>'Air Basin Summary PM2.5 BAU'!J75/365.25</f>
        <v>8.5254952845830984E-2</v>
      </c>
      <c r="K75" s="175">
        <f>'Air Basin Summary PM2.5 BAU'!K75/365.25</f>
        <v>2.1863536411176727E-2</v>
      </c>
      <c r="L75" s="175">
        <f>'Air Basin Summary PM2.5 BAU'!L75/365.25</f>
        <v>0</v>
      </c>
      <c r="M75" s="175">
        <f>'Air Basin Summary PM2.5 BAU'!M75/365.25</f>
        <v>0</v>
      </c>
      <c r="N75" s="175">
        <f>'Air Basin Summary PM2.5 BAU'!N75/365.25</f>
        <v>0</v>
      </c>
      <c r="O75" s="175">
        <f>'Air Basin Summary PM2.5 BAU'!O75/365.25</f>
        <v>1.4655556792544026E-3</v>
      </c>
      <c r="P75" s="175">
        <f>'Air Basin Summary PM2.5 BAU'!P75/365.25</f>
        <v>2.104803096894535E-2</v>
      </c>
      <c r="Q75" s="175">
        <f>'Air Basin Summary PM2.5 BAU'!Q75/365.25</f>
        <v>3.4350385413628393E-2</v>
      </c>
      <c r="R75" s="175">
        <f>'Air Basin Summary PM2.5 BAU'!R75/365.25</f>
        <v>3.4350385413628379E-2</v>
      </c>
      <c r="S75" s="175">
        <f>'Air Basin Summary PM2.5 BAU'!S75/365.25</f>
        <v>8.2078025492115583E-2</v>
      </c>
      <c r="T75" s="175">
        <f>'Air Basin Summary PM2.5 BAU'!T75/365.25</f>
        <v>8.2078025492115556E-2</v>
      </c>
      <c r="U75" s="175">
        <f>'Air Basin Summary PM2.5 BAU'!U75/365.25</f>
        <v>0.1007767706237781</v>
      </c>
      <c r="V75" s="175">
        <f>'Air Basin Summary PM2.5 BAU'!V75/365.25</f>
        <v>0.12861014996180395</v>
      </c>
      <c r="W75" s="175">
        <f>'Air Basin Summary PM2.5 BAU'!W75/365.25</f>
        <v>0.12598286945106382</v>
      </c>
      <c r="X75" s="175">
        <f>'Air Basin Summary PM2.5 BAU'!X75/365.25</f>
        <v>0.12675218037507305</v>
      </c>
      <c r="Y75" s="175">
        <f>'Air Basin Summary PM2.5 BAU'!Y75/365.25</f>
        <v>0.12764186177264891</v>
      </c>
      <c r="Z75" s="175">
        <f>'Air Basin Summary PM2.5 BAU'!Z75/365.25</f>
        <v>0.10941632726043554</v>
      </c>
      <c r="AA75" s="175">
        <f>'Air Basin Summary PM2.5 BAU'!AA75/365.25</f>
        <v>0.10017927765611985</v>
      </c>
      <c r="AB75" s="175">
        <f>'Air Basin Summary PM2.5 BAU'!AB75/365.25</f>
        <v>9.2938776790518152E-2</v>
      </c>
    </row>
    <row r="76" spans="1:28" ht="26.25" customHeight="1">
      <c r="A76" s="5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8" ht="26.25" customHeight="1">
      <c r="A77" s="520"/>
      <c r="B77" s="86"/>
      <c r="C77" s="86"/>
      <c r="D77" s="519" t="s">
        <v>18954</v>
      </c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</row>
    <row r="78" spans="1:28" ht="26.25" customHeight="1">
      <c r="A78" s="520"/>
      <c r="B78" s="296" t="s">
        <v>18814</v>
      </c>
      <c r="C78" s="90" t="s">
        <v>1</v>
      </c>
      <c r="D78" s="156">
        <f>'BAU Comparison - Production'!D184</f>
        <v>2022</v>
      </c>
      <c r="E78" s="156">
        <f>'BAU Comparison - Production'!E184</f>
        <v>2023</v>
      </c>
      <c r="F78" s="156">
        <f>'BAU Comparison - Production'!F184</f>
        <v>2024</v>
      </c>
      <c r="G78" s="156">
        <f>'BAU Comparison - Production'!G184</f>
        <v>2025</v>
      </c>
      <c r="H78" s="156">
        <f>'BAU Comparison - Production'!H184</f>
        <v>2026</v>
      </c>
      <c r="I78" s="156">
        <f>'BAU Comparison - Production'!I184</f>
        <v>2027</v>
      </c>
      <c r="J78" s="156">
        <f>'BAU Comparison - Production'!J184</f>
        <v>2028</v>
      </c>
      <c r="K78" s="156">
        <f>'BAU Comparison - Production'!K184</f>
        <v>2029</v>
      </c>
      <c r="L78" s="156">
        <f>'BAU Comparison - Production'!L184</f>
        <v>2030</v>
      </c>
      <c r="M78" s="156">
        <f>'BAU Comparison - Production'!M184</f>
        <v>2031</v>
      </c>
      <c r="N78" s="156">
        <f>'BAU Comparison - Production'!N184</f>
        <v>2032</v>
      </c>
      <c r="O78" s="156">
        <f>'BAU Comparison - Production'!O184</f>
        <v>2033</v>
      </c>
      <c r="P78" s="156">
        <f>'BAU Comparison - Production'!P184</f>
        <v>2034</v>
      </c>
      <c r="Q78" s="156">
        <f>'BAU Comparison - Production'!Q184</f>
        <v>2035</v>
      </c>
      <c r="R78" s="156">
        <f>'BAU Comparison - Production'!R184</f>
        <v>2036</v>
      </c>
      <c r="S78" s="156">
        <f>'BAU Comparison - Production'!S184</f>
        <v>2037</v>
      </c>
      <c r="T78" s="156">
        <f>'BAU Comparison - Production'!T184</f>
        <v>2038</v>
      </c>
      <c r="U78" s="156">
        <f>'BAU Comparison - Production'!U184</f>
        <v>2039</v>
      </c>
      <c r="V78" s="156">
        <f>'BAU Comparison - Production'!V184</f>
        <v>2040</v>
      </c>
      <c r="W78" s="156">
        <f>'BAU Comparison - Production'!W184</f>
        <v>2041</v>
      </c>
      <c r="X78" s="156">
        <f>'BAU Comparison - Production'!X184</f>
        <v>2042</v>
      </c>
      <c r="Y78" s="156">
        <f>'BAU Comparison - Production'!Y184</f>
        <v>2043</v>
      </c>
      <c r="Z78" s="156">
        <f>'BAU Comparison - Production'!Z184</f>
        <v>2044</v>
      </c>
      <c r="AA78" s="156">
        <f>'BAU Comparison - Production'!AA184</f>
        <v>2045</v>
      </c>
      <c r="AB78" s="156">
        <f>'BAU Comparison - Production'!AB184</f>
        <v>2046</v>
      </c>
    </row>
    <row r="79" spans="1:28" ht="26.25" customHeight="1">
      <c r="A79" s="520"/>
      <c r="B79" s="111" t="str">
        <f>'BAU Comparison - Production'!B185</f>
        <v>Great Basin Valleys</v>
      </c>
      <c r="C79" s="2" t="s">
        <v>18938</v>
      </c>
      <c r="D79" s="104">
        <f>'Air Basin Summary PM2.5 BAU'!D79/365.25</f>
        <v>0</v>
      </c>
      <c r="E79" s="79">
        <f>'Air Basin Summary PM2.5 BAU'!E79/365.25</f>
        <v>0</v>
      </c>
      <c r="F79" s="79">
        <f>'Air Basin Summary PM2.5 BAU'!F79/365.25</f>
        <v>0</v>
      </c>
      <c r="G79" s="79">
        <f>'Air Basin Summary PM2.5 BAU'!G79/365.25</f>
        <v>0</v>
      </c>
      <c r="H79" s="79">
        <f>'Air Basin Summary PM2.5 BAU'!H79/365.25</f>
        <v>0</v>
      </c>
      <c r="I79" s="79">
        <f>'Air Basin Summary PM2.5 BAU'!I79/365.25</f>
        <v>0</v>
      </c>
      <c r="J79" s="79">
        <f>'Air Basin Summary PM2.5 BAU'!J79/365.25</f>
        <v>0</v>
      </c>
      <c r="K79" s="79">
        <f>'Air Basin Summary PM2.5 BAU'!K79/365.25</f>
        <v>0</v>
      </c>
      <c r="L79" s="79">
        <f>'Air Basin Summary PM2.5 BAU'!L79/365.25</f>
        <v>0</v>
      </c>
      <c r="M79" s="79">
        <f>'Air Basin Summary PM2.5 BAU'!M79/365.25</f>
        <v>0</v>
      </c>
      <c r="N79" s="79">
        <f>'Air Basin Summary PM2.5 BAU'!N79/365.25</f>
        <v>0</v>
      </c>
      <c r="O79" s="79">
        <f>'Air Basin Summary PM2.5 BAU'!O79/365.25</f>
        <v>0</v>
      </c>
      <c r="P79" s="79">
        <f>'Air Basin Summary PM2.5 BAU'!P79/365.25</f>
        <v>0</v>
      </c>
      <c r="Q79" s="79">
        <f>'Air Basin Summary PM2.5 BAU'!Q79/365.25</f>
        <v>0</v>
      </c>
      <c r="R79" s="79">
        <f>'Air Basin Summary PM2.5 BAU'!R79/365.25</f>
        <v>0</v>
      </c>
      <c r="S79" s="79">
        <f>'Air Basin Summary PM2.5 BAU'!S79/365.25</f>
        <v>0</v>
      </c>
      <c r="T79" s="79">
        <f>'Air Basin Summary PM2.5 BAU'!T79/365.25</f>
        <v>0</v>
      </c>
      <c r="U79" s="79">
        <f>'Air Basin Summary PM2.5 BAU'!U79/365.25</f>
        <v>0</v>
      </c>
      <c r="V79" s="79">
        <f>'Air Basin Summary PM2.5 BAU'!V79/365.25</f>
        <v>0</v>
      </c>
      <c r="W79" s="79">
        <f>'Air Basin Summary PM2.5 BAU'!W79/365.25</f>
        <v>0</v>
      </c>
      <c r="X79" s="79">
        <f>'Air Basin Summary PM2.5 BAU'!X79/365.25</f>
        <v>0</v>
      </c>
      <c r="Y79" s="79">
        <f>'Air Basin Summary PM2.5 BAU'!Y79/365.25</f>
        <v>0</v>
      </c>
      <c r="Z79" s="79">
        <f>'Air Basin Summary PM2.5 BAU'!Z79/365.25</f>
        <v>0</v>
      </c>
      <c r="AA79" s="79">
        <f>'Air Basin Summary PM2.5 BAU'!AA79/365.25</f>
        <v>0</v>
      </c>
      <c r="AB79" s="80">
        <f>'Air Basin Summary PM2.5 BAU'!AB79/365.25</f>
        <v>0</v>
      </c>
    </row>
    <row r="80" spans="1:28" ht="26.25" customHeight="1">
      <c r="A80" s="520"/>
      <c r="B80" s="13" t="str">
        <f>'BAU Comparison - Production'!B186</f>
        <v xml:space="preserve">Lake County </v>
      </c>
      <c r="C80" s="2" t="s">
        <v>18938</v>
      </c>
      <c r="D80" s="393">
        <f>'Air Basin Summary PM2.5 BAU'!D80/365.25</f>
        <v>0</v>
      </c>
      <c r="E80" s="60">
        <f>'Air Basin Summary PM2.5 BAU'!E80/365.25</f>
        <v>0</v>
      </c>
      <c r="F80" s="60">
        <f>'Air Basin Summary PM2.5 BAU'!F80/365.25</f>
        <v>0</v>
      </c>
      <c r="G80" s="60">
        <f>'Air Basin Summary PM2.5 BAU'!G80/365.25</f>
        <v>0</v>
      </c>
      <c r="H80" s="60">
        <f>'Air Basin Summary PM2.5 BAU'!H80/365.25</f>
        <v>0</v>
      </c>
      <c r="I80" s="60">
        <f>'Air Basin Summary PM2.5 BAU'!I80/365.25</f>
        <v>0</v>
      </c>
      <c r="J80" s="60">
        <f>'Air Basin Summary PM2.5 BAU'!J80/365.25</f>
        <v>0</v>
      </c>
      <c r="K80" s="60">
        <f>'Air Basin Summary PM2.5 BAU'!K80/365.25</f>
        <v>0</v>
      </c>
      <c r="L80" s="60">
        <f>'Air Basin Summary PM2.5 BAU'!L80/365.25</f>
        <v>0</v>
      </c>
      <c r="M80" s="60">
        <f>'Air Basin Summary PM2.5 BAU'!M80/365.25</f>
        <v>0</v>
      </c>
      <c r="N80" s="60">
        <f>'Air Basin Summary PM2.5 BAU'!N80/365.25</f>
        <v>0</v>
      </c>
      <c r="O80" s="60">
        <f>'Air Basin Summary PM2.5 BAU'!O80/365.25</f>
        <v>0</v>
      </c>
      <c r="P80" s="60">
        <f>'Air Basin Summary PM2.5 BAU'!P80/365.25</f>
        <v>0</v>
      </c>
      <c r="Q80" s="60">
        <f>'Air Basin Summary PM2.5 BAU'!Q80/365.25</f>
        <v>0</v>
      </c>
      <c r="R80" s="60">
        <f>'Air Basin Summary PM2.5 BAU'!R80/365.25</f>
        <v>0</v>
      </c>
      <c r="S80" s="60">
        <f>'Air Basin Summary PM2.5 BAU'!S80/365.25</f>
        <v>0</v>
      </c>
      <c r="T80" s="60">
        <f>'Air Basin Summary PM2.5 BAU'!T80/365.25</f>
        <v>0</v>
      </c>
      <c r="U80" s="60">
        <f>'Air Basin Summary PM2.5 BAU'!U80/365.25</f>
        <v>0</v>
      </c>
      <c r="V80" s="60">
        <f>'Air Basin Summary PM2.5 BAU'!V80/365.25</f>
        <v>0</v>
      </c>
      <c r="W80" s="60">
        <f>'Air Basin Summary PM2.5 BAU'!W80/365.25</f>
        <v>0</v>
      </c>
      <c r="X80" s="60">
        <f>'Air Basin Summary PM2.5 BAU'!X80/365.25</f>
        <v>0</v>
      </c>
      <c r="Y80" s="60">
        <f>'Air Basin Summary PM2.5 BAU'!Y80/365.25</f>
        <v>0</v>
      </c>
      <c r="Z80" s="60">
        <f>'Air Basin Summary PM2.5 BAU'!Z80/365.25</f>
        <v>0</v>
      </c>
      <c r="AA80" s="60">
        <f>'Air Basin Summary PM2.5 BAU'!AA80/365.25</f>
        <v>0</v>
      </c>
      <c r="AB80" s="61">
        <f>'Air Basin Summary PM2.5 BAU'!AB80/365.25</f>
        <v>0</v>
      </c>
    </row>
    <row r="81" spans="1:28" ht="26.25" customHeight="1">
      <c r="A81" s="520"/>
      <c r="B81" s="13" t="str">
        <f>'BAU Comparison - Production'!B187</f>
        <v xml:space="preserve">Lake Tahoe </v>
      </c>
      <c r="C81" s="2" t="s">
        <v>18938</v>
      </c>
      <c r="D81" s="393">
        <f>'Air Basin Summary PM2.5 BAU'!D81/365.25</f>
        <v>0</v>
      </c>
      <c r="E81" s="60">
        <f>'Air Basin Summary PM2.5 BAU'!E81/365.25</f>
        <v>0</v>
      </c>
      <c r="F81" s="60">
        <f>'Air Basin Summary PM2.5 BAU'!F81/365.25</f>
        <v>0</v>
      </c>
      <c r="G81" s="60">
        <f>'Air Basin Summary PM2.5 BAU'!G81/365.25</f>
        <v>0</v>
      </c>
      <c r="H81" s="60">
        <f>'Air Basin Summary PM2.5 BAU'!H81/365.25</f>
        <v>0</v>
      </c>
      <c r="I81" s="60">
        <f>'Air Basin Summary PM2.5 BAU'!I81/365.25</f>
        <v>0</v>
      </c>
      <c r="J81" s="60">
        <f>'Air Basin Summary PM2.5 BAU'!J81/365.25</f>
        <v>0</v>
      </c>
      <c r="K81" s="60">
        <f>'Air Basin Summary PM2.5 BAU'!K81/365.25</f>
        <v>0</v>
      </c>
      <c r="L81" s="60">
        <f>'Air Basin Summary PM2.5 BAU'!L81/365.25</f>
        <v>0</v>
      </c>
      <c r="M81" s="60">
        <f>'Air Basin Summary PM2.5 BAU'!M81/365.25</f>
        <v>0</v>
      </c>
      <c r="N81" s="60">
        <f>'Air Basin Summary PM2.5 BAU'!N81/365.25</f>
        <v>0</v>
      </c>
      <c r="O81" s="60">
        <f>'Air Basin Summary PM2.5 BAU'!O81/365.25</f>
        <v>0</v>
      </c>
      <c r="P81" s="60">
        <f>'Air Basin Summary PM2.5 BAU'!P81/365.25</f>
        <v>0</v>
      </c>
      <c r="Q81" s="60">
        <f>'Air Basin Summary PM2.5 BAU'!Q81/365.25</f>
        <v>0</v>
      </c>
      <c r="R81" s="60">
        <f>'Air Basin Summary PM2.5 BAU'!R81/365.25</f>
        <v>0</v>
      </c>
      <c r="S81" s="60">
        <f>'Air Basin Summary PM2.5 BAU'!S81/365.25</f>
        <v>0</v>
      </c>
      <c r="T81" s="60">
        <f>'Air Basin Summary PM2.5 BAU'!T81/365.25</f>
        <v>0</v>
      </c>
      <c r="U81" s="60">
        <f>'Air Basin Summary PM2.5 BAU'!U81/365.25</f>
        <v>0</v>
      </c>
      <c r="V81" s="60">
        <f>'Air Basin Summary PM2.5 BAU'!V81/365.25</f>
        <v>0</v>
      </c>
      <c r="W81" s="60">
        <f>'Air Basin Summary PM2.5 BAU'!W81/365.25</f>
        <v>0</v>
      </c>
      <c r="X81" s="60">
        <f>'Air Basin Summary PM2.5 BAU'!X81/365.25</f>
        <v>0</v>
      </c>
      <c r="Y81" s="60">
        <f>'Air Basin Summary PM2.5 BAU'!Y81/365.25</f>
        <v>0</v>
      </c>
      <c r="Z81" s="60">
        <f>'Air Basin Summary PM2.5 BAU'!Z81/365.25</f>
        <v>0</v>
      </c>
      <c r="AA81" s="60">
        <f>'Air Basin Summary PM2.5 BAU'!AA81/365.25</f>
        <v>0</v>
      </c>
      <c r="AB81" s="61">
        <f>'Air Basin Summary PM2.5 BAU'!AB81/365.25</f>
        <v>0</v>
      </c>
    </row>
    <row r="82" spans="1:28" ht="26.25" customHeight="1">
      <c r="A82" s="520"/>
      <c r="B82" s="13" t="str">
        <f>'BAU Comparison - Production'!B188</f>
        <v>Mojave Desert</v>
      </c>
      <c r="C82" s="2" t="s">
        <v>18938</v>
      </c>
      <c r="D82" s="393">
        <f>'Air Basin Summary PM2.5 BAU'!D82/365.25</f>
        <v>0</v>
      </c>
      <c r="E82" s="60">
        <f>'Air Basin Summary PM2.5 BAU'!E82/365.25</f>
        <v>0</v>
      </c>
      <c r="F82" s="60">
        <f>'Air Basin Summary PM2.5 BAU'!F82/365.25</f>
        <v>0</v>
      </c>
      <c r="G82" s="60">
        <f>'Air Basin Summary PM2.5 BAU'!G82/365.25</f>
        <v>0</v>
      </c>
      <c r="H82" s="60">
        <f>'Air Basin Summary PM2.5 BAU'!H82/365.25</f>
        <v>1.3137759179616904E-7</v>
      </c>
      <c r="I82" s="60">
        <f>'Air Basin Summary PM2.5 BAU'!I82/365.25</f>
        <v>1.1267665636637673E-6</v>
      </c>
      <c r="J82" s="60">
        <f>'Air Basin Summary PM2.5 BAU'!J82/365.25</f>
        <v>1.7136293401529463E-6</v>
      </c>
      <c r="K82" s="60">
        <f>'Air Basin Summary PM2.5 BAU'!K82/365.25</f>
        <v>2.058033619532138E-6</v>
      </c>
      <c r="L82" s="60">
        <f>'Air Basin Summary PM2.5 BAU'!L82/365.25</f>
        <v>2.2558273892139811E-6</v>
      </c>
      <c r="M82" s="60">
        <f>'Air Basin Summary PM2.5 BAU'!M82/365.25</f>
        <v>2.3825483382672845E-6</v>
      </c>
      <c r="N82" s="60">
        <f>'Air Basin Summary PM2.5 BAU'!N82/365.25</f>
        <v>2.4585816141486154E-6</v>
      </c>
      <c r="O82" s="60">
        <f>'Air Basin Summary PM2.5 BAU'!O82/365.25</f>
        <v>2.5042015512527562E-6</v>
      </c>
      <c r="P82" s="60">
        <f>'Air Basin Summary PM2.5 BAU'!P82/365.25</f>
        <v>2.5726314864066472E-6</v>
      </c>
      <c r="Q82" s="60">
        <f>'Air Basin Summary PM2.5 BAU'!Q82/365.25</f>
        <v>2.572630737911184E-6</v>
      </c>
      <c r="R82" s="60">
        <f>'Air Basin Summary PM2.5 BAU'!R82/365.25</f>
        <v>2.572630629039153E-6</v>
      </c>
      <c r="S82" s="60">
        <f>'Air Basin Summary PM2.5 BAU'!S82/365.25</f>
        <v>2.5726295403193494E-6</v>
      </c>
      <c r="T82" s="60">
        <f>'Air Basin Summary PM2.5 BAU'!T82/365.25</f>
        <v>2.572629472274392E-6</v>
      </c>
      <c r="U82" s="60">
        <f>'Air Basin Summary PM2.5 BAU'!U82/365.25</f>
        <v>2.572628716975611E-6</v>
      </c>
      <c r="V82" s="60">
        <f>'Air Basin Summary PM2.5 BAU'!V82/365.25</f>
        <v>2.5726283053039389E-6</v>
      </c>
      <c r="W82" s="60">
        <f>'Air Basin Summary PM2.5 BAU'!W82/365.25</f>
        <v>2.5726282032366018E-6</v>
      </c>
      <c r="X82" s="60">
        <f>'Air Basin Summary PM2.5 BAU'!X82/365.25</f>
        <v>2.572628478818429E-6</v>
      </c>
      <c r="Y82" s="60">
        <f>'Air Basin Summary PM2.5 BAU'!Y82/365.25</f>
        <v>2.5726287509980687E-6</v>
      </c>
      <c r="Z82" s="60">
        <f>'Air Basin Summary PM2.5 BAU'!Z82/365.25</f>
        <v>2.5726290231777656E-6</v>
      </c>
      <c r="AA82" s="60">
        <f>'Air Basin Summary PM2.5 BAU'!AA82/365.25</f>
        <v>2.572628921110373E-6</v>
      </c>
      <c r="AB82" s="61">
        <f>'Air Basin Summary PM2.5 BAU'!AB82/365.25</f>
        <v>2.5726288530654478E-6</v>
      </c>
    </row>
    <row r="83" spans="1:28" ht="26.25" customHeight="1">
      <c r="A83" s="520"/>
      <c r="B83" s="13" t="str">
        <f>'BAU Comparison - Production'!B189</f>
        <v xml:space="preserve">Mountain Counties </v>
      </c>
      <c r="C83" s="2" t="s">
        <v>18938</v>
      </c>
      <c r="D83" s="393">
        <f>'Air Basin Summary PM2.5 BAU'!D83/365.25</f>
        <v>0</v>
      </c>
      <c r="E83" s="60">
        <f>'Air Basin Summary PM2.5 BAU'!E83/365.25</f>
        <v>0</v>
      </c>
      <c r="F83" s="60">
        <f>'Air Basin Summary PM2.5 BAU'!F83/365.25</f>
        <v>0</v>
      </c>
      <c r="G83" s="60">
        <f>'Air Basin Summary PM2.5 BAU'!G83/365.25</f>
        <v>0</v>
      </c>
      <c r="H83" s="60">
        <f>'Air Basin Summary PM2.5 BAU'!H83/365.25</f>
        <v>0</v>
      </c>
      <c r="I83" s="60">
        <f>'Air Basin Summary PM2.5 BAU'!I83/365.25</f>
        <v>0</v>
      </c>
      <c r="J83" s="60">
        <f>'Air Basin Summary PM2.5 BAU'!J83/365.25</f>
        <v>0</v>
      </c>
      <c r="K83" s="60">
        <f>'Air Basin Summary PM2.5 BAU'!K83/365.25</f>
        <v>0</v>
      </c>
      <c r="L83" s="60">
        <f>'Air Basin Summary PM2.5 BAU'!L83/365.25</f>
        <v>0</v>
      </c>
      <c r="M83" s="60">
        <f>'Air Basin Summary PM2.5 BAU'!M83/365.25</f>
        <v>0</v>
      </c>
      <c r="N83" s="60">
        <f>'Air Basin Summary PM2.5 BAU'!N83/365.25</f>
        <v>0</v>
      </c>
      <c r="O83" s="60">
        <f>'Air Basin Summary PM2.5 BAU'!O83/365.25</f>
        <v>0</v>
      </c>
      <c r="P83" s="60">
        <f>'Air Basin Summary PM2.5 BAU'!P83/365.25</f>
        <v>0</v>
      </c>
      <c r="Q83" s="60">
        <f>'Air Basin Summary PM2.5 BAU'!Q83/365.25</f>
        <v>0</v>
      </c>
      <c r="R83" s="60">
        <f>'Air Basin Summary PM2.5 BAU'!R83/365.25</f>
        <v>0</v>
      </c>
      <c r="S83" s="60">
        <f>'Air Basin Summary PM2.5 BAU'!S83/365.25</f>
        <v>0</v>
      </c>
      <c r="T83" s="60">
        <f>'Air Basin Summary PM2.5 BAU'!T83/365.25</f>
        <v>0</v>
      </c>
      <c r="U83" s="60">
        <f>'Air Basin Summary PM2.5 BAU'!U83/365.25</f>
        <v>0</v>
      </c>
      <c r="V83" s="60">
        <f>'Air Basin Summary PM2.5 BAU'!V83/365.25</f>
        <v>0</v>
      </c>
      <c r="W83" s="60">
        <f>'Air Basin Summary PM2.5 BAU'!W83/365.25</f>
        <v>0</v>
      </c>
      <c r="X83" s="60">
        <f>'Air Basin Summary PM2.5 BAU'!X83/365.25</f>
        <v>0</v>
      </c>
      <c r="Y83" s="60">
        <f>'Air Basin Summary PM2.5 BAU'!Y83/365.25</f>
        <v>0</v>
      </c>
      <c r="Z83" s="60">
        <f>'Air Basin Summary PM2.5 BAU'!Z83/365.25</f>
        <v>0</v>
      </c>
      <c r="AA83" s="60">
        <f>'Air Basin Summary PM2.5 BAU'!AA83/365.25</f>
        <v>0</v>
      </c>
      <c r="AB83" s="61">
        <f>'Air Basin Summary PM2.5 BAU'!AB83/365.25</f>
        <v>0</v>
      </c>
    </row>
    <row r="84" spans="1:28" ht="26.25" customHeight="1">
      <c r="A84" s="520"/>
      <c r="B84" s="13" t="str">
        <f>'BAU Comparison - Production'!B190</f>
        <v>North Central coast</v>
      </c>
      <c r="C84" s="2" t="s">
        <v>18938</v>
      </c>
      <c r="D84" s="393">
        <f>'Air Basin Summary PM2.5 BAU'!D84/365.25</f>
        <v>0</v>
      </c>
      <c r="E84" s="60">
        <f>'Air Basin Summary PM2.5 BAU'!E84/365.25</f>
        <v>0</v>
      </c>
      <c r="F84" s="60">
        <f>'Air Basin Summary PM2.5 BAU'!F84/365.25</f>
        <v>0</v>
      </c>
      <c r="G84" s="60">
        <f>'Air Basin Summary PM2.5 BAU'!G84/365.25</f>
        <v>0</v>
      </c>
      <c r="H84" s="60">
        <f>'Air Basin Summary PM2.5 BAU'!H84/365.25</f>
        <v>1.0315049616640015E-8</v>
      </c>
      <c r="I84" s="60">
        <f>'Air Basin Summary PM2.5 BAU'!I84/365.25</f>
        <v>8.8467544972168111E-8</v>
      </c>
      <c r="J84" s="60">
        <f>'Air Basin Summary PM2.5 BAU'!J84/365.25</f>
        <v>1.3454479890019697E-7</v>
      </c>
      <c r="K84" s="60">
        <f>'Air Basin Summary PM2.5 BAU'!K84/365.25</f>
        <v>1.6158553835515101E-7</v>
      </c>
      <c r="L84" s="60">
        <f>'Air Basin Summary PM2.5 BAU'!L84/365.25</f>
        <v>1.77115222833581E-7</v>
      </c>
      <c r="M84" s="60">
        <f>'Air Basin Summary PM2.5 BAU'!M84/365.25</f>
        <v>1.8706465834295262E-7</v>
      </c>
      <c r="N84" s="60">
        <f>'Air Basin Summary PM2.5 BAU'!N84/365.25</f>
        <v>1.930343751151128E-7</v>
      </c>
      <c r="O84" s="60">
        <f>'Air Basin Summary PM2.5 BAU'!O84/365.25</f>
        <v>1.9661620294666039E-7</v>
      </c>
      <c r="P84" s="60">
        <f>'Air Basin Summary PM2.5 BAU'!P84/365.25</f>
        <v>2.0198894700997804E-7</v>
      </c>
      <c r="Q84" s="60">
        <f>'Air Basin Summary PM2.5 BAU'!Q84/365.25</f>
        <v>2.0198888824221001E-7</v>
      </c>
      <c r="R84" s="60">
        <f>'Air Basin Summary PM2.5 BAU'!R84/365.25</f>
        <v>2.019888796941739E-7</v>
      </c>
      <c r="S84" s="60">
        <f>'Air Basin Summary PM2.5 BAU'!S84/365.25</f>
        <v>2.0198879421385236E-7</v>
      </c>
      <c r="T84" s="60">
        <f>'Air Basin Summary PM2.5 BAU'!T84/365.25</f>
        <v>2.0198878887133461E-7</v>
      </c>
      <c r="U84" s="60">
        <f>'Air Basin Summary PM2.5 BAU'!U84/365.25</f>
        <v>2.019887295694073E-7</v>
      </c>
      <c r="V84" s="60">
        <f>'Air Basin Summary PM2.5 BAU'!V84/365.25</f>
        <v>2.0198869724720022E-7</v>
      </c>
      <c r="W84" s="60">
        <f>'Air Basin Summary PM2.5 BAU'!W84/365.25</f>
        <v>2.0198868923343146E-7</v>
      </c>
      <c r="X84" s="60">
        <f>'Air Basin Summary PM2.5 BAU'!X84/365.25</f>
        <v>2.0198871087060852E-7</v>
      </c>
      <c r="Y84" s="60">
        <f>'Air Basin Summary PM2.5 BAU'!Y84/365.25</f>
        <v>2.0198873224066446E-7</v>
      </c>
      <c r="Z84" s="60">
        <f>'Air Basin Summary PM2.5 BAU'!Z84/365.25</f>
        <v>2.0198875361072497E-7</v>
      </c>
      <c r="AA84" s="60">
        <f>'Air Basin Summary PM2.5 BAU'!AA84/365.25</f>
        <v>2.0198874559695179E-7</v>
      </c>
      <c r="AB84" s="61">
        <f>'Air Basin Summary PM2.5 BAU'!AB84/365.25</f>
        <v>2.0198874025443661E-7</v>
      </c>
    </row>
    <row r="85" spans="1:28" ht="26.25" customHeight="1">
      <c r="A85" s="520"/>
      <c r="B85" s="13" t="str">
        <f>'BAU Comparison - Production'!B191</f>
        <v>North Coast</v>
      </c>
      <c r="C85" s="2" t="s">
        <v>18938</v>
      </c>
      <c r="D85" s="393">
        <f>'Air Basin Summary PM2.5 BAU'!D85/365.25</f>
        <v>0</v>
      </c>
      <c r="E85" s="60">
        <f>'Air Basin Summary PM2.5 BAU'!E85/365.25</f>
        <v>0</v>
      </c>
      <c r="F85" s="60">
        <f>'Air Basin Summary PM2.5 BAU'!F85/365.25</f>
        <v>0</v>
      </c>
      <c r="G85" s="60">
        <f>'Air Basin Summary PM2.5 BAU'!G85/365.25</f>
        <v>0</v>
      </c>
      <c r="H85" s="60">
        <f>'Air Basin Summary PM2.5 BAU'!H85/365.25</f>
        <v>0</v>
      </c>
      <c r="I85" s="60">
        <f>'Air Basin Summary PM2.5 BAU'!I85/365.25</f>
        <v>0</v>
      </c>
      <c r="J85" s="60">
        <f>'Air Basin Summary PM2.5 BAU'!J85/365.25</f>
        <v>0</v>
      </c>
      <c r="K85" s="60">
        <f>'Air Basin Summary PM2.5 BAU'!K85/365.25</f>
        <v>0</v>
      </c>
      <c r="L85" s="60">
        <f>'Air Basin Summary PM2.5 BAU'!L85/365.25</f>
        <v>0</v>
      </c>
      <c r="M85" s="60">
        <f>'Air Basin Summary PM2.5 BAU'!M85/365.25</f>
        <v>0</v>
      </c>
      <c r="N85" s="60">
        <f>'Air Basin Summary PM2.5 BAU'!N85/365.25</f>
        <v>0</v>
      </c>
      <c r="O85" s="60">
        <f>'Air Basin Summary PM2.5 BAU'!O85/365.25</f>
        <v>0</v>
      </c>
      <c r="P85" s="60">
        <f>'Air Basin Summary PM2.5 BAU'!P85/365.25</f>
        <v>0</v>
      </c>
      <c r="Q85" s="60">
        <f>'Air Basin Summary PM2.5 BAU'!Q85/365.25</f>
        <v>0</v>
      </c>
      <c r="R85" s="60">
        <f>'Air Basin Summary PM2.5 BAU'!R85/365.25</f>
        <v>0</v>
      </c>
      <c r="S85" s="60">
        <f>'Air Basin Summary PM2.5 BAU'!S85/365.25</f>
        <v>0</v>
      </c>
      <c r="T85" s="60">
        <f>'Air Basin Summary PM2.5 BAU'!T85/365.25</f>
        <v>0</v>
      </c>
      <c r="U85" s="60">
        <f>'Air Basin Summary PM2.5 BAU'!U85/365.25</f>
        <v>0</v>
      </c>
      <c r="V85" s="60">
        <f>'Air Basin Summary PM2.5 BAU'!V85/365.25</f>
        <v>0</v>
      </c>
      <c r="W85" s="60">
        <f>'Air Basin Summary PM2.5 BAU'!W85/365.25</f>
        <v>0</v>
      </c>
      <c r="X85" s="60">
        <f>'Air Basin Summary PM2.5 BAU'!X85/365.25</f>
        <v>0</v>
      </c>
      <c r="Y85" s="60">
        <f>'Air Basin Summary PM2.5 BAU'!Y85/365.25</f>
        <v>0</v>
      </c>
      <c r="Z85" s="60">
        <f>'Air Basin Summary PM2.5 BAU'!Z85/365.25</f>
        <v>0</v>
      </c>
      <c r="AA85" s="60">
        <f>'Air Basin Summary PM2.5 BAU'!AA85/365.25</f>
        <v>0</v>
      </c>
      <c r="AB85" s="61">
        <f>'Air Basin Summary PM2.5 BAU'!AB85/365.25</f>
        <v>0</v>
      </c>
    </row>
    <row r="86" spans="1:28" ht="26.25" customHeight="1">
      <c r="A86" s="520"/>
      <c r="B86" s="13" t="str">
        <f>'BAU Comparison - Production'!B192</f>
        <v>Northeast Plateau</v>
      </c>
      <c r="C86" s="2" t="s">
        <v>18938</v>
      </c>
      <c r="D86" s="393">
        <f>'Air Basin Summary PM2.5 BAU'!D86/365.25</f>
        <v>0</v>
      </c>
      <c r="E86" s="60">
        <f>'Air Basin Summary PM2.5 BAU'!E86/365.25</f>
        <v>0</v>
      </c>
      <c r="F86" s="60">
        <f>'Air Basin Summary PM2.5 BAU'!F86/365.25</f>
        <v>0</v>
      </c>
      <c r="G86" s="60">
        <f>'Air Basin Summary PM2.5 BAU'!G86/365.25</f>
        <v>0</v>
      </c>
      <c r="H86" s="60">
        <f>'Air Basin Summary PM2.5 BAU'!H86/365.25</f>
        <v>0</v>
      </c>
      <c r="I86" s="60">
        <f>'Air Basin Summary PM2.5 BAU'!I86/365.25</f>
        <v>0</v>
      </c>
      <c r="J86" s="60">
        <f>'Air Basin Summary PM2.5 BAU'!J86/365.25</f>
        <v>0</v>
      </c>
      <c r="K86" s="60">
        <f>'Air Basin Summary PM2.5 BAU'!K86/365.25</f>
        <v>0</v>
      </c>
      <c r="L86" s="60">
        <f>'Air Basin Summary PM2.5 BAU'!L86/365.25</f>
        <v>0</v>
      </c>
      <c r="M86" s="60">
        <f>'Air Basin Summary PM2.5 BAU'!M86/365.25</f>
        <v>0</v>
      </c>
      <c r="N86" s="60">
        <f>'Air Basin Summary PM2.5 BAU'!N86/365.25</f>
        <v>0</v>
      </c>
      <c r="O86" s="60">
        <f>'Air Basin Summary PM2.5 BAU'!O86/365.25</f>
        <v>0</v>
      </c>
      <c r="P86" s="60">
        <f>'Air Basin Summary PM2.5 BAU'!P86/365.25</f>
        <v>0</v>
      </c>
      <c r="Q86" s="60">
        <f>'Air Basin Summary PM2.5 BAU'!Q86/365.25</f>
        <v>0</v>
      </c>
      <c r="R86" s="60">
        <f>'Air Basin Summary PM2.5 BAU'!R86/365.25</f>
        <v>0</v>
      </c>
      <c r="S86" s="60">
        <f>'Air Basin Summary PM2.5 BAU'!S86/365.25</f>
        <v>0</v>
      </c>
      <c r="T86" s="60">
        <f>'Air Basin Summary PM2.5 BAU'!T86/365.25</f>
        <v>0</v>
      </c>
      <c r="U86" s="60">
        <f>'Air Basin Summary PM2.5 BAU'!U86/365.25</f>
        <v>0</v>
      </c>
      <c r="V86" s="60">
        <f>'Air Basin Summary PM2.5 BAU'!V86/365.25</f>
        <v>0</v>
      </c>
      <c r="W86" s="60">
        <f>'Air Basin Summary PM2.5 BAU'!W86/365.25</f>
        <v>0</v>
      </c>
      <c r="X86" s="60">
        <f>'Air Basin Summary PM2.5 BAU'!X86/365.25</f>
        <v>0</v>
      </c>
      <c r="Y86" s="60">
        <f>'Air Basin Summary PM2.5 BAU'!Y86/365.25</f>
        <v>0</v>
      </c>
      <c r="Z86" s="60">
        <f>'Air Basin Summary PM2.5 BAU'!Z86/365.25</f>
        <v>0</v>
      </c>
      <c r="AA86" s="60">
        <f>'Air Basin Summary PM2.5 BAU'!AA86/365.25</f>
        <v>0</v>
      </c>
      <c r="AB86" s="61">
        <f>'Air Basin Summary PM2.5 BAU'!AB86/365.25</f>
        <v>0</v>
      </c>
    </row>
    <row r="87" spans="1:28" ht="26.25" customHeight="1">
      <c r="A87" s="520"/>
      <c r="B87" s="13" t="str">
        <f>'BAU Comparison - Production'!B193</f>
        <v xml:space="preserve">Sacramento Valley </v>
      </c>
      <c r="C87" s="2" t="s">
        <v>18938</v>
      </c>
      <c r="D87" s="393">
        <f>'Air Basin Summary PM2.5 BAU'!D87/365.25</f>
        <v>0</v>
      </c>
      <c r="E87" s="60">
        <f>'Air Basin Summary PM2.5 BAU'!E87/365.25</f>
        <v>0</v>
      </c>
      <c r="F87" s="60">
        <f>'Air Basin Summary PM2.5 BAU'!F87/365.25</f>
        <v>0</v>
      </c>
      <c r="G87" s="60">
        <f>'Air Basin Summary PM2.5 BAU'!G87/365.25</f>
        <v>0</v>
      </c>
      <c r="H87" s="60">
        <f>'Air Basin Summary PM2.5 BAU'!H87/365.25</f>
        <v>0</v>
      </c>
      <c r="I87" s="60">
        <f>'Air Basin Summary PM2.5 BAU'!I87/365.25</f>
        <v>0</v>
      </c>
      <c r="J87" s="60">
        <f>'Air Basin Summary PM2.5 BAU'!J87/365.25</f>
        <v>0</v>
      </c>
      <c r="K87" s="60">
        <f>'Air Basin Summary PM2.5 BAU'!K87/365.25</f>
        <v>0</v>
      </c>
      <c r="L87" s="60">
        <f>'Air Basin Summary PM2.5 BAU'!L87/365.25</f>
        <v>0</v>
      </c>
      <c r="M87" s="60">
        <f>'Air Basin Summary PM2.5 BAU'!M87/365.25</f>
        <v>0</v>
      </c>
      <c r="N87" s="60">
        <f>'Air Basin Summary PM2.5 BAU'!N87/365.25</f>
        <v>0</v>
      </c>
      <c r="O87" s="60">
        <f>'Air Basin Summary PM2.5 BAU'!O87/365.25</f>
        <v>0</v>
      </c>
      <c r="P87" s="60">
        <f>'Air Basin Summary PM2.5 BAU'!P87/365.25</f>
        <v>0</v>
      </c>
      <c r="Q87" s="60">
        <f>'Air Basin Summary PM2.5 BAU'!Q87/365.25</f>
        <v>0</v>
      </c>
      <c r="R87" s="60">
        <f>'Air Basin Summary PM2.5 BAU'!R87/365.25</f>
        <v>0</v>
      </c>
      <c r="S87" s="60">
        <f>'Air Basin Summary PM2.5 BAU'!S87/365.25</f>
        <v>0</v>
      </c>
      <c r="T87" s="60">
        <f>'Air Basin Summary PM2.5 BAU'!T87/365.25</f>
        <v>0</v>
      </c>
      <c r="U87" s="60">
        <f>'Air Basin Summary PM2.5 BAU'!U87/365.25</f>
        <v>0</v>
      </c>
      <c r="V87" s="60">
        <f>'Air Basin Summary PM2.5 BAU'!V87/365.25</f>
        <v>0</v>
      </c>
      <c r="W87" s="60">
        <f>'Air Basin Summary PM2.5 BAU'!W87/365.25</f>
        <v>0</v>
      </c>
      <c r="X87" s="60">
        <f>'Air Basin Summary PM2.5 BAU'!X87/365.25</f>
        <v>0</v>
      </c>
      <c r="Y87" s="60">
        <f>'Air Basin Summary PM2.5 BAU'!Y87/365.25</f>
        <v>0</v>
      </c>
      <c r="Z87" s="60">
        <f>'Air Basin Summary PM2.5 BAU'!Z87/365.25</f>
        <v>0</v>
      </c>
      <c r="AA87" s="60">
        <f>'Air Basin Summary PM2.5 BAU'!AA87/365.25</f>
        <v>0</v>
      </c>
      <c r="AB87" s="61">
        <f>'Air Basin Summary PM2.5 BAU'!AB87/365.25</f>
        <v>0</v>
      </c>
    </row>
    <row r="88" spans="1:28" ht="26.25" customHeight="1">
      <c r="A88" s="520"/>
      <c r="B88" s="13" t="str">
        <f>'BAU Comparison - Production'!B194</f>
        <v>Salton Sea</v>
      </c>
      <c r="C88" s="2" t="s">
        <v>18938</v>
      </c>
      <c r="D88" s="393">
        <f>'Air Basin Summary PM2.5 BAU'!D88/365.25</f>
        <v>0</v>
      </c>
      <c r="E88" s="60">
        <f>'Air Basin Summary PM2.5 BAU'!E88/365.25</f>
        <v>0</v>
      </c>
      <c r="F88" s="60">
        <f>'Air Basin Summary PM2.5 BAU'!F88/365.25</f>
        <v>0</v>
      </c>
      <c r="G88" s="60">
        <f>'Air Basin Summary PM2.5 BAU'!G88/365.25</f>
        <v>0</v>
      </c>
      <c r="H88" s="60">
        <f>'Air Basin Summary PM2.5 BAU'!H88/365.25</f>
        <v>0</v>
      </c>
      <c r="I88" s="60">
        <f>'Air Basin Summary PM2.5 BAU'!I88/365.25</f>
        <v>0</v>
      </c>
      <c r="J88" s="60">
        <f>'Air Basin Summary PM2.5 BAU'!J88/365.25</f>
        <v>0</v>
      </c>
      <c r="K88" s="60">
        <f>'Air Basin Summary PM2.5 BAU'!K88/365.25</f>
        <v>0</v>
      </c>
      <c r="L88" s="60">
        <f>'Air Basin Summary PM2.5 BAU'!L88/365.25</f>
        <v>0</v>
      </c>
      <c r="M88" s="60">
        <f>'Air Basin Summary PM2.5 BAU'!M88/365.25</f>
        <v>0</v>
      </c>
      <c r="N88" s="60">
        <f>'Air Basin Summary PM2.5 BAU'!N88/365.25</f>
        <v>0</v>
      </c>
      <c r="O88" s="60">
        <f>'Air Basin Summary PM2.5 BAU'!O88/365.25</f>
        <v>0</v>
      </c>
      <c r="P88" s="60">
        <f>'Air Basin Summary PM2.5 BAU'!P88/365.25</f>
        <v>0</v>
      </c>
      <c r="Q88" s="60">
        <f>'Air Basin Summary PM2.5 BAU'!Q88/365.25</f>
        <v>0</v>
      </c>
      <c r="R88" s="60">
        <f>'Air Basin Summary PM2.5 BAU'!R88/365.25</f>
        <v>0</v>
      </c>
      <c r="S88" s="60">
        <f>'Air Basin Summary PM2.5 BAU'!S88/365.25</f>
        <v>0</v>
      </c>
      <c r="T88" s="60">
        <f>'Air Basin Summary PM2.5 BAU'!T88/365.25</f>
        <v>0</v>
      </c>
      <c r="U88" s="60">
        <f>'Air Basin Summary PM2.5 BAU'!U88/365.25</f>
        <v>0</v>
      </c>
      <c r="V88" s="60">
        <f>'Air Basin Summary PM2.5 BAU'!V88/365.25</f>
        <v>0</v>
      </c>
      <c r="W88" s="60">
        <f>'Air Basin Summary PM2.5 BAU'!W88/365.25</f>
        <v>0</v>
      </c>
      <c r="X88" s="60">
        <f>'Air Basin Summary PM2.5 BAU'!X88/365.25</f>
        <v>0</v>
      </c>
      <c r="Y88" s="60">
        <f>'Air Basin Summary PM2.5 BAU'!Y88/365.25</f>
        <v>0</v>
      </c>
      <c r="Z88" s="60">
        <f>'Air Basin Summary PM2.5 BAU'!Z88/365.25</f>
        <v>0</v>
      </c>
      <c r="AA88" s="60">
        <f>'Air Basin Summary PM2.5 BAU'!AA88/365.25</f>
        <v>0</v>
      </c>
      <c r="AB88" s="61">
        <f>'Air Basin Summary PM2.5 BAU'!AB88/365.25</f>
        <v>0</v>
      </c>
    </row>
    <row r="89" spans="1:28" ht="26.25" customHeight="1">
      <c r="A89" s="520"/>
      <c r="B89" s="13" t="str">
        <f>'BAU Comparison - Production'!B195</f>
        <v xml:space="preserve">San Diego </v>
      </c>
      <c r="C89" s="2" t="s">
        <v>18938</v>
      </c>
      <c r="D89" s="393">
        <f>'Air Basin Summary PM2.5 BAU'!D89/365.25</f>
        <v>0</v>
      </c>
      <c r="E89" s="60">
        <f>'Air Basin Summary PM2.5 BAU'!E89/365.25</f>
        <v>0</v>
      </c>
      <c r="F89" s="60">
        <f>'Air Basin Summary PM2.5 BAU'!F89/365.25</f>
        <v>0</v>
      </c>
      <c r="G89" s="60">
        <f>'Air Basin Summary PM2.5 BAU'!G89/365.25</f>
        <v>0</v>
      </c>
      <c r="H89" s="60">
        <f>'Air Basin Summary PM2.5 BAU'!H89/365.25</f>
        <v>0</v>
      </c>
      <c r="I89" s="60">
        <f>'Air Basin Summary PM2.5 BAU'!I89/365.25</f>
        <v>0</v>
      </c>
      <c r="J89" s="60">
        <f>'Air Basin Summary PM2.5 BAU'!J89/365.25</f>
        <v>0</v>
      </c>
      <c r="K89" s="60">
        <f>'Air Basin Summary PM2.5 BAU'!K89/365.25</f>
        <v>0</v>
      </c>
      <c r="L89" s="60">
        <f>'Air Basin Summary PM2.5 BAU'!L89/365.25</f>
        <v>0</v>
      </c>
      <c r="M89" s="60">
        <f>'Air Basin Summary PM2.5 BAU'!M89/365.25</f>
        <v>0</v>
      </c>
      <c r="N89" s="60">
        <f>'Air Basin Summary PM2.5 BAU'!N89/365.25</f>
        <v>0</v>
      </c>
      <c r="O89" s="60">
        <f>'Air Basin Summary PM2.5 BAU'!O89/365.25</f>
        <v>0</v>
      </c>
      <c r="P89" s="60">
        <f>'Air Basin Summary PM2.5 BAU'!P89/365.25</f>
        <v>0</v>
      </c>
      <c r="Q89" s="60">
        <f>'Air Basin Summary PM2.5 BAU'!Q89/365.25</f>
        <v>0</v>
      </c>
      <c r="R89" s="60">
        <f>'Air Basin Summary PM2.5 BAU'!R89/365.25</f>
        <v>0</v>
      </c>
      <c r="S89" s="60">
        <f>'Air Basin Summary PM2.5 BAU'!S89/365.25</f>
        <v>0</v>
      </c>
      <c r="T89" s="60">
        <f>'Air Basin Summary PM2.5 BAU'!T89/365.25</f>
        <v>0</v>
      </c>
      <c r="U89" s="60">
        <f>'Air Basin Summary PM2.5 BAU'!U89/365.25</f>
        <v>0</v>
      </c>
      <c r="V89" s="60">
        <f>'Air Basin Summary PM2.5 BAU'!V89/365.25</f>
        <v>0</v>
      </c>
      <c r="W89" s="60">
        <f>'Air Basin Summary PM2.5 BAU'!W89/365.25</f>
        <v>0</v>
      </c>
      <c r="X89" s="60">
        <f>'Air Basin Summary PM2.5 BAU'!X89/365.25</f>
        <v>0</v>
      </c>
      <c r="Y89" s="60">
        <f>'Air Basin Summary PM2.5 BAU'!Y89/365.25</f>
        <v>0</v>
      </c>
      <c r="Z89" s="60">
        <f>'Air Basin Summary PM2.5 BAU'!Z89/365.25</f>
        <v>0</v>
      </c>
      <c r="AA89" s="60">
        <f>'Air Basin Summary PM2.5 BAU'!AA89/365.25</f>
        <v>0</v>
      </c>
      <c r="AB89" s="61">
        <f>'Air Basin Summary PM2.5 BAU'!AB89/365.25</f>
        <v>0</v>
      </c>
    </row>
    <row r="90" spans="1:28" ht="26.25" customHeight="1">
      <c r="A90" s="520"/>
      <c r="B90" s="13" t="str">
        <f>'BAU Comparison - Production'!B196</f>
        <v>San Franscisco Bay Area</v>
      </c>
      <c r="C90" s="2" t="s">
        <v>18938</v>
      </c>
      <c r="D90" s="393">
        <f>'Air Basin Summary PM2.5 BAU'!D90/365.25</f>
        <v>0</v>
      </c>
      <c r="E90" s="60">
        <f>'Air Basin Summary PM2.5 BAU'!E90/365.25</f>
        <v>0</v>
      </c>
      <c r="F90" s="60">
        <f>'Air Basin Summary PM2.5 BAU'!F90/365.25</f>
        <v>0</v>
      </c>
      <c r="G90" s="60">
        <f>'Air Basin Summary PM2.5 BAU'!G90/365.25</f>
        <v>0</v>
      </c>
      <c r="H90" s="60">
        <f>'Air Basin Summary PM2.5 BAU'!H90/365.25</f>
        <v>5.729583129418153E-4</v>
      </c>
      <c r="I90" s="60">
        <f>'Air Basin Summary PM2.5 BAU'!I90/365.25</f>
        <v>4.9638724590470064E-3</v>
      </c>
      <c r="J90" s="60">
        <f>'Air Basin Summary PM2.5 BAU'!J90/365.25</f>
        <v>7.6262479294933443E-3</v>
      </c>
      <c r="K90" s="60">
        <f>'Air Basin Summary PM2.5 BAU'!K90/365.25</f>
        <v>9.2443740501602419E-3</v>
      </c>
      <c r="L90" s="60">
        <f>'Air Basin Summary PM2.5 BAU'!L90/365.25</f>
        <v>1.0238996233823806E-2</v>
      </c>
      <c r="M90" s="60">
        <f>'Air Basin Summary PM2.5 BAU'!M90/365.25</f>
        <v>1.0814171145834895E-2</v>
      </c>
      <c r="N90" s="60">
        <f>'Air Basin Summary PM2.5 BAU'!N90/365.25</f>
        <v>1.1159279299551166E-2</v>
      </c>
      <c r="O90" s="60">
        <f>'Air Basin Summary PM2.5 BAU'!O90/365.25</f>
        <v>1.136634406276398E-2</v>
      </c>
      <c r="P90" s="60">
        <f>'Air Basin Summary PM2.5 BAU'!P90/365.25</f>
        <v>1.1676941341470501E-2</v>
      </c>
      <c r="Q90" s="60">
        <f>'Air Basin Summary PM2.5 BAU'!Q90/365.25</f>
        <v>1.1676937944117375E-2</v>
      </c>
      <c r="R90" s="60">
        <f>'Air Basin Summary PM2.5 BAU'!R90/365.25</f>
        <v>1.1676937449957089E-2</v>
      </c>
      <c r="S90" s="60">
        <f>'Air Basin Summary PM2.5 BAU'!S90/365.25</f>
        <v>1.1676932508356495E-2</v>
      </c>
      <c r="T90" s="60">
        <f>'Air Basin Summary PM2.5 BAU'!T90/365.25</f>
        <v>1.1676932199506593E-2</v>
      </c>
      <c r="U90" s="60">
        <f>'Air Basin Summary PM2.5 BAU'!U90/365.25</f>
        <v>1.1676928771273826E-2</v>
      </c>
      <c r="V90" s="60">
        <f>'Air Basin Summary PM2.5 BAU'!V90/365.25</f>
        <v>1.1676926902733387E-2</v>
      </c>
      <c r="W90" s="60">
        <f>'Air Basin Summary PM2.5 BAU'!W90/365.25</f>
        <v>1.1676926439458987E-2</v>
      </c>
      <c r="X90" s="60">
        <f>'Air Basin Summary PM2.5 BAU'!X90/365.25</f>
        <v>1.1676927690299942E-2</v>
      </c>
      <c r="Y90" s="60">
        <f>'Air Basin Summary PM2.5 BAU'!Y90/365.25</f>
        <v>1.1676928925698679E-2</v>
      </c>
      <c r="Z90" s="60">
        <f>'Air Basin Summary PM2.5 BAU'!Z90/365.25</f>
        <v>1.1676930161097677E-2</v>
      </c>
      <c r="AA90" s="60">
        <f>'Air Basin Summary PM2.5 BAU'!AA90/365.25</f>
        <v>1.1676929697823024E-2</v>
      </c>
      <c r="AB90" s="61">
        <f>'Air Basin Summary PM2.5 BAU'!AB90/365.25</f>
        <v>1.1676929388973271E-2</v>
      </c>
    </row>
    <row r="91" spans="1:28" ht="26.25" customHeight="1">
      <c r="A91" s="520"/>
      <c r="B91" s="13" t="str">
        <f>'BAU Comparison - Production'!B197</f>
        <v xml:space="preserve">San Joaquin Valley </v>
      </c>
      <c r="C91" s="2" t="s">
        <v>18938</v>
      </c>
      <c r="D91" s="393">
        <f>'Air Basin Summary PM2.5 BAU'!D91/365.25</f>
        <v>0</v>
      </c>
      <c r="E91" s="60">
        <f>'Air Basin Summary PM2.5 BAU'!E91/365.25</f>
        <v>0</v>
      </c>
      <c r="F91" s="60">
        <f>'Air Basin Summary PM2.5 BAU'!F91/365.25</f>
        <v>0</v>
      </c>
      <c r="G91" s="60">
        <f>'Air Basin Summary PM2.5 BAU'!G91/365.25</f>
        <v>0</v>
      </c>
      <c r="H91" s="60">
        <f>'Air Basin Summary PM2.5 BAU'!H91/365.25</f>
        <v>1.0426674264881982E-5</v>
      </c>
      <c r="I91" s="60">
        <f>'Air Basin Summary PM2.5 BAU'!I91/365.25</f>
        <v>8.9424899415952675E-5</v>
      </c>
      <c r="J91" s="60">
        <f>'Air Basin Summary PM2.5 BAU'!J91/365.25</f>
        <v>1.3600077986085013E-4</v>
      </c>
      <c r="K91" s="60">
        <f>'Air Basin Summary PM2.5 BAU'!K91/365.25</f>
        <v>1.6333414156601543E-4</v>
      </c>
      <c r="L91" s="60">
        <f>'Air Basin Summary PM2.5 BAU'!L91/365.25</f>
        <v>1.790318810351279E-4</v>
      </c>
      <c r="M91" s="60">
        <f>'Air Basin Summary PM2.5 BAU'!M91/365.25</f>
        <v>1.8908898468767039E-4</v>
      </c>
      <c r="N91" s="60">
        <f>'Air Basin Summary PM2.5 BAU'!N91/365.25</f>
        <v>1.9512330294596615E-4</v>
      </c>
      <c r="O91" s="60">
        <f>'Air Basin Summary PM2.5 BAU'!O91/365.25</f>
        <v>1.9874389164504407E-4</v>
      </c>
      <c r="P91" s="60">
        <f>'Air Basin Summary PM2.5 BAU'!P91/365.25</f>
        <v>2.0417477703471993E-4</v>
      </c>
      <c r="Q91" s="60">
        <f>'Air Basin Summary PM2.5 BAU'!Q91/365.25</f>
        <v>2.0417471763099456E-4</v>
      </c>
      <c r="R91" s="60">
        <f>'Air Basin Summary PM2.5 BAU'!R91/365.25</f>
        <v>2.0417470899045559E-4</v>
      </c>
      <c r="S91" s="60">
        <f>'Air Basin Summary PM2.5 BAU'!S91/365.25</f>
        <v>2.0417462258510595E-4</v>
      </c>
      <c r="T91" s="60">
        <f>'Air Basin Summary PM2.5 BAU'!T91/365.25</f>
        <v>2.0417461718477396E-4</v>
      </c>
      <c r="U91" s="60">
        <f>'Air Basin Summary PM2.5 BAU'!U91/365.25</f>
        <v>2.0417455724110889E-4</v>
      </c>
      <c r="V91" s="60">
        <f>'Air Basin Summary PM2.5 BAU'!V91/365.25</f>
        <v>2.0417452456912604E-4</v>
      </c>
      <c r="W91" s="60">
        <f>'Air Basin Summary PM2.5 BAU'!W91/365.25</f>
        <v>2.0417451646863595E-4</v>
      </c>
      <c r="X91" s="60">
        <f>'Air Basin Summary PM2.5 BAU'!X91/365.25</f>
        <v>2.0417453833996045E-4</v>
      </c>
      <c r="Y91" s="60">
        <f>'Air Basin Summary PM2.5 BAU'!Y91/365.25</f>
        <v>2.0417455994127317E-4</v>
      </c>
      <c r="Z91" s="60">
        <f>'Air Basin Summary PM2.5 BAU'!Z91/365.25</f>
        <v>2.0417458154259045E-4</v>
      </c>
      <c r="AA91" s="60">
        <f>'Air Basin Summary PM2.5 BAU'!AA91/365.25</f>
        <v>2.04174573442096E-4</v>
      </c>
      <c r="AB91" s="61">
        <f>'Air Basin Summary PM2.5 BAU'!AB91/365.25</f>
        <v>2.0417456804176659E-4</v>
      </c>
    </row>
    <row r="92" spans="1:28" ht="26.25" customHeight="1">
      <c r="A92" s="520"/>
      <c r="B92" s="13" t="str">
        <f>'BAU Comparison - Production'!B198</f>
        <v>South Central Coast</v>
      </c>
      <c r="C92" s="2" t="s">
        <v>18938</v>
      </c>
      <c r="D92" s="393">
        <f>'Air Basin Summary PM2.5 BAU'!D92/365.25</f>
        <v>0</v>
      </c>
      <c r="E92" s="60">
        <f>'Air Basin Summary PM2.5 BAU'!E92/365.25</f>
        <v>0</v>
      </c>
      <c r="F92" s="60">
        <f>'Air Basin Summary PM2.5 BAU'!F92/365.25</f>
        <v>0</v>
      </c>
      <c r="G92" s="60">
        <f>'Air Basin Summary PM2.5 BAU'!G92/365.25</f>
        <v>0</v>
      </c>
      <c r="H92" s="60">
        <f>'Air Basin Summary PM2.5 BAU'!H92/365.25</f>
        <v>1.2603685564429317E-5</v>
      </c>
      <c r="I92" s="60">
        <f>'Air Basin Summary PM2.5 BAU'!I92/365.25</f>
        <v>1.080961469819297E-4</v>
      </c>
      <c r="J92" s="60">
        <f>'Air Basin Summary PM2.5 BAU'!J92/365.25</f>
        <v>1.6439672155642315E-4</v>
      </c>
      <c r="K92" s="60">
        <f>'Air Basin Summary PM2.5 BAU'!K92/365.25</f>
        <v>1.9743708395759924E-4</v>
      </c>
      <c r="L92" s="60">
        <f>'Air Basin Summary PM2.5 BAU'!L92/365.25</f>
        <v>2.1641239356398061E-4</v>
      </c>
      <c r="M92" s="60">
        <f>'Air Basin Summary PM2.5 BAU'!M92/365.25</f>
        <v>2.2856934494707389E-4</v>
      </c>
      <c r="N92" s="60">
        <f>'Air Basin Summary PM2.5 BAU'!N92/365.25</f>
        <v>2.358635835500207E-4</v>
      </c>
      <c r="O92" s="60">
        <f>'Air Basin Summary PM2.5 BAU'!O92/365.25</f>
        <v>2.4024012398487441E-4</v>
      </c>
      <c r="P92" s="60">
        <f>'Air Basin Summary PM2.5 BAU'!P92/365.25</f>
        <v>2.4680493746700939E-4</v>
      </c>
      <c r="Q92" s="60">
        <f>'Air Basin Summary PM2.5 BAU'!Q92/365.25</f>
        <v>2.4680486566023223E-4</v>
      </c>
      <c r="R92" s="60">
        <f>'Air Basin Summary PM2.5 BAU'!R92/365.25</f>
        <v>2.4680485521561359E-4</v>
      </c>
      <c r="S92" s="60">
        <f>'Air Basin Summary PM2.5 BAU'!S92/365.25</f>
        <v>2.4680475076947571E-4</v>
      </c>
      <c r="T92" s="60">
        <f>'Air Basin Summary PM2.5 BAU'!T92/365.25</f>
        <v>2.4680474424159499E-4</v>
      </c>
      <c r="U92" s="60">
        <f>'Air Basin Summary PM2.5 BAU'!U92/365.25</f>
        <v>2.4680467178214271E-4</v>
      </c>
      <c r="V92" s="60">
        <f>'Air Basin Summary PM2.5 BAU'!V92/365.25</f>
        <v>2.468046322884951E-4</v>
      </c>
      <c r="W92" s="60">
        <f>'Air Basin Summary PM2.5 BAU'!W92/365.25</f>
        <v>2.4680462249668353E-4</v>
      </c>
      <c r="X92" s="60">
        <f>'Air Basin Summary PM2.5 BAU'!X92/365.25</f>
        <v>2.4680464893457637E-4</v>
      </c>
      <c r="Y92" s="60">
        <f>'Air Basin Summary PM2.5 BAU'!Y92/365.25</f>
        <v>2.4680467504608104E-4</v>
      </c>
      <c r="Z92" s="60">
        <f>'Air Basin Summary PM2.5 BAU'!Z92/365.25</f>
        <v>2.4680470115759113E-4</v>
      </c>
      <c r="AA92" s="60">
        <f>'Air Basin Summary PM2.5 BAU'!AA92/365.25</f>
        <v>2.468046913657743E-4</v>
      </c>
      <c r="AB92" s="61">
        <f>'Air Basin Summary PM2.5 BAU'!AB92/365.25</f>
        <v>2.4680468483789661E-4</v>
      </c>
    </row>
    <row r="93" spans="1:28" ht="26.25" customHeight="1">
      <c r="A93" s="520"/>
      <c r="B93" s="17" t="str">
        <f>'BAU Comparison - Production'!B199</f>
        <v>South Coast</v>
      </c>
      <c r="C93" s="2" t="s">
        <v>18938</v>
      </c>
      <c r="D93" s="394">
        <f>'Air Basin Summary PM2.5 BAU'!D93/365.25</f>
        <v>0</v>
      </c>
      <c r="E93" s="64">
        <f>'Air Basin Summary PM2.5 BAU'!E93/365.25</f>
        <v>0</v>
      </c>
      <c r="F93" s="64">
        <f>'Air Basin Summary PM2.5 BAU'!F93/365.25</f>
        <v>0</v>
      </c>
      <c r="G93" s="64">
        <f>'Air Basin Summary PM2.5 BAU'!G93/365.25</f>
        <v>0</v>
      </c>
      <c r="H93" s="64">
        <f>'Air Basin Summary PM2.5 BAU'!H93/365.25</f>
        <v>3.2939403195140945E-4</v>
      </c>
      <c r="I93" s="64">
        <f>'Air Basin Summary PM2.5 BAU'!I93/365.25</f>
        <v>2.8250659812848896E-3</v>
      </c>
      <c r="J93" s="64">
        <f>'Air Basin Summary PM2.5 BAU'!J93/365.25</f>
        <v>4.2964713098734304E-3</v>
      </c>
      <c r="K93" s="64">
        <f>'Air Basin Summary PM2.5 BAU'!K93/365.25</f>
        <v>5.1599741365321652E-3</v>
      </c>
      <c r="L93" s="64">
        <f>'Air Basin Summary PM2.5 BAU'!L93/365.25</f>
        <v>5.6558900502094861E-3</v>
      </c>
      <c r="M93" s="64">
        <f>'Air Basin Summary PM2.5 BAU'!M93/365.25</f>
        <v>5.9736190947004813E-3</v>
      </c>
      <c r="N93" s="64">
        <f>'Air Basin Summary PM2.5 BAU'!N93/365.25</f>
        <v>6.1642531902836887E-3</v>
      </c>
      <c r="O93" s="64">
        <f>'Air Basin Summary PM2.5 BAU'!O93/365.25</f>
        <v>6.2786337816640152E-3</v>
      </c>
      <c r="P93" s="64">
        <f>'Air Basin Summary PM2.5 BAU'!P93/365.25</f>
        <v>6.4502045296445324E-3</v>
      </c>
      <c r="Q93" s="64">
        <f>'Air Basin Summary PM2.5 BAU'!Q93/365.25</f>
        <v>6.4502080590154182E-3</v>
      </c>
      <c r="R93" s="64">
        <f>'Air Basin Summary PM2.5 BAU'!R93/365.25</f>
        <v>6.4502085723782861E-3</v>
      </c>
      <c r="S93" s="64">
        <f>'Air Basin Summary PM2.5 BAU'!S93/365.25</f>
        <v>6.4502137060045654E-3</v>
      </c>
      <c r="T93" s="64">
        <f>'Air Basin Summary PM2.5 BAU'!T93/365.25</f>
        <v>6.4502140268560626E-3</v>
      </c>
      <c r="U93" s="64">
        <f>'Air Basin Summary PM2.5 BAU'!U93/365.25</f>
        <v>6.4502175883065557E-3</v>
      </c>
      <c r="V93" s="64">
        <f>'Air Basin Summary PM2.5 BAU'!V93/365.25</f>
        <v>6.4502195294566175E-3</v>
      </c>
      <c r="W93" s="64">
        <f>'Air Basin Summary PM2.5 BAU'!W93/365.25</f>
        <v>6.4502200107333955E-3</v>
      </c>
      <c r="X93" s="64">
        <f>'Air Basin Summary PM2.5 BAU'!X93/365.25</f>
        <v>6.4502187112860055E-3</v>
      </c>
      <c r="Y93" s="64">
        <f>'Air Basin Summary PM2.5 BAU'!Y93/365.25</f>
        <v>6.450217427880902E-3</v>
      </c>
      <c r="Z93" s="64">
        <f>'Air Basin Summary PM2.5 BAU'!Z93/365.25</f>
        <v>6.450216144475527E-3</v>
      </c>
      <c r="AA93" s="64">
        <f>'Air Basin Summary PM2.5 BAU'!AA93/365.25</f>
        <v>6.4502166257525764E-3</v>
      </c>
      <c r="AB93" s="65">
        <f>'Air Basin Summary PM2.5 BAU'!AB93/365.25</f>
        <v>6.4502169466039176E-3</v>
      </c>
    </row>
    <row r="94" spans="1:28" ht="26.25" customHeight="1">
      <c r="A94" s="520"/>
      <c r="B94" s="15" t="str">
        <f>'BAU Comparison - Production'!B200</f>
        <v>STATEWIDE</v>
      </c>
      <c r="C94" s="73" t="s">
        <v>18938</v>
      </c>
      <c r="D94" s="175">
        <f>'Air Basin Summary PM2.5 BAU'!D94/365.25</f>
        <v>0</v>
      </c>
      <c r="E94" s="175">
        <f>'Air Basin Summary PM2.5 BAU'!E94/365.25</f>
        <v>0</v>
      </c>
      <c r="F94" s="175">
        <f>'Air Basin Summary PM2.5 BAU'!F94/365.25</f>
        <v>0</v>
      </c>
      <c r="G94" s="175">
        <f>'Air Basin Summary PM2.5 BAU'!G94/365.25</f>
        <v>0</v>
      </c>
      <c r="H94" s="175">
        <f>'Air Basin Summary PM2.5 BAU'!H94/365.25</f>
        <v>9.2552439736394887E-4</v>
      </c>
      <c r="I94" s="175">
        <f>'Air Basin Summary PM2.5 BAU'!I94/365.25</f>
        <v>7.9876747208384134E-3</v>
      </c>
      <c r="J94" s="175">
        <f>'Air Basin Summary PM2.5 BAU'!J94/365.25</f>
        <v>1.2224964914923102E-2</v>
      </c>
      <c r="K94" s="175">
        <f>'Air Basin Summary PM2.5 BAU'!K94/365.25</f>
        <v>1.476733903137391E-2</v>
      </c>
      <c r="L94" s="175">
        <f>'Air Basin Summary PM2.5 BAU'!L94/365.25</f>
        <v>1.6292763501244447E-2</v>
      </c>
      <c r="M94" s="175">
        <f>'Air Basin Summary PM2.5 BAU'!M94/365.25</f>
        <v>1.7208018183166727E-2</v>
      </c>
      <c r="N94" s="175">
        <f>'Air Basin Summary PM2.5 BAU'!N94/365.25</f>
        <v>1.7757170992320107E-2</v>
      </c>
      <c r="O94" s="175">
        <f>'Air Basin Summary PM2.5 BAU'!O94/365.25</f>
        <v>1.8086662677812112E-2</v>
      </c>
      <c r="P94" s="175">
        <f>'Air Basin Summary PM2.5 BAU'!P94/365.25</f>
        <v>1.8580900206050178E-2</v>
      </c>
      <c r="Q94" s="175">
        <f>'Air Basin Summary PM2.5 BAU'!Q94/365.25</f>
        <v>1.8580900206050174E-2</v>
      </c>
      <c r="R94" s="175">
        <f>'Air Basin Summary PM2.5 BAU'!R94/365.25</f>
        <v>1.8580900206050174E-2</v>
      </c>
      <c r="S94" s="175">
        <f>'Air Basin Summary PM2.5 BAU'!S94/365.25</f>
        <v>1.8580900206050174E-2</v>
      </c>
      <c r="T94" s="175">
        <f>'Air Basin Summary PM2.5 BAU'!T94/365.25</f>
        <v>1.8580900206050167E-2</v>
      </c>
      <c r="U94" s="175">
        <f>'Air Basin Summary PM2.5 BAU'!U94/365.25</f>
        <v>1.8580900206050174E-2</v>
      </c>
      <c r="V94" s="175">
        <f>'Air Basin Summary PM2.5 BAU'!V94/365.25</f>
        <v>1.8580900206050174E-2</v>
      </c>
      <c r="W94" s="175">
        <f>'Air Basin Summary PM2.5 BAU'!W94/365.25</f>
        <v>1.8580900206050171E-2</v>
      </c>
      <c r="X94" s="175">
        <f>'Air Basin Summary PM2.5 BAU'!X94/365.25</f>
        <v>1.8580900206050174E-2</v>
      </c>
      <c r="Y94" s="175">
        <f>'Air Basin Summary PM2.5 BAU'!Y94/365.25</f>
        <v>1.8580900206050174E-2</v>
      </c>
      <c r="Z94" s="175">
        <f>'Air Basin Summary PM2.5 BAU'!Z94/365.25</f>
        <v>1.8580900206050174E-2</v>
      </c>
      <c r="AA94" s="175">
        <f>'Air Basin Summary PM2.5 BAU'!AA94/365.25</f>
        <v>1.8580900206050181E-2</v>
      </c>
      <c r="AB94" s="175">
        <f>'Air Basin Summary PM2.5 BAU'!AB94/365.25</f>
        <v>1.8580900206050171E-2</v>
      </c>
    </row>
    <row r="95" spans="1:28" ht="26.25" customHeight="1">
      <c r="A95" s="520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520"/>
      <c r="B96" s="86"/>
      <c r="C96" s="86"/>
      <c r="D96" s="519" t="s">
        <v>18955</v>
      </c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</row>
    <row r="97" spans="1:28" ht="15" customHeight="1">
      <c r="A97" s="520"/>
      <c r="B97" s="88" t="s">
        <v>18814</v>
      </c>
      <c r="C97" s="90">
        <f>'BAU Comparison - Production'!C202</f>
        <v>0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20"/>
      <c r="B98" s="2" t="str">
        <f>'BAU Comparison - Production'!B207</f>
        <v>Great Basin Valleys</v>
      </c>
      <c r="C98" s="2" t="s">
        <v>18938</v>
      </c>
      <c r="D98" s="104">
        <f>'BAU Comparison - Production'!AD207/365.25</f>
        <v>0</v>
      </c>
      <c r="E98" s="79">
        <f>'BAU Comparison - Production'!AE207/365.25</f>
        <v>0</v>
      </c>
      <c r="F98" s="79">
        <f>'BAU Comparison - Production'!AF207/365.25</f>
        <v>0</v>
      </c>
      <c r="G98" s="79">
        <f>'BAU Comparison - Production'!AG207/365.25</f>
        <v>0</v>
      </c>
      <c r="H98" s="79">
        <f>'BAU Comparison - Production'!AH207/365.25</f>
        <v>0</v>
      </c>
      <c r="I98" s="79">
        <f>'BAU Comparison - Production'!AI207/365.25</f>
        <v>0</v>
      </c>
      <c r="J98" s="79">
        <f>'BAU Comparison - Production'!AJ207/365.25</f>
        <v>0</v>
      </c>
      <c r="K98" s="79">
        <f>'BAU Comparison - Production'!AK207/365.25</f>
        <v>0</v>
      </c>
      <c r="L98" s="79">
        <f>'BAU Comparison - Production'!AL207/365.25</f>
        <v>0</v>
      </c>
      <c r="M98" s="79">
        <f>'BAU Comparison - Production'!AM207/365.25</f>
        <v>0</v>
      </c>
      <c r="N98" s="79">
        <f>'BAU Comparison - Production'!AN207/365.25</f>
        <v>0</v>
      </c>
      <c r="O98" s="79">
        <f>'BAU Comparison - Production'!AO207/365.25</f>
        <v>0</v>
      </c>
      <c r="P98" s="79">
        <f>'BAU Comparison - Production'!AP207/365.25</f>
        <v>0</v>
      </c>
      <c r="Q98" s="79">
        <f>'BAU Comparison - Production'!AQ207/365.25</f>
        <v>0</v>
      </c>
      <c r="R98" s="79">
        <f>'BAU Comparison - Production'!AR207/365.25</f>
        <v>0</v>
      </c>
      <c r="S98" s="79">
        <f>'BAU Comparison - Production'!AS207/365.25</f>
        <v>0</v>
      </c>
      <c r="T98" s="79">
        <f>'BAU Comparison - Production'!AT207/365.25</f>
        <v>0</v>
      </c>
      <c r="U98" s="79">
        <f>'BAU Comparison - Production'!AU207/365.25</f>
        <v>0</v>
      </c>
      <c r="V98" s="79">
        <f>'BAU Comparison - Production'!AV207/365.25</f>
        <v>0</v>
      </c>
      <c r="W98" s="79">
        <f>'BAU Comparison - Production'!AW207/365.25</f>
        <v>0</v>
      </c>
      <c r="X98" s="79">
        <f>'BAU Comparison - Production'!AX207/365.25</f>
        <v>0</v>
      </c>
      <c r="Y98" s="79">
        <f>'BAU Comparison - Production'!AY207/365.25</f>
        <v>0</v>
      </c>
      <c r="Z98" s="79">
        <f>'BAU Comparison - Production'!AZ207/365.25</f>
        <v>0</v>
      </c>
      <c r="AA98" s="79">
        <f>'BAU Comparison - Production'!BA207/365.25</f>
        <v>0</v>
      </c>
      <c r="AB98" s="80">
        <f>'BAU Comparison - Production'!BB207/365.25</f>
        <v>0</v>
      </c>
    </row>
    <row r="99" spans="1:28" ht="15" customHeight="1">
      <c r="A99" s="520"/>
      <c r="B99" s="2" t="str">
        <f>'BAU Comparison - Production'!B208</f>
        <v xml:space="preserve">Lake County </v>
      </c>
      <c r="C99" s="2" t="s">
        <v>18938</v>
      </c>
      <c r="D99" s="393">
        <f>'BAU Comparison - Production'!AD208/365.25</f>
        <v>0</v>
      </c>
      <c r="E99" s="60">
        <f>'BAU Comparison - Production'!AE208/365.25</f>
        <v>0</v>
      </c>
      <c r="F99" s="60">
        <f>'BAU Comparison - Production'!AF208/365.25</f>
        <v>0</v>
      </c>
      <c r="G99" s="60">
        <f>'BAU Comparison - Production'!AG208/365.25</f>
        <v>0</v>
      </c>
      <c r="H99" s="60">
        <f>'BAU Comparison - Production'!AH208/365.25</f>
        <v>0</v>
      </c>
      <c r="I99" s="60">
        <f>'BAU Comparison - Production'!AI208/365.25</f>
        <v>0</v>
      </c>
      <c r="J99" s="60">
        <f>'BAU Comparison - Production'!AJ208/365.25</f>
        <v>0</v>
      </c>
      <c r="K99" s="60">
        <f>'BAU Comparison - Production'!AK208/365.25</f>
        <v>0</v>
      </c>
      <c r="L99" s="60">
        <f>'BAU Comparison - Production'!AL208/365.25</f>
        <v>0</v>
      </c>
      <c r="M99" s="60">
        <f>'BAU Comparison - Production'!AM208/365.25</f>
        <v>0</v>
      </c>
      <c r="N99" s="60">
        <f>'BAU Comparison - Production'!AN208/365.25</f>
        <v>0</v>
      </c>
      <c r="O99" s="60">
        <f>'BAU Comparison - Production'!AO208/365.25</f>
        <v>0</v>
      </c>
      <c r="P99" s="60">
        <f>'BAU Comparison - Production'!AP208/365.25</f>
        <v>0</v>
      </c>
      <c r="Q99" s="60">
        <f>'BAU Comparison - Production'!AQ208/365.25</f>
        <v>0</v>
      </c>
      <c r="R99" s="60">
        <f>'BAU Comparison - Production'!AR208/365.25</f>
        <v>0</v>
      </c>
      <c r="S99" s="60">
        <f>'BAU Comparison - Production'!AS208/365.25</f>
        <v>0</v>
      </c>
      <c r="T99" s="60">
        <f>'BAU Comparison - Production'!AT208/365.25</f>
        <v>0</v>
      </c>
      <c r="U99" s="60">
        <f>'BAU Comparison - Production'!AU208/365.25</f>
        <v>0</v>
      </c>
      <c r="V99" s="60">
        <f>'BAU Comparison - Production'!AV208/365.25</f>
        <v>0</v>
      </c>
      <c r="W99" s="60">
        <f>'BAU Comparison - Production'!AW208/365.25</f>
        <v>0</v>
      </c>
      <c r="X99" s="60">
        <f>'BAU Comparison - Production'!AX208/365.25</f>
        <v>0</v>
      </c>
      <c r="Y99" s="60">
        <f>'BAU Comparison - Production'!AY208/365.25</f>
        <v>0</v>
      </c>
      <c r="Z99" s="60">
        <f>'BAU Comparison - Production'!AZ208/365.25</f>
        <v>0</v>
      </c>
      <c r="AA99" s="60">
        <f>'BAU Comparison - Production'!BA208/365.25</f>
        <v>0</v>
      </c>
      <c r="AB99" s="61">
        <f>'BAU Comparison - Production'!BB208/365.25</f>
        <v>0</v>
      </c>
    </row>
    <row r="100" spans="1:28" ht="15" customHeight="1">
      <c r="A100" s="520"/>
      <c r="B100" s="2" t="str">
        <f>'BAU Comparison - Production'!B209</f>
        <v xml:space="preserve">Lake Tahoe </v>
      </c>
      <c r="C100" s="2" t="s">
        <v>18938</v>
      </c>
      <c r="D100" s="393">
        <f>'BAU Comparison - Production'!AD209/365.25</f>
        <v>0</v>
      </c>
      <c r="E100" s="60">
        <f>'BAU Comparison - Production'!AE209/365.25</f>
        <v>0</v>
      </c>
      <c r="F100" s="60">
        <f>'BAU Comparison - Production'!AF209/365.25</f>
        <v>0</v>
      </c>
      <c r="G100" s="60">
        <f>'BAU Comparison - Production'!AG209/365.25</f>
        <v>0</v>
      </c>
      <c r="H100" s="60">
        <f>'BAU Comparison - Production'!AH209/365.25</f>
        <v>0</v>
      </c>
      <c r="I100" s="60">
        <f>'BAU Comparison - Production'!AI209/365.25</f>
        <v>0</v>
      </c>
      <c r="J100" s="60">
        <f>'BAU Comparison - Production'!AJ209/365.25</f>
        <v>0</v>
      </c>
      <c r="K100" s="60">
        <f>'BAU Comparison - Production'!AK209/365.25</f>
        <v>0</v>
      </c>
      <c r="L100" s="60">
        <f>'BAU Comparison - Production'!AL209/365.25</f>
        <v>0</v>
      </c>
      <c r="M100" s="60">
        <f>'BAU Comparison - Production'!AM209/365.25</f>
        <v>0</v>
      </c>
      <c r="N100" s="60">
        <f>'BAU Comparison - Production'!AN209/365.25</f>
        <v>0</v>
      </c>
      <c r="O100" s="60">
        <f>'BAU Comparison - Production'!AO209/365.25</f>
        <v>0</v>
      </c>
      <c r="P100" s="60">
        <f>'BAU Comparison - Production'!AP209/365.25</f>
        <v>0</v>
      </c>
      <c r="Q100" s="60">
        <f>'BAU Comparison - Production'!AQ209/365.25</f>
        <v>0</v>
      </c>
      <c r="R100" s="60">
        <f>'BAU Comparison - Production'!AR209/365.25</f>
        <v>0</v>
      </c>
      <c r="S100" s="60">
        <f>'BAU Comparison - Production'!AS209/365.25</f>
        <v>0</v>
      </c>
      <c r="T100" s="60">
        <f>'BAU Comparison - Production'!AT209/365.25</f>
        <v>0</v>
      </c>
      <c r="U100" s="60">
        <f>'BAU Comparison - Production'!AU209/365.25</f>
        <v>0</v>
      </c>
      <c r="V100" s="60">
        <f>'BAU Comparison - Production'!AV209/365.25</f>
        <v>0</v>
      </c>
      <c r="W100" s="60">
        <f>'BAU Comparison - Production'!AW209/365.25</f>
        <v>0</v>
      </c>
      <c r="X100" s="60">
        <f>'BAU Comparison - Production'!AX209/365.25</f>
        <v>0</v>
      </c>
      <c r="Y100" s="60">
        <f>'BAU Comparison - Production'!AY209/365.25</f>
        <v>0</v>
      </c>
      <c r="Z100" s="60">
        <f>'BAU Comparison - Production'!AZ209/365.25</f>
        <v>0</v>
      </c>
      <c r="AA100" s="60">
        <f>'BAU Comparison - Production'!BA209/365.25</f>
        <v>0</v>
      </c>
      <c r="AB100" s="61">
        <f>'BAU Comparison - Production'!BB209/365.25</f>
        <v>0</v>
      </c>
    </row>
    <row r="101" spans="1:28" ht="15" customHeight="1">
      <c r="A101" s="520"/>
      <c r="B101" s="2" t="str">
        <f>'BAU Comparison - Production'!B210</f>
        <v>Mojave Desert</v>
      </c>
      <c r="C101" s="2" t="s">
        <v>18938</v>
      </c>
      <c r="D101" s="393">
        <f>'BAU Comparison - Production'!AD210/365.25</f>
        <v>0</v>
      </c>
      <c r="E101" s="60">
        <f>'BAU Comparison - Production'!AE210/365.25</f>
        <v>0</v>
      </c>
      <c r="F101" s="60">
        <f>'BAU Comparison - Production'!AF210/365.25</f>
        <v>0</v>
      </c>
      <c r="G101" s="60">
        <f>'BAU Comparison - Production'!AG210/365.25</f>
        <v>0</v>
      </c>
      <c r="H101" s="60">
        <f>'BAU Comparison - Production'!AH210/365.25</f>
        <v>0</v>
      </c>
      <c r="I101" s="60">
        <f>'BAU Comparison - Production'!AI210/365.25</f>
        <v>0</v>
      </c>
      <c r="J101" s="60">
        <f>'BAU Comparison - Production'!AJ210/365.25</f>
        <v>0</v>
      </c>
      <c r="K101" s="60">
        <f>'BAU Comparison - Production'!AK210/365.25</f>
        <v>0</v>
      </c>
      <c r="L101" s="60">
        <f>'BAU Comparison - Production'!AL210/365.25</f>
        <v>0</v>
      </c>
      <c r="M101" s="60">
        <f>'BAU Comparison - Production'!AM210/365.25</f>
        <v>0</v>
      </c>
      <c r="N101" s="60">
        <f>'BAU Comparison - Production'!AN210/365.25</f>
        <v>0</v>
      </c>
      <c r="O101" s="60">
        <f>'BAU Comparison - Production'!AO210/365.25</f>
        <v>0</v>
      </c>
      <c r="P101" s="60">
        <f>'BAU Comparison - Production'!AP210/365.25</f>
        <v>0</v>
      </c>
      <c r="Q101" s="60">
        <f>'BAU Comparison - Production'!AQ210/365.25</f>
        <v>0</v>
      </c>
      <c r="R101" s="60">
        <f>'BAU Comparison - Production'!AR210/365.25</f>
        <v>-2.1762922724297005E-7</v>
      </c>
      <c r="S101" s="60">
        <f>'BAU Comparison - Production'!AS210/365.25</f>
        <v>-7.7418259793102168E-7</v>
      </c>
      <c r="T101" s="60">
        <f>'BAU Comparison - Production'!AT210/365.25</f>
        <v>-1.3433426945624324E-6</v>
      </c>
      <c r="U101" s="60">
        <f>'BAU Comparison - Production'!AU210/365.25</f>
        <v>-1.9242339437536744E-6</v>
      </c>
      <c r="V101" s="60">
        <f>'BAU Comparison - Production'!AV210/365.25</f>
        <v>-2.4290525806826472E-6</v>
      </c>
      <c r="W101" s="60">
        <f>'BAU Comparison - Production'!AW210/365.25</f>
        <v>-2.9692422794667076E-6</v>
      </c>
      <c r="X101" s="60">
        <f>'BAU Comparison - Production'!AX210/365.25</f>
        <v>-3.5833778329392858E-6</v>
      </c>
      <c r="Y101" s="60">
        <f>'BAU Comparison - Production'!AY210/365.25</f>
        <v>-3.9076605706153252E-6</v>
      </c>
      <c r="Z101" s="60">
        <f>'BAU Comparison - Production'!AZ210/365.25</f>
        <v>-4.2441108680950453E-6</v>
      </c>
      <c r="AA101" s="60">
        <f>'BAU Comparison - Production'!BA210/365.25</f>
        <v>-4.5797140188816006E-6</v>
      </c>
      <c r="AB101" s="61">
        <f>'BAU Comparison - Production'!BB210/365.25</f>
        <v>-5.0379062034955111E-6</v>
      </c>
    </row>
    <row r="102" spans="1:28" ht="15" customHeight="1">
      <c r="A102" s="520"/>
      <c r="B102" s="2" t="str">
        <f>'BAU Comparison - Production'!B211</f>
        <v xml:space="preserve">Mountain Counties </v>
      </c>
      <c r="C102" s="2" t="s">
        <v>18938</v>
      </c>
      <c r="D102" s="393">
        <f>'BAU Comparison - Production'!AD211/365.25</f>
        <v>0</v>
      </c>
      <c r="E102" s="60">
        <f>'BAU Comparison - Production'!AE211/365.25</f>
        <v>0</v>
      </c>
      <c r="F102" s="60">
        <f>'BAU Comparison - Production'!AF211/365.25</f>
        <v>0</v>
      </c>
      <c r="G102" s="60">
        <f>'BAU Comparison - Production'!AG211/365.25</f>
        <v>0</v>
      </c>
      <c r="H102" s="60">
        <f>'BAU Comparison - Production'!AH211/365.25</f>
        <v>0</v>
      </c>
      <c r="I102" s="60">
        <f>'BAU Comparison - Production'!AI211/365.25</f>
        <v>0</v>
      </c>
      <c r="J102" s="60">
        <f>'BAU Comparison - Production'!AJ211/365.25</f>
        <v>0</v>
      </c>
      <c r="K102" s="60">
        <f>'BAU Comparison - Production'!AK211/365.25</f>
        <v>0</v>
      </c>
      <c r="L102" s="60">
        <f>'BAU Comparison - Production'!AL211/365.25</f>
        <v>0</v>
      </c>
      <c r="M102" s="60">
        <f>'BAU Comparison - Production'!AM211/365.25</f>
        <v>0</v>
      </c>
      <c r="N102" s="60">
        <f>'BAU Comparison - Production'!AN211/365.25</f>
        <v>0</v>
      </c>
      <c r="O102" s="60">
        <f>'BAU Comparison - Production'!AO211/365.25</f>
        <v>0</v>
      </c>
      <c r="P102" s="60">
        <f>'BAU Comparison - Production'!AP211/365.25</f>
        <v>0</v>
      </c>
      <c r="Q102" s="60">
        <f>'BAU Comparison - Production'!AQ211/365.25</f>
        <v>0</v>
      </c>
      <c r="R102" s="60">
        <f>'BAU Comparison - Production'!AR211/365.25</f>
        <v>0</v>
      </c>
      <c r="S102" s="60">
        <f>'BAU Comparison - Production'!AS211/365.25</f>
        <v>0</v>
      </c>
      <c r="T102" s="60">
        <f>'BAU Comparison - Production'!AT211/365.25</f>
        <v>0</v>
      </c>
      <c r="U102" s="60">
        <f>'BAU Comparison - Production'!AU211/365.25</f>
        <v>0</v>
      </c>
      <c r="V102" s="60">
        <f>'BAU Comparison - Production'!AV211/365.25</f>
        <v>0</v>
      </c>
      <c r="W102" s="60">
        <f>'BAU Comparison - Production'!AW211/365.25</f>
        <v>0</v>
      </c>
      <c r="X102" s="60">
        <f>'BAU Comparison - Production'!AX211/365.25</f>
        <v>0</v>
      </c>
      <c r="Y102" s="60">
        <f>'BAU Comparison - Production'!AY211/365.25</f>
        <v>0</v>
      </c>
      <c r="Z102" s="60">
        <f>'BAU Comparison - Production'!AZ211/365.25</f>
        <v>0</v>
      </c>
      <c r="AA102" s="60">
        <f>'BAU Comparison - Production'!BA211/365.25</f>
        <v>0</v>
      </c>
      <c r="AB102" s="61">
        <f>'BAU Comparison - Production'!BB211/365.25</f>
        <v>0</v>
      </c>
    </row>
    <row r="103" spans="1:28" ht="15" customHeight="1">
      <c r="A103" s="520"/>
      <c r="B103" s="2" t="str">
        <f>'BAU Comparison - Production'!B212</f>
        <v>North Central coast</v>
      </c>
      <c r="C103" s="2" t="s">
        <v>18938</v>
      </c>
      <c r="D103" s="393">
        <f>'BAU Comparison - Production'!AD212/365.25</f>
        <v>0</v>
      </c>
      <c r="E103" s="60">
        <f>'BAU Comparison - Production'!AE212/365.25</f>
        <v>0</v>
      </c>
      <c r="F103" s="60">
        <f>'BAU Comparison - Production'!AF212/365.25</f>
        <v>0</v>
      </c>
      <c r="G103" s="60">
        <f>'BAU Comparison - Production'!AG212/365.25</f>
        <v>0</v>
      </c>
      <c r="H103" s="60">
        <f>'BAU Comparison - Production'!AH212/365.25</f>
        <v>0</v>
      </c>
      <c r="I103" s="60">
        <f>'BAU Comparison - Production'!AI212/365.25</f>
        <v>0</v>
      </c>
      <c r="J103" s="60">
        <f>'BAU Comparison - Production'!AJ212/365.25</f>
        <v>0</v>
      </c>
      <c r="K103" s="60">
        <f>'BAU Comparison - Production'!AK212/365.25</f>
        <v>0</v>
      </c>
      <c r="L103" s="60">
        <f>'BAU Comparison - Production'!AL212/365.25</f>
        <v>0</v>
      </c>
      <c r="M103" s="60">
        <f>'BAU Comparison - Production'!AM212/365.25</f>
        <v>0</v>
      </c>
      <c r="N103" s="60">
        <f>'BAU Comparison - Production'!AN212/365.25</f>
        <v>0</v>
      </c>
      <c r="O103" s="60">
        <f>'BAU Comparison - Production'!AO212/365.25</f>
        <v>0</v>
      </c>
      <c r="P103" s="60">
        <f>'BAU Comparison - Production'!AP212/365.25</f>
        <v>0</v>
      </c>
      <c r="Q103" s="60">
        <f>'BAU Comparison - Production'!AQ212/365.25</f>
        <v>0</v>
      </c>
      <c r="R103" s="60">
        <f>'BAU Comparison - Production'!AR212/365.25</f>
        <v>-1.7087056067560838E-8</v>
      </c>
      <c r="S103" s="60">
        <f>'BAU Comparison - Production'!AS212/365.25</f>
        <v>-6.0784581303541761E-8</v>
      </c>
      <c r="T103" s="60">
        <f>'BAU Comparison - Production'!AT212/365.25</f>
        <v>-1.054719176772613E-7</v>
      </c>
      <c r="U103" s="60">
        <f>'BAU Comparison - Production'!AU212/365.25</f>
        <v>-1.5108031995773596E-7</v>
      </c>
      <c r="V103" s="60">
        <f>'BAU Comparison - Production'!AV212/365.25</f>
        <v>-1.9071591698866566E-7</v>
      </c>
      <c r="W103" s="60">
        <f>'BAU Comparison - Production'!AW212/365.25</f>
        <v>-2.3312865624788757E-7</v>
      </c>
      <c r="X103" s="60">
        <f>'BAU Comparison - Production'!AX212/365.25</f>
        <v>-2.8134721938946775E-7</v>
      </c>
      <c r="Y103" s="60">
        <f>'BAU Comparison - Production'!AY212/365.25</f>
        <v>-3.0680812549389629E-7</v>
      </c>
      <c r="Z103" s="60">
        <f>'BAU Comparison - Production'!AZ212/365.25</f>
        <v>-3.3322436181386976E-7</v>
      </c>
      <c r="AA103" s="60">
        <f>'BAU Comparison - Production'!BA212/365.25</f>
        <v>-3.5957408481103746E-7</v>
      </c>
      <c r="AB103" s="61">
        <f>'BAU Comparison - Production'!BB212/365.25</f>
        <v>-3.9554882794365595E-7</v>
      </c>
    </row>
    <row r="104" spans="1:28" ht="15" customHeight="1">
      <c r="A104" s="520"/>
      <c r="B104" s="2" t="str">
        <f>'BAU Comparison - Production'!B213</f>
        <v>North Coast</v>
      </c>
      <c r="C104" s="2" t="s">
        <v>18938</v>
      </c>
      <c r="D104" s="393">
        <f>'BAU Comparison - Production'!AD213/365.25</f>
        <v>0</v>
      </c>
      <c r="E104" s="60">
        <f>'BAU Comparison - Production'!AE213/365.25</f>
        <v>0</v>
      </c>
      <c r="F104" s="60">
        <f>'BAU Comparison - Production'!AF213/365.25</f>
        <v>0</v>
      </c>
      <c r="G104" s="60">
        <f>'BAU Comparison - Production'!AG213/365.25</f>
        <v>0</v>
      </c>
      <c r="H104" s="60">
        <f>'BAU Comparison - Production'!AH213/365.25</f>
        <v>0</v>
      </c>
      <c r="I104" s="60">
        <f>'BAU Comparison - Production'!AI213/365.25</f>
        <v>0</v>
      </c>
      <c r="J104" s="60">
        <f>'BAU Comparison - Production'!AJ213/365.25</f>
        <v>0</v>
      </c>
      <c r="K104" s="60">
        <f>'BAU Comparison - Production'!AK213/365.25</f>
        <v>0</v>
      </c>
      <c r="L104" s="60">
        <f>'BAU Comparison - Production'!AL213/365.25</f>
        <v>0</v>
      </c>
      <c r="M104" s="60">
        <f>'BAU Comparison - Production'!AM213/365.25</f>
        <v>0</v>
      </c>
      <c r="N104" s="60">
        <f>'BAU Comparison - Production'!AN213/365.25</f>
        <v>0</v>
      </c>
      <c r="O104" s="60">
        <f>'BAU Comparison - Production'!AO213/365.25</f>
        <v>0</v>
      </c>
      <c r="P104" s="60">
        <f>'BAU Comparison - Production'!AP213/365.25</f>
        <v>0</v>
      </c>
      <c r="Q104" s="60">
        <f>'BAU Comparison - Production'!AQ213/365.25</f>
        <v>0</v>
      </c>
      <c r="R104" s="60">
        <f>'BAU Comparison - Production'!AR213/365.25</f>
        <v>0</v>
      </c>
      <c r="S104" s="60">
        <f>'BAU Comparison - Production'!AS213/365.25</f>
        <v>0</v>
      </c>
      <c r="T104" s="60">
        <f>'BAU Comparison - Production'!AT213/365.25</f>
        <v>0</v>
      </c>
      <c r="U104" s="60">
        <f>'BAU Comparison - Production'!AU213/365.25</f>
        <v>0</v>
      </c>
      <c r="V104" s="60">
        <f>'BAU Comparison - Production'!AV213/365.25</f>
        <v>0</v>
      </c>
      <c r="W104" s="60">
        <f>'BAU Comparison - Production'!AW213/365.25</f>
        <v>0</v>
      </c>
      <c r="X104" s="60">
        <f>'BAU Comparison - Production'!AX213/365.25</f>
        <v>0</v>
      </c>
      <c r="Y104" s="60">
        <f>'BAU Comparison - Production'!AY213/365.25</f>
        <v>0</v>
      </c>
      <c r="Z104" s="60">
        <f>'BAU Comparison - Production'!AZ213/365.25</f>
        <v>0</v>
      </c>
      <c r="AA104" s="60">
        <f>'BAU Comparison - Production'!BA213/365.25</f>
        <v>0</v>
      </c>
      <c r="AB104" s="61">
        <f>'BAU Comparison - Production'!BB213/365.25</f>
        <v>0</v>
      </c>
    </row>
    <row r="105" spans="1:28" ht="15" customHeight="1">
      <c r="A105" s="520"/>
      <c r="B105" s="2" t="str">
        <f>'BAU Comparison - Production'!B214</f>
        <v>Northeast Plateau</v>
      </c>
      <c r="C105" s="2" t="s">
        <v>18938</v>
      </c>
      <c r="D105" s="393">
        <f>'BAU Comparison - Production'!AD214/365.25</f>
        <v>0</v>
      </c>
      <c r="E105" s="60">
        <f>'BAU Comparison - Production'!AE214/365.25</f>
        <v>0</v>
      </c>
      <c r="F105" s="60">
        <f>'BAU Comparison - Production'!AF214/365.25</f>
        <v>0</v>
      </c>
      <c r="G105" s="60">
        <f>'BAU Comparison - Production'!AG214/365.25</f>
        <v>0</v>
      </c>
      <c r="H105" s="60">
        <f>'BAU Comparison - Production'!AH214/365.25</f>
        <v>0</v>
      </c>
      <c r="I105" s="60">
        <f>'BAU Comparison - Production'!AI214/365.25</f>
        <v>0</v>
      </c>
      <c r="J105" s="60">
        <f>'BAU Comparison - Production'!AJ214/365.25</f>
        <v>0</v>
      </c>
      <c r="K105" s="60">
        <f>'BAU Comparison - Production'!AK214/365.25</f>
        <v>0</v>
      </c>
      <c r="L105" s="60">
        <f>'BAU Comparison - Production'!AL214/365.25</f>
        <v>0</v>
      </c>
      <c r="M105" s="60">
        <f>'BAU Comparison - Production'!AM214/365.25</f>
        <v>0</v>
      </c>
      <c r="N105" s="60">
        <f>'BAU Comparison - Production'!AN214/365.25</f>
        <v>0</v>
      </c>
      <c r="O105" s="60">
        <f>'BAU Comparison - Production'!AO214/365.25</f>
        <v>0</v>
      </c>
      <c r="P105" s="60">
        <f>'BAU Comparison - Production'!AP214/365.25</f>
        <v>0</v>
      </c>
      <c r="Q105" s="60">
        <f>'BAU Comparison - Production'!AQ214/365.25</f>
        <v>0</v>
      </c>
      <c r="R105" s="60">
        <f>'BAU Comparison - Production'!AR214/365.25</f>
        <v>0</v>
      </c>
      <c r="S105" s="60">
        <f>'BAU Comparison - Production'!AS214/365.25</f>
        <v>0</v>
      </c>
      <c r="T105" s="60">
        <f>'BAU Comparison - Production'!AT214/365.25</f>
        <v>0</v>
      </c>
      <c r="U105" s="60">
        <f>'BAU Comparison - Production'!AU214/365.25</f>
        <v>0</v>
      </c>
      <c r="V105" s="60">
        <f>'BAU Comparison - Production'!AV214/365.25</f>
        <v>0</v>
      </c>
      <c r="W105" s="60">
        <f>'BAU Comparison - Production'!AW214/365.25</f>
        <v>0</v>
      </c>
      <c r="X105" s="60">
        <f>'BAU Comparison - Production'!AX214/365.25</f>
        <v>0</v>
      </c>
      <c r="Y105" s="60">
        <f>'BAU Comparison - Production'!AY214/365.25</f>
        <v>0</v>
      </c>
      <c r="Z105" s="60">
        <f>'BAU Comparison - Production'!AZ214/365.25</f>
        <v>0</v>
      </c>
      <c r="AA105" s="60">
        <f>'BAU Comparison - Production'!BA214/365.25</f>
        <v>0</v>
      </c>
      <c r="AB105" s="61">
        <f>'BAU Comparison - Production'!BB214/365.25</f>
        <v>0</v>
      </c>
    </row>
    <row r="106" spans="1:28" ht="15" customHeight="1">
      <c r="A106" s="520"/>
      <c r="B106" s="2" t="str">
        <f>'BAU Comparison - Production'!B215</f>
        <v xml:space="preserve">Sacramento Valley </v>
      </c>
      <c r="C106" s="2" t="s">
        <v>18938</v>
      </c>
      <c r="D106" s="393">
        <f>'BAU Comparison - Production'!AD215/365.25</f>
        <v>0</v>
      </c>
      <c r="E106" s="60">
        <f>'BAU Comparison - Production'!AE215/365.25</f>
        <v>0</v>
      </c>
      <c r="F106" s="60">
        <f>'BAU Comparison - Production'!AF215/365.25</f>
        <v>0</v>
      </c>
      <c r="G106" s="60">
        <f>'BAU Comparison - Production'!AG215/365.25</f>
        <v>0</v>
      </c>
      <c r="H106" s="60">
        <f>'BAU Comparison - Production'!AH215/365.25</f>
        <v>0</v>
      </c>
      <c r="I106" s="60">
        <f>'BAU Comparison - Production'!AI215/365.25</f>
        <v>0</v>
      </c>
      <c r="J106" s="60">
        <f>'BAU Comparison - Production'!AJ215/365.25</f>
        <v>0</v>
      </c>
      <c r="K106" s="60">
        <f>'BAU Comparison - Production'!AK215/365.25</f>
        <v>0</v>
      </c>
      <c r="L106" s="60">
        <f>'BAU Comparison - Production'!AL215/365.25</f>
        <v>0</v>
      </c>
      <c r="M106" s="60">
        <f>'BAU Comparison - Production'!AM215/365.25</f>
        <v>0</v>
      </c>
      <c r="N106" s="60">
        <f>'BAU Comparison - Production'!AN215/365.25</f>
        <v>0</v>
      </c>
      <c r="O106" s="60">
        <f>'BAU Comparison - Production'!AO215/365.25</f>
        <v>0</v>
      </c>
      <c r="P106" s="60">
        <f>'BAU Comparison - Production'!AP215/365.25</f>
        <v>0</v>
      </c>
      <c r="Q106" s="60">
        <f>'BAU Comparison - Production'!AQ215/365.25</f>
        <v>0</v>
      </c>
      <c r="R106" s="60">
        <f>'BAU Comparison - Production'!AR215/365.25</f>
        <v>0</v>
      </c>
      <c r="S106" s="60">
        <f>'BAU Comparison - Production'!AS215/365.25</f>
        <v>0</v>
      </c>
      <c r="T106" s="60">
        <f>'BAU Comparison - Production'!AT215/365.25</f>
        <v>0</v>
      </c>
      <c r="U106" s="60">
        <f>'BAU Comparison - Production'!AU215/365.25</f>
        <v>0</v>
      </c>
      <c r="V106" s="60">
        <f>'BAU Comparison - Production'!AV215/365.25</f>
        <v>0</v>
      </c>
      <c r="W106" s="60">
        <f>'BAU Comparison - Production'!AW215/365.25</f>
        <v>0</v>
      </c>
      <c r="X106" s="60">
        <f>'BAU Comparison - Production'!AX215/365.25</f>
        <v>0</v>
      </c>
      <c r="Y106" s="60">
        <f>'BAU Comparison - Production'!AY215/365.25</f>
        <v>0</v>
      </c>
      <c r="Z106" s="60">
        <f>'BAU Comparison - Production'!AZ215/365.25</f>
        <v>0</v>
      </c>
      <c r="AA106" s="60">
        <f>'BAU Comparison - Production'!BA215/365.25</f>
        <v>0</v>
      </c>
      <c r="AB106" s="61">
        <f>'BAU Comparison - Production'!BB215/365.25</f>
        <v>0</v>
      </c>
    </row>
    <row r="107" spans="1:28" ht="15" customHeight="1">
      <c r="A107" s="520"/>
      <c r="B107" s="2" t="str">
        <f>'BAU Comparison - Production'!B216</f>
        <v>Salton Sea</v>
      </c>
      <c r="C107" s="2" t="s">
        <v>18938</v>
      </c>
      <c r="D107" s="393">
        <f>'BAU Comparison - Production'!AD216/365.25</f>
        <v>0</v>
      </c>
      <c r="E107" s="60">
        <f>'BAU Comparison - Production'!AE216/365.25</f>
        <v>0</v>
      </c>
      <c r="F107" s="60">
        <f>'BAU Comparison - Production'!AF216/365.25</f>
        <v>0</v>
      </c>
      <c r="G107" s="60">
        <f>'BAU Comparison - Production'!AG216/365.25</f>
        <v>0</v>
      </c>
      <c r="H107" s="60">
        <f>'BAU Comparison - Production'!AH216/365.25</f>
        <v>0</v>
      </c>
      <c r="I107" s="60">
        <f>'BAU Comparison - Production'!AI216/365.25</f>
        <v>0</v>
      </c>
      <c r="J107" s="60">
        <f>'BAU Comparison - Production'!AJ216/365.25</f>
        <v>0</v>
      </c>
      <c r="K107" s="60">
        <f>'BAU Comparison - Production'!AK216/365.25</f>
        <v>0</v>
      </c>
      <c r="L107" s="60">
        <f>'BAU Comparison - Production'!AL216/365.25</f>
        <v>0</v>
      </c>
      <c r="M107" s="60">
        <f>'BAU Comparison - Production'!AM216/365.25</f>
        <v>0</v>
      </c>
      <c r="N107" s="60">
        <f>'BAU Comparison - Production'!AN216/365.25</f>
        <v>0</v>
      </c>
      <c r="O107" s="60">
        <f>'BAU Comparison - Production'!AO216/365.25</f>
        <v>0</v>
      </c>
      <c r="P107" s="60">
        <f>'BAU Comparison - Production'!AP216/365.25</f>
        <v>0</v>
      </c>
      <c r="Q107" s="60">
        <f>'BAU Comparison - Production'!AQ216/365.25</f>
        <v>0</v>
      </c>
      <c r="R107" s="60">
        <f>'BAU Comparison - Production'!AR216/365.25</f>
        <v>0</v>
      </c>
      <c r="S107" s="60">
        <f>'BAU Comparison - Production'!AS216/365.25</f>
        <v>0</v>
      </c>
      <c r="T107" s="60">
        <f>'BAU Comparison - Production'!AT216/365.25</f>
        <v>0</v>
      </c>
      <c r="U107" s="60">
        <f>'BAU Comparison - Production'!AU216/365.25</f>
        <v>0</v>
      </c>
      <c r="V107" s="60">
        <f>'BAU Comparison - Production'!AV216/365.25</f>
        <v>0</v>
      </c>
      <c r="W107" s="60">
        <f>'BAU Comparison - Production'!AW216/365.25</f>
        <v>0</v>
      </c>
      <c r="X107" s="60">
        <f>'BAU Comparison - Production'!AX216/365.25</f>
        <v>0</v>
      </c>
      <c r="Y107" s="60">
        <f>'BAU Comparison - Production'!AY216/365.25</f>
        <v>0</v>
      </c>
      <c r="Z107" s="60">
        <f>'BAU Comparison - Production'!AZ216/365.25</f>
        <v>0</v>
      </c>
      <c r="AA107" s="60">
        <f>'BAU Comparison - Production'!BA216/365.25</f>
        <v>0</v>
      </c>
      <c r="AB107" s="61">
        <f>'BAU Comparison - Production'!BB216/365.25</f>
        <v>0</v>
      </c>
    </row>
    <row r="108" spans="1:28" ht="15" customHeight="1">
      <c r="A108" s="520"/>
      <c r="B108" s="2" t="str">
        <f>'BAU Comparison - Production'!B217</f>
        <v xml:space="preserve">San Diego </v>
      </c>
      <c r="C108" s="2" t="s">
        <v>18938</v>
      </c>
      <c r="D108" s="393">
        <f>'BAU Comparison - Production'!AD217/365.25</f>
        <v>0</v>
      </c>
      <c r="E108" s="60">
        <f>'BAU Comparison - Production'!AE217/365.25</f>
        <v>0</v>
      </c>
      <c r="F108" s="60">
        <f>'BAU Comparison - Production'!AF217/365.25</f>
        <v>0</v>
      </c>
      <c r="G108" s="60">
        <f>'BAU Comparison - Production'!AG217/365.25</f>
        <v>0</v>
      </c>
      <c r="H108" s="60">
        <f>'BAU Comparison - Production'!AH217/365.25</f>
        <v>0</v>
      </c>
      <c r="I108" s="60">
        <f>'BAU Comparison - Production'!AI217/365.25</f>
        <v>0</v>
      </c>
      <c r="J108" s="60">
        <f>'BAU Comparison - Production'!AJ217/365.25</f>
        <v>0</v>
      </c>
      <c r="K108" s="60">
        <f>'BAU Comparison - Production'!AK217/365.25</f>
        <v>0</v>
      </c>
      <c r="L108" s="60">
        <f>'BAU Comparison - Production'!AL217/365.25</f>
        <v>0</v>
      </c>
      <c r="M108" s="60">
        <f>'BAU Comparison - Production'!AM217/365.25</f>
        <v>0</v>
      </c>
      <c r="N108" s="60">
        <f>'BAU Comparison - Production'!AN217/365.25</f>
        <v>0</v>
      </c>
      <c r="O108" s="60">
        <f>'BAU Comparison - Production'!AO217/365.25</f>
        <v>0</v>
      </c>
      <c r="P108" s="60">
        <f>'BAU Comparison - Production'!AP217/365.25</f>
        <v>0</v>
      </c>
      <c r="Q108" s="60">
        <f>'BAU Comparison - Production'!AQ217/365.25</f>
        <v>0</v>
      </c>
      <c r="R108" s="60">
        <f>'BAU Comparison - Production'!AR217/365.25</f>
        <v>0</v>
      </c>
      <c r="S108" s="60">
        <f>'BAU Comparison - Production'!AS217/365.25</f>
        <v>0</v>
      </c>
      <c r="T108" s="60">
        <f>'BAU Comparison - Production'!AT217/365.25</f>
        <v>0</v>
      </c>
      <c r="U108" s="60">
        <f>'BAU Comparison - Production'!AU217/365.25</f>
        <v>0</v>
      </c>
      <c r="V108" s="60">
        <f>'BAU Comparison - Production'!AV217/365.25</f>
        <v>0</v>
      </c>
      <c r="W108" s="60">
        <f>'BAU Comparison - Production'!AW217/365.25</f>
        <v>0</v>
      </c>
      <c r="X108" s="60">
        <f>'BAU Comparison - Production'!AX217/365.25</f>
        <v>0</v>
      </c>
      <c r="Y108" s="60">
        <f>'BAU Comparison - Production'!AY217/365.25</f>
        <v>0</v>
      </c>
      <c r="Z108" s="60">
        <f>'BAU Comparison - Production'!AZ217/365.25</f>
        <v>0</v>
      </c>
      <c r="AA108" s="60">
        <f>'BAU Comparison - Production'!BA217/365.25</f>
        <v>0</v>
      </c>
      <c r="AB108" s="61">
        <f>'BAU Comparison - Production'!BB217/365.25</f>
        <v>0</v>
      </c>
    </row>
    <row r="109" spans="1:28" ht="15" customHeight="1">
      <c r="A109" s="520"/>
      <c r="B109" s="2" t="str">
        <f>'BAU Comparison - Production'!B218</f>
        <v>San Franscisco Bay Area</v>
      </c>
      <c r="C109" s="2" t="s">
        <v>18938</v>
      </c>
      <c r="D109" s="393">
        <f>'BAU Comparison - Production'!AD218/365.25</f>
        <v>0</v>
      </c>
      <c r="E109" s="60">
        <f>'BAU Comparison - Production'!AE218/365.25</f>
        <v>0</v>
      </c>
      <c r="F109" s="60">
        <f>'BAU Comparison - Production'!AF218/365.25</f>
        <v>0</v>
      </c>
      <c r="G109" s="60">
        <f>'BAU Comparison - Production'!AG218/365.25</f>
        <v>0</v>
      </c>
      <c r="H109" s="60">
        <f>'BAU Comparison - Production'!AH218/365.25</f>
        <v>0</v>
      </c>
      <c r="I109" s="60">
        <f>'BAU Comparison - Production'!AI218/365.25</f>
        <v>0</v>
      </c>
      <c r="J109" s="60">
        <f>'BAU Comparison - Production'!AJ218/365.25</f>
        <v>0</v>
      </c>
      <c r="K109" s="60">
        <f>'BAU Comparison - Production'!AK218/365.25</f>
        <v>0</v>
      </c>
      <c r="L109" s="60">
        <f>'BAU Comparison - Production'!AL218/365.25</f>
        <v>0</v>
      </c>
      <c r="M109" s="60">
        <f>'BAU Comparison - Production'!AM218/365.25</f>
        <v>0</v>
      </c>
      <c r="N109" s="60">
        <f>'BAU Comparison - Production'!AN218/365.25</f>
        <v>0</v>
      </c>
      <c r="O109" s="60">
        <f>'BAU Comparison - Production'!AO218/365.25</f>
        <v>0</v>
      </c>
      <c r="P109" s="60">
        <f>'BAU Comparison - Production'!AP218/365.25</f>
        <v>0</v>
      </c>
      <c r="Q109" s="60">
        <f>'BAU Comparison - Production'!AQ218/365.25</f>
        <v>0</v>
      </c>
      <c r="R109" s="60">
        <f>'BAU Comparison - Production'!AR218/365.25</f>
        <v>-9.8779935413727954E-4</v>
      </c>
      <c r="S109" s="60">
        <f>'BAU Comparison - Production'!AS218/365.25</f>
        <v>-3.5139447026883075E-3</v>
      </c>
      <c r="T109" s="60">
        <f>'BAU Comparison - Production'!AT218/365.25</f>
        <v>-6.0973108386418121E-3</v>
      </c>
      <c r="U109" s="60">
        <f>'BAU Comparison - Production'!AU218/365.25</f>
        <v>-8.7339236137011517E-3</v>
      </c>
      <c r="V109" s="60">
        <f>'BAU Comparison - Production'!AV218/365.25</f>
        <v>-1.1025249690773405E-2</v>
      </c>
      <c r="W109" s="60">
        <f>'BAU Comparison - Production'!AW218/365.25</f>
        <v>-1.347712181443249E-2</v>
      </c>
      <c r="X109" s="60">
        <f>'BAU Comparison - Production'!AX218/365.25</f>
        <v>-1.6264627476048763E-2</v>
      </c>
      <c r="Y109" s="60">
        <f>'BAU Comparison - Production'!AY218/365.25</f>
        <v>-1.7736517455590135E-2</v>
      </c>
      <c r="Z109" s="60">
        <f>'BAU Comparison - Production'!AZ218/365.25</f>
        <v>-1.9263634887196509E-2</v>
      </c>
      <c r="AA109" s="60">
        <f>'BAU Comparison - Production'!BA218/365.25</f>
        <v>-2.0786907196679485E-2</v>
      </c>
      <c r="AB109" s="61">
        <f>'BAU Comparison - Production'!BB218/365.25</f>
        <v>-2.2866600029145725E-2</v>
      </c>
    </row>
    <row r="110" spans="1:28" ht="15" customHeight="1">
      <c r="A110" s="520"/>
      <c r="B110" s="2" t="str">
        <f>'BAU Comparison - Production'!B219</f>
        <v xml:space="preserve">San Joaquin Valley </v>
      </c>
      <c r="C110" s="2" t="s">
        <v>18938</v>
      </c>
      <c r="D110" s="393">
        <f>'BAU Comparison - Production'!AD219/365.25</f>
        <v>0</v>
      </c>
      <c r="E110" s="60">
        <f>'BAU Comparison - Production'!AE219/365.25</f>
        <v>0</v>
      </c>
      <c r="F110" s="60">
        <f>'BAU Comparison - Production'!AF219/365.25</f>
        <v>0</v>
      </c>
      <c r="G110" s="60">
        <f>'BAU Comparison - Production'!AG219/365.25</f>
        <v>0</v>
      </c>
      <c r="H110" s="60">
        <f>'BAU Comparison - Production'!AH219/365.25</f>
        <v>0</v>
      </c>
      <c r="I110" s="60">
        <f>'BAU Comparison - Production'!AI219/365.25</f>
        <v>0</v>
      </c>
      <c r="J110" s="60">
        <f>'BAU Comparison - Production'!AJ219/365.25</f>
        <v>0</v>
      </c>
      <c r="K110" s="60">
        <f>'BAU Comparison - Production'!AK219/365.25</f>
        <v>0</v>
      </c>
      <c r="L110" s="60">
        <f>'BAU Comparison - Production'!AL219/365.25</f>
        <v>0</v>
      </c>
      <c r="M110" s="60">
        <f>'BAU Comparison - Production'!AM219/365.25</f>
        <v>0</v>
      </c>
      <c r="N110" s="60">
        <f>'BAU Comparison - Production'!AN219/365.25</f>
        <v>0</v>
      </c>
      <c r="O110" s="60">
        <f>'BAU Comparison - Production'!AO219/365.25</f>
        <v>0</v>
      </c>
      <c r="P110" s="60">
        <f>'BAU Comparison - Production'!AP219/365.25</f>
        <v>0</v>
      </c>
      <c r="Q110" s="60">
        <f>'BAU Comparison - Production'!AQ219/365.25</f>
        <v>0</v>
      </c>
      <c r="R110" s="60">
        <f>'BAU Comparison - Production'!AR219/365.25</f>
        <v>-1.7271964206049609E-5</v>
      </c>
      <c r="S110" s="60">
        <f>'BAU Comparison - Production'!AS219/365.25</f>
        <v>-6.1442363646691859E-5</v>
      </c>
      <c r="T110" s="60">
        <f>'BAU Comparison - Production'!AT219/365.25</f>
        <v>-1.0661328549881181E-4</v>
      </c>
      <c r="U110" s="60">
        <f>'BAU Comparison - Production'!AU219/365.25</f>
        <v>-1.5271524060265086E-4</v>
      </c>
      <c r="V110" s="60">
        <f>'BAU Comparison - Production'!AV219/365.25</f>
        <v>-1.9277975554874991E-4</v>
      </c>
      <c r="W110" s="60">
        <f>'BAU Comparison - Production'!AW219/365.25</f>
        <v>-2.3565146565898465E-4</v>
      </c>
      <c r="X110" s="60">
        <f>'BAU Comparison - Production'!AX219/365.25</f>
        <v>-2.8439182756542287E-4</v>
      </c>
      <c r="Y110" s="60">
        <f>'BAU Comparison - Production'!AY219/365.25</f>
        <v>-3.1012825970156761E-4</v>
      </c>
      <c r="Z110" s="60">
        <f>'BAU Comparison - Production'!AZ219/365.25</f>
        <v>-3.3683036019056421E-4</v>
      </c>
      <c r="AA110" s="60">
        <f>'BAU Comparison - Production'!BA219/365.25</f>
        <v>-3.6346522758064768E-4</v>
      </c>
      <c r="AB110" s="61">
        <f>'BAU Comparison - Production'!BB219/365.25</f>
        <v>-3.9982927257772784E-4</v>
      </c>
    </row>
    <row r="111" spans="1:28" ht="15" customHeight="1">
      <c r="A111" s="520"/>
      <c r="B111" s="2" t="str">
        <f>'BAU Comparison - Production'!B220</f>
        <v>South Central Coast</v>
      </c>
      <c r="C111" s="2" t="s">
        <v>18938</v>
      </c>
      <c r="D111" s="393">
        <f>'BAU Comparison - Production'!AD220/365.25</f>
        <v>0</v>
      </c>
      <c r="E111" s="60">
        <f>'BAU Comparison - Production'!AE220/365.25</f>
        <v>0</v>
      </c>
      <c r="F111" s="60">
        <f>'BAU Comparison - Production'!AF220/365.25</f>
        <v>0</v>
      </c>
      <c r="G111" s="60">
        <f>'BAU Comparison - Production'!AG220/365.25</f>
        <v>0</v>
      </c>
      <c r="H111" s="60">
        <f>'BAU Comparison - Production'!AH220/365.25</f>
        <v>0</v>
      </c>
      <c r="I111" s="60">
        <f>'BAU Comparison - Production'!AI220/365.25</f>
        <v>0</v>
      </c>
      <c r="J111" s="60">
        <f>'BAU Comparison - Production'!AJ220/365.25</f>
        <v>0</v>
      </c>
      <c r="K111" s="60">
        <f>'BAU Comparison - Production'!AK220/365.25</f>
        <v>0</v>
      </c>
      <c r="L111" s="60">
        <f>'BAU Comparison - Production'!AL220/365.25</f>
        <v>0</v>
      </c>
      <c r="M111" s="60">
        <f>'BAU Comparison - Production'!AM220/365.25</f>
        <v>0</v>
      </c>
      <c r="N111" s="60">
        <f>'BAU Comparison - Production'!AN220/365.25</f>
        <v>0</v>
      </c>
      <c r="O111" s="60">
        <f>'BAU Comparison - Production'!AO220/365.25</f>
        <v>0</v>
      </c>
      <c r="P111" s="60">
        <f>'BAU Comparison - Production'!AP220/365.25</f>
        <v>0</v>
      </c>
      <c r="Q111" s="60">
        <f>'BAU Comparison - Production'!AQ220/365.25</f>
        <v>0</v>
      </c>
      <c r="R111" s="60">
        <f>'BAU Comparison - Production'!AR220/365.25</f>
        <v>-2.0878220648584858E-5</v>
      </c>
      <c r="S111" s="60">
        <f>'BAU Comparison - Production'!AS220/365.25</f>
        <v>-7.4271067846291079E-5</v>
      </c>
      <c r="T111" s="60">
        <f>'BAU Comparison - Production'!AT220/365.25</f>
        <v>-1.2887333902273444E-4</v>
      </c>
      <c r="U111" s="60">
        <f>'BAU Comparison - Production'!AU220/365.25</f>
        <v>-1.8460103620334653E-4</v>
      </c>
      <c r="V111" s="60">
        <f>'BAU Comparison - Production'!AV220/365.25</f>
        <v>-2.3303072105240391E-4</v>
      </c>
      <c r="W111" s="60">
        <f>'BAU Comparison - Production'!AW220/365.25</f>
        <v>-2.848537223385077E-4</v>
      </c>
      <c r="X111" s="60">
        <f>'BAU Comparison - Production'!AX220/365.25</f>
        <v>-3.4377070585206036E-4</v>
      </c>
      <c r="Y111" s="60">
        <f>'BAU Comparison - Production'!AY220/365.25</f>
        <v>-3.7488071178048613E-4</v>
      </c>
      <c r="Z111" s="60">
        <f>'BAU Comparison - Production'!AZ220/365.25</f>
        <v>-4.0715801036327796E-4</v>
      </c>
      <c r="AA111" s="60">
        <f>'BAU Comparison - Production'!BA220/365.25</f>
        <v>-4.3935403808091227E-4</v>
      </c>
      <c r="AB111" s="61">
        <f>'BAU Comparison - Production'!BB220/365.25</f>
        <v>-4.8331062263996246E-4</v>
      </c>
    </row>
    <row r="112" spans="1:28" ht="15" customHeight="1">
      <c r="A112" s="520"/>
      <c r="B112" s="2" t="str">
        <f>'BAU Comparison - Production'!B221</f>
        <v>South Coast</v>
      </c>
      <c r="C112" s="2" t="s">
        <v>18938</v>
      </c>
      <c r="D112" s="394">
        <f>'BAU Comparison - Production'!AD221/365.25</f>
        <v>0</v>
      </c>
      <c r="E112" s="64">
        <f>'BAU Comparison - Production'!AE221/365.25</f>
        <v>0</v>
      </c>
      <c r="F112" s="64">
        <f>'BAU Comparison - Production'!AF221/365.25</f>
        <v>0</v>
      </c>
      <c r="G112" s="64">
        <f>'BAU Comparison - Production'!AG221/365.25</f>
        <v>0</v>
      </c>
      <c r="H112" s="64">
        <f>'BAU Comparison - Production'!AH221/365.25</f>
        <v>0</v>
      </c>
      <c r="I112" s="64">
        <f>'BAU Comparison - Production'!AI221/365.25</f>
        <v>0</v>
      </c>
      <c r="J112" s="64">
        <f>'BAU Comparison - Production'!AJ221/365.25</f>
        <v>0</v>
      </c>
      <c r="K112" s="64">
        <f>'BAU Comparison - Production'!AK221/365.25</f>
        <v>0</v>
      </c>
      <c r="L112" s="64">
        <f>'BAU Comparison - Production'!AL221/365.25</f>
        <v>0</v>
      </c>
      <c r="M112" s="64">
        <f>'BAU Comparison - Production'!AM221/365.25</f>
        <v>0</v>
      </c>
      <c r="N112" s="64">
        <f>'BAU Comparison - Production'!AN221/365.25</f>
        <v>0</v>
      </c>
      <c r="O112" s="64">
        <f>'BAU Comparison - Production'!AO221/365.25</f>
        <v>0</v>
      </c>
      <c r="P112" s="64">
        <f>'BAU Comparison - Production'!AP221/365.25</f>
        <v>0</v>
      </c>
      <c r="Q112" s="64">
        <f>'BAU Comparison - Production'!AQ221/365.25</f>
        <v>0</v>
      </c>
      <c r="R112" s="64">
        <f>'BAU Comparison - Production'!AR221/365.25</f>
        <v>-5.4564922430662074E-4</v>
      </c>
      <c r="S112" s="64">
        <f>'BAU Comparison - Production'!AS221/365.25</f>
        <v>-1.9410657950794659E-3</v>
      </c>
      <c r="T112" s="64">
        <f>'BAU Comparison - Production'!AT221/365.25</f>
        <v>-3.3680901135291984E-3</v>
      </c>
      <c r="U112" s="64">
        <f>'BAU Comparison - Production'!AU221/365.25</f>
        <v>-4.8245312454599735E-3</v>
      </c>
      <c r="V112" s="64">
        <f>'BAU Comparison - Production'!AV221/365.25</f>
        <v>-6.0902394495520205E-3</v>
      </c>
      <c r="W112" s="64">
        <f>'BAU Comparison - Production'!AW221/365.25</f>
        <v>-7.4446303370368453E-3</v>
      </c>
      <c r="X112" s="64">
        <f>'BAU Comparison - Production'!AX221/365.25</f>
        <v>-8.9844184412699226E-3</v>
      </c>
      <c r="Y112" s="64">
        <f>'BAU Comparison - Production'!AY221/365.25</f>
        <v>-9.7974728398131476E-3</v>
      </c>
      <c r="Z112" s="64">
        <f>'BAU Comparison - Production'!AZ221/365.25</f>
        <v>-1.064103381937128E-2</v>
      </c>
      <c r="AA112" s="64">
        <f>'BAU Comparison - Production'!BA221/365.25</f>
        <v>-1.1482475091290046E-2</v>
      </c>
      <c r="AB112" s="65">
        <f>'BAU Comparison - Production'!BB221/365.25</f>
        <v>-1.2631277119693047E-2</v>
      </c>
    </row>
    <row r="113" spans="1:28" ht="15" customHeight="1">
      <c r="A113" s="520"/>
      <c r="B113" s="2" t="str">
        <f>'BAU Comparison - Production'!B222</f>
        <v>STATEWIDE</v>
      </c>
      <c r="C113" s="83" t="s">
        <v>18938</v>
      </c>
      <c r="D113" s="175">
        <f>'BAU Comparison - Production'!AD222/365.25</f>
        <v>0</v>
      </c>
      <c r="E113" s="175">
        <f>'BAU Comparison - Production'!AE222/365.25</f>
        <v>0</v>
      </c>
      <c r="F113" s="175">
        <f>'BAU Comparison - Production'!AF222/365.25</f>
        <v>0</v>
      </c>
      <c r="G113" s="175">
        <f>'BAU Comparison - Production'!AG222/365.25</f>
        <v>0</v>
      </c>
      <c r="H113" s="175">
        <f>'BAU Comparison - Production'!AH222/365.25</f>
        <v>0</v>
      </c>
      <c r="I113" s="175">
        <f>'BAU Comparison - Production'!AI222/365.25</f>
        <v>0</v>
      </c>
      <c r="J113" s="175">
        <f>'BAU Comparison - Production'!AJ222/365.25</f>
        <v>0</v>
      </c>
      <c r="K113" s="175">
        <f>'BAU Comparison - Production'!AK222/365.25</f>
        <v>0</v>
      </c>
      <c r="L113" s="175">
        <f>'BAU Comparison - Production'!AL222/365.25</f>
        <v>0</v>
      </c>
      <c r="M113" s="175">
        <f>'BAU Comparison - Production'!AM222/365.25</f>
        <v>0</v>
      </c>
      <c r="N113" s="175">
        <f>'BAU Comparison - Production'!AN222/365.25</f>
        <v>0</v>
      </c>
      <c r="O113" s="175">
        <f>'BAU Comparison - Production'!AO222/365.25</f>
        <v>0</v>
      </c>
      <c r="P113" s="175">
        <f>'BAU Comparison - Production'!AP222/365.25</f>
        <v>0</v>
      </c>
      <c r="Q113" s="175">
        <f>'BAU Comparison - Production'!AQ222/365.25</f>
        <v>0</v>
      </c>
      <c r="R113" s="175">
        <f>'BAU Comparison - Production'!AR222/365.25</f>
        <v>-1.5718334795818453E-3</v>
      </c>
      <c r="S113" s="175">
        <f>'BAU Comparison - Production'!AS222/365.25</f>
        <v>-5.5915588964399908E-3</v>
      </c>
      <c r="T113" s="175">
        <f>'BAU Comparison - Production'!AT222/365.25</f>
        <v>-9.7023363913047948E-3</v>
      </c>
      <c r="U113" s="175">
        <f>'BAU Comparison - Production'!AU222/365.25</f>
        <v>-1.3897846450230834E-2</v>
      </c>
      <c r="V113" s="175">
        <f>'BAU Comparison - Production'!AV222/365.25</f>
        <v>-1.754391938542425E-2</v>
      </c>
      <c r="W113" s="175">
        <f>'BAU Comparison - Production'!AW222/365.25</f>
        <v>-2.1445459710402539E-2</v>
      </c>
      <c r="X113" s="175">
        <f>'BAU Comparison - Production'!AX222/365.25</f>
        <v>-2.5881073175788496E-2</v>
      </c>
      <c r="Y113" s="175">
        <f>'BAU Comparison - Production'!AY222/365.25</f>
        <v>-2.8223213735581447E-2</v>
      </c>
      <c r="Z113" s="175">
        <f>'BAU Comparison - Production'!AZ222/365.25</f>
        <v>-3.0653234412351536E-2</v>
      </c>
      <c r="AA113" s="175">
        <f>'BAU Comparison - Production'!BA222/365.25</f>
        <v>-3.3077140841734784E-2</v>
      </c>
      <c r="AB113" s="175">
        <f>'BAU Comparison - Production'!BB222/365.25</f>
        <v>-3.6386450499087897E-2</v>
      </c>
    </row>
    <row r="114" spans="1:28" ht="15" customHeight="1">
      <c r="A114" s="520"/>
      <c r="B114" s="2"/>
    </row>
    <row r="115" spans="1:28" ht="26.25" customHeight="1">
      <c r="A115" s="520"/>
      <c r="B115" s="86"/>
      <c r="C115" s="86"/>
      <c r="D115" s="519" t="s">
        <v>18956</v>
      </c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</row>
    <row r="116" spans="1:28" ht="26.25" customHeight="1">
      <c r="A116" s="520"/>
      <c r="B116" s="88" t="s">
        <v>18814</v>
      </c>
      <c r="C116" s="90" t="s">
        <v>1</v>
      </c>
      <c r="D116" s="89">
        <v>2022</v>
      </c>
      <c r="E116" s="89">
        <v>2023</v>
      </c>
      <c r="F116" s="89">
        <v>2024</v>
      </c>
      <c r="G116" s="89">
        <v>2025</v>
      </c>
      <c r="H116" s="89">
        <v>2026</v>
      </c>
      <c r="I116" s="89">
        <v>2027</v>
      </c>
      <c r="J116" s="89">
        <v>2028</v>
      </c>
      <c r="K116" s="89">
        <v>2029</v>
      </c>
      <c r="L116" s="90">
        <v>2030</v>
      </c>
      <c r="M116" s="89">
        <v>2031</v>
      </c>
      <c r="N116" s="89">
        <v>2032</v>
      </c>
      <c r="O116" s="89">
        <v>2033</v>
      </c>
      <c r="P116" s="89">
        <v>2034</v>
      </c>
      <c r="Q116" s="89">
        <v>2035</v>
      </c>
      <c r="R116" s="89">
        <v>2036</v>
      </c>
      <c r="S116" s="89">
        <v>2037</v>
      </c>
      <c r="T116" s="89">
        <v>2038</v>
      </c>
      <c r="U116" s="90">
        <v>2039</v>
      </c>
      <c r="V116" s="89">
        <v>2040</v>
      </c>
      <c r="W116" s="89">
        <v>2041</v>
      </c>
      <c r="X116" s="89">
        <v>2042</v>
      </c>
      <c r="Y116" s="89">
        <v>2043</v>
      </c>
      <c r="Z116" s="89">
        <v>2044</v>
      </c>
      <c r="AA116" s="89">
        <v>2045</v>
      </c>
      <c r="AB116" s="89">
        <v>2046</v>
      </c>
    </row>
    <row r="117" spans="1:28" ht="26.25" customHeight="1">
      <c r="A117" s="520"/>
      <c r="B117" s="2" t="s">
        <v>249</v>
      </c>
      <c r="C117" s="2" t="s">
        <v>18938</v>
      </c>
      <c r="D117" s="104">
        <f>'Air Basin Summary PM2.5 BAU'!D117/365.25</f>
        <v>0</v>
      </c>
      <c r="E117" s="79">
        <f>'Air Basin Summary PM2.5 BAU'!E117/365.25</f>
        <v>0</v>
      </c>
      <c r="F117" s="79">
        <f>'Air Basin Summary PM2.5 BAU'!F117/365.25</f>
        <v>0</v>
      </c>
      <c r="G117" s="79">
        <f>'Air Basin Summary PM2.5 BAU'!G117/365.25</f>
        <v>0</v>
      </c>
      <c r="H117" s="79">
        <f>'Air Basin Summary PM2.5 BAU'!H117/365.25</f>
        <v>0</v>
      </c>
      <c r="I117" s="79">
        <f>'Air Basin Summary PM2.5 BAU'!I117/365.25</f>
        <v>0</v>
      </c>
      <c r="J117" s="79">
        <f>'Air Basin Summary PM2.5 BAU'!J117/365.25</f>
        <v>0</v>
      </c>
      <c r="K117" s="79">
        <f>'Air Basin Summary PM2.5 BAU'!K117/365.25</f>
        <v>0</v>
      </c>
      <c r="L117" s="79">
        <f>'Air Basin Summary PM2.5 BAU'!L117/365.25</f>
        <v>0</v>
      </c>
      <c r="M117" s="79">
        <f>'Air Basin Summary PM2.5 BAU'!M117/365.25</f>
        <v>0</v>
      </c>
      <c r="N117" s="79">
        <f>'Air Basin Summary PM2.5 BAU'!N117/365.25</f>
        <v>0</v>
      </c>
      <c r="O117" s="79">
        <f>'Air Basin Summary PM2.5 BAU'!O117/365.25</f>
        <v>0</v>
      </c>
      <c r="P117" s="79">
        <f>'Air Basin Summary PM2.5 BAU'!P117/365.25</f>
        <v>0</v>
      </c>
      <c r="Q117" s="79">
        <f>'Air Basin Summary PM2.5 BAU'!Q117/365.25</f>
        <v>0</v>
      </c>
      <c r="R117" s="79">
        <f>'Air Basin Summary PM2.5 BAU'!R117/365.25</f>
        <v>0</v>
      </c>
      <c r="S117" s="79">
        <f>'Air Basin Summary PM2.5 BAU'!S117/365.25</f>
        <v>0</v>
      </c>
      <c r="T117" s="79">
        <f>'Air Basin Summary PM2.5 BAU'!T117/365.25</f>
        <v>0</v>
      </c>
      <c r="U117" s="79">
        <f>'Air Basin Summary PM2.5 BAU'!U117/365.25</f>
        <v>0</v>
      </c>
      <c r="V117" s="79">
        <f>'Air Basin Summary PM2.5 BAU'!V117/365.25</f>
        <v>0</v>
      </c>
      <c r="W117" s="79">
        <f>'Air Basin Summary PM2.5 BAU'!W117/365.25</f>
        <v>0</v>
      </c>
      <c r="X117" s="79">
        <f>'Air Basin Summary PM2.5 BAU'!X117/365.25</f>
        <v>0</v>
      </c>
      <c r="Y117" s="79">
        <f>'Air Basin Summary PM2.5 BAU'!Y117/365.25</f>
        <v>0</v>
      </c>
      <c r="Z117" s="79">
        <f>'Air Basin Summary PM2.5 BAU'!Z117/365.25</f>
        <v>0</v>
      </c>
      <c r="AA117" s="79">
        <f>'Air Basin Summary PM2.5 BAU'!AA117/365.25</f>
        <v>0</v>
      </c>
      <c r="AB117" s="80">
        <f>'Air Basin Summary PM2.5 BAU'!AB117/365.25</f>
        <v>0</v>
      </c>
    </row>
    <row r="118" spans="1:28" ht="26.25" customHeight="1">
      <c r="A118" s="520"/>
      <c r="B118" s="2" t="s">
        <v>251</v>
      </c>
      <c r="C118" s="2" t="s">
        <v>18938</v>
      </c>
      <c r="D118" s="393">
        <f>'Air Basin Summary PM2.5 BAU'!D118/365.25</f>
        <v>0</v>
      </c>
      <c r="E118" s="60">
        <f>'Air Basin Summary PM2.5 BAU'!E118/365.25</f>
        <v>0</v>
      </c>
      <c r="F118" s="60">
        <f>'Air Basin Summary PM2.5 BAU'!F118/365.25</f>
        <v>0</v>
      </c>
      <c r="G118" s="60">
        <f>'Air Basin Summary PM2.5 BAU'!G118/365.25</f>
        <v>0</v>
      </c>
      <c r="H118" s="60">
        <f>'Air Basin Summary PM2.5 BAU'!H118/365.25</f>
        <v>0</v>
      </c>
      <c r="I118" s="60">
        <f>'Air Basin Summary PM2.5 BAU'!I118/365.25</f>
        <v>0</v>
      </c>
      <c r="J118" s="60">
        <f>'Air Basin Summary PM2.5 BAU'!J118/365.25</f>
        <v>0</v>
      </c>
      <c r="K118" s="60">
        <f>'Air Basin Summary PM2.5 BAU'!K118/365.25</f>
        <v>0</v>
      </c>
      <c r="L118" s="60">
        <f>'Air Basin Summary PM2.5 BAU'!L118/365.25</f>
        <v>0</v>
      </c>
      <c r="M118" s="60">
        <f>'Air Basin Summary PM2.5 BAU'!M118/365.25</f>
        <v>0</v>
      </c>
      <c r="N118" s="60">
        <f>'Air Basin Summary PM2.5 BAU'!N118/365.25</f>
        <v>0</v>
      </c>
      <c r="O118" s="60">
        <f>'Air Basin Summary PM2.5 BAU'!O118/365.25</f>
        <v>0</v>
      </c>
      <c r="P118" s="60">
        <f>'Air Basin Summary PM2.5 BAU'!P118/365.25</f>
        <v>0</v>
      </c>
      <c r="Q118" s="60">
        <f>'Air Basin Summary PM2.5 BAU'!Q118/365.25</f>
        <v>0</v>
      </c>
      <c r="R118" s="60">
        <f>'Air Basin Summary PM2.5 BAU'!R118/365.25</f>
        <v>0</v>
      </c>
      <c r="S118" s="60">
        <f>'Air Basin Summary PM2.5 BAU'!S118/365.25</f>
        <v>0</v>
      </c>
      <c r="T118" s="60">
        <f>'Air Basin Summary PM2.5 BAU'!T118/365.25</f>
        <v>0</v>
      </c>
      <c r="U118" s="60">
        <f>'Air Basin Summary PM2.5 BAU'!U118/365.25</f>
        <v>0</v>
      </c>
      <c r="V118" s="60">
        <f>'Air Basin Summary PM2.5 BAU'!V118/365.25</f>
        <v>0</v>
      </c>
      <c r="W118" s="60">
        <f>'Air Basin Summary PM2.5 BAU'!W118/365.25</f>
        <v>0</v>
      </c>
      <c r="X118" s="60">
        <f>'Air Basin Summary PM2.5 BAU'!X118/365.25</f>
        <v>0</v>
      </c>
      <c r="Y118" s="60">
        <f>'Air Basin Summary PM2.5 BAU'!Y118/365.25</f>
        <v>0</v>
      </c>
      <c r="Z118" s="60">
        <f>'Air Basin Summary PM2.5 BAU'!Z118/365.25</f>
        <v>0</v>
      </c>
      <c r="AA118" s="60">
        <f>'Air Basin Summary PM2.5 BAU'!AA118/365.25</f>
        <v>0</v>
      </c>
      <c r="AB118" s="61">
        <f>'Air Basin Summary PM2.5 BAU'!AB118/365.25</f>
        <v>0</v>
      </c>
    </row>
    <row r="119" spans="1:28" ht="26.25" customHeight="1">
      <c r="A119" s="520"/>
      <c r="B119" s="2" t="s">
        <v>253</v>
      </c>
      <c r="C119" s="2" t="s">
        <v>18938</v>
      </c>
      <c r="D119" s="393">
        <f>'Air Basin Summary PM2.5 BAU'!D119/365.25</f>
        <v>0</v>
      </c>
      <c r="E119" s="60">
        <f>'Air Basin Summary PM2.5 BAU'!E119/365.25</f>
        <v>0</v>
      </c>
      <c r="F119" s="60">
        <f>'Air Basin Summary PM2.5 BAU'!F119/365.25</f>
        <v>0</v>
      </c>
      <c r="G119" s="60">
        <f>'Air Basin Summary PM2.5 BAU'!G119/365.25</f>
        <v>0</v>
      </c>
      <c r="H119" s="60">
        <f>'Air Basin Summary PM2.5 BAU'!H119/365.25</f>
        <v>0</v>
      </c>
      <c r="I119" s="60">
        <f>'Air Basin Summary PM2.5 BAU'!I119/365.25</f>
        <v>0</v>
      </c>
      <c r="J119" s="60">
        <f>'Air Basin Summary PM2.5 BAU'!J119/365.25</f>
        <v>0</v>
      </c>
      <c r="K119" s="60">
        <f>'Air Basin Summary PM2.5 BAU'!K119/365.25</f>
        <v>0</v>
      </c>
      <c r="L119" s="60">
        <f>'Air Basin Summary PM2.5 BAU'!L119/365.25</f>
        <v>0</v>
      </c>
      <c r="M119" s="60">
        <f>'Air Basin Summary PM2.5 BAU'!M119/365.25</f>
        <v>0</v>
      </c>
      <c r="N119" s="60">
        <f>'Air Basin Summary PM2.5 BAU'!N119/365.25</f>
        <v>0</v>
      </c>
      <c r="O119" s="60">
        <f>'Air Basin Summary PM2.5 BAU'!O119/365.25</f>
        <v>0</v>
      </c>
      <c r="P119" s="60">
        <f>'Air Basin Summary PM2.5 BAU'!P119/365.25</f>
        <v>0</v>
      </c>
      <c r="Q119" s="60">
        <f>'Air Basin Summary PM2.5 BAU'!Q119/365.25</f>
        <v>0</v>
      </c>
      <c r="R119" s="60">
        <f>'Air Basin Summary PM2.5 BAU'!R119/365.25</f>
        <v>0</v>
      </c>
      <c r="S119" s="60">
        <f>'Air Basin Summary PM2.5 BAU'!S119/365.25</f>
        <v>0</v>
      </c>
      <c r="T119" s="60">
        <f>'Air Basin Summary PM2.5 BAU'!T119/365.25</f>
        <v>0</v>
      </c>
      <c r="U119" s="60">
        <f>'Air Basin Summary PM2.5 BAU'!U119/365.25</f>
        <v>0</v>
      </c>
      <c r="V119" s="60">
        <f>'Air Basin Summary PM2.5 BAU'!V119/365.25</f>
        <v>0</v>
      </c>
      <c r="W119" s="60">
        <f>'Air Basin Summary PM2.5 BAU'!W119/365.25</f>
        <v>0</v>
      </c>
      <c r="X119" s="60">
        <f>'Air Basin Summary PM2.5 BAU'!X119/365.25</f>
        <v>0</v>
      </c>
      <c r="Y119" s="60">
        <f>'Air Basin Summary PM2.5 BAU'!Y119/365.25</f>
        <v>0</v>
      </c>
      <c r="Z119" s="60">
        <f>'Air Basin Summary PM2.5 BAU'!Z119/365.25</f>
        <v>0</v>
      </c>
      <c r="AA119" s="60">
        <f>'Air Basin Summary PM2.5 BAU'!AA119/365.25</f>
        <v>0</v>
      </c>
      <c r="AB119" s="61">
        <f>'Air Basin Summary PM2.5 BAU'!AB119/365.25</f>
        <v>0</v>
      </c>
    </row>
    <row r="120" spans="1:28" ht="26.25" customHeight="1">
      <c r="A120" s="520"/>
      <c r="B120" s="2" t="s">
        <v>255</v>
      </c>
      <c r="C120" s="2" t="s">
        <v>18938</v>
      </c>
      <c r="D120" s="393">
        <f>'Air Basin Summary PM2.5 BAU'!D120/365.25</f>
        <v>0</v>
      </c>
      <c r="E120" s="60">
        <f>'Air Basin Summary PM2.5 BAU'!E120/365.25</f>
        <v>0</v>
      </c>
      <c r="F120" s="60">
        <f>'Air Basin Summary PM2.5 BAU'!F120/365.25</f>
        <v>0</v>
      </c>
      <c r="G120" s="60">
        <f>'Air Basin Summary PM2.5 BAU'!G120/365.25</f>
        <v>0</v>
      </c>
      <c r="H120" s="60">
        <f>'Air Basin Summary PM2.5 BAU'!H120/365.25</f>
        <v>0</v>
      </c>
      <c r="I120" s="60">
        <f>'Air Basin Summary PM2.5 BAU'!I120/365.25</f>
        <v>0</v>
      </c>
      <c r="J120" s="60">
        <f>'Air Basin Summary PM2.5 BAU'!J120/365.25</f>
        <v>0</v>
      </c>
      <c r="K120" s="60">
        <f>'Air Basin Summary PM2.5 BAU'!K120/365.25</f>
        <v>0</v>
      </c>
      <c r="L120" s="60">
        <f>'Air Basin Summary PM2.5 BAU'!L120/365.25</f>
        <v>0</v>
      </c>
      <c r="M120" s="60">
        <f>'Air Basin Summary PM2.5 BAU'!M120/365.25</f>
        <v>0</v>
      </c>
      <c r="N120" s="60">
        <f>'Air Basin Summary PM2.5 BAU'!N120/365.25</f>
        <v>0</v>
      </c>
      <c r="O120" s="60">
        <f>'Air Basin Summary PM2.5 BAU'!O120/365.25</f>
        <v>0</v>
      </c>
      <c r="P120" s="60">
        <f>'Air Basin Summary PM2.5 BAU'!P120/365.25</f>
        <v>0</v>
      </c>
      <c r="Q120" s="60">
        <f>'Air Basin Summary PM2.5 BAU'!Q120/365.25</f>
        <v>0</v>
      </c>
      <c r="R120" s="60">
        <f>'Air Basin Summary PM2.5 BAU'!R120/365.25</f>
        <v>0</v>
      </c>
      <c r="S120" s="60">
        <f>'Air Basin Summary PM2.5 BAU'!S120/365.25</f>
        <v>0</v>
      </c>
      <c r="T120" s="60">
        <f>'Air Basin Summary PM2.5 BAU'!T120/365.25</f>
        <v>0</v>
      </c>
      <c r="U120" s="60">
        <f>'Air Basin Summary PM2.5 BAU'!U120/365.25</f>
        <v>0</v>
      </c>
      <c r="V120" s="60">
        <f>'Air Basin Summary PM2.5 BAU'!V120/365.25</f>
        <v>0</v>
      </c>
      <c r="W120" s="60">
        <f>'Air Basin Summary PM2.5 BAU'!W120/365.25</f>
        <v>0</v>
      </c>
      <c r="X120" s="60">
        <f>'Air Basin Summary PM2.5 BAU'!X120/365.25</f>
        <v>0</v>
      </c>
      <c r="Y120" s="60">
        <f>'Air Basin Summary PM2.5 BAU'!Y120/365.25</f>
        <v>0</v>
      </c>
      <c r="Z120" s="60">
        <f>'Air Basin Summary PM2.5 BAU'!Z120/365.25</f>
        <v>0</v>
      </c>
      <c r="AA120" s="60">
        <f>'Air Basin Summary PM2.5 BAU'!AA120/365.25</f>
        <v>0</v>
      </c>
      <c r="AB120" s="61">
        <f>'Air Basin Summary PM2.5 BAU'!AB120/365.25</f>
        <v>0</v>
      </c>
    </row>
    <row r="121" spans="1:28" ht="26.25" customHeight="1">
      <c r="A121" s="520"/>
      <c r="B121" s="2" t="s">
        <v>256</v>
      </c>
      <c r="C121" s="2" t="s">
        <v>18938</v>
      </c>
      <c r="D121" s="393">
        <f>'Air Basin Summary PM2.5 BAU'!D121/365.25</f>
        <v>0</v>
      </c>
      <c r="E121" s="60">
        <f>'Air Basin Summary PM2.5 BAU'!E121/365.25</f>
        <v>0</v>
      </c>
      <c r="F121" s="60">
        <f>'Air Basin Summary PM2.5 BAU'!F121/365.25</f>
        <v>0</v>
      </c>
      <c r="G121" s="60">
        <f>'Air Basin Summary PM2.5 BAU'!G121/365.25</f>
        <v>0</v>
      </c>
      <c r="H121" s="60">
        <f>'Air Basin Summary PM2.5 BAU'!H121/365.25</f>
        <v>0</v>
      </c>
      <c r="I121" s="60">
        <f>'Air Basin Summary PM2.5 BAU'!I121/365.25</f>
        <v>0</v>
      </c>
      <c r="J121" s="60">
        <f>'Air Basin Summary PM2.5 BAU'!J121/365.25</f>
        <v>0</v>
      </c>
      <c r="K121" s="60">
        <f>'Air Basin Summary PM2.5 BAU'!K121/365.25</f>
        <v>0</v>
      </c>
      <c r="L121" s="60">
        <f>'Air Basin Summary PM2.5 BAU'!L121/365.25</f>
        <v>0</v>
      </c>
      <c r="M121" s="60">
        <f>'Air Basin Summary PM2.5 BAU'!M121/365.25</f>
        <v>0</v>
      </c>
      <c r="N121" s="60">
        <f>'Air Basin Summary PM2.5 BAU'!N121/365.25</f>
        <v>0</v>
      </c>
      <c r="O121" s="60">
        <f>'Air Basin Summary PM2.5 BAU'!O121/365.25</f>
        <v>0</v>
      </c>
      <c r="P121" s="60">
        <f>'Air Basin Summary PM2.5 BAU'!P121/365.25</f>
        <v>0</v>
      </c>
      <c r="Q121" s="60">
        <f>'Air Basin Summary PM2.5 BAU'!Q121/365.25</f>
        <v>0</v>
      </c>
      <c r="R121" s="60">
        <f>'Air Basin Summary PM2.5 BAU'!R121/365.25</f>
        <v>0</v>
      </c>
      <c r="S121" s="60">
        <f>'Air Basin Summary PM2.5 BAU'!S121/365.25</f>
        <v>0</v>
      </c>
      <c r="T121" s="60">
        <f>'Air Basin Summary PM2.5 BAU'!T121/365.25</f>
        <v>0</v>
      </c>
      <c r="U121" s="60">
        <f>'Air Basin Summary PM2.5 BAU'!U121/365.25</f>
        <v>0</v>
      </c>
      <c r="V121" s="60">
        <f>'Air Basin Summary PM2.5 BAU'!V121/365.25</f>
        <v>0</v>
      </c>
      <c r="W121" s="60">
        <f>'Air Basin Summary PM2.5 BAU'!W121/365.25</f>
        <v>0</v>
      </c>
      <c r="X121" s="60">
        <f>'Air Basin Summary PM2.5 BAU'!X121/365.25</f>
        <v>0</v>
      </c>
      <c r="Y121" s="60">
        <f>'Air Basin Summary PM2.5 BAU'!Y121/365.25</f>
        <v>0</v>
      </c>
      <c r="Z121" s="60">
        <f>'Air Basin Summary PM2.5 BAU'!Z121/365.25</f>
        <v>0</v>
      </c>
      <c r="AA121" s="60">
        <f>'Air Basin Summary PM2.5 BAU'!AA121/365.25</f>
        <v>0</v>
      </c>
      <c r="AB121" s="61">
        <f>'Air Basin Summary PM2.5 BAU'!AB121/365.25</f>
        <v>0</v>
      </c>
    </row>
    <row r="122" spans="1:28" ht="26.25" customHeight="1">
      <c r="A122" s="520"/>
      <c r="B122" s="2" t="s">
        <v>257</v>
      </c>
      <c r="C122" s="2" t="s">
        <v>18938</v>
      </c>
      <c r="D122" s="393">
        <f>'Air Basin Summary PM2.5 BAU'!D122/365.25</f>
        <v>0</v>
      </c>
      <c r="E122" s="60">
        <f>'Air Basin Summary PM2.5 BAU'!E122/365.25</f>
        <v>0</v>
      </c>
      <c r="F122" s="60">
        <f>'Air Basin Summary PM2.5 BAU'!F122/365.25</f>
        <v>0</v>
      </c>
      <c r="G122" s="60">
        <f>'Air Basin Summary PM2.5 BAU'!G122/365.25</f>
        <v>0</v>
      </c>
      <c r="H122" s="60">
        <f>'Air Basin Summary PM2.5 BAU'!H122/365.25</f>
        <v>0</v>
      </c>
      <c r="I122" s="60">
        <f>'Air Basin Summary PM2.5 BAU'!I122/365.25</f>
        <v>0</v>
      </c>
      <c r="J122" s="60">
        <f>'Air Basin Summary PM2.5 BAU'!J122/365.25</f>
        <v>0</v>
      </c>
      <c r="K122" s="60">
        <f>'Air Basin Summary PM2.5 BAU'!K122/365.25</f>
        <v>0</v>
      </c>
      <c r="L122" s="60">
        <f>'Air Basin Summary PM2.5 BAU'!L122/365.25</f>
        <v>0</v>
      </c>
      <c r="M122" s="60">
        <f>'Air Basin Summary PM2.5 BAU'!M122/365.25</f>
        <v>0</v>
      </c>
      <c r="N122" s="60">
        <f>'Air Basin Summary PM2.5 BAU'!N122/365.25</f>
        <v>0</v>
      </c>
      <c r="O122" s="60">
        <f>'Air Basin Summary PM2.5 BAU'!O122/365.25</f>
        <v>0</v>
      </c>
      <c r="P122" s="60">
        <f>'Air Basin Summary PM2.5 BAU'!P122/365.25</f>
        <v>0</v>
      </c>
      <c r="Q122" s="60">
        <f>'Air Basin Summary PM2.5 BAU'!Q122/365.25</f>
        <v>0</v>
      </c>
      <c r="R122" s="60">
        <f>'Air Basin Summary PM2.5 BAU'!R122/365.25</f>
        <v>0</v>
      </c>
      <c r="S122" s="60">
        <f>'Air Basin Summary PM2.5 BAU'!S122/365.25</f>
        <v>0</v>
      </c>
      <c r="T122" s="60">
        <f>'Air Basin Summary PM2.5 BAU'!T122/365.25</f>
        <v>0</v>
      </c>
      <c r="U122" s="60">
        <f>'Air Basin Summary PM2.5 BAU'!U122/365.25</f>
        <v>0</v>
      </c>
      <c r="V122" s="60">
        <f>'Air Basin Summary PM2.5 BAU'!V122/365.25</f>
        <v>0</v>
      </c>
      <c r="W122" s="60">
        <f>'Air Basin Summary PM2.5 BAU'!W122/365.25</f>
        <v>0</v>
      </c>
      <c r="X122" s="60">
        <f>'Air Basin Summary PM2.5 BAU'!X122/365.25</f>
        <v>0</v>
      </c>
      <c r="Y122" s="60">
        <f>'Air Basin Summary PM2.5 BAU'!Y122/365.25</f>
        <v>0</v>
      </c>
      <c r="Z122" s="60">
        <f>'Air Basin Summary PM2.5 BAU'!Z122/365.25</f>
        <v>0</v>
      </c>
      <c r="AA122" s="60">
        <f>'Air Basin Summary PM2.5 BAU'!AA122/365.25</f>
        <v>0</v>
      </c>
      <c r="AB122" s="61">
        <f>'Air Basin Summary PM2.5 BAU'!AB122/365.25</f>
        <v>0</v>
      </c>
    </row>
    <row r="123" spans="1:28" ht="26.25" customHeight="1">
      <c r="A123" s="520"/>
      <c r="B123" s="2" t="s">
        <v>258</v>
      </c>
      <c r="C123" s="2" t="s">
        <v>18938</v>
      </c>
      <c r="D123" s="393">
        <f>'Air Basin Summary PM2.5 BAU'!D123/365.25</f>
        <v>0</v>
      </c>
      <c r="E123" s="60">
        <f>'Air Basin Summary PM2.5 BAU'!E123/365.25</f>
        <v>0</v>
      </c>
      <c r="F123" s="60">
        <f>'Air Basin Summary PM2.5 BAU'!F123/365.25</f>
        <v>0</v>
      </c>
      <c r="G123" s="60">
        <f>'Air Basin Summary PM2.5 BAU'!G123/365.25</f>
        <v>0</v>
      </c>
      <c r="H123" s="60">
        <f>'Air Basin Summary PM2.5 BAU'!H123/365.25</f>
        <v>0</v>
      </c>
      <c r="I123" s="60">
        <f>'Air Basin Summary PM2.5 BAU'!I123/365.25</f>
        <v>0</v>
      </c>
      <c r="J123" s="60">
        <f>'Air Basin Summary PM2.5 BAU'!J123/365.25</f>
        <v>0</v>
      </c>
      <c r="K123" s="60">
        <f>'Air Basin Summary PM2.5 BAU'!K123/365.25</f>
        <v>0</v>
      </c>
      <c r="L123" s="60">
        <f>'Air Basin Summary PM2.5 BAU'!L123/365.25</f>
        <v>0</v>
      </c>
      <c r="M123" s="60">
        <f>'Air Basin Summary PM2.5 BAU'!M123/365.25</f>
        <v>0</v>
      </c>
      <c r="N123" s="60">
        <f>'Air Basin Summary PM2.5 BAU'!N123/365.25</f>
        <v>0</v>
      </c>
      <c r="O123" s="60">
        <f>'Air Basin Summary PM2.5 BAU'!O123/365.25</f>
        <v>0</v>
      </c>
      <c r="P123" s="60">
        <f>'Air Basin Summary PM2.5 BAU'!P123/365.25</f>
        <v>0</v>
      </c>
      <c r="Q123" s="60">
        <f>'Air Basin Summary PM2.5 BAU'!Q123/365.25</f>
        <v>0</v>
      </c>
      <c r="R123" s="60">
        <f>'Air Basin Summary PM2.5 BAU'!R123/365.25</f>
        <v>0</v>
      </c>
      <c r="S123" s="60">
        <f>'Air Basin Summary PM2.5 BAU'!S123/365.25</f>
        <v>0</v>
      </c>
      <c r="T123" s="60">
        <f>'Air Basin Summary PM2.5 BAU'!T123/365.25</f>
        <v>0</v>
      </c>
      <c r="U123" s="60">
        <f>'Air Basin Summary PM2.5 BAU'!U123/365.25</f>
        <v>0</v>
      </c>
      <c r="V123" s="60">
        <f>'Air Basin Summary PM2.5 BAU'!V123/365.25</f>
        <v>0</v>
      </c>
      <c r="W123" s="60">
        <f>'Air Basin Summary PM2.5 BAU'!W123/365.25</f>
        <v>0</v>
      </c>
      <c r="X123" s="60">
        <f>'Air Basin Summary PM2.5 BAU'!X123/365.25</f>
        <v>0</v>
      </c>
      <c r="Y123" s="60">
        <f>'Air Basin Summary PM2.5 BAU'!Y123/365.25</f>
        <v>0</v>
      </c>
      <c r="Z123" s="60">
        <f>'Air Basin Summary PM2.5 BAU'!Z123/365.25</f>
        <v>0</v>
      </c>
      <c r="AA123" s="60">
        <f>'Air Basin Summary PM2.5 BAU'!AA123/365.25</f>
        <v>0</v>
      </c>
      <c r="AB123" s="61">
        <f>'Air Basin Summary PM2.5 BAU'!AB123/365.25</f>
        <v>0</v>
      </c>
    </row>
    <row r="124" spans="1:28" ht="26.25" customHeight="1">
      <c r="A124" s="520"/>
      <c r="B124" s="2" t="s">
        <v>259</v>
      </c>
      <c r="C124" s="2" t="s">
        <v>18938</v>
      </c>
      <c r="D124" s="393">
        <f>'Air Basin Summary PM2.5 BAU'!D124/365.25</f>
        <v>0</v>
      </c>
      <c r="E124" s="60">
        <f>'Air Basin Summary PM2.5 BAU'!E124/365.25</f>
        <v>0</v>
      </c>
      <c r="F124" s="60">
        <f>'Air Basin Summary PM2.5 BAU'!F124/365.25</f>
        <v>0</v>
      </c>
      <c r="G124" s="60">
        <f>'Air Basin Summary PM2.5 BAU'!G124/365.25</f>
        <v>0</v>
      </c>
      <c r="H124" s="60">
        <f>'Air Basin Summary PM2.5 BAU'!H124/365.25</f>
        <v>0</v>
      </c>
      <c r="I124" s="60">
        <f>'Air Basin Summary PM2.5 BAU'!I124/365.25</f>
        <v>0</v>
      </c>
      <c r="J124" s="60">
        <f>'Air Basin Summary PM2.5 BAU'!J124/365.25</f>
        <v>0</v>
      </c>
      <c r="K124" s="60">
        <f>'Air Basin Summary PM2.5 BAU'!K124/365.25</f>
        <v>0</v>
      </c>
      <c r="L124" s="60">
        <f>'Air Basin Summary PM2.5 BAU'!L124/365.25</f>
        <v>0</v>
      </c>
      <c r="M124" s="60">
        <f>'Air Basin Summary PM2.5 BAU'!M124/365.25</f>
        <v>0</v>
      </c>
      <c r="N124" s="60">
        <f>'Air Basin Summary PM2.5 BAU'!N124/365.25</f>
        <v>0</v>
      </c>
      <c r="O124" s="60">
        <f>'Air Basin Summary PM2.5 BAU'!O124/365.25</f>
        <v>0</v>
      </c>
      <c r="P124" s="60">
        <f>'Air Basin Summary PM2.5 BAU'!P124/365.25</f>
        <v>0</v>
      </c>
      <c r="Q124" s="60">
        <f>'Air Basin Summary PM2.5 BAU'!Q124/365.25</f>
        <v>0</v>
      </c>
      <c r="R124" s="60">
        <f>'Air Basin Summary PM2.5 BAU'!R124/365.25</f>
        <v>0</v>
      </c>
      <c r="S124" s="60">
        <f>'Air Basin Summary PM2.5 BAU'!S124/365.25</f>
        <v>0</v>
      </c>
      <c r="T124" s="60">
        <f>'Air Basin Summary PM2.5 BAU'!T124/365.25</f>
        <v>0</v>
      </c>
      <c r="U124" s="60">
        <f>'Air Basin Summary PM2.5 BAU'!U124/365.25</f>
        <v>0</v>
      </c>
      <c r="V124" s="60">
        <f>'Air Basin Summary PM2.5 BAU'!V124/365.25</f>
        <v>0</v>
      </c>
      <c r="W124" s="60">
        <f>'Air Basin Summary PM2.5 BAU'!W124/365.25</f>
        <v>0</v>
      </c>
      <c r="X124" s="60">
        <f>'Air Basin Summary PM2.5 BAU'!X124/365.25</f>
        <v>0</v>
      </c>
      <c r="Y124" s="60">
        <f>'Air Basin Summary PM2.5 BAU'!Y124/365.25</f>
        <v>0</v>
      </c>
      <c r="Z124" s="60">
        <f>'Air Basin Summary PM2.5 BAU'!Z124/365.25</f>
        <v>0</v>
      </c>
      <c r="AA124" s="60">
        <f>'Air Basin Summary PM2.5 BAU'!AA124/365.25</f>
        <v>0</v>
      </c>
      <c r="AB124" s="61">
        <f>'Air Basin Summary PM2.5 BAU'!AB124/365.25</f>
        <v>0</v>
      </c>
    </row>
    <row r="125" spans="1:28" ht="26.25" customHeight="1">
      <c r="A125" s="520"/>
      <c r="B125" s="2" t="s">
        <v>260</v>
      </c>
      <c r="C125" s="2" t="s">
        <v>18938</v>
      </c>
      <c r="D125" s="393">
        <f>'Air Basin Summary PM2.5 BAU'!D125/365.25</f>
        <v>0</v>
      </c>
      <c r="E125" s="60">
        <f>'Air Basin Summary PM2.5 BAU'!E125/365.25</f>
        <v>0</v>
      </c>
      <c r="F125" s="60">
        <f>'Air Basin Summary PM2.5 BAU'!F125/365.25</f>
        <v>2.3905589572369843E-4</v>
      </c>
      <c r="G125" s="60">
        <f>'Air Basin Summary PM2.5 BAU'!G125/365.25</f>
        <v>6.5670782288797561E-4</v>
      </c>
      <c r="H125" s="60">
        <f>'Air Basin Summary PM2.5 BAU'!H125/365.25</f>
        <v>7.6017068502227925E-4</v>
      </c>
      <c r="I125" s="60">
        <f>'Air Basin Summary PM2.5 BAU'!I125/365.25</f>
        <v>7.3763137180854401E-4</v>
      </c>
      <c r="J125" s="60">
        <f>'Air Basin Summary PM2.5 BAU'!J125/365.25</f>
        <v>6.5571142654504994E-4</v>
      </c>
      <c r="K125" s="60">
        <f>'Air Basin Summary PM2.5 BAU'!K125/365.25</f>
        <v>6.3725174475343354E-4</v>
      </c>
      <c r="L125" s="60">
        <f>'Air Basin Summary PM2.5 BAU'!L125/365.25</f>
        <v>6.1457419918993126E-4</v>
      </c>
      <c r="M125" s="60">
        <f>'Air Basin Summary PM2.5 BAU'!M125/365.25</f>
        <v>5.9126715583314893E-4</v>
      </c>
      <c r="N125" s="60">
        <f>'Air Basin Summary PM2.5 BAU'!N125/365.25</f>
        <v>5.6902850819817675E-4</v>
      </c>
      <c r="O125" s="60">
        <f>'Air Basin Summary PM2.5 BAU'!O125/365.25</f>
        <v>5.4954333374048771E-4</v>
      </c>
      <c r="P125" s="60">
        <f>'Air Basin Summary PM2.5 BAU'!P125/365.25</f>
        <v>5.2722935210328212E-4</v>
      </c>
      <c r="Q125" s="60">
        <f>'Air Basin Summary PM2.5 BAU'!Q125/365.25</f>
        <v>5.0525421687898028E-4</v>
      </c>
      <c r="R125" s="60">
        <f>'Air Basin Summary PM2.5 BAU'!R125/365.25</f>
        <v>4.8096685581855181E-4</v>
      </c>
      <c r="S125" s="60">
        <f>'Air Basin Summary PM2.5 BAU'!S125/365.25</f>
        <v>4.5760868969521953E-4</v>
      </c>
      <c r="T125" s="60">
        <f>'Air Basin Summary PM2.5 BAU'!T125/365.25</f>
        <v>4.3513488552842451E-4</v>
      </c>
      <c r="U125" s="60">
        <f>'Air Basin Summary PM2.5 BAU'!U125/365.25</f>
        <v>4.4222347977816983E-4</v>
      </c>
      <c r="V125" s="60">
        <f>'Air Basin Summary PM2.5 BAU'!V125/365.25</f>
        <v>4.4822850308895348E-4</v>
      </c>
      <c r="W125" s="60">
        <f>'Air Basin Summary PM2.5 BAU'!W125/365.25</f>
        <v>4.3788624560861831E-4</v>
      </c>
      <c r="X125" s="60">
        <f>'Air Basin Summary PM2.5 BAU'!X125/365.25</f>
        <v>4.1668469629409829E-4</v>
      </c>
      <c r="Y125" s="60">
        <f>'Air Basin Summary PM2.5 BAU'!Y125/365.25</f>
        <v>4.1765533259510322E-4</v>
      </c>
      <c r="Z125" s="60">
        <f>'Air Basin Summary PM2.5 BAU'!Z125/365.25</f>
        <v>4.1583390003252697E-4</v>
      </c>
      <c r="AA125" s="60">
        <f>'Air Basin Summary PM2.5 BAU'!AA125/365.25</f>
        <v>4.1409972845726231E-4</v>
      </c>
      <c r="AB125" s="61">
        <f>'Air Basin Summary PM2.5 BAU'!AB125/365.25</f>
        <v>4.0550187405113746E-4</v>
      </c>
    </row>
    <row r="126" spans="1:28" ht="26.25" customHeight="1">
      <c r="A126" s="520"/>
      <c r="B126" s="2" t="s">
        <v>261</v>
      </c>
      <c r="C126" s="2" t="s">
        <v>18938</v>
      </c>
      <c r="D126" s="393">
        <f>'Air Basin Summary PM2.5 BAU'!D126/365.25</f>
        <v>0</v>
      </c>
      <c r="E126" s="60">
        <f>'Air Basin Summary PM2.5 BAU'!E126/365.25</f>
        <v>0</v>
      </c>
      <c r="F126" s="60">
        <f>'Air Basin Summary PM2.5 BAU'!F126/365.25</f>
        <v>0</v>
      </c>
      <c r="G126" s="60">
        <f>'Air Basin Summary PM2.5 BAU'!G126/365.25</f>
        <v>0</v>
      </c>
      <c r="H126" s="60">
        <f>'Air Basin Summary PM2.5 BAU'!H126/365.25</f>
        <v>6.1463326786847536E-7</v>
      </c>
      <c r="I126" s="60">
        <f>'Air Basin Summary PM2.5 BAU'!I126/365.25</f>
        <v>5.2561228024223305E-6</v>
      </c>
      <c r="J126" s="60">
        <f>'Air Basin Summary PM2.5 BAU'!J126/365.25</f>
        <v>7.9699074293845964E-6</v>
      </c>
      <c r="K126" s="60">
        <f>'Air Basin Summary PM2.5 BAU'!K126/365.25</f>
        <v>9.4933392692075581E-6</v>
      </c>
      <c r="L126" s="60">
        <f>'Air Basin Summary PM2.5 BAU'!L126/365.25</f>
        <v>1.026917320492544E-5</v>
      </c>
      <c r="M126" s="60">
        <f>'Air Basin Summary PM2.5 BAU'!M126/365.25</f>
        <v>1.0617996216962912E-5</v>
      </c>
      <c r="N126" s="60">
        <f>'Air Basin Summary PM2.5 BAU'!N126/365.25</f>
        <v>1.0733087116005121E-5</v>
      </c>
      <c r="O126" s="60">
        <f>'Air Basin Summary PM2.5 BAU'!O126/365.25</f>
        <v>1.0745447470712737E-5</v>
      </c>
      <c r="P126" s="60">
        <f>'Air Basin Summary PM2.5 BAU'!P126/365.25</f>
        <v>1.0765592455770831E-5</v>
      </c>
      <c r="Q126" s="60">
        <f>'Air Basin Summary PM2.5 BAU'!Q126/365.25</f>
        <v>1.0495134920172919E-5</v>
      </c>
      <c r="R126" s="60">
        <f>'Air Basin Summary PM2.5 BAU'!R126/365.25</f>
        <v>1.0155899416672586E-5</v>
      </c>
      <c r="S126" s="60">
        <f>'Air Basin Summary PM2.5 BAU'!S126/365.25</f>
        <v>9.8153067828319703E-6</v>
      </c>
      <c r="T126" s="60">
        <f>'Air Basin Summary PM2.5 BAU'!T126/365.25</f>
        <v>9.4736525703617704E-6</v>
      </c>
      <c r="U126" s="60">
        <f>'Air Basin Summary PM2.5 BAU'!U126/365.25</f>
        <v>9.1519350094399437E-6</v>
      </c>
      <c r="V126" s="60">
        <f>'Air Basin Summary PM2.5 BAU'!V126/365.25</f>
        <v>8.9072007782075562E-6</v>
      </c>
      <c r="W126" s="60">
        <f>'Air Basin Summary PM2.5 BAU'!W126/365.25</f>
        <v>8.6742959614640904E-6</v>
      </c>
      <c r="X126" s="60">
        <f>'Air Basin Summary PM2.5 BAU'!X126/365.25</f>
        <v>8.4483200530113687E-6</v>
      </c>
      <c r="Y126" s="60">
        <f>'Air Basin Summary PM2.5 BAU'!Y126/365.25</f>
        <v>8.3971027511098779E-6</v>
      </c>
      <c r="Z126" s="60">
        <f>'Air Basin Summary PM2.5 BAU'!Z126/365.25</f>
        <v>8.3574031381352228E-6</v>
      </c>
      <c r="AA126" s="60">
        <f>'Air Basin Summary PM2.5 BAU'!AA126/365.25</f>
        <v>8.3282058871621103E-6</v>
      </c>
      <c r="AB126" s="61">
        <f>'Air Basin Summary PM2.5 BAU'!AB126/365.25</f>
        <v>8.3054558287536313E-6</v>
      </c>
    </row>
    <row r="127" spans="1:28" ht="26.25" customHeight="1">
      <c r="A127" s="520"/>
      <c r="B127" s="2" t="s">
        <v>262</v>
      </c>
      <c r="C127" s="2" t="s">
        <v>18938</v>
      </c>
      <c r="D127" s="393">
        <f>'Air Basin Summary PM2.5 BAU'!D127/365.25</f>
        <v>0</v>
      </c>
      <c r="E127" s="60">
        <f>'Air Basin Summary PM2.5 BAU'!E127/365.25</f>
        <v>0</v>
      </c>
      <c r="F127" s="60">
        <f>'Air Basin Summary PM2.5 BAU'!F127/365.25</f>
        <v>1.5937059714913227E-4</v>
      </c>
      <c r="G127" s="60">
        <f>'Air Basin Summary PM2.5 BAU'!G127/365.25</f>
        <v>4.3780521525865041E-4</v>
      </c>
      <c r="H127" s="60">
        <f>'Air Basin Summary PM2.5 BAU'!H127/365.25</f>
        <v>5.075999677053441E-4</v>
      </c>
      <c r="I127" s="60">
        <f>'Air Basin Summary PM2.5 BAU'!I127/365.25</f>
        <v>4.9876241160892569E-4</v>
      </c>
      <c r="J127" s="60">
        <f>'Air Basin Summary PM2.5 BAU'!J127/365.25</f>
        <v>4.4776749426921275E-4</v>
      </c>
      <c r="K127" s="60">
        <f>'Air Basin Summary PM2.5 BAU'!K127/365.25</f>
        <v>4.3749228219456583E-4</v>
      </c>
      <c r="L127" s="60">
        <f>'Air Basin Summary PM2.5 BAU'!L127/365.25</f>
        <v>4.2340836373318811E-4</v>
      </c>
      <c r="M127" s="60">
        <f>'Air Basin Summary PM2.5 BAU'!M127/365.25</f>
        <v>4.0833543217804976E-4</v>
      </c>
      <c r="N127" s="60">
        <f>'Air Basin Summary PM2.5 BAU'!N127/365.25</f>
        <v>3.9366312162012477E-4</v>
      </c>
      <c r="O127" s="60">
        <f>'Air Basin Summary PM2.5 BAU'!O127/365.25</f>
        <v>3.8068948578794213E-4</v>
      </c>
      <c r="P127" s="60">
        <f>'Air Basin Summary PM2.5 BAU'!P127/365.25</f>
        <v>3.6584035800988246E-4</v>
      </c>
      <c r="Q127" s="60">
        <f>'Air Basin Summary PM2.5 BAU'!Q127/365.25</f>
        <v>3.5082965781288406E-4</v>
      </c>
      <c r="R127" s="60">
        <f>'Air Basin Summary PM2.5 BAU'!R127/365.25</f>
        <v>3.3418576976793134E-4</v>
      </c>
      <c r="S127" s="60">
        <f>'Air Basin Summary PM2.5 BAU'!S127/365.25</f>
        <v>3.1815953550725571E-4</v>
      </c>
      <c r="T127" s="60">
        <f>'Air Basin Summary PM2.5 BAU'!T127/365.25</f>
        <v>3.0272146044609872E-4</v>
      </c>
      <c r="U127" s="60">
        <f>'Air Basin Summary PM2.5 BAU'!U127/365.25</f>
        <v>3.0701823319803314E-4</v>
      </c>
      <c r="V127" s="60">
        <f>'Air Basin Summary PM2.5 BAU'!V127/365.25</f>
        <v>3.1069526976357909E-4</v>
      </c>
      <c r="W127" s="60">
        <f>'Air Basin Summary PM2.5 BAU'!W127/365.25</f>
        <v>3.0348989168769763E-4</v>
      </c>
      <c r="X127" s="60">
        <f>'Air Basin Summary PM2.5 BAU'!X127/365.25</f>
        <v>2.8905422426674733E-4</v>
      </c>
      <c r="Y127" s="60">
        <f>'Air Basin Summary PM2.5 BAU'!Y127/365.25</f>
        <v>2.8963302539821529E-4</v>
      </c>
      <c r="Z127" s="60">
        <f>'Air Basin Summary PM2.5 BAU'!Z127/365.25</f>
        <v>2.88365804205865E-4</v>
      </c>
      <c r="AA127" s="60">
        <f>'Air Basin Summary PM2.5 BAU'!AA127/365.25</f>
        <v>2.8717076015439099E-4</v>
      </c>
      <c r="AB127" s="61">
        <f>'Air Basin Summary PM2.5 BAU'!AB127/365.25</f>
        <v>2.8140852380576317E-4</v>
      </c>
    </row>
    <row r="128" spans="1:28" ht="26.25" customHeight="1">
      <c r="A128" s="520"/>
      <c r="B128" s="2" t="s">
        <v>263</v>
      </c>
      <c r="C128" s="2" t="s">
        <v>18938</v>
      </c>
      <c r="D128" s="393">
        <f>'Air Basin Summary PM2.5 BAU'!D128/365.25</f>
        <v>0</v>
      </c>
      <c r="E128" s="60">
        <f>'Air Basin Summary PM2.5 BAU'!E128/365.25</f>
        <v>0</v>
      </c>
      <c r="F128" s="60">
        <f>'Air Basin Summary PM2.5 BAU'!F128/365.25</f>
        <v>4.7811179144739685E-4</v>
      </c>
      <c r="G128" s="60">
        <f>'Air Basin Summary PM2.5 BAU'!G128/365.25</f>
        <v>1.3134156457759512E-3</v>
      </c>
      <c r="H128" s="60">
        <f>'Air Basin Summary PM2.5 BAU'!H128/365.25</f>
        <v>1.5212214619530768E-3</v>
      </c>
      <c r="I128" s="60">
        <f>'Air Basin Summary PM2.5 BAU'!I128/365.25</f>
        <v>1.4827899519306207E-3</v>
      </c>
      <c r="J128" s="60">
        <f>'Air Basin Summary PM2.5 BAU'!J128/365.25</f>
        <v>1.3228391180487415E-3</v>
      </c>
      <c r="K128" s="60">
        <f>'Air Basin Summary PM2.5 BAU'!K128/365.25</f>
        <v>1.2881041961908327E-3</v>
      </c>
      <c r="L128" s="60">
        <f>'Air Basin Summary PM2.5 BAU'!L128/365.25</f>
        <v>1.2438632499162756E-3</v>
      </c>
      <c r="M128" s="60">
        <f>'Air Basin Summary PM2.5 BAU'!M128/365.25</f>
        <v>1.1977519001181466E-3</v>
      </c>
      <c r="N128" s="60">
        <f>'Air Basin Summary PM2.5 BAU'!N128/365.25</f>
        <v>1.153442628482755E-3</v>
      </c>
      <c r="O128" s="60">
        <f>'Air Basin Summary PM2.5 BAU'!O128/365.25</f>
        <v>1.1144931950447517E-3</v>
      </c>
      <c r="P128" s="60">
        <f>'Air Basin Summary PM2.5 BAU'!P128/365.25</f>
        <v>1.0698972602646356E-3</v>
      </c>
      <c r="Q128" s="60">
        <f>'Air Basin Summary PM2.5 BAU'!Q128/365.25</f>
        <v>1.0255624846812709E-3</v>
      </c>
      <c r="R128" s="60">
        <f>'Air Basin Summary PM2.5 BAU'!R128/365.25</f>
        <v>9.7650445777685451E-4</v>
      </c>
      <c r="S128" s="60">
        <f>'Air Basin Summary PM2.5 BAU'!S128/365.25</f>
        <v>9.2930269597067358E-4</v>
      </c>
      <c r="T128" s="60">
        <f>'Air Basin Summary PM2.5 BAU'!T128/365.25</f>
        <v>8.8386794704008371E-4</v>
      </c>
      <c r="U128" s="60">
        <f>'Air Basin Summary PM2.5 BAU'!U128/365.25</f>
        <v>8.9758422607710093E-4</v>
      </c>
      <c r="V128" s="60">
        <f>'Air Basin Summary PM2.5 BAU'!V128/365.25</f>
        <v>9.0924400852510025E-4</v>
      </c>
      <c r="W128" s="60">
        <f>'Air Basin Summary PM2.5 BAU'!W128/365.25</f>
        <v>8.8822730976671749E-4</v>
      </c>
      <c r="X128" s="60">
        <f>'Air Basin Summary PM2.5 BAU'!X128/365.25</f>
        <v>8.4550277635470365E-4</v>
      </c>
      <c r="Y128" s="60">
        <f>'Air Basin Summary PM2.5 BAU'!Y128/365.25</f>
        <v>8.4737241219407314E-4</v>
      </c>
      <c r="Z128" s="60">
        <f>'Air Basin Summary PM2.5 BAU'!Z128/365.25</f>
        <v>8.4367471009683277E-4</v>
      </c>
      <c r="AA128" s="60">
        <f>'Air Basin Summary PM2.5 BAU'!AA128/365.25</f>
        <v>8.4016663705047503E-4</v>
      </c>
      <c r="AB128" s="61">
        <f>'Air Basin Summary PM2.5 BAU'!AB128/365.25</f>
        <v>8.2294117618406223E-4</v>
      </c>
    </row>
    <row r="129" spans="1:28" ht="26.25" customHeight="1">
      <c r="A129" s="520"/>
      <c r="B129" s="2" t="s">
        <v>265</v>
      </c>
      <c r="C129" s="2" t="s">
        <v>18938</v>
      </c>
      <c r="D129" s="393">
        <f>'Air Basin Summary PM2.5 BAU'!D129/365.25</f>
        <v>0</v>
      </c>
      <c r="E129" s="60">
        <f>'Air Basin Summary PM2.5 BAU'!E129/365.25</f>
        <v>0</v>
      </c>
      <c r="F129" s="60">
        <f>'Air Basin Summary PM2.5 BAU'!F129/365.25</f>
        <v>2.3905589572369843E-4</v>
      </c>
      <c r="G129" s="60">
        <f>'Air Basin Summary PM2.5 BAU'!G129/365.25</f>
        <v>6.5670782288797561E-4</v>
      </c>
      <c r="H129" s="60">
        <f>'Air Basin Summary PM2.5 BAU'!H129/365.25</f>
        <v>7.6359302598884033E-4</v>
      </c>
      <c r="I129" s="60">
        <f>'Air Basin Summary PM2.5 BAU'!I129/365.25</f>
        <v>7.6689702311196796E-4</v>
      </c>
      <c r="J129" s="60">
        <f>'Air Basin Summary PM2.5 BAU'!J129/365.25</f>
        <v>7.000845135921005E-4</v>
      </c>
      <c r="K129" s="60">
        <f>'Air Basin Summary PM2.5 BAU'!K129/365.25</f>
        <v>6.9010441295392093E-4</v>
      </c>
      <c r="L129" s="60">
        <f>'Air Basin Summary PM2.5 BAU'!L129/365.25</f>
        <v>6.7174356008799642E-4</v>
      </c>
      <c r="M129" s="60">
        <f>'Air Basin Summary PM2.5 BAU'!M129/365.25</f>
        <v>6.503755409000406E-4</v>
      </c>
      <c r="N129" s="60">
        <f>'Air Basin Summary PM2.5 BAU'!N129/365.25</f>
        <v>6.2877450592381144E-4</v>
      </c>
      <c r="O129" s="60">
        <f>'Air Basin Summary PM2.5 BAU'!O129/365.25</f>
        <v>6.0935493847170084E-4</v>
      </c>
      <c r="P129" s="60">
        <f>'Air Basin Summary PM2.5 BAU'!P129/365.25</f>
        <v>5.8714994323560662E-4</v>
      </c>
      <c r="Q129" s="60">
        <f>'Air Basin Summary PM2.5 BAU'!Q129/365.25</f>
        <v>5.6366611039688054E-4</v>
      </c>
      <c r="R129" s="60">
        <f>'Air Basin Summary PM2.5 BAU'!R129/365.25</f>
        <v>5.3748740559550901E-4</v>
      </c>
      <c r="S129" s="60">
        <f>'Air Basin Summary PM2.5 BAU'!S129/365.25</f>
        <v>5.1223052059480893E-4</v>
      </c>
      <c r="T129" s="60">
        <f>'Air Basin Summary PM2.5 BAU'!T129/365.25</f>
        <v>4.8785227753772202E-4</v>
      </c>
      <c r="U129" s="60">
        <f>'Air Basin Summary PM2.5 BAU'!U129/365.25</f>
        <v>4.9314975832348822E-4</v>
      </c>
      <c r="V129" s="60">
        <f>'Air Basin Summary PM2.5 BAU'!V129/365.25</f>
        <v>4.9779190618921289E-4</v>
      </c>
      <c r="W129" s="60">
        <f>'Air Basin Summary PM2.5 BAU'!W129/365.25</f>
        <v>4.8615149878938603E-4</v>
      </c>
      <c r="X129" s="60">
        <f>'Air Basin Summary PM2.5 BAU'!X129/365.25</f>
        <v>4.636895528986709E-4</v>
      </c>
      <c r="Y129" s="60">
        <f>'Air Basin Summary PM2.5 BAU'!Y129/365.25</f>
        <v>4.6437330484900554E-4</v>
      </c>
      <c r="Z129" s="60">
        <f>'Air Basin Summary PM2.5 BAU'!Z129/365.25</f>
        <v>4.6232881196769482E-4</v>
      </c>
      <c r="AA129" s="60">
        <f>'Air Basin Summary PM2.5 BAU'!AA129/365.25</f>
        <v>4.6042998953144663E-4</v>
      </c>
      <c r="AB129" s="61">
        <f>'Air Basin Summary PM2.5 BAU'!AB129/365.25</f>
        <v>4.5170263677062566E-4</v>
      </c>
    </row>
    <row r="130" spans="1:28" ht="26.25" customHeight="1">
      <c r="A130" s="520"/>
      <c r="B130" s="2" t="s">
        <v>267</v>
      </c>
      <c r="C130" s="2" t="s">
        <v>18938</v>
      </c>
      <c r="D130" s="393">
        <f>'Air Basin Summary PM2.5 BAU'!D130/365.25</f>
        <v>0</v>
      </c>
      <c r="E130" s="60">
        <f>'Air Basin Summary PM2.5 BAU'!E130/365.25</f>
        <v>0</v>
      </c>
      <c r="F130" s="60">
        <f>'Air Basin Summary PM2.5 BAU'!F130/365.25</f>
        <v>0</v>
      </c>
      <c r="G130" s="60">
        <f>'Air Basin Summary PM2.5 BAU'!G130/365.25</f>
        <v>0</v>
      </c>
      <c r="H130" s="60">
        <f>'Air Basin Summary PM2.5 BAU'!H130/365.25</f>
        <v>0</v>
      </c>
      <c r="I130" s="60">
        <f>'Air Basin Summary PM2.5 BAU'!I130/365.25</f>
        <v>0</v>
      </c>
      <c r="J130" s="60">
        <f>'Air Basin Summary PM2.5 BAU'!J130/365.25</f>
        <v>0</v>
      </c>
      <c r="K130" s="60">
        <f>'Air Basin Summary PM2.5 BAU'!K130/365.25</f>
        <v>0</v>
      </c>
      <c r="L130" s="60">
        <f>'Air Basin Summary PM2.5 BAU'!L130/365.25</f>
        <v>0</v>
      </c>
      <c r="M130" s="60">
        <f>'Air Basin Summary PM2.5 BAU'!M130/365.25</f>
        <v>0</v>
      </c>
      <c r="N130" s="60">
        <f>'Air Basin Summary PM2.5 BAU'!N130/365.25</f>
        <v>0</v>
      </c>
      <c r="O130" s="60">
        <f>'Air Basin Summary PM2.5 BAU'!O130/365.25</f>
        <v>0</v>
      </c>
      <c r="P130" s="60">
        <f>'Air Basin Summary PM2.5 BAU'!P130/365.25</f>
        <v>0</v>
      </c>
      <c r="Q130" s="60">
        <f>'Air Basin Summary PM2.5 BAU'!Q130/365.25</f>
        <v>0</v>
      </c>
      <c r="R130" s="60">
        <f>'Air Basin Summary PM2.5 BAU'!R130/365.25</f>
        <v>0</v>
      </c>
      <c r="S130" s="60">
        <f>'Air Basin Summary PM2.5 BAU'!S130/365.25</f>
        <v>0</v>
      </c>
      <c r="T130" s="60">
        <f>'Air Basin Summary PM2.5 BAU'!T130/365.25</f>
        <v>0</v>
      </c>
      <c r="U130" s="60">
        <f>'Air Basin Summary PM2.5 BAU'!U130/365.25</f>
        <v>0</v>
      </c>
      <c r="V130" s="60">
        <f>'Air Basin Summary PM2.5 BAU'!V130/365.25</f>
        <v>0</v>
      </c>
      <c r="W130" s="60">
        <f>'Air Basin Summary PM2.5 BAU'!W130/365.25</f>
        <v>0</v>
      </c>
      <c r="X130" s="60">
        <f>'Air Basin Summary PM2.5 BAU'!X130/365.25</f>
        <v>0</v>
      </c>
      <c r="Y130" s="60">
        <f>'Air Basin Summary PM2.5 BAU'!Y130/365.25</f>
        <v>0</v>
      </c>
      <c r="Z130" s="60">
        <f>'Air Basin Summary PM2.5 BAU'!Z130/365.25</f>
        <v>0</v>
      </c>
      <c r="AA130" s="60">
        <f>'Air Basin Summary PM2.5 BAU'!AA130/365.25</f>
        <v>0</v>
      </c>
      <c r="AB130" s="61">
        <f>'Air Basin Summary PM2.5 BAU'!AB130/365.25</f>
        <v>0</v>
      </c>
    </row>
    <row r="131" spans="1:28" ht="26.25" customHeight="1">
      <c r="A131" s="520"/>
      <c r="B131" s="2" t="s">
        <v>268</v>
      </c>
      <c r="C131" s="2" t="s">
        <v>18938</v>
      </c>
      <c r="D131" s="394">
        <f>'Air Basin Summary PM2.5 BAU'!D131/365.25</f>
        <v>0</v>
      </c>
      <c r="E131" s="64">
        <f>'Air Basin Summary PM2.5 BAU'!E131/365.25</f>
        <v>0</v>
      </c>
      <c r="F131" s="64">
        <f>'Air Basin Summary PM2.5 BAU'!F131/365.25</f>
        <v>4.7811179144739685E-4</v>
      </c>
      <c r="G131" s="64">
        <f>'Air Basin Summary PM2.5 BAU'!G131/365.25</f>
        <v>1.3134156457759512E-3</v>
      </c>
      <c r="H131" s="64">
        <f>'Air Basin Summary PM2.5 BAU'!H131/365.25</f>
        <v>1.5227999031160325E-3</v>
      </c>
      <c r="I131" s="64">
        <f>'Air Basin Summary PM2.5 BAU'!I131/365.25</f>
        <v>1.4962872348267774E-3</v>
      </c>
      <c r="J131" s="64">
        <f>'Air Basin Summary PM2.5 BAU'!J131/365.25</f>
        <v>1.3433024828076383E-3</v>
      </c>
      <c r="K131" s="64">
        <f>'Air Basin Summary PM2.5 BAU'!K131/365.25</f>
        <v>1.3124768465836974E-3</v>
      </c>
      <c r="L131" s="64">
        <f>'Air Basin Summary PM2.5 BAU'!L131/365.25</f>
        <v>1.2702250911995642E-3</v>
      </c>
      <c r="M131" s="64">
        <f>'Air Basin Summary PM2.5 BAU'!M131/365.25</f>
        <v>1.2250062965341497E-3</v>
      </c>
      <c r="N131" s="64">
        <f>'Air Basin Summary PM2.5 BAU'!N131/365.25</f>
        <v>1.180989364860374E-3</v>
      </c>
      <c r="O131" s="64">
        <f>'Air Basin Summary PM2.5 BAU'!O131/365.25</f>
        <v>1.1420684573638265E-3</v>
      </c>
      <c r="P131" s="64">
        <f>'Air Basin Summary PM2.5 BAU'!P131/365.25</f>
        <v>1.0975210740296474E-3</v>
      </c>
      <c r="Q131" s="64">
        <f>'Air Basin Summary PM2.5 BAU'!Q131/365.25</f>
        <v>1.0524889734386522E-3</v>
      </c>
      <c r="R131" s="64">
        <f>'Air Basin Summary PM2.5 BAU'!R131/365.25</f>
        <v>1.002557309303794E-3</v>
      </c>
      <c r="S131" s="64">
        <f>'Air Basin Summary PM2.5 BAU'!S131/365.25</f>
        <v>9.5447860652176698E-4</v>
      </c>
      <c r="T131" s="64">
        <f>'Air Basin Summary PM2.5 BAU'!T131/365.25</f>
        <v>9.0816438133829594E-4</v>
      </c>
      <c r="U131" s="64">
        <f>'Air Basin Summary PM2.5 BAU'!U131/365.25</f>
        <v>9.2105469959409937E-4</v>
      </c>
      <c r="V131" s="64">
        <f>'Air Basin Summary PM2.5 BAU'!V131/365.25</f>
        <v>9.320858092907371E-4</v>
      </c>
      <c r="W131" s="64">
        <f>'Air Basin Summary PM2.5 BAU'!W131/365.25</f>
        <v>9.1046967506309311E-4</v>
      </c>
      <c r="X131" s="64">
        <f>'Air Basin Summary PM2.5 BAU'!X131/365.25</f>
        <v>8.6716267280024205E-4</v>
      </c>
      <c r="Y131" s="64">
        <f>'Air Basin Summary PM2.5 BAU'!Y131/365.25</f>
        <v>8.688990761946461E-4</v>
      </c>
      <c r="Z131" s="64">
        <f>'Air Basin Summary PM2.5 BAU'!Z131/365.25</f>
        <v>8.6509741261759493E-4</v>
      </c>
      <c r="AA131" s="64">
        <f>'Air Basin Summary PM2.5 BAU'!AA131/365.25</f>
        <v>8.6151228046317313E-4</v>
      </c>
      <c r="AB131" s="65">
        <f>'Air Basin Summary PM2.5 BAU'!AB131/365.25</f>
        <v>8.4422557141728945E-4</v>
      </c>
    </row>
    <row r="132" spans="1:28" ht="26.25" customHeight="1">
      <c r="A132" s="520"/>
      <c r="B132" s="15" t="s">
        <v>270</v>
      </c>
      <c r="C132" s="73" t="s">
        <v>18938</v>
      </c>
      <c r="D132" s="175">
        <f>'Air Basin Summary PM2.5 BAU'!D132/365.25</f>
        <v>0</v>
      </c>
      <c r="E132" s="175">
        <f>'Air Basin Summary PM2.5 BAU'!E132/365.25</f>
        <v>0</v>
      </c>
      <c r="F132" s="175">
        <f>'Air Basin Summary PM2.5 BAU'!F132/365.25</f>
        <v>1.5937059714913229E-3</v>
      </c>
      <c r="G132" s="175">
        <f>'Air Basin Summary PM2.5 BAU'!G132/365.25</f>
        <v>4.3780521525865037E-3</v>
      </c>
      <c r="H132" s="175">
        <f>'Air Basin Summary PM2.5 BAU'!H132/365.25</f>
        <v>5.0759996770534414E-3</v>
      </c>
      <c r="I132" s="175">
        <f>'Air Basin Summary PM2.5 BAU'!I132/365.25</f>
        <v>4.9876241160892584E-3</v>
      </c>
      <c r="J132" s="175">
        <f>'Air Basin Summary PM2.5 BAU'!J132/365.25</f>
        <v>4.4776749426921284E-3</v>
      </c>
      <c r="K132" s="175">
        <f>'Air Basin Summary PM2.5 BAU'!K132/365.25</f>
        <v>4.3749228219456581E-3</v>
      </c>
      <c r="L132" s="175">
        <f>'Air Basin Summary PM2.5 BAU'!L132/365.25</f>
        <v>4.2340836373318804E-3</v>
      </c>
      <c r="M132" s="175">
        <f>'Air Basin Summary PM2.5 BAU'!M132/365.25</f>
        <v>4.0833543217804989E-3</v>
      </c>
      <c r="N132" s="175">
        <f>'Air Basin Summary PM2.5 BAU'!N132/365.25</f>
        <v>3.9366312162012465E-3</v>
      </c>
      <c r="O132" s="175">
        <f>'Air Basin Summary PM2.5 BAU'!O132/365.25</f>
        <v>3.806894857879421E-3</v>
      </c>
      <c r="P132" s="175">
        <f>'Air Basin Summary PM2.5 BAU'!P132/365.25</f>
        <v>3.6584035800988251E-3</v>
      </c>
      <c r="Q132" s="175">
        <f>'Air Basin Summary PM2.5 BAU'!Q132/365.25</f>
        <v>3.5082965781288401E-3</v>
      </c>
      <c r="R132" s="175">
        <f>'Air Basin Summary PM2.5 BAU'!R132/365.25</f>
        <v>3.3418576976793129E-3</v>
      </c>
      <c r="S132" s="175">
        <f>'Air Basin Summary PM2.5 BAU'!S132/365.25</f>
        <v>3.1815953550725562E-3</v>
      </c>
      <c r="T132" s="175">
        <f>'Air Basin Summary PM2.5 BAU'!T132/365.25</f>
        <v>3.0272146044609863E-3</v>
      </c>
      <c r="U132" s="175">
        <f>'Air Basin Summary PM2.5 BAU'!U132/365.25</f>
        <v>3.070182331980332E-3</v>
      </c>
      <c r="V132" s="175">
        <f>'Air Basin Summary PM2.5 BAU'!V132/365.25</f>
        <v>3.1069526976357903E-3</v>
      </c>
      <c r="W132" s="175">
        <f>'Air Basin Summary PM2.5 BAU'!W132/365.25</f>
        <v>3.034898916876977E-3</v>
      </c>
      <c r="X132" s="175">
        <f>'Air Basin Summary PM2.5 BAU'!X132/365.25</f>
        <v>2.8905422426674736E-3</v>
      </c>
      <c r="Y132" s="175">
        <f>'Air Basin Summary PM2.5 BAU'!Y132/365.25</f>
        <v>2.8963302539821529E-3</v>
      </c>
      <c r="Z132" s="175">
        <f>'Air Basin Summary PM2.5 BAU'!Z132/365.25</f>
        <v>2.8836580420586503E-3</v>
      </c>
      <c r="AA132" s="175">
        <f>'Air Basin Summary PM2.5 BAU'!AA132/365.25</f>
        <v>2.8717076015439104E-3</v>
      </c>
      <c r="AB132" s="175">
        <f>'Air Basin Summary PM2.5 BAU'!AB132/365.25</f>
        <v>2.8140852380576318E-3</v>
      </c>
    </row>
    <row r="133" spans="1:28" ht="26.25" customHeight="1">
      <c r="A133" s="520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26.25" customHeight="1">
      <c r="A134" s="520"/>
      <c r="B134" s="86"/>
      <c r="C134" s="86"/>
      <c r="D134" s="519" t="s">
        <v>18957</v>
      </c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</row>
    <row r="135" spans="1:28" ht="26.25" customHeight="1">
      <c r="A135" s="520"/>
      <c r="B135" s="88" t="s">
        <v>18814</v>
      </c>
      <c r="C135" s="90" t="s">
        <v>1</v>
      </c>
      <c r="D135" s="156">
        <v>2022</v>
      </c>
      <c r="E135" s="156">
        <v>2023</v>
      </c>
      <c r="F135" s="156">
        <v>2024</v>
      </c>
      <c r="G135" s="156">
        <v>2025</v>
      </c>
      <c r="H135" s="156">
        <v>2026</v>
      </c>
      <c r="I135" s="156">
        <v>2027</v>
      </c>
      <c r="J135" s="156">
        <v>2028</v>
      </c>
      <c r="K135" s="156">
        <v>2029</v>
      </c>
      <c r="L135" s="157">
        <v>2030</v>
      </c>
      <c r="M135" s="156">
        <v>2031</v>
      </c>
      <c r="N135" s="156">
        <v>2032</v>
      </c>
      <c r="O135" s="156">
        <v>2033</v>
      </c>
      <c r="P135" s="156">
        <v>2034</v>
      </c>
      <c r="Q135" s="156">
        <v>2035</v>
      </c>
      <c r="R135" s="156">
        <v>2036</v>
      </c>
      <c r="S135" s="156">
        <v>2037</v>
      </c>
      <c r="T135" s="156">
        <v>2038</v>
      </c>
      <c r="U135" s="157">
        <v>2039</v>
      </c>
      <c r="V135" s="156">
        <v>2040</v>
      </c>
      <c r="W135" s="156">
        <v>2041</v>
      </c>
      <c r="X135" s="156">
        <v>2042</v>
      </c>
      <c r="Y135" s="156">
        <v>2043</v>
      </c>
      <c r="Z135" s="156">
        <v>2044</v>
      </c>
      <c r="AA135" s="156">
        <v>2045</v>
      </c>
      <c r="AB135" s="156">
        <v>2046</v>
      </c>
    </row>
    <row r="136" spans="1:28" ht="26.25" customHeight="1">
      <c r="A136" s="520"/>
      <c r="B136" s="95" t="s">
        <v>249</v>
      </c>
      <c r="C136" s="2" t="s">
        <v>18938</v>
      </c>
      <c r="D136" s="104">
        <f>'Air Basin Summary PM2.5 BAU'!D136/365.25</f>
        <v>0</v>
      </c>
      <c r="E136" s="79">
        <f>'Air Basin Summary PM2.5 BAU'!E136/365.25</f>
        <v>0</v>
      </c>
      <c r="F136" s="79">
        <f>'Air Basin Summary PM2.5 BAU'!F136/365.25</f>
        <v>0</v>
      </c>
      <c r="G136" s="79">
        <f>'Air Basin Summary PM2.5 BAU'!G136/365.25</f>
        <v>0</v>
      </c>
      <c r="H136" s="79">
        <f>'Air Basin Summary PM2.5 BAU'!H136/365.25</f>
        <v>0</v>
      </c>
      <c r="I136" s="79">
        <f>'Air Basin Summary PM2.5 BAU'!I136/365.25</f>
        <v>0</v>
      </c>
      <c r="J136" s="79">
        <f>'Air Basin Summary PM2.5 BAU'!J136/365.25</f>
        <v>0</v>
      </c>
      <c r="K136" s="79">
        <f>'Air Basin Summary PM2.5 BAU'!K136/365.25</f>
        <v>0</v>
      </c>
      <c r="L136" s="79">
        <f>'Air Basin Summary PM2.5 BAU'!L136/365.25</f>
        <v>0</v>
      </c>
      <c r="M136" s="79">
        <f>'Air Basin Summary PM2.5 BAU'!M136/365.25</f>
        <v>0</v>
      </c>
      <c r="N136" s="79">
        <f>'Air Basin Summary PM2.5 BAU'!N136/365.25</f>
        <v>0</v>
      </c>
      <c r="O136" s="79">
        <f>'Air Basin Summary PM2.5 BAU'!O136/365.25</f>
        <v>0</v>
      </c>
      <c r="P136" s="79">
        <f>'Air Basin Summary PM2.5 BAU'!P136/365.25</f>
        <v>0</v>
      </c>
      <c r="Q136" s="79">
        <f>'Air Basin Summary PM2.5 BAU'!Q136/365.25</f>
        <v>0</v>
      </c>
      <c r="R136" s="79">
        <f>'Air Basin Summary PM2.5 BAU'!R136/365.25</f>
        <v>0</v>
      </c>
      <c r="S136" s="79">
        <f>'Air Basin Summary PM2.5 BAU'!S136/365.25</f>
        <v>0</v>
      </c>
      <c r="T136" s="79">
        <f>'Air Basin Summary PM2.5 BAU'!T136/365.25</f>
        <v>0</v>
      </c>
      <c r="U136" s="79">
        <f>'Air Basin Summary PM2.5 BAU'!U136/365.25</f>
        <v>0</v>
      </c>
      <c r="V136" s="79">
        <f>'Air Basin Summary PM2.5 BAU'!V136/365.25</f>
        <v>0</v>
      </c>
      <c r="W136" s="79">
        <f>'Air Basin Summary PM2.5 BAU'!W136/365.25</f>
        <v>0</v>
      </c>
      <c r="X136" s="79">
        <f>'Air Basin Summary PM2.5 BAU'!X136/365.25</f>
        <v>0</v>
      </c>
      <c r="Y136" s="79">
        <f>'Air Basin Summary PM2.5 BAU'!Y136/365.25</f>
        <v>0</v>
      </c>
      <c r="Z136" s="79">
        <f>'Air Basin Summary PM2.5 BAU'!Z136/365.25</f>
        <v>0</v>
      </c>
      <c r="AA136" s="79">
        <f>'Air Basin Summary PM2.5 BAU'!AA136/365.25</f>
        <v>0</v>
      </c>
      <c r="AB136" s="80">
        <f>'Air Basin Summary PM2.5 BAU'!AB136/365.25</f>
        <v>0</v>
      </c>
    </row>
    <row r="137" spans="1:28" ht="26.25" customHeight="1">
      <c r="A137" s="520"/>
      <c r="B137" s="53" t="s">
        <v>251</v>
      </c>
      <c r="C137" s="2" t="s">
        <v>18938</v>
      </c>
      <c r="D137" s="393">
        <f>'Air Basin Summary PM2.5 BAU'!D137/365.25</f>
        <v>0</v>
      </c>
      <c r="E137" s="60">
        <f>'Air Basin Summary PM2.5 BAU'!E137/365.25</f>
        <v>0</v>
      </c>
      <c r="F137" s="60">
        <f>'Air Basin Summary PM2.5 BAU'!F137/365.25</f>
        <v>0</v>
      </c>
      <c r="G137" s="60">
        <f>'Air Basin Summary PM2.5 BAU'!G137/365.25</f>
        <v>0</v>
      </c>
      <c r="H137" s="60">
        <f>'Air Basin Summary PM2.5 BAU'!H137/365.25</f>
        <v>0</v>
      </c>
      <c r="I137" s="60">
        <f>'Air Basin Summary PM2.5 BAU'!I137/365.25</f>
        <v>0</v>
      </c>
      <c r="J137" s="60">
        <f>'Air Basin Summary PM2.5 BAU'!J137/365.25</f>
        <v>0</v>
      </c>
      <c r="K137" s="60">
        <f>'Air Basin Summary PM2.5 BAU'!K137/365.25</f>
        <v>0</v>
      </c>
      <c r="L137" s="60">
        <f>'Air Basin Summary PM2.5 BAU'!L137/365.25</f>
        <v>0</v>
      </c>
      <c r="M137" s="60">
        <f>'Air Basin Summary PM2.5 BAU'!M137/365.25</f>
        <v>0</v>
      </c>
      <c r="N137" s="60">
        <f>'Air Basin Summary PM2.5 BAU'!N137/365.25</f>
        <v>0</v>
      </c>
      <c r="O137" s="60">
        <f>'Air Basin Summary PM2.5 BAU'!O137/365.25</f>
        <v>0</v>
      </c>
      <c r="P137" s="60">
        <f>'Air Basin Summary PM2.5 BAU'!P137/365.25</f>
        <v>0</v>
      </c>
      <c r="Q137" s="60">
        <f>'Air Basin Summary PM2.5 BAU'!Q137/365.25</f>
        <v>0</v>
      </c>
      <c r="R137" s="60">
        <f>'Air Basin Summary PM2.5 BAU'!R137/365.25</f>
        <v>0</v>
      </c>
      <c r="S137" s="60">
        <f>'Air Basin Summary PM2.5 BAU'!S137/365.25</f>
        <v>0</v>
      </c>
      <c r="T137" s="60">
        <f>'Air Basin Summary PM2.5 BAU'!T137/365.25</f>
        <v>0</v>
      </c>
      <c r="U137" s="60">
        <f>'Air Basin Summary PM2.5 BAU'!U137/365.25</f>
        <v>0</v>
      </c>
      <c r="V137" s="60">
        <f>'Air Basin Summary PM2.5 BAU'!V137/365.25</f>
        <v>0</v>
      </c>
      <c r="W137" s="60">
        <f>'Air Basin Summary PM2.5 BAU'!W137/365.25</f>
        <v>0</v>
      </c>
      <c r="X137" s="60">
        <f>'Air Basin Summary PM2.5 BAU'!X137/365.25</f>
        <v>0</v>
      </c>
      <c r="Y137" s="60">
        <f>'Air Basin Summary PM2.5 BAU'!Y137/365.25</f>
        <v>0</v>
      </c>
      <c r="Z137" s="60">
        <f>'Air Basin Summary PM2.5 BAU'!Z137/365.25</f>
        <v>0</v>
      </c>
      <c r="AA137" s="60">
        <f>'Air Basin Summary PM2.5 BAU'!AA137/365.25</f>
        <v>0</v>
      </c>
      <c r="AB137" s="61">
        <f>'Air Basin Summary PM2.5 BAU'!AB137/365.25</f>
        <v>0</v>
      </c>
    </row>
    <row r="138" spans="1:28" ht="26.25" customHeight="1">
      <c r="A138" s="520"/>
      <c r="B138" s="53" t="s">
        <v>253</v>
      </c>
      <c r="C138" s="2" t="s">
        <v>18938</v>
      </c>
      <c r="D138" s="393">
        <f>'Air Basin Summary PM2.5 BAU'!D138/365.25</f>
        <v>0</v>
      </c>
      <c r="E138" s="60">
        <f>'Air Basin Summary PM2.5 BAU'!E138/365.25</f>
        <v>0</v>
      </c>
      <c r="F138" s="60">
        <f>'Air Basin Summary PM2.5 BAU'!F138/365.25</f>
        <v>0</v>
      </c>
      <c r="G138" s="60">
        <f>'Air Basin Summary PM2.5 BAU'!G138/365.25</f>
        <v>0</v>
      </c>
      <c r="H138" s="60">
        <f>'Air Basin Summary PM2.5 BAU'!H138/365.25</f>
        <v>0</v>
      </c>
      <c r="I138" s="60">
        <f>'Air Basin Summary PM2.5 BAU'!I138/365.25</f>
        <v>0</v>
      </c>
      <c r="J138" s="60">
        <f>'Air Basin Summary PM2.5 BAU'!J138/365.25</f>
        <v>0</v>
      </c>
      <c r="K138" s="60">
        <f>'Air Basin Summary PM2.5 BAU'!K138/365.25</f>
        <v>0</v>
      </c>
      <c r="L138" s="60">
        <f>'Air Basin Summary PM2.5 BAU'!L138/365.25</f>
        <v>0</v>
      </c>
      <c r="M138" s="60">
        <f>'Air Basin Summary PM2.5 BAU'!M138/365.25</f>
        <v>0</v>
      </c>
      <c r="N138" s="60">
        <f>'Air Basin Summary PM2.5 BAU'!N138/365.25</f>
        <v>0</v>
      </c>
      <c r="O138" s="60">
        <f>'Air Basin Summary PM2.5 BAU'!O138/365.25</f>
        <v>0</v>
      </c>
      <c r="P138" s="60">
        <f>'Air Basin Summary PM2.5 BAU'!P138/365.25</f>
        <v>0</v>
      </c>
      <c r="Q138" s="60">
        <f>'Air Basin Summary PM2.5 BAU'!Q138/365.25</f>
        <v>0</v>
      </c>
      <c r="R138" s="60">
        <f>'Air Basin Summary PM2.5 BAU'!R138/365.25</f>
        <v>0</v>
      </c>
      <c r="S138" s="60">
        <f>'Air Basin Summary PM2.5 BAU'!S138/365.25</f>
        <v>0</v>
      </c>
      <c r="T138" s="60">
        <f>'Air Basin Summary PM2.5 BAU'!T138/365.25</f>
        <v>0</v>
      </c>
      <c r="U138" s="60">
        <f>'Air Basin Summary PM2.5 BAU'!U138/365.25</f>
        <v>0</v>
      </c>
      <c r="V138" s="60">
        <f>'Air Basin Summary PM2.5 BAU'!V138/365.25</f>
        <v>0</v>
      </c>
      <c r="W138" s="60">
        <f>'Air Basin Summary PM2.5 BAU'!W138/365.25</f>
        <v>0</v>
      </c>
      <c r="X138" s="60">
        <f>'Air Basin Summary PM2.5 BAU'!X138/365.25</f>
        <v>0</v>
      </c>
      <c r="Y138" s="60">
        <f>'Air Basin Summary PM2.5 BAU'!Y138/365.25</f>
        <v>0</v>
      </c>
      <c r="Z138" s="60">
        <f>'Air Basin Summary PM2.5 BAU'!Z138/365.25</f>
        <v>0</v>
      </c>
      <c r="AA138" s="60">
        <f>'Air Basin Summary PM2.5 BAU'!AA138/365.25</f>
        <v>0</v>
      </c>
      <c r="AB138" s="61">
        <f>'Air Basin Summary PM2.5 BAU'!AB138/365.25</f>
        <v>0</v>
      </c>
    </row>
    <row r="139" spans="1:28" ht="26.25" customHeight="1">
      <c r="A139" s="520"/>
      <c r="B139" s="53" t="s">
        <v>255</v>
      </c>
      <c r="C139" s="2" t="s">
        <v>18938</v>
      </c>
      <c r="D139" s="393">
        <f>'Air Basin Summary PM2.5 BAU'!D139/365.25</f>
        <v>0</v>
      </c>
      <c r="E139" s="60">
        <f>'Air Basin Summary PM2.5 BAU'!E139/365.25</f>
        <v>-1.1171323160991505E-19</v>
      </c>
      <c r="F139" s="60">
        <f>'Air Basin Summary PM2.5 BAU'!F139/365.25</f>
        <v>1.2330009237479459E-3</v>
      </c>
      <c r="G139" s="60">
        <f>'Air Basin Summary PM2.5 BAU'!G139/365.25</f>
        <v>3.2990667474091166E-3</v>
      </c>
      <c r="H139" s="60">
        <f>'Air Basin Summary PM2.5 BAU'!H139/365.25</f>
        <v>3.6323754866846966E-3</v>
      </c>
      <c r="I139" s="60">
        <f>'Air Basin Summary PM2.5 BAU'!I139/365.25</f>
        <v>3.31972154686388E-3</v>
      </c>
      <c r="J139" s="60">
        <f>'Air Basin Summary PM2.5 BAU'!J139/365.25</f>
        <v>2.7798258695216952E-3</v>
      </c>
      <c r="K139" s="60">
        <f>'Air Basin Summary PM2.5 BAU'!K139/365.25</f>
        <v>2.584278910421448E-3</v>
      </c>
      <c r="L139" s="60">
        <f>'Air Basin Summary PM2.5 BAU'!L139/365.25</f>
        <v>9.8120303157427395E-4</v>
      </c>
      <c r="M139" s="60">
        <f>'Air Basin Summary PM2.5 BAU'!M139/365.25</f>
        <v>8.5537136899668093E-4</v>
      </c>
      <c r="N139" s="60">
        <f>'Air Basin Summary PM2.5 BAU'!N139/365.25</f>
        <v>8.0347767628736165E-4</v>
      </c>
      <c r="O139" s="60">
        <f>'Air Basin Summary PM2.5 BAU'!O139/365.25</f>
        <v>7.5244785312228424E-4</v>
      </c>
      <c r="P139" s="60">
        <f>'Air Basin Summary PM2.5 BAU'!P139/365.25</f>
        <v>7.1001052195806332E-4</v>
      </c>
      <c r="Q139" s="60">
        <f>'Air Basin Summary PM2.5 BAU'!Q139/365.25</f>
        <v>5.0071009290865952E-4</v>
      </c>
      <c r="R139" s="60">
        <f>'Air Basin Summary PM2.5 BAU'!R139/365.25</f>
        <v>3.7545850536934144E-4</v>
      </c>
      <c r="S139" s="60">
        <f>'Air Basin Summary PM2.5 BAU'!S139/365.25</f>
        <v>2.4532196158251804E-4</v>
      </c>
      <c r="T139" s="60">
        <f>'Air Basin Summary PM2.5 BAU'!T139/365.25</f>
        <v>2.3539407696887533E-4</v>
      </c>
      <c r="U139" s="60">
        <f>'Air Basin Summary PM2.5 BAU'!U139/365.25</f>
        <v>2.3610732815848009E-4</v>
      </c>
      <c r="V139" s="60">
        <f>'Air Basin Summary PM2.5 BAU'!V139/365.25</f>
        <v>2.3818290921553167E-4</v>
      </c>
      <c r="W139" s="60">
        <f>'Air Basin Summary PM2.5 BAU'!W139/365.25</f>
        <v>2.32557196280592E-4</v>
      </c>
      <c r="X139" s="60">
        <f>'Air Basin Summary PM2.5 BAU'!X139/365.25</f>
        <v>2.2135691276282152E-4</v>
      </c>
      <c r="Y139" s="60">
        <f>'Air Basin Summary PM2.5 BAU'!Y139/365.25</f>
        <v>2.1781277102013059E-4</v>
      </c>
      <c r="Z139" s="60">
        <f>'Air Basin Summary PM2.5 BAU'!Z139/365.25</f>
        <v>2.1248234365731328E-4</v>
      </c>
      <c r="AA139" s="60">
        <f>'Air Basin Summary PM2.5 BAU'!AA139/365.25</f>
        <v>2.0702272312084831E-4</v>
      </c>
      <c r="AB139" s="61">
        <f>'Air Basin Summary PM2.5 BAU'!AB139/365.25</f>
        <v>1.9797065612575063E-4</v>
      </c>
    </row>
    <row r="140" spans="1:28" ht="26.25" customHeight="1">
      <c r="A140" s="520"/>
      <c r="B140" s="53" t="s">
        <v>256</v>
      </c>
      <c r="C140" s="2" t="s">
        <v>18938</v>
      </c>
      <c r="D140" s="393">
        <f>'Air Basin Summary PM2.5 BAU'!D140/365.25</f>
        <v>0</v>
      </c>
      <c r="E140" s="60">
        <f>'Air Basin Summary PM2.5 BAU'!E140/365.25</f>
        <v>-1.1552163723298033E-19</v>
      </c>
      <c r="F140" s="60">
        <f>'Air Basin Summary PM2.5 BAU'!F140/365.25</f>
        <v>1.2750350461484441E-3</v>
      </c>
      <c r="G140" s="60">
        <f>'Air Basin Summary PM2.5 BAU'!G140/365.25</f>
        <v>3.4115349319798825E-3</v>
      </c>
      <c r="H140" s="60">
        <f>'Air Basin Summary PM2.5 BAU'!H140/365.25</f>
        <v>3.756206469185311E-3</v>
      </c>
      <c r="I140" s="60">
        <f>'Air Basin Summary PM2.5 BAU'!I140/365.25</f>
        <v>3.4328938723251485E-3</v>
      </c>
      <c r="J140" s="60">
        <f>'Air Basin Summary PM2.5 BAU'!J140/365.25</f>
        <v>2.8745926605281166E-3</v>
      </c>
      <c r="K140" s="60">
        <f>'Air Basin Summary PM2.5 BAU'!K140/365.25</f>
        <v>2.672379327822179E-3</v>
      </c>
      <c r="L140" s="60">
        <f>'Air Basin Summary PM2.5 BAU'!L140/365.25</f>
        <v>1.0146531349233968E-3</v>
      </c>
      <c r="M140" s="60">
        <f>'Air Basin Summary PM2.5 BAU'!M140/365.25</f>
        <v>8.8453175657611321E-4</v>
      </c>
      <c r="N140" s="60">
        <f>'Air Basin Summary PM2.5 BAU'!N140/365.25</f>
        <v>8.3086896070624905E-4</v>
      </c>
      <c r="O140" s="60">
        <f>'Air Basin Summary PM2.5 BAU'!O140/365.25</f>
        <v>7.7809948447872578E-4</v>
      </c>
      <c r="P140" s="60">
        <f>'Air Basin Summary PM2.5 BAU'!P140/365.25</f>
        <v>7.342154261157245E-4</v>
      </c>
      <c r="Q140" s="60">
        <f>'Air Basin Summary PM2.5 BAU'!Q140/365.25</f>
        <v>5.1777975516690915E-4</v>
      </c>
      <c r="R140" s="60">
        <f>'Air Basin Summary PM2.5 BAU'!R140/365.25</f>
        <v>3.8825822714329619E-4</v>
      </c>
      <c r="S140" s="60">
        <f>'Air Basin Summary PM2.5 BAU'!S140/365.25</f>
        <v>2.5368521027283112E-4</v>
      </c>
      <c r="T140" s="60">
        <f>'Air Basin Summary PM2.5 BAU'!T140/365.25</f>
        <v>2.4341887504735968E-4</v>
      </c>
      <c r="U140" s="60">
        <f>'Air Basin Summary PM2.5 BAU'!U140/365.25</f>
        <v>2.4415644161842823E-4</v>
      </c>
      <c r="V140" s="60">
        <f>'Air Basin Summary PM2.5 BAU'!V140/365.25</f>
        <v>2.4630278112060657E-4</v>
      </c>
      <c r="W140" s="60">
        <f>'Air Basin Summary PM2.5 BAU'!W140/365.25</f>
        <v>2.4048528251743035E-4</v>
      </c>
      <c r="X140" s="60">
        <f>'Air Basin Summary PM2.5 BAU'!X140/365.25</f>
        <v>2.2890317115246311E-4</v>
      </c>
      <c r="Y140" s="60">
        <f>'Air Basin Summary PM2.5 BAU'!Y140/365.25</f>
        <v>2.2523820639581686E-4</v>
      </c>
      <c r="Z140" s="60">
        <f>'Air Basin Summary PM2.5 BAU'!Z140/365.25</f>
        <v>2.1972605991835798E-4</v>
      </c>
      <c r="AA140" s="60">
        <f>'Air Basin Summary PM2.5 BAU'!AA140/365.25</f>
        <v>2.1408031595451362E-4</v>
      </c>
      <c r="AB140" s="61">
        <f>'Air Basin Summary PM2.5 BAU'!AB140/365.25</f>
        <v>2.0471965576640121E-4</v>
      </c>
    </row>
    <row r="141" spans="1:28" ht="26.25" customHeight="1">
      <c r="A141" s="520"/>
      <c r="B141" s="53" t="s">
        <v>257</v>
      </c>
      <c r="C141" s="2" t="s">
        <v>18938</v>
      </c>
      <c r="D141" s="393">
        <f>'Air Basin Summary PM2.5 BAU'!D141/365.25</f>
        <v>0</v>
      </c>
      <c r="E141" s="60">
        <f>'Air Basin Summary PM2.5 BAU'!E141/365.25</f>
        <v>0</v>
      </c>
      <c r="F141" s="60">
        <f>'Air Basin Summary PM2.5 BAU'!F141/365.25</f>
        <v>0</v>
      </c>
      <c r="G141" s="60">
        <f>'Air Basin Summary PM2.5 BAU'!G141/365.25</f>
        <v>0</v>
      </c>
      <c r="H141" s="60">
        <f>'Air Basin Summary PM2.5 BAU'!H141/365.25</f>
        <v>1.7182569820925273E-5</v>
      </c>
      <c r="I141" s="60">
        <f>'Air Basin Summary PM2.5 BAU'!I141/365.25</f>
        <v>1.4083856850933752E-4</v>
      </c>
      <c r="J141" s="60">
        <f>'Air Basin Summary PM2.5 BAU'!J141/365.25</f>
        <v>2.0407837913206204E-4</v>
      </c>
      <c r="K141" s="60">
        <f>'Air Basin Summary PM2.5 BAU'!K141/365.25</f>
        <v>2.3439831984439197E-4</v>
      </c>
      <c r="L141" s="60">
        <f>'Air Basin Summary PM2.5 BAU'!L141/365.25</f>
        <v>1.0036579989281674E-4</v>
      </c>
      <c r="M141" s="60">
        <f>'Air Basin Summary PM2.5 BAU'!M141/365.25</f>
        <v>9.4397757962132279E-5</v>
      </c>
      <c r="N141" s="60">
        <f>'Air Basin Summary PM2.5 BAU'!N141/365.25</f>
        <v>9.3407327484693357E-5</v>
      </c>
      <c r="O141" s="60">
        <f>'Air Basin Summary PM2.5 BAU'!O141/365.25</f>
        <v>9.0892608154579752E-5</v>
      </c>
      <c r="P141" s="60">
        <f>'Air Basin Summary PM2.5 BAU'!P141/365.25</f>
        <v>8.98174215659752E-5</v>
      </c>
      <c r="Q141" s="60">
        <f>'Air Basin Summary PM2.5 BAU'!Q141/365.25</f>
        <v>6.4525182625784093E-5</v>
      </c>
      <c r="R141" s="60">
        <f>'Air Basin Summary PM2.5 BAU'!R141/365.25</f>
        <v>4.9252570835927825E-5</v>
      </c>
      <c r="S141" s="60">
        <f>'Air Basin Summary PM2.5 BAU'!S141/365.25</f>
        <v>3.2733981936590828E-5</v>
      </c>
      <c r="T141" s="60">
        <f>'Air Basin Summary PM2.5 BAU'!T141/365.25</f>
        <v>3.1924184720317433E-5</v>
      </c>
      <c r="U141" s="60">
        <f>'Air Basin Summary PM2.5 BAU'!U141/365.25</f>
        <v>3.0347755228289289E-5</v>
      </c>
      <c r="V141" s="60">
        <f>'Air Basin Summary PM2.5 BAU'!V141/365.25</f>
        <v>2.9332052281670719E-5</v>
      </c>
      <c r="W141" s="60">
        <f>'Air Basin Summary PM2.5 BAU'!W141/365.25</f>
        <v>2.8552880217171469E-5</v>
      </c>
      <c r="X141" s="60">
        <f>'Air Basin Summary PM2.5 BAU'!X141/365.25</f>
        <v>2.7865784975061682E-5</v>
      </c>
      <c r="Y141" s="60">
        <f>'Air Basin Summary PM2.5 BAU'!Y141/365.25</f>
        <v>2.7184636833608609E-5</v>
      </c>
      <c r="Z141" s="60">
        <f>'Air Basin Summary PM2.5 BAU'!Z141/365.25</f>
        <v>2.6517654006773864E-5</v>
      </c>
      <c r="AA141" s="60">
        <f>'Air Basin Summary PM2.5 BAU'!AA141/365.25</f>
        <v>2.5863418191281395E-5</v>
      </c>
      <c r="AB141" s="61">
        <f>'Air Basin Summary PM2.5 BAU'!AB141/365.25</f>
        <v>2.5225595500802613E-5</v>
      </c>
    </row>
    <row r="142" spans="1:28" ht="26.25" customHeight="1">
      <c r="A142" s="520"/>
      <c r="B142" s="53" t="s">
        <v>258</v>
      </c>
      <c r="C142" s="2" t="s">
        <v>18938</v>
      </c>
      <c r="D142" s="393">
        <f>'Air Basin Summary PM2.5 BAU'!D142/365.25</f>
        <v>0</v>
      </c>
      <c r="E142" s="60">
        <f>'Air Basin Summary PM2.5 BAU'!E142/365.25</f>
        <v>0</v>
      </c>
      <c r="F142" s="60">
        <f>'Air Basin Summary PM2.5 BAU'!F142/365.25</f>
        <v>0</v>
      </c>
      <c r="G142" s="60">
        <f>'Air Basin Summary PM2.5 BAU'!G142/365.25</f>
        <v>0</v>
      </c>
      <c r="H142" s="60">
        <f>'Air Basin Summary PM2.5 BAU'!H142/365.25</f>
        <v>0</v>
      </c>
      <c r="I142" s="60">
        <f>'Air Basin Summary PM2.5 BAU'!I142/365.25</f>
        <v>0</v>
      </c>
      <c r="J142" s="60">
        <f>'Air Basin Summary PM2.5 BAU'!J142/365.25</f>
        <v>0</v>
      </c>
      <c r="K142" s="60">
        <f>'Air Basin Summary PM2.5 BAU'!K142/365.25</f>
        <v>0</v>
      </c>
      <c r="L142" s="60">
        <f>'Air Basin Summary PM2.5 BAU'!L142/365.25</f>
        <v>0</v>
      </c>
      <c r="M142" s="60">
        <f>'Air Basin Summary PM2.5 BAU'!M142/365.25</f>
        <v>0</v>
      </c>
      <c r="N142" s="60">
        <f>'Air Basin Summary PM2.5 BAU'!N142/365.25</f>
        <v>0</v>
      </c>
      <c r="O142" s="60">
        <f>'Air Basin Summary PM2.5 BAU'!O142/365.25</f>
        <v>0</v>
      </c>
      <c r="P142" s="60">
        <f>'Air Basin Summary PM2.5 BAU'!P142/365.25</f>
        <v>0</v>
      </c>
      <c r="Q142" s="60">
        <f>'Air Basin Summary PM2.5 BAU'!Q142/365.25</f>
        <v>0</v>
      </c>
      <c r="R142" s="60">
        <f>'Air Basin Summary PM2.5 BAU'!R142/365.25</f>
        <v>0</v>
      </c>
      <c r="S142" s="60">
        <f>'Air Basin Summary PM2.5 BAU'!S142/365.25</f>
        <v>0</v>
      </c>
      <c r="T142" s="60">
        <f>'Air Basin Summary PM2.5 BAU'!T142/365.25</f>
        <v>0</v>
      </c>
      <c r="U142" s="60">
        <f>'Air Basin Summary PM2.5 BAU'!U142/365.25</f>
        <v>0</v>
      </c>
      <c r="V142" s="60">
        <f>'Air Basin Summary PM2.5 BAU'!V142/365.25</f>
        <v>0</v>
      </c>
      <c r="W142" s="60">
        <f>'Air Basin Summary PM2.5 BAU'!W142/365.25</f>
        <v>0</v>
      </c>
      <c r="X142" s="60">
        <f>'Air Basin Summary PM2.5 BAU'!X142/365.25</f>
        <v>0</v>
      </c>
      <c r="Y142" s="60">
        <f>'Air Basin Summary PM2.5 BAU'!Y142/365.25</f>
        <v>0</v>
      </c>
      <c r="Z142" s="60">
        <f>'Air Basin Summary PM2.5 BAU'!Z142/365.25</f>
        <v>0</v>
      </c>
      <c r="AA142" s="60">
        <f>'Air Basin Summary PM2.5 BAU'!AA142/365.25</f>
        <v>0</v>
      </c>
      <c r="AB142" s="61">
        <f>'Air Basin Summary PM2.5 BAU'!AB142/365.25</f>
        <v>0</v>
      </c>
    </row>
    <row r="143" spans="1:28" ht="26.25" customHeight="1">
      <c r="A143" s="520"/>
      <c r="B143" s="53" t="s">
        <v>259</v>
      </c>
      <c r="C143" s="2" t="s">
        <v>18938</v>
      </c>
      <c r="D143" s="393">
        <f>'Air Basin Summary PM2.5 BAU'!D143/365.25</f>
        <v>0</v>
      </c>
      <c r="E143" s="60">
        <f>'Air Basin Summary PM2.5 BAU'!E143/365.25</f>
        <v>0</v>
      </c>
      <c r="F143" s="60">
        <f>'Air Basin Summary PM2.5 BAU'!F143/365.25</f>
        <v>0</v>
      </c>
      <c r="G143" s="60">
        <f>'Air Basin Summary PM2.5 BAU'!G143/365.25</f>
        <v>0</v>
      </c>
      <c r="H143" s="60">
        <f>'Air Basin Summary PM2.5 BAU'!H143/365.25</f>
        <v>0</v>
      </c>
      <c r="I143" s="60">
        <f>'Air Basin Summary PM2.5 BAU'!I143/365.25</f>
        <v>0</v>
      </c>
      <c r="J143" s="60">
        <f>'Air Basin Summary PM2.5 BAU'!J143/365.25</f>
        <v>0</v>
      </c>
      <c r="K143" s="60">
        <f>'Air Basin Summary PM2.5 BAU'!K143/365.25</f>
        <v>0</v>
      </c>
      <c r="L143" s="60">
        <f>'Air Basin Summary PM2.5 BAU'!L143/365.25</f>
        <v>0</v>
      </c>
      <c r="M143" s="60">
        <f>'Air Basin Summary PM2.5 BAU'!M143/365.25</f>
        <v>0</v>
      </c>
      <c r="N143" s="60">
        <f>'Air Basin Summary PM2.5 BAU'!N143/365.25</f>
        <v>0</v>
      </c>
      <c r="O143" s="60">
        <f>'Air Basin Summary PM2.5 BAU'!O143/365.25</f>
        <v>0</v>
      </c>
      <c r="P143" s="60">
        <f>'Air Basin Summary PM2.5 BAU'!P143/365.25</f>
        <v>0</v>
      </c>
      <c r="Q143" s="60">
        <f>'Air Basin Summary PM2.5 BAU'!Q143/365.25</f>
        <v>0</v>
      </c>
      <c r="R143" s="60">
        <f>'Air Basin Summary PM2.5 BAU'!R143/365.25</f>
        <v>0</v>
      </c>
      <c r="S143" s="60">
        <f>'Air Basin Summary PM2.5 BAU'!S143/365.25</f>
        <v>0</v>
      </c>
      <c r="T143" s="60">
        <f>'Air Basin Summary PM2.5 BAU'!T143/365.25</f>
        <v>0</v>
      </c>
      <c r="U143" s="60">
        <f>'Air Basin Summary PM2.5 BAU'!U143/365.25</f>
        <v>0</v>
      </c>
      <c r="V143" s="60">
        <f>'Air Basin Summary PM2.5 BAU'!V143/365.25</f>
        <v>0</v>
      </c>
      <c r="W143" s="60">
        <f>'Air Basin Summary PM2.5 BAU'!W143/365.25</f>
        <v>0</v>
      </c>
      <c r="X143" s="60">
        <f>'Air Basin Summary PM2.5 BAU'!X143/365.25</f>
        <v>0</v>
      </c>
      <c r="Y143" s="60">
        <f>'Air Basin Summary PM2.5 BAU'!Y143/365.25</f>
        <v>0</v>
      </c>
      <c r="Z143" s="60">
        <f>'Air Basin Summary PM2.5 BAU'!Z143/365.25</f>
        <v>0</v>
      </c>
      <c r="AA143" s="60">
        <f>'Air Basin Summary PM2.5 BAU'!AA143/365.25</f>
        <v>0</v>
      </c>
      <c r="AB143" s="61">
        <f>'Air Basin Summary PM2.5 BAU'!AB143/365.25</f>
        <v>0</v>
      </c>
    </row>
    <row r="144" spans="1:28" ht="26.25" customHeight="1">
      <c r="A144" s="520"/>
      <c r="B144" s="53" t="s">
        <v>260</v>
      </c>
      <c r="C144" s="2" t="s">
        <v>18938</v>
      </c>
      <c r="D144" s="393">
        <f>'Air Basin Summary PM2.5 BAU'!D144/365.25</f>
        <v>0</v>
      </c>
      <c r="E144" s="60">
        <f>'Air Basin Summary PM2.5 BAU'!E144/365.25</f>
        <v>-1.3329419680728503E-19</v>
      </c>
      <c r="F144" s="60">
        <f>'Air Basin Summary PM2.5 BAU'!F144/365.25</f>
        <v>1.4711942840174358E-3</v>
      </c>
      <c r="G144" s="60">
        <f>'Air Basin Summary PM2.5 BAU'!G144/365.25</f>
        <v>3.9363864599767876E-3</v>
      </c>
      <c r="H144" s="60">
        <f>'Air Basin Summary PM2.5 BAU'!H144/365.25</f>
        <v>4.3484031957056182E-3</v>
      </c>
      <c r="I144" s="60">
        <f>'Air Basin Summary PM2.5 BAU'!I144/365.25</f>
        <v>4.0783968649021835E-3</v>
      </c>
      <c r="J144" s="60">
        <f>'Air Basin Summary PM2.5 BAU'!J144/365.25</f>
        <v>3.4869030011681354E-3</v>
      </c>
      <c r="K144" s="60">
        <f>'Air Basin Summary PM2.5 BAU'!K144/365.25</f>
        <v>3.2788465422292508E-3</v>
      </c>
      <c r="L144" s="60">
        <f>'Air Basin Summary PM2.5 BAU'!L144/365.25</f>
        <v>1.2543917837966516E-3</v>
      </c>
      <c r="M144" s="60">
        <f>'Air Basin Summary PM2.5 BAU'!M144/365.25</f>
        <v>1.0992783635819076E-3</v>
      </c>
      <c r="N144" s="60">
        <f>'Air Basin Summary PM2.5 BAU'!N144/365.25</f>
        <v>1.0365343942316345E-3</v>
      </c>
      <c r="O144" s="60">
        <f>'Air Basin Summary PM2.5 BAU'!O144/365.25</f>
        <v>9.7355093760426951E-4</v>
      </c>
      <c r="P144" s="60">
        <f>'Air Basin Summary PM2.5 BAU'!P144/365.25</f>
        <v>9.2201949682312306E-4</v>
      </c>
      <c r="Q144" s="60">
        <f>'Air Basin Summary PM2.5 BAU'!Q144/365.25</f>
        <v>6.5120916456022811E-4</v>
      </c>
      <c r="R144" s="60">
        <f>'Air Basin Summary PM2.5 BAU'!R144/365.25</f>
        <v>4.8903407111835855E-4</v>
      </c>
      <c r="S144" s="60">
        <f>'Air Basin Summary PM2.5 BAU'!S144/365.25</f>
        <v>3.1999202244145138E-4</v>
      </c>
      <c r="T144" s="60">
        <f>'Air Basin Summary PM2.5 BAU'!T144/365.25</f>
        <v>3.0747142001388475E-4</v>
      </c>
      <c r="U144" s="60">
        <f>'Air Basin Summary PM2.5 BAU'!U144/365.25</f>
        <v>3.0700876712176086E-4</v>
      </c>
      <c r="V144" s="60">
        <f>'Air Basin Summary PM2.5 BAU'!V144/365.25</f>
        <v>3.0863889357901527E-4</v>
      </c>
      <c r="W144" s="60">
        <f>'Air Basin Summary PM2.5 BAU'!W144/365.25</f>
        <v>3.0127708513698565E-4</v>
      </c>
      <c r="X144" s="60">
        <f>'Air Basin Summary PM2.5 BAU'!X144/365.25</f>
        <v>2.8734053111667557E-4</v>
      </c>
      <c r="Y144" s="60">
        <f>'Air Basin Summary PM2.5 BAU'!Y144/365.25</f>
        <v>2.8254410217702663E-4</v>
      </c>
      <c r="Z144" s="60">
        <f>'Air Basin Summary PM2.5 BAU'!Z144/365.25</f>
        <v>2.7562811414221183E-4</v>
      </c>
      <c r="AA144" s="60">
        <f>'Air Basin Summary PM2.5 BAU'!AA144/365.25</f>
        <v>2.6856859767101945E-4</v>
      </c>
      <c r="AB144" s="61">
        <f>'Air Basin Summary PM2.5 BAU'!AB144/365.25</f>
        <v>2.5723631700677276E-4</v>
      </c>
    </row>
    <row r="145" spans="1:29" ht="26.25" customHeight="1">
      <c r="A145" s="520"/>
      <c r="B145" s="53" t="s">
        <v>261</v>
      </c>
      <c r="C145" s="2" t="s">
        <v>18938</v>
      </c>
      <c r="D145" s="393">
        <f>'Air Basin Summary PM2.5 BAU'!D145/365.25</f>
        <v>0</v>
      </c>
      <c r="E145" s="60">
        <f>'Air Basin Summary PM2.5 BAU'!E145/365.25</f>
        <v>-2.5389370820435238E-20</v>
      </c>
      <c r="F145" s="60">
        <f>'Air Basin Summary PM2.5 BAU'!F145/365.25</f>
        <v>2.8022748266998777E-4</v>
      </c>
      <c r="G145" s="60">
        <f>'Air Basin Summary PM2.5 BAU'!G145/365.25</f>
        <v>7.4978789713843572E-4</v>
      </c>
      <c r="H145" s="60">
        <f>'Air Basin Summary PM2.5 BAU'!H145/365.25</f>
        <v>8.3126740661107295E-4</v>
      </c>
      <c r="I145" s="60">
        <f>'Air Basin Summary PM2.5 BAU'!I145/365.25</f>
        <v>8.0142835924490322E-4</v>
      </c>
      <c r="J145" s="60">
        <f>'Air Basin Summary PM2.5 BAU'!J145/365.25</f>
        <v>6.9980473308683022E-4</v>
      </c>
      <c r="K145" s="60">
        <f>'Air Basin Summary PM2.5 BAU'!K145/365.25</f>
        <v>6.6546888928633848E-4</v>
      </c>
      <c r="L145" s="60">
        <f>'Air Basin Summary PM2.5 BAU'!L145/365.25</f>
        <v>2.5645595562509218E-4</v>
      </c>
      <c r="M145" s="60">
        <f>'Air Basin Summary PM2.5 BAU'!M145/365.25</f>
        <v>2.258685031835928E-4</v>
      </c>
      <c r="N145" s="60">
        <f>'Air Basin Summary PM2.5 BAU'!N145/365.25</f>
        <v>2.1374433862081336E-4</v>
      </c>
      <c r="O145" s="60">
        <f>'Air Basin Summary PM2.5 BAU'!O145/365.25</f>
        <v>2.0130841176113669E-4</v>
      </c>
      <c r="P145" s="60">
        <f>'Air Basin Summary PM2.5 BAU'!P145/365.25</f>
        <v>1.9130516823973338E-4</v>
      </c>
      <c r="Q145" s="60">
        <f>'Air Basin Summary PM2.5 BAU'!Q145/365.25</f>
        <v>1.353061425969264E-4</v>
      </c>
      <c r="R145" s="60">
        <f>'Air Basin Summary PM2.5 BAU'!R145/365.25</f>
        <v>1.0174900210500808E-4</v>
      </c>
      <c r="S145" s="60">
        <f>'Air Basin Summary PM2.5 BAU'!S145/365.25</f>
        <v>6.6666318580951037E-5</v>
      </c>
      <c r="T145" s="60">
        <f>'Air Basin Summary PM2.5 BAU'!T145/365.25</f>
        <v>6.4140048763335051E-5</v>
      </c>
      <c r="U145" s="60">
        <f>'Air Basin Summary PM2.5 BAU'!U145/365.25</f>
        <v>6.3776674809084324E-5</v>
      </c>
      <c r="V145" s="60">
        <f>'Air Basin Summary PM2.5 BAU'!V145/365.25</f>
        <v>6.3909830127723195E-5</v>
      </c>
      <c r="W145" s="60">
        <f>'Air Basin Summary PM2.5 BAU'!W145/365.25</f>
        <v>6.2371534984646254E-5</v>
      </c>
      <c r="X145" s="60">
        <f>'Air Basin Summary PM2.5 BAU'!X145/365.25</f>
        <v>5.9596984255964847E-5</v>
      </c>
      <c r="Y145" s="60">
        <f>'Air Basin Summary PM2.5 BAU'!Y145/365.25</f>
        <v>5.8564448115777995E-5</v>
      </c>
      <c r="Z145" s="60">
        <f>'Air Basin Summary PM2.5 BAU'!Z145/365.25</f>
        <v>5.713065974255642E-5</v>
      </c>
      <c r="AA145" s="60">
        <f>'Air Basin Summary PM2.5 BAU'!AA145/365.25</f>
        <v>5.5671758288195706E-5</v>
      </c>
      <c r="AB145" s="61">
        <f>'Air Basin Summary PM2.5 BAU'!AB145/365.25</f>
        <v>5.3401862771271458E-5</v>
      </c>
    </row>
    <row r="146" spans="1:29" ht="26.25" customHeight="1">
      <c r="A146" s="520"/>
      <c r="B146" s="53" t="s">
        <v>262</v>
      </c>
      <c r="C146" s="2" t="s">
        <v>18938</v>
      </c>
      <c r="D146" s="393">
        <f>'Air Basin Summary PM2.5 BAU'!D146/365.25</f>
        <v>0</v>
      </c>
      <c r="E146" s="60">
        <f>'Air Basin Summary PM2.5 BAU'!E146/365.25</f>
        <v>-2.5389370820435238E-20</v>
      </c>
      <c r="F146" s="60">
        <f>'Air Basin Summary PM2.5 BAU'!F146/365.25</f>
        <v>2.8022748266998777E-4</v>
      </c>
      <c r="G146" s="60">
        <f>'Air Basin Summary PM2.5 BAU'!G146/365.25</f>
        <v>7.4978789713843572E-4</v>
      </c>
      <c r="H146" s="60">
        <f>'Air Basin Summary PM2.5 BAU'!H146/365.25</f>
        <v>8.3269928742948311E-4</v>
      </c>
      <c r="I146" s="60">
        <f>'Air Basin Summary PM2.5 BAU'!I146/365.25</f>
        <v>8.1316490662068132E-4</v>
      </c>
      <c r="J146" s="60">
        <f>'Air Basin Summary PM2.5 BAU'!J146/365.25</f>
        <v>7.1681126468116872E-4</v>
      </c>
      <c r="K146" s="60">
        <f>'Air Basin Summary PM2.5 BAU'!K146/365.25</f>
        <v>6.8500208260670445E-4</v>
      </c>
      <c r="L146" s="60">
        <f>'Air Basin Summary PM2.5 BAU'!L146/365.25</f>
        <v>2.6481977228282684E-4</v>
      </c>
      <c r="M146" s="60">
        <f>'Air Basin Summary PM2.5 BAU'!M146/365.25</f>
        <v>2.3373498301377046E-4</v>
      </c>
      <c r="N146" s="60">
        <f>'Air Basin Summary PM2.5 BAU'!N146/365.25</f>
        <v>2.2152828257787109E-4</v>
      </c>
      <c r="O146" s="60">
        <f>'Air Basin Summary PM2.5 BAU'!O146/365.25</f>
        <v>2.0888279577401829E-4</v>
      </c>
      <c r="P146" s="60">
        <f>'Air Basin Summary PM2.5 BAU'!P146/365.25</f>
        <v>1.9878995337023131E-4</v>
      </c>
      <c r="Q146" s="60">
        <f>'Air Basin Summary PM2.5 BAU'!Q146/365.25</f>
        <v>1.4068324114907508E-4</v>
      </c>
      <c r="R146" s="60">
        <f>'Air Basin Summary PM2.5 BAU'!R146/365.25</f>
        <v>1.0585338300800205E-4</v>
      </c>
      <c r="S146" s="60">
        <f>'Air Basin Summary PM2.5 BAU'!S146/365.25</f>
        <v>6.9394150409000284E-5</v>
      </c>
      <c r="T146" s="60">
        <f>'Air Basin Summary PM2.5 BAU'!T146/365.25</f>
        <v>6.6800397490028154E-5</v>
      </c>
      <c r="U146" s="60">
        <f>'Air Basin Summary PM2.5 BAU'!U146/365.25</f>
        <v>6.6305654411441753E-5</v>
      </c>
      <c r="V146" s="60">
        <f>'Air Basin Summary PM2.5 BAU'!V146/365.25</f>
        <v>6.6354167817862412E-5</v>
      </c>
      <c r="W146" s="60">
        <f>'Air Basin Summary PM2.5 BAU'!W146/365.25</f>
        <v>6.4750941669410541E-5</v>
      </c>
      <c r="X146" s="60">
        <f>'Air Basin Summary PM2.5 BAU'!X146/365.25</f>
        <v>6.1919133003886646E-5</v>
      </c>
      <c r="Y146" s="60">
        <f>'Air Basin Summary PM2.5 BAU'!Y146/365.25</f>
        <v>6.0829834518578715E-5</v>
      </c>
      <c r="Z146" s="60">
        <f>'Air Basin Summary PM2.5 BAU'!Z146/365.25</f>
        <v>5.9340464243120906E-5</v>
      </c>
      <c r="AA146" s="60">
        <f>'Air Basin Summary PM2.5 BAU'!AA146/365.25</f>
        <v>5.7827043137469142E-5</v>
      </c>
      <c r="AB146" s="61">
        <f>'Air Basin Summary PM2.5 BAU'!AB146/365.25</f>
        <v>5.5503995729671676E-5</v>
      </c>
    </row>
    <row r="147" spans="1:29" ht="26.25" customHeight="1">
      <c r="A147" s="520"/>
      <c r="B147" s="53" t="s">
        <v>263</v>
      </c>
      <c r="C147" s="2" t="s">
        <v>18938</v>
      </c>
      <c r="D147" s="393">
        <f>'Air Basin Summary PM2.5 BAU'!D147/365.25</f>
        <v>0</v>
      </c>
      <c r="E147" s="60">
        <f>'Air Basin Summary PM2.5 BAU'!E147/365.25</f>
        <v>-2.0311496656348192E-20</v>
      </c>
      <c r="F147" s="60">
        <f>'Air Basin Summary PM2.5 BAU'!F147/365.25</f>
        <v>2.241819861359902E-4</v>
      </c>
      <c r="G147" s="60">
        <f>'Air Basin Summary PM2.5 BAU'!G147/365.25</f>
        <v>5.9983031771074864E-4</v>
      </c>
      <c r="H147" s="60">
        <f>'Air Basin Summary PM2.5 BAU'!H147/365.25</f>
        <v>6.7761447649087019E-4</v>
      </c>
      <c r="I147" s="60">
        <f>'Air Basin Summary PM2.5 BAU'!I147/365.25</f>
        <v>7.4442430430277031E-4</v>
      </c>
      <c r="J147" s="60">
        <f>'Air Basin Summary PM2.5 BAU'!J147/365.25</f>
        <v>7.0950126449964297E-4</v>
      </c>
      <c r="K147" s="60">
        <f>'Air Basin Summary PM2.5 BAU'!K147/365.25</f>
        <v>7.0426721264829162E-4</v>
      </c>
      <c r="L147" s="60">
        <f>'Air Basin Summary PM2.5 BAU'!L147/365.25</f>
        <v>2.7876635108813925E-4</v>
      </c>
      <c r="M147" s="60">
        <f>'Air Basin Summary PM2.5 BAU'!M147/365.25</f>
        <v>2.4991982505243791E-4</v>
      </c>
      <c r="N147" s="60">
        <f>'Air Basin Summary PM2.5 BAU'!N147/365.25</f>
        <v>2.3949417771875912E-4</v>
      </c>
      <c r="O147" s="60">
        <f>'Air Basin Summary PM2.5 BAU'!O147/365.25</f>
        <v>2.2770130872226785E-4</v>
      </c>
      <c r="P147" s="60">
        <f>'Air Basin Summary PM2.5 BAU'!P147/365.25</f>
        <v>2.1891024374016851E-4</v>
      </c>
      <c r="Q147" s="60">
        <f>'Air Basin Summary PM2.5 BAU'!Q147/365.25</f>
        <v>1.5556338133644945E-4</v>
      </c>
      <c r="R147" s="60">
        <f>'Air Basin Summary PM2.5 BAU'!R147/365.25</f>
        <v>1.1751775363035352E-4</v>
      </c>
      <c r="S147" s="60">
        <f>'Air Basin Summary PM2.5 BAU'!S147/365.25</f>
        <v>7.7337974951594102E-5</v>
      </c>
      <c r="T147" s="60">
        <f>'Air Basin Summary PM2.5 BAU'!T147/365.25</f>
        <v>7.4723107805567488E-5</v>
      </c>
      <c r="U147" s="60">
        <f>'Air Basin Summary PM2.5 BAU'!U147/365.25</f>
        <v>7.3276360348012938E-5</v>
      </c>
      <c r="V147" s="60">
        <f>'Air Basin Summary PM2.5 BAU'!V147/365.25</f>
        <v>7.2638035775403749E-5</v>
      </c>
      <c r="W147" s="60">
        <f>'Air Basin Summary PM2.5 BAU'!W147/365.25</f>
        <v>7.0836006813642746E-5</v>
      </c>
      <c r="X147" s="60">
        <f>'Air Basin Summary PM2.5 BAU'!X147/365.25</f>
        <v>6.8112496386483771E-5</v>
      </c>
      <c r="Y147" s="60">
        <f>'Air Basin Summary PM2.5 BAU'!Y147/365.25</f>
        <v>6.6786958837268719E-5</v>
      </c>
      <c r="Z147" s="60">
        <f>'Air Basin Summary PM2.5 BAU'!Z147/365.25</f>
        <v>6.515080739901265E-5</v>
      </c>
      <c r="AA147" s="60">
        <f>'Air Basin Summary PM2.5 BAU'!AA147/365.25</f>
        <v>6.3503913304162907E-5</v>
      </c>
      <c r="AB147" s="61">
        <f>'Air Basin Summary PM2.5 BAU'!AB147/365.25</f>
        <v>6.1220260250939099E-5</v>
      </c>
    </row>
    <row r="148" spans="1:29" ht="26.25" customHeight="1">
      <c r="A148" s="520"/>
      <c r="B148" s="53" t="s">
        <v>265</v>
      </c>
      <c r="C148" s="2" t="s">
        <v>18938</v>
      </c>
      <c r="D148" s="393">
        <f>'Air Basin Summary PM2.5 BAU'!D148/365.25</f>
        <v>0</v>
      </c>
      <c r="E148" s="60">
        <f>'Air Basin Summary PM2.5 BAU'!E148/365.25</f>
        <v>-2.2850433738391713E-20</v>
      </c>
      <c r="F148" s="60">
        <f>'Air Basin Summary PM2.5 BAU'!F148/365.25</f>
        <v>2.5220473440298896E-4</v>
      </c>
      <c r="G148" s="60">
        <f>'Air Basin Summary PM2.5 BAU'!G148/365.25</f>
        <v>6.7480910742459207E-4</v>
      </c>
      <c r="H148" s="60">
        <f>'Air Basin Summary PM2.5 BAU'!H148/365.25</f>
        <v>9.0622030830247817E-4</v>
      </c>
      <c r="I148" s="60">
        <f>'Air Basin Summary PM2.5 BAU'!I148/365.25</f>
        <v>2.0170003536063184E-3</v>
      </c>
      <c r="J148" s="60">
        <f>'Air Basin Summary PM2.5 BAU'!J148/365.25</f>
        <v>2.5073453477931183E-3</v>
      </c>
      <c r="K148" s="60">
        <f>'Air Basin Summary PM2.5 BAU'!K148/365.25</f>
        <v>2.755386542926111E-3</v>
      </c>
      <c r="L148" s="60">
        <f>'Air Basin Summary PM2.5 BAU'!L148/365.25</f>
        <v>1.1541757190764968E-3</v>
      </c>
      <c r="M148" s="60">
        <f>'Air Basin Summary PM2.5 BAU'!M148/365.25</f>
        <v>1.0717410261168504E-3</v>
      </c>
      <c r="N148" s="60">
        <f>'Air Basin Summary PM2.5 BAU'!N148/365.25</f>
        <v>1.0517173176179109E-3</v>
      </c>
      <c r="O148" s="60">
        <f>'Air Basin Summary PM2.5 BAU'!O148/365.25</f>
        <v>1.0173895656071569E-3</v>
      </c>
      <c r="P148" s="60">
        <f>'Air Basin Summary PM2.5 BAU'!P148/365.25</f>
        <v>9.9849492982273199E-4</v>
      </c>
      <c r="Q148" s="60">
        <f>'Air Basin Summary PM2.5 BAU'!Q148/365.25</f>
        <v>7.1540720849444744E-4</v>
      </c>
      <c r="R148" s="60">
        <f>'Air Basin Summary PM2.5 BAU'!R148/365.25</f>
        <v>5.4469775358504324E-4</v>
      </c>
      <c r="S148" s="60">
        <f>'Air Basin Summary PM2.5 BAU'!S148/365.25</f>
        <v>3.6115232053949154E-4</v>
      </c>
      <c r="T148" s="60">
        <f>'Air Basin Summary PM2.5 BAU'!T148/365.25</f>
        <v>3.5142854331392199E-4</v>
      </c>
      <c r="U148" s="60">
        <f>'Air Basin Summary PM2.5 BAU'!U148/365.25</f>
        <v>3.3659835542843735E-4</v>
      </c>
      <c r="V148" s="60">
        <f>'Air Basin Summary PM2.5 BAU'!V148/365.25</f>
        <v>3.2737372810632154E-4</v>
      </c>
      <c r="W148" s="60">
        <f>'Air Basin Summary PM2.5 BAU'!W148/365.25</f>
        <v>3.1882087948415921E-4</v>
      </c>
      <c r="X148" s="60">
        <f>'Air Basin Summary PM2.5 BAU'!X148/365.25</f>
        <v>3.1000250760093587E-4</v>
      </c>
      <c r="Y148" s="60">
        <f>'Air Basin Summary PM2.5 BAU'!Y148/365.25</f>
        <v>3.0280666217339942E-4</v>
      </c>
      <c r="Z148" s="60">
        <f>'Air Basin Summary PM2.5 BAU'!Z148/365.25</f>
        <v>2.9538001063062033E-4</v>
      </c>
      <c r="AA148" s="60">
        <f>'Air Basin Summary PM2.5 BAU'!AA148/365.25</f>
        <v>2.8804802981916499E-4</v>
      </c>
      <c r="AB148" s="61">
        <f>'Air Basin Summary PM2.5 BAU'!AB148/365.25</f>
        <v>2.8013715510152843E-4</v>
      </c>
    </row>
    <row r="149" spans="1:29" ht="26.25" customHeight="1">
      <c r="A149" s="520"/>
      <c r="B149" s="53" t="s">
        <v>267</v>
      </c>
      <c r="C149" s="2" t="s">
        <v>18938</v>
      </c>
      <c r="D149" s="393">
        <f>'Air Basin Summary PM2.5 BAU'!D149/365.25</f>
        <v>0</v>
      </c>
      <c r="E149" s="60">
        <f>'Air Basin Summary PM2.5 BAU'!E149/365.25</f>
        <v>0</v>
      </c>
      <c r="F149" s="60">
        <f>'Air Basin Summary PM2.5 BAU'!F149/365.25</f>
        <v>0</v>
      </c>
      <c r="G149" s="60">
        <f>'Air Basin Summary PM2.5 BAU'!G149/365.25</f>
        <v>0</v>
      </c>
      <c r="H149" s="60">
        <f>'Air Basin Summary PM2.5 BAU'!H149/365.25</f>
        <v>2.1478212276156593E-5</v>
      </c>
      <c r="I149" s="60">
        <f>'Air Basin Summary PM2.5 BAU'!I149/365.25</f>
        <v>1.7604821063667192E-4</v>
      </c>
      <c r="J149" s="60">
        <f>'Air Basin Summary PM2.5 BAU'!J149/365.25</f>
        <v>2.5509797391507757E-4</v>
      </c>
      <c r="K149" s="60">
        <f>'Air Basin Summary PM2.5 BAU'!K149/365.25</f>
        <v>2.9299789980548991E-4</v>
      </c>
      <c r="L149" s="60">
        <f>'Air Basin Summary PM2.5 BAU'!L149/365.25</f>
        <v>1.2545724986602093E-4</v>
      </c>
      <c r="M149" s="60">
        <f>'Air Basin Summary PM2.5 BAU'!M149/365.25</f>
        <v>1.1799719745266534E-4</v>
      </c>
      <c r="N149" s="60">
        <f>'Air Basin Summary PM2.5 BAU'!N149/365.25</f>
        <v>1.1675915935586668E-4</v>
      </c>
      <c r="O149" s="60">
        <f>'Air Basin Summary PM2.5 BAU'!O149/365.25</f>
        <v>1.1361576019322467E-4</v>
      </c>
      <c r="P149" s="60">
        <f>'Air Basin Summary PM2.5 BAU'!P149/365.25</f>
        <v>1.1227177695746899E-4</v>
      </c>
      <c r="Q149" s="60">
        <f>'Air Basin Summary PM2.5 BAU'!Q149/365.25</f>
        <v>8.06564782822301E-5</v>
      </c>
      <c r="R149" s="60">
        <f>'Air Basin Summary PM2.5 BAU'!R149/365.25</f>
        <v>6.1565713544909788E-5</v>
      </c>
      <c r="S149" s="60">
        <f>'Air Basin Summary PM2.5 BAU'!S149/365.25</f>
        <v>4.091747742073853E-5</v>
      </c>
      <c r="T149" s="60">
        <f>'Air Basin Summary PM2.5 BAU'!T149/365.25</f>
        <v>3.9905230900396789E-5</v>
      </c>
      <c r="U149" s="60">
        <f>'Air Basin Summary PM2.5 BAU'!U149/365.25</f>
        <v>3.7934694035361611E-5</v>
      </c>
      <c r="V149" s="60">
        <f>'Air Basin Summary PM2.5 BAU'!V149/365.25</f>
        <v>3.6665065352088394E-5</v>
      </c>
      <c r="W149" s="60">
        <f>'Air Basin Summary PM2.5 BAU'!W149/365.25</f>
        <v>3.5691100271464344E-5</v>
      </c>
      <c r="X149" s="60">
        <f>'Air Basin Summary PM2.5 BAU'!X149/365.25</f>
        <v>3.4832231218827099E-5</v>
      </c>
      <c r="Y149" s="60">
        <f>'Air Basin Summary PM2.5 BAU'!Y149/365.25</f>
        <v>3.3980796042010768E-5</v>
      </c>
      <c r="Z149" s="60">
        <f>'Air Basin Summary PM2.5 BAU'!Z149/365.25</f>
        <v>3.3147067508467329E-5</v>
      </c>
      <c r="AA149" s="60">
        <f>'Air Basin Summary PM2.5 BAU'!AA149/365.25</f>
        <v>3.2329272739101738E-5</v>
      </c>
      <c r="AB149" s="61">
        <f>'Air Basin Summary PM2.5 BAU'!AB149/365.25</f>
        <v>3.1531994376003264E-5</v>
      </c>
    </row>
    <row r="150" spans="1:29" ht="26.25" customHeight="1">
      <c r="A150" s="520"/>
      <c r="B150" s="53" t="s">
        <v>268</v>
      </c>
      <c r="C150" s="2" t="s">
        <v>18938</v>
      </c>
      <c r="D150" s="394">
        <f>'Air Basin Summary PM2.5 BAU'!D150/365.25</f>
        <v>0</v>
      </c>
      <c r="E150" s="64">
        <f>'Air Basin Summary PM2.5 BAU'!E150/365.25</f>
        <v>-5.3317678722914002E-20</v>
      </c>
      <c r="F150" s="64">
        <f>'Air Basin Summary PM2.5 BAU'!F150/365.25</f>
        <v>5.884777136069742E-4</v>
      </c>
      <c r="G150" s="64">
        <f>'Air Basin Summary PM2.5 BAU'!G150/365.25</f>
        <v>1.5745545839907149E-3</v>
      </c>
      <c r="H150" s="64">
        <f>'Air Basin Summary PM2.5 BAU'!H150/365.25</f>
        <v>1.7737264179240977E-3</v>
      </c>
      <c r="I150" s="64">
        <f>'Air Basin Summary PM2.5 BAU'!I150/365.25</f>
        <v>1.9130358829795486E-3</v>
      </c>
      <c r="J150" s="64">
        <f>'Air Basin Summary PM2.5 BAU'!J150/365.25</f>
        <v>1.8029179587313779E-3</v>
      </c>
      <c r="K150" s="64">
        <f>'Air Basin Summary PM2.5 BAU'!K150/365.25</f>
        <v>1.7803352565804844E-3</v>
      </c>
      <c r="L150" s="64">
        <f>'Air Basin Summary PM2.5 BAU'!L150/365.25</f>
        <v>7.0248831330429421E-4</v>
      </c>
      <c r="M150" s="64">
        <f>'Air Basin Summary PM2.5 BAU'!M150/365.25</f>
        <v>6.2850686135702762E-4</v>
      </c>
      <c r="N150" s="64">
        <f>'Air Basin Summary PM2.5 BAU'!N150/365.25</f>
        <v>6.0142841266204049E-4</v>
      </c>
      <c r="O150" s="64">
        <f>'Air Basin Summary PM2.5 BAU'!O150/365.25</f>
        <v>5.7120559135086723E-4</v>
      </c>
      <c r="P150" s="64">
        <f>'Air Basin Summary PM2.5 BAU'!P150/365.25</f>
        <v>5.4844264186119972E-4</v>
      </c>
      <c r="Q150" s="64">
        <f>'Air Basin Summary PM2.5 BAU'!Q150/365.25</f>
        <v>3.8953403107565938E-4</v>
      </c>
      <c r="R150" s="64">
        <f>'Air Basin Summary PM2.5 BAU'!R150/365.25</f>
        <v>2.9411877011919905E-4</v>
      </c>
      <c r="S150" s="64">
        <f>'Air Basin Summary PM2.5 BAU'!S150/365.25</f>
        <v>1.934647728497622E-4</v>
      </c>
      <c r="T150" s="64">
        <f>'Air Basin Summary PM2.5 BAU'!T150/365.25</f>
        <v>1.8683693744618875E-4</v>
      </c>
      <c r="U150" s="64">
        <f>'Air Basin Summary PM2.5 BAU'!U150/365.25</f>
        <v>1.8349901730528297E-4</v>
      </c>
      <c r="V150" s="64">
        <f>'Air Basin Summary PM2.5 BAU'!V150/365.25</f>
        <v>1.8211966199494756E-4</v>
      </c>
      <c r="W150" s="64">
        <f>'Air Basin Summary PM2.5 BAU'!W150/365.25</f>
        <v>1.7761659448913721E-4</v>
      </c>
      <c r="X150" s="64">
        <f>'Air Basin Summary PM2.5 BAU'!X150/365.25</f>
        <v>1.7066778239679359E-4</v>
      </c>
      <c r="Y150" s="64">
        <f>'Air Basin Summary PM2.5 BAU'!Y150/365.25</f>
        <v>1.6738691453802788E-4</v>
      </c>
      <c r="Z150" s="64">
        <f>'Air Basin Summary PM2.5 BAU'!Z150/365.25</f>
        <v>1.6328655367043248E-4</v>
      </c>
      <c r="AA150" s="64">
        <f>'Air Basin Summary PM2.5 BAU'!AA150/365.25</f>
        <v>1.5915427545097057E-4</v>
      </c>
      <c r="AB150" s="65">
        <f>'Air Basin Summary PM2.5 BAU'!AB150/365.25</f>
        <v>1.5334571780431435E-4</v>
      </c>
    </row>
    <row r="151" spans="1:29" ht="26.25" customHeight="1">
      <c r="A151" s="521"/>
      <c r="B151" s="15" t="s">
        <v>270</v>
      </c>
      <c r="C151" s="72" t="s">
        <v>18938</v>
      </c>
      <c r="D151" s="175">
        <f>'Air Basin Summary PM2.5 BAU'!D151/365.25</f>
        <v>0</v>
      </c>
      <c r="E151" s="175">
        <f>'Air Basin Summary PM2.5 BAU'!E151/365.25</f>
        <v>-5.0778741640870474E-19</v>
      </c>
      <c r="F151" s="175">
        <f>'Air Basin Summary PM2.5 BAU'!F151/365.25</f>
        <v>5.6045496533997548E-3</v>
      </c>
      <c r="G151" s="175">
        <f>'Air Basin Summary PM2.5 BAU'!G151/365.25</f>
        <v>1.4995757942768709E-2</v>
      </c>
      <c r="H151" s="175">
        <f>'Air Basin Summary PM2.5 BAU'!H151/365.25</f>
        <v>1.6797173830430712E-2</v>
      </c>
      <c r="I151" s="175">
        <f>'Air Basin Summary PM2.5 BAU'!I151/365.25</f>
        <v>1.7436952869991446E-2</v>
      </c>
      <c r="J151" s="175">
        <f>'Air Basin Summary PM2.5 BAU'!J151/365.25</f>
        <v>1.6036878453057225E-2</v>
      </c>
      <c r="K151" s="175">
        <f>'Air Basin Summary PM2.5 BAU'!K151/365.25</f>
        <v>1.5653360984170691E-2</v>
      </c>
      <c r="L151" s="175">
        <f>'Air Basin Summary PM2.5 BAU'!L151/365.25</f>
        <v>6.13277711143001E-3</v>
      </c>
      <c r="M151" s="175">
        <f>'Air Basin Summary PM2.5 BAU'!M151/365.25</f>
        <v>5.4613476432931792E-3</v>
      </c>
      <c r="N151" s="175">
        <f>'Air Basin Summary PM2.5 BAU'!N151/365.25</f>
        <v>5.2089600472631998E-3</v>
      </c>
      <c r="O151" s="175">
        <f>'Air Basin Summary PM2.5 BAU'!O151/365.25</f>
        <v>4.9350943167685308E-3</v>
      </c>
      <c r="P151" s="175">
        <f>'Air Basin Summary PM2.5 BAU'!P151/365.25</f>
        <v>4.7242775804544205E-3</v>
      </c>
      <c r="Q151" s="175">
        <f>'Air Basin Summary PM2.5 BAU'!Q151/365.25</f>
        <v>3.3513746781963687E-3</v>
      </c>
      <c r="R151" s="175">
        <f>'Air Basin Summary PM2.5 BAU'!R151/365.25</f>
        <v>2.52750575045944E-3</v>
      </c>
      <c r="S151" s="175">
        <f>'Air Basin Summary PM2.5 BAU'!S151/365.25</f>
        <v>1.6606661909849294E-3</v>
      </c>
      <c r="T151" s="175">
        <f>'Air Basin Summary PM2.5 BAU'!T151/365.25</f>
        <v>1.6020428224698755E-3</v>
      </c>
      <c r="U151" s="175">
        <f>'Air Basin Summary PM2.5 BAU'!U151/365.25</f>
        <v>1.5790110484645791E-3</v>
      </c>
      <c r="V151" s="175">
        <f>'Air Basin Summary PM2.5 BAU'!V151/365.25</f>
        <v>1.571517125371171E-3</v>
      </c>
      <c r="W151" s="175">
        <f>'Air Basin Summary PM2.5 BAU'!W151/365.25</f>
        <v>1.5329595018646397E-3</v>
      </c>
      <c r="X151" s="175">
        <f>'Air Basin Summary PM2.5 BAU'!X151/365.25</f>
        <v>1.4705975348699137E-3</v>
      </c>
      <c r="Y151" s="175">
        <f>'Air Basin Summary PM2.5 BAU'!Y151/365.25</f>
        <v>1.4431353306516464E-3</v>
      </c>
      <c r="Z151" s="175">
        <f>'Air Basin Summary PM2.5 BAU'!Z151/365.25</f>
        <v>1.4077897349188671E-3</v>
      </c>
      <c r="AA151" s="175">
        <f>'Air Basin Summary PM2.5 BAU'!AA151/365.25</f>
        <v>1.3720693476767278E-3</v>
      </c>
      <c r="AB151" s="175">
        <f>'Air Basin Summary PM2.5 BAU'!AB151/365.25</f>
        <v>1.3202932104334558E-3</v>
      </c>
    </row>
    <row r="152" spans="1:29"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9"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29">
      <c r="B154" s="522" t="s">
        <v>18958</v>
      </c>
      <c r="C154" s="522"/>
      <c r="D154" s="522"/>
      <c r="E154" s="522"/>
      <c r="F154" s="522"/>
      <c r="G154" s="522"/>
      <c r="H154" s="522"/>
      <c r="I154" s="522"/>
      <c r="J154" s="522"/>
      <c r="K154" s="522"/>
      <c r="L154" s="522"/>
      <c r="M154" s="522"/>
      <c r="N154" s="522"/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522"/>
      <c r="Z154" s="522"/>
      <c r="AA154" s="522"/>
      <c r="AB154" s="522"/>
    </row>
    <row r="155" spans="1:29">
      <c r="B155" s="295" t="s">
        <v>18936</v>
      </c>
      <c r="C155" s="295" t="s">
        <v>1</v>
      </c>
      <c r="D155" s="295">
        <v>2022</v>
      </c>
      <c r="E155" s="295">
        <v>2023</v>
      </c>
      <c r="F155" s="295">
        <v>2024</v>
      </c>
      <c r="G155" s="295">
        <v>2025</v>
      </c>
      <c r="H155" s="295">
        <v>2026</v>
      </c>
      <c r="I155" s="295">
        <v>2027</v>
      </c>
      <c r="J155" s="295">
        <v>2028</v>
      </c>
      <c r="K155" s="295">
        <v>2029</v>
      </c>
      <c r="L155" s="295">
        <v>2030</v>
      </c>
      <c r="M155" s="295">
        <v>2031</v>
      </c>
      <c r="N155" s="295">
        <v>2032</v>
      </c>
      <c r="O155" s="295">
        <v>2033</v>
      </c>
      <c r="P155" s="295">
        <v>2034</v>
      </c>
      <c r="Q155" s="295">
        <v>2035</v>
      </c>
      <c r="R155" s="295">
        <v>2036</v>
      </c>
      <c r="S155" s="295">
        <v>2037</v>
      </c>
      <c r="T155" s="295">
        <v>2038</v>
      </c>
      <c r="U155" s="295">
        <v>2039</v>
      </c>
      <c r="V155" s="295">
        <v>2040</v>
      </c>
      <c r="W155" s="295">
        <v>2041</v>
      </c>
      <c r="X155" s="295">
        <v>2042</v>
      </c>
      <c r="Y155" s="295">
        <v>2043</v>
      </c>
      <c r="Z155" s="295">
        <v>2044</v>
      </c>
      <c r="AA155" s="295">
        <v>2045</v>
      </c>
      <c r="AB155" s="295">
        <v>2046</v>
      </c>
    </row>
    <row r="156" spans="1:29">
      <c r="B156" t="s">
        <v>287</v>
      </c>
      <c r="C156" t="s">
        <v>65</v>
      </c>
      <c r="D156" s="114">
        <f t="shared" ref="D156:AB156" si="1">D18+D37+D56+D75+D94+D113+D132+D151</f>
        <v>0</v>
      </c>
      <c r="E156" s="114">
        <f t="shared" si="1"/>
        <v>4.8771625701197281E-17</v>
      </c>
      <c r="F156" s="114">
        <f t="shared" si="1"/>
        <v>-0.34244964499196034</v>
      </c>
      <c r="G156" s="114">
        <f t="shared" si="1"/>
        <v>-0.74522874066792266</v>
      </c>
      <c r="H156" s="114">
        <f t="shared" si="1"/>
        <v>-0.87330321625262208</v>
      </c>
      <c r="I156" s="114">
        <f t="shared" si="1"/>
        <v>-1.0147419278314123</v>
      </c>
      <c r="J156" s="114">
        <f t="shared" si="1"/>
        <v>-0.95268909400022872</v>
      </c>
      <c r="K156" s="114">
        <f t="shared" si="1"/>
        <v>-1.0468717499713496</v>
      </c>
      <c r="L156" s="114">
        <f t="shared" si="1"/>
        <v>-1.1006235767089132</v>
      </c>
      <c r="M156" s="114">
        <f t="shared" si="1"/>
        <v>-1.1169540244773597</v>
      </c>
      <c r="N156" s="114">
        <f t="shared" si="1"/>
        <v>-1.1296958616432597</v>
      </c>
      <c r="O156" s="114">
        <f t="shared" si="1"/>
        <v>-1.1389839533896633</v>
      </c>
      <c r="P156" s="114">
        <f t="shared" si="1"/>
        <v>-1.1321560157318238</v>
      </c>
      <c r="Q156" s="114">
        <f t="shared" si="1"/>
        <v>-1.1325900487595912</v>
      </c>
      <c r="R156" s="114">
        <f t="shared" si="1"/>
        <v>-1.1421412419288497</v>
      </c>
      <c r="S156" s="114">
        <f t="shared" si="1"/>
        <v>-1.1109874747417152</v>
      </c>
      <c r="T156" s="114">
        <f t="shared" si="1"/>
        <v>-1.1312711469813328</v>
      </c>
      <c r="U156" s="114">
        <f t="shared" si="1"/>
        <v>-1.1664281850403426</v>
      </c>
      <c r="V156" s="114">
        <f t="shared" si="1"/>
        <v>-1.1881234530553528</v>
      </c>
      <c r="W156" s="114">
        <f t="shared" si="1"/>
        <v>-1.2220117039163756</v>
      </c>
      <c r="X156" s="114">
        <f t="shared" si="1"/>
        <v>-1.240090585823429</v>
      </c>
      <c r="Y156" s="114">
        <f t="shared" si="1"/>
        <v>-1.2713534603491239</v>
      </c>
      <c r="Z156" s="114">
        <f t="shared" si="1"/>
        <v>-1.3191180968641729</v>
      </c>
      <c r="AA156" s="114">
        <f t="shared" si="1"/>
        <v>-1.3619531857747371</v>
      </c>
      <c r="AB156" s="114">
        <f t="shared" si="1"/>
        <v>-1.396686773452257</v>
      </c>
      <c r="AC156" s="114"/>
    </row>
    <row r="157" spans="1:29">
      <c r="G157" s="343"/>
      <c r="H157" s="343"/>
      <c r="I157" s="343"/>
      <c r="J157" s="343"/>
      <c r="K157" s="343"/>
      <c r="L157" s="343"/>
      <c r="M157" s="343"/>
      <c r="N157" s="343"/>
    </row>
    <row r="160" spans="1:29" ht="75">
      <c r="D160" s="339" t="s">
        <v>449</v>
      </c>
      <c r="E160" s="339" t="s">
        <v>18939</v>
      </c>
      <c r="F160" s="339" t="s">
        <v>18940</v>
      </c>
      <c r="G160" s="339" t="s">
        <v>18941</v>
      </c>
      <c r="H160" s="339" t="s">
        <v>18942</v>
      </c>
      <c r="I160" s="339" t="s">
        <v>18943</v>
      </c>
      <c r="J160" s="339" t="s">
        <v>18944</v>
      </c>
      <c r="K160" s="339" t="s">
        <v>18945</v>
      </c>
      <c r="L160" s="339" t="s">
        <v>18946</v>
      </c>
      <c r="M160" s="339" t="s">
        <v>18947</v>
      </c>
      <c r="N160" s="449"/>
    </row>
    <row r="161" spans="4:16">
      <c r="D161" s="340">
        <v>2024</v>
      </c>
      <c r="E161" s="341" cm="1">
        <f t="array" ref="E161:E183">TRANSPOSE(F18:AB18)</f>
        <v>-2.270466712937378E-2</v>
      </c>
      <c r="F161" s="341" cm="1">
        <f t="array" ref="F161:F183">TRANSPOSE(F37:AB37)</f>
        <v>-0.27685503829794561</v>
      </c>
      <c r="G161" s="341" cm="1">
        <f t="array" ref="G161:G183">TRANSPOSE(F56:AB56)</f>
        <v>-5.0088195189531989E-2</v>
      </c>
      <c r="H161" s="341" cm="1">
        <f t="array" ref="H161:H183">TRANSPOSE(F75:AB75)</f>
        <v>0</v>
      </c>
      <c r="I161" s="341" cm="1">
        <f t="array" ref="I161:I183">TRANSPOSE(F94:AB94)</f>
        <v>0</v>
      </c>
      <c r="J161" s="341" cm="1">
        <f t="array" ref="J161:J183">TRANSPOSE(F113:AB113)</f>
        <v>0</v>
      </c>
      <c r="K161" s="341" cm="1">
        <f t="array" ref="K161:K183">TRANSPOSE(F132:AB132)</f>
        <v>1.5937059714913229E-3</v>
      </c>
      <c r="L161" s="341" cm="1">
        <f t="array" ref="L161:L183">TRANSPOSE(F151:AB151)</f>
        <v>5.6045496533997548E-3</v>
      </c>
      <c r="M161" s="419">
        <f>SUM(E161:L161)</f>
        <v>-0.34244964499196034</v>
      </c>
      <c r="N161" s="381"/>
      <c r="O161" s="101"/>
      <c r="P161" s="101"/>
    </row>
    <row r="162" spans="4:16">
      <c r="D162" s="340">
        <v>2025</v>
      </c>
      <c r="E162" s="341">
        <v>-4.5409334258747561E-2</v>
      </c>
      <c r="F162" s="341">
        <v>-0.76013473472925297</v>
      </c>
      <c r="G162" s="341">
        <v>-7.9880071772561054E-2</v>
      </c>
      <c r="H162" s="341">
        <v>0.12082158999728371</v>
      </c>
      <c r="I162" s="341">
        <v>0</v>
      </c>
      <c r="J162" s="341">
        <v>0</v>
      </c>
      <c r="K162" s="341">
        <v>4.3780521525865037E-3</v>
      </c>
      <c r="L162" s="341">
        <v>1.4995757942768709E-2</v>
      </c>
      <c r="M162" s="419">
        <f t="shared" ref="M162:M183" si="2">SUM(E162:L162)</f>
        <v>-0.74522874066792266</v>
      </c>
      <c r="N162" s="381"/>
      <c r="O162" s="101"/>
      <c r="P162" s="101"/>
    </row>
    <row r="163" spans="4:16">
      <c r="D163" s="340">
        <v>2026</v>
      </c>
      <c r="E163" s="341">
        <v>-6.8114001388121334E-2</v>
      </c>
      <c r="F163" s="341">
        <v>-0.86116491884722113</v>
      </c>
      <c r="G163" s="341">
        <v>-0.10292160326821398</v>
      </c>
      <c r="H163" s="341">
        <v>0.13609860934608645</v>
      </c>
      <c r="I163" s="341">
        <v>9.2552439736394887E-4</v>
      </c>
      <c r="J163" s="341">
        <v>0</v>
      </c>
      <c r="K163" s="341">
        <v>5.0759996770534414E-3</v>
      </c>
      <c r="L163" s="341">
        <v>1.6797173830430712E-2</v>
      </c>
      <c r="M163" s="419">
        <f t="shared" si="2"/>
        <v>-0.87330321625262208</v>
      </c>
      <c r="N163" s="381"/>
      <c r="O163" s="101"/>
      <c r="P163" s="101"/>
    </row>
    <row r="164" spans="4:16">
      <c r="D164" s="340">
        <v>2027</v>
      </c>
      <c r="E164" s="341">
        <v>-9.0818668517495121E-2</v>
      </c>
      <c r="F164" s="341">
        <v>-0.88017867552958906</v>
      </c>
      <c r="G164" s="341">
        <v>-0.12554487640018555</v>
      </c>
      <c r="H164" s="341">
        <v>5.1388040908938198E-2</v>
      </c>
      <c r="I164" s="341">
        <v>7.9876747208384134E-3</v>
      </c>
      <c r="J164" s="341">
        <v>0</v>
      </c>
      <c r="K164" s="341">
        <v>4.9876241160892584E-3</v>
      </c>
      <c r="L164" s="341">
        <v>1.7436952869991446E-2</v>
      </c>
      <c r="M164" s="419">
        <f t="shared" si="2"/>
        <v>-1.0147419278314123</v>
      </c>
      <c r="N164" s="381"/>
      <c r="O164" s="101"/>
      <c r="P164" s="101"/>
    </row>
    <row r="165" spans="4:16">
      <c r="D165" s="340">
        <v>2028</v>
      </c>
      <c r="E165" s="341">
        <v>-0.11352333564686888</v>
      </c>
      <c r="F165" s="341">
        <v>-0.80800472925823963</v>
      </c>
      <c r="G165" s="341">
        <v>-0.14915550025162352</v>
      </c>
      <c r="H165" s="341">
        <v>8.5254952845830984E-2</v>
      </c>
      <c r="I165" s="341">
        <v>1.2224964914923102E-2</v>
      </c>
      <c r="J165" s="341">
        <v>0</v>
      </c>
      <c r="K165" s="341">
        <v>4.4776749426921284E-3</v>
      </c>
      <c r="L165" s="341">
        <v>1.6036878453057225E-2</v>
      </c>
      <c r="M165" s="419">
        <f t="shared" si="2"/>
        <v>-0.95268909400022872</v>
      </c>
      <c r="N165" s="381"/>
      <c r="O165" s="101"/>
      <c r="P165" s="101"/>
    </row>
    <row r="166" spans="4:16">
      <c r="D166" s="340">
        <v>2029</v>
      </c>
      <c r="E166" s="341">
        <v>-0.13622800277624264</v>
      </c>
      <c r="F166" s="341">
        <v>-0.79585272964253595</v>
      </c>
      <c r="G166" s="341">
        <v>-0.17145017680123789</v>
      </c>
      <c r="H166" s="341">
        <v>2.1863536411176727E-2</v>
      </c>
      <c r="I166" s="341">
        <v>1.476733903137391E-2</v>
      </c>
      <c r="J166" s="341">
        <v>0</v>
      </c>
      <c r="K166" s="341">
        <v>4.3749228219456581E-3</v>
      </c>
      <c r="L166" s="341">
        <v>1.5653360984170691E-2</v>
      </c>
      <c r="M166" s="419">
        <f t="shared" si="2"/>
        <v>-1.0468717499713496</v>
      </c>
      <c r="N166" s="381"/>
      <c r="O166" s="101"/>
      <c r="P166" s="101"/>
    </row>
    <row r="167" spans="4:16">
      <c r="D167" s="340">
        <v>2030</v>
      </c>
      <c r="E167" s="341">
        <v>-0.15893266990561641</v>
      </c>
      <c r="F167" s="341">
        <v>-0.77483163375381803</v>
      </c>
      <c r="G167" s="341">
        <v>-0.19351889729948502</v>
      </c>
      <c r="H167" s="341">
        <v>0</v>
      </c>
      <c r="I167" s="341">
        <v>1.6292763501244447E-2</v>
      </c>
      <c r="J167" s="341">
        <v>0</v>
      </c>
      <c r="K167" s="341">
        <v>4.2340836373318804E-3</v>
      </c>
      <c r="L167" s="341">
        <v>6.13277711143001E-3</v>
      </c>
      <c r="M167" s="419">
        <f t="shared" si="2"/>
        <v>-1.1006235767089132</v>
      </c>
      <c r="N167" s="381"/>
      <c r="O167" s="101"/>
      <c r="P167" s="101"/>
    </row>
    <row r="168" spans="4:16">
      <c r="D168" s="340">
        <v>2031</v>
      </c>
      <c r="E168" s="341">
        <v>-0.18163733703499019</v>
      </c>
      <c r="F168" s="341">
        <v>-0.74587012989313906</v>
      </c>
      <c r="G168" s="341">
        <v>-0.21619927769747066</v>
      </c>
      <c r="H168" s="341">
        <v>0</v>
      </c>
      <c r="I168" s="341">
        <v>1.7208018183166727E-2</v>
      </c>
      <c r="J168" s="341">
        <v>0</v>
      </c>
      <c r="K168" s="341">
        <v>4.0833543217804989E-3</v>
      </c>
      <c r="L168" s="341">
        <v>5.4613476432931792E-3</v>
      </c>
      <c r="M168" s="419">
        <f t="shared" si="2"/>
        <v>-1.1169540244773597</v>
      </c>
      <c r="N168" s="381"/>
      <c r="O168" s="101"/>
      <c r="P168" s="101"/>
    </row>
    <row r="169" spans="4:16">
      <c r="D169" s="340">
        <v>2032</v>
      </c>
      <c r="E169" s="341">
        <v>-0.20434200416436396</v>
      </c>
      <c r="F169" s="341">
        <v>-0.71340136042336944</v>
      </c>
      <c r="G169" s="341">
        <v>-0.23885525931131085</v>
      </c>
      <c r="H169" s="341">
        <v>0</v>
      </c>
      <c r="I169" s="341">
        <v>1.7757170992320107E-2</v>
      </c>
      <c r="J169" s="341">
        <v>0</v>
      </c>
      <c r="K169" s="341">
        <v>3.9366312162012465E-3</v>
      </c>
      <c r="L169" s="341">
        <v>5.2089600472631998E-3</v>
      </c>
      <c r="M169" s="419">
        <f t="shared" si="2"/>
        <v>-1.1296958616432597</v>
      </c>
      <c r="N169" s="381"/>
      <c r="O169" s="101"/>
      <c r="P169" s="101"/>
    </row>
    <row r="170" spans="4:16">
      <c r="D170" s="340">
        <v>2033</v>
      </c>
      <c r="E170" s="341">
        <v>-0.22704667129373773</v>
      </c>
      <c r="F170" s="341">
        <v>-0.67873488797297654</v>
      </c>
      <c r="G170" s="341">
        <v>-0.26149660165466337</v>
      </c>
      <c r="H170" s="341">
        <v>1.4655556792544026E-3</v>
      </c>
      <c r="I170" s="341">
        <v>1.8086662677812112E-2</v>
      </c>
      <c r="J170" s="341">
        <v>0</v>
      </c>
      <c r="K170" s="341">
        <v>3.806894857879421E-3</v>
      </c>
      <c r="L170" s="341">
        <v>4.9350943167685308E-3</v>
      </c>
      <c r="M170" s="419">
        <f t="shared" si="2"/>
        <v>-1.1389839533896633</v>
      </c>
      <c r="N170" s="381"/>
      <c r="O170" s="101"/>
      <c r="P170" s="101"/>
    </row>
    <row r="171" spans="4:16">
      <c r="D171" s="340">
        <v>2034</v>
      </c>
      <c r="E171" s="341">
        <v>-0.24975133842311151</v>
      </c>
      <c r="F171" s="341">
        <v>-0.64626736619337977</v>
      </c>
      <c r="G171" s="341">
        <v>-0.28414892345088133</v>
      </c>
      <c r="H171" s="341">
        <v>2.104803096894535E-2</v>
      </c>
      <c r="I171" s="341">
        <v>1.8580900206050178E-2</v>
      </c>
      <c r="J171" s="341">
        <v>0</v>
      </c>
      <c r="K171" s="341">
        <v>3.6584035800988251E-3</v>
      </c>
      <c r="L171" s="341">
        <v>4.7242775804544205E-3</v>
      </c>
      <c r="M171" s="419">
        <f t="shared" si="2"/>
        <v>-1.1321560157318238</v>
      </c>
      <c r="N171" s="381"/>
      <c r="O171" s="101"/>
      <c r="P171" s="101"/>
    </row>
    <row r="172" spans="4:16">
      <c r="D172" s="340">
        <v>2035</v>
      </c>
      <c r="E172" s="341">
        <v>-0.27245600555248528</v>
      </c>
      <c r="F172" s="341">
        <v>-0.61315669318246935</v>
      </c>
      <c r="G172" s="341">
        <v>-0.30676830690064044</v>
      </c>
      <c r="H172" s="341">
        <v>3.4350385413628393E-2</v>
      </c>
      <c r="I172" s="341">
        <v>1.8580900206050174E-2</v>
      </c>
      <c r="J172" s="341">
        <v>0</v>
      </c>
      <c r="K172" s="341">
        <v>3.5082965781288401E-3</v>
      </c>
      <c r="L172" s="341">
        <v>3.3513746781963687E-3</v>
      </c>
      <c r="M172" s="419">
        <f t="shared" si="2"/>
        <v>-1.1325900487595912</v>
      </c>
      <c r="N172" s="381"/>
      <c r="O172" s="101"/>
      <c r="P172" s="101"/>
    </row>
    <row r="173" spans="4:16">
      <c r="D173" s="340">
        <v>2036</v>
      </c>
      <c r="E173" s="341">
        <v>-0.29516067268185903</v>
      </c>
      <c r="F173" s="341">
        <v>-0.57482169449696408</v>
      </c>
      <c r="G173" s="341">
        <v>-0.3293876903382621</v>
      </c>
      <c r="H173" s="341">
        <v>3.4350385413628379E-2</v>
      </c>
      <c r="I173" s="341">
        <v>1.8580900206050174E-2</v>
      </c>
      <c r="J173" s="341">
        <v>-1.5718334795818453E-3</v>
      </c>
      <c r="K173" s="341">
        <v>3.3418576976793129E-3</v>
      </c>
      <c r="L173" s="341">
        <v>2.52750575045944E-3</v>
      </c>
      <c r="M173" s="419">
        <f t="shared" si="2"/>
        <v>-1.1421412419288497</v>
      </c>
      <c r="N173" s="381"/>
      <c r="O173" s="101"/>
      <c r="P173" s="101"/>
    </row>
    <row r="174" spans="4:16">
      <c r="D174" s="340">
        <v>2037</v>
      </c>
      <c r="E174" s="341">
        <v>-0.31786533981123283</v>
      </c>
      <c r="F174" s="341">
        <v>-0.54102468950238225</v>
      </c>
      <c r="G174" s="341">
        <v>-0.35200707377588358</v>
      </c>
      <c r="H174" s="341">
        <v>8.2078025492115583E-2</v>
      </c>
      <c r="I174" s="341">
        <v>1.8580900206050174E-2</v>
      </c>
      <c r="J174" s="341">
        <v>-5.5915588964399908E-3</v>
      </c>
      <c r="K174" s="341">
        <v>3.1815953550725562E-3</v>
      </c>
      <c r="L174" s="341">
        <v>1.6606661909849294E-3</v>
      </c>
      <c r="M174" s="419">
        <f t="shared" si="2"/>
        <v>-1.1109874747417152</v>
      </c>
      <c r="N174" s="381"/>
      <c r="O174" s="101"/>
      <c r="P174" s="101"/>
    </row>
    <row r="175" spans="4:16">
      <c r="D175" s="340">
        <v>2038</v>
      </c>
      <c r="E175" s="341">
        <v>-0.34057000694060663</v>
      </c>
      <c r="F175" s="341">
        <v>-0.51166052956101338</v>
      </c>
      <c r="G175" s="341">
        <v>-0.37462645721350479</v>
      </c>
      <c r="H175" s="341">
        <v>8.2078025492115556E-2</v>
      </c>
      <c r="I175" s="341">
        <v>1.8580900206050167E-2</v>
      </c>
      <c r="J175" s="341">
        <v>-9.7023363913047948E-3</v>
      </c>
      <c r="K175" s="341">
        <v>3.0272146044609863E-3</v>
      </c>
      <c r="L175" s="341">
        <v>1.6020428224698755E-3</v>
      </c>
      <c r="M175" s="419">
        <f t="shared" si="2"/>
        <v>-1.1312711469813328</v>
      </c>
      <c r="N175" s="381"/>
      <c r="O175" s="101"/>
      <c r="P175" s="101"/>
    </row>
    <row r="176" spans="4:16">
      <c r="D176" s="340">
        <v>2039</v>
      </c>
      <c r="E176" s="341">
        <v>-0.36327467406998049</v>
      </c>
      <c r="F176" s="341">
        <v>-0.51579608945987665</v>
      </c>
      <c r="G176" s="341">
        <v>-0.39746643927052783</v>
      </c>
      <c r="H176" s="341">
        <v>0.1007767706237781</v>
      </c>
      <c r="I176" s="341">
        <v>1.8580900206050174E-2</v>
      </c>
      <c r="J176" s="341">
        <v>-1.3897846450230834E-2</v>
      </c>
      <c r="K176" s="341">
        <v>3.070182331980332E-3</v>
      </c>
      <c r="L176" s="341">
        <v>1.5790110484645791E-3</v>
      </c>
      <c r="M176" s="419">
        <f t="shared" si="2"/>
        <v>-1.1664281850403426</v>
      </c>
      <c r="N176" s="381"/>
      <c r="O176" s="101"/>
      <c r="P176" s="101"/>
    </row>
    <row r="177" spans="4:16">
      <c r="D177" s="340">
        <v>2040</v>
      </c>
      <c r="E177" s="341">
        <v>-0.38597934119935429</v>
      </c>
      <c r="F177" s="341">
        <v>-0.51619451605268241</v>
      </c>
      <c r="G177" s="341">
        <v>-0.42027519640875288</v>
      </c>
      <c r="H177" s="341">
        <v>0.12861014996180395</v>
      </c>
      <c r="I177" s="341">
        <v>1.8580900206050174E-2</v>
      </c>
      <c r="J177" s="341">
        <v>-1.754391938542425E-2</v>
      </c>
      <c r="K177" s="341">
        <v>3.1069526976357903E-3</v>
      </c>
      <c r="L177" s="341">
        <v>1.571517125371171E-3</v>
      </c>
      <c r="M177" s="419">
        <f t="shared" si="2"/>
        <v>-1.1881234530553528</v>
      </c>
      <c r="N177" s="381"/>
      <c r="O177" s="101"/>
      <c r="P177" s="101"/>
    </row>
    <row r="178" spans="4:16">
      <c r="D178" s="340">
        <v>2041</v>
      </c>
      <c r="E178" s="341">
        <v>-0.40868400832872809</v>
      </c>
      <c r="F178" s="341">
        <v>-0.49806680773062156</v>
      </c>
      <c r="G178" s="341">
        <v>-0.4429470562224791</v>
      </c>
      <c r="H178" s="341">
        <v>0.12598286945106382</v>
      </c>
      <c r="I178" s="341">
        <v>1.8580900206050171E-2</v>
      </c>
      <c r="J178" s="341">
        <v>-2.1445459710402539E-2</v>
      </c>
      <c r="K178" s="341">
        <v>3.034898916876977E-3</v>
      </c>
      <c r="L178" s="341">
        <v>1.5329595018646397E-3</v>
      </c>
      <c r="M178" s="419">
        <f t="shared" si="2"/>
        <v>-1.2220117039163756</v>
      </c>
      <c r="N178" s="381"/>
      <c r="O178" s="101"/>
      <c r="P178" s="101"/>
    </row>
    <row r="179" spans="4:16">
      <c r="D179" s="340">
        <v>2042</v>
      </c>
      <c r="E179" s="341">
        <v>-0.43138867545810189</v>
      </c>
      <c r="F179" s="341">
        <v>-0.46699484906220351</v>
      </c>
      <c r="G179" s="341">
        <v>-0.46552020848599568</v>
      </c>
      <c r="H179" s="341">
        <v>0.12675218037507305</v>
      </c>
      <c r="I179" s="341">
        <v>1.8580900206050174E-2</v>
      </c>
      <c r="J179" s="341">
        <v>-2.5881073175788496E-2</v>
      </c>
      <c r="K179" s="341">
        <v>2.8905422426674736E-3</v>
      </c>
      <c r="L179" s="341">
        <v>1.4705975348699137E-3</v>
      </c>
      <c r="M179" s="419">
        <f t="shared" si="2"/>
        <v>-1.240090585823429</v>
      </c>
      <c r="N179" s="381"/>
      <c r="O179" s="101"/>
      <c r="P179" s="101"/>
    </row>
    <row r="180" spans="4:16">
      <c r="D180" s="340">
        <v>2043</v>
      </c>
      <c r="E180" s="341">
        <v>-0.45409334258747569</v>
      </c>
      <c r="F180" s="341">
        <v>-0.45139409001397884</v>
      </c>
      <c r="G180" s="341">
        <v>-0.48820504157542083</v>
      </c>
      <c r="H180" s="341">
        <v>0.12764186177264891</v>
      </c>
      <c r="I180" s="341">
        <v>1.8580900206050174E-2</v>
      </c>
      <c r="J180" s="341">
        <v>-2.8223213735581447E-2</v>
      </c>
      <c r="K180" s="341">
        <v>2.8963302539821529E-3</v>
      </c>
      <c r="L180" s="341">
        <v>1.4431353306516464E-3</v>
      </c>
      <c r="M180" s="419">
        <f t="shared" si="2"/>
        <v>-1.2713534603491239</v>
      </c>
      <c r="N180" s="381"/>
      <c r="O180" s="101"/>
      <c r="P180" s="101"/>
    </row>
    <row r="181" spans="4:16">
      <c r="D181" s="340">
        <v>2044</v>
      </c>
      <c r="E181" s="341">
        <v>-0.47679800971684944</v>
      </c>
      <c r="F181" s="341">
        <v>-0.43309732816993773</v>
      </c>
      <c r="G181" s="341">
        <v>-0.51085819980849745</v>
      </c>
      <c r="H181" s="341">
        <v>0.10941632726043554</v>
      </c>
      <c r="I181" s="341">
        <v>1.8580900206050174E-2</v>
      </c>
      <c r="J181" s="341">
        <v>-3.0653234412351536E-2</v>
      </c>
      <c r="K181" s="341">
        <v>2.8836580420586503E-3</v>
      </c>
      <c r="L181" s="341">
        <v>1.4077897349188671E-3</v>
      </c>
      <c r="M181" s="419">
        <f t="shared" si="2"/>
        <v>-1.3191180968641729</v>
      </c>
      <c r="N181" s="381"/>
      <c r="O181" s="101"/>
      <c r="P181" s="101"/>
    </row>
    <row r="182" spans="4:16">
      <c r="D182" s="340">
        <v>2045</v>
      </c>
      <c r="E182" s="341">
        <v>-0.49950267684622324</v>
      </c>
      <c r="F182" s="341">
        <v>-0.41887241402015868</v>
      </c>
      <c r="G182" s="341">
        <v>-0.53350490887801116</v>
      </c>
      <c r="H182" s="341">
        <v>0.10017927765611985</v>
      </c>
      <c r="I182" s="341">
        <v>1.8580900206050181E-2</v>
      </c>
      <c r="J182" s="341">
        <v>-3.3077140841734784E-2</v>
      </c>
      <c r="K182" s="341">
        <v>2.8717076015439104E-3</v>
      </c>
      <c r="L182" s="341">
        <v>1.3720693476767278E-3</v>
      </c>
      <c r="M182" s="419">
        <f t="shared" si="2"/>
        <v>-1.3619531857747371</v>
      </c>
      <c r="N182" s="381"/>
      <c r="O182" s="101"/>
      <c r="P182" s="101"/>
    </row>
    <row r="183" spans="4:16">
      <c r="D183" s="340">
        <v>2046</v>
      </c>
      <c r="E183" s="341">
        <v>-0.52220734397559709</v>
      </c>
      <c r="F183" s="341">
        <v>-0.39766090942573429</v>
      </c>
      <c r="G183" s="341">
        <v>-0.55608612499689714</v>
      </c>
      <c r="H183" s="341">
        <v>9.2938776790518152E-2</v>
      </c>
      <c r="I183" s="341">
        <v>1.8580900206050171E-2</v>
      </c>
      <c r="J183" s="341">
        <v>-3.6386450499087897E-2</v>
      </c>
      <c r="K183" s="341">
        <v>2.8140852380576318E-3</v>
      </c>
      <c r="L183" s="341">
        <v>1.3202932104334558E-3</v>
      </c>
      <c r="M183" s="419">
        <f t="shared" si="2"/>
        <v>-1.396686773452257</v>
      </c>
      <c r="N183" s="381"/>
      <c r="O183" s="101"/>
      <c r="P183" s="101"/>
    </row>
    <row r="184" spans="4:16">
      <c r="D184" s="68" t="s">
        <v>495</v>
      </c>
      <c r="E184" s="338">
        <f>SUM(E161:E183)</f>
        <v>-6.2664881277071638</v>
      </c>
      <c r="F184" s="338">
        <f>SUM(F161:F183)</f>
        <v>-13.880036815219489</v>
      </c>
      <c r="G184" s="338">
        <f t="shared" ref="G184:M184" si="3">SUM(G161:G183)</f>
        <v>-7.0509120869720379</v>
      </c>
      <c r="H184" s="338">
        <f t="shared" si="3"/>
        <v>1.5830953518604451</v>
      </c>
      <c r="I184" s="338">
        <f t="shared" si="3"/>
        <v>0.34680182109769514</v>
      </c>
      <c r="J184" s="338">
        <f t="shared" si="3"/>
        <v>-0.22397406697792843</v>
      </c>
      <c r="K184" s="338">
        <f t="shared" si="3"/>
        <v>8.1234668855294803E-2</v>
      </c>
      <c r="L184" s="338">
        <f t="shared" si="3"/>
        <v>0.1338260927093895</v>
      </c>
      <c r="M184" s="338">
        <f t="shared" si="3"/>
        <v>-25.276453162353796</v>
      </c>
      <c r="N184" s="101"/>
    </row>
    <row r="193" spans="9:10">
      <c r="I193" s="66"/>
      <c r="J193" s="66"/>
    </row>
    <row r="194" spans="9:10">
      <c r="I194" s="66"/>
      <c r="J194" s="66"/>
    </row>
    <row r="195" spans="9:10">
      <c r="I195" s="66"/>
      <c r="J195" s="66"/>
    </row>
    <row r="196" spans="9:10">
      <c r="I196" s="66"/>
      <c r="J196" s="66"/>
    </row>
    <row r="197" spans="9:10">
      <c r="I197" s="66"/>
      <c r="J197" s="66"/>
    </row>
    <row r="198" spans="9:10">
      <c r="I198" s="66"/>
      <c r="J198" s="66"/>
    </row>
    <row r="199" spans="9:10">
      <c r="I199" s="66"/>
      <c r="J199" s="66"/>
    </row>
    <row r="200" spans="9:10">
      <c r="I200" s="66"/>
      <c r="J200" s="66"/>
    </row>
    <row r="201" spans="9:10">
      <c r="I201" s="66"/>
      <c r="J201" s="66"/>
    </row>
    <row r="202" spans="9:10">
      <c r="I202" s="66"/>
      <c r="J202" s="66"/>
    </row>
    <row r="203" spans="9:10">
      <c r="I203" s="66"/>
      <c r="J203" s="66"/>
    </row>
    <row r="204" spans="9:10">
      <c r="I204" s="66"/>
      <c r="J204" s="66"/>
    </row>
    <row r="205" spans="9:10">
      <c r="I205" s="66"/>
      <c r="J205" s="66"/>
    </row>
    <row r="206" spans="9:10">
      <c r="I206" s="66"/>
      <c r="J206" s="66"/>
    </row>
    <row r="207" spans="9:10">
      <c r="I207" s="66"/>
      <c r="J207" s="66"/>
    </row>
    <row r="208" spans="9:10">
      <c r="I208" s="66"/>
      <c r="J208" s="66"/>
    </row>
    <row r="209" spans="9:10">
      <c r="I209" s="66"/>
      <c r="J209" s="66"/>
    </row>
    <row r="210" spans="9:10">
      <c r="I210" s="66"/>
      <c r="J210" s="66"/>
    </row>
    <row r="211" spans="9:10">
      <c r="I211" s="66"/>
      <c r="J211" s="66"/>
    </row>
    <row r="212" spans="9:10">
      <c r="I212" s="66"/>
      <c r="J212" s="66"/>
    </row>
    <row r="213" spans="9:10">
      <c r="I213" s="66"/>
      <c r="J213" s="66"/>
    </row>
    <row r="214" spans="9:10">
      <c r="I214" s="66"/>
      <c r="J214" s="66"/>
    </row>
    <row r="215" spans="9:10">
      <c r="I215" s="66"/>
      <c r="J215" s="66"/>
    </row>
  </sheetData>
  <mergeCells count="10">
    <mergeCell ref="B154:AB154"/>
    <mergeCell ref="D39:AB39"/>
    <mergeCell ref="D58:AB58"/>
    <mergeCell ref="D77:AB77"/>
    <mergeCell ref="D1:AB1"/>
    <mergeCell ref="A1:A151"/>
    <mergeCell ref="D96:AB96"/>
    <mergeCell ref="D20:AB20"/>
    <mergeCell ref="D115:AB115"/>
    <mergeCell ref="D134:AB1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AC35"/>
  <sheetViews>
    <sheetView zoomScale="80" zoomScaleNormal="80" workbookViewId="0">
      <selection activeCell="J15" sqref="J15"/>
    </sheetView>
  </sheetViews>
  <sheetFormatPr defaultRowHeight="15"/>
  <cols>
    <col min="2" max="2" width="23.7109375" bestFit="1" customWidth="1"/>
    <col min="3" max="3" width="44.28515625" bestFit="1" customWidth="1"/>
    <col min="4" max="4" width="22" bestFit="1" customWidth="1"/>
    <col min="21" max="21" width="8.7109375" customWidth="1"/>
    <col min="22" max="22" width="8.28515625" customWidth="1"/>
  </cols>
  <sheetData>
    <row r="1" spans="2:29">
      <c r="E1" s="28"/>
      <c r="F1" s="28"/>
      <c r="G1" s="2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2:29" s="2" customFormat="1">
      <c r="B2" s="2" t="s">
        <v>99</v>
      </c>
      <c r="C2" s="10" t="s">
        <v>3</v>
      </c>
      <c r="D2" s="10" t="s">
        <v>1</v>
      </c>
      <c r="E2" s="10">
        <v>2022</v>
      </c>
      <c r="F2" s="10">
        <v>2023</v>
      </c>
      <c r="G2" s="10">
        <v>2024</v>
      </c>
      <c r="H2" s="10">
        <v>2025</v>
      </c>
      <c r="I2" s="10">
        <v>2026</v>
      </c>
      <c r="J2" s="10">
        <v>2027</v>
      </c>
      <c r="K2" s="10">
        <v>2028</v>
      </c>
      <c r="L2" s="10">
        <v>2029</v>
      </c>
      <c r="M2" s="10">
        <v>2030</v>
      </c>
      <c r="N2" s="10">
        <v>2031</v>
      </c>
      <c r="O2" s="10">
        <v>2032</v>
      </c>
      <c r="P2" s="10">
        <v>2033</v>
      </c>
      <c r="Q2" s="10">
        <v>2034</v>
      </c>
      <c r="R2" s="10">
        <v>2035</v>
      </c>
      <c r="S2" s="10">
        <v>2036</v>
      </c>
      <c r="T2" s="10">
        <v>2037</v>
      </c>
      <c r="U2" s="10">
        <v>2038</v>
      </c>
      <c r="V2" s="10">
        <v>2039</v>
      </c>
      <c r="W2" s="10">
        <v>2040</v>
      </c>
      <c r="X2" s="10">
        <v>2041</v>
      </c>
      <c r="Y2" s="10">
        <v>2042</v>
      </c>
      <c r="Z2" s="10">
        <v>2043</v>
      </c>
      <c r="AA2" s="10">
        <v>2044</v>
      </c>
      <c r="AB2" s="10">
        <v>2045</v>
      </c>
      <c r="AC2" s="10">
        <v>2046</v>
      </c>
    </row>
    <row r="3" spans="2:29">
      <c r="C3" s="10" t="s">
        <v>100</v>
      </c>
      <c r="D3" s="68" t="s">
        <v>101</v>
      </c>
      <c r="E3" s="413">
        <f>E8/(E8+E4)</f>
        <v>0.10046759410490477</v>
      </c>
      <c r="F3" s="413">
        <f t="shared" ref="F3:AC3" si="0">F8/(F8+F4)</f>
        <v>0.100690990028225</v>
      </c>
      <c r="G3" s="413">
        <f t="shared" si="0"/>
        <v>0.10102613587133055</v>
      </c>
      <c r="H3" s="413">
        <f t="shared" si="0"/>
        <v>0.10099582398388239</v>
      </c>
      <c r="I3" s="413">
        <f t="shared" si="0"/>
        <v>0.10103005671291428</v>
      </c>
      <c r="J3" s="413">
        <f t="shared" si="0"/>
        <v>0.10107373667837458</v>
      </c>
      <c r="K3" s="413">
        <f t="shared" si="0"/>
        <v>0.10112334269949853</v>
      </c>
      <c r="L3" s="413">
        <f t="shared" si="0"/>
        <v>0.10117989653129068</v>
      </c>
      <c r="M3" s="413">
        <f t="shared" si="0"/>
        <v>0.10124523522334099</v>
      </c>
      <c r="N3" s="413">
        <f t="shared" si="0"/>
        <v>0.10132149695923952</v>
      </c>
      <c r="O3" s="413">
        <f t="shared" si="0"/>
        <v>0.10141131090686804</v>
      </c>
      <c r="P3" s="413">
        <f t="shared" si="0"/>
        <v>0.10151990258191058</v>
      </c>
      <c r="Q3" s="413">
        <f t="shared" si="0"/>
        <v>0.10164985332590946</v>
      </c>
      <c r="R3" s="413">
        <f t="shared" si="0"/>
        <v>0.10180596011063942</v>
      </c>
      <c r="S3" s="413">
        <f t="shared" si="0"/>
        <v>0.10198772436674355</v>
      </c>
      <c r="T3" s="413">
        <f t="shared" si="0"/>
        <v>0.10219992656039077</v>
      </c>
      <c r="U3" s="413">
        <f t="shared" si="0"/>
        <v>0.10244760303959313</v>
      </c>
      <c r="V3" s="413">
        <f t="shared" si="0"/>
        <v>0.10273714624601701</v>
      </c>
      <c r="W3" s="413">
        <f t="shared" si="0"/>
        <v>0.10307899402027389</v>
      </c>
      <c r="X3" s="413">
        <f t="shared" si="0"/>
        <v>0.10348512752376733</v>
      </c>
      <c r="Y3" s="413">
        <f t="shared" si="0"/>
        <v>0.10397005711697575</v>
      </c>
      <c r="Z3" s="413">
        <f t="shared" si="0"/>
        <v>0.10455178886685595</v>
      </c>
      <c r="AA3" s="413">
        <f t="shared" si="0"/>
        <v>0.10525884444651043</v>
      </c>
      <c r="AB3" s="413">
        <f t="shared" si="0"/>
        <v>0.10612375058538406</v>
      </c>
      <c r="AC3" s="413">
        <f t="shared" si="0"/>
        <v>0.10709164742425116</v>
      </c>
    </row>
    <row r="4" spans="2:29">
      <c r="C4" s="68" t="s">
        <v>10</v>
      </c>
      <c r="D4" s="68" t="s">
        <v>7</v>
      </c>
      <c r="E4" s="362">
        <f>INDEX('Proposed CATS Output'!$A$1:$AB$30,MATCH($C4,'Proposed CATS Output'!$A$1:$A$30,0),MATCH(E$2,'Proposed CATS Output'!$A$1:$AB$1,0))</f>
        <v>12394.075118723969</v>
      </c>
      <c r="F4" s="362">
        <f>INDEX('Proposed CATS Output'!$A$1:$AB$30,MATCH($C4,'Proposed CATS Output'!$A$1:$A$30,0),MATCH(F$2,'Proposed CATS Output'!$A$1:$AB$1,0))</f>
        <v>12078.55315256515</v>
      </c>
      <c r="G4" s="362">
        <f>INDEX('Proposed CATS Output'!$A$1:$AB$30,MATCH($C4,'Proposed CATS Output'!$A$1:$A$30,0),MATCH(G$2,'Proposed CATS Output'!$A$1:$AB$1,0))</f>
        <v>11612.38832067946</v>
      </c>
      <c r="H4" s="362">
        <f>INDEX('Proposed CATS Output'!$A$1:$AB$30,MATCH($C4,'Proposed CATS Output'!$A$1:$A$30,0),MATCH(H$2,'Proposed CATS Output'!$A$1:$AB$1,0))</f>
        <v>11272.88216981195</v>
      </c>
      <c r="I4" s="362">
        <f>INDEX('Proposed CATS Output'!$A$1:$AB$30,MATCH($C4,'Proposed CATS Output'!$A$1:$A$30,0),MATCH(I$2,'Proposed CATS Output'!$A$1:$AB$1,0))</f>
        <v>10913.35025011942</v>
      </c>
      <c r="J4" s="362">
        <f>INDEX('Proposed CATS Output'!$A$1:$AB$30,MATCH($C4,'Proposed CATS Output'!$A$1:$A$30,0),MATCH(J$2,'Proposed CATS Output'!$A$1:$AB$1,0))</f>
        <v>10486.560522742389</v>
      </c>
      <c r="K4" s="362">
        <f>INDEX('Proposed CATS Output'!$A$1:$AB$30,MATCH($C4,'Proposed CATS Output'!$A$1:$A$30,0),MATCH(K$2,'Proposed CATS Output'!$A$1:$AB$1,0))</f>
        <v>10040.583982822151</v>
      </c>
      <c r="L4" s="362">
        <f>INDEX('Proposed CATS Output'!$A$1:$AB$30,MATCH($C4,'Proposed CATS Output'!$A$1:$A$30,0),MATCH(L$2,'Proposed CATS Output'!$A$1:$AB$1,0))</f>
        <v>9576.2266623162577</v>
      </c>
      <c r="M4" s="362">
        <f>INDEX('Proposed CATS Output'!$A$1:$AB$30,MATCH($C4,'Proposed CATS Output'!$A$1:$A$30,0),MATCH(M$2,'Proposed CATS Output'!$A$1:$AB$1,0))</f>
        <v>9090.4400649941072</v>
      </c>
      <c r="N4" s="362">
        <f>INDEX('Proposed CATS Output'!$A$1:$AB$30,MATCH($C4,'Proposed CATS Output'!$A$1:$A$30,0),MATCH(N$2,'Proposed CATS Output'!$A$1:$AB$1,0))</f>
        <v>8582.2159985613525</v>
      </c>
      <c r="O4" s="362">
        <f>INDEX('Proposed CATS Output'!$A$1:$AB$30,MATCH($C4,'Proposed CATS Output'!$A$1:$A$30,0),MATCH(O$2,'Proposed CATS Output'!$A$1:$AB$1,0))</f>
        <v>8051.9557676983013</v>
      </c>
      <c r="P4" s="362">
        <f>INDEX('Proposed CATS Output'!$A$1:$AB$30,MATCH($C4,'Proposed CATS Output'!$A$1:$A$30,0),MATCH(P$2,'Proposed CATS Output'!$A$1:$AB$1,0))</f>
        <v>7492.1411850500181</v>
      </c>
      <c r="Q4" s="362">
        <f>INDEX('Proposed CATS Output'!$A$1:$AB$30,MATCH($C4,'Proposed CATS Output'!$A$1:$A$30,0),MATCH(Q$2,'Proposed CATS Output'!$A$1:$AB$1,0))</f>
        <v>6916.5307218760008</v>
      </c>
      <c r="R4" s="362">
        <f>INDEX('Proposed CATS Output'!$A$1:$AB$30,MATCH($C4,'Proposed CATS Output'!$A$1:$A$30,0),MATCH(R$2,'Proposed CATS Output'!$A$1:$AB$1,0))</f>
        <v>6331.9536777557023</v>
      </c>
      <c r="S4" s="362">
        <f>INDEX('Proposed CATS Output'!$A$1:$AB$30,MATCH($C4,'Proposed CATS Output'!$A$1:$A$30,0),MATCH(S$2,'Proposed CATS Output'!$A$1:$AB$1,0))</f>
        <v>5764.4586638937844</v>
      </c>
      <c r="T4" s="362">
        <f>INDEX('Proposed CATS Output'!$A$1:$AB$30,MATCH($C4,'Proposed CATS Output'!$A$1:$A$30,0),MATCH(T$2,'Proposed CATS Output'!$A$1:$AB$1,0))</f>
        <v>5218.2243414733321</v>
      </c>
      <c r="U4" s="362">
        <f>INDEX('Proposed CATS Output'!$A$1:$AB$30,MATCH($C4,'Proposed CATS Output'!$A$1:$A$30,0),MATCH(U$2,'Proposed CATS Output'!$A$1:$AB$1,0))</f>
        <v>4698.3232726265223</v>
      </c>
      <c r="V4" s="362">
        <f>INDEX('Proposed CATS Output'!$A$1:$AB$30,MATCH($C4,'Proposed CATS Output'!$A$1:$A$30,0),MATCH(V$2,'Proposed CATS Output'!$A$1:$AB$1,0))</f>
        <v>4207.919351832169</v>
      </c>
      <c r="W4" s="362">
        <f>INDEX('Proposed CATS Output'!$A$1:$AB$30,MATCH($C4,'Proposed CATS Output'!$A$1:$A$30,0),MATCH(W$2,'Proposed CATS Output'!$A$1:$AB$1,0))</f>
        <v>3745.964352735507</v>
      </c>
      <c r="X4" s="362">
        <f>INDEX('Proposed CATS Output'!$A$1:$AB$30,MATCH($C4,'Proposed CATS Output'!$A$1:$A$30,0),MATCH(X$2,'Proposed CATS Output'!$A$1:$AB$1,0))</f>
        <v>3313.4408276794502</v>
      </c>
      <c r="Y4" s="362">
        <f>INDEX('Proposed CATS Output'!$A$1:$AB$30,MATCH($C4,'Proposed CATS Output'!$A$1:$A$30,0),MATCH(Y$2,'Proposed CATS Output'!$A$1:$AB$1,0))</f>
        <v>2911.628222349776</v>
      </c>
      <c r="Z4" s="362">
        <f>INDEX('Proposed CATS Output'!$A$1:$AB$30,MATCH($C4,'Proposed CATS Output'!$A$1:$A$30,0),MATCH(Z$2,'Proposed CATS Output'!$A$1:$AB$1,0))</f>
        <v>2541.46774638735</v>
      </c>
      <c r="AA4" s="362">
        <f>INDEX('Proposed CATS Output'!$A$1:$AB$30,MATCH($C4,'Proposed CATS Output'!$A$1:$A$30,0),MATCH(AA$2,'Proposed CATS Output'!$A$1:$AB$1,0))</f>
        <v>2200.8953722041319</v>
      </c>
      <c r="AB4" s="362">
        <f>INDEX('Proposed CATS Output'!$A$1:$AB$30,MATCH($C4,'Proposed CATS Output'!$A$1:$A$30,0),MATCH(AB$2,'Proposed CATS Output'!$A$1:$AB$1,0))</f>
        <v>1890.4602410712359</v>
      </c>
      <c r="AC4" s="362">
        <f>INDEX('Proposed CATS Output'!$A$1:$AB$30,MATCH($C4,'Proposed CATS Output'!$A$1:$A$30,0),MATCH(AC$2,'Proposed CATS Output'!$A$1:$AB$1,0))</f>
        <v>1632.2832112039091</v>
      </c>
    </row>
    <row r="5" spans="2:29">
      <c r="C5" s="68" t="s">
        <v>102</v>
      </c>
      <c r="D5" s="68" t="s">
        <v>7</v>
      </c>
      <c r="E5" s="362">
        <f>INDEX('Proposed CATS Output'!$A$1:$AB$30,MATCH($C5,'Proposed CATS Output'!$A$1:$A$30,0),MATCH(E$2,'Proposed CATS Output'!$A$1:$AB$1,0))</f>
        <v>103.5217700036805</v>
      </c>
      <c r="F5" s="362">
        <f>INDEX('Proposed CATS Output'!$A$1:$AB$30,MATCH($C5,'Proposed CATS Output'!$A$1:$A$30,0),MATCH(F$2,'Proposed CATS Output'!$A$1:$AB$1,0))</f>
        <v>144.93047800515271</v>
      </c>
      <c r="G5" s="362">
        <f>INDEX('Proposed CATS Output'!$A$1:$AB$30,MATCH($C5,'Proposed CATS Output'!$A$1:$A$30,0),MATCH(G$2,'Proposed CATS Output'!$A$1:$AB$1,0))</f>
        <v>202.9026692072139</v>
      </c>
      <c r="H5" s="362">
        <f>INDEX('Proposed CATS Output'!$A$1:$AB$30,MATCH($C5,'Proposed CATS Output'!$A$1:$A$30,0),MATCH(H$2,'Proposed CATS Output'!$A$1:$AB$1,0))</f>
        <v>191.38755980861251</v>
      </c>
      <c r="I5" s="362">
        <f>INDEX('Proposed CATS Output'!$A$1:$AB$30,MATCH($C5,'Proposed CATS Output'!$A$1:$A$30,0),MATCH(I$2,'Proposed CATS Output'!$A$1:$AB$1,0))</f>
        <v>191.38755980861239</v>
      </c>
      <c r="J5" s="362">
        <f>INDEX('Proposed CATS Output'!$A$1:$AB$30,MATCH($C5,'Proposed CATS Output'!$A$1:$A$30,0),MATCH(J$2,'Proposed CATS Output'!$A$1:$AB$1,0))</f>
        <v>191.38755980861239</v>
      </c>
      <c r="K5" s="362">
        <f>INDEX('Proposed CATS Output'!$A$1:$AB$30,MATCH($C5,'Proposed CATS Output'!$A$1:$A$30,0),MATCH(K$2,'Proposed CATS Output'!$A$1:$AB$1,0))</f>
        <v>191.38755980861239</v>
      </c>
      <c r="L5" s="362">
        <f>INDEX('Proposed CATS Output'!$A$1:$AB$30,MATCH($C5,'Proposed CATS Output'!$A$1:$A$30,0),MATCH(L$2,'Proposed CATS Output'!$A$1:$AB$1,0))</f>
        <v>191.38755980861239</v>
      </c>
      <c r="M5" s="362">
        <f>INDEX('Proposed CATS Output'!$A$1:$AB$30,MATCH($C5,'Proposed CATS Output'!$A$1:$A$30,0),MATCH(M$2,'Proposed CATS Output'!$A$1:$AB$1,0))</f>
        <v>191.38755980861239</v>
      </c>
      <c r="N5" s="362">
        <f>INDEX('Proposed CATS Output'!$A$1:$AB$30,MATCH($C5,'Proposed CATS Output'!$A$1:$A$30,0),MATCH(N$2,'Proposed CATS Output'!$A$1:$AB$1,0))</f>
        <v>191.38755980861239</v>
      </c>
      <c r="O5" s="362">
        <f>INDEX('Proposed CATS Output'!$A$1:$AB$30,MATCH($C5,'Proposed CATS Output'!$A$1:$A$30,0),MATCH(O$2,'Proposed CATS Output'!$A$1:$AB$1,0))</f>
        <v>191.38755980861239</v>
      </c>
      <c r="P5" s="362">
        <f>INDEX('Proposed CATS Output'!$A$1:$AB$30,MATCH($C5,'Proposed CATS Output'!$A$1:$A$30,0),MATCH(P$2,'Proposed CATS Output'!$A$1:$AB$1,0))</f>
        <v>191.38755980861251</v>
      </c>
      <c r="Q5" s="362">
        <f>INDEX('Proposed CATS Output'!$A$1:$AB$30,MATCH($C5,'Proposed CATS Output'!$A$1:$A$30,0),MATCH(Q$2,'Proposed CATS Output'!$A$1:$AB$1,0))</f>
        <v>191.38755980861239</v>
      </c>
      <c r="R5" s="362">
        <f>INDEX('Proposed CATS Output'!$A$1:$AB$30,MATCH($C5,'Proposed CATS Output'!$A$1:$A$30,0),MATCH(R$2,'Proposed CATS Output'!$A$1:$AB$1,0))</f>
        <v>191.38755980861239</v>
      </c>
      <c r="S5" s="362">
        <f>INDEX('Proposed CATS Output'!$A$1:$AB$30,MATCH($C5,'Proposed CATS Output'!$A$1:$A$30,0),MATCH(S$2,'Proposed CATS Output'!$A$1:$AB$1,0))</f>
        <v>191.38755980861239</v>
      </c>
      <c r="T5" s="362">
        <f>INDEX('Proposed CATS Output'!$A$1:$AB$30,MATCH($C5,'Proposed CATS Output'!$A$1:$A$30,0),MATCH(T$2,'Proposed CATS Output'!$A$1:$AB$1,0))</f>
        <v>191.38755980861239</v>
      </c>
      <c r="U5" s="362">
        <f>INDEX('Proposed CATS Output'!$A$1:$AB$30,MATCH($C5,'Proposed CATS Output'!$A$1:$A$30,0),MATCH(U$2,'Proposed CATS Output'!$A$1:$AB$1,0))</f>
        <v>191.38755980861251</v>
      </c>
      <c r="V5" s="362">
        <f>INDEX('Proposed CATS Output'!$A$1:$AB$30,MATCH($C5,'Proposed CATS Output'!$A$1:$A$30,0),MATCH(V$2,'Proposed CATS Output'!$A$1:$AB$1,0))</f>
        <v>191.38755980861251</v>
      </c>
      <c r="W5" s="362">
        <f>INDEX('Proposed CATS Output'!$A$1:$AB$30,MATCH($C5,'Proposed CATS Output'!$A$1:$A$30,0),MATCH(W$2,'Proposed CATS Output'!$A$1:$AB$1,0))</f>
        <v>191.38755980861239</v>
      </c>
      <c r="X5" s="362">
        <f>INDEX('Proposed CATS Output'!$A$1:$AB$30,MATCH($C5,'Proposed CATS Output'!$A$1:$A$30,0),MATCH(X$2,'Proposed CATS Output'!$A$1:$AB$1,0))</f>
        <v>191.38755980861251</v>
      </c>
      <c r="Y5" s="362">
        <f>INDEX('Proposed CATS Output'!$A$1:$AB$30,MATCH($C5,'Proposed CATS Output'!$A$1:$A$30,0),MATCH(Y$2,'Proposed CATS Output'!$A$1:$AB$1,0))</f>
        <v>191.38755980861239</v>
      </c>
      <c r="Z5" s="362">
        <f>INDEX('Proposed CATS Output'!$A$1:$AB$30,MATCH($C5,'Proposed CATS Output'!$A$1:$A$30,0),MATCH(Z$2,'Proposed CATS Output'!$A$1:$AB$1,0))</f>
        <v>191.38755980861239</v>
      </c>
      <c r="AA5" s="362">
        <f>INDEX('Proposed CATS Output'!$A$1:$AB$30,MATCH($C5,'Proposed CATS Output'!$A$1:$A$30,0),MATCH(AA$2,'Proposed CATS Output'!$A$1:$AB$1,0))</f>
        <v>191.38755980861239</v>
      </c>
      <c r="AB5" s="362">
        <f>INDEX('Proposed CATS Output'!$A$1:$AB$30,MATCH($C5,'Proposed CATS Output'!$A$1:$A$30,0),MATCH(AB$2,'Proposed CATS Output'!$A$1:$AB$1,0))</f>
        <v>191.38755980861239</v>
      </c>
      <c r="AC5" s="362">
        <f>INDEX('Proposed CATS Output'!$A$1:$AB$30,MATCH($C5,'Proposed CATS Output'!$A$1:$A$30,0),MATCH(AC$2,'Proposed CATS Output'!$A$1:$AB$1,0))</f>
        <v>191.38755980861239</v>
      </c>
    </row>
    <row r="6" spans="2:29">
      <c r="C6" s="68" t="s">
        <v>17</v>
      </c>
      <c r="D6" s="68" t="s">
        <v>103</v>
      </c>
      <c r="E6" s="362">
        <f>INDEX('Proposed CATS Output'!$A$1:$AB$30,MATCH($C6,'Proposed CATS Output'!$A$1:$A$30,0),MATCH(E$2,'Proposed CATS Output'!$A$1:$AB$1,0))</f>
        <v>3405.916658055557</v>
      </c>
      <c r="F6" s="362">
        <f>INDEX('Proposed CATS Output'!$A$1:$AB$30,MATCH($C6,'Proposed CATS Output'!$A$1:$A$30,0),MATCH(F$2,'Proposed CATS Output'!$A$1:$AB$1,0))</f>
        <v>4243.2297497222226</v>
      </c>
      <c r="G6" s="362">
        <f>INDEX('Proposed CATS Output'!$A$1:$AB$30,MATCH($C6,'Proposed CATS Output'!$A$1:$A$30,0),MATCH(G$2,'Proposed CATS Output'!$A$1:$AB$1,0))</f>
        <v>5276.2062469444454</v>
      </c>
      <c r="H6" s="362">
        <f>INDEX('Proposed CATS Output'!$A$1:$AB$30,MATCH($C6,'Proposed CATS Output'!$A$1:$A$30,0),MATCH(H$2,'Proposed CATS Output'!$A$1:$AB$1,0))</f>
        <v>5073.3937440966602</v>
      </c>
      <c r="I6" s="362">
        <f>INDEX('Proposed CATS Output'!$A$1:$AB$30,MATCH($C6,'Proposed CATS Output'!$A$1:$A$30,0),MATCH(I$2,'Proposed CATS Output'!$A$1:$AB$1,0))</f>
        <v>7209.7776658468829</v>
      </c>
      <c r="J6" s="362">
        <f>INDEX('Proposed CATS Output'!$A$1:$AB$30,MATCH($C6,'Proposed CATS Output'!$A$1:$A$30,0),MATCH(J$2,'Proposed CATS Output'!$A$1:$AB$1,0))</f>
        <v>9975.660206841465</v>
      </c>
      <c r="K6" s="362">
        <f>INDEX('Proposed CATS Output'!$A$1:$AB$30,MATCH($C6,'Proposed CATS Output'!$A$1:$A$30,0),MATCH(K$2,'Proposed CATS Output'!$A$1:$AB$1,0))</f>
        <v>13043.568956993769</v>
      </c>
      <c r="L6" s="362">
        <f>INDEX('Proposed CATS Output'!$A$1:$AB$30,MATCH($C6,'Proposed CATS Output'!$A$1:$A$30,0),MATCH(L$2,'Proposed CATS Output'!$A$1:$AB$1,0))</f>
        <v>16691.896311111119</v>
      </c>
      <c r="M6" s="362">
        <f>INDEX('Proposed CATS Output'!$A$1:$AB$30,MATCH($C6,'Proposed CATS Output'!$A$1:$A$30,0),MATCH(M$2,'Proposed CATS Output'!$A$1:$AB$1,0))</f>
        <v>20547.963274166668</v>
      </c>
      <c r="N6" s="362">
        <f>INDEX('Proposed CATS Output'!$A$1:$AB$30,MATCH($C6,'Proposed CATS Output'!$A$1:$A$30,0),MATCH(N$2,'Proposed CATS Output'!$A$1:$AB$1,0))</f>
        <v>24978.509136666671</v>
      </c>
      <c r="O6" s="362">
        <f>INDEX('Proposed CATS Output'!$A$1:$AB$30,MATCH($C6,'Proposed CATS Output'!$A$1:$A$30,0),MATCH(O$2,'Proposed CATS Output'!$A$1:$AB$1,0))</f>
        <v>29484.45985472223</v>
      </c>
      <c r="P6" s="362">
        <f>INDEX('Proposed CATS Output'!$A$1:$AB$30,MATCH($C6,'Proposed CATS Output'!$A$1:$A$30,0),MATCH(P$2,'Proposed CATS Output'!$A$1:$AB$1,0))</f>
        <v>34455.752304722228</v>
      </c>
      <c r="Q6" s="362">
        <f>INDEX('Proposed CATS Output'!$A$1:$AB$30,MATCH($C6,'Proposed CATS Output'!$A$1:$A$30,0),MATCH(Q$2,'Proposed CATS Output'!$A$1:$AB$1,0))</f>
        <v>39739.412582500008</v>
      </c>
      <c r="R6" s="362">
        <f>INDEX('Proposed CATS Output'!$A$1:$AB$30,MATCH($C6,'Proposed CATS Output'!$A$1:$A$30,0),MATCH(R$2,'Proposed CATS Output'!$A$1:$AB$1,0))</f>
        <v>45282.638018333339</v>
      </c>
      <c r="S6" s="362">
        <f>INDEX('Proposed CATS Output'!$A$1:$AB$30,MATCH($C6,'Proposed CATS Output'!$A$1:$A$30,0),MATCH(S$2,'Proposed CATS Output'!$A$1:$AB$1,0))</f>
        <v>50745.155940555553</v>
      </c>
      <c r="T6" s="362">
        <f>INDEX('Proposed CATS Output'!$A$1:$AB$30,MATCH($C6,'Proposed CATS Output'!$A$1:$A$30,0),MATCH(T$2,'Proposed CATS Output'!$A$1:$AB$1,0))</f>
        <v>56112.192676944447</v>
      </c>
      <c r="U6" s="362">
        <f>INDEX('Proposed CATS Output'!$A$1:$AB$30,MATCH($C6,'Proposed CATS Output'!$A$1:$A$30,0),MATCH(U$2,'Proposed CATS Output'!$A$1:$AB$1,0))</f>
        <v>61329.187026111133</v>
      </c>
      <c r="V6" s="362">
        <f>INDEX('Proposed CATS Output'!$A$1:$AB$30,MATCH($C6,'Proposed CATS Output'!$A$1:$A$30,0),MATCH(V$2,'Proposed CATS Output'!$A$1:$AB$1,0))</f>
        <v>65734.460328874251</v>
      </c>
      <c r="W6" s="362">
        <f>INDEX('Proposed CATS Output'!$A$1:$AB$30,MATCH($C6,'Proposed CATS Output'!$A$1:$A$30,0),MATCH(W$2,'Proposed CATS Output'!$A$1:$AB$1,0))</f>
        <v>70792.445301713466</v>
      </c>
      <c r="X6" s="362">
        <f>INDEX('Proposed CATS Output'!$A$1:$AB$30,MATCH($C6,'Proposed CATS Output'!$A$1:$A$30,0),MATCH(X$2,'Proposed CATS Output'!$A$1:$AB$1,0))</f>
        <v>74998.284609503724</v>
      </c>
      <c r="Y6" s="362">
        <f>INDEX('Proposed CATS Output'!$A$1:$AB$30,MATCH($C6,'Proposed CATS Output'!$A$1:$A$30,0),MATCH(Y$2,'Proposed CATS Output'!$A$1:$AB$1,0))</f>
        <v>78993.228962455061</v>
      </c>
      <c r="Z6" s="362">
        <f>INDEX('Proposed CATS Output'!$A$1:$AB$30,MATCH($C6,'Proposed CATS Output'!$A$1:$A$30,0),MATCH(Z$2,'Proposed CATS Output'!$A$1:$AB$1,0))</f>
        <v>82550.253588188527</v>
      </c>
      <c r="AA6" s="362">
        <f>INDEX('Proposed CATS Output'!$A$1:$AB$30,MATCH($C6,'Proposed CATS Output'!$A$1:$A$30,0),MATCH(AA$2,'Proposed CATS Output'!$A$1:$AB$1,0))</f>
        <v>86852.582741524238</v>
      </c>
      <c r="AB6" s="362">
        <f>INDEX('Proposed CATS Output'!$A$1:$AB$30,MATCH($C6,'Proposed CATS Output'!$A$1:$A$30,0),MATCH(AB$2,'Proposed CATS Output'!$A$1:$AB$1,0))</f>
        <v>90575.847230914544</v>
      </c>
      <c r="AC6" s="362">
        <f>INDEX('Proposed CATS Output'!$A$1:$AB$30,MATCH($C6,'Proposed CATS Output'!$A$1:$A$30,0),MATCH(AC$2,'Proposed CATS Output'!$A$1:$AB$1,0))</f>
        <v>94281.730600882089</v>
      </c>
    </row>
    <row r="7" spans="2:29">
      <c r="C7" s="68" t="s">
        <v>18</v>
      </c>
      <c r="D7" s="68" t="s">
        <v>103</v>
      </c>
      <c r="E7" s="362">
        <f>INDEX('Proposed CATS Output'!$A$1:$AB$30,MATCH($C7,'Proposed CATS Output'!$A$1:$A$30,0),MATCH(E$2,'Proposed CATS Output'!$A$1:$AB$1,0))</f>
        <v>0</v>
      </c>
      <c r="F7" s="362">
        <f>INDEX('Proposed CATS Output'!$A$1:$AB$30,MATCH($C7,'Proposed CATS Output'!$A$1:$A$30,0),MATCH(F$2,'Proposed CATS Output'!$A$1:$AB$1,0))</f>
        <v>0</v>
      </c>
      <c r="G7" s="362">
        <f>INDEX('Proposed CATS Output'!$A$1:$AB$30,MATCH($C7,'Proposed CATS Output'!$A$1:$A$30,0),MATCH(G$2,'Proposed CATS Output'!$A$1:$AB$1,0))</f>
        <v>0</v>
      </c>
      <c r="H7" s="362">
        <f>INDEX('Proposed CATS Output'!$A$1:$AB$30,MATCH($C7,'Proposed CATS Output'!$A$1:$A$30,0),MATCH(H$2,'Proposed CATS Output'!$A$1:$AB$1,0))</f>
        <v>1472.386825903342</v>
      </c>
      <c r="I7" s="362">
        <f>INDEX('Proposed CATS Output'!$A$1:$AB$30,MATCH($C7,'Proposed CATS Output'!$A$1:$A$30,0),MATCH(I$2,'Proposed CATS Output'!$A$1:$AB$1,0))</f>
        <v>883.43209554200519</v>
      </c>
      <c r="J7" s="362">
        <f>INDEX('Proposed CATS Output'!$A$1:$AB$30,MATCH($C7,'Proposed CATS Output'!$A$1:$A$30,0),MATCH(J$2,'Proposed CATS Output'!$A$1:$AB$1,0))</f>
        <v>530.05925732520313</v>
      </c>
      <c r="K7" s="362">
        <f>INDEX('Proposed CATS Output'!$A$1:$AB$30,MATCH($C7,'Proposed CATS Output'!$A$1:$A$30,0),MATCH(K$2,'Proposed CATS Output'!$A$1:$AB$1,0))</f>
        <v>318.03555439512189</v>
      </c>
      <c r="L7" s="362">
        <f>INDEX('Proposed CATS Output'!$A$1:$AB$30,MATCH($C7,'Proposed CATS Output'!$A$1:$A$30,0),MATCH(L$2,'Proposed CATS Output'!$A$1:$AB$1,0))</f>
        <v>0</v>
      </c>
      <c r="M7" s="362">
        <f>INDEX('Proposed CATS Output'!$A$1:$AB$30,MATCH($C7,'Proposed CATS Output'!$A$1:$A$30,0),MATCH(M$2,'Proposed CATS Output'!$A$1:$AB$1,0))</f>
        <v>0</v>
      </c>
      <c r="N7" s="362">
        <f>INDEX('Proposed CATS Output'!$A$1:$AB$30,MATCH($C7,'Proposed CATS Output'!$A$1:$A$30,0),MATCH(N$2,'Proposed CATS Output'!$A$1:$AB$1,0))</f>
        <v>0</v>
      </c>
      <c r="O7" s="362">
        <f>INDEX('Proposed CATS Output'!$A$1:$AB$30,MATCH($C7,'Proposed CATS Output'!$A$1:$A$30,0),MATCH(O$2,'Proposed CATS Output'!$A$1:$AB$1,0))</f>
        <v>0</v>
      </c>
      <c r="P7" s="362">
        <f>INDEX('Proposed CATS Output'!$A$1:$AB$30,MATCH($C7,'Proposed CATS Output'!$A$1:$A$30,0),MATCH(P$2,'Proposed CATS Output'!$A$1:$AB$1,0))</f>
        <v>0</v>
      </c>
      <c r="Q7" s="362">
        <f>INDEX('Proposed CATS Output'!$A$1:$AB$30,MATCH($C7,'Proposed CATS Output'!$A$1:$A$30,0),MATCH(Q$2,'Proposed CATS Output'!$A$1:$AB$1,0))</f>
        <v>0</v>
      </c>
      <c r="R7" s="362">
        <f>INDEX('Proposed CATS Output'!$A$1:$AB$30,MATCH($C7,'Proposed CATS Output'!$A$1:$A$30,0),MATCH(R$2,'Proposed CATS Output'!$A$1:$AB$1,0))</f>
        <v>0</v>
      </c>
      <c r="S7" s="362">
        <f>INDEX('Proposed CATS Output'!$A$1:$AB$30,MATCH($C7,'Proposed CATS Output'!$A$1:$A$30,0),MATCH(S$2,'Proposed CATS Output'!$A$1:$AB$1,0))</f>
        <v>0</v>
      </c>
      <c r="T7" s="362">
        <f>INDEX('Proposed CATS Output'!$A$1:$AB$30,MATCH($C7,'Proposed CATS Output'!$A$1:$A$30,0),MATCH(T$2,'Proposed CATS Output'!$A$1:$AB$1,0))</f>
        <v>0</v>
      </c>
      <c r="U7" s="362">
        <f>INDEX('Proposed CATS Output'!$A$1:$AB$30,MATCH($C7,'Proposed CATS Output'!$A$1:$A$30,0),MATCH(U$2,'Proposed CATS Output'!$A$1:$AB$1,0))</f>
        <v>0</v>
      </c>
      <c r="V7" s="362">
        <f>INDEX('Proposed CATS Output'!$A$1:$AB$30,MATCH($C7,'Proposed CATS Output'!$A$1:$A$30,0),MATCH(V$2,'Proposed CATS Output'!$A$1:$AB$1,0))</f>
        <v>620.88534529244055</v>
      </c>
      <c r="W7" s="362">
        <f>INDEX('Proposed CATS Output'!$A$1:$AB$30,MATCH($C7,'Proposed CATS Output'!$A$1:$A$30,0),MATCH(W$2,'Proposed CATS Output'!$A$1:$AB$1,0))</f>
        <v>372.53120717546437</v>
      </c>
      <c r="X7" s="362">
        <f>INDEX('Proposed CATS Output'!$A$1:$AB$30,MATCH($C7,'Proposed CATS Output'!$A$1:$A$30,0),MATCH(X$2,'Proposed CATS Output'!$A$1:$AB$1,0))</f>
        <v>754.62615299629476</v>
      </c>
      <c r="Y7" s="362">
        <f>INDEX('Proposed CATS Output'!$A$1:$AB$30,MATCH($C7,'Proposed CATS Output'!$A$1:$A$30,0),MATCH(Y$2,'Proposed CATS Output'!$A$1:$AB$1,0))</f>
        <v>1061.7572811560731</v>
      </c>
      <c r="Z7" s="362">
        <f>INDEX('Proposed CATS Output'!$A$1:$AB$30,MATCH($C7,'Proposed CATS Output'!$A$1:$A$30,0),MATCH(Z$2,'Proposed CATS Output'!$A$1:$AB$1,0))</f>
        <v>1512.9313770892511</v>
      </c>
      <c r="AA7" s="362">
        <f>INDEX('Proposed CATS Output'!$A$1:$AB$30,MATCH($C7,'Proposed CATS Output'!$A$1:$A$30,0),MATCH(AA$2,'Proposed CATS Output'!$A$1:$AB$1,0))</f>
        <v>907.7588262535503</v>
      </c>
      <c r="AB7" s="362">
        <f>INDEX('Proposed CATS Output'!$A$1:$AB$30,MATCH($C7,'Proposed CATS Output'!$A$1:$A$30,0),MATCH(AB$2,'Proposed CATS Output'!$A$1:$AB$1,0))</f>
        <v>544.6552957521302</v>
      </c>
      <c r="AC7" s="362">
        <f>INDEX('Proposed CATS Output'!$A$1:$AB$30,MATCH($C7,'Proposed CATS Output'!$A$1:$A$30,0),MATCH(AC$2,'Proposed CATS Output'!$A$1:$AB$1,0))</f>
        <v>326.79317745127798</v>
      </c>
    </row>
    <row r="8" spans="2:29">
      <c r="C8" s="68" t="s">
        <v>19</v>
      </c>
      <c r="D8" s="68" t="s">
        <v>7</v>
      </c>
      <c r="E8" s="362">
        <f>INDEX('Proposed CATS Output'!$A$1:$AB$30,MATCH($C8,'Proposed CATS Output'!$A$1:$A$30,0),MATCH(E$2,'Proposed CATS Output'!$A$1:$AB$1,0))</f>
        <v>1384.277987288961</v>
      </c>
      <c r="F8" s="362">
        <f>INDEX('Proposed CATS Output'!$A$1:$AB$30,MATCH($C8,'Proposed CATS Output'!$A$1:$A$30,0),MATCH(F$2,'Proposed CATS Output'!$A$1:$AB$1,0))</f>
        <v>1352.3732794342779</v>
      </c>
      <c r="G8" s="362">
        <f>INDEX('Proposed CATS Output'!$A$1:$AB$30,MATCH($C8,'Proposed CATS Output'!$A$1:$A$30,0),MATCH(G$2,'Proposed CATS Output'!$A$1:$AB$1,0))</f>
        <v>1304.9931339357629</v>
      </c>
      <c r="H8" s="362">
        <f>INDEX('Proposed CATS Output'!$A$1:$AB$30,MATCH($C8,'Proposed CATS Output'!$A$1:$A$30,0),MATCH(H$2,'Proposed CATS Output'!$A$1:$AB$1,0))</f>
        <v>1266.4168351904989</v>
      </c>
      <c r="I8" s="362">
        <f>INDEX('Proposed CATS Output'!$A$1:$AB$30,MATCH($C8,'Proposed CATS Output'!$A$1:$A$30,0),MATCH(I$2,'Proposed CATS Output'!$A$1:$AB$1,0))</f>
        <v>1226.4886083575709</v>
      </c>
      <c r="J8" s="362">
        <f>INDEX('Proposed CATS Output'!$A$1:$AB$30,MATCH($C8,'Proposed CATS Output'!$A$1:$A$30,0),MATCH(J$2,'Proposed CATS Output'!$A$1:$AB$1,0))</f>
        <v>1179.090989088475</v>
      </c>
      <c r="K8" s="362">
        <f>INDEX('Proposed CATS Output'!$A$1:$AB$30,MATCH($C8,'Proposed CATS Output'!$A$1:$A$30,0),MATCH(K$2,'Proposed CATS Output'!$A$1:$AB$1,0))</f>
        <v>1129.5625564994341</v>
      </c>
      <c r="L8" s="362">
        <f>INDEX('Proposed CATS Output'!$A$1:$AB$30,MATCH($C8,'Proposed CATS Output'!$A$1:$A$30,0),MATCH(L$2,'Proposed CATS Output'!$A$1:$AB$1,0))</f>
        <v>1077.99282538753</v>
      </c>
      <c r="M8" s="362">
        <f>INDEX('Proposed CATS Output'!$A$1:$AB$30,MATCH($C8,'Proposed CATS Output'!$A$1:$A$30,0),MATCH(M$2,'Proposed CATS Output'!$A$1:$AB$1,0))</f>
        <v>1024.043241531768</v>
      </c>
      <c r="N8" s="362">
        <f>INDEX('Proposed CATS Output'!$A$1:$AB$30,MATCH($C8,'Proposed CATS Output'!$A$1:$A$30,0),MATCH(N$2,'Proposed CATS Output'!$A$1:$AB$1,0))</f>
        <v>967.60183898860987</v>
      </c>
      <c r="O8" s="362">
        <f>INDEX('Proposed CATS Output'!$A$1:$AB$30,MATCH($C8,'Proposed CATS Output'!$A$1:$A$30,0),MATCH(O$2,'Proposed CATS Output'!$A$1:$AB$1,0))</f>
        <v>908.71318510639708</v>
      </c>
      <c r="P8" s="362">
        <f>INDEX('Proposed CATS Output'!$A$1:$AB$30,MATCH($C8,'Proposed CATS Output'!$A$1:$A$30,0),MATCH(P$2,'Proposed CATS Output'!$A$1:$AB$1,0))</f>
        <v>846.5423390255329</v>
      </c>
      <c r="Q8" s="362">
        <f>INDEX('Proposed CATS Output'!$A$1:$AB$30,MATCH($C8,'Proposed CATS Output'!$A$1:$A$30,0),MATCH(Q$2,'Proposed CATS Output'!$A$1:$AB$1,0))</f>
        <v>782.61726344205135</v>
      </c>
      <c r="R8" s="362">
        <f>INDEX('Proposed CATS Output'!$A$1:$AB$30,MATCH($C8,'Proposed CATS Output'!$A$1:$A$30,0),MATCH(R$2,'Proposed CATS Output'!$A$1:$AB$1,0))</f>
        <v>717.69639399902837</v>
      </c>
      <c r="S8" s="362">
        <f>INDEX('Proposed CATS Output'!$A$1:$AB$30,MATCH($C8,'Proposed CATS Output'!$A$1:$A$30,0),MATCH(S$2,'Proposed CATS Output'!$A$1:$AB$1,0))</f>
        <v>654.67258888205117</v>
      </c>
      <c r="T8" s="362">
        <f>INDEX('Proposed CATS Output'!$A$1:$AB$30,MATCH($C8,'Proposed CATS Output'!$A$1:$A$30,0),MATCH(T$2,'Proposed CATS Output'!$A$1:$AB$1,0))</f>
        <v>594.00991406812432</v>
      </c>
      <c r="U8" s="362">
        <f>INDEX('Proposed CATS Output'!$A$1:$AB$30,MATCH($C8,'Proposed CATS Output'!$A$1:$A$30,0),MATCH(U$2,'Proposed CATS Output'!$A$1:$AB$1,0))</f>
        <v>536.27170872226725</v>
      </c>
      <c r="V8" s="362">
        <f>INDEX('Proposed CATS Output'!$A$1:$AB$30,MATCH($C8,'Proposed CATS Output'!$A$1:$A$30,0),MATCH(V$2,'Proposed CATS Output'!$A$1:$AB$1,0))</f>
        <v>481.80934274936561</v>
      </c>
      <c r="W8" s="362">
        <f>INDEX('Proposed CATS Output'!$A$1:$AB$30,MATCH($C8,'Proposed CATS Output'!$A$1:$A$30,0),MATCH(W$2,'Proposed CATS Output'!$A$1:$AB$1,0))</f>
        <v>430.5064041777058</v>
      </c>
      <c r="X8" s="362">
        <f>INDEX('Proposed CATS Output'!$A$1:$AB$30,MATCH($C8,'Proposed CATS Output'!$A$1:$A$30,0),MATCH(X$2,'Proposed CATS Output'!$A$1:$AB$1,0))</f>
        <v>382.47201147681511</v>
      </c>
      <c r="Y8" s="362">
        <f>INDEX('Proposed CATS Output'!$A$1:$AB$30,MATCH($C8,'Proposed CATS Output'!$A$1:$A$30,0),MATCH(Y$2,'Proposed CATS Output'!$A$1:$AB$1,0))</f>
        <v>337.8482549445614</v>
      </c>
      <c r="Z8" s="362">
        <f>INDEX('Proposed CATS Output'!$A$1:$AB$30,MATCH($C8,'Proposed CATS Output'!$A$1:$A$30,0),MATCH(Z$2,'Proposed CATS Output'!$A$1:$AB$1,0))</f>
        <v>296.73966168960862</v>
      </c>
      <c r="AA8" s="362">
        <f>INDEX('Proposed CATS Output'!$A$1:$AB$30,MATCH($C8,'Proposed CATS Output'!$A$1:$A$30,0),MATCH(AA$2,'Proposed CATS Output'!$A$1:$AB$1,0))</f>
        <v>258.91700877732791</v>
      </c>
      <c r="AB8" s="362">
        <f>INDEX('Proposed CATS Output'!$A$1:$AB$30,MATCH($C8,'Proposed CATS Output'!$A$1:$A$30,0),MATCH(AB$2,'Proposed CATS Output'!$A$1:$AB$1,0))</f>
        <v>224.44128171703099</v>
      </c>
      <c r="AC8" s="362">
        <f>INDEX('Proposed CATS Output'!$A$1:$AB$30,MATCH($C8,'Proposed CATS Output'!$A$1:$A$30,0),MATCH(AC$2,'Proposed CATS Output'!$A$1:$AB$1,0))</f>
        <v>195.76913761252359</v>
      </c>
    </row>
    <row r="9" spans="2:29">
      <c r="C9" s="68" t="s">
        <v>29</v>
      </c>
      <c r="D9" s="68" t="s">
        <v>22</v>
      </c>
      <c r="E9" s="362">
        <f>INDEX('Proposed CATS Output'!$A$1:$AB$30,MATCH($C9,'Proposed CATS Output'!$A$1:$A$30,0),MATCH(E$2,'Proposed CATS Output'!$A$1:$AB$1,0))</f>
        <v>0</v>
      </c>
      <c r="F9" s="362">
        <f>INDEX('Proposed CATS Output'!$A$1:$AB$30,MATCH($C9,'Proposed CATS Output'!$A$1:$A$30,0),MATCH(F$2,'Proposed CATS Output'!$A$1:$AB$1,0))</f>
        <v>0</v>
      </c>
      <c r="G9" s="362">
        <f>INDEX('Proposed CATS Output'!$A$1:$AB$30,MATCH($C9,'Proposed CATS Output'!$A$1:$A$30,0),MATCH(G$2,'Proposed CATS Output'!$A$1:$AB$1,0))</f>
        <v>0</v>
      </c>
      <c r="H9" s="362">
        <f>INDEX('Proposed CATS Output'!$A$1:$AB$30,MATCH($C9,'Proposed CATS Output'!$A$1:$A$30,0),MATCH(H$2,'Proposed CATS Output'!$A$1:$AB$1,0))</f>
        <v>0</v>
      </c>
      <c r="I9" s="362">
        <f>INDEX('Proposed CATS Output'!$A$1:$AB$30,MATCH($C9,'Proposed CATS Output'!$A$1:$A$30,0),MATCH(I$2,'Proposed CATS Output'!$A$1:$AB$1,0))</f>
        <v>0</v>
      </c>
      <c r="J9" s="362">
        <f>INDEX('Proposed CATS Output'!$A$1:$AB$30,MATCH($C9,'Proposed CATS Output'!$A$1:$A$30,0),MATCH(J$2,'Proposed CATS Output'!$A$1:$AB$1,0))</f>
        <v>0</v>
      </c>
      <c r="K9" s="362">
        <f>INDEX('Proposed CATS Output'!$A$1:$AB$30,MATCH($C9,'Proposed CATS Output'!$A$1:$A$30,0),MATCH(K$2,'Proposed CATS Output'!$A$1:$AB$1,0))</f>
        <v>0</v>
      </c>
      <c r="L9" s="362">
        <f>INDEX('Proposed CATS Output'!$A$1:$AB$30,MATCH($C9,'Proposed CATS Output'!$A$1:$A$30,0),MATCH(L$2,'Proposed CATS Output'!$A$1:$AB$1,0))</f>
        <v>0</v>
      </c>
      <c r="M9" s="362">
        <f>INDEX('Proposed CATS Output'!$A$1:$AB$30,MATCH($C9,'Proposed CATS Output'!$A$1:$A$30,0),MATCH(M$2,'Proposed CATS Output'!$A$1:$AB$1,0))</f>
        <v>0</v>
      </c>
      <c r="N9" s="362">
        <f>INDEX('Proposed CATS Output'!$A$1:$AB$30,MATCH($C9,'Proposed CATS Output'!$A$1:$A$30,0),MATCH(N$2,'Proposed CATS Output'!$A$1:$AB$1,0))</f>
        <v>0</v>
      </c>
      <c r="O9" s="362">
        <f>INDEX('Proposed CATS Output'!$A$1:$AB$30,MATCH($C9,'Proposed CATS Output'!$A$1:$A$30,0),MATCH(O$2,'Proposed CATS Output'!$A$1:$AB$1,0))</f>
        <v>0</v>
      </c>
      <c r="P9" s="362">
        <f>INDEX('Proposed CATS Output'!$A$1:$AB$30,MATCH($C9,'Proposed CATS Output'!$A$1:$A$30,0),MATCH(P$2,'Proposed CATS Output'!$A$1:$AB$1,0))</f>
        <v>0</v>
      </c>
      <c r="Q9" s="362">
        <f>INDEX('Proposed CATS Output'!$A$1:$AB$30,MATCH($C9,'Proposed CATS Output'!$A$1:$A$30,0),MATCH(Q$2,'Proposed CATS Output'!$A$1:$AB$1,0))</f>
        <v>0</v>
      </c>
      <c r="R9" s="362">
        <f>INDEX('Proposed CATS Output'!$A$1:$AB$30,MATCH($C9,'Proposed CATS Output'!$A$1:$A$30,0),MATCH(R$2,'Proposed CATS Output'!$A$1:$AB$1,0))</f>
        <v>0</v>
      </c>
      <c r="S9" s="362">
        <f>INDEX('Proposed CATS Output'!$A$1:$AB$30,MATCH($C9,'Proposed CATS Output'!$A$1:$A$30,0),MATCH(S$2,'Proposed CATS Output'!$A$1:$AB$1,0))</f>
        <v>0</v>
      </c>
      <c r="T9" s="362">
        <f>INDEX('Proposed CATS Output'!$A$1:$AB$30,MATCH($C9,'Proposed CATS Output'!$A$1:$A$30,0),MATCH(T$2,'Proposed CATS Output'!$A$1:$AB$1,0))</f>
        <v>0</v>
      </c>
      <c r="U9" s="362">
        <f>INDEX('Proposed CATS Output'!$A$1:$AB$30,MATCH($C9,'Proposed CATS Output'!$A$1:$A$30,0),MATCH(U$2,'Proposed CATS Output'!$A$1:$AB$1,0))</f>
        <v>0</v>
      </c>
      <c r="V9" s="362">
        <f>INDEX('Proposed CATS Output'!$A$1:$AB$30,MATCH($C9,'Proposed CATS Output'!$A$1:$A$30,0),MATCH(V$2,'Proposed CATS Output'!$A$1:$AB$1,0))</f>
        <v>0</v>
      </c>
      <c r="W9" s="362">
        <f>INDEX('Proposed CATS Output'!$A$1:$AB$30,MATCH($C9,'Proposed CATS Output'!$A$1:$A$30,0),MATCH(W$2,'Proposed CATS Output'!$A$1:$AB$1,0))</f>
        <v>0</v>
      </c>
      <c r="X9" s="362">
        <f>INDEX('Proposed CATS Output'!$A$1:$AB$30,MATCH($C9,'Proposed CATS Output'!$A$1:$A$30,0),MATCH(X$2,'Proposed CATS Output'!$A$1:$AB$1,0))</f>
        <v>0</v>
      </c>
      <c r="Y9" s="362">
        <f>INDEX('Proposed CATS Output'!$A$1:$AB$30,MATCH($C9,'Proposed CATS Output'!$A$1:$A$30,0),MATCH(Y$2,'Proposed CATS Output'!$A$1:$AB$1,0))</f>
        <v>0</v>
      </c>
      <c r="Z9" s="362">
        <f>INDEX('Proposed CATS Output'!$A$1:$AB$30,MATCH($C9,'Proposed CATS Output'!$A$1:$A$30,0),MATCH(Z$2,'Proposed CATS Output'!$A$1:$AB$1,0))</f>
        <v>0</v>
      </c>
      <c r="AA9" s="362">
        <f>INDEX('Proposed CATS Output'!$A$1:$AB$30,MATCH($C9,'Proposed CATS Output'!$A$1:$A$30,0),MATCH(AA$2,'Proposed CATS Output'!$A$1:$AB$1,0))</f>
        <v>0</v>
      </c>
      <c r="AB9" s="362">
        <f>INDEX('Proposed CATS Output'!$A$1:$AB$30,MATCH($C9,'Proposed CATS Output'!$A$1:$A$30,0),MATCH(AB$2,'Proposed CATS Output'!$A$1:$AB$1,0))</f>
        <v>0</v>
      </c>
      <c r="AC9" s="362">
        <f>INDEX('Proposed CATS Output'!$A$1:$AB$30,MATCH($C9,'Proposed CATS Output'!$A$1:$A$30,0),MATCH(AC$2,'Proposed CATS Output'!$A$1:$AB$1,0))</f>
        <v>0</v>
      </c>
    </row>
    <row r="10" spans="2:29">
      <c r="C10" s="68" t="s">
        <v>27</v>
      </c>
      <c r="D10" s="68" t="s">
        <v>22</v>
      </c>
      <c r="E10" s="362">
        <f>INDEX('Proposed CATS Output'!$A$1:$AB$30,MATCH($C10,'Proposed CATS Output'!$A$1:$A$30,0),MATCH(E$2,'Proposed CATS Output'!$A$1:$AB$1,0))</f>
        <v>0</v>
      </c>
      <c r="F10" s="362">
        <f>INDEX('Proposed CATS Output'!$A$1:$AB$30,MATCH($C10,'Proposed CATS Output'!$A$1:$A$30,0),MATCH(F$2,'Proposed CATS Output'!$A$1:$AB$1,0))</f>
        <v>0</v>
      </c>
      <c r="G10" s="362">
        <f>INDEX('Proposed CATS Output'!$A$1:$AB$30,MATCH($C10,'Proposed CATS Output'!$A$1:$A$30,0),MATCH(G$2,'Proposed CATS Output'!$A$1:$AB$1,0))</f>
        <v>0</v>
      </c>
      <c r="H10" s="362">
        <f>INDEX('Proposed CATS Output'!$A$1:$AB$30,MATCH($C10,'Proposed CATS Output'!$A$1:$A$30,0),MATCH(H$2,'Proposed CATS Output'!$A$1:$AB$1,0))</f>
        <v>0</v>
      </c>
      <c r="I10" s="362">
        <f>INDEX('Proposed CATS Output'!$A$1:$AB$30,MATCH($C10,'Proposed CATS Output'!$A$1:$A$30,0),MATCH(I$2,'Proposed CATS Output'!$A$1:$AB$1,0))</f>
        <v>0</v>
      </c>
      <c r="J10" s="362">
        <f>INDEX('Proposed CATS Output'!$A$1:$AB$30,MATCH($C10,'Proposed CATS Output'!$A$1:$A$30,0),MATCH(J$2,'Proposed CATS Output'!$A$1:$AB$1,0))</f>
        <v>0</v>
      </c>
      <c r="K10" s="362">
        <f>INDEX('Proposed CATS Output'!$A$1:$AB$30,MATCH($C10,'Proposed CATS Output'!$A$1:$A$30,0),MATCH(K$2,'Proposed CATS Output'!$A$1:$AB$1,0))</f>
        <v>0</v>
      </c>
      <c r="L10" s="362">
        <f>INDEX('Proposed CATS Output'!$A$1:$AB$30,MATCH($C10,'Proposed CATS Output'!$A$1:$A$30,0),MATCH(L$2,'Proposed CATS Output'!$A$1:$AB$1,0))</f>
        <v>0</v>
      </c>
      <c r="M10" s="362">
        <f>INDEX('Proposed CATS Output'!$A$1:$AB$30,MATCH($C10,'Proposed CATS Output'!$A$1:$A$30,0),MATCH(M$2,'Proposed CATS Output'!$A$1:$AB$1,0))</f>
        <v>0</v>
      </c>
      <c r="N10" s="362">
        <f>INDEX('Proposed CATS Output'!$A$1:$AB$30,MATCH($C10,'Proposed CATS Output'!$A$1:$A$30,0),MATCH(N$2,'Proposed CATS Output'!$A$1:$AB$1,0))</f>
        <v>0</v>
      </c>
      <c r="O10" s="362">
        <f>INDEX('Proposed CATS Output'!$A$1:$AB$30,MATCH($C10,'Proposed CATS Output'!$A$1:$A$30,0),MATCH(O$2,'Proposed CATS Output'!$A$1:$AB$1,0))</f>
        <v>0</v>
      </c>
      <c r="P10" s="362">
        <f>INDEX('Proposed CATS Output'!$A$1:$AB$30,MATCH($C10,'Proposed CATS Output'!$A$1:$A$30,0),MATCH(P$2,'Proposed CATS Output'!$A$1:$AB$1,0))</f>
        <v>0</v>
      </c>
      <c r="Q10" s="362">
        <f>INDEX('Proposed CATS Output'!$A$1:$AB$30,MATCH($C10,'Proposed CATS Output'!$A$1:$A$30,0),MATCH(Q$2,'Proposed CATS Output'!$A$1:$AB$1,0))</f>
        <v>0</v>
      </c>
      <c r="R10" s="362">
        <f>INDEX('Proposed CATS Output'!$A$1:$AB$30,MATCH($C10,'Proposed CATS Output'!$A$1:$A$30,0),MATCH(R$2,'Proposed CATS Output'!$A$1:$AB$1,0))</f>
        <v>0</v>
      </c>
      <c r="S10" s="362">
        <f>INDEX('Proposed CATS Output'!$A$1:$AB$30,MATCH($C10,'Proposed CATS Output'!$A$1:$A$30,0),MATCH(S$2,'Proposed CATS Output'!$A$1:$AB$1,0))</f>
        <v>0</v>
      </c>
      <c r="T10" s="362">
        <f>INDEX('Proposed CATS Output'!$A$1:$AB$30,MATCH($C10,'Proposed CATS Output'!$A$1:$A$30,0),MATCH(T$2,'Proposed CATS Output'!$A$1:$AB$1,0))</f>
        <v>0</v>
      </c>
      <c r="U10" s="362">
        <f>INDEX('Proposed CATS Output'!$A$1:$AB$30,MATCH($C10,'Proposed CATS Output'!$A$1:$A$30,0),MATCH(U$2,'Proposed CATS Output'!$A$1:$AB$1,0))</f>
        <v>0</v>
      </c>
      <c r="V10" s="362">
        <f>INDEX('Proposed CATS Output'!$A$1:$AB$30,MATCH($C10,'Proposed CATS Output'!$A$1:$A$30,0),MATCH(V$2,'Proposed CATS Output'!$A$1:$AB$1,0))</f>
        <v>0</v>
      </c>
      <c r="W10" s="362">
        <f>INDEX('Proposed CATS Output'!$A$1:$AB$30,MATCH($C10,'Proposed CATS Output'!$A$1:$A$30,0),MATCH(W$2,'Proposed CATS Output'!$A$1:$AB$1,0))</f>
        <v>75.254672526833346</v>
      </c>
      <c r="X10" s="362">
        <f>INDEX('Proposed CATS Output'!$A$1:$AB$30,MATCH($C10,'Proposed CATS Output'!$A$1:$A$30,0),MATCH(X$2,'Proposed CATS Output'!$A$1:$AB$1,0))</f>
        <v>87.495648467766671</v>
      </c>
      <c r="Y10" s="362">
        <f>INDEX('Proposed CATS Output'!$A$1:$AB$30,MATCH($C10,'Proposed CATS Output'!$A$1:$A$30,0),MATCH(Y$2,'Proposed CATS Output'!$A$1:$AB$1,0))</f>
        <v>54.098535066666649</v>
      </c>
      <c r="Z10" s="362">
        <f>INDEX('Proposed CATS Output'!$A$1:$AB$30,MATCH($C10,'Proposed CATS Output'!$A$1:$A$30,0),MATCH(Z$2,'Proposed CATS Output'!$A$1:$AB$1,0))</f>
        <v>36.282880931833333</v>
      </c>
      <c r="AA10" s="362">
        <f>INDEX('Proposed CATS Output'!$A$1:$AB$30,MATCH($C10,'Proposed CATS Output'!$A$1:$A$30,0),MATCH(AA$2,'Proposed CATS Output'!$A$1:$AB$1,0))</f>
        <v>36.045780879566671</v>
      </c>
      <c r="AB10" s="362">
        <f>INDEX('Proposed CATS Output'!$A$1:$AB$30,MATCH($C10,'Proposed CATS Output'!$A$1:$A$30,0),MATCH(AB$2,'Proposed CATS Output'!$A$1:$AB$1,0))</f>
        <v>38.661276388026643</v>
      </c>
      <c r="AC10" s="362">
        <f>INDEX('Proposed CATS Output'!$A$1:$AB$30,MATCH($C10,'Proposed CATS Output'!$A$1:$A$30,0),MATCH(AC$2,'Proposed CATS Output'!$A$1:$AB$1,0))</f>
        <v>54.125786943237308</v>
      </c>
    </row>
    <row r="11" spans="2:29">
      <c r="C11" s="68" t="s">
        <v>28</v>
      </c>
      <c r="D11" s="68" t="s">
        <v>22</v>
      </c>
      <c r="E11" s="362">
        <f>INDEX('Proposed CATS Output'!$A$1:$AB$30,MATCH($C11,'Proposed CATS Output'!$A$1:$A$30,0),MATCH(E$2,'Proposed CATS Output'!$A$1:$AB$1,0))</f>
        <v>0</v>
      </c>
      <c r="F11" s="362">
        <f>INDEX('Proposed CATS Output'!$A$1:$AB$30,MATCH($C11,'Proposed CATS Output'!$A$1:$A$30,0),MATCH(F$2,'Proposed CATS Output'!$A$1:$AB$1,0))</f>
        <v>0</v>
      </c>
      <c r="G11" s="362">
        <f>INDEX('Proposed CATS Output'!$A$1:$AB$30,MATCH($C11,'Proposed CATS Output'!$A$1:$A$30,0),MATCH(G$2,'Proposed CATS Output'!$A$1:$AB$1,0))</f>
        <v>0</v>
      </c>
      <c r="H11" s="362">
        <f>INDEX('Proposed CATS Output'!$A$1:$AB$30,MATCH($C11,'Proposed CATS Output'!$A$1:$A$30,0),MATCH(H$2,'Proposed CATS Output'!$A$1:$AB$1,0))</f>
        <v>2.0055063</v>
      </c>
      <c r="I11" s="362">
        <f>INDEX('Proposed CATS Output'!$A$1:$AB$30,MATCH($C11,'Proposed CATS Output'!$A$1:$A$30,0),MATCH(I$2,'Proposed CATS Output'!$A$1:$AB$1,0))</f>
        <v>3.863752158333333</v>
      </c>
      <c r="J11" s="362">
        <f>INDEX('Proposed CATS Output'!$A$1:$AB$30,MATCH($C11,'Proposed CATS Output'!$A$1:$A$30,0),MATCH(J$2,'Proposed CATS Output'!$A$1:$AB$1,0))</f>
        <v>6.8395097083333338</v>
      </c>
      <c r="K11" s="362">
        <f>INDEX('Proposed CATS Output'!$A$1:$AB$30,MATCH($C11,'Proposed CATS Output'!$A$1:$A$30,0),MATCH(K$2,'Proposed CATS Output'!$A$1:$AB$1,0))</f>
        <v>10.851397933333329</v>
      </c>
      <c r="L11" s="362">
        <f>INDEX('Proposed CATS Output'!$A$1:$AB$30,MATCH($C11,'Proposed CATS Output'!$A$1:$A$30,0),MATCH(L$2,'Proposed CATS Output'!$A$1:$AB$1,0))</f>
        <v>0</v>
      </c>
      <c r="M11" s="362">
        <f>INDEX('Proposed CATS Output'!$A$1:$AB$30,MATCH($C11,'Proposed CATS Output'!$A$1:$A$30,0),MATCH(M$2,'Proposed CATS Output'!$A$1:$AB$1,0))</f>
        <v>0</v>
      </c>
      <c r="N11" s="362">
        <f>INDEX('Proposed CATS Output'!$A$1:$AB$30,MATCH($C11,'Proposed CATS Output'!$A$1:$A$30,0),MATCH(N$2,'Proposed CATS Output'!$A$1:$AB$1,0))</f>
        <v>0</v>
      </c>
      <c r="O11" s="362">
        <f>INDEX('Proposed CATS Output'!$A$1:$AB$30,MATCH($C11,'Proposed CATS Output'!$A$1:$A$30,0),MATCH(O$2,'Proposed CATS Output'!$A$1:$AB$1,0))</f>
        <v>0</v>
      </c>
      <c r="P11" s="362">
        <f>INDEX('Proposed CATS Output'!$A$1:$AB$30,MATCH($C11,'Proposed CATS Output'!$A$1:$A$30,0),MATCH(P$2,'Proposed CATS Output'!$A$1:$AB$1,0))</f>
        <v>12.35969396142362</v>
      </c>
      <c r="Q11" s="362">
        <f>INDEX('Proposed CATS Output'!$A$1:$AB$30,MATCH($C11,'Proposed CATS Output'!$A$1:$A$30,0),MATCH(Q$2,'Proposed CATS Output'!$A$1:$AB$1,0))</f>
        <v>0</v>
      </c>
      <c r="R11" s="362">
        <f>INDEX('Proposed CATS Output'!$A$1:$AB$30,MATCH($C11,'Proposed CATS Output'!$A$1:$A$30,0),MATCH(R$2,'Proposed CATS Output'!$A$1:$AB$1,0))</f>
        <v>17.58700801985875</v>
      </c>
      <c r="S11" s="362">
        <f>INDEX('Proposed CATS Output'!$A$1:$AB$30,MATCH($C11,'Proposed CATS Output'!$A$1:$A$30,0),MATCH(S$2,'Proposed CATS Output'!$A$1:$AB$1,0))</f>
        <v>37.797658982447643</v>
      </c>
      <c r="T11" s="362">
        <f>INDEX('Proposed CATS Output'!$A$1:$AB$30,MATCH($C11,'Proposed CATS Output'!$A$1:$A$30,0),MATCH(T$2,'Proposed CATS Output'!$A$1:$AB$1,0))</f>
        <v>52.916722575426718</v>
      </c>
      <c r="U11" s="362">
        <f>INDEX('Proposed CATS Output'!$A$1:$AB$30,MATCH($C11,'Proposed CATS Output'!$A$1:$A$30,0),MATCH(U$2,'Proposed CATS Output'!$A$1:$AB$1,0))</f>
        <v>66.567018985256041</v>
      </c>
      <c r="V11" s="362">
        <f>INDEX('Proposed CATS Output'!$A$1:$AB$30,MATCH($C11,'Proposed CATS Output'!$A$1:$A$30,0),MATCH(V$2,'Proposed CATS Output'!$A$1:$AB$1,0))</f>
        <v>58.844067539166673</v>
      </c>
      <c r="W11" s="362">
        <f>INDEX('Proposed CATS Output'!$A$1:$AB$30,MATCH($C11,'Proposed CATS Output'!$A$1:$A$30,0),MATCH(W$2,'Proposed CATS Output'!$A$1:$AB$1,0))</f>
        <v>0</v>
      </c>
      <c r="X11" s="362">
        <f>INDEX('Proposed CATS Output'!$A$1:$AB$30,MATCH($C11,'Proposed CATS Output'!$A$1:$A$30,0),MATCH(X$2,'Proposed CATS Output'!$A$1:$AB$1,0))</f>
        <v>0</v>
      </c>
      <c r="Y11" s="362">
        <f>INDEX('Proposed CATS Output'!$A$1:$AB$30,MATCH($C11,'Proposed CATS Output'!$A$1:$A$30,0),MATCH(Y$2,'Proposed CATS Output'!$A$1:$AB$1,0))</f>
        <v>0</v>
      </c>
      <c r="Z11" s="362">
        <f>INDEX('Proposed CATS Output'!$A$1:$AB$30,MATCH($C11,'Proposed CATS Output'!$A$1:$A$30,0),MATCH(Z$2,'Proposed CATS Output'!$A$1:$AB$1,0))</f>
        <v>42.807395818166661</v>
      </c>
      <c r="AA11" s="362">
        <f>INDEX('Proposed CATS Output'!$A$1:$AB$30,MATCH($C11,'Proposed CATS Output'!$A$1:$A$30,0),MATCH(AA$2,'Proposed CATS Output'!$A$1:$AB$1,0))</f>
        <v>59.930354145433341</v>
      </c>
      <c r="AB11" s="362">
        <f>INDEX('Proposed CATS Output'!$A$1:$AB$30,MATCH($C11,'Proposed CATS Output'!$A$1:$A$30,0),MATCH(AB$2,'Proposed CATS Output'!$A$1:$AB$1,0))</f>
        <v>68.752032550426662</v>
      </c>
      <c r="AC11" s="362">
        <f>INDEX('Proposed CATS Output'!$A$1:$AB$30,MATCH($C11,'Proposed CATS Output'!$A$1:$A$30,0),MATCH(AC$2,'Proposed CATS Output'!$A$1:$AB$1,0))</f>
        <v>48.795260586666693</v>
      </c>
    </row>
    <row r="12" spans="2:29">
      <c r="C12" s="68" t="s">
        <v>30</v>
      </c>
      <c r="D12" s="68" t="s">
        <v>22</v>
      </c>
      <c r="E12" s="362">
        <f>INDEX('Proposed CATS Output'!$A$1:$AB$30,MATCH($C12,'Proposed CATS Output'!$A$1:$A$30,0),MATCH(E$2,'Proposed CATS Output'!$A$1:$AB$1,0))</f>
        <v>0</v>
      </c>
      <c r="F12" s="362">
        <f>INDEX('Proposed CATS Output'!$A$1:$AB$30,MATCH($C12,'Proposed CATS Output'!$A$1:$A$30,0),MATCH(F$2,'Proposed CATS Output'!$A$1:$AB$1,0))</f>
        <v>0</v>
      </c>
      <c r="G12" s="362">
        <f>INDEX('Proposed CATS Output'!$A$1:$AB$30,MATCH($C12,'Proposed CATS Output'!$A$1:$A$30,0),MATCH(G$2,'Proposed CATS Output'!$A$1:$AB$1,0))</f>
        <v>0</v>
      </c>
      <c r="H12" s="362">
        <f>INDEX('Proposed CATS Output'!$A$1:$AB$30,MATCH($C12,'Proposed CATS Output'!$A$1:$A$30,0),MATCH(H$2,'Proposed CATS Output'!$A$1:$AB$1,0))</f>
        <v>0</v>
      </c>
      <c r="I12" s="362">
        <f>INDEX('Proposed CATS Output'!$A$1:$AB$30,MATCH($C12,'Proposed CATS Output'!$A$1:$A$30,0),MATCH(I$2,'Proposed CATS Output'!$A$1:$AB$1,0))</f>
        <v>0</v>
      </c>
      <c r="J12" s="362">
        <f>INDEX('Proposed CATS Output'!$A$1:$AB$30,MATCH($C12,'Proposed CATS Output'!$A$1:$A$30,0),MATCH(J$2,'Proposed CATS Output'!$A$1:$AB$1,0))</f>
        <v>0</v>
      </c>
      <c r="K12" s="362">
        <f>INDEX('Proposed CATS Output'!$A$1:$AB$30,MATCH($C12,'Proposed CATS Output'!$A$1:$A$30,0),MATCH(K$2,'Proposed CATS Output'!$A$1:$AB$1,0))</f>
        <v>0</v>
      </c>
      <c r="L12" s="362">
        <f>INDEX('Proposed CATS Output'!$A$1:$AB$30,MATCH($C12,'Proposed CATS Output'!$A$1:$A$30,0),MATCH(L$2,'Proposed CATS Output'!$A$1:$AB$1,0))</f>
        <v>0</v>
      </c>
      <c r="M12" s="362">
        <f>INDEX('Proposed CATS Output'!$A$1:$AB$30,MATCH($C12,'Proposed CATS Output'!$A$1:$A$30,0),MATCH(M$2,'Proposed CATS Output'!$A$1:$AB$1,0))</f>
        <v>0</v>
      </c>
      <c r="N12" s="362">
        <f>INDEX('Proposed CATS Output'!$A$1:$AB$30,MATCH($C12,'Proposed CATS Output'!$A$1:$A$30,0),MATCH(N$2,'Proposed CATS Output'!$A$1:$AB$1,0))</f>
        <v>0</v>
      </c>
      <c r="O12" s="362">
        <f>INDEX('Proposed CATS Output'!$A$1:$AB$30,MATCH($C12,'Proposed CATS Output'!$A$1:$A$30,0),MATCH(O$2,'Proposed CATS Output'!$A$1:$AB$1,0))</f>
        <v>0</v>
      </c>
      <c r="P12" s="362">
        <f>INDEX('Proposed CATS Output'!$A$1:$AB$30,MATCH($C12,'Proposed CATS Output'!$A$1:$A$30,0),MATCH(P$2,'Proposed CATS Output'!$A$1:$AB$1,0))</f>
        <v>0</v>
      </c>
      <c r="Q12" s="362">
        <f>INDEX('Proposed CATS Output'!$A$1:$AB$30,MATCH($C12,'Proposed CATS Output'!$A$1:$A$30,0),MATCH(Q$2,'Proposed CATS Output'!$A$1:$AB$1,0))</f>
        <v>0</v>
      </c>
      <c r="R12" s="362">
        <f>INDEX('Proposed CATS Output'!$A$1:$AB$30,MATCH($C12,'Proposed CATS Output'!$A$1:$A$30,0),MATCH(R$2,'Proposed CATS Output'!$A$1:$AB$1,0))</f>
        <v>0</v>
      </c>
      <c r="S12" s="362">
        <f>INDEX('Proposed CATS Output'!$A$1:$AB$30,MATCH($C12,'Proposed CATS Output'!$A$1:$A$30,0),MATCH(S$2,'Proposed CATS Output'!$A$1:$AB$1,0))</f>
        <v>0</v>
      </c>
      <c r="T12" s="362">
        <f>INDEX('Proposed CATS Output'!$A$1:$AB$30,MATCH($C12,'Proposed CATS Output'!$A$1:$A$30,0),MATCH(T$2,'Proposed CATS Output'!$A$1:$AB$1,0))</f>
        <v>0</v>
      </c>
      <c r="U12" s="362">
        <f>INDEX('Proposed CATS Output'!$A$1:$AB$30,MATCH($C12,'Proposed CATS Output'!$A$1:$A$30,0),MATCH(U$2,'Proposed CATS Output'!$A$1:$AB$1,0))</f>
        <v>0</v>
      </c>
      <c r="V12" s="362">
        <f>INDEX('Proposed CATS Output'!$A$1:$AB$30,MATCH($C12,'Proposed CATS Output'!$A$1:$A$30,0),MATCH(V$2,'Proposed CATS Output'!$A$1:$AB$1,0))</f>
        <v>0</v>
      </c>
      <c r="W12" s="362">
        <f>INDEX('Proposed CATS Output'!$A$1:$AB$30,MATCH($C12,'Proposed CATS Output'!$A$1:$A$30,0),MATCH(W$2,'Proposed CATS Output'!$A$1:$AB$1,0))</f>
        <v>0</v>
      </c>
      <c r="X12" s="362">
        <f>INDEX('Proposed CATS Output'!$A$1:$AB$30,MATCH($C12,'Proposed CATS Output'!$A$1:$A$30,0),MATCH(X$2,'Proposed CATS Output'!$A$1:$AB$1,0))</f>
        <v>0</v>
      </c>
      <c r="Y12" s="362">
        <f>INDEX('Proposed CATS Output'!$A$1:$AB$30,MATCH($C12,'Proposed CATS Output'!$A$1:$A$30,0),MATCH(Y$2,'Proposed CATS Output'!$A$1:$AB$1,0))</f>
        <v>0</v>
      </c>
      <c r="Z12" s="362">
        <f>INDEX('Proposed CATS Output'!$A$1:$AB$30,MATCH($C12,'Proposed CATS Output'!$A$1:$A$30,0),MATCH(Z$2,'Proposed CATS Output'!$A$1:$AB$1,0))</f>
        <v>0</v>
      </c>
      <c r="AA12" s="362">
        <f>INDEX('Proposed CATS Output'!$A$1:$AB$30,MATCH($C12,'Proposed CATS Output'!$A$1:$A$30,0),MATCH(AA$2,'Proposed CATS Output'!$A$1:$AB$1,0))</f>
        <v>0</v>
      </c>
      <c r="AB12" s="362">
        <f>INDEX('Proposed CATS Output'!$A$1:$AB$30,MATCH($C12,'Proposed CATS Output'!$A$1:$A$30,0),MATCH(AB$2,'Proposed CATS Output'!$A$1:$AB$1,0))</f>
        <v>0</v>
      </c>
      <c r="AC12" s="362">
        <f>INDEX('Proposed CATS Output'!$A$1:$AB$30,MATCH($C12,'Proposed CATS Output'!$A$1:$A$30,0),MATCH(AC$2,'Proposed CATS Output'!$A$1:$AB$1,0))</f>
        <v>0</v>
      </c>
    </row>
    <row r="13" spans="2:29">
      <c r="C13" s="68" t="s">
        <v>31</v>
      </c>
      <c r="D13" s="68" t="s">
        <v>22</v>
      </c>
      <c r="E13" s="362">
        <f>INDEX('Proposed CATS Output'!$A$1:$AB$30,MATCH($C13,'Proposed CATS Output'!$A$1:$A$30,0),MATCH(E$2,'Proposed CATS Output'!$A$1:$AB$1,0))</f>
        <v>1.0825233750000001</v>
      </c>
      <c r="F13" s="362">
        <f>INDEX('Proposed CATS Output'!$A$1:$AB$30,MATCH($C13,'Proposed CATS Output'!$A$1:$A$30,0),MATCH(F$2,'Proposed CATS Output'!$A$1:$AB$1,0))</f>
        <v>1.2335523333333329</v>
      </c>
      <c r="G13" s="362">
        <f>INDEX('Proposed CATS Output'!$A$1:$AB$30,MATCH($C13,'Proposed CATS Output'!$A$1:$A$30,0),MATCH(G$2,'Proposed CATS Output'!$A$1:$AB$1,0))</f>
        <v>1.543232158333333</v>
      </c>
      <c r="H13" s="362">
        <f>INDEX('Proposed CATS Output'!$A$1:$AB$30,MATCH($C13,'Proposed CATS Output'!$A$1:$A$30,0),MATCH(H$2,'Proposed CATS Output'!$A$1:$AB$1,0))</f>
        <v>0</v>
      </c>
      <c r="I13" s="362">
        <f>INDEX('Proposed CATS Output'!$A$1:$AB$30,MATCH($C13,'Proposed CATS Output'!$A$1:$A$30,0),MATCH(I$2,'Proposed CATS Output'!$A$1:$AB$1,0))</f>
        <v>0</v>
      </c>
      <c r="J13" s="362">
        <f>INDEX('Proposed CATS Output'!$A$1:$AB$30,MATCH($C13,'Proposed CATS Output'!$A$1:$A$30,0),MATCH(J$2,'Proposed CATS Output'!$A$1:$AB$1,0))</f>
        <v>0</v>
      </c>
      <c r="K13" s="362">
        <f>INDEX('Proposed CATS Output'!$A$1:$AB$30,MATCH($C13,'Proposed CATS Output'!$A$1:$A$30,0),MATCH(K$2,'Proposed CATS Output'!$A$1:$AB$1,0))</f>
        <v>0</v>
      </c>
      <c r="L13" s="362">
        <f>INDEX('Proposed CATS Output'!$A$1:$AB$30,MATCH($C13,'Proposed CATS Output'!$A$1:$A$30,0),MATCH(L$2,'Proposed CATS Output'!$A$1:$AB$1,0))</f>
        <v>15.86534685833333</v>
      </c>
      <c r="M13" s="362">
        <f>INDEX('Proposed CATS Output'!$A$1:$AB$30,MATCH($C13,'Proposed CATS Output'!$A$1:$A$30,0),MATCH(M$2,'Proposed CATS Output'!$A$1:$AB$1,0))</f>
        <v>21.928768191666659</v>
      </c>
      <c r="N13" s="362">
        <f>INDEX('Proposed CATS Output'!$A$1:$AB$30,MATCH($C13,'Proposed CATS Output'!$A$1:$A$30,0),MATCH(N$2,'Proposed CATS Output'!$A$1:$AB$1,0))</f>
        <v>28.145119391666672</v>
      </c>
      <c r="O13" s="362">
        <f>INDEX('Proposed CATS Output'!$A$1:$AB$30,MATCH($C13,'Proposed CATS Output'!$A$1:$A$30,0),MATCH(O$2,'Proposed CATS Output'!$A$1:$AB$1,0))</f>
        <v>34.599582799999993</v>
      </c>
      <c r="P13" s="362">
        <f>INDEX('Proposed CATS Output'!$A$1:$AB$30,MATCH($C13,'Proposed CATS Output'!$A$1:$A$30,0),MATCH(P$2,'Proposed CATS Output'!$A$1:$AB$1,0))</f>
        <v>28.95439598857638</v>
      </c>
      <c r="Q13" s="362">
        <f>INDEX('Proposed CATS Output'!$A$1:$AB$30,MATCH($C13,'Proposed CATS Output'!$A$1:$A$30,0),MATCH(Q$2,'Proposed CATS Output'!$A$1:$AB$1,0))</f>
        <v>48.226662391666657</v>
      </c>
      <c r="R13" s="362">
        <f>INDEX('Proposed CATS Output'!$A$1:$AB$30,MATCH($C13,'Proposed CATS Output'!$A$1:$A$30,0),MATCH(R$2,'Proposed CATS Output'!$A$1:$AB$1,0))</f>
        <v>37.805119288474572</v>
      </c>
      <c r="S13" s="362">
        <f>INDEX('Proposed CATS Output'!$A$1:$AB$30,MATCH($C13,'Proposed CATS Output'!$A$1:$A$30,0),MATCH(S$2,'Proposed CATS Output'!$A$1:$AB$1,0))</f>
        <v>24.733445792552359</v>
      </c>
      <c r="T13" s="362">
        <f>INDEX('Proposed CATS Output'!$A$1:$AB$30,MATCH($C13,'Proposed CATS Output'!$A$1:$A$30,0),MATCH(T$2,'Proposed CATS Output'!$A$1:$AB$1,0))</f>
        <v>16.70403902457328</v>
      </c>
      <c r="U13" s="362">
        <f>INDEX('Proposed CATS Output'!$A$1:$AB$30,MATCH($C13,'Proposed CATS Output'!$A$1:$A$30,0),MATCH(U$2,'Proposed CATS Output'!$A$1:$AB$1,0))</f>
        <v>10.022423414743971</v>
      </c>
      <c r="V13" s="362">
        <f>INDEX('Proposed CATS Output'!$A$1:$AB$30,MATCH($C13,'Proposed CATS Output'!$A$1:$A$30,0),MATCH(V$2,'Proposed CATS Output'!$A$1:$AB$1,0))</f>
        <v>24.540940135833321</v>
      </c>
      <c r="W13" s="362">
        <f>INDEX('Proposed CATS Output'!$A$1:$AB$30,MATCH($C13,'Proposed CATS Output'!$A$1:$A$30,0),MATCH(W$2,'Proposed CATS Output'!$A$1:$AB$1,0))</f>
        <v>14.72456408149999</v>
      </c>
      <c r="X13" s="362">
        <f>INDEX('Proposed CATS Output'!$A$1:$AB$30,MATCH($C13,'Proposed CATS Output'!$A$1:$A$30,0),MATCH(X$2,'Proposed CATS Output'!$A$1:$AB$1,0))</f>
        <v>8.8347384488999907</v>
      </c>
      <c r="Y13" s="362">
        <f>INDEX('Proposed CATS Output'!$A$1:$AB$30,MATCH($C13,'Proposed CATS Output'!$A$1:$A$30,0),MATCH(Y$2,'Proposed CATS Output'!$A$1:$AB$1,0))</f>
        <v>48.262500000000003</v>
      </c>
      <c r="Z13" s="362">
        <f>INDEX('Proposed CATS Output'!$A$1:$AB$30,MATCH($C13,'Proposed CATS Output'!$A$1:$A$30,0),MATCH(Z$2,'Proposed CATS Output'!$A$1:$AB$1,0))</f>
        <v>28.9575</v>
      </c>
      <c r="AA13" s="362">
        <f>INDEX('Proposed CATS Output'!$A$1:$AB$30,MATCH($C13,'Proposed CATS Output'!$A$1:$A$30,0),MATCH(AA$2,'Proposed CATS Output'!$A$1:$AB$1,0))</f>
        <v>17.374500000000001</v>
      </c>
      <c r="AB13" s="362">
        <f>INDEX('Proposed CATS Output'!$A$1:$AB$30,MATCH($C13,'Proposed CATS Output'!$A$1:$A$30,0),MATCH(AB$2,'Proposed CATS Output'!$A$1:$AB$1,0))</f>
        <v>10.81666913654669</v>
      </c>
      <c r="AC13" s="362">
        <f>INDEX('Proposed CATS Output'!$A$1:$AB$30,MATCH($C13,'Proposed CATS Output'!$A$1:$A$30,0),MATCH(AC$2,'Proposed CATS Output'!$A$1:$AB$1,0))</f>
        <v>20.439617703429342</v>
      </c>
    </row>
    <row r="14" spans="2:29">
      <c r="C14" s="423" t="s">
        <v>104</v>
      </c>
      <c r="D14" s="423" t="s">
        <v>7</v>
      </c>
      <c r="E14" s="424">
        <v>0</v>
      </c>
      <c r="F14" s="424">
        <v>0</v>
      </c>
      <c r="G14" s="424">
        <v>0</v>
      </c>
      <c r="H14" s="424">
        <v>0</v>
      </c>
      <c r="I14" s="424">
        <v>0</v>
      </c>
      <c r="J14" s="424">
        <v>0</v>
      </c>
      <c r="K14" s="424">
        <v>0</v>
      </c>
      <c r="L14" s="424">
        <v>0</v>
      </c>
      <c r="M14" s="424">
        <v>0</v>
      </c>
      <c r="N14" s="424">
        <v>0</v>
      </c>
      <c r="O14" s="424">
        <v>0</v>
      </c>
      <c r="P14" s="424">
        <v>0</v>
      </c>
      <c r="Q14" s="424">
        <v>0</v>
      </c>
      <c r="R14" s="424">
        <v>0</v>
      </c>
      <c r="S14" s="424">
        <v>0</v>
      </c>
      <c r="T14" s="424">
        <v>0</v>
      </c>
      <c r="U14" s="424">
        <v>0</v>
      </c>
      <c r="V14" s="424">
        <v>0</v>
      </c>
      <c r="W14" s="424">
        <v>0</v>
      </c>
      <c r="X14" s="424">
        <v>0</v>
      </c>
      <c r="Y14" s="424">
        <v>0</v>
      </c>
      <c r="Z14" s="424">
        <v>0</v>
      </c>
      <c r="AA14" s="424">
        <v>0</v>
      </c>
      <c r="AB14" s="424">
        <v>0</v>
      </c>
      <c r="AC14" s="424">
        <v>0</v>
      </c>
    </row>
    <row r="15" spans="2:29">
      <c r="C15" s="10" t="s">
        <v>105</v>
      </c>
      <c r="D15" s="68" t="s">
        <v>7</v>
      </c>
      <c r="E15" s="416">
        <f>SUM(E5,E8)</f>
        <v>1487.7997572926415</v>
      </c>
      <c r="F15" s="416">
        <f t="shared" ref="F15:AC15" si="1">SUM(F5,F8)</f>
        <v>1497.3037574394307</v>
      </c>
      <c r="G15" s="416">
        <f t="shared" si="1"/>
        <v>1507.8958031429768</v>
      </c>
      <c r="H15" s="416">
        <f t="shared" si="1"/>
        <v>1457.8043949991113</v>
      </c>
      <c r="I15" s="416">
        <f t="shared" si="1"/>
        <v>1417.8761681661833</v>
      </c>
      <c r="J15" s="416">
        <f t="shared" si="1"/>
        <v>1370.4785488970874</v>
      </c>
      <c r="K15" s="416">
        <f t="shared" si="1"/>
        <v>1320.9501163080465</v>
      </c>
      <c r="L15" s="416">
        <f t="shared" si="1"/>
        <v>1269.3803851961425</v>
      </c>
      <c r="M15" s="416">
        <f t="shared" si="1"/>
        <v>1215.4308013403804</v>
      </c>
      <c r="N15" s="416">
        <f t="shared" si="1"/>
        <v>1158.9893987972223</v>
      </c>
      <c r="O15" s="416">
        <f t="shared" si="1"/>
        <v>1100.1007449150095</v>
      </c>
      <c r="P15" s="416">
        <f t="shared" si="1"/>
        <v>1037.9298988341454</v>
      </c>
      <c r="Q15" s="416">
        <f t="shared" si="1"/>
        <v>974.00482325066378</v>
      </c>
      <c r="R15" s="416">
        <f t="shared" si="1"/>
        <v>909.0839538076408</v>
      </c>
      <c r="S15" s="416">
        <f t="shared" si="1"/>
        <v>846.0601486906636</v>
      </c>
      <c r="T15" s="416">
        <f t="shared" si="1"/>
        <v>785.39747387673674</v>
      </c>
      <c r="U15" s="416">
        <f t="shared" si="1"/>
        <v>727.65926853087979</v>
      </c>
      <c r="V15" s="416">
        <f t="shared" si="1"/>
        <v>673.19690255797809</v>
      </c>
      <c r="W15" s="416">
        <f t="shared" si="1"/>
        <v>621.89396398631823</v>
      </c>
      <c r="X15" s="416">
        <f t="shared" si="1"/>
        <v>573.85957128542759</v>
      </c>
      <c r="Y15" s="416">
        <f t="shared" si="1"/>
        <v>529.23581475317383</v>
      </c>
      <c r="Z15" s="416">
        <f t="shared" si="1"/>
        <v>488.12722149822105</v>
      </c>
      <c r="AA15" s="416">
        <f t="shared" si="1"/>
        <v>450.30456858594027</v>
      </c>
      <c r="AB15" s="416">
        <f t="shared" si="1"/>
        <v>415.82884152564338</v>
      </c>
      <c r="AC15" s="416">
        <f t="shared" si="1"/>
        <v>387.15669742113596</v>
      </c>
    </row>
    <row r="16" spans="2:29">
      <c r="B16" t="s">
        <v>111</v>
      </c>
      <c r="C16" s="10" t="s">
        <v>106</v>
      </c>
      <c r="D16" s="68" t="s">
        <v>107</v>
      </c>
      <c r="E16" s="416">
        <f>E4+E5+E8+E14</f>
        <v>13881.874876016611</v>
      </c>
      <c r="F16" s="416">
        <f t="shared" ref="F16:AC16" si="2">F4+F5+F8+F14</f>
        <v>13575.856910004581</v>
      </c>
      <c r="G16" s="416">
        <f t="shared" si="2"/>
        <v>13120.284123822437</v>
      </c>
      <c r="H16" s="416">
        <f t="shared" si="2"/>
        <v>12730.686564811062</v>
      </c>
      <c r="I16" s="416">
        <f t="shared" si="2"/>
        <v>12331.226418285603</v>
      </c>
      <c r="J16" s="416">
        <f t="shared" si="2"/>
        <v>11857.039071639476</v>
      </c>
      <c r="K16" s="416">
        <f t="shared" si="2"/>
        <v>11361.534099130196</v>
      </c>
      <c r="L16" s="416">
        <f t="shared" si="2"/>
        <v>10845.6070475124</v>
      </c>
      <c r="M16" s="416">
        <f t="shared" si="2"/>
        <v>10305.870866334488</v>
      </c>
      <c r="N16" s="416">
        <f t="shared" si="2"/>
        <v>9741.2053973585753</v>
      </c>
      <c r="O16" s="416">
        <f t="shared" si="2"/>
        <v>9152.0565126133097</v>
      </c>
      <c r="P16" s="416">
        <f t="shared" si="2"/>
        <v>8530.0710838841642</v>
      </c>
      <c r="Q16" s="416">
        <f t="shared" si="2"/>
        <v>7890.5355451266641</v>
      </c>
      <c r="R16" s="416">
        <f t="shared" si="2"/>
        <v>7241.037631563343</v>
      </c>
      <c r="S16" s="416">
        <f t="shared" si="2"/>
        <v>6610.5188125844479</v>
      </c>
      <c r="T16" s="416">
        <f t="shared" si="2"/>
        <v>6003.6218153500686</v>
      </c>
      <c r="U16" s="416">
        <f t="shared" si="2"/>
        <v>5425.982541157402</v>
      </c>
      <c r="V16" s="416">
        <f t="shared" si="2"/>
        <v>4881.1162543901473</v>
      </c>
      <c r="W16" s="416">
        <f t="shared" si="2"/>
        <v>4367.8583167218248</v>
      </c>
      <c r="X16" s="416">
        <f t="shared" si="2"/>
        <v>3887.3003989648778</v>
      </c>
      <c r="Y16" s="416">
        <f t="shared" si="2"/>
        <v>3440.8640371029496</v>
      </c>
      <c r="Z16" s="416">
        <f t="shared" si="2"/>
        <v>3029.5949678855709</v>
      </c>
      <c r="AA16" s="416">
        <f t="shared" si="2"/>
        <v>2651.1999407900721</v>
      </c>
      <c r="AB16" s="416">
        <f t="shared" si="2"/>
        <v>2306.2890825968793</v>
      </c>
      <c r="AC16" s="416">
        <f t="shared" si="2"/>
        <v>2019.4399086250451</v>
      </c>
    </row>
    <row r="17" spans="1:29">
      <c r="C17" s="68" t="s">
        <v>9</v>
      </c>
      <c r="D17" s="68" t="s">
        <v>7</v>
      </c>
      <c r="E17" s="362">
        <f>INDEX('Proposed CATS Output'!$A$1:$AB$30,MATCH($C17,'Proposed CATS Output'!$A$1:$A$30,0),MATCH(E$2,'Proposed CATS Output'!$A$1:$AB$1,0))</f>
        <v>281.16396700229922</v>
      </c>
      <c r="F17" s="362">
        <f>INDEX('Proposed CATS Output'!$A$1:$AB$30,MATCH($C17,'Proposed CATS Output'!$A$1:$A$30,0),MATCH(F$2,'Proposed CATS Output'!$A$1:$AB$1,0))</f>
        <v>281.16396700229922</v>
      </c>
      <c r="G17" s="362">
        <f>INDEX('Proposed CATS Output'!$A$1:$AB$30,MATCH($C17,'Proposed CATS Output'!$A$1:$A$30,0),MATCH(G$2,'Proposed CATS Output'!$A$1:$AB$1,0))</f>
        <v>281.16396700229922</v>
      </c>
      <c r="H17" s="362">
        <f>INDEX('Proposed CATS Output'!$A$1:$AB$30,MATCH($C17,'Proposed CATS Output'!$A$1:$A$30,0),MATCH(H$2,'Proposed CATS Output'!$A$1:$AB$1,0))</f>
        <v>281.16396700229922</v>
      </c>
      <c r="I17" s="362">
        <f>INDEX('Proposed CATS Output'!$A$1:$AB$30,MATCH($C17,'Proposed CATS Output'!$A$1:$A$30,0),MATCH(I$2,'Proposed CATS Output'!$A$1:$AB$1,0))</f>
        <v>281.16396700229927</v>
      </c>
      <c r="J17" s="362">
        <f>INDEX('Proposed CATS Output'!$A$1:$AB$30,MATCH($C17,'Proposed CATS Output'!$A$1:$A$30,0),MATCH(J$2,'Proposed CATS Output'!$A$1:$AB$1,0))</f>
        <v>281.16396700229922</v>
      </c>
      <c r="K17" s="362">
        <f>INDEX('Proposed CATS Output'!$A$1:$AB$30,MATCH($C17,'Proposed CATS Output'!$A$1:$A$30,0),MATCH(K$2,'Proposed CATS Output'!$A$1:$AB$1,0))</f>
        <v>281.1639670022991</v>
      </c>
      <c r="L17" s="362">
        <f>INDEX('Proposed CATS Output'!$A$1:$AB$30,MATCH($C17,'Proposed CATS Output'!$A$1:$A$30,0),MATCH(L$2,'Proposed CATS Output'!$A$1:$AB$1,0))</f>
        <v>281.16396700229922</v>
      </c>
      <c r="M17" s="362">
        <f>INDEX('Proposed CATS Output'!$A$1:$AB$30,MATCH($C17,'Proposed CATS Output'!$A$1:$A$30,0),MATCH(M$2,'Proposed CATS Output'!$A$1:$AB$1,0))</f>
        <v>281.16396700229922</v>
      </c>
      <c r="N17" s="362">
        <f>INDEX('Proposed CATS Output'!$A$1:$AB$30,MATCH($C17,'Proposed CATS Output'!$A$1:$A$30,0),MATCH(N$2,'Proposed CATS Output'!$A$1:$AB$1,0))</f>
        <v>281.16396700229922</v>
      </c>
      <c r="O17" s="362">
        <f>INDEX('Proposed CATS Output'!$A$1:$AB$30,MATCH($C17,'Proposed CATS Output'!$A$1:$A$30,0),MATCH(O$2,'Proposed CATS Output'!$A$1:$AB$1,0))</f>
        <v>281.16396700229922</v>
      </c>
      <c r="P17" s="362">
        <f>INDEX('Proposed CATS Output'!$A$1:$AB$30,MATCH($C17,'Proposed CATS Output'!$A$1:$A$30,0),MATCH(P$2,'Proposed CATS Output'!$A$1:$AB$1,0))</f>
        <v>281.16396700229922</v>
      </c>
      <c r="Q17" s="362">
        <f>INDEX('Proposed CATS Output'!$A$1:$AB$30,MATCH($C17,'Proposed CATS Output'!$A$1:$A$30,0),MATCH(Q$2,'Proposed CATS Output'!$A$1:$AB$1,0))</f>
        <v>281.16396700229922</v>
      </c>
      <c r="R17" s="362">
        <f>INDEX('Proposed CATS Output'!$A$1:$AB$30,MATCH($C17,'Proposed CATS Output'!$A$1:$A$30,0),MATCH(R$2,'Proposed CATS Output'!$A$1:$AB$1,0))</f>
        <v>281.16396700229927</v>
      </c>
      <c r="S17" s="362">
        <f>INDEX('Proposed CATS Output'!$A$1:$AB$30,MATCH($C17,'Proposed CATS Output'!$A$1:$A$30,0),MATCH(S$2,'Proposed CATS Output'!$A$1:$AB$1,0))</f>
        <v>281.16396700229922</v>
      </c>
      <c r="T17" s="362">
        <f>INDEX('Proposed CATS Output'!$A$1:$AB$30,MATCH($C17,'Proposed CATS Output'!$A$1:$A$30,0),MATCH(T$2,'Proposed CATS Output'!$A$1:$AB$1,0))</f>
        <v>281.16396700229922</v>
      </c>
      <c r="U17" s="362">
        <f>INDEX('Proposed CATS Output'!$A$1:$AB$30,MATCH($C17,'Proposed CATS Output'!$A$1:$A$30,0),MATCH(U$2,'Proposed CATS Output'!$A$1:$AB$1,0))</f>
        <v>281.16396700229922</v>
      </c>
      <c r="V17" s="362">
        <f>INDEX('Proposed CATS Output'!$A$1:$AB$30,MATCH($C17,'Proposed CATS Output'!$A$1:$A$30,0),MATCH(V$2,'Proposed CATS Output'!$A$1:$AB$1,0))</f>
        <v>281.16396700229922</v>
      </c>
      <c r="W17" s="362">
        <f>INDEX('Proposed CATS Output'!$A$1:$AB$30,MATCH($C17,'Proposed CATS Output'!$A$1:$A$30,0),MATCH(W$2,'Proposed CATS Output'!$A$1:$AB$1,0))</f>
        <v>281.16396700229922</v>
      </c>
      <c r="X17" s="362">
        <f>INDEX('Proposed CATS Output'!$A$1:$AB$30,MATCH($C17,'Proposed CATS Output'!$A$1:$A$30,0),MATCH(X$2,'Proposed CATS Output'!$A$1:$AB$1,0))</f>
        <v>281.16396700229922</v>
      </c>
      <c r="Y17" s="362">
        <f>INDEX('Proposed CATS Output'!$A$1:$AB$30,MATCH($C17,'Proposed CATS Output'!$A$1:$A$30,0),MATCH(Y$2,'Proposed CATS Output'!$A$1:$AB$1,0))</f>
        <v>281.16396700229922</v>
      </c>
      <c r="Z17" s="362">
        <f>INDEX('Proposed CATS Output'!$A$1:$AB$30,MATCH($C17,'Proposed CATS Output'!$A$1:$A$30,0),MATCH(Z$2,'Proposed CATS Output'!$A$1:$AB$1,0))</f>
        <v>281.16396700229922</v>
      </c>
      <c r="AA17" s="362">
        <f>INDEX('Proposed CATS Output'!$A$1:$AB$30,MATCH($C17,'Proposed CATS Output'!$A$1:$A$30,0),MATCH(AA$2,'Proposed CATS Output'!$A$1:$AB$1,0))</f>
        <v>281.16396700229922</v>
      </c>
      <c r="AB17" s="362">
        <f>INDEX('Proposed CATS Output'!$A$1:$AB$30,MATCH($C17,'Proposed CATS Output'!$A$1:$A$30,0),MATCH(AB$2,'Proposed CATS Output'!$A$1:$AB$1,0))</f>
        <v>281.16396700229922</v>
      </c>
      <c r="AC17" s="362">
        <f>INDEX('Proposed CATS Output'!$A$1:$AB$30,MATCH($C17,'Proposed CATS Output'!$A$1:$A$30,0),MATCH(AC$2,'Proposed CATS Output'!$A$1:$AB$1,0))</f>
        <v>281.16396700229922</v>
      </c>
    </row>
    <row r="18" spans="1:29">
      <c r="B18" t="s">
        <v>35</v>
      </c>
      <c r="C18" s="68" t="s">
        <v>35</v>
      </c>
      <c r="D18" s="68" t="s">
        <v>7</v>
      </c>
      <c r="E18" s="362">
        <f>INDEX('Proposed CATS Output'!$A$1:$AB$30,MATCH($C18,'Proposed CATS Output'!$A$1:$A$30,0),MATCH(E$2,'Proposed CATS Output'!$A$1:$AB$1,0))</f>
        <v>2041.163086138173</v>
      </c>
      <c r="F18" s="362">
        <f>INDEX('Proposed CATS Output'!$A$1:$AB$30,MATCH($C18,'Proposed CATS Output'!$A$1:$A$30,0),MATCH(F$2,'Proposed CATS Output'!$A$1:$AB$1,0))</f>
        <v>1503.986061292482</v>
      </c>
      <c r="G18" s="362">
        <f>INDEX('Proposed CATS Output'!$A$1:$AB$30,MATCH($C18,'Proposed CATS Output'!$A$1:$A$30,0),MATCH(G$2,'Proposed CATS Output'!$A$1:$AB$1,0))</f>
        <v>902.39163677548902</v>
      </c>
      <c r="H18" s="362">
        <f>INDEX('Proposed CATS Output'!$A$1:$AB$30,MATCH($C18,'Proposed CATS Output'!$A$1:$A$30,0),MATCH(H$2,'Proposed CATS Output'!$A$1:$AB$1,0))</f>
        <v>623.78531129197438</v>
      </c>
      <c r="I18" s="362">
        <f>INDEX('Proposed CATS Output'!$A$1:$AB$30,MATCH($C18,'Proposed CATS Output'!$A$1:$A$30,0),MATCH(I$2,'Proposed CATS Output'!$A$1:$AB$1,0))</f>
        <v>635.14839354366347</v>
      </c>
      <c r="J18" s="362">
        <f>INDEX('Proposed CATS Output'!$A$1:$AB$30,MATCH($C18,'Proposed CATS Output'!$A$1:$A$30,0),MATCH(J$2,'Proposed CATS Output'!$A$1:$AB$1,0))</f>
        <v>639.91522276699436</v>
      </c>
      <c r="K18" s="362">
        <f>INDEX('Proposed CATS Output'!$A$1:$AB$30,MATCH($C18,'Proposed CATS Output'!$A$1:$A$30,0),MATCH(K$2,'Proposed CATS Output'!$A$1:$AB$1,0))</f>
        <v>724.86542048160709</v>
      </c>
      <c r="L18" s="362">
        <f>INDEX('Proposed CATS Output'!$A$1:$AB$30,MATCH($C18,'Proposed CATS Output'!$A$1:$A$30,0),MATCH(L$2,'Proposed CATS Output'!$A$1:$AB$1,0))</f>
        <v>690.58325270002945</v>
      </c>
      <c r="M18" s="362">
        <f>INDEX('Proposed CATS Output'!$A$1:$AB$30,MATCH($C18,'Proposed CATS Output'!$A$1:$A$30,0),MATCH(M$2,'Proposed CATS Output'!$A$1:$AB$1,0))</f>
        <v>639.22880743066673</v>
      </c>
      <c r="N18" s="362">
        <f>INDEX('Proposed CATS Output'!$A$1:$AB$30,MATCH($C18,'Proposed CATS Output'!$A$1:$A$30,0),MATCH(N$2,'Proposed CATS Output'!$A$1:$AB$1,0))</f>
        <v>595.2622314427889</v>
      </c>
      <c r="O18" s="362">
        <f>INDEX('Proposed CATS Output'!$A$1:$AB$30,MATCH($C18,'Proposed CATS Output'!$A$1:$A$30,0),MATCH(O$2,'Proposed CATS Output'!$A$1:$AB$1,0))</f>
        <v>556.92385302144964</v>
      </c>
      <c r="P18" s="362">
        <f>INDEX('Proposed CATS Output'!$A$1:$AB$30,MATCH($C18,'Proposed CATS Output'!$A$1:$A$30,0),MATCH(P$2,'Proposed CATS Output'!$A$1:$AB$1,0))</f>
        <v>530.87079736935004</v>
      </c>
      <c r="Q18" s="362">
        <f>INDEX('Proposed CATS Output'!$A$1:$AB$30,MATCH($C18,'Proposed CATS Output'!$A$1:$A$30,0),MATCH(Q$2,'Proposed CATS Output'!$A$1:$AB$1,0))</f>
        <v>484.18276654067768</v>
      </c>
      <c r="R18" s="362">
        <f>INDEX('Proposed CATS Output'!$A$1:$AB$30,MATCH($C18,'Proposed CATS Output'!$A$1:$A$30,0),MATCH(R$2,'Proposed CATS Output'!$A$1:$AB$1,0))</f>
        <v>428.18565671405588</v>
      </c>
      <c r="S18" s="362">
        <f>INDEX('Proposed CATS Output'!$A$1:$AB$30,MATCH($C18,'Proposed CATS Output'!$A$1:$A$30,0),MATCH(S$2,'Proposed CATS Output'!$A$1:$AB$1,0))</f>
        <v>380.10152019115731</v>
      </c>
      <c r="T18" s="362">
        <f>INDEX('Proposed CATS Output'!$A$1:$AB$30,MATCH($C18,'Proposed CATS Output'!$A$1:$A$30,0),MATCH(T$2,'Proposed CATS Output'!$A$1:$AB$1,0))</f>
        <v>329.9230632131904</v>
      </c>
      <c r="U18" s="362">
        <f>INDEX('Proposed CATS Output'!$A$1:$AB$30,MATCH($C18,'Proposed CATS Output'!$A$1:$A$30,0),MATCH(U$2,'Proposed CATS Output'!$A$1:$AB$1,0))</f>
        <v>277.15935286127359</v>
      </c>
      <c r="V18" s="362">
        <f>INDEX('Proposed CATS Output'!$A$1:$AB$30,MATCH($C18,'Proposed CATS Output'!$A$1:$A$30,0),MATCH(V$2,'Proposed CATS Output'!$A$1:$AB$1,0))</f>
        <v>166.2956117167642</v>
      </c>
      <c r="W18" s="362">
        <f>INDEX('Proposed CATS Output'!$A$1:$AB$30,MATCH($C18,'Proposed CATS Output'!$A$1:$A$30,0),MATCH(W$2,'Proposed CATS Output'!$A$1:$AB$1,0))</f>
        <v>99.777367030058514</v>
      </c>
      <c r="X18" s="362">
        <f>INDEX('Proposed CATS Output'!$A$1:$AB$30,MATCH($C18,'Proposed CATS Output'!$A$1:$A$30,0),MATCH(X$2,'Proposed CATS Output'!$A$1:$AB$1,0))</f>
        <v>59.866420218035117</v>
      </c>
      <c r="Y18" s="362">
        <f>INDEX('Proposed CATS Output'!$A$1:$AB$30,MATCH($C18,'Proposed CATS Output'!$A$1:$A$30,0),MATCH(Y$2,'Proposed CATS Output'!$A$1:$AB$1,0))</f>
        <v>35.919852130821063</v>
      </c>
      <c r="Z18" s="362">
        <f>INDEX('Proposed CATS Output'!$A$1:$AB$30,MATCH($C18,'Proposed CATS Output'!$A$1:$A$30,0),MATCH(Z$2,'Proposed CATS Output'!$A$1:$AB$1,0))</f>
        <v>42.142495840922678</v>
      </c>
      <c r="AA18" s="362">
        <f>INDEX('Proposed CATS Output'!$A$1:$AB$30,MATCH($C18,'Proposed CATS Output'!$A$1:$A$30,0),MATCH(AA$2,'Proposed CATS Output'!$A$1:$AB$1,0))</f>
        <v>58.999494177291758</v>
      </c>
      <c r="AB18" s="362">
        <f>INDEX('Proposed CATS Output'!$A$1:$AB$30,MATCH($C18,'Proposed CATS Output'!$A$1:$A$30,0),MATCH(AB$2,'Proposed CATS Output'!$A$1:$AB$1,0))</f>
        <v>82.599291848208466</v>
      </c>
      <c r="AC18" s="362">
        <f>INDEX('Proposed CATS Output'!$A$1:$AB$30,MATCH($C18,'Proposed CATS Output'!$A$1:$A$30,0),MATCH(AC$2,'Proposed CATS Output'!$A$1:$AB$1,0))</f>
        <v>115.6390085874919</v>
      </c>
    </row>
    <row r="19" spans="1:29">
      <c r="B19" t="s">
        <v>112</v>
      </c>
      <c r="C19" s="68" t="s">
        <v>33</v>
      </c>
      <c r="D19" s="68" t="s">
        <v>13</v>
      </c>
      <c r="E19" s="362">
        <f>INDEX('Proposed CATS Output'!$A$1:$AB$30,MATCH($C19,'Proposed CATS Output'!$A$1:$A$30,0),MATCH(E$2,'Proposed CATS Output'!$A$1:$AB$1,0))</f>
        <v>0</v>
      </c>
      <c r="F19" s="362">
        <f>INDEX('Proposed CATS Output'!$A$1:$AB$30,MATCH($C19,'Proposed CATS Output'!$A$1:$A$30,0),MATCH(F$2,'Proposed CATS Output'!$A$1:$AB$1,0))</f>
        <v>0</v>
      </c>
      <c r="G19" s="362">
        <f>INDEX('Proposed CATS Output'!$A$1:$AB$30,MATCH($C19,'Proposed CATS Output'!$A$1:$A$30,0),MATCH(G$2,'Proposed CATS Output'!$A$1:$AB$1,0))</f>
        <v>0</v>
      </c>
      <c r="H19" s="362">
        <f>INDEX('Proposed CATS Output'!$A$1:$AB$30,MATCH($C19,'Proposed CATS Output'!$A$1:$A$30,0),MATCH(H$2,'Proposed CATS Output'!$A$1:$AB$1,0))</f>
        <v>0</v>
      </c>
      <c r="I19" s="362">
        <f>INDEX('Proposed CATS Output'!$A$1:$AB$30,MATCH($C19,'Proposed CATS Output'!$A$1:$A$30,0),MATCH(I$2,'Proposed CATS Output'!$A$1:$AB$1,0))</f>
        <v>0</v>
      </c>
      <c r="J19" s="362">
        <f>INDEX('Proposed CATS Output'!$A$1:$AB$30,MATCH($C19,'Proposed CATS Output'!$A$1:$A$30,0),MATCH(J$2,'Proposed CATS Output'!$A$1:$AB$1,0))</f>
        <v>0</v>
      </c>
      <c r="K19" s="362">
        <f>INDEX('Proposed CATS Output'!$A$1:$AB$30,MATCH($C19,'Proposed CATS Output'!$A$1:$A$30,0),MATCH(K$2,'Proposed CATS Output'!$A$1:$AB$1,0))</f>
        <v>0</v>
      </c>
      <c r="L19" s="362">
        <f>INDEX('Proposed CATS Output'!$A$1:$AB$30,MATCH($C19,'Proposed CATS Output'!$A$1:$A$30,0),MATCH(L$2,'Proposed CATS Output'!$A$1:$AB$1,0))</f>
        <v>0</v>
      </c>
      <c r="M19" s="362">
        <f>INDEX('Proposed CATS Output'!$A$1:$AB$30,MATCH($C19,'Proposed CATS Output'!$A$1:$A$30,0),MATCH(M$2,'Proposed CATS Output'!$A$1:$AB$1,0))</f>
        <v>0</v>
      </c>
      <c r="N19" s="362">
        <f>INDEX('Proposed CATS Output'!$A$1:$AB$30,MATCH($C19,'Proposed CATS Output'!$A$1:$A$30,0),MATCH(N$2,'Proposed CATS Output'!$A$1:$AB$1,0))</f>
        <v>0</v>
      </c>
      <c r="O19" s="362">
        <f>INDEX('Proposed CATS Output'!$A$1:$AB$30,MATCH($C19,'Proposed CATS Output'!$A$1:$A$30,0),MATCH(O$2,'Proposed CATS Output'!$A$1:$AB$1,0))</f>
        <v>0</v>
      </c>
      <c r="P19" s="362">
        <f>INDEX('Proposed CATS Output'!$A$1:$AB$30,MATCH($C19,'Proposed CATS Output'!$A$1:$A$30,0),MATCH(P$2,'Proposed CATS Output'!$A$1:$AB$1,0))</f>
        <v>0</v>
      </c>
      <c r="Q19" s="362">
        <f>INDEX('Proposed CATS Output'!$A$1:$AB$30,MATCH($C19,'Proposed CATS Output'!$A$1:$A$30,0),MATCH(Q$2,'Proposed CATS Output'!$A$1:$AB$1,0))</f>
        <v>0</v>
      </c>
      <c r="R19" s="362">
        <f>INDEX('Proposed CATS Output'!$A$1:$AB$30,MATCH($C19,'Proposed CATS Output'!$A$1:$A$30,0),MATCH(R$2,'Proposed CATS Output'!$A$1:$AB$1,0))</f>
        <v>0</v>
      </c>
      <c r="S19" s="362">
        <f>INDEX('Proposed CATS Output'!$A$1:$AB$30,MATCH($C19,'Proposed CATS Output'!$A$1:$A$30,0),MATCH(S$2,'Proposed CATS Output'!$A$1:$AB$1,0))</f>
        <v>0</v>
      </c>
      <c r="T19" s="362">
        <f>INDEX('Proposed CATS Output'!$A$1:$AB$30,MATCH($C19,'Proposed CATS Output'!$A$1:$A$30,0),MATCH(T$2,'Proposed CATS Output'!$A$1:$AB$1,0))</f>
        <v>0</v>
      </c>
      <c r="U19" s="362">
        <f>INDEX('Proposed CATS Output'!$A$1:$AB$30,MATCH($C19,'Proposed CATS Output'!$A$1:$A$30,0),MATCH(U$2,'Proposed CATS Output'!$A$1:$AB$1,0))</f>
        <v>0</v>
      </c>
      <c r="V19" s="362">
        <f>INDEX('Proposed CATS Output'!$A$1:$AB$30,MATCH($C19,'Proposed CATS Output'!$A$1:$A$30,0),MATCH(V$2,'Proposed CATS Output'!$A$1:$AB$1,0))</f>
        <v>0</v>
      </c>
      <c r="W19" s="362">
        <f>INDEX('Proposed CATS Output'!$A$1:$AB$30,MATCH($C19,'Proposed CATS Output'!$A$1:$A$30,0),MATCH(W$2,'Proposed CATS Output'!$A$1:$AB$1,0))</f>
        <v>0</v>
      </c>
      <c r="X19" s="362">
        <f>INDEX('Proposed CATS Output'!$A$1:$AB$30,MATCH($C19,'Proposed CATS Output'!$A$1:$A$30,0),MATCH(X$2,'Proposed CATS Output'!$A$1:$AB$1,0))</f>
        <v>0</v>
      </c>
      <c r="Y19" s="362">
        <f>INDEX('Proposed CATS Output'!$A$1:$AB$30,MATCH($C19,'Proposed CATS Output'!$A$1:$A$30,0),MATCH(Y$2,'Proposed CATS Output'!$A$1:$AB$1,0))</f>
        <v>0</v>
      </c>
      <c r="Z19" s="362">
        <f>INDEX('Proposed CATS Output'!$A$1:$AB$30,MATCH($C19,'Proposed CATS Output'!$A$1:$A$30,0),MATCH(Z$2,'Proposed CATS Output'!$A$1:$AB$1,0))</f>
        <v>0</v>
      </c>
      <c r="AA19" s="362">
        <f>INDEX('Proposed CATS Output'!$A$1:$AB$30,MATCH($C19,'Proposed CATS Output'!$A$1:$A$30,0),MATCH(AA$2,'Proposed CATS Output'!$A$1:$AB$1,0))</f>
        <v>0</v>
      </c>
      <c r="AB19" s="362">
        <f>INDEX('Proposed CATS Output'!$A$1:$AB$30,MATCH($C19,'Proposed CATS Output'!$A$1:$A$30,0),MATCH(AB$2,'Proposed CATS Output'!$A$1:$AB$1,0))</f>
        <v>0</v>
      </c>
      <c r="AC19" s="362">
        <f>INDEX('Proposed CATS Output'!$A$1:$AB$30,MATCH($C19,'Proposed CATS Output'!$A$1:$A$30,0),MATCH(AC$2,'Proposed CATS Output'!$A$1:$AB$1,0))</f>
        <v>0</v>
      </c>
    </row>
    <row r="20" spans="1:29">
      <c r="B20" s="56"/>
      <c r="C20" s="68" t="s">
        <v>12</v>
      </c>
      <c r="D20" s="68" t="s">
        <v>13</v>
      </c>
      <c r="E20" s="362">
        <f>INDEX('Proposed CATS Output'!$A$1:$AB$30,MATCH($C20,'Proposed CATS Output'!$A$1:$A$30,0),MATCH(E$2,'Proposed CATS Output'!$A$1:$AB$1,0))</f>
        <v>41.411879452666007</v>
      </c>
      <c r="F20" s="362">
        <f>INDEX('Proposed CATS Output'!$A$1:$AB$30,MATCH($C20,'Proposed CATS Output'!$A$1:$A$30,0),MATCH(F$2,'Proposed CATS Output'!$A$1:$AB$1,0))</f>
        <v>24.847127671599619</v>
      </c>
      <c r="G20" s="362">
        <f>INDEX('Proposed CATS Output'!$A$1:$AB$30,MATCH($C20,'Proposed CATS Output'!$A$1:$A$30,0),MATCH(G$2,'Proposed CATS Output'!$A$1:$AB$1,0))</f>
        <v>14.90827660295977</v>
      </c>
      <c r="H20" s="362">
        <f>INDEX('Proposed CATS Output'!$A$1:$AB$30,MATCH($C20,'Proposed CATS Output'!$A$1:$A$30,0),MATCH(H$2,'Proposed CATS Output'!$A$1:$AB$1,0))</f>
        <v>43.069086041496249</v>
      </c>
      <c r="I20" s="362">
        <f>INDEX('Proposed CATS Output'!$A$1:$AB$30,MATCH($C20,'Proposed CATS Output'!$A$1:$A$30,0),MATCH(I$2,'Proposed CATS Output'!$A$1:$AB$1,0))</f>
        <v>57.186409977497888</v>
      </c>
      <c r="J20" s="362">
        <f>INDEX('Proposed CATS Output'!$A$1:$AB$30,MATCH($C20,'Proposed CATS Output'!$A$1:$A$30,0),MATCH(J$2,'Proposed CATS Output'!$A$1:$AB$1,0))</f>
        <v>34.311845986498739</v>
      </c>
      <c r="K20" s="362">
        <f>INDEX('Proposed CATS Output'!$A$1:$AB$30,MATCH($C20,'Proposed CATS Output'!$A$1:$A$30,0),MATCH(K$2,'Proposed CATS Output'!$A$1:$AB$1,0))</f>
        <v>20.587107591899251</v>
      </c>
      <c r="L20" s="362">
        <f>INDEX('Proposed CATS Output'!$A$1:$AB$30,MATCH($C20,'Proposed CATS Output'!$A$1:$A$30,0),MATCH(L$2,'Proposed CATS Output'!$A$1:$AB$1,0))</f>
        <v>12.35226455513955</v>
      </c>
      <c r="M20" s="362">
        <f>INDEX('Proposed CATS Output'!$A$1:$AB$30,MATCH($C20,'Proposed CATS Output'!$A$1:$A$30,0),MATCH(M$2,'Proposed CATS Output'!$A$1:$AB$1,0))</f>
        <v>0</v>
      </c>
      <c r="N20" s="362">
        <f>INDEX('Proposed CATS Output'!$A$1:$AB$30,MATCH($C20,'Proposed CATS Output'!$A$1:$A$30,0),MATCH(N$2,'Proposed CATS Output'!$A$1:$AB$1,0))</f>
        <v>0</v>
      </c>
      <c r="O20" s="362">
        <f>INDEX('Proposed CATS Output'!$A$1:$AB$30,MATCH($C20,'Proposed CATS Output'!$A$1:$A$30,0),MATCH(O$2,'Proposed CATS Output'!$A$1:$AB$1,0))</f>
        <v>0</v>
      </c>
      <c r="P20" s="362">
        <f>INDEX('Proposed CATS Output'!$A$1:$AB$30,MATCH($C20,'Proposed CATS Output'!$A$1:$A$30,0),MATCH(P$2,'Proposed CATS Output'!$A$1:$AB$1,0))</f>
        <v>0</v>
      </c>
      <c r="Q20" s="362">
        <f>INDEX('Proposed CATS Output'!$A$1:$AB$30,MATCH($C20,'Proposed CATS Output'!$A$1:$A$30,0),MATCH(Q$2,'Proposed CATS Output'!$A$1:$AB$1,0))</f>
        <v>0</v>
      </c>
      <c r="R20" s="362">
        <f>INDEX('Proposed CATS Output'!$A$1:$AB$30,MATCH($C20,'Proposed CATS Output'!$A$1:$A$30,0),MATCH(R$2,'Proposed CATS Output'!$A$1:$AB$1,0))</f>
        <v>0</v>
      </c>
      <c r="S20" s="362">
        <f>INDEX('Proposed CATS Output'!$A$1:$AB$30,MATCH($C20,'Proposed CATS Output'!$A$1:$A$30,0),MATCH(S$2,'Proposed CATS Output'!$A$1:$AB$1,0))</f>
        <v>0</v>
      </c>
      <c r="T20" s="362">
        <f>INDEX('Proposed CATS Output'!$A$1:$AB$30,MATCH($C20,'Proposed CATS Output'!$A$1:$A$30,0),MATCH(T$2,'Proposed CATS Output'!$A$1:$AB$1,0))</f>
        <v>0</v>
      </c>
      <c r="U20" s="362">
        <f>INDEX('Proposed CATS Output'!$A$1:$AB$30,MATCH($C20,'Proposed CATS Output'!$A$1:$A$30,0),MATCH(U$2,'Proposed CATS Output'!$A$1:$AB$1,0))</f>
        <v>0</v>
      </c>
      <c r="V20" s="362">
        <f>INDEX('Proposed CATS Output'!$A$1:$AB$30,MATCH($C20,'Proposed CATS Output'!$A$1:$A$30,0),MATCH(V$2,'Proposed CATS Output'!$A$1:$AB$1,0))</f>
        <v>0</v>
      </c>
      <c r="W20" s="362">
        <f>INDEX('Proposed CATS Output'!$A$1:$AB$30,MATCH($C20,'Proposed CATS Output'!$A$1:$A$30,0),MATCH(W$2,'Proposed CATS Output'!$A$1:$AB$1,0))</f>
        <v>0</v>
      </c>
      <c r="X20" s="362">
        <f>INDEX('Proposed CATS Output'!$A$1:$AB$30,MATCH($C20,'Proposed CATS Output'!$A$1:$A$30,0),MATCH(X$2,'Proposed CATS Output'!$A$1:$AB$1,0))</f>
        <v>0</v>
      </c>
      <c r="Y20" s="362">
        <f>INDEX('Proposed CATS Output'!$A$1:$AB$30,MATCH($C20,'Proposed CATS Output'!$A$1:$A$30,0),MATCH(Y$2,'Proposed CATS Output'!$A$1:$AB$1,0))</f>
        <v>0</v>
      </c>
      <c r="Z20" s="362">
        <f>INDEX('Proposed CATS Output'!$A$1:$AB$30,MATCH($C20,'Proposed CATS Output'!$A$1:$A$30,0),MATCH(Z$2,'Proposed CATS Output'!$A$1:$AB$1,0))</f>
        <v>0</v>
      </c>
      <c r="AA20" s="362">
        <f>INDEX('Proposed CATS Output'!$A$1:$AB$30,MATCH($C20,'Proposed CATS Output'!$A$1:$A$30,0),MATCH(AA$2,'Proposed CATS Output'!$A$1:$AB$1,0))</f>
        <v>0</v>
      </c>
      <c r="AB20" s="362">
        <f>INDEX('Proposed CATS Output'!$A$1:$AB$30,MATCH($C20,'Proposed CATS Output'!$A$1:$A$30,0),MATCH(AB$2,'Proposed CATS Output'!$A$1:$AB$1,0))</f>
        <v>0</v>
      </c>
      <c r="AC20" s="362">
        <f>INDEX('Proposed CATS Output'!$A$1:$AB$30,MATCH($C20,'Proposed CATS Output'!$A$1:$A$30,0),MATCH(AC$2,'Proposed CATS Output'!$A$1:$AB$1,0))</f>
        <v>0</v>
      </c>
    </row>
    <row r="21" spans="1:29">
      <c r="C21" s="68" t="s">
        <v>14</v>
      </c>
      <c r="D21" s="68" t="s">
        <v>103</v>
      </c>
      <c r="E21" s="362">
        <f>INDEX('Proposed CATS Output'!$A$1:$AB$30,MATCH($C21,'Proposed CATS Output'!$A$1:$A$30,0),MATCH(E$2,'Proposed CATS Output'!$A$1:$AB$1,0))</f>
        <v>3.8346666666666671</v>
      </c>
      <c r="F21" s="362">
        <f>INDEX('Proposed CATS Output'!$A$1:$AB$30,MATCH($C21,'Proposed CATS Output'!$A$1:$A$30,0),MATCH(F$2,'Proposed CATS Output'!$A$1:$AB$1,0))</f>
        <v>18.410886111111111</v>
      </c>
      <c r="G21" s="362">
        <f>INDEX('Proposed CATS Output'!$A$1:$AB$30,MATCH($C21,'Proposed CATS Output'!$A$1:$A$30,0),MATCH(G$2,'Proposed CATS Output'!$A$1:$AB$1,0))</f>
        <v>382.22966222222232</v>
      </c>
      <c r="H21" s="362">
        <f>INDEX('Proposed CATS Output'!$A$1:$AB$30,MATCH($C21,'Proposed CATS Output'!$A$1:$A$30,0),MATCH(H$2,'Proposed CATS Output'!$A$1:$AB$1,0))</f>
        <v>697.4502808333333</v>
      </c>
      <c r="I21" s="362">
        <f>INDEX('Proposed CATS Output'!$A$1:$AB$30,MATCH($C21,'Proposed CATS Output'!$A$1:$A$30,0),MATCH(I$2,'Proposed CATS Output'!$A$1:$AB$1,0))</f>
        <v>1206.309453055555</v>
      </c>
      <c r="J21" s="362">
        <f>INDEX('Proposed CATS Output'!$A$1:$AB$30,MATCH($C21,'Proposed CATS Output'!$A$1:$A$30,0),MATCH(J$2,'Proposed CATS Output'!$A$1:$AB$1,0))</f>
        <v>1930.2697627777791</v>
      </c>
      <c r="K21" s="362">
        <f>INDEX('Proposed CATS Output'!$A$1:$AB$30,MATCH($C21,'Proposed CATS Output'!$A$1:$A$30,0),MATCH(K$2,'Proposed CATS Output'!$A$1:$AB$1,0))</f>
        <v>2583.6675002777779</v>
      </c>
      <c r="L21" s="362">
        <f>INDEX('Proposed CATS Output'!$A$1:$AB$30,MATCH($C21,'Proposed CATS Output'!$A$1:$A$30,0),MATCH(L$2,'Proposed CATS Output'!$A$1:$AB$1,0))</f>
        <v>3456.7058925000001</v>
      </c>
      <c r="M21" s="362">
        <f>INDEX('Proposed CATS Output'!$A$1:$AB$30,MATCH($C21,'Proposed CATS Output'!$A$1:$A$30,0),MATCH(M$2,'Proposed CATS Output'!$A$1:$AB$1,0))</f>
        <v>4569.5603663888887</v>
      </c>
      <c r="N21" s="362">
        <f>INDEX('Proposed CATS Output'!$A$1:$AB$30,MATCH($C21,'Proposed CATS Output'!$A$1:$A$30,0),MATCH(N$2,'Proposed CATS Output'!$A$1:$AB$1,0))</f>
        <v>5862.2211216666656</v>
      </c>
      <c r="O21" s="362">
        <f>INDEX('Proposed CATS Output'!$A$1:$AB$30,MATCH($C21,'Proposed CATS Output'!$A$1:$A$30,0),MATCH(O$2,'Proposed CATS Output'!$A$1:$AB$1,0))</f>
        <v>7129.843291388891</v>
      </c>
      <c r="P21" s="362">
        <f>INDEX('Proposed CATS Output'!$A$1:$AB$30,MATCH($C21,'Proposed CATS Output'!$A$1:$A$30,0),MATCH(P$2,'Proposed CATS Output'!$A$1:$AB$1,0))</f>
        <v>8339.2769141666686</v>
      </c>
      <c r="Q21" s="362">
        <f>INDEX('Proposed CATS Output'!$A$1:$AB$30,MATCH($C21,'Proposed CATS Output'!$A$1:$A$30,0),MATCH(Q$2,'Proposed CATS Output'!$A$1:$AB$1,0))</f>
        <v>9776.9359541666672</v>
      </c>
      <c r="R21" s="362">
        <f>INDEX('Proposed CATS Output'!$A$1:$AB$30,MATCH($C21,'Proposed CATS Output'!$A$1:$A$30,0),MATCH(R$2,'Proposed CATS Output'!$A$1:$AB$1,0))</f>
        <v>11415.65608361112</v>
      </c>
      <c r="S21" s="362">
        <f>INDEX('Proposed CATS Output'!$A$1:$AB$30,MATCH($C21,'Proposed CATS Output'!$A$1:$A$30,0),MATCH(S$2,'Proposed CATS Output'!$A$1:$AB$1,0))</f>
        <v>12987.748855</v>
      </c>
      <c r="T21" s="362">
        <f>INDEX('Proposed CATS Output'!$A$1:$AB$30,MATCH($C21,'Proposed CATS Output'!$A$1:$A$30,0),MATCH(T$2,'Proposed CATS Output'!$A$1:$AB$1,0))</f>
        <v>14690.00529472223</v>
      </c>
      <c r="U21" s="362">
        <f>INDEX('Proposed CATS Output'!$A$1:$AB$30,MATCH($C21,'Proposed CATS Output'!$A$1:$A$30,0),MATCH(U$2,'Proposed CATS Output'!$A$1:$AB$1,0))</f>
        <v>16418.76916472222</v>
      </c>
      <c r="V21" s="362">
        <f>INDEX('Proposed CATS Output'!$A$1:$AB$30,MATCH($C21,'Proposed CATS Output'!$A$1:$A$30,0),MATCH(V$2,'Proposed CATS Output'!$A$1:$AB$1,0))</f>
        <v>18213.835303888889</v>
      </c>
      <c r="W21" s="362">
        <f>INDEX('Proposed CATS Output'!$A$1:$AB$30,MATCH($C21,'Proposed CATS Output'!$A$1:$A$30,0),MATCH(W$2,'Proposed CATS Output'!$A$1:$AB$1,0))</f>
        <v>18504.9778357588</v>
      </c>
      <c r="X21" s="362">
        <f>INDEX('Proposed CATS Output'!$A$1:$AB$30,MATCH($C21,'Proposed CATS Output'!$A$1:$A$30,0),MATCH(X$2,'Proposed CATS Output'!$A$1:$AB$1,0))</f>
        <v>20489.77236901084</v>
      </c>
      <c r="Y21" s="362">
        <f>INDEX('Proposed CATS Output'!$A$1:$AB$30,MATCH($C21,'Proposed CATS Output'!$A$1:$A$30,0),MATCH(Y$2,'Proposed CATS Output'!$A$1:$AB$1,0))</f>
        <v>22362.87891007317</v>
      </c>
      <c r="Z21" s="362">
        <f>INDEX('Proposed CATS Output'!$A$1:$AB$30,MATCH($C21,'Proposed CATS Output'!$A$1:$A$30,0),MATCH(Z$2,'Proposed CATS Output'!$A$1:$AB$1,0))</f>
        <v>23915.834082500009</v>
      </c>
      <c r="AA21" s="362">
        <f>INDEX('Proposed CATS Output'!$A$1:$AB$30,MATCH($C21,'Proposed CATS Output'!$A$1:$A$30,0),MATCH(AA$2,'Proposed CATS Output'!$A$1:$AB$1,0))</f>
        <v>25047.633741944439</v>
      </c>
      <c r="AB21" s="362">
        <f>INDEX('Proposed CATS Output'!$A$1:$AB$30,MATCH($C21,'Proposed CATS Output'!$A$1:$A$30,0),MATCH(AB$2,'Proposed CATS Output'!$A$1:$AB$1,0))</f>
        <v>26140.67146666667</v>
      </c>
      <c r="AC21" s="362">
        <f>INDEX('Proposed CATS Output'!$A$1:$AB$30,MATCH($C21,'Proposed CATS Output'!$A$1:$A$30,0),MATCH(AC$2,'Proposed CATS Output'!$A$1:$AB$1,0))</f>
        <v>27327.589306388902</v>
      </c>
    </row>
    <row r="22" spans="1:29">
      <c r="A22" s="409"/>
      <c r="B22" s="410"/>
      <c r="C22" s="411" t="s">
        <v>108</v>
      </c>
      <c r="D22" s="412" t="s">
        <v>109</v>
      </c>
      <c r="E22" s="411"/>
      <c r="F22" s="412"/>
      <c r="G22" s="411"/>
      <c r="H22" s="412"/>
      <c r="I22" s="411"/>
      <c r="J22" s="412"/>
      <c r="K22" s="411"/>
      <c r="L22" s="412"/>
      <c r="M22" s="411"/>
      <c r="N22" s="412"/>
      <c r="O22" s="411"/>
      <c r="P22" s="412"/>
      <c r="Q22" s="411"/>
      <c r="R22" s="412"/>
      <c r="S22" s="411"/>
      <c r="T22" s="412"/>
      <c r="U22" s="411"/>
      <c r="V22" s="412"/>
      <c r="W22" s="411"/>
      <c r="X22" s="412"/>
      <c r="Y22" s="411"/>
      <c r="Z22" s="412"/>
      <c r="AA22" s="411"/>
      <c r="AB22" s="412"/>
      <c r="AC22" s="411"/>
    </row>
    <row r="23" spans="1:29">
      <c r="C23" s="68" t="s">
        <v>16</v>
      </c>
      <c r="D23" s="68" t="s">
        <v>103</v>
      </c>
      <c r="E23" s="362">
        <f>INDEX('Proposed CATS Output'!$A$1:$AB$30,MATCH($C23,'Proposed CATS Output'!$A$1:$A$30,0),MATCH(E$2,'Proposed CATS Output'!$A$1:$AB$1,0))</f>
        <v>0</v>
      </c>
      <c r="F23" s="362">
        <f>INDEX('Proposed CATS Output'!$A$1:$AB$30,MATCH($C23,'Proposed CATS Output'!$A$1:$A$30,0),MATCH(F$2,'Proposed CATS Output'!$A$1:$AB$1,0))</f>
        <v>0</v>
      </c>
      <c r="G23" s="362">
        <f>INDEX('Proposed CATS Output'!$A$1:$AB$30,MATCH($C23,'Proposed CATS Output'!$A$1:$A$30,0),MATCH(G$2,'Proposed CATS Output'!$A$1:$AB$1,0))</f>
        <v>0</v>
      </c>
      <c r="H23" s="362">
        <f>INDEX('Proposed CATS Output'!$A$1:$AB$30,MATCH($C23,'Proposed CATS Output'!$A$1:$A$30,0),MATCH(H$2,'Proposed CATS Output'!$A$1:$AB$1,0))</f>
        <v>30.600000000000058</v>
      </c>
      <c r="I23" s="362">
        <f>INDEX('Proposed CATS Output'!$A$1:$AB$30,MATCH($C23,'Proposed CATS Output'!$A$1:$A$30,0),MATCH(I$2,'Proposed CATS Output'!$A$1:$AB$1,0))</f>
        <v>0</v>
      </c>
      <c r="J23" s="362">
        <f>INDEX('Proposed CATS Output'!$A$1:$AB$30,MATCH($C23,'Proposed CATS Output'!$A$1:$A$30,0),MATCH(J$2,'Proposed CATS Output'!$A$1:$AB$1,0))</f>
        <v>0</v>
      </c>
      <c r="K23" s="362">
        <f>INDEX('Proposed CATS Output'!$A$1:$AB$30,MATCH($C23,'Proposed CATS Output'!$A$1:$A$30,0),MATCH(K$2,'Proposed CATS Output'!$A$1:$AB$1,0))</f>
        <v>0</v>
      </c>
      <c r="L23" s="362">
        <f>INDEX('Proposed CATS Output'!$A$1:$AB$30,MATCH($C23,'Proposed CATS Output'!$A$1:$A$30,0),MATCH(L$2,'Proposed CATS Output'!$A$1:$AB$1,0))</f>
        <v>0</v>
      </c>
      <c r="M23" s="362">
        <f>INDEX('Proposed CATS Output'!$A$1:$AB$30,MATCH($C23,'Proposed CATS Output'!$A$1:$A$30,0),MATCH(M$2,'Proposed CATS Output'!$A$1:$AB$1,0))</f>
        <v>0</v>
      </c>
      <c r="N23" s="362">
        <f>INDEX('Proposed CATS Output'!$A$1:$AB$30,MATCH($C23,'Proposed CATS Output'!$A$1:$A$30,0),MATCH(N$2,'Proposed CATS Output'!$A$1:$AB$1,0))</f>
        <v>0</v>
      </c>
      <c r="O23" s="362">
        <f>INDEX('Proposed CATS Output'!$A$1:$AB$30,MATCH($C23,'Proposed CATS Output'!$A$1:$A$30,0),MATCH(O$2,'Proposed CATS Output'!$A$1:$AB$1,0))</f>
        <v>0</v>
      </c>
      <c r="P23" s="362">
        <f>INDEX('Proposed CATS Output'!$A$1:$AB$30,MATCH($C23,'Proposed CATS Output'!$A$1:$A$30,0),MATCH(P$2,'Proposed CATS Output'!$A$1:$AB$1,0))</f>
        <v>0</v>
      </c>
      <c r="Q23" s="362">
        <f>INDEX('Proposed CATS Output'!$A$1:$AB$30,MATCH($C23,'Proposed CATS Output'!$A$1:$A$30,0),MATCH(Q$2,'Proposed CATS Output'!$A$1:$AB$1,0))</f>
        <v>0</v>
      </c>
      <c r="R23" s="362">
        <f>INDEX('Proposed CATS Output'!$A$1:$AB$30,MATCH($C23,'Proposed CATS Output'!$A$1:$A$30,0),MATCH(R$2,'Proposed CATS Output'!$A$1:$AB$1,0))</f>
        <v>0</v>
      </c>
      <c r="S23" s="362">
        <f>INDEX('Proposed CATS Output'!$A$1:$AB$30,MATCH($C23,'Proposed CATS Output'!$A$1:$A$30,0),MATCH(S$2,'Proposed CATS Output'!$A$1:$AB$1,0))</f>
        <v>0</v>
      </c>
      <c r="T23" s="362">
        <f>INDEX('Proposed CATS Output'!$A$1:$AB$30,MATCH($C23,'Proposed CATS Output'!$A$1:$A$30,0),MATCH(T$2,'Proposed CATS Output'!$A$1:$AB$1,0))</f>
        <v>0</v>
      </c>
      <c r="U23" s="362">
        <f>INDEX('Proposed CATS Output'!$A$1:$AB$30,MATCH($C23,'Proposed CATS Output'!$A$1:$A$30,0),MATCH(U$2,'Proposed CATS Output'!$A$1:$AB$1,0))</f>
        <v>0</v>
      </c>
      <c r="V23" s="362">
        <f>INDEX('Proposed CATS Output'!$A$1:$AB$30,MATCH($C23,'Proposed CATS Output'!$A$1:$A$30,0),MATCH(V$2,'Proposed CATS Output'!$A$1:$AB$1,0))</f>
        <v>0</v>
      </c>
      <c r="W23" s="362">
        <f>INDEX('Proposed CATS Output'!$A$1:$AB$30,MATCH($C23,'Proposed CATS Output'!$A$1:$A$30,0),MATCH(W$2,'Proposed CATS Output'!$A$1:$AB$1,0))</f>
        <v>1173.460465074535</v>
      </c>
      <c r="X23" s="362">
        <f>INDEX('Proposed CATS Output'!$A$1:$AB$30,MATCH($C23,'Proposed CATS Output'!$A$1:$A$30,0),MATCH(X$2,'Proposed CATS Output'!$A$1:$AB$1,0))</f>
        <v>704.07627904472099</v>
      </c>
      <c r="Y23" s="362">
        <f>INDEX('Proposed CATS Output'!$A$1:$AB$30,MATCH($C23,'Proposed CATS Output'!$A$1:$A$30,0),MATCH(Y$2,'Proposed CATS Output'!$A$1:$AB$1,0))</f>
        <v>422.44576742683262</v>
      </c>
      <c r="Z23" s="362">
        <f>INDEX('Proposed CATS Output'!$A$1:$AB$30,MATCH($C23,'Proposed CATS Output'!$A$1:$A$30,0),MATCH(Z$2,'Proposed CATS Output'!$A$1:$AB$1,0))</f>
        <v>0</v>
      </c>
      <c r="AA23" s="362">
        <f>INDEX('Proposed CATS Output'!$A$1:$AB$30,MATCH($C23,'Proposed CATS Output'!$A$1:$A$30,0),MATCH(AA$2,'Proposed CATS Output'!$A$1:$AB$1,0))</f>
        <v>0</v>
      </c>
      <c r="AB23" s="362">
        <f>INDEX('Proposed CATS Output'!$A$1:$AB$30,MATCH($C23,'Proposed CATS Output'!$A$1:$A$30,0),MATCH(AB$2,'Proposed CATS Output'!$A$1:$AB$1,0))</f>
        <v>0</v>
      </c>
      <c r="AC23" s="362">
        <f>INDEX('Proposed CATS Output'!$A$1:$AB$30,MATCH($C23,'Proposed CATS Output'!$A$1:$A$30,0),MATCH(AC$2,'Proposed CATS Output'!$A$1:$AB$1,0))</f>
        <v>0</v>
      </c>
    </row>
    <row r="24" spans="1:29">
      <c r="C24" s="68" t="s">
        <v>24</v>
      </c>
      <c r="D24" s="68" t="s">
        <v>22</v>
      </c>
      <c r="E24" s="362">
        <f>INDEX('Proposed CATS Output'!$A$1:$AB$30,MATCH($C24,'Proposed CATS Output'!$A$1:$A$30,0),MATCH(E$2,'Proposed CATS Output'!$A$1:$AB$1,0))</f>
        <v>0</v>
      </c>
      <c r="F24" s="362">
        <f>INDEX('Proposed CATS Output'!$A$1:$AB$30,MATCH($C24,'Proposed CATS Output'!$A$1:$A$30,0),MATCH(F$2,'Proposed CATS Output'!$A$1:$AB$1,0))</f>
        <v>0</v>
      </c>
      <c r="G24" s="362">
        <f>INDEX('Proposed CATS Output'!$A$1:$AB$30,MATCH($C24,'Proposed CATS Output'!$A$1:$A$30,0),MATCH(G$2,'Proposed CATS Output'!$A$1:$AB$1,0))</f>
        <v>0</v>
      </c>
      <c r="H24" s="362">
        <f>INDEX('Proposed CATS Output'!$A$1:$AB$30,MATCH($C24,'Proposed CATS Output'!$A$1:$A$30,0),MATCH(H$2,'Proposed CATS Output'!$A$1:$AB$1,0))</f>
        <v>0</v>
      </c>
      <c r="I24" s="362">
        <f>INDEX('Proposed CATS Output'!$A$1:$AB$30,MATCH($C24,'Proposed CATS Output'!$A$1:$A$30,0),MATCH(I$2,'Proposed CATS Output'!$A$1:$AB$1,0))</f>
        <v>0</v>
      </c>
      <c r="J24" s="362">
        <f>INDEX('Proposed CATS Output'!$A$1:$AB$30,MATCH($C24,'Proposed CATS Output'!$A$1:$A$30,0),MATCH(J$2,'Proposed CATS Output'!$A$1:$AB$1,0))</f>
        <v>0</v>
      </c>
      <c r="K24" s="362">
        <f>INDEX('Proposed CATS Output'!$A$1:$AB$30,MATCH($C24,'Proposed CATS Output'!$A$1:$A$30,0),MATCH(K$2,'Proposed CATS Output'!$A$1:$AB$1,0))</f>
        <v>0</v>
      </c>
      <c r="L24" s="362">
        <f>INDEX('Proposed CATS Output'!$A$1:$AB$30,MATCH($C24,'Proposed CATS Output'!$A$1:$A$30,0),MATCH(L$2,'Proposed CATS Output'!$A$1:$AB$1,0))</f>
        <v>0</v>
      </c>
      <c r="M24" s="362">
        <f>INDEX('Proposed CATS Output'!$A$1:$AB$30,MATCH($C24,'Proposed CATS Output'!$A$1:$A$30,0),MATCH(M$2,'Proposed CATS Output'!$A$1:$AB$1,0))</f>
        <v>0</v>
      </c>
      <c r="N24" s="362">
        <f>INDEX('Proposed CATS Output'!$A$1:$AB$30,MATCH($C24,'Proposed CATS Output'!$A$1:$A$30,0),MATCH(N$2,'Proposed CATS Output'!$A$1:$AB$1,0))</f>
        <v>0</v>
      </c>
      <c r="O24" s="362">
        <f>INDEX('Proposed CATS Output'!$A$1:$AB$30,MATCH($C24,'Proposed CATS Output'!$A$1:$A$30,0),MATCH(O$2,'Proposed CATS Output'!$A$1:$AB$1,0))</f>
        <v>0</v>
      </c>
      <c r="P24" s="362">
        <f>INDEX('Proposed CATS Output'!$A$1:$AB$30,MATCH($C24,'Proposed CATS Output'!$A$1:$A$30,0),MATCH(P$2,'Proposed CATS Output'!$A$1:$AB$1,0))</f>
        <v>0</v>
      </c>
      <c r="Q24" s="362">
        <f>INDEX('Proposed CATS Output'!$A$1:$AB$30,MATCH($C24,'Proposed CATS Output'!$A$1:$A$30,0),MATCH(Q$2,'Proposed CATS Output'!$A$1:$AB$1,0))</f>
        <v>0</v>
      </c>
      <c r="R24" s="362">
        <f>INDEX('Proposed CATS Output'!$A$1:$AB$30,MATCH($C24,'Proposed CATS Output'!$A$1:$A$30,0),MATCH(R$2,'Proposed CATS Output'!$A$1:$AB$1,0))</f>
        <v>0</v>
      </c>
      <c r="S24" s="362">
        <f>INDEX('Proposed CATS Output'!$A$1:$AB$30,MATCH($C24,'Proposed CATS Output'!$A$1:$A$30,0),MATCH(S$2,'Proposed CATS Output'!$A$1:$AB$1,0))</f>
        <v>0</v>
      </c>
      <c r="T24" s="362">
        <f>INDEX('Proposed CATS Output'!$A$1:$AB$30,MATCH($C24,'Proposed CATS Output'!$A$1:$A$30,0),MATCH(T$2,'Proposed CATS Output'!$A$1:$AB$1,0))</f>
        <v>0</v>
      </c>
      <c r="U24" s="362">
        <f>INDEX('Proposed CATS Output'!$A$1:$AB$30,MATCH($C24,'Proposed CATS Output'!$A$1:$A$30,0),MATCH(U$2,'Proposed CATS Output'!$A$1:$AB$1,0))</f>
        <v>0</v>
      </c>
      <c r="V24" s="362">
        <f>INDEX('Proposed CATS Output'!$A$1:$AB$30,MATCH($C24,'Proposed CATS Output'!$A$1:$A$30,0),MATCH(V$2,'Proposed CATS Output'!$A$1:$AB$1,0))</f>
        <v>0</v>
      </c>
      <c r="W24" s="362">
        <f>INDEX('Proposed CATS Output'!$A$1:$AB$30,MATCH($C24,'Proposed CATS Output'!$A$1:$A$30,0),MATCH(W$2,'Proposed CATS Output'!$A$1:$AB$1,0))</f>
        <v>0</v>
      </c>
      <c r="X24" s="362">
        <f>INDEX('Proposed CATS Output'!$A$1:$AB$30,MATCH($C24,'Proposed CATS Output'!$A$1:$A$30,0),MATCH(X$2,'Proposed CATS Output'!$A$1:$AB$1,0))</f>
        <v>0</v>
      </c>
      <c r="Y24" s="362">
        <f>INDEX('Proposed CATS Output'!$A$1:$AB$30,MATCH($C24,'Proposed CATS Output'!$A$1:$A$30,0),MATCH(Y$2,'Proposed CATS Output'!$A$1:$AB$1,0))</f>
        <v>0</v>
      </c>
      <c r="Z24" s="362">
        <f>INDEX('Proposed CATS Output'!$A$1:$AB$30,MATCH($C24,'Proposed CATS Output'!$A$1:$A$30,0),MATCH(Z$2,'Proposed CATS Output'!$A$1:$AB$1,0))</f>
        <v>0</v>
      </c>
      <c r="AA24" s="362">
        <f>INDEX('Proposed CATS Output'!$A$1:$AB$30,MATCH($C24,'Proposed CATS Output'!$A$1:$A$30,0),MATCH(AA$2,'Proposed CATS Output'!$A$1:$AB$1,0))</f>
        <v>0</v>
      </c>
      <c r="AB24" s="362">
        <f>INDEX('Proposed CATS Output'!$A$1:$AB$30,MATCH($C24,'Proposed CATS Output'!$A$1:$A$30,0),MATCH(AB$2,'Proposed CATS Output'!$A$1:$AB$1,0))</f>
        <v>0</v>
      </c>
      <c r="AC24" s="362">
        <f>INDEX('Proposed CATS Output'!$A$1:$AB$30,MATCH($C24,'Proposed CATS Output'!$A$1:$A$30,0),MATCH(AC$2,'Proposed CATS Output'!$A$1:$AB$1,0))</f>
        <v>0</v>
      </c>
    </row>
    <row r="25" spans="1:29">
      <c r="C25" s="68" t="s">
        <v>21</v>
      </c>
      <c r="D25" s="68" t="s">
        <v>22</v>
      </c>
      <c r="E25" s="362">
        <f>INDEX('Proposed CATS Output'!$A$1:$AB$30,MATCH($C25,'Proposed CATS Output'!$A$1:$A$30,0),MATCH(E$2,'Proposed CATS Output'!$A$1:$AB$1,0))</f>
        <v>0</v>
      </c>
      <c r="F25" s="362">
        <f>INDEX('Proposed CATS Output'!$A$1:$AB$30,MATCH($C25,'Proposed CATS Output'!$A$1:$A$30,0),MATCH(F$2,'Proposed CATS Output'!$A$1:$AB$1,0))</f>
        <v>0</v>
      </c>
      <c r="G25" s="362">
        <f>INDEX('Proposed CATS Output'!$A$1:$AB$30,MATCH($C25,'Proposed CATS Output'!$A$1:$A$30,0),MATCH(G$2,'Proposed CATS Output'!$A$1:$AB$1,0))</f>
        <v>0</v>
      </c>
      <c r="H25" s="362">
        <f>INDEX('Proposed CATS Output'!$A$1:$AB$30,MATCH($C25,'Proposed CATS Output'!$A$1:$A$30,0),MATCH(H$2,'Proposed CATS Output'!$A$1:$AB$1,0))</f>
        <v>0</v>
      </c>
      <c r="I25" s="362">
        <f>INDEX('Proposed CATS Output'!$A$1:$AB$30,MATCH($C25,'Proposed CATS Output'!$A$1:$A$30,0),MATCH(I$2,'Proposed CATS Output'!$A$1:$AB$1,0))</f>
        <v>0</v>
      </c>
      <c r="J25" s="362">
        <f>INDEX('Proposed CATS Output'!$A$1:$AB$30,MATCH($C25,'Proposed CATS Output'!$A$1:$A$30,0),MATCH(J$2,'Proposed CATS Output'!$A$1:$AB$1,0))</f>
        <v>0</v>
      </c>
      <c r="K25" s="362">
        <f>INDEX('Proposed CATS Output'!$A$1:$AB$30,MATCH($C25,'Proposed CATS Output'!$A$1:$A$30,0),MATCH(K$2,'Proposed CATS Output'!$A$1:$AB$1,0))</f>
        <v>0</v>
      </c>
      <c r="L25" s="362">
        <f>INDEX('Proposed CATS Output'!$A$1:$AB$30,MATCH($C25,'Proposed CATS Output'!$A$1:$A$30,0),MATCH(L$2,'Proposed CATS Output'!$A$1:$AB$1,0))</f>
        <v>0</v>
      </c>
      <c r="M25" s="362">
        <f>INDEX('Proposed CATS Output'!$A$1:$AB$30,MATCH($C25,'Proposed CATS Output'!$A$1:$A$30,0),MATCH(M$2,'Proposed CATS Output'!$A$1:$AB$1,0))</f>
        <v>3.2550488666666721</v>
      </c>
      <c r="N25" s="362">
        <f>INDEX('Proposed CATS Output'!$A$1:$AB$30,MATCH($C25,'Proposed CATS Output'!$A$1:$A$30,0),MATCH(N$2,'Proposed CATS Output'!$A$1:$AB$1,0))</f>
        <v>2.881826358333345</v>
      </c>
      <c r="O25" s="362">
        <f>INDEX('Proposed CATS Output'!$A$1:$AB$30,MATCH($C25,'Proposed CATS Output'!$A$1:$A$30,0),MATCH(O$2,'Proposed CATS Output'!$A$1:$AB$1,0))</f>
        <v>0</v>
      </c>
      <c r="P25" s="362">
        <f>INDEX('Proposed CATS Output'!$A$1:$AB$30,MATCH($C25,'Proposed CATS Output'!$A$1:$A$30,0),MATCH(P$2,'Proposed CATS Output'!$A$1:$AB$1,0))</f>
        <v>0</v>
      </c>
      <c r="Q25" s="362">
        <f>INDEX('Proposed CATS Output'!$A$1:$AB$30,MATCH($C25,'Proposed CATS Output'!$A$1:$A$30,0),MATCH(Q$2,'Proposed CATS Output'!$A$1:$AB$1,0))</f>
        <v>0</v>
      </c>
      <c r="R25" s="362">
        <f>INDEX('Proposed CATS Output'!$A$1:$AB$30,MATCH($C25,'Proposed CATS Output'!$A$1:$A$30,0),MATCH(R$2,'Proposed CATS Output'!$A$1:$AB$1,0))</f>
        <v>0</v>
      </c>
      <c r="S25" s="362">
        <f>INDEX('Proposed CATS Output'!$A$1:$AB$30,MATCH($C25,'Proposed CATS Output'!$A$1:$A$30,0),MATCH(S$2,'Proposed CATS Output'!$A$1:$AB$1,0))</f>
        <v>0</v>
      </c>
      <c r="T25" s="362">
        <f>INDEX('Proposed CATS Output'!$A$1:$AB$30,MATCH($C25,'Proposed CATS Output'!$A$1:$A$30,0),MATCH(T$2,'Proposed CATS Output'!$A$1:$AB$1,0))</f>
        <v>0</v>
      </c>
      <c r="U25" s="362">
        <f>INDEX('Proposed CATS Output'!$A$1:$AB$30,MATCH($C25,'Proposed CATS Output'!$A$1:$A$30,0),MATCH(U$2,'Proposed CATS Output'!$A$1:$AB$1,0))</f>
        <v>0</v>
      </c>
      <c r="V25" s="362">
        <f>INDEX('Proposed CATS Output'!$A$1:$AB$30,MATCH($C25,'Proposed CATS Output'!$A$1:$A$30,0),MATCH(V$2,'Proposed CATS Output'!$A$1:$AB$1,0))</f>
        <v>0</v>
      </c>
      <c r="W25" s="362">
        <f>INDEX('Proposed CATS Output'!$A$1:$AB$30,MATCH($C25,'Proposed CATS Output'!$A$1:$A$30,0),MATCH(W$2,'Proposed CATS Output'!$A$1:$AB$1,0))</f>
        <v>51.672747484999952</v>
      </c>
      <c r="X25" s="362">
        <f>INDEX('Proposed CATS Output'!$A$1:$AB$30,MATCH($C25,'Proposed CATS Output'!$A$1:$A$30,0),MATCH(X$2,'Proposed CATS Output'!$A$1:$AB$1,0))</f>
        <v>72.341846478999912</v>
      </c>
      <c r="Y25" s="362">
        <f>INDEX('Proposed CATS Output'!$A$1:$AB$30,MATCH($C25,'Proposed CATS Output'!$A$1:$A$30,0),MATCH(Y$2,'Proposed CATS Output'!$A$1:$AB$1,0))</f>
        <v>48.65146364026657</v>
      </c>
      <c r="Z25" s="362">
        <f>INDEX('Proposed CATS Output'!$A$1:$AB$30,MATCH($C25,'Proposed CATS Output'!$A$1:$A$30,0),MATCH(Z$2,'Proposed CATS Output'!$A$1:$AB$1,0))</f>
        <v>42.216709529666602</v>
      </c>
      <c r="AA25" s="362">
        <f>INDEX('Proposed CATS Output'!$A$1:$AB$30,MATCH($C25,'Proposed CATS Output'!$A$1:$A$30,0),MATCH(AA$2,'Proposed CATS Output'!$A$1:$AB$1,0))</f>
        <v>58.434512768433308</v>
      </c>
      <c r="AB25" s="362">
        <f>INDEX('Proposed CATS Output'!$A$1:$AB$30,MATCH($C25,'Proposed CATS Output'!$A$1:$A$30,0),MATCH(AB$2,'Proposed CATS Output'!$A$1:$AB$1,0))</f>
        <v>81.808317875806637</v>
      </c>
      <c r="AC25" s="362">
        <f>INDEX('Proposed CATS Output'!$A$1:$AB$30,MATCH($C25,'Proposed CATS Output'!$A$1:$A$30,0),MATCH(AC$2,'Proposed CATS Output'!$A$1:$AB$1,0))</f>
        <v>88.107035877429354</v>
      </c>
    </row>
    <row r="26" spans="1:29">
      <c r="C26" s="68" t="s">
        <v>23</v>
      </c>
      <c r="D26" s="68" t="s">
        <v>22</v>
      </c>
      <c r="E26" s="362">
        <f>INDEX('Proposed CATS Output'!$A$1:$AB$30,MATCH($C26,'Proposed CATS Output'!$A$1:$A$30,0),MATCH(E$2,'Proposed CATS Output'!$A$1:$AB$1,0))</f>
        <v>0</v>
      </c>
      <c r="F26" s="362">
        <f>INDEX('Proposed CATS Output'!$A$1:$AB$30,MATCH($C26,'Proposed CATS Output'!$A$1:$A$30,0),MATCH(F$2,'Proposed CATS Output'!$A$1:$AB$1,0))</f>
        <v>0</v>
      </c>
      <c r="G26" s="362">
        <f>INDEX('Proposed CATS Output'!$A$1:$AB$30,MATCH($C26,'Proposed CATS Output'!$A$1:$A$30,0),MATCH(G$2,'Proposed CATS Output'!$A$1:$AB$1,0))</f>
        <v>0</v>
      </c>
      <c r="H26" s="362">
        <f>INDEX('Proposed CATS Output'!$A$1:$AB$30,MATCH($C26,'Proposed CATS Output'!$A$1:$A$30,0),MATCH(H$2,'Proposed CATS Output'!$A$1:$AB$1,0))</f>
        <v>2.574873183333334</v>
      </c>
      <c r="I26" s="362">
        <f>INDEX('Proposed CATS Output'!$A$1:$AB$30,MATCH($C26,'Proposed CATS Output'!$A$1:$A$30,0),MATCH(I$2,'Proposed CATS Output'!$A$1:$AB$1,0))</f>
        <v>5.161723799999999</v>
      </c>
      <c r="J26" s="362">
        <f>INDEX('Proposed CATS Output'!$A$1:$AB$30,MATCH($C26,'Proposed CATS Output'!$A$1:$A$30,0),MATCH(J$2,'Proposed CATS Output'!$A$1:$AB$1,0))</f>
        <v>10.654472183333329</v>
      </c>
      <c r="K26" s="362">
        <f>INDEX('Proposed CATS Output'!$A$1:$AB$30,MATCH($C26,'Proposed CATS Output'!$A$1:$A$30,0),MATCH(K$2,'Proposed CATS Output'!$A$1:$AB$1,0))</f>
        <v>20.592489916666668</v>
      </c>
      <c r="L26" s="362">
        <f>INDEX('Proposed CATS Output'!$A$1:$AB$30,MATCH($C26,'Proposed CATS Output'!$A$1:$A$30,0),MATCH(L$2,'Proposed CATS Output'!$A$1:$AB$1,0))</f>
        <v>12.35549395</v>
      </c>
      <c r="M26" s="362">
        <f>INDEX('Proposed CATS Output'!$A$1:$AB$30,MATCH($C26,'Proposed CATS Output'!$A$1:$A$30,0),MATCH(M$2,'Proposed CATS Output'!$A$1:$AB$1,0))</f>
        <v>0</v>
      </c>
      <c r="N26" s="362">
        <f>INDEX('Proposed CATS Output'!$A$1:$AB$30,MATCH($C26,'Proposed CATS Output'!$A$1:$A$30,0),MATCH(N$2,'Proposed CATS Output'!$A$1:$AB$1,0))</f>
        <v>0</v>
      </c>
      <c r="O26" s="362">
        <f>INDEX('Proposed CATS Output'!$A$1:$AB$30,MATCH($C26,'Proposed CATS Output'!$A$1:$A$30,0),MATCH(O$2,'Proposed CATS Output'!$A$1:$AB$1,0))</f>
        <v>0</v>
      </c>
      <c r="P26" s="362">
        <f>INDEX('Proposed CATS Output'!$A$1:$AB$30,MATCH($C26,'Proposed CATS Output'!$A$1:$A$30,0),MATCH(P$2,'Proposed CATS Output'!$A$1:$AB$1,0))</f>
        <v>0</v>
      </c>
      <c r="Q26" s="362">
        <f>INDEX('Proposed CATS Output'!$A$1:$AB$30,MATCH($C26,'Proposed CATS Output'!$A$1:$A$30,0),MATCH(Q$2,'Proposed CATS Output'!$A$1:$AB$1,0))</f>
        <v>23.872124346635889</v>
      </c>
      <c r="R26" s="362">
        <f>INDEX('Proposed CATS Output'!$A$1:$AB$30,MATCH($C26,'Proposed CATS Output'!$A$1:$A$30,0),MATCH(R$2,'Proposed CATS Output'!$A$1:$AB$1,0))</f>
        <v>14.32327460798153</v>
      </c>
      <c r="S26" s="362">
        <f>INDEX('Proposed CATS Output'!$A$1:$AB$30,MATCH($C26,'Proposed CATS Output'!$A$1:$A$30,0),MATCH(S$2,'Proposed CATS Output'!$A$1:$AB$1,0))</f>
        <v>11.49810177333333</v>
      </c>
      <c r="T26" s="362">
        <f>INDEX('Proposed CATS Output'!$A$1:$AB$30,MATCH($C26,'Proposed CATS Output'!$A$1:$A$30,0),MATCH(T$2,'Proposed CATS Output'!$A$1:$AB$1,0))</f>
        <v>20.559621296279591</v>
      </c>
      <c r="U26" s="362">
        <f>INDEX('Proposed CATS Output'!$A$1:$AB$30,MATCH($C26,'Proposed CATS Output'!$A$1:$A$30,0),MATCH(U$2,'Proposed CATS Output'!$A$1:$AB$1,0))</f>
        <v>30.49074160141064</v>
      </c>
      <c r="V26" s="362">
        <f>INDEX('Proposed CATS Output'!$A$1:$AB$30,MATCH($C26,'Proposed CATS Output'!$A$1:$A$30,0),MATCH(V$2,'Proposed CATS Output'!$A$1:$AB$1,0))</f>
        <v>48.26250000000001</v>
      </c>
      <c r="W26" s="362">
        <f>INDEX('Proposed CATS Output'!$A$1:$AB$30,MATCH($C26,'Proposed CATS Output'!$A$1:$A$30,0),MATCH(W$2,'Proposed CATS Output'!$A$1:$AB$1,0))</f>
        <v>107.16955402833329</v>
      </c>
      <c r="X26" s="362">
        <f>INDEX('Proposed CATS Output'!$A$1:$AB$30,MATCH($C26,'Proposed CATS Output'!$A$1:$A$30,0),MATCH(X$2,'Proposed CATS Output'!$A$1:$AB$1,0))</f>
        <v>107.16955402833329</v>
      </c>
      <c r="Y26" s="362">
        <f>INDEX('Proposed CATS Output'!$A$1:$AB$30,MATCH($C26,'Proposed CATS Output'!$A$1:$A$30,0),MATCH(Y$2,'Proposed CATS Output'!$A$1:$AB$1,0))</f>
        <v>107.1652862016667</v>
      </c>
      <c r="Z26" s="362">
        <f>INDEX('Proposed CATS Output'!$A$1:$AB$30,MATCH($C26,'Proposed CATS Output'!$A$1:$A$30,0),MATCH(Z$2,'Proposed CATS Output'!$A$1:$AB$1,0))</f>
        <v>64.299171721000008</v>
      </c>
      <c r="AA26" s="362">
        <f>INDEX('Proposed CATS Output'!$A$1:$AB$30,MATCH($C26,'Proposed CATS Output'!$A$1:$A$30,0),MATCH(AA$2,'Proposed CATS Output'!$A$1:$AB$1,0))</f>
        <v>47.176213393733327</v>
      </c>
      <c r="AB26" s="362">
        <f>INDEX('Proposed CATS Output'!$A$1:$AB$30,MATCH($C26,'Proposed CATS Output'!$A$1:$A$30,0),MATCH(AB$2,'Proposed CATS Output'!$A$1:$AB$1,0))</f>
        <v>28.305728036240001</v>
      </c>
      <c r="AC26" s="362">
        <f>INDEX('Proposed CATS Output'!$A$1:$AB$30,MATCH($C26,'Proposed CATS Output'!$A$1:$A$30,0),MATCH(AC$2,'Proposed CATS Output'!$A$1:$AB$1,0))</f>
        <v>48.262499999999989</v>
      </c>
    </row>
    <row r="27" spans="1:29">
      <c r="C27" s="68" t="s">
        <v>25</v>
      </c>
      <c r="D27" s="68" t="s">
        <v>22</v>
      </c>
      <c r="E27" s="362">
        <f>INDEX('Proposed CATS Output'!$A$1:$AB$30,MATCH($C27,'Proposed CATS Output'!$A$1:$A$30,0),MATCH(E$2,'Proposed CATS Output'!$A$1:$AB$1,0))</f>
        <v>0</v>
      </c>
      <c r="F27" s="362">
        <f>INDEX('Proposed CATS Output'!$A$1:$AB$30,MATCH($C27,'Proposed CATS Output'!$A$1:$A$30,0),MATCH(F$2,'Proposed CATS Output'!$A$1:$AB$1,0))</f>
        <v>0</v>
      </c>
      <c r="G27" s="362">
        <f>INDEX('Proposed CATS Output'!$A$1:$AB$30,MATCH($C27,'Proposed CATS Output'!$A$1:$A$30,0),MATCH(G$2,'Proposed CATS Output'!$A$1:$AB$1,0))</f>
        <v>0</v>
      </c>
      <c r="H27" s="362">
        <f>INDEX('Proposed CATS Output'!$A$1:$AB$30,MATCH($C27,'Proposed CATS Output'!$A$1:$A$30,0),MATCH(H$2,'Proposed CATS Output'!$A$1:$AB$1,0))</f>
        <v>0</v>
      </c>
      <c r="I27" s="362">
        <f>INDEX('Proposed CATS Output'!$A$1:$AB$30,MATCH($C27,'Proposed CATS Output'!$A$1:$A$30,0),MATCH(I$2,'Proposed CATS Output'!$A$1:$AB$1,0))</f>
        <v>0</v>
      </c>
      <c r="J27" s="362">
        <f>INDEX('Proposed CATS Output'!$A$1:$AB$30,MATCH($C27,'Proposed CATS Output'!$A$1:$A$30,0),MATCH(J$2,'Proposed CATS Output'!$A$1:$AB$1,0))</f>
        <v>0</v>
      </c>
      <c r="K27" s="362">
        <f>INDEX('Proposed CATS Output'!$A$1:$AB$30,MATCH($C27,'Proposed CATS Output'!$A$1:$A$30,0),MATCH(K$2,'Proposed CATS Output'!$A$1:$AB$1,0))</f>
        <v>0</v>
      </c>
      <c r="L27" s="362">
        <f>INDEX('Proposed CATS Output'!$A$1:$AB$30,MATCH($C27,'Proposed CATS Output'!$A$1:$A$30,0),MATCH(L$2,'Proposed CATS Output'!$A$1:$AB$1,0))</f>
        <v>0</v>
      </c>
      <c r="M27" s="362">
        <f>INDEX('Proposed CATS Output'!$A$1:$AB$30,MATCH($C27,'Proposed CATS Output'!$A$1:$A$30,0),MATCH(M$2,'Proposed CATS Output'!$A$1:$AB$1,0))</f>
        <v>0</v>
      </c>
      <c r="N27" s="362">
        <f>INDEX('Proposed CATS Output'!$A$1:$AB$30,MATCH($C27,'Proposed CATS Output'!$A$1:$A$30,0),MATCH(N$2,'Proposed CATS Output'!$A$1:$AB$1,0))</f>
        <v>0</v>
      </c>
      <c r="O27" s="362">
        <f>INDEX('Proposed CATS Output'!$A$1:$AB$30,MATCH($C27,'Proposed CATS Output'!$A$1:$A$30,0),MATCH(O$2,'Proposed CATS Output'!$A$1:$AB$1,0))</f>
        <v>0</v>
      </c>
      <c r="P27" s="362">
        <f>INDEX('Proposed CATS Output'!$A$1:$AB$30,MATCH($C27,'Proposed CATS Output'!$A$1:$A$30,0),MATCH(P$2,'Proposed CATS Output'!$A$1:$AB$1,0))</f>
        <v>0</v>
      </c>
      <c r="Q27" s="362">
        <f>INDEX('Proposed CATS Output'!$A$1:$AB$30,MATCH($C27,'Proposed CATS Output'!$A$1:$A$30,0),MATCH(Q$2,'Proposed CATS Output'!$A$1:$AB$1,0))</f>
        <v>0</v>
      </c>
      <c r="R27" s="362">
        <f>INDEX('Proposed CATS Output'!$A$1:$AB$30,MATCH($C27,'Proposed CATS Output'!$A$1:$A$30,0),MATCH(R$2,'Proposed CATS Output'!$A$1:$AB$1,0))</f>
        <v>0</v>
      </c>
      <c r="S27" s="362">
        <f>INDEX('Proposed CATS Output'!$A$1:$AB$30,MATCH($C27,'Proposed CATS Output'!$A$1:$A$30,0),MATCH(S$2,'Proposed CATS Output'!$A$1:$AB$1,0))</f>
        <v>0</v>
      </c>
      <c r="T27" s="362">
        <f>INDEX('Proposed CATS Output'!$A$1:$AB$30,MATCH($C27,'Proposed CATS Output'!$A$1:$A$30,0),MATCH(T$2,'Proposed CATS Output'!$A$1:$AB$1,0))</f>
        <v>0</v>
      </c>
      <c r="U27" s="362">
        <f>INDEX('Proposed CATS Output'!$A$1:$AB$30,MATCH($C27,'Proposed CATS Output'!$A$1:$A$30,0),MATCH(U$2,'Proposed CATS Output'!$A$1:$AB$1,0))</f>
        <v>0</v>
      </c>
      <c r="V27" s="362">
        <f>INDEX('Proposed CATS Output'!$A$1:$AB$30,MATCH($C27,'Proposed CATS Output'!$A$1:$A$30,0),MATCH(V$2,'Proposed CATS Output'!$A$1:$AB$1,0))</f>
        <v>0</v>
      </c>
      <c r="W27" s="362">
        <f>INDEX('Proposed CATS Output'!$A$1:$AB$30,MATCH($C27,'Proposed CATS Output'!$A$1:$A$30,0),MATCH(W$2,'Proposed CATS Output'!$A$1:$AB$1,0))</f>
        <v>0</v>
      </c>
      <c r="X27" s="362">
        <f>INDEX('Proposed CATS Output'!$A$1:$AB$30,MATCH($C27,'Proposed CATS Output'!$A$1:$A$30,0),MATCH(X$2,'Proposed CATS Output'!$A$1:$AB$1,0))</f>
        <v>0</v>
      </c>
      <c r="Y27" s="362">
        <f>INDEX('Proposed CATS Output'!$A$1:$AB$30,MATCH($C27,'Proposed CATS Output'!$A$1:$A$30,0),MATCH(Y$2,'Proposed CATS Output'!$A$1:$AB$1,0))</f>
        <v>0</v>
      </c>
      <c r="Z27" s="362">
        <f>INDEX('Proposed CATS Output'!$A$1:$AB$30,MATCH($C27,'Proposed CATS Output'!$A$1:$A$30,0),MATCH(Z$2,'Proposed CATS Output'!$A$1:$AB$1,0))</f>
        <v>0</v>
      </c>
      <c r="AA27" s="362">
        <f>INDEX('Proposed CATS Output'!$A$1:$AB$30,MATCH($C27,'Proposed CATS Output'!$A$1:$A$30,0),MATCH(AA$2,'Proposed CATS Output'!$A$1:$AB$1,0))</f>
        <v>0</v>
      </c>
      <c r="AB27" s="362">
        <f>INDEX('Proposed CATS Output'!$A$1:$AB$30,MATCH($C27,'Proposed CATS Output'!$A$1:$A$30,0),MATCH(AB$2,'Proposed CATS Output'!$A$1:$AB$1,0))</f>
        <v>0</v>
      </c>
      <c r="AC27" s="362">
        <f>INDEX('Proposed CATS Output'!$A$1:$AB$30,MATCH($C27,'Proposed CATS Output'!$A$1:$A$30,0),MATCH(AC$2,'Proposed CATS Output'!$A$1:$AB$1,0))</f>
        <v>0</v>
      </c>
    </row>
    <row r="28" spans="1:29">
      <c r="C28" s="68" t="s">
        <v>26</v>
      </c>
      <c r="D28" s="68" t="s">
        <v>22</v>
      </c>
      <c r="E28" s="362">
        <f>INDEX('Proposed CATS Output'!$A$1:$AB$30,MATCH($C28,'Proposed CATS Output'!$A$1:$A$30,0),MATCH(E$2,'Proposed CATS Output'!$A$1:$AB$1,0))</f>
        <v>0</v>
      </c>
      <c r="F28" s="362">
        <f>INDEX('Proposed CATS Output'!$A$1:$AB$30,MATCH($C28,'Proposed CATS Output'!$A$1:$A$30,0),MATCH(F$2,'Proposed CATS Output'!$A$1:$AB$1,0))</f>
        <v>0.2385582083333333</v>
      </c>
      <c r="G28" s="362">
        <f>INDEX('Proposed CATS Output'!$A$1:$AB$30,MATCH($C28,'Proposed CATS Output'!$A$1:$A$30,0),MATCH(G$2,'Proposed CATS Output'!$A$1:$AB$1,0))</f>
        <v>1.1241731333333329</v>
      </c>
      <c r="H28" s="362">
        <f>INDEX('Proposed CATS Output'!$A$1:$AB$30,MATCH($C28,'Proposed CATS Output'!$A$1:$A$30,0),MATCH(H$2,'Proposed CATS Output'!$A$1:$AB$1,0))</f>
        <v>0</v>
      </c>
      <c r="I28" s="362">
        <f>INDEX('Proposed CATS Output'!$A$1:$AB$30,MATCH($C28,'Proposed CATS Output'!$A$1:$A$30,0),MATCH(I$2,'Proposed CATS Output'!$A$1:$AB$1,0))</f>
        <v>0</v>
      </c>
      <c r="J28" s="362">
        <f>INDEX('Proposed CATS Output'!$A$1:$AB$30,MATCH($C28,'Proposed CATS Output'!$A$1:$A$30,0),MATCH(J$2,'Proposed CATS Output'!$A$1:$AB$1,0))</f>
        <v>0</v>
      </c>
      <c r="K28" s="362">
        <f>INDEX('Proposed CATS Output'!$A$1:$AB$30,MATCH($C28,'Proposed CATS Output'!$A$1:$A$30,0),MATCH(K$2,'Proposed CATS Output'!$A$1:$AB$1,0))</f>
        <v>0</v>
      </c>
      <c r="L28" s="362">
        <f>INDEX('Proposed CATS Output'!$A$1:$AB$30,MATCH($C28,'Proposed CATS Output'!$A$1:$A$30,0),MATCH(L$2,'Proposed CATS Output'!$A$1:$AB$1,0))</f>
        <v>22.046659958333329</v>
      </c>
      <c r="M28" s="362">
        <f>INDEX('Proposed CATS Output'!$A$1:$AB$30,MATCH($C28,'Proposed CATS Output'!$A$1:$A$30,0),MATCH(M$2,'Proposed CATS Output'!$A$1:$AB$1,0))</f>
        <v>48.262500000000003</v>
      </c>
      <c r="N28" s="362">
        <f>INDEX('Proposed CATS Output'!$A$1:$AB$30,MATCH($C28,'Proposed CATS Output'!$A$1:$A$30,0),MATCH(N$2,'Proposed CATS Output'!$A$1:$AB$1,0))</f>
        <v>67.567500000000024</v>
      </c>
      <c r="O28" s="362">
        <f>INDEX('Proposed CATS Output'!$A$1:$AB$30,MATCH($C28,'Proposed CATS Output'!$A$1:$A$30,0),MATCH(O$2,'Proposed CATS Output'!$A$1:$AB$1,0))</f>
        <v>88.950653916666639</v>
      </c>
      <c r="P28" s="362">
        <f>INDEX('Proposed CATS Output'!$A$1:$AB$30,MATCH($C28,'Proposed CATS Output'!$A$1:$A$30,0),MATCH(P$2,'Proposed CATS Output'!$A$1:$AB$1,0))</f>
        <v>106.31570783333331</v>
      </c>
      <c r="Q28" s="362">
        <f>INDEX('Proposed CATS Output'!$A$1:$AB$30,MATCH($C28,'Proposed CATS Output'!$A$1:$A$30,0),MATCH(Q$2,'Proposed CATS Output'!$A$1:$AB$1,0))</f>
        <v>105.7815595783641</v>
      </c>
      <c r="R28" s="362">
        <f>INDEX('Proposed CATS Output'!$A$1:$AB$30,MATCH($C28,'Proposed CATS Output'!$A$1:$A$30,0),MATCH(R$2,'Proposed CATS Output'!$A$1:$AB$1,0))</f>
        <v>141.25983482535179</v>
      </c>
      <c r="S28" s="362">
        <f>INDEX('Proposed CATS Output'!$A$1:$AB$30,MATCH($C28,'Proposed CATS Output'!$A$1:$A$30,0),MATCH(S$2,'Proposed CATS Output'!$A$1:$AB$1,0))</f>
        <v>168.65377513499999</v>
      </c>
      <c r="T28" s="362">
        <f>INDEX('Proposed CATS Output'!$A$1:$AB$30,MATCH($C28,'Proposed CATS Output'!$A$1:$A$30,0),MATCH(T$2,'Proposed CATS Output'!$A$1:$AB$1,0))</f>
        <v>185.81374908705371</v>
      </c>
      <c r="U28" s="362">
        <f>INDEX('Proposed CATS Output'!$A$1:$AB$30,MATCH($C28,'Proposed CATS Output'!$A$1:$A$30,0),MATCH(U$2,'Proposed CATS Output'!$A$1:$AB$1,0))</f>
        <v>203.31034869025601</v>
      </c>
      <c r="V28" s="362">
        <f>INDEX('Proposed CATS Output'!$A$1:$AB$30,MATCH($C28,'Proposed CATS Output'!$A$1:$A$30,0),MATCH(V$2,'Proposed CATS Output'!$A$1:$AB$1,0))</f>
        <v>214.21191336666661</v>
      </c>
      <c r="W28" s="362">
        <f>INDEX('Proposed CATS Output'!$A$1:$AB$30,MATCH($C28,'Proposed CATS Output'!$A$1:$A$30,0),MATCH(W$2,'Proposed CATS Output'!$A$1:$AB$1,0))</f>
        <v>128.52714801999991</v>
      </c>
      <c r="X28" s="362">
        <f>INDEX('Proposed CATS Output'!$A$1:$AB$30,MATCH($C28,'Proposed CATS Output'!$A$1:$A$30,0),MATCH(X$2,'Proposed CATS Output'!$A$1:$AB$1,0))</f>
        <v>135.10728739266671</v>
      </c>
      <c r="Y28" s="362">
        <f>INDEX('Proposed CATS Output'!$A$1:$AB$30,MATCH($C28,'Proposed CATS Output'!$A$1:$A$30,0),MATCH(Y$2,'Proposed CATS Output'!$A$1:$AB$1,0))</f>
        <v>189.15020234973329</v>
      </c>
      <c r="Z28" s="362">
        <f>INDEX('Proposed CATS Output'!$A$1:$AB$30,MATCH($C28,'Proposed CATS Output'!$A$1:$A$30,0),MATCH(Z$2,'Proposed CATS Output'!$A$1:$AB$1,0))</f>
        <v>254.75473942433339</v>
      </c>
      <c r="AA28" s="362">
        <f>INDEX('Proposed CATS Output'!$A$1:$AB$30,MATCH($C28,'Proposed CATS Output'!$A$1:$A$30,0),MATCH(AA$2,'Proposed CATS Output'!$A$1:$AB$1,0))</f>
        <v>272.07145303783341</v>
      </c>
      <c r="AB28" s="362">
        <f>INDEX('Proposed CATS Output'!$A$1:$AB$30,MATCH($C28,'Proposed CATS Output'!$A$1:$A$30,0),MATCH(AB$2,'Proposed CATS Output'!$A$1:$AB$1,0))</f>
        <v>283.86649044628672</v>
      </c>
      <c r="AC28" s="362">
        <f>INDEX('Proposed CATS Output'!$A$1:$AB$30,MATCH($C28,'Proposed CATS Output'!$A$1:$A$30,0),MATCH(AC$2,'Proposed CATS Output'!$A$1:$AB$1,0))</f>
        <v>274.24354187257069</v>
      </c>
    </row>
    <row r="29" spans="1:29">
      <c r="B29" s="56"/>
      <c r="C29" s="68" t="s">
        <v>32</v>
      </c>
      <c r="D29" s="68" t="s">
        <v>13</v>
      </c>
      <c r="E29" s="362">
        <f>INDEX('Proposed CATS Output'!$A$1:$AB$30,MATCH($C29,'Proposed CATS Output'!$A$1:$A$30,0),MATCH(E$2,'Proposed CATS Output'!$A$1:$AB$1,0))</f>
        <v>155.2624472075556</v>
      </c>
      <c r="F29" s="362">
        <f>INDEX('Proposed CATS Output'!$A$1:$AB$30,MATCH($C29,'Proposed CATS Output'!$A$1:$A$30,0),MATCH(F$2,'Proposed CATS Output'!$A$1:$AB$1,0))</f>
        <v>163.9524477132446</v>
      </c>
      <c r="G29" s="362">
        <f>INDEX('Proposed CATS Output'!$A$1:$AB$30,MATCH($C29,'Proposed CATS Output'!$A$1:$A$30,0),MATCH(G$2,'Proposed CATS Output'!$A$1:$AB$1,0))</f>
        <v>165.1882957477504</v>
      </c>
      <c r="H29" s="362">
        <f>INDEX('Proposed CATS Output'!$A$1:$AB$30,MATCH($C29,'Proposed CATS Output'!$A$1:$A$30,0),MATCH(H$2,'Proposed CATS Output'!$A$1:$AB$1,0))</f>
        <v>129.26230487841161</v>
      </c>
      <c r="I29" s="362">
        <f>INDEX('Proposed CATS Output'!$A$1:$AB$30,MATCH($C29,'Proposed CATS Output'!$A$1:$A$30,0),MATCH(I$2,'Proposed CATS Output'!$A$1:$AB$1,0))</f>
        <v>108.22915168681379</v>
      </c>
      <c r="J29" s="362">
        <f>INDEX('Proposed CATS Output'!$A$1:$AB$30,MATCH($C29,'Proposed CATS Output'!$A$1:$A$30,0),MATCH(J$2,'Proposed CATS Output'!$A$1:$AB$1,0))</f>
        <v>123.48948479360089</v>
      </c>
      <c r="K29" s="362">
        <f>INDEX('Proposed CATS Output'!$A$1:$AB$30,MATCH($C29,'Proposed CATS Output'!$A$1:$A$30,0),MATCH(K$2,'Proposed CATS Output'!$A$1:$AB$1,0))</f>
        <v>128.77098064339489</v>
      </c>
      <c r="L29" s="362">
        <f>INDEX('Proposed CATS Output'!$A$1:$AB$30,MATCH($C29,'Proposed CATS Output'!$A$1:$A$30,0),MATCH(L$2,'Proposed CATS Output'!$A$1:$AB$1,0))</f>
        <v>129.4193739144076</v>
      </c>
      <c r="M29" s="362">
        <f>INDEX('Proposed CATS Output'!$A$1:$AB$30,MATCH($C29,'Proposed CATS Output'!$A$1:$A$30,0),MATCH(M$2,'Proposed CATS Output'!$A$1:$AB$1,0))</f>
        <v>134.70107912545549</v>
      </c>
      <c r="N29" s="362">
        <f>INDEX('Proposed CATS Output'!$A$1:$AB$30,MATCH($C29,'Proposed CATS Output'!$A$1:$A$30,0),MATCH(N$2,'Proposed CATS Output'!$A$1:$AB$1,0))</f>
        <v>128.0007997471555</v>
      </c>
      <c r="O29" s="362">
        <f>INDEX('Proposed CATS Output'!$A$1:$AB$30,MATCH($C29,'Proposed CATS Output'!$A$1:$A$30,0),MATCH(O$2,'Proposed CATS Output'!$A$1:$AB$1,0))</f>
        <v>122.5000413623857</v>
      </c>
      <c r="P29" s="362">
        <f>INDEX('Proposed CATS Output'!$A$1:$AB$30,MATCH($C29,'Proposed CATS Output'!$A$1:$A$30,0),MATCH(P$2,'Proposed CATS Output'!$A$1:$AB$1,0))</f>
        <v>116.601357745222</v>
      </c>
      <c r="Q29" s="362">
        <f>INDEX('Proposed CATS Output'!$A$1:$AB$30,MATCH($C29,'Proposed CATS Output'!$A$1:$A$30,0),MATCH(Q$2,'Proposed CATS Output'!$A$1:$AB$1,0))</f>
        <v>110.6093863463969</v>
      </c>
      <c r="R29" s="362">
        <f>INDEX('Proposed CATS Output'!$A$1:$AB$30,MATCH($C29,'Proposed CATS Output'!$A$1:$A$30,0),MATCH(R$2,'Proposed CATS Output'!$A$1:$AB$1,0))</f>
        <v>104.12766515207851</v>
      </c>
      <c r="S29" s="362">
        <f>INDEX('Proposed CATS Output'!$A$1:$AB$30,MATCH($C29,'Proposed CATS Output'!$A$1:$A$30,0),MATCH(S$2,'Proposed CATS Output'!$A$1:$AB$1,0))</f>
        <v>97.118312924815925</v>
      </c>
      <c r="T29" s="362">
        <f>INDEX('Proposed CATS Output'!$A$1:$AB$30,MATCH($C29,'Proposed CATS Output'!$A$1:$A$30,0),MATCH(T$2,'Proposed CATS Output'!$A$1:$AB$1,0))</f>
        <v>89.635311006172373</v>
      </c>
      <c r="U29" s="362">
        <f>INDEX('Proposed CATS Output'!$A$1:$AB$30,MATCH($C29,'Proposed CATS Output'!$A$1:$A$30,0),MATCH(U$2,'Proposed CATS Output'!$A$1:$AB$1,0))</f>
        <v>81.622904179370849</v>
      </c>
      <c r="V29" s="362">
        <f>INDEX('Proposed CATS Output'!$A$1:$AB$30,MATCH($C29,'Proposed CATS Output'!$A$1:$A$30,0),MATCH(V$2,'Proposed CATS Output'!$A$1:$AB$1,0))</f>
        <v>73.049753513794883</v>
      </c>
      <c r="W29" s="362">
        <f>INDEX('Proposed CATS Output'!$A$1:$AB$30,MATCH($C29,'Proposed CATS Output'!$A$1:$A$30,0),MATCH(W$2,'Proposed CATS Output'!$A$1:$AB$1,0))</f>
        <v>64.875267293820187</v>
      </c>
      <c r="X29" s="362">
        <f>INDEX('Proposed CATS Output'!$A$1:$AB$30,MATCH($C29,'Proposed CATS Output'!$A$1:$A$30,0),MATCH(X$2,'Proposed CATS Output'!$A$1:$AB$1,0))</f>
        <v>56.231647423217069</v>
      </c>
      <c r="Y29" s="362">
        <f>INDEX('Proposed CATS Output'!$A$1:$AB$30,MATCH($C29,'Proposed CATS Output'!$A$1:$A$30,0),MATCH(Y$2,'Proposed CATS Output'!$A$1:$AB$1,0))</f>
        <v>48.386540447683501</v>
      </c>
      <c r="Z29" s="362">
        <f>INDEX('Proposed CATS Output'!$A$1:$AB$30,MATCH($C29,'Proposed CATS Output'!$A$1:$A$30,0),MATCH(Z$2,'Proposed CATS Output'!$A$1:$AB$1,0))</f>
        <v>41.217322852680887</v>
      </c>
      <c r="AA29" s="362">
        <f>INDEX('Proposed CATS Output'!$A$1:$AB$30,MATCH($C29,'Proposed CATS Output'!$A$1:$A$30,0),MATCH(AA$2,'Proposed CATS Output'!$A$1:$AB$1,0))</f>
        <v>34.977417736298058</v>
      </c>
      <c r="AB29" s="362">
        <f>INDEX('Proposed CATS Output'!$A$1:$AB$30,MATCH($C29,'Proposed CATS Output'!$A$1:$A$30,0),MATCH(AB$2,'Proposed CATS Output'!$A$1:$AB$1,0))</f>
        <v>29.2778530006693</v>
      </c>
      <c r="AC29" s="362">
        <f>INDEX('Proposed CATS Output'!$A$1:$AB$30,MATCH($C29,'Proposed CATS Output'!$A$1:$A$30,0),MATCH(AC$2,'Proposed CATS Output'!$A$1:$AB$1,0))</f>
        <v>29.2778530081059</v>
      </c>
    </row>
    <row r="30" spans="1:29">
      <c r="C30" s="68" t="s">
        <v>34</v>
      </c>
      <c r="D30" s="68" t="s">
        <v>7</v>
      </c>
      <c r="E30" s="362">
        <f>INDEX('Proposed CATS Output'!$A$1:$AB$30,MATCH($C30,'Proposed CATS Output'!$A$1:$A$30,0),MATCH(E$2,'Proposed CATS Output'!$A$1:$AB$1,0))</f>
        <v>1385.2302780331661</v>
      </c>
      <c r="F30" s="362">
        <f>INDEX('Proposed CATS Output'!$A$1:$AB$30,MATCH($C30,'Proposed CATS Output'!$A$1:$A$30,0),MATCH(F$2,'Proposed CATS Output'!$A$1:$AB$1,0))</f>
        <v>1965.1653570536059</v>
      </c>
      <c r="G30" s="362">
        <f>INDEX('Proposed CATS Output'!$A$1:$AB$30,MATCH($C30,'Proposed CATS Output'!$A$1:$A$30,0),MATCH(G$2,'Proposed CATS Output'!$A$1:$AB$1,0))</f>
        <v>2464.7998535580418</v>
      </c>
      <c r="H30" s="362">
        <f>INDEX('Proposed CATS Output'!$A$1:$AB$30,MATCH($C30,'Proposed CATS Output'!$A$1:$A$30,0),MATCH(H$2,'Proposed CATS Output'!$A$1:$AB$1,0))</f>
        <v>2739.310306467939</v>
      </c>
      <c r="I30" s="362">
        <f>INDEX('Proposed CATS Output'!$A$1:$AB$30,MATCH($C30,'Proposed CATS Output'!$A$1:$A$30,0),MATCH(I$2,'Proposed CATS Output'!$A$1:$AB$1,0))</f>
        <v>2700.2257547873792</v>
      </c>
      <c r="J30" s="362">
        <f>INDEX('Proposed CATS Output'!$A$1:$AB$30,MATCH($C30,'Proposed CATS Output'!$A$1:$A$30,0),MATCH(J$2,'Proposed CATS Output'!$A$1:$AB$1,0))</f>
        <v>2643.2363055497281</v>
      </c>
      <c r="K30" s="362">
        <f>INDEX('Proposed CATS Output'!$A$1:$AB$30,MATCH($C30,'Proposed CATS Output'!$A$1:$A$30,0),MATCH(K$2,'Proposed CATS Output'!$A$1:$AB$1,0))</f>
        <v>2503.106223276809</v>
      </c>
      <c r="L30" s="362">
        <f>INDEX('Proposed CATS Output'!$A$1:$AB$30,MATCH($C30,'Proposed CATS Output'!$A$1:$A$30,0),MATCH(L$2,'Proposed CATS Output'!$A$1:$AB$1,0))</f>
        <v>2467.4348082408569</v>
      </c>
      <c r="M30" s="362">
        <f>INDEX('Proposed CATS Output'!$A$1:$AB$30,MATCH($C30,'Proposed CATS Output'!$A$1:$A$30,0),MATCH(M$2,'Proposed CATS Output'!$A$1:$AB$1,0))</f>
        <v>2432.8335356559842</v>
      </c>
      <c r="N30" s="362">
        <f>INDEX('Proposed CATS Output'!$A$1:$AB$30,MATCH($C30,'Proposed CATS Output'!$A$1:$A$30,0),MATCH(N$2,'Proposed CATS Output'!$A$1:$AB$1,0))</f>
        <v>2399.2703012486559</v>
      </c>
      <c r="O30" s="362">
        <f>INDEX('Proposed CATS Output'!$A$1:$AB$30,MATCH($C30,'Proposed CATS Output'!$A$1:$A$30,0),MATCH(O$2,'Proposed CATS Output'!$A$1:$AB$1,0))</f>
        <v>2366.7139638735489</v>
      </c>
      <c r="P30" s="362">
        <f>INDEX('Proposed CATS Output'!$A$1:$AB$30,MATCH($C30,'Proposed CATS Output'!$A$1:$A$30,0),MATCH(P$2,'Proposed CATS Output'!$A$1:$AB$1,0))</f>
        <v>2335.1343166196948</v>
      </c>
      <c r="Q30" s="362">
        <f>INDEX('Proposed CATS Output'!$A$1:$AB$30,MATCH($C30,'Proposed CATS Output'!$A$1:$A$30,0),MATCH(Q$2,'Proposed CATS Output'!$A$1:$AB$1,0))</f>
        <v>2304.502058783457</v>
      </c>
      <c r="R30" s="362">
        <f>INDEX('Proposed CATS Output'!$A$1:$AB$30,MATCH($C30,'Proposed CATS Output'!$A$1:$A$30,0),MATCH(R$2,'Proposed CATS Output'!$A$1:$AB$1,0))</f>
        <v>2274.788768682306</v>
      </c>
      <c r="S30" s="362">
        <f>INDEX('Proposed CATS Output'!$A$1:$AB$30,MATCH($C30,'Proposed CATS Output'!$A$1:$A$30,0),MATCH(S$2,'Proposed CATS Output'!$A$1:$AB$1,0))</f>
        <v>2245.9668772841892</v>
      </c>
      <c r="T30" s="362">
        <f>INDEX('Proposed CATS Output'!$A$1:$AB$30,MATCH($C30,'Proposed CATS Output'!$A$1:$A$30,0),MATCH(T$2,'Proposed CATS Output'!$A$1:$AB$1,0))</f>
        <v>2218.0096426280161</v>
      </c>
      <c r="U30" s="362">
        <f>INDEX('Proposed CATS Output'!$A$1:$AB$30,MATCH($C30,'Proposed CATS Output'!$A$1:$A$30,0),MATCH(U$2,'Proposed CATS Output'!$A$1:$AB$1,0))</f>
        <v>2190.8911250115279</v>
      </c>
      <c r="V30" s="362">
        <f>INDEX('Proposed CATS Output'!$A$1:$AB$30,MATCH($C30,'Proposed CATS Output'!$A$1:$A$30,0),MATCH(V$2,'Proposed CATS Output'!$A$1:$AB$1,0))</f>
        <v>2220.6591577435152</v>
      </c>
      <c r="W30" s="362">
        <f>INDEX('Proposed CATS Output'!$A$1:$AB$30,MATCH($C30,'Proposed CATS Output'!$A$1:$A$30,0),MATCH(W$2,'Proposed CATS Output'!$A$1:$AB$1,0))</f>
        <v>2243.2794142805101</v>
      </c>
      <c r="X30" s="362">
        <f>INDEX('Proposed CATS Output'!$A$1:$AB$30,MATCH($C30,'Proposed CATS Output'!$A$1:$A$30,0),MATCH(X$2,'Proposed CATS Output'!$A$1:$AB$1,0))</f>
        <v>2231.8678151660688</v>
      </c>
      <c r="Y30" s="362">
        <f>INDEX('Proposed CATS Output'!$A$1:$AB$30,MATCH($C30,'Proposed CATS Output'!$A$1:$A$30,0),MATCH(Y$2,'Proposed CATS Output'!$A$1:$AB$1,0))</f>
        <v>2196.1086872731848</v>
      </c>
      <c r="Z30" s="362">
        <f>INDEX('Proposed CATS Output'!$A$1:$AB$30,MATCH($C30,'Proposed CATS Output'!$A$1:$A$30,0),MATCH(Z$2,'Proposed CATS Output'!$A$1:$AB$1,0))</f>
        <v>2189.4574501062179</v>
      </c>
      <c r="AA30" s="362">
        <f>INDEX('Proposed CATS Output'!$A$1:$AB$30,MATCH($C30,'Proposed CATS Output'!$A$1:$A$30,0),MATCH(AA$2,'Proposed CATS Output'!$A$1:$AB$1,0))</f>
        <v>2175.4535511298081</v>
      </c>
      <c r="AB30" s="362">
        <f>INDEX('Proposed CATS Output'!$A$1:$AB$30,MATCH($C30,'Proposed CATS Output'!$A$1:$A$30,0),MATCH(AB$2,'Proposed CATS Output'!$A$1:$AB$1,0))</f>
        <v>2160.4880365535778</v>
      </c>
      <c r="AC30" s="362">
        <f>INDEX('Proposed CATS Output'!$A$1:$AB$30,MATCH($C30,'Proposed CATS Output'!$A$1:$A$30,0),MATCH(AC$2,'Proposed CATS Output'!$A$1:$AB$1,0))</f>
        <v>2129.5324952274582</v>
      </c>
    </row>
    <row r="31" spans="1:29">
      <c r="B31" t="s">
        <v>113</v>
      </c>
      <c r="C31" s="10" t="s">
        <v>110</v>
      </c>
      <c r="D31" s="68" t="s">
        <v>13</v>
      </c>
      <c r="E31" s="414">
        <f t="shared" ref="E31:AC31" si="3">E18+E17+E30</f>
        <v>3707.5573311736384</v>
      </c>
      <c r="F31" s="414">
        <f t="shared" si="3"/>
        <v>3750.3153853483873</v>
      </c>
      <c r="G31" s="414">
        <f t="shared" si="3"/>
        <v>3648.3554573358301</v>
      </c>
      <c r="H31" s="414">
        <f t="shared" si="3"/>
        <v>3644.2595847622124</v>
      </c>
      <c r="I31" s="414">
        <f t="shared" si="3"/>
        <v>3616.5381153333419</v>
      </c>
      <c r="J31" s="414">
        <f t="shared" si="3"/>
        <v>3564.3154953190215</v>
      </c>
      <c r="K31" s="414">
        <f t="shared" si="3"/>
        <v>3509.1356107607153</v>
      </c>
      <c r="L31" s="414">
        <f t="shared" si="3"/>
        <v>3439.1820279431859</v>
      </c>
      <c r="M31" s="414">
        <f t="shared" si="3"/>
        <v>3353.2263100889504</v>
      </c>
      <c r="N31" s="414">
        <f t="shared" si="3"/>
        <v>3275.696499693744</v>
      </c>
      <c r="O31" s="414">
        <f t="shared" si="3"/>
        <v>3204.8017838972978</v>
      </c>
      <c r="P31" s="414">
        <f t="shared" si="3"/>
        <v>3147.1690809913443</v>
      </c>
      <c r="Q31" s="414">
        <f t="shared" si="3"/>
        <v>3069.8487923264338</v>
      </c>
      <c r="R31" s="414">
        <f t="shared" si="3"/>
        <v>2984.1383923986614</v>
      </c>
      <c r="S31" s="414">
        <f t="shared" si="3"/>
        <v>2907.2323644776457</v>
      </c>
      <c r="T31" s="414">
        <f t="shared" si="3"/>
        <v>2829.096672843506</v>
      </c>
      <c r="U31" s="414">
        <f t="shared" si="3"/>
        <v>2749.2144448751005</v>
      </c>
      <c r="V31" s="414">
        <f t="shared" si="3"/>
        <v>2668.1187364625785</v>
      </c>
      <c r="W31" s="414">
        <f t="shared" si="3"/>
        <v>2624.2207483128677</v>
      </c>
      <c r="X31" s="414">
        <f t="shared" si="3"/>
        <v>2572.8982023864032</v>
      </c>
      <c r="Y31" s="414">
        <f t="shared" si="3"/>
        <v>2513.1925064063053</v>
      </c>
      <c r="Z31" s="414">
        <f t="shared" si="3"/>
        <v>2512.7639129494401</v>
      </c>
      <c r="AA31" s="414">
        <f t="shared" si="3"/>
        <v>2515.6170123093989</v>
      </c>
      <c r="AB31" s="414">
        <f t="shared" si="3"/>
        <v>2524.2512954040853</v>
      </c>
      <c r="AC31" s="414">
        <f t="shared" si="3"/>
        <v>2526.3354708172492</v>
      </c>
    </row>
    <row r="32" spans="1:29">
      <c r="C32" s="68" t="s">
        <v>11</v>
      </c>
      <c r="D32" s="68" t="s">
        <v>7</v>
      </c>
      <c r="E32" s="362">
        <f>INDEX('Proposed CATS Output'!$A$1:$AB$30,MATCH($C32,'Proposed CATS Output'!$A$1:$A$30,0),MATCH(E$2,'Proposed CATS Output'!$A$1:$AB$1,0))</f>
        <v>498.1990930995043</v>
      </c>
      <c r="F32" s="362">
        <f>INDEX('Proposed CATS Output'!$A$1:$AB$30,MATCH($C32,'Proposed CATS Output'!$A$1:$A$30,0),MATCH(F$2,'Proposed CATS Output'!$A$1:$AB$1,0))</f>
        <v>497.75217017155933</v>
      </c>
      <c r="G32" s="362">
        <f>INDEX('Proposed CATS Output'!$A$1:$AB$30,MATCH($C32,'Proposed CATS Output'!$A$1:$A$30,0),MATCH(G$2,'Proposed CATS Output'!$A$1:$AB$1,0))</f>
        <v>488.72639416698439</v>
      </c>
      <c r="H32" s="362">
        <f>INDEX('Proposed CATS Output'!$A$1:$AB$30,MATCH($C32,'Proposed CATS Output'!$A$1:$A$30,0),MATCH(H$2,'Proposed CATS Output'!$A$1:$AB$1,0))</f>
        <v>473.29287891242677</v>
      </c>
      <c r="I32" s="362">
        <f>INDEX('Proposed CATS Output'!$A$1:$AB$30,MATCH($C32,'Proposed CATS Output'!$A$1:$A$30,0),MATCH(I$2,'Proposed CATS Output'!$A$1:$AB$1,0))</f>
        <v>455.10461021246488</v>
      </c>
      <c r="J32" s="362">
        <f>INDEX('Proposed CATS Output'!$A$1:$AB$30,MATCH($C32,'Proposed CATS Output'!$A$1:$A$30,0),MATCH(J$2,'Proposed CATS Output'!$A$1:$AB$1,0))</f>
        <v>435.9467391513142</v>
      </c>
      <c r="K32" s="362">
        <f>INDEX('Proposed CATS Output'!$A$1:$AB$30,MATCH($C32,'Proposed CATS Output'!$A$1:$A$30,0),MATCH(K$2,'Proposed CATS Output'!$A$1:$AB$1,0))</f>
        <v>415.69059050449602</v>
      </c>
      <c r="L32" s="362">
        <f>INDEX('Proposed CATS Output'!$A$1:$AB$30,MATCH($C32,'Proposed CATS Output'!$A$1:$A$30,0),MATCH(L$2,'Proposed CATS Output'!$A$1:$AB$1,0))</f>
        <v>393.83772236114868</v>
      </c>
      <c r="M32" s="362">
        <f>INDEX('Proposed CATS Output'!$A$1:$AB$30,MATCH($C32,'Proposed CATS Output'!$A$1:$A$30,0),MATCH(M$2,'Proposed CATS Output'!$A$1:$AB$1,0))</f>
        <v>371.41287562840012</v>
      </c>
      <c r="N32" s="362">
        <f>INDEX('Proposed CATS Output'!$A$1:$AB$30,MATCH($C32,'Proposed CATS Output'!$A$1:$A$30,0),MATCH(N$2,'Proposed CATS Output'!$A$1:$AB$1,0))</f>
        <v>365.71999934933018</v>
      </c>
      <c r="O32" s="362">
        <f>INDEX('Proposed CATS Output'!$A$1:$AB$30,MATCH($C32,'Proposed CATS Output'!$A$1:$A$30,0),MATCH(O$2,'Proposed CATS Output'!$A$1:$AB$1,0))</f>
        <v>359.96528461048138</v>
      </c>
      <c r="P32" s="362">
        <f>INDEX('Proposed CATS Output'!$A$1:$AB$30,MATCH($C32,'Proposed CATS Output'!$A$1:$A$30,0),MATCH(P$2,'Proposed CATS Output'!$A$1:$AB$1,0))</f>
        <v>354.15374230777468</v>
      </c>
      <c r="Q32" s="362">
        <f>INDEX('Proposed CATS Output'!$A$1:$AB$30,MATCH($C32,'Proposed CATS Output'!$A$1:$A$30,0),MATCH(Q$2,'Proposed CATS Output'!$A$1:$AB$1,0))</f>
        <v>348.27876415299011</v>
      </c>
      <c r="R32" s="362">
        <f>INDEX('Proposed CATS Output'!$A$1:$AB$30,MATCH($C32,'Proposed CATS Output'!$A$1:$A$30,0),MATCH(R$2,'Proposed CATS Output'!$A$1:$AB$1,0))</f>
        <v>342.33338553308909</v>
      </c>
      <c r="S32" s="362">
        <f>INDEX('Proposed CATS Output'!$A$1:$AB$30,MATCH($C32,'Proposed CATS Output'!$A$1:$A$30,0),MATCH(S$2,'Proposed CATS Output'!$A$1:$AB$1,0))</f>
        <v>336.32056362687501</v>
      </c>
      <c r="T32" s="362">
        <f>INDEX('Proposed CATS Output'!$A$1:$AB$30,MATCH($C32,'Proposed CATS Output'!$A$1:$A$30,0),MATCH(T$2,'Proposed CATS Output'!$A$1:$AB$1,0))</f>
        <v>330.25002985638332</v>
      </c>
      <c r="U32" s="362">
        <f>INDEX('Proposed CATS Output'!$A$1:$AB$30,MATCH($C32,'Proposed CATS Output'!$A$1:$A$30,0),MATCH(U$2,'Proposed CATS Output'!$A$1:$AB$1,0))</f>
        <v>324.10724262039378</v>
      </c>
      <c r="V32" s="362">
        <f>INDEX('Proposed CATS Output'!$A$1:$AB$30,MATCH($C32,'Proposed CATS Output'!$A$1:$A$30,0),MATCH(V$2,'Proposed CATS Output'!$A$1:$AB$1,0))</f>
        <v>317.73119784383249</v>
      </c>
      <c r="W32" s="362">
        <f>INDEX('Proposed CATS Output'!$A$1:$AB$30,MATCH($C32,'Proposed CATS Output'!$A$1:$A$30,0),MATCH(W$2,'Proposed CATS Output'!$A$1:$AB$1,0))</f>
        <v>311.31155891427301</v>
      </c>
      <c r="X32" s="362">
        <f>INDEX('Proposed CATS Output'!$A$1:$AB$30,MATCH($C32,'Proposed CATS Output'!$A$1:$A$30,0),MATCH(X$2,'Proposed CATS Output'!$A$1:$AB$1,0))</f>
        <v>304.89270846051897</v>
      </c>
      <c r="Y32" s="362">
        <f>INDEX('Proposed CATS Output'!$A$1:$AB$30,MATCH($C32,'Proposed CATS Output'!$A$1:$A$30,0),MATCH(Y$2,'Proposed CATS Output'!$A$1:$AB$1,0))</f>
        <v>298.46776188684498</v>
      </c>
      <c r="Z32" s="362">
        <f>INDEX('Proposed CATS Output'!$A$1:$AB$30,MATCH($C32,'Proposed CATS Output'!$A$1:$A$30,0),MATCH(Z$2,'Proposed CATS Output'!$A$1:$AB$1,0))</f>
        <v>291.89314774963628</v>
      </c>
      <c r="AA32" s="362">
        <f>INDEX('Proposed CATS Output'!$A$1:$AB$30,MATCH($C32,'Proposed CATS Output'!$A$1:$A$30,0),MATCH(AA$2,'Proposed CATS Output'!$A$1:$AB$1,0))</f>
        <v>285.26505917284868</v>
      </c>
      <c r="AB32" s="362">
        <f>INDEX('Proposed CATS Output'!$A$1:$AB$30,MATCH($C32,'Proposed CATS Output'!$A$1:$A$30,0),MATCH(AB$2,'Proposed CATS Output'!$A$1:$AB$1,0))</f>
        <v>278.56725894615141</v>
      </c>
      <c r="AC32" s="362">
        <f>INDEX('Proposed CATS Output'!$A$1:$AB$30,MATCH($C32,'Proposed CATS Output'!$A$1:$A$30,0),MATCH(AC$2,'Proposed CATS Output'!$A$1:$AB$1,0))</f>
        <v>272.09695597751443</v>
      </c>
    </row>
    <row r="33" spans="3:29">
      <c r="C33" s="68" t="s">
        <v>6</v>
      </c>
      <c r="D33" s="68" t="s">
        <v>7</v>
      </c>
      <c r="E33" s="362">
        <f>INDEX('Proposed CATS Output'!$A$1:$AB$30,MATCH($C33,'Proposed CATS Output'!$A$1:$A$30,0),MATCH(E$2,'Proposed CATS Output'!$A$1:$AB$1,0))</f>
        <v>5.8022944923636963</v>
      </c>
      <c r="F33" s="362">
        <f>INDEX('Proposed CATS Output'!$A$1:$AB$30,MATCH($C33,'Proposed CATS Output'!$A$1:$A$30,0),MATCH(F$2,'Proposed CATS Output'!$A$1:$AB$1,0))</f>
        <v>11.518694998813009</v>
      </c>
      <c r="G33" s="362">
        <f>INDEX('Proposed CATS Output'!$A$1:$AB$30,MATCH($C33,'Proposed CATS Output'!$A$1:$A$30,0),MATCH(G$2,'Proposed CATS Output'!$A$1:$AB$1,0))</f>
        <v>18.892137081585819</v>
      </c>
      <c r="H33" s="362">
        <f>INDEX('Proposed CATS Output'!$A$1:$AB$30,MATCH($C33,'Proposed CATS Output'!$A$1:$A$30,0),MATCH(H$2,'Proposed CATS Output'!$A$1:$AB$1,0))</f>
        <v>3.6844420561462692</v>
      </c>
      <c r="I33" s="362">
        <f>INDEX('Proposed CATS Output'!$A$1:$AB$30,MATCH($C33,'Proposed CATS Output'!$A$1:$A$30,0),MATCH(I$2,'Proposed CATS Output'!$A$1:$AB$1,0))</f>
        <v>3.6844420561462679</v>
      </c>
      <c r="J33" s="362">
        <f>INDEX('Proposed CATS Output'!$A$1:$AB$30,MATCH($C33,'Proposed CATS Output'!$A$1:$A$30,0),MATCH(J$2,'Proposed CATS Output'!$A$1:$AB$1,0))</f>
        <v>3.6355105587173222</v>
      </c>
      <c r="K33" s="362">
        <f>INDEX('Proposed CATS Output'!$A$1:$AB$30,MATCH($C33,'Proposed CATS Output'!$A$1:$A$30,0),MATCH(K$2,'Proposed CATS Output'!$A$1:$AB$1,0))</f>
        <v>3.3704153781382762</v>
      </c>
      <c r="L33" s="362">
        <f>INDEX('Proposed CATS Output'!$A$1:$AB$30,MATCH($C33,'Proposed CATS Output'!$A$1:$A$30,0),MATCH(L$2,'Proposed CATS Output'!$A$1:$AB$1,0))</f>
        <v>3.3704153781382762</v>
      </c>
      <c r="M33" s="362">
        <f>INDEX('Proposed CATS Output'!$A$1:$AB$30,MATCH($C33,'Proposed CATS Output'!$A$1:$A$30,0),MATCH(M$2,'Proposed CATS Output'!$A$1:$AB$1,0))</f>
        <v>3.3704153781382762</v>
      </c>
      <c r="N33" s="362">
        <f>INDEX('Proposed CATS Output'!$A$1:$AB$30,MATCH($C33,'Proposed CATS Output'!$A$1:$A$30,0),MATCH(N$2,'Proposed CATS Output'!$A$1:$AB$1,0))</f>
        <v>3.3704153781382762</v>
      </c>
      <c r="O33" s="362">
        <f>INDEX('Proposed CATS Output'!$A$1:$AB$30,MATCH($C33,'Proposed CATS Output'!$A$1:$A$30,0),MATCH(O$2,'Proposed CATS Output'!$A$1:$AB$1,0))</f>
        <v>3.3704153781382762</v>
      </c>
      <c r="P33" s="362">
        <f>INDEX('Proposed CATS Output'!$A$1:$AB$30,MATCH($C33,'Proposed CATS Output'!$A$1:$A$30,0),MATCH(P$2,'Proposed CATS Output'!$A$1:$AB$1,0))</f>
        <v>3.3704153781382762</v>
      </c>
      <c r="Q33" s="362">
        <f>INDEX('Proposed CATS Output'!$A$1:$AB$30,MATCH($C33,'Proposed CATS Output'!$A$1:$A$30,0),MATCH(Q$2,'Proposed CATS Output'!$A$1:$AB$1,0))</f>
        <v>3.3704153781382762</v>
      </c>
      <c r="R33" s="362">
        <f>INDEX('Proposed CATS Output'!$A$1:$AB$30,MATCH($C33,'Proposed CATS Output'!$A$1:$A$30,0),MATCH(R$2,'Proposed CATS Output'!$A$1:$AB$1,0))</f>
        <v>3.370415378138274</v>
      </c>
      <c r="S33" s="362">
        <f>INDEX('Proposed CATS Output'!$A$1:$AB$30,MATCH($C33,'Proposed CATS Output'!$A$1:$A$30,0),MATCH(S$2,'Proposed CATS Output'!$A$1:$AB$1,0))</f>
        <v>3.3704153781382762</v>
      </c>
      <c r="T33" s="362">
        <f>INDEX('Proposed CATS Output'!$A$1:$AB$30,MATCH($C33,'Proposed CATS Output'!$A$1:$A$30,0),MATCH(T$2,'Proposed CATS Output'!$A$1:$AB$1,0))</f>
        <v>3.370415378138278</v>
      </c>
      <c r="U33" s="362">
        <f>INDEX('Proposed CATS Output'!$A$1:$AB$30,MATCH($C33,'Proposed CATS Output'!$A$1:$A$30,0),MATCH(U$2,'Proposed CATS Output'!$A$1:$AB$1,0))</f>
        <v>3.370415378138274</v>
      </c>
      <c r="V33" s="362">
        <f>INDEX('Proposed CATS Output'!$A$1:$AB$30,MATCH($C33,'Proposed CATS Output'!$A$1:$A$30,0),MATCH(V$2,'Proposed CATS Output'!$A$1:$AB$1,0))</f>
        <v>3.5142363755745829</v>
      </c>
      <c r="W33" s="362">
        <f>INDEX('Proposed CATS Output'!$A$1:$AB$30,MATCH($C33,'Proposed CATS Output'!$A$1:$A$30,0),MATCH(W$2,'Proposed CATS Output'!$A$1:$AB$1,0))</f>
        <v>3.6377000426769102</v>
      </c>
      <c r="X33" s="362">
        <f>INDEX('Proposed CATS Output'!$A$1:$AB$30,MATCH($C33,'Proposed CATS Output'!$A$1:$A$30,0),MATCH(X$2,'Proposed CATS Output'!$A$1:$AB$1,0))</f>
        <v>3.6719124270232708</v>
      </c>
      <c r="Y33" s="362">
        <f>INDEX('Proposed CATS Output'!$A$1:$AB$30,MATCH($C33,'Proposed CATS Output'!$A$1:$A$30,0),MATCH(Y$2,'Proposed CATS Output'!$A$1:$AB$1,0))</f>
        <v>3.641771651027006</v>
      </c>
      <c r="Z33" s="362">
        <f>INDEX('Proposed CATS Output'!$A$1:$AB$30,MATCH($C33,'Proposed CATS Output'!$A$1:$A$30,0),MATCH(Z$2,'Proposed CATS Output'!$A$1:$AB$1,0))</f>
        <v>3.6844420561462679</v>
      </c>
      <c r="AA33" s="362">
        <f>INDEX('Proposed CATS Output'!$A$1:$AB$30,MATCH($C33,'Proposed CATS Output'!$A$1:$A$30,0),MATCH(AA$2,'Proposed CATS Output'!$A$1:$AB$1,0))</f>
        <v>3.7064617985351682</v>
      </c>
      <c r="AB33" s="362">
        <f>INDEX('Proposed CATS Output'!$A$1:$AB$30,MATCH($C33,'Proposed CATS Output'!$A$1:$A$30,0),MATCH(AB$2,'Proposed CATS Output'!$A$1:$AB$1,0))</f>
        <v>3.7242769582356621</v>
      </c>
      <c r="AC33" s="362">
        <f>INDEX('Proposed CATS Output'!$A$1:$AB$30,MATCH($C33,'Proposed CATS Output'!$A$1:$A$30,0),MATCH(AC$2,'Proposed CATS Output'!$A$1:$AB$1,0))</f>
        <v>3.6993934758960392</v>
      </c>
    </row>
    <row r="34" spans="3:29">
      <c r="C34" s="68" t="s">
        <v>8</v>
      </c>
      <c r="D34" s="68" t="s">
        <v>7</v>
      </c>
      <c r="E34" s="362">
        <f>INDEX('Proposed CATS Output'!$A$1:$AB$30,MATCH($C34,'Proposed CATS Output'!$A$1:$A$30,0),MATCH(E$2,'Proposed CATS Output'!$A$1:$AB$1,0))</f>
        <v>5.8022944923636954</v>
      </c>
      <c r="F34" s="362">
        <f>INDEX('Proposed CATS Output'!$A$1:$AB$30,MATCH($C34,'Proposed CATS Output'!$A$1:$A$30,0),MATCH(F$2,'Proposed CATS Output'!$A$1:$AB$1,0))</f>
        <v>11.518694998813009</v>
      </c>
      <c r="G34" s="362">
        <f>INDEX('Proposed CATS Output'!$A$1:$AB$30,MATCH($C34,'Proposed CATS Output'!$A$1:$A$30,0),MATCH(G$2,'Proposed CATS Output'!$A$1:$AB$1,0))</f>
        <v>18.892137081585819</v>
      </c>
      <c r="H34" s="362">
        <f>INDEX('Proposed CATS Output'!$A$1:$AB$30,MATCH($C34,'Proposed CATS Output'!$A$1:$A$30,0),MATCH(H$2,'Proposed CATS Output'!$A$1:$AB$1,0))</f>
        <v>52.531158328717318</v>
      </c>
      <c r="I34" s="362">
        <f>INDEX('Proposed CATS Output'!$A$1:$AB$30,MATCH($C34,'Proposed CATS Output'!$A$1:$A$30,0),MATCH(I$2,'Proposed CATS Output'!$A$1:$AB$1,0))</f>
        <v>67.278042494262905</v>
      </c>
      <c r="J34" s="362">
        <f>INDEX('Proposed CATS Output'!$A$1:$AB$30,MATCH($C34,'Proposed CATS Output'!$A$1:$A$30,0),MATCH(J$2,'Proposed CATS Output'!$A$1:$AB$1,0))</f>
        <v>82.024926659808585</v>
      </c>
      <c r="K34" s="362">
        <f>INDEX('Proposed CATS Output'!$A$1:$AB$30,MATCH($C34,'Proposed CATS Output'!$A$1:$A$30,0),MATCH(K$2,'Proposed CATS Output'!$A$1:$AB$1,0))</f>
        <v>96.771810833267367</v>
      </c>
      <c r="L34" s="362">
        <f>INDEX('Proposed CATS Output'!$A$1:$AB$30,MATCH($C34,'Proposed CATS Output'!$A$1:$A$30,0),MATCH(L$2,'Proposed CATS Output'!$A$1:$AB$1,0))</f>
        <v>111.518694998813</v>
      </c>
      <c r="M34" s="362">
        <f>INDEX('Proposed CATS Output'!$A$1:$AB$30,MATCH($C34,'Proposed CATS Output'!$A$1:$A$30,0),MATCH(M$2,'Proposed CATS Output'!$A$1:$AB$1,0))</f>
        <v>126.2655791643587</v>
      </c>
      <c r="N34" s="362">
        <f>INDEX('Proposed CATS Output'!$A$1:$AB$30,MATCH($C34,'Proposed CATS Output'!$A$1:$A$30,0),MATCH(N$2,'Proposed CATS Output'!$A$1:$AB$1,0))</f>
        <v>141.01246332990431</v>
      </c>
      <c r="O34" s="362">
        <f>INDEX('Proposed CATS Output'!$A$1:$AB$30,MATCH($C34,'Proposed CATS Output'!$A$1:$A$30,0),MATCH(O$2,'Proposed CATS Output'!$A$1:$AB$1,0))</f>
        <v>155.75934749544999</v>
      </c>
      <c r="P34" s="362">
        <f>INDEX('Proposed CATS Output'!$A$1:$AB$30,MATCH($C34,'Proposed CATS Output'!$A$1:$A$30,0),MATCH(P$2,'Proposed CATS Output'!$A$1:$AB$1,0))</f>
        <v>170.50623166099561</v>
      </c>
      <c r="Q34" s="362">
        <f>INDEX('Proposed CATS Output'!$A$1:$AB$30,MATCH($C34,'Proposed CATS Output'!$A$1:$A$30,0),MATCH(Q$2,'Proposed CATS Output'!$A$1:$AB$1,0))</f>
        <v>185.25311582654109</v>
      </c>
      <c r="R34" s="362">
        <f>INDEX('Proposed CATS Output'!$A$1:$AB$30,MATCH($C34,'Proposed CATS Output'!$A$1:$A$30,0),MATCH(R$2,'Proposed CATS Output'!$A$1:$AB$1,0))</f>
        <v>200</v>
      </c>
      <c r="S34" s="362">
        <f>INDEX('Proposed CATS Output'!$A$1:$AB$30,MATCH($C34,'Proposed CATS Output'!$A$1:$A$30,0),MATCH(S$2,'Proposed CATS Output'!$A$1:$AB$1,0))</f>
        <v>214.74688416554571</v>
      </c>
      <c r="T34" s="362">
        <f>INDEX('Proposed CATS Output'!$A$1:$AB$30,MATCH($C34,'Proposed CATS Output'!$A$1:$A$30,0),MATCH(T$2,'Proposed CATS Output'!$A$1:$AB$1,0))</f>
        <v>229.4937683310913</v>
      </c>
      <c r="U34" s="362">
        <f>INDEX('Proposed CATS Output'!$A$1:$AB$30,MATCH($C34,'Proposed CATS Output'!$A$1:$A$30,0),MATCH(U$2,'Proposed CATS Output'!$A$1:$AB$1,0))</f>
        <v>244.24065249663681</v>
      </c>
      <c r="V34" s="362">
        <f>INDEX('Proposed CATS Output'!$A$1:$AB$30,MATCH($C34,'Proposed CATS Output'!$A$1:$A$30,0),MATCH(V$2,'Proposed CATS Output'!$A$1:$AB$1,0))</f>
        <v>258.98753666218249</v>
      </c>
      <c r="W34" s="362">
        <f>INDEX('Proposed CATS Output'!$A$1:$AB$30,MATCH($C34,'Proposed CATS Output'!$A$1:$A$30,0),MATCH(W$2,'Proposed CATS Output'!$A$1:$AB$1,0))</f>
        <v>273.73442082772812</v>
      </c>
      <c r="X34" s="362">
        <f>INDEX('Proposed CATS Output'!$A$1:$AB$30,MATCH($C34,'Proposed CATS Output'!$A$1:$A$30,0),MATCH(X$2,'Proposed CATS Output'!$A$1:$AB$1,0))</f>
        <v>288.48130499327368</v>
      </c>
      <c r="Y34" s="362">
        <f>INDEX('Proposed CATS Output'!$A$1:$AB$30,MATCH($C34,'Proposed CATS Output'!$A$1:$A$30,0),MATCH(Y$2,'Proposed CATS Output'!$A$1:$AB$1,0))</f>
        <v>303.22818915881942</v>
      </c>
      <c r="Z34" s="362">
        <f>INDEX('Proposed CATS Output'!$A$1:$AB$30,MATCH($C34,'Proposed CATS Output'!$A$1:$A$30,0),MATCH(Z$2,'Proposed CATS Output'!$A$1:$AB$1,0))</f>
        <v>317.97507333227833</v>
      </c>
      <c r="AA34" s="362">
        <f>INDEX('Proposed CATS Output'!$A$1:$AB$30,MATCH($C34,'Proposed CATS Output'!$A$1:$A$30,0),MATCH(AA$2,'Proposed CATS Output'!$A$1:$AB$1,0))</f>
        <v>332.72195749782389</v>
      </c>
      <c r="AB34" s="362">
        <f>INDEX('Proposed CATS Output'!$A$1:$AB$30,MATCH($C34,'Proposed CATS Output'!$A$1:$A$30,0),MATCH(AB$2,'Proposed CATS Output'!$A$1:$AB$1,0))</f>
        <v>347.46884166336952</v>
      </c>
      <c r="AC34" s="362">
        <f>INDEX('Proposed CATS Output'!$A$1:$AB$30,MATCH($C34,'Proposed CATS Output'!$A$1:$A$30,0),MATCH(AC$2,'Proposed CATS Output'!$A$1:$AB$1,0))</f>
        <v>362.21572582891508</v>
      </c>
    </row>
    <row r="35" spans="3:29"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</row>
  </sheetData>
  <sortState xmlns:xlrd2="http://schemas.microsoft.com/office/spreadsheetml/2017/richdata2" ref="A4:AC16">
    <sortCondition ref="C4:C1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">
    <tabColor theme="5" tint="0.59999389629810485"/>
  </sheetPr>
  <dimension ref="A1:AC75"/>
  <sheetViews>
    <sheetView topLeftCell="A23" workbookViewId="0">
      <pane xSplit="2" topLeftCell="C1" activePane="topRight" state="frozen"/>
      <selection pane="topRight" activeCell="D56" sqref="D56"/>
    </sheetView>
  </sheetViews>
  <sheetFormatPr defaultRowHeight="15"/>
  <cols>
    <col min="2" max="2" width="28.42578125" style="2" bestFit="1" customWidth="1"/>
    <col min="3" max="3" width="9.28515625" style="2"/>
    <col min="5" max="5" width="11.7109375" bestFit="1" customWidth="1"/>
    <col min="7" max="7" width="9.28515625" bestFit="1" customWidth="1"/>
  </cols>
  <sheetData>
    <row r="1" spans="2:29" s="132" customFormat="1" ht="26.25">
      <c r="B1" s="131" t="s">
        <v>114</v>
      </c>
      <c r="C1" s="131"/>
    </row>
    <row r="2" spans="2:29" s="2" customFormat="1">
      <c r="B2" s="2" t="s">
        <v>3</v>
      </c>
      <c r="C2" s="2" t="s">
        <v>1</v>
      </c>
      <c r="D2" s="2">
        <v>2022</v>
      </c>
      <c r="E2" s="2">
        <v>2023</v>
      </c>
      <c r="F2" s="2">
        <v>2024</v>
      </c>
      <c r="G2" s="2">
        <v>2025</v>
      </c>
      <c r="H2" s="2">
        <v>2026</v>
      </c>
      <c r="I2" s="2">
        <v>2027</v>
      </c>
      <c r="J2" s="2">
        <v>2028</v>
      </c>
      <c r="K2" s="2">
        <v>2029</v>
      </c>
      <c r="L2" s="2">
        <v>2030</v>
      </c>
      <c r="M2" s="2">
        <v>2031</v>
      </c>
      <c r="N2" s="2">
        <v>2032</v>
      </c>
      <c r="O2" s="2">
        <v>2033</v>
      </c>
      <c r="P2" s="2">
        <v>2034</v>
      </c>
      <c r="Q2" s="2">
        <v>2035</v>
      </c>
      <c r="R2" s="2">
        <v>2036</v>
      </c>
      <c r="S2" s="2">
        <v>2037</v>
      </c>
      <c r="T2" s="2">
        <v>2038</v>
      </c>
      <c r="U2" s="2">
        <v>2039</v>
      </c>
      <c r="V2" s="2">
        <v>2040</v>
      </c>
      <c r="W2" s="2">
        <v>2041</v>
      </c>
      <c r="X2" s="2">
        <v>2042</v>
      </c>
      <c r="Y2" s="2">
        <v>2043</v>
      </c>
      <c r="Z2" s="2">
        <v>2044</v>
      </c>
      <c r="AA2" s="2">
        <v>2045</v>
      </c>
      <c r="AB2" s="2">
        <v>2046</v>
      </c>
    </row>
    <row r="3" spans="2:29">
      <c r="B3" s="2" t="s">
        <v>115</v>
      </c>
      <c r="C3" s="2" t="s">
        <v>101</v>
      </c>
      <c r="D3" s="3">
        <v>1</v>
      </c>
      <c r="E3" s="3">
        <v>1</v>
      </c>
      <c r="F3" s="3">
        <v>1</v>
      </c>
      <c r="G3" s="3">
        <v>1</v>
      </c>
      <c r="H3" s="3">
        <v>1</v>
      </c>
      <c r="I3" s="3">
        <v>1</v>
      </c>
      <c r="J3" s="3">
        <v>1</v>
      </c>
      <c r="K3" s="3">
        <v>1</v>
      </c>
      <c r="L3" s="3">
        <v>1</v>
      </c>
      <c r="M3" s="3">
        <v>1</v>
      </c>
      <c r="N3" s="3">
        <v>1</v>
      </c>
      <c r="O3" s="3">
        <v>1</v>
      </c>
      <c r="P3" s="3">
        <v>1</v>
      </c>
      <c r="Q3" s="3">
        <v>1</v>
      </c>
      <c r="R3" s="3">
        <v>1</v>
      </c>
      <c r="S3" s="3">
        <v>1</v>
      </c>
      <c r="T3" s="3">
        <v>1</v>
      </c>
      <c r="U3" s="3">
        <v>1</v>
      </c>
      <c r="V3" s="3">
        <v>1</v>
      </c>
      <c r="W3" s="3">
        <v>1</v>
      </c>
      <c r="X3" s="3">
        <v>1</v>
      </c>
      <c r="Y3" s="3">
        <v>1</v>
      </c>
      <c r="Z3" s="3">
        <v>1</v>
      </c>
      <c r="AA3" s="3">
        <v>1</v>
      </c>
      <c r="AB3" s="3">
        <v>1</v>
      </c>
    </row>
    <row r="4" spans="2:29">
      <c r="B4" s="2" t="s">
        <v>19</v>
      </c>
      <c r="C4" s="2" t="s">
        <v>101</v>
      </c>
      <c r="D4" s="3">
        <v>1</v>
      </c>
      <c r="E4" s="3">
        <v>1</v>
      </c>
      <c r="F4" s="3">
        <v>1</v>
      </c>
      <c r="G4" s="3">
        <v>1</v>
      </c>
      <c r="H4" s="3">
        <v>1</v>
      </c>
      <c r="I4" s="3">
        <v>1</v>
      </c>
      <c r="J4" s="3">
        <v>1</v>
      </c>
      <c r="K4" s="3">
        <v>1</v>
      </c>
      <c r="L4" s="3">
        <v>1</v>
      </c>
      <c r="M4" s="3">
        <v>1</v>
      </c>
      <c r="N4" s="3">
        <v>1</v>
      </c>
      <c r="O4" s="3">
        <v>1</v>
      </c>
      <c r="P4" s="3">
        <v>1</v>
      </c>
      <c r="Q4" s="3">
        <v>1</v>
      </c>
      <c r="R4" s="3">
        <v>1</v>
      </c>
      <c r="S4" s="3">
        <v>1</v>
      </c>
      <c r="T4" s="3">
        <v>1</v>
      </c>
      <c r="U4" s="3">
        <v>1</v>
      </c>
      <c r="V4" s="3">
        <v>1</v>
      </c>
      <c r="W4" s="3">
        <v>1</v>
      </c>
      <c r="X4" s="3">
        <v>1</v>
      </c>
      <c r="Y4" s="3">
        <v>1</v>
      </c>
      <c r="Z4" s="3">
        <v>1</v>
      </c>
      <c r="AA4" s="3">
        <v>1</v>
      </c>
      <c r="AB4" s="3">
        <v>1</v>
      </c>
    </row>
    <row r="5" spans="2:29">
      <c r="B5" s="2" t="s">
        <v>104</v>
      </c>
      <c r="C5" s="2" t="s">
        <v>101</v>
      </c>
      <c r="D5" s="3">
        <v>1</v>
      </c>
      <c r="E5" s="3">
        <v>1</v>
      </c>
      <c r="F5" s="3">
        <v>1</v>
      </c>
      <c r="G5" s="3">
        <v>1</v>
      </c>
      <c r="H5" s="3">
        <v>1</v>
      </c>
      <c r="I5" s="3">
        <v>1</v>
      </c>
      <c r="J5" s="3">
        <v>1</v>
      </c>
      <c r="K5" s="3">
        <v>1</v>
      </c>
      <c r="L5" s="3">
        <v>1</v>
      </c>
      <c r="M5" s="3">
        <v>1</v>
      </c>
      <c r="N5" s="3">
        <v>1</v>
      </c>
      <c r="O5" s="3">
        <v>1</v>
      </c>
      <c r="P5" s="3">
        <v>1</v>
      </c>
      <c r="Q5" s="3">
        <v>1</v>
      </c>
      <c r="R5" s="3">
        <v>1</v>
      </c>
      <c r="S5" s="3">
        <v>1</v>
      </c>
      <c r="T5" s="3">
        <v>1</v>
      </c>
      <c r="U5" s="3">
        <v>1</v>
      </c>
      <c r="V5" s="3">
        <v>1</v>
      </c>
      <c r="W5" s="3">
        <v>1</v>
      </c>
      <c r="X5" s="3">
        <v>1</v>
      </c>
      <c r="Y5" s="3">
        <v>1</v>
      </c>
      <c r="Z5" s="3">
        <v>1</v>
      </c>
      <c r="AA5" s="3">
        <v>1</v>
      </c>
      <c r="AB5" s="3">
        <v>1</v>
      </c>
    </row>
    <row r="6" spans="2:29">
      <c r="B6" s="2" t="s">
        <v>29</v>
      </c>
      <c r="C6" s="2" t="s">
        <v>101</v>
      </c>
      <c r="D6" s="3">
        <v>1</v>
      </c>
      <c r="E6" s="3">
        <v>1</v>
      </c>
      <c r="F6" s="3">
        <v>1</v>
      </c>
      <c r="G6" s="3">
        <v>1</v>
      </c>
      <c r="H6" s="3">
        <v>1</v>
      </c>
      <c r="I6" s="3">
        <v>1</v>
      </c>
      <c r="J6" s="3">
        <v>1</v>
      </c>
      <c r="K6" s="3">
        <v>1</v>
      </c>
      <c r="L6" s="3">
        <v>1</v>
      </c>
      <c r="M6" s="3">
        <v>1</v>
      </c>
      <c r="N6" s="3">
        <v>1</v>
      </c>
      <c r="O6" s="3">
        <v>1</v>
      </c>
      <c r="P6" s="3">
        <v>1</v>
      </c>
      <c r="Q6" s="3">
        <v>1</v>
      </c>
      <c r="R6" s="3">
        <v>1</v>
      </c>
      <c r="S6" s="3">
        <v>1</v>
      </c>
      <c r="T6" s="3">
        <v>1</v>
      </c>
      <c r="U6" s="3">
        <v>1</v>
      </c>
      <c r="V6" s="3">
        <v>1</v>
      </c>
      <c r="W6" s="3">
        <v>1</v>
      </c>
      <c r="X6" s="3">
        <v>1</v>
      </c>
      <c r="Y6" s="3">
        <v>1</v>
      </c>
      <c r="Z6" s="3">
        <v>1</v>
      </c>
      <c r="AA6" s="3">
        <v>1</v>
      </c>
      <c r="AB6" s="3">
        <v>1</v>
      </c>
      <c r="AC6" t="s">
        <v>116</v>
      </c>
    </row>
    <row r="7" spans="2:29">
      <c r="B7" s="2" t="s">
        <v>28</v>
      </c>
      <c r="C7" s="2" t="s">
        <v>101</v>
      </c>
      <c r="D7" s="3">
        <v>1</v>
      </c>
      <c r="E7" s="3">
        <v>1</v>
      </c>
      <c r="F7" s="3">
        <v>1</v>
      </c>
      <c r="G7" s="3">
        <v>1</v>
      </c>
      <c r="H7" s="3">
        <v>1</v>
      </c>
      <c r="I7" s="3">
        <v>1</v>
      </c>
      <c r="J7" s="3">
        <v>1</v>
      </c>
      <c r="K7" s="3">
        <v>1</v>
      </c>
      <c r="L7" s="3">
        <v>1</v>
      </c>
      <c r="M7" s="3">
        <v>1</v>
      </c>
      <c r="N7" s="3">
        <v>1</v>
      </c>
      <c r="O7" s="3">
        <v>1</v>
      </c>
      <c r="P7" s="3">
        <v>1</v>
      </c>
      <c r="Q7" s="3">
        <v>1</v>
      </c>
      <c r="R7" s="3">
        <v>1</v>
      </c>
      <c r="S7" s="3">
        <v>1</v>
      </c>
      <c r="T7" s="3">
        <v>1</v>
      </c>
      <c r="U7" s="3">
        <v>1</v>
      </c>
      <c r="V7" s="3">
        <v>1</v>
      </c>
      <c r="W7" s="3">
        <v>1</v>
      </c>
      <c r="X7" s="3">
        <v>1</v>
      </c>
      <c r="Y7" s="3">
        <v>1</v>
      </c>
      <c r="Z7" s="3">
        <v>1</v>
      </c>
      <c r="AA7" s="3">
        <v>1</v>
      </c>
      <c r="AB7" s="3">
        <v>1</v>
      </c>
    </row>
    <row r="8" spans="2:29">
      <c r="B8" s="2" t="s">
        <v>117</v>
      </c>
      <c r="C8" s="2" t="s">
        <v>101</v>
      </c>
      <c r="D8" s="3">
        <v>1</v>
      </c>
      <c r="E8" s="3">
        <v>1</v>
      </c>
      <c r="F8" s="3">
        <v>1</v>
      </c>
      <c r="G8" s="3">
        <v>1</v>
      </c>
      <c r="H8" s="3">
        <v>1</v>
      </c>
      <c r="I8" s="3">
        <v>1</v>
      </c>
      <c r="J8" s="3">
        <v>1</v>
      </c>
      <c r="K8" s="3">
        <v>1</v>
      </c>
      <c r="L8" s="3">
        <v>1</v>
      </c>
      <c r="M8" s="3">
        <v>1</v>
      </c>
      <c r="N8" s="3">
        <v>1</v>
      </c>
      <c r="O8" s="3">
        <v>1</v>
      </c>
      <c r="P8" s="3">
        <v>1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</row>
    <row r="9" spans="2:29">
      <c r="B9" s="2" t="s">
        <v>31</v>
      </c>
      <c r="C9" s="2" t="s">
        <v>101</v>
      </c>
      <c r="D9" s="3">
        <v>1</v>
      </c>
      <c r="E9" s="3">
        <v>1</v>
      </c>
      <c r="F9" s="3">
        <v>1</v>
      </c>
      <c r="G9" s="3">
        <v>1</v>
      </c>
      <c r="H9" s="3">
        <v>1</v>
      </c>
      <c r="I9" s="3">
        <v>1</v>
      </c>
      <c r="J9" s="3">
        <v>1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</v>
      </c>
    </row>
    <row r="10" spans="2:29" s="171" customFormat="1">
      <c r="B10" s="208" t="s">
        <v>118</v>
      </c>
      <c r="C10" s="208" t="s">
        <v>101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0</v>
      </c>
      <c r="U10" s="215">
        <v>0</v>
      </c>
      <c r="V10" s="215">
        <v>0</v>
      </c>
      <c r="W10" s="215">
        <v>0</v>
      </c>
      <c r="X10" s="215">
        <v>0</v>
      </c>
      <c r="Y10" s="215">
        <v>0</v>
      </c>
      <c r="Z10" s="215">
        <v>0</v>
      </c>
      <c r="AA10" s="215">
        <v>0</v>
      </c>
      <c r="AB10" s="215">
        <v>0</v>
      </c>
      <c r="AC10" t="s">
        <v>116</v>
      </c>
    </row>
    <row r="11" spans="2:29">
      <c r="B11" s="2" t="s">
        <v>9</v>
      </c>
      <c r="C11" s="2" t="s">
        <v>101</v>
      </c>
      <c r="D11" s="3">
        <v>1</v>
      </c>
      <c r="E11" s="3">
        <v>1</v>
      </c>
      <c r="F11" s="3">
        <v>1</v>
      </c>
      <c r="G11" s="3">
        <v>1</v>
      </c>
      <c r="H11" s="3">
        <v>1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1</v>
      </c>
      <c r="Q11" s="3">
        <v>1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v>1</v>
      </c>
      <c r="AC11" t="s">
        <v>119</v>
      </c>
    </row>
    <row r="12" spans="2:29">
      <c r="B12" s="2" t="s">
        <v>34</v>
      </c>
      <c r="C12" s="2" t="s">
        <v>101</v>
      </c>
      <c r="D12" s="3">
        <v>1</v>
      </c>
      <c r="E12" s="3">
        <v>1</v>
      </c>
      <c r="F12" s="3">
        <v>1</v>
      </c>
      <c r="G12" s="3">
        <v>1</v>
      </c>
      <c r="H12" s="3">
        <v>1</v>
      </c>
      <c r="I12" s="3">
        <v>1</v>
      </c>
      <c r="J12" s="3">
        <v>1</v>
      </c>
      <c r="K12" s="3">
        <v>1</v>
      </c>
      <c r="L12" s="3">
        <v>1</v>
      </c>
      <c r="M12" s="3">
        <v>1</v>
      </c>
      <c r="N12" s="3">
        <v>1</v>
      </c>
      <c r="O12" s="3">
        <v>1</v>
      </c>
      <c r="P12" s="3">
        <v>1</v>
      </c>
      <c r="Q12" s="3">
        <v>1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v>1</v>
      </c>
    </row>
    <row r="13" spans="2:29">
      <c r="B13" s="2" t="s">
        <v>33</v>
      </c>
      <c r="C13" s="2" t="s">
        <v>101</v>
      </c>
      <c r="D13" s="3">
        <v>1</v>
      </c>
      <c r="E13" s="3">
        <v>1</v>
      </c>
      <c r="F13" s="3">
        <v>1</v>
      </c>
      <c r="G13" s="3">
        <v>1</v>
      </c>
      <c r="H13" s="3">
        <v>1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3">
        <v>1</v>
      </c>
      <c r="O13" s="3">
        <v>1</v>
      </c>
      <c r="P13" s="3">
        <v>1</v>
      </c>
      <c r="Q13" s="3">
        <v>1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v>1</v>
      </c>
      <c r="AC13" t="s">
        <v>120</v>
      </c>
    </row>
    <row r="14" spans="2:29">
      <c r="B14" s="2" t="s">
        <v>24</v>
      </c>
      <c r="C14" s="2" t="s">
        <v>101</v>
      </c>
      <c r="D14" s="3">
        <v>1</v>
      </c>
      <c r="E14" s="3">
        <v>1</v>
      </c>
      <c r="F14" s="3">
        <v>1</v>
      </c>
      <c r="G14" s="3">
        <v>1</v>
      </c>
      <c r="H14" s="3">
        <v>1</v>
      </c>
      <c r="I14" s="3">
        <v>1</v>
      </c>
      <c r="J14" s="3">
        <v>1</v>
      </c>
      <c r="K14" s="3">
        <v>1</v>
      </c>
      <c r="L14" s="3">
        <v>1</v>
      </c>
      <c r="M14" s="3">
        <v>1</v>
      </c>
      <c r="N14" s="3">
        <v>1</v>
      </c>
      <c r="O14" s="3">
        <v>1</v>
      </c>
      <c r="P14" s="3">
        <v>1</v>
      </c>
      <c r="Q14" s="3">
        <v>1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v>1</v>
      </c>
      <c r="AC14" t="s">
        <v>116</v>
      </c>
    </row>
    <row r="15" spans="2:29">
      <c r="B15" s="2" t="s">
        <v>23</v>
      </c>
      <c r="C15" s="2" t="s">
        <v>101</v>
      </c>
      <c r="D15" s="3">
        <v>1</v>
      </c>
      <c r="E15" s="3">
        <v>1</v>
      </c>
      <c r="F15" s="3">
        <v>1</v>
      </c>
      <c r="G15" s="3">
        <v>1</v>
      </c>
      <c r="H15" s="3">
        <v>1</v>
      </c>
      <c r="I15" s="3">
        <v>1</v>
      </c>
      <c r="J15" s="3">
        <v>1</v>
      </c>
      <c r="K15" s="3">
        <v>1</v>
      </c>
      <c r="L15" s="3">
        <v>1</v>
      </c>
      <c r="M15" s="3">
        <v>1</v>
      </c>
      <c r="N15" s="3">
        <v>1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1</v>
      </c>
    </row>
    <row r="16" spans="2:29">
      <c r="B16" s="2" t="s">
        <v>121</v>
      </c>
      <c r="C16" s="2" t="s">
        <v>101</v>
      </c>
      <c r="D16" s="3">
        <v>1</v>
      </c>
      <c r="E16" s="3">
        <v>1</v>
      </c>
      <c r="F16" s="3">
        <v>1</v>
      </c>
      <c r="G16" s="3">
        <v>1</v>
      </c>
      <c r="H16" s="3">
        <v>1</v>
      </c>
      <c r="I16" s="3">
        <v>1</v>
      </c>
      <c r="J16" s="3">
        <v>1</v>
      </c>
      <c r="K16" s="3">
        <v>1</v>
      </c>
      <c r="L16" s="3">
        <v>1</v>
      </c>
      <c r="M16" s="3">
        <v>1</v>
      </c>
      <c r="N16" s="3">
        <v>1</v>
      </c>
      <c r="O16" s="3">
        <v>1</v>
      </c>
      <c r="P16" s="3">
        <v>1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</row>
    <row r="17" spans="2:29">
      <c r="B17" s="2" t="s">
        <v>26</v>
      </c>
      <c r="C17" s="2" t="s">
        <v>101</v>
      </c>
      <c r="D17" s="3">
        <v>1</v>
      </c>
      <c r="E17" s="3">
        <v>1</v>
      </c>
      <c r="F17" s="3">
        <v>1</v>
      </c>
      <c r="G17" s="3">
        <v>1</v>
      </c>
      <c r="H17" s="3">
        <v>1</v>
      </c>
      <c r="I17" s="3">
        <v>1</v>
      </c>
      <c r="J17" s="3">
        <v>1</v>
      </c>
      <c r="K17" s="3">
        <v>1</v>
      </c>
      <c r="L17" s="3">
        <v>1</v>
      </c>
      <c r="M17" s="3">
        <v>1</v>
      </c>
      <c r="N17" s="3">
        <v>1</v>
      </c>
      <c r="O17" s="3">
        <v>1</v>
      </c>
      <c r="P17" s="3">
        <v>1</v>
      </c>
      <c r="Q17" s="3">
        <v>1</v>
      </c>
      <c r="R17" s="3">
        <v>1</v>
      </c>
      <c r="S17" s="3">
        <v>1</v>
      </c>
      <c r="T17" s="3">
        <v>1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v>1</v>
      </c>
    </row>
    <row r="18" spans="2:29" s="171" customFormat="1">
      <c r="B18" s="208" t="s">
        <v>14</v>
      </c>
      <c r="C18" s="208" t="s">
        <v>101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0</v>
      </c>
      <c r="U18" s="215">
        <v>0</v>
      </c>
      <c r="V18" s="215">
        <v>0</v>
      </c>
      <c r="W18" s="215">
        <v>0</v>
      </c>
      <c r="X18" s="215">
        <v>0</v>
      </c>
      <c r="Y18" s="215">
        <v>0</v>
      </c>
      <c r="Z18" s="215">
        <v>0</v>
      </c>
      <c r="AA18" s="215">
        <v>0</v>
      </c>
      <c r="AB18" s="215">
        <v>0</v>
      </c>
      <c r="AC18" t="s">
        <v>116</v>
      </c>
    </row>
    <row r="19" spans="2:29" s="171" customFormat="1">
      <c r="B19" s="208" t="s">
        <v>108</v>
      </c>
      <c r="C19" s="208" t="s">
        <v>101</v>
      </c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0</v>
      </c>
      <c r="R19" s="215">
        <v>0</v>
      </c>
      <c r="S19" s="215">
        <v>0</v>
      </c>
      <c r="T19" s="215">
        <v>0</v>
      </c>
      <c r="U19" s="215">
        <v>0</v>
      </c>
      <c r="V19" s="215">
        <v>0</v>
      </c>
      <c r="W19" s="215">
        <v>0</v>
      </c>
      <c r="X19" s="215">
        <v>0</v>
      </c>
      <c r="Y19" s="215">
        <v>0</v>
      </c>
      <c r="Z19" s="215">
        <v>0</v>
      </c>
      <c r="AA19" s="215">
        <v>0</v>
      </c>
      <c r="AB19" s="215">
        <v>0</v>
      </c>
      <c r="AC19" t="s">
        <v>116</v>
      </c>
    </row>
    <row r="20" spans="2:29">
      <c r="B20" s="2" t="s">
        <v>122</v>
      </c>
      <c r="C20" s="2" t="s">
        <v>101</v>
      </c>
      <c r="D20" s="3">
        <v>1</v>
      </c>
      <c r="E20" s="3">
        <v>1</v>
      </c>
      <c r="F20" s="3">
        <v>1</v>
      </c>
      <c r="G20" s="3">
        <v>1</v>
      </c>
      <c r="H20" s="3">
        <v>1</v>
      </c>
      <c r="I20" s="3">
        <v>1</v>
      </c>
      <c r="J20" s="3">
        <v>1</v>
      </c>
      <c r="K20" s="3">
        <v>1</v>
      </c>
      <c r="L20" s="3">
        <v>1</v>
      </c>
      <c r="M20" s="3">
        <v>1</v>
      </c>
      <c r="N20" s="3">
        <v>1</v>
      </c>
      <c r="O20" s="3">
        <v>1</v>
      </c>
      <c r="P20" s="3">
        <v>1</v>
      </c>
      <c r="Q20" s="3">
        <v>1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v>1</v>
      </c>
    </row>
    <row r="21" spans="2:29">
      <c r="B21" s="2" t="s">
        <v>123</v>
      </c>
      <c r="C21" s="2" t="s">
        <v>101</v>
      </c>
      <c r="D21" s="3">
        <v>1</v>
      </c>
      <c r="E21" s="3">
        <v>1</v>
      </c>
      <c r="F21" s="3">
        <v>1</v>
      </c>
      <c r="G21" s="3">
        <v>1</v>
      </c>
      <c r="H21" s="3">
        <v>1</v>
      </c>
      <c r="I21" s="3">
        <v>1</v>
      </c>
      <c r="J21" s="3">
        <v>1</v>
      </c>
      <c r="K21" s="3">
        <v>1</v>
      </c>
      <c r="L21" s="3">
        <v>1</v>
      </c>
      <c r="M21" s="3">
        <v>1</v>
      </c>
      <c r="N21" s="3">
        <v>1</v>
      </c>
      <c r="O21" s="3">
        <v>1</v>
      </c>
      <c r="P21" s="3">
        <v>1</v>
      </c>
      <c r="Q21" s="3">
        <v>1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v>1</v>
      </c>
    </row>
    <row r="22" spans="2:29">
      <c r="B22" s="2" t="s">
        <v>124</v>
      </c>
      <c r="C22" s="2" t="s">
        <v>101</v>
      </c>
      <c r="D22" s="3">
        <v>1</v>
      </c>
      <c r="E22" s="3">
        <v>1</v>
      </c>
      <c r="F22" s="3">
        <v>1</v>
      </c>
      <c r="G22" s="3">
        <v>1</v>
      </c>
      <c r="H22" s="3">
        <v>1</v>
      </c>
      <c r="I22" s="3">
        <v>1</v>
      </c>
      <c r="J22" s="3">
        <v>1</v>
      </c>
      <c r="K22" s="3">
        <v>1</v>
      </c>
      <c r="L22" s="3">
        <v>1</v>
      </c>
      <c r="M22" s="3">
        <v>1</v>
      </c>
      <c r="N22" s="3">
        <v>1</v>
      </c>
      <c r="O22" s="3">
        <v>1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</v>
      </c>
    </row>
    <row r="23" spans="2:29" s="275" customFormat="1">
      <c r="B23" s="273" t="s">
        <v>125</v>
      </c>
      <c r="C23" s="273" t="s">
        <v>101</v>
      </c>
      <c r="D23" s="274">
        <v>0</v>
      </c>
      <c r="E23" s="274">
        <v>0</v>
      </c>
      <c r="F23" s="274">
        <v>0</v>
      </c>
      <c r="G23" s="274">
        <v>0</v>
      </c>
      <c r="H23" s="274">
        <v>0</v>
      </c>
      <c r="I23" s="274">
        <v>0</v>
      </c>
      <c r="J23" s="274">
        <v>0</v>
      </c>
      <c r="K23" s="274">
        <v>0</v>
      </c>
      <c r="L23" s="274">
        <v>0</v>
      </c>
      <c r="M23" s="274">
        <v>0</v>
      </c>
      <c r="N23" s="274">
        <v>0</v>
      </c>
      <c r="O23" s="274">
        <v>0</v>
      </c>
      <c r="P23" s="274">
        <v>0</v>
      </c>
      <c r="Q23" s="274">
        <v>0</v>
      </c>
      <c r="R23" s="274">
        <v>0</v>
      </c>
      <c r="S23" s="274">
        <v>0</v>
      </c>
      <c r="T23" s="274">
        <v>0</v>
      </c>
      <c r="U23" s="274">
        <v>0</v>
      </c>
      <c r="V23" s="274">
        <v>0</v>
      </c>
      <c r="W23" s="274">
        <v>0</v>
      </c>
      <c r="X23" s="274">
        <v>0</v>
      </c>
      <c r="Y23" s="274">
        <v>0</v>
      </c>
      <c r="Z23" s="274">
        <v>0</v>
      </c>
      <c r="AA23" s="274">
        <v>0</v>
      </c>
      <c r="AB23" s="274">
        <v>0</v>
      </c>
      <c r="AC23" s="275" t="s">
        <v>126</v>
      </c>
    </row>
    <row r="24" spans="2:29" s="171" customFormat="1">
      <c r="B24" s="208" t="s">
        <v>127</v>
      </c>
      <c r="C24" s="208" t="s">
        <v>101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0</v>
      </c>
      <c r="V24" s="215">
        <v>0</v>
      </c>
      <c r="W24" s="215">
        <v>0</v>
      </c>
      <c r="X24" s="215">
        <v>0</v>
      </c>
      <c r="Y24" s="215">
        <v>0</v>
      </c>
      <c r="Z24" s="215">
        <v>0</v>
      </c>
      <c r="AA24" s="215">
        <v>0</v>
      </c>
      <c r="AB24" s="215">
        <v>0</v>
      </c>
      <c r="AC24" s="171" t="s">
        <v>128</v>
      </c>
    </row>
    <row r="25" spans="2:29" s="171" customFormat="1">
      <c r="B25" s="208" t="s">
        <v>129</v>
      </c>
      <c r="C25" s="208" t="s">
        <v>101</v>
      </c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0</v>
      </c>
      <c r="Q25" s="215">
        <v>0</v>
      </c>
      <c r="R25" s="215">
        <v>0</v>
      </c>
      <c r="S25" s="215">
        <v>0</v>
      </c>
      <c r="T25" s="215">
        <v>0</v>
      </c>
      <c r="U25" s="215">
        <v>0</v>
      </c>
      <c r="V25" s="215">
        <v>0</v>
      </c>
      <c r="W25" s="215">
        <v>0</v>
      </c>
      <c r="X25" s="215">
        <v>0</v>
      </c>
      <c r="Y25" s="215">
        <v>0</v>
      </c>
      <c r="Z25" s="215">
        <v>0</v>
      </c>
      <c r="AA25" s="215">
        <v>0</v>
      </c>
      <c r="AB25" s="215">
        <v>0</v>
      </c>
      <c r="AC25" s="171" t="s">
        <v>130</v>
      </c>
    </row>
    <row r="27" spans="2:29" s="2" customFormat="1">
      <c r="B27" s="2" t="s">
        <v>131</v>
      </c>
      <c r="C27" s="2" t="s">
        <v>1</v>
      </c>
      <c r="D27" s="2">
        <v>2022</v>
      </c>
      <c r="E27" s="2">
        <v>2023</v>
      </c>
      <c r="F27" s="2">
        <v>2024</v>
      </c>
      <c r="G27" s="2">
        <v>2025</v>
      </c>
      <c r="H27" s="2">
        <v>2026</v>
      </c>
      <c r="I27" s="2">
        <v>2027</v>
      </c>
      <c r="J27" s="2">
        <v>2028</v>
      </c>
      <c r="K27" s="2">
        <v>2029</v>
      </c>
      <c r="L27" s="2">
        <v>2030</v>
      </c>
      <c r="M27" s="2">
        <v>2031</v>
      </c>
      <c r="N27" s="2">
        <v>2032</v>
      </c>
      <c r="O27" s="2">
        <v>2033</v>
      </c>
      <c r="P27" s="2">
        <v>2034</v>
      </c>
      <c r="Q27" s="2">
        <v>2035</v>
      </c>
      <c r="R27" s="2">
        <v>2036</v>
      </c>
      <c r="S27" s="2">
        <v>2037</v>
      </c>
      <c r="T27" s="2">
        <v>2038</v>
      </c>
      <c r="U27" s="2">
        <v>2039</v>
      </c>
      <c r="V27" s="2">
        <v>2040</v>
      </c>
      <c r="W27" s="2">
        <v>2041</v>
      </c>
      <c r="X27" s="2">
        <v>2042</v>
      </c>
      <c r="Y27" s="2">
        <v>2043</v>
      </c>
      <c r="Z27" s="2">
        <v>2044</v>
      </c>
      <c r="AA27" s="2">
        <v>2045</v>
      </c>
      <c r="AB27" s="2">
        <v>2046</v>
      </c>
    </row>
    <row r="28" spans="2:29">
      <c r="B28" s="2" t="s">
        <v>132</v>
      </c>
      <c r="C28" s="2" t="s">
        <v>101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1</v>
      </c>
      <c r="J28" s="14">
        <v>1</v>
      </c>
      <c r="K28" s="14">
        <v>1</v>
      </c>
      <c r="L28" s="14">
        <v>1</v>
      </c>
      <c r="M28" s="14">
        <v>1</v>
      </c>
      <c r="N28" s="14">
        <v>1</v>
      </c>
      <c r="O28" s="14">
        <v>1</v>
      </c>
      <c r="P28" s="14">
        <v>1</v>
      </c>
      <c r="Q28" s="14">
        <v>1</v>
      </c>
      <c r="R28" s="14">
        <v>1</v>
      </c>
      <c r="S28" s="14">
        <v>1</v>
      </c>
      <c r="T28" s="14">
        <v>1</v>
      </c>
      <c r="U28" s="14">
        <v>1</v>
      </c>
      <c r="V28" s="14">
        <v>1</v>
      </c>
      <c r="W28" s="14">
        <v>1</v>
      </c>
      <c r="X28" s="14">
        <v>1</v>
      </c>
      <c r="Y28" s="14">
        <v>1</v>
      </c>
      <c r="Z28" s="14">
        <v>1</v>
      </c>
      <c r="AA28" s="14">
        <v>1</v>
      </c>
      <c r="AB28" s="14">
        <v>1</v>
      </c>
    </row>
    <row r="29" spans="2:29">
      <c r="B29" s="2" t="s">
        <v>133</v>
      </c>
      <c r="C29" s="2" t="s">
        <v>101</v>
      </c>
      <c r="D29" s="14">
        <v>1</v>
      </c>
      <c r="E29" s="14">
        <v>1</v>
      </c>
      <c r="F29" s="14">
        <v>1</v>
      </c>
      <c r="G29" s="14">
        <v>1</v>
      </c>
      <c r="H29" s="14">
        <v>1</v>
      </c>
      <c r="I29" s="14">
        <v>1</v>
      </c>
      <c r="J29" s="14">
        <v>1</v>
      </c>
      <c r="K29" s="14">
        <v>1</v>
      </c>
      <c r="L29" s="14">
        <v>1</v>
      </c>
      <c r="M29" s="14">
        <v>1</v>
      </c>
      <c r="N29" s="14">
        <v>1</v>
      </c>
      <c r="O29" s="14">
        <v>1</v>
      </c>
      <c r="P29" s="14">
        <v>1</v>
      </c>
      <c r="Q29" s="14">
        <v>1</v>
      </c>
      <c r="R29" s="14">
        <v>1</v>
      </c>
      <c r="S29" s="14">
        <v>1</v>
      </c>
      <c r="T29" s="14">
        <v>1</v>
      </c>
      <c r="U29" s="14">
        <v>1</v>
      </c>
      <c r="V29" s="14">
        <v>1</v>
      </c>
      <c r="W29" s="14">
        <v>1</v>
      </c>
      <c r="X29" s="14">
        <v>1</v>
      </c>
      <c r="Y29" s="14">
        <v>1</v>
      </c>
      <c r="Z29" s="14">
        <v>1</v>
      </c>
      <c r="AA29" s="14">
        <v>1</v>
      </c>
      <c r="AB29" s="14">
        <v>1</v>
      </c>
    </row>
    <row r="30" spans="2:29">
      <c r="B30" s="2" t="s">
        <v>134</v>
      </c>
      <c r="C30" s="2" t="s">
        <v>101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2:29">
      <c r="B31" s="2" t="s">
        <v>135</v>
      </c>
      <c r="C31" s="2" t="s">
        <v>101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2:29">
      <c r="B32" s="2" t="s">
        <v>136</v>
      </c>
      <c r="C32" s="2" t="s">
        <v>101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2:29">
      <c r="B33" s="2" t="s">
        <v>137</v>
      </c>
      <c r="C33" s="2" t="s">
        <v>101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2:29">
      <c r="B34" s="2" t="s">
        <v>138</v>
      </c>
      <c r="C34" s="2" t="s">
        <v>101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2:29">
      <c r="B35" s="2" t="s">
        <v>139</v>
      </c>
      <c r="C35" s="2" t="s">
        <v>101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2:29">
      <c r="B36" s="2" t="s">
        <v>140</v>
      </c>
      <c r="C36" s="2" t="s">
        <v>101</v>
      </c>
      <c r="D36" s="14">
        <v>1</v>
      </c>
      <c r="E36" s="14">
        <v>1</v>
      </c>
      <c r="F36" s="14">
        <v>1</v>
      </c>
      <c r="G36" s="14">
        <v>1</v>
      </c>
      <c r="H36" s="14">
        <v>1</v>
      </c>
      <c r="I36" s="14">
        <v>1</v>
      </c>
      <c r="J36" s="14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</v>
      </c>
      <c r="S36" s="14">
        <v>1</v>
      </c>
      <c r="T36" s="14">
        <v>1</v>
      </c>
      <c r="U36" s="14">
        <v>1</v>
      </c>
      <c r="V36" s="14">
        <v>1</v>
      </c>
      <c r="W36" s="14">
        <v>1</v>
      </c>
      <c r="X36" s="14">
        <v>1</v>
      </c>
      <c r="Y36" s="14">
        <v>1</v>
      </c>
      <c r="Z36" s="14">
        <v>1</v>
      </c>
      <c r="AA36" s="14">
        <v>1</v>
      </c>
      <c r="AB36" s="14">
        <v>1</v>
      </c>
    </row>
    <row r="38" spans="2:29" s="130" customFormat="1" ht="23.25">
      <c r="B38" s="129" t="s">
        <v>141</v>
      </c>
      <c r="C38" s="129"/>
    </row>
    <row r="39" spans="2:29">
      <c r="B39" s="2" t="s">
        <v>3</v>
      </c>
      <c r="C39" s="2" t="s">
        <v>1</v>
      </c>
      <c r="D39">
        <v>2022</v>
      </c>
      <c r="E39">
        <v>2023</v>
      </c>
      <c r="F39">
        <v>2024</v>
      </c>
      <c r="G39">
        <v>2025</v>
      </c>
      <c r="H39">
        <v>2026</v>
      </c>
      <c r="I39">
        <v>2027</v>
      </c>
      <c r="J39">
        <v>2028</v>
      </c>
      <c r="K39">
        <v>2029</v>
      </c>
      <c r="L39">
        <v>2030</v>
      </c>
      <c r="M39">
        <v>2031</v>
      </c>
      <c r="N39">
        <v>2032</v>
      </c>
      <c r="O39">
        <v>2033</v>
      </c>
      <c r="P39">
        <v>2034</v>
      </c>
      <c r="Q39">
        <v>2035</v>
      </c>
      <c r="R39">
        <v>2036</v>
      </c>
      <c r="S39">
        <v>2037</v>
      </c>
      <c r="T39">
        <v>2038</v>
      </c>
      <c r="U39">
        <v>2039</v>
      </c>
      <c r="V39">
        <v>2040</v>
      </c>
      <c r="W39">
        <v>2041</v>
      </c>
      <c r="X39">
        <v>2042</v>
      </c>
      <c r="Y39">
        <v>2043</v>
      </c>
      <c r="Z39">
        <v>2044</v>
      </c>
      <c r="AA39">
        <v>2045</v>
      </c>
      <c r="AB39">
        <v>2046</v>
      </c>
      <c r="AC39" t="s">
        <v>142</v>
      </c>
    </row>
    <row r="40" spans="2:29" s="171" customFormat="1">
      <c r="B40" s="208" t="s">
        <v>115</v>
      </c>
      <c r="C40" s="208" t="s">
        <v>101</v>
      </c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15">
        <v>0</v>
      </c>
      <c r="Q40" s="215">
        <v>0</v>
      </c>
      <c r="R40" s="215">
        <v>0</v>
      </c>
      <c r="S40" s="215">
        <v>0</v>
      </c>
      <c r="T40" s="215">
        <v>0</v>
      </c>
      <c r="U40" s="215">
        <v>0</v>
      </c>
      <c r="V40" s="215">
        <v>0</v>
      </c>
      <c r="W40" s="215">
        <v>0</v>
      </c>
      <c r="X40" s="215">
        <v>0</v>
      </c>
      <c r="Y40" s="215">
        <v>0</v>
      </c>
      <c r="Z40" s="215">
        <v>0</v>
      </c>
      <c r="AA40" s="215">
        <v>0</v>
      </c>
      <c r="AB40" s="215">
        <v>0</v>
      </c>
      <c r="AC40" s="171" t="s">
        <v>143</v>
      </c>
    </row>
    <row r="41" spans="2:29" s="171" customFormat="1">
      <c r="B41" s="208" t="s">
        <v>19</v>
      </c>
      <c r="C41" s="208" t="s">
        <v>101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15">
        <v>0</v>
      </c>
      <c r="Q41" s="215">
        <v>0</v>
      </c>
      <c r="R41" s="249">
        <v>0</v>
      </c>
      <c r="S41" s="215">
        <v>0</v>
      </c>
      <c r="T41" s="215">
        <v>0</v>
      </c>
      <c r="U41" s="215">
        <v>0</v>
      </c>
      <c r="V41" s="215">
        <v>0</v>
      </c>
      <c r="W41" s="215">
        <v>0</v>
      </c>
      <c r="X41" s="215">
        <v>0</v>
      </c>
      <c r="Y41" s="215">
        <v>0</v>
      </c>
      <c r="Z41" s="215">
        <v>0</v>
      </c>
      <c r="AA41" s="215">
        <v>0</v>
      </c>
      <c r="AB41" s="215">
        <v>0</v>
      </c>
      <c r="AC41" s="171" t="s">
        <v>144</v>
      </c>
    </row>
    <row r="42" spans="2:29">
      <c r="B42" s="2" t="s">
        <v>104</v>
      </c>
      <c r="C42" s="2" t="s">
        <v>101</v>
      </c>
      <c r="D42" s="3">
        <f t="shared" ref="D42:AB42" si="0">D47</f>
        <v>0</v>
      </c>
      <c r="E42" s="3">
        <f t="shared" si="0"/>
        <v>0</v>
      </c>
      <c r="F42" s="3">
        <f>F47</f>
        <v>0</v>
      </c>
      <c r="G42" s="3">
        <f t="shared" si="0"/>
        <v>0</v>
      </c>
      <c r="H42" s="3">
        <f t="shared" si="0"/>
        <v>1.3622184590004823E-2</v>
      </c>
      <c r="I42" s="3">
        <f t="shared" si="0"/>
        <v>0.11015287206355706</v>
      </c>
      <c r="J42" s="3">
        <f t="shared" si="0"/>
        <v>0.17627027747942778</v>
      </c>
      <c r="K42" s="3">
        <f t="shared" si="0"/>
        <v>0.20898009481048263</v>
      </c>
      <c r="L42" s="3">
        <f t="shared" si="0"/>
        <v>0.2294101251428399</v>
      </c>
      <c r="M42" s="3">
        <f t="shared" si="0"/>
        <v>0.24295643541389875</v>
      </c>
      <c r="N42" s="3">
        <f t="shared" si="0"/>
        <v>0.25249036378410949</v>
      </c>
      <c r="O42" s="3">
        <f t="shared" si="0"/>
        <v>0.25961783908695407</v>
      </c>
      <c r="P42" s="3">
        <f t="shared" si="0"/>
        <v>0.26841164486050301</v>
      </c>
      <c r="Q42" s="3">
        <f t="shared" si="0"/>
        <v>0.27187253466695305</v>
      </c>
      <c r="R42" s="3">
        <f t="shared" si="0"/>
        <v>0.27520972752163275</v>
      </c>
      <c r="S42" s="3">
        <f t="shared" si="0"/>
        <v>0.2784173106210564</v>
      </c>
      <c r="T42" s="3">
        <f t="shared" si="0"/>
        <v>0.28148979365048893</v>
      </c>
      <c r="U42" s="3">
        <f t="shared" si="0"/>
        <v>0.27070602453539699</v>
      </c>
      <c r="V42" s="3">
        <f t="shared" si="0"/>
        <v>0.26227122869268193</v>
      </c>
      <c r="W42" s="3">
        <f t="shared" si="0"/>
        <v>0.2615388166151793</v>
      </c>
      <c r="X42" s="3">
        <f t="shared" si="0"/>
        <v>0.26618088498920417</v>
      </c>
      <c r="Y42" s="3">
        <f t="shared" si="0"/>
        <v>0.26436611810879757</v>
      </c>
      <c r="Z42" s="3">
        <f t="shared" si="0"/>
        <v>0.26419680088258485</v>
      </c>
      <c r="AA42" s="3">
        <f t="shared" si="0"/>
        <v>0.26424122597954908</v>
      </c>
      <c r="AB42" s="3">
        <f t="shared" si="0"/>
        <v>0.26788257115259112</v>
      </c>
      <c r="AC42" t="s">
        <v>145</v>
      </c>
    </row>
    <row r="43" spans="2:29">
      <c r="B43" s="2" t="s">
        <v>146</v>
      </c>
      <c r="C43" s="2" t="s">
        <v>101</v>
      </c>
      <c r="D43" s="3">
        <v>1</v>
      </c>
      <c r="E43" s="3">
        <v>1</v>
      </c>
      <c r="F43" s="3">
        <v>1</v>
      </c>
      <c r="G43" s="3">
        <v>1</v>
      </c>
      <c r="H43" s="3">
        <v>1</v>
      </c>
      <c r="I43" s="3">
        <v>1</v>
      </c>
      <c r="J43" s="3">
        <v>1</v>
      </c>
      <c r="K43" s="3">
        <v>1</v>
      </c>
      <c r="L43" s="3">
        <v>1</v>
      </c>
      <c r="M43" s="3">
        <v>1</v>
      </c>
      <c r="N43" s="3">
        <v>1</v>
      </c>
      <c r="O43" s="3">
        <v>1</v>
      </c>
      <c r="P43" s="3">
        <v>1</v>
      </c>
      <c r="Q43" s="3">
        <v>1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v>1</v>
      </c>
      <c r="AC43" t="s">
        <v>147</v>
      </c>
    </row>
    <row r="44" spans="2:29">
      <c r="B44" s="2" t="s">
        <v>148</v>
      </c>
      <c r="C44" s="2" t="s">
        <v>101</v>
      </c>
      <c r="D44" s="3">
        <v>0</v>
      </c>
      <c r="E44" s="3">
        <v>0</v>
      </c>
      <c r="F44" s="3">
        <v>0</v>
      </c>
      <c r="G44" s="290">
        <f>1/6*(G39-2024)</f>
        <v>0.16666666666666666</v>
      </c>
      <c r="H44" s="290">
        <f t="shared" ref="H44:L44" si="1">1/6*(H39-2024)</f>
        <v>0.33333333333333331</v>
      </c>
      <c r="I44" s="290">
        <f t="shared" si="1"/>
        <v>0.5</v>
      </c>
      <c r="J44" s="290">
        <f t="shared" si="1"/>
        <v>0.66666666666666663</v>
      </c>
      <c r="K44" s="290">
        <f t="shared" si="1"/>
        <v>0.83333333333333326</v>
      </c>
      <c r="L44" s="290">
        <f t="shared" si="1"/>
        <v>1</v>
      </c>
      <c r="M44" s="3">
        <v>1</v>
      </c>
      <c r="N44" s="3">
        <v>1</v>
      </c>
      <c r="O44" s="3">
        <v>1</v>
      </c>
      <c r="P44" s="3">
        <v>1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1</v>
      </c>
      <c r="AC44" t="s">
        <v>149</v>
      </c>
    </row>
    <row r="45" spans="2:29" s="171" customFormat="1">
      <c r="B45" s="208" t="s">
        <v>118</v>
      </c>
      <c r="C45" s="208" t="s">
        <v>101</v>
      </c>
      <c r="D45" s="274">
        <v>0</v>
      </c>
      <c r="E45" s="274">
        <v>0</v>
      </c>
      <c r="F45" s="274">
        <v>0</v>
      </c>
      <c r="G45" s="274">
        <v>0</v>
      </c>
      <c r="H45" s="274">
        <v>0</v>
      </c>
      <c r="I45" s="274">
        <v>0</v>
      </c>
      <c r="J45" s="274">
        <v>0</v>
      </c>
      <c r="K45" s="274">
        <v>0</v>
      </c>
      <c r="L45" s="274">
        <v>0</v>
      </c>
      <c r="M45" s="274">
        <v>0</v>
      </c>
      <c r="N45" s="274">
        <v>0</v>
      </c>
      <c r="O45" s="274">
        <v>0</v>
      </c>
      <c r="P45" s="274">
        <v>0</v>
      </c>
      <c r="Q45" s="274">
        <v>0</v>
      </c>
      <c r="R45" s="274">
        <v>0</v>
      </c>
      <c r="S45" s="274">
        <v>0</v>
      </c>
      <c r="T45" s="274">
        <v>0</v>
      </c>
      <c r="U45" s="274">
        <v>0</v>
      </c>
      <c r="V45" s="274">
        <v>0</v>
      </c>
      <c r="W45" s="274">
        <v>0</v>
      </c>
      <c r="X45" s="274">
        <v>0</v>
      </c>
      <c r="Y45" s="274">
        <v>0</v>
      </c>
      <c r="Z45" s="274">
        <v>0</v>
      </c>
      <c r="AA45" s="274">
        <v>0</v>
      </c>
      <c r="AB45" s="274">
        <v>0</v>
      </c>
      <c r="AC45" s="171" t="s">
        <v>150</v>
      </c>
    </row>
    <row r="46" spans="2:29" s="275" customFormat="1">
      <c r="B46" s="273" t="s">
        <v>9</v>
      </c>
      <c r="C46" s="273" t="s">
        <v>101</v>
      </c>
      <c r="D46" s="274">
        <v>0</v>
      </c>
      <c r="E46" s="274">
        <v>0</v>
      </c>
      <c r="F46" s="274">
        <v>0</v>
      </c>
      <c r="G46" s="274">
        <v>0</v>
      </c>
      <c r="H46" s="274">
        <v>0</v>
      </c>
      <c r="I46" s="274">
        <v>0</v>
      </c>
      <c r="J46" s="274">
        <v>0</v>
      </c>
      <c r="K46" s="274">
        <v>0</v>
      </c>
      <c r="L46" s="274">
        <v>0</v>
      </c>
      <c r="M46" s="274">
        <v>0</v>
      </c>
      <c r="N46" s="274">
        <v>0</v>
      </c>
      <c r="O46" s="274">
        <v>0</v>
      </c>
      <c r="P46" s="274">
        <v>0</v>
      </c>
      <c r="Q46" s="274">
        <v>0</v>
      </c>
      <c r="R46" s="274">
        <v>0</v>
      </c>
      <c r="S46" s="274">
        <v>0</v>
      </c>
      <c r="T46" s="274">
        <v>0</v>
      </c>
      <c r="U46" s="274">
        <v>0</v>
      </c>
      <c r="V46" s="274">
        <v>0</v>
      </c>
      <c r="W46" s="274">
        <v>0</v>
      </c>
      <c r="X46" s="274">
        <v>0</v>
      </c>
      <c r="Y46" s="274">
        <v>0</v>
      </c>
      <c r="Z46" s="274">
        <v>0</v>
      </c>
      <c r="AA46" s="274">
        <v>0</v>
      </c>
      <c r="AB46" s="274">
        <v>0</v>
      </c>
      <c r="AC46" s="275" t="s">
        <v>151</v>
      </c>
    </row>
    <row r="47" spans="2:29">
      <c r="B47" s="2" t="s">
        <v>34</v>
      </c>
      <c r="C47" s="2" t="s">
        <v>101</v>
      </c>
      <c r="D47" s="3">
        <f>IF(AND(1633&gt;=('BAU Comparison - All Fuel'!F13+'BAU Comparison - All Fuel'!F24),('BAU Comparison - All Fuel'!F74+'BAU Comparison - All Fuel'!F85)&gt;0),MIN((1633-'BAU Comparison - All Fuel'!F13-'BAU Comparison - All Fuel'!F24)/('BAU Comparison - All Fuel'!F74+'BAU Comparison - All Fuel'!F85),100%),0%)</f>
        <v>0</v>
      </c>
      <c r="E47" s="3">
        <f>IF(AND(1633&gt;=('BAU Comparison - All Fuel'!E13+'BAU Comparison - All Fuel'!E24),('BAU Comparison - All Fuel'!E72+'BAU Comparison - All Fuel'!E83)&gt;0),MIN((1633-'BAU Comparison - All Fuel'!E13-'BAU Comparison - All Fuel'!E24)/('BAU Comparison - All Fuel'!E72+'BAU Comparison - All Fuel'!E83),100%),0%)</f>
        <v>0</v>
      </c>
      <c r="F47" s="3">
        <f>IF(AND(1633&gt;=('BAU Comparison - All Fuel'!F13+'BAU Comparison - All Fuel'!F24),('BAU Comparison - All Fuel'!F72+'BAU Comparison - All Fuel'!F83)&gt;0),MIN((1633-'BAU Comparison - All Fuel'!F13-'BAU Comparison - All Fuel'!F24)/('BAU Comparison - All Fuel'!F72+'BAU Comparison - All Fuel'!F83),100%),0%)</f>
        <v>0</v>
      </c>
      <c r="G47" s="3">
        <f>IF(AND(1633&gt;=('BAU Comparison - All Fuel'!G13+'BAU Comparison - All Fuel'!G24),('BAU Comparison - All Fuel'!G72+'BAU Comparison - All Fuel'!G83)&gt;0),MIN((1633-'BAU Comparison - All Fuel'!G13-'BAU Comparison - All Fuel'!G24)/('BAU Comparison - All Fuel'!G72+'BAU Comparison - All Fuel'!G83),100%),0%)</f>
        <v>0</v>
      </c>
      <c r="H47" s="3">
        <f>IF(AND(1633&gt;=('BAU Comparison - All Fuel'!H13+'BAU Comparison - All Fuel'!H24),('BAU Comparison - All Fuel'!H72+'BAU Comparison - All Fuel'!H83)&gt;0),MIN((1633-'BAU Comparison - All Fuel'!H13-'BAU Comparison - All Fuel'!H24)/('BAU Comparison - All Fuel'!H72+'BAU Comparison - All Fuel'!H83),100%),0%)</f>
        <v>1.3622184590004823E-2</v>
      </c>
      <c r="I47" s="3">
        <f>IF(AND(1633&gt;=('BAU Comparison - All Fuel'!I13+'BAU Comparison - All Fuel'!I24),('BAU Comparison - All Fuel'!I72+'BAU Comparison - All Fuel'!I83)&gt;0),MIN((1633-'BAU Comparison - All Fuel'!I13-'BAU Comparison - All Fuel'!I24)/('BAU Comparison - All Fuel'!I72+'BAU Comparison - All Fuel'!I83),100%),0%)</f>
        <v>0.11015287206355706</v>
      </c>
      <c r="J47" s="3">
        <f>IF(AND(1633&gt;=('BAU Comparison - All Fuel'!J13+'BAU Comparison - All Fuel'!J24),('BAU Comparison - All Fuel'!J72+'BAU Comparison - All Fuel'!J83)&gt;0),MIN((1633-'BAU Comparison - All Fuel'!J13-'BAU Comparison - All Fuel'!J24)/('BAU Comparison - All Fuel'!J72+'BAU Comparison - All Fuel'!J83),100%),0%)</f>
        <v>0.17627027747942778</v>
      </c>
      <c r="K47" s="3">
        <f>IF(AND(1633&gt;=('BAU Comparison - All Fuel'!K13+'BAU Comparison - All Fuel'!K24),('BAU Comparison - All Fuel'!K72+'BAU Comparison - All Fuel'!K83)&gt;0),MIN((1633-'BAU Comparison - All Fuel'!K13-'BAU Comparison - All Fuel'!K24)/('BAU Comparison - All Fuel'!K72+'BAU Comparison - All Fuel'!K83),100%),0%)</f>
        <v>0.20898009481048263</v>
      </c>
      <c r="L47" s="3">
        <f>IF(AND(1633&gt;=('BAU Comparison - All Fuel'!L13+'BAU Comparison - All Fuel'!L24),('BAU Comparison - All Fuel'!L72+'BAU Comparison - All Fuel'!L83)&gt;0),MIN((1633-'BAU Comparison - All Fuel'!L13-'BAU Comparison - All Fuel'!L24)/('BAU Comparison - All Fuel'!L72+'BAU Comparison - All Fuel'!L83),100%),0%)</f>
        <v>0.2294101251428399</v>
      </c>
      <c r="M47" s="3">
        <f>IF(AND(1633&gt;=('BAU Comparison - All Fuel'!M13+'BAU Comparison - All Fuel'!M24),('BAU Comparison - All Fuel'!M72+'BAU Comparison - All Fuel'!M83)&gt;0),MIN((1633-'BAU Comparison - All Fuel'!M13-'BAU Comparison - All Fuel'!M24)/('BAU Comparison - All Fuel'!M72+'BAU Comparison - All Fuel'!M83),100%),0%)</f>
        <v>0.24295643541389875</v>
      </c>
      <c r="N47" s="3">
        <f>IF(AND(1633&gt;=('BAU Comparison - All Fuel'!N13+'BAU Comparison - All Fuel'!N24),('BAU Comparison - All Fuel'!N72+'BAU Comparison - All Fuel'!N83)&gt;0),MIN((1633-'BAU Comparison - All Fuel'!N13-'BAU Comparison - All Fuel'!N24)/('BAU Comparison - All Fuel'!N72+'BAU Comparison - All Fuel'!N83),100%),0%)</f>
        <v>0.25249036378410949</v>
      </c>
      <c r="O47" s="3">
        <f>IF(AND(1633&gt;=('BAU Comparison - All Fuel'!O13+'BAU Comparison - All Fuel'!O24),('BAU Comparison - All Fuel'!O72+'BAU Comparison - All Fuel'!O83)&gt;0),MIN((1633-'BAU Comparison - All Fuel'!O13-'BAU Comparison - All Fuel'!O24)/('BAU Comparison - All Fuel'!O72+'BAU Comparison - All Fuel'!O83),100%),0%)</f>
        <v>0.25961783908695407</v>
      </c>
      <c r="P47" s="3">
        <f>IF(AND(1633&gt;=('BAU Comparison - All Fuel'!P13+'BAU Comparison - All Fuel'!P24),('BAU Comparison - All Fuel'!P72+'BAU Comparison - All Fuel'!P83)&gt;0),MIN((1633-'BAU Comparison - All Fuel'!P13-'BAU Comparison - All Fuel'!P24)/('BAU Comparison - All Fuel'!P72+'BAU Comparison - All Fuel'!P83),100%),0%)</f>
        <v>0.26841164486050301</v>
      </c>
      <c r="Q47" s="3">
        <f>IF(AND(1633&gt;=('BAU Comparison - All Fuel'!Q13+'BAU Comparison - All Fuel'!Q24),('BAU Comparison - All Fuel'!Q72+'BAU Comparison - All Fuel'!Q83)&gt;0),MIN((1633-'BAU Comparison - All Fuel'!Q13-'BAU Comparison - All Fuel'!Q24)/('BAU Comparison - All Fuel'!Q72+'BAU Comparison - All Fuel'!Q83),100%),0%)</f>
        <v>0.27187253466695305</v>
      </c>
      <c r="R47" s="3">
        <f>IF(AND(1633&gt;=('BAU Comparison - All Fuel'!R13+'BAU Comparison - All Fuel'!R24),('BAU Comparison - All Fuel'!R72+'BAU Comparison - All Fuel'!R83)&gt;0),MIN((1633-'BAU Comparison - All Fuel'!R13-'BAU Comparison - All Fuel'!R24)/('BAU Comparison - All Fuel'!R72+'BAU Comparison - All Fuel'!R83),100%),0%)</f>
        <v>0.27520972752163275</v>
      </c>
      <c r="S47" s="3">
        <f>IF(AND(1633&gt;=('BAU Comparison - All Fuel'!S13+'BAU Comparison - All Fuel'!S24),('BAU Comparison - All Fuel'!S72+'BAU Comparison - All Fuel'!S83)&gt;0),MIN((1633-'BAU Comparison - All Fuel'!S13-'BAU Comparison - All Fuel'!S24)/('BAU Comparison - All Fuel'!S72+'BAU Comparison - All Fuel'!S83),100%),0%)</f>
        <v>0.2784173106210564</v>
      </c>
      <c r="T47" s="3">
        <f>IF(AND(1633&gt;=('BAU Comparison - All Fuel'!T13+'BAU Comparison - All Fuel'!T24),('BAU Comparison - All Fuel'!T72+'BAU Comparison - All Fuel'!T83)&gt;0),MIN((1633-'BAU Comparison - All Fuel'!T13-'BAU Comparison - All Fuel'!T24)/('BAU Comparison - All Fuel'!T72+'BAU Comparison - All Fuel'!T83),100%),0%)</f>
        <v>0.28148979365048893</v>
      </c>
      <c r="U47" s="3">
        <f>IF(AND(1633&gt;=('BAU Comparison - All Fuel'!U13+'BAU Comparison - All Fuel'!U24),('BAU Comparison - All Fuel'!U72+'BAU Comparison - All Fuel'!U83)&gt;0),MIN((1633-'BAU Comparison - All Fuel'!U13-'BAU Comparison - All Fuel'!U24)/('BAU Comparison - All Fuel'!U72+'BAU Comparison - All Fuel'!U83),100%),0%)</f>
        <v>0.27070602453539699</v>
      </c>
      <c r="V47" s="3">
        <f>IF(AND(1633&gt;=('BAU Comparison - All Fuel'!V13+'BAU Comparison - All Fuel'!V24),('BAU Comparison - All Fuel'!V72+'BAU Comparison - All Fuel'!V83)&gt;0),MIN((1633-'BAU Comparison - All Fuel'!V13-'BAU Comparison - All Fuel'!V24)/('BAU Comparison - All Fuel'!V72+'BAU Comparison - All Fuel'!V83),100%),0%)</f>
        <v>0.26227122869268193</v>
      </c>
      <c r="W47" s="3">
        <f>IF(AND(1633&gt;=('BAU Comparison - All Fuel'!W13+'BAU Comparison - All Fuel'!W24),('BAU Comparison - All Fuel'!W72+'BAU Comparison - All Fuel'!W83)&gt;0),MIN((1633-'BAU Comparison - All Fuel'!W13-'BAU Comparison - All Fuel'!W24)/('BAU Comparison - All Fuel'!W72+'BAU Comparison - All Fuel'!W83),100%),0%)</f>
        <v>0.2615388166151793</v>
      </c>
      <c r="X47" s="3">
        <f>IF(AND(1633&gt;=('BAU Comparison - All Fuel'!X13+'BAU Comparison - All Fuel'!X24),('BAU Comparison - All Fuel'!X72+'BAU Comparison - All Fuel'!X83)&gt;0),MIN((1633-'BAU Comparison - All Fuel'!X13-'BAU Comparison - All Fuel'!X24)/('BAU Comparison - All Fuel'!X72+'BAU Comparison - All Fuel'!X83),100%),0%)</f>
        <v>0.26618088498920417</v>
      </c>
      <c r="Y47" s="3">
        <f>IF(AND(1633&gt;=('BAU Comparison - All Fuel'!Y13+'BAU Comparison - All Fuel'!Y24),('BAU Comparison - All Fuel'!Y72+'BAU Comparison - All Fuel'!Y83)&gt;0),MIN((1633-'BAU Comparison - All Fuel'!Y13-'BAU Comparison - All Fuel'!Y24)/('BAU Comparison - All Fuel'!Y72+'BAU Comparison - All Fuel'!Y83),100%),0%)</f>
        <v>0.26436611810879757</v>
      </c>
      <c r="Z47" s="3">
        <f>IF(AND(1633&gt;=('BAU Comparison - All Fuel'!Z13+'BAU Comparison - All Fuel'!Z24),('BAU Comparison - All Fuel'!Z72+'BAU Comparison - All Fuel'!Z83)&gt;0),MIN((1633-'BAU Comparison - All Fuel'!Z13-'BAU Comparison - All Fuel'!Z24)/('BAU Comparison - All Fuel'!Z72+'BAU Comparison - All Fuel'!Z83),100%),0%)</f>
        <v>0.26419680088258485</v>
      </c>
      <c r="AA47" s="3">
        <f>IF(AND(1633&gt;=('BAU Comparison - All Fuel'!AA13+'BAU Comparison - All Fuel'!AA24),('BAU Comparison - All Fuel'!AA72+'BAU Comparison - All Fuel'!AA83)&gt;0),MIN((1633-'BAU Comparison - All Fuel'!AA13-'BAU Comparison - All Fuel'!AA24)/('BAU Comparison - All Fuel'!AA72+'BAU Comparison - All Fuel'!AA83),100%),0%)</f>
        <v>0.26424122597954908</v>
      </c>
      <c r="AB47" s="3">
        <f>IF(AND(1633&gt;=('BAU Comparison - All Fuel'!AB13+'BAU Comparison - All Fuel'!AB24),('BAU Comparison - All Fuel'!AB72+'BAU Comparison - All Fuel'!AB83)&gt;0),MIN((1633-'BAU Comparison - All Fuel'!AB13-'BAU Comparison - All Fuel'!AB24)/('BAU Comparison - All Fuel'!AB72+'BAU Comparison - All Fuel'!AB83),100%),0%)</f>
        <v>0.26788257115259112</v>
      </c>
      <c r="AC47" t="s">
        <v>152</v>
      </c>
    </row>
    <row r="48" spans="2:29" s="275" customFormat="1">
      <c r="B48" s="273" t="s">
        <v>33</v>
      </c>
      <c r="C48" s="273" t="s">
        <v>101</v>
      </c>
      <c r="D48" s="274">
        <v>0</v>
      </c>
      <c r="E48" s="274">
        <v>0</v>
      </c>
      <c r="F48" s="274">
        <v>0</v>
      </c>
      <c r="G48" s="274">
        <v>0</v>
      </c>
      <c r="H48" s="274">
        <v>0</v>
      </c>
      <c r="I48" s="274">
        <v>0</v>
      </c>
      <c r="J48" s="274">
        <v>0</v>
      </c>
      <c r="K48" s="274">
        <v>0</v>
      </c>
      <c r="L48" s="274">
        <v>0</v>
      </c>
      <c r="M48" s="274">
        <v>0</v>
      </c>
      <c r="N48" s="274">
        <v>0</v>
      </c>
      <c r="O48" s="274">
        <v>0</v>
      </c>
      <c r="P48" s="274">
        <v>0</v>
      </c>
      <c r="Q48" s="274">
        <v>0</v>
      </c>
      <c r="R48" s="284">
        <v>0</v>
      </c>
      <c r="S48" s="274">
        <v>0</v>
      </c>
      <c r="T48" s="274">
        <v>0</v>
      </c>
      <c r="U48" s="274">
        <v>0</v>
      </c>
      <c r="V48" s="274">
        <v>0</v>
      </c>
      <c r="W48" s="274">
        <v>0</v>
      </c>
      <c r="X48" s="274">
        <v>0</v>
      </c>
      <c r="Y48" s="274">
        <v>0</v>
      </c>
      <c r="Z48" s="274">
        <v>0</v>
      </c>
      <c r="AA48" s="274">
        <v>0</v>
      </c>
      <c r="AB48" s="274">
        <v>0</v>
      </c>
      <c r="AC48" s="275" t="s">
        <v>153</v>
      </c>
    </row>
    <row r="49" spans="1:29">
      <c r="B49" s="2" t="s">
        <v>154</v>
      </c>
      <c r="C49" s="2" t="s">
        <v>101</v>
      </c>
      <c r="D49" s="3">
        <v>1</v>
      </c>
      <c r="E49" s="3">
        <v>1</v>
      </c>
      <c r="F49" s="3">
        <v>1</v>
      </c>
      <c r="G49" s="3">
        <v>1</v>
      </c>
      <c r="H49" s="3">
        <v>1</v>
      </c>
      <c r="I49" s="3">
        <v>1</v>
      </c>
      <c r="J49" s="3">
        <v>1</v>
      </c>
      <c r="K49" s="3">
        <v>1</v>
      </c>
      <c r="L49" s="3">
        <v>1</v>
      </c>
      <c r="M49" s="3">
        <v>1</v>
      </c>
      <c r="N49" s="3">
        <v>1</v>
      </c>
      <c r="O49" s="3">
        <v>1</v>
      </c>
      <c r="P49" s="3">
        <v>1</v>
      </c>
      <c r="Q49" s="3">
        <v>1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v>1</v>
      </c>
      <c r="AC49" t="s">
        <v>147</v>
      </c>
    </row>
    <row r="50" spans="1:29">
      <c r="B50" s="2" t="s">
        <v>155</v>
      </c>
      <c r="C50" s="2" t="s">
        <v>101</v>
      </c>
      <c r="D50" s="3">
        <v>0</v>
      </c>
      <c r="E50" s="3">
        <v>0</v>
      </c>
      <c r="F50" s="3">
        <v>0</v>
      </c>
      <c r="G50" s="290">
        <f t="shared" ref="G50:L50" si="2">1/6*(G39-2024)</f>
        <v>0.16666666666666666</v>
      </c>
      <c r="H50" s="290">
        <f t="shared" si="2"/>
        <v>0.33333333333333331</v>
      </c>
      <c r="I50" s="290">
        <f t="shared" si="2"/>
        <v>0.5</v>
      </c>
      <c r="J50" s="290">
        <f t="shared" si="2"/>
        <v>0.66666666666666663</v>
      </c>
      <c r="K50" s="290">
        <f t="shared" si="2"/>
        <v>0.83333333333333326</v>
      </c>
      <c r="L50" s="290">
        <f t="shared" si="2"/>
        <v>1</v>
      </c>
      <c r="M50" s="3">
        <v>1</v>
      </c>
      <c r="N50" s="3">
        <v>1</v>
      </c>
      <c r="O50" s="3">
        <v>1</v>
      </c>
      <c r="P50" s="3">
        <v>1</v>
      </c>
      <c r="Q50" s="3">
        <v>1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v>1</v>
      </c>
      <c r="AC50" t="s">
        <v>149</v>
      </c>
    </row>
    <row r="51" spans="1:29" s="171" customFormat="1">
      <c r="B51" s="208" t="s">
        <v>14</v>
      </c>
      <c r="C51" s="208" t="s">
        <v>101</v>
      </c>
      <c r="D51" s="274">
        <v>0</v>
      </c>
      <c r="E51" s="274">
        <v>0</v>
      </c>
      <c r="F51" s="274">
        <v>0</v>
      </c>
      <c r="G51" s="274">
        <v>0</v>
      </c>
      <c r="H51" s="274">
        <v>0</v>
      </c>
      <c r="I51" s="274">
        <v>0</v>
      </c>
      <c r="J51" s="274">
        <v>0</v>
      </c>
      <c r="K51" s="274">
        <v>0</v>
      </c>
      <c r="L51" s="274">
        <v>0</v>
      </c>
      <c r="M51" s="274">
        <v>0</v>
      </c>
      <c r="N51" s="274">
        <v>0</v>
      </c>
      <c r="O51" s="274">
        <v>0</v>
      </c>
      <c r="P51" s="274">
        <v>0</v>
      </c>
      <c r="Q51" s="274">
        <v>0</v>
      </c>
      <c r="R51" s="274">
        <v>0</v>
      </c>
      <c r="S51" s="274">
        <v>0</v>
      </c>
      <c r="T51" s="274">
        <v>0</v>
      </c>
      <c r="U51" s="274">
        <v>0</v>
      </c>
      <c r="V51" s="274">
        <v>0</v>
      </c>
      <c r="W51" s="274">
        <v>0</v>
      </c>
      <c r="X51" s="274">
        <v>0</v>
      </c>
      <c r="Y51" s="274">
        <v>0</v>
      </c>
      <c r="Z51" s="274">
        <v>0</v>
      </c>
      <c r="AA51" s="274">
        <v>0</v>
      </c>
      <c r="AB51" s="274">
        <v>0</v>
      </c>
      <c r="AC51" s="171" t="s">
        <v>150</v>
      </c>
    </row>
    <row r="52" spans="1:29" s="171" customFormat="1">
      <c r="B52" s="208" t="s">
        <v>108</v>
      </c>
      <c r="C52" s="208" t="s">
        <v>101</v>
      </c>
      <c r="D52" s="274">
        <v>0</v>
      </c>
      <c r="E52" s="274">
        <v>0</v>
      </c>
      <c r="F52" s="274">
        <v>0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0</v>
      </c>
      <c r="Z52" s="274">
        <v>0</v>
      </c>
      <c r="AA52" s="274">
        <v>0</v>
      </c>
      <c r="AB52" s="274">
        <v>0</v>
      </c>
      <c r="AC52" s="171" t="s">
        <v>150</v>
      </c>
    </row>
    <row r="53" spans="1:29">
      <c r="B53" s="2" t="s">
        <v>122</v>
      </c>
      <c r="C53" s="2" t="s">
        <v>101</v>
      </c>
      <c r="D53" s="3">
        <f>D47</f>
        <v>0</v>
      </c>
      <c r="E53" s="3">
        <f t="shared" ref="E53:AB53" si="3">E47</f>
        <v>0</v>
      </c>
      <c r="F53" s="3">
        <f t="shared" si="3"/>
        <v>0</v>
      </c>
      <c r="G53" s="3">
        <f t="shared" si="3"/>
        <v>0</v>
      </c>
      <c r="H53" s="3">
        <f t="shared" si="3"/>
        <v>1.3622184590004823E-2</v>
      </c>
      <c r="I53" s="3">
        <f t="shared" si="3"/>
        <v>0.11015287206355706</v>
      </c>
      <c r="J53" s="3">
        <f t="shared" si="3"/>
        <v>0.17627027747942778</v>
      </c>
      <c r="K53" s="3">
        <f t="shared" si="3"/>
        <v>0.20898009481048263</v>
      </c>
      <c r="L53" s="3">
        <f t="shared" si="3"/>
        <v>0.2294101251428399</v>
      </c>
      <c r="M53" s="3">
        <f t="shared" si="3"/>
        <v>0.24295643541389875</v>
      </c>
      <c r="N53" s="3">
        <f t="shared" si="3"/>
        <v>0.25249036378410949</v>
      </c>
      <c r="O53" s="3">
        <f t="shared" si="3"/>
        <v>0.25961783908695407</v>
      </c>
      <c r="P53" s="3">
        <f t="shared" si="3"/>
        <v>0.26841164486050301</v>
      </c>
      <c r="Q53" s="3">
        <f t="shared" si="3"/>
        <v>0.27187253466695305</v>
      </c>
      <c r="R53" s="3">
        <f t="shared" si="3"/>
        <v>0.27520972752163275</v>
      </c>
      <c r="S53" s="3">
        <f t="shared" si="3"/>
        <v>0.2784173106210564</v>
      </c>
      <c r="T53" s="3">
        <f t="shared" si="3"/>
        <v>0.28148979365048893</v>
      </c>
      <c r="U53" s="3">
        <f t="shared" si="3"/>
        <v>0.27070602453539699</v>
      </c>
      <c r="V53" s="3">
        <f t="shared" si="3"/>
        <v>0.26227122869268193</v>
      </c>
      <c r="W53" s="3">
        <f t="shared" si="3"/>
        <v>0.2615388166151793</v>
      </c>
      <c r="X53" s="3">
        <f t="shared" si="3"/>
        <v>0.26618088498920417</v>
      </c>
      <c r="Y53" s="3">
        <f t="shared" si="3"/>
        <v>0.26436611810879757</v>
      </c>
      <c r="Z53" s="3">
        <f t="shared" si="3"/>
        <v>0.26419680088258485</v>
      </c>
      <c r="AA53" s="3">
        <f t="shared" si="3"/>
        <v>0.26424122597954908</v>
      </c>
      <c r="AB53" s="3">
        <f t="shared" si="3"/>
        <v>0.26788257115259112</v>
      </c>
      <c r="AC53" t="s">
        <v>156</v>
      </c>
    </row>
    <row r="54" spans="1:29" s="171" customFormat="1">
      <c r="B54" s="208" t="s">
        <v>123</v>
      </c>
      <c r="C54" s="208" t="s">
        <v>101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49">
        <v>0</v>
      </c>
      <c r="S54" s="215">
        <v>0</v>
      </c>
      <c r="T54" s="215">
        <v>0</v>
      </c>
      <c r="U54" s="215">
        <v>0</v>
      </c>
      <c r="V54" s="215">
        <v>0</v>
      </c>
      <c r="W54" s="215">
        <v>0</v>
      </c>
      <c r="X54" s="215">
        <v>0</v>
      </c>
      <c r="Y54" s="215">
        <v>0</v>
      </c>
      <c r="Z54" s="215">
        <v>0</v>
      </c>
      <c r="AA54" s="215">
        <v>0</v>
      </c>
      <c r="AB54" s="215">
        <v>0</v>
      </c>
      <c r="AC54" s="171" t="s">
        <v>157</v>
      </c>
    </row>
    <row r="55" spans="1:29">
      <c r="A55" s="453" t="s">
        <v>158</v>
      </c>
      <c r="B55" s="2" t="s">
        <v>159</v>
      </c>
      <c r="C55" s="2" t="s">
        <v>101</v>
      </c>
      <c r="D55" s="14">
        <v>0.69783566946249309</v>
      </c>
      <c r="E55" s="14">
        <v>0.49639278243748902</v>
      </c>
      <c r="F55" s="14">
        <v>1</v>
      </c>
      <c r="G55" s="14">
        <v>0.7396005467961152</v>
      </c>
      <c r="H55" s="14">
        <v>0.78367721824282532</v>
      </c>
      <c r="I55" s="14">
        <v>0.41194243352488652</v>
      </c>
      <c r="J55" s="14">
        <v>0.77168609395429255</v>
      </c>
      <c r="K55" s="14">
        <v>0.51496513508738317</v>
      </c>
      <c r="L55" s="14">
        <v>0</v>
      </c>
      <c r="M55" s="14">
        <v>0</v>
      </c>
      <c r="N55" s="14">
        <v>0</v>
      </c>
      <c r="O55" s="14">
        <v>6.9709831876051093E-2</v>
      </c>
      <c r="P55" s="14">
        <v>0.51834610081721944</v>
      </c>
      <c r="Q55" s="14">
        <v>0.63284943014099082</v>
      </c>
      <c r="R55" s="14">
        <v>0.40965802874435708</v>
      </c>
      <c r="S55" s="14">
        <v>0.65671780664199597</v>
      </c>
      <c r="T55" s="14">
        <v>0.49715986744215895</v>
      </c>
      <c r="U55" s="14">
        <v>0.45051600939274605</v>
      </c>
      <c r="V55" s="14">
        <v>0.45025122876542795</v>
      </c>
      <c r="W55" s="14">
        <v>0.45025122876542795</v>
      </c>
      <c r="X55" s="14">
        <v>0.45026915989097177</v>
      </c>
      <c r="Y55" s="14">
        <v>0.45051600939274605</v>
      </c>
      <c r="Z55" s="14">
        <v>0.45051600939274605</v>
      </c>
      <c r="AA55" s="14">
        <v>0.49715986744215895</v>
      </c>
      <c r="AB55" s="14">
        <v>0.49715986744215895</v>
      </c>
      <c r="AC55" t="s">
        <v>160</v>
      </c>
    </row>
    <row r="56" spans="1:29" ht="31.15" customHeight="1">
      <c r="A56" s="453"/>
      <c r="B56" s="2" t="s">
        <v>161</v>
      </c>
      <c r="C56" s="2" t="s">
        <v>101</v>
      </c>
      <c r="D56" s="14">
        <v>0</v>
      </c>
      <c r="E56" s="14">
        <v>0</v>
      </c>
      <c r="F56" s="14">
        <v>0</v>
      </c>
      <c r="G56" s="14">
        <v>0.83635452422511702</v>
      </c>
      <c r="H56" s="14">
        <v>0.72158924783298306</v>
      </c>
      <c r="I56" s="14">
        <v>1</v>
      </c>
      <c r="J56" s="14">
        <v>0.226636799536065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0.60386084794369455</v>
      </c>
      <c r="V56" s="14">
        <v>0.84090665000130727</v>
      </c>
      <c r="W56" s="14">
        <v>0.89122678449411985</v>
      </c>
      <c r="X56" s="14">
        <v>0.83428345977110785</v>
      </c>
      <c r="Y56" s="14">
        <v>0.85928198577176795</v>
      </c>
      <c r="Z56" s="14">
        <v>1</v>
      </c>
      <c r="AA56" s="14">
        <v>1</v>
      </c>
      <c r="AB56" s="14">
        <v>0.24736190600244903</v>
      </c>
      <c r="AC56" t="s">
        <v>160</v>
      </c>
    </row>
    <row r="59" spans="1:29">
      <c r="D59" s="2"/>
    </row>
    <row r="60" spans="1:29" ht="16.5" thickBot="1">
      <c r="J60" s="195" t="s">
        <v>162</v>
      </c>
    </row>
    <row r="61" spans="1:29" ht="15.75" thickBot="1">
      <c r="C61" s="454" t="s">
        <v>163</v>
      </c>
      <c r="D61" s="454"/>
      <c r="E61">
        <v>15000000</v>
      </c>
      <c r="F61" t="s">
        <v>164</v>
      </c>
      <c r="I61" s="196" t="s">
        <v>165</v>
      </c>
      <c r="J61" s="197" t="s">
        <v>166</v>
      </c>
      <c r="K61" s="197" t="s">
        <v>167</v>
      </c>
      <c r="L61" s="197" t="s">
        <v>168</v>
      </c>
      <c r="M61" s="198">
        <v>2025</v>
      </c>
      <c r="N61" s="198">
        <v>2030</v>
      </c>
      <c r="O61" s="198">
        <v>2035</v>
      </c>
      <c r="P61" s="198">
        <v>2040</v>
      </c>
      <c r="Q61" s="198">
        <v>2045</v>
      </c>
      <c r="R61" s="198">
        <v>2050</v>
      </c>
    </row>
    <row r="62" spans="1:29" ht="15.75" thickBot="1">
      <c r="C62" s="454"/>
      <c r="D62" s="454"/>
      <c r="E62">
        <f>E61*1055</f>
        <v>15825000000</v>
      </c>
      <c r="F62" t="s">
        <v>169</v>
      </c>
      <c r="I62" s="199" t="s">
        <v>170</v>
      </c>
      <c r="J62" s="200" t="s">
        <v>171</v>
      </c>
      <c r="K62" s="200" t="s">
        <v>172</v>
      </c>
      <c r="L62" s="201" t="s">
        <v>173</v>
      </c>
      <c r="M62" s="202">
        <v>12</v>
      </c>
      <c r="N62" s="202">
        <v>12</v>
      </c>
      <c r="O62" s="202">
        <v>12</v>
      </c>
      <c r="P62" s="202">
        <v>12</v>
      </c>
      <c r="Q62" s="202">
        <v>13</v>
      </c>
      <c r="R62" s="202">
        <v>13</v>
      </c>
    </row>
    <row r="63" spans="1:29" ht="15.75" thickBot="1">
      <c r="E63">
        <f>E62/134.47</f>
        <v>117684241.83832826</v>
      </c>
      <c r="F63" t="s">
        <v>174</v>
      </c>
      <c r="I63" s="199" t="s">
        <v>170</v>
      </c>
      <c r="J63" s="200" t="s">
        <v>175</v>
      </c>
      <c r="K63" s="200" t="s">
        <v>176</v>
      </c>
      <c r="L63" s="201" t="s">
        <v>177</v>
      </c>
      <c r="M63" s="202">
        <v>40</v>
      </c>
      <c r="N63" s="202">
        <v>36</v>
      </c>
      <c r="O63" s="202">
        <v>32</v>
      </c>
      <c r="P63" s="202">
        <v>29</v>
      </c>
      <c r="Q63" s="202">
        <v>26</v>
      </c>
      <c r="R63" s="202">
        <v>23</v>
      </c>
    </row>
    <row r="64" spans="1:29" ht="15.75" thickBot="1">
      <c r="E64">
        <f>E63/1000000</f>
        <v>117.68424183832826</v>
      </c>
      <c r="F64" t="s">
        <v>178</v>
      </c>
      <c r="I64" s="199" t="s">
        <v>170</v>
      </c>
      <c r="J64" s="200" t="s">
        <v>179</v>
      </c>
      <c r="K64" s="200" t="s">
        <v>176</v>
      </c>
      <c r="L64" s="201" t="s">
        <v>177</v>
      </c>
      <c r="M64" s="202">
        <v>2</v>
      </c>
      <c r="N64" s="202">
        <v>2</v>
      </c>
      <c r="O64" s="202">
        <v>2</v>
      </c>
      <c r="P64" s="202">
        <v>3</v>
      </c>
      <c r="Q64" s="202">
        <v>3</v>
      </c>
      <c r="R64" s="202">
        <v>3</v>
      </c>
    </row>
    <row r="65" spans="9:18" ht="15.75" thickBot="1">
      <c r="I65" s="199" t="s">
        <v>170</v>
      </c>
      <c r="J65" s="200" t="s">
        <v>180</v>
      </c>
      <c r="K65" s="200" t="s">
        <v>176</v>
      </c>
      <c r="L65" s="201" t="s">
        <v>181</v>
      </c>
      <c r="M65" s="202">
        <v>9</v>
      </c>
      <c r="N65" s="350">
        <v>15</v>
      </c>
      <c r="O65" s="350">
        <v>15</v>
      </c>
      <c r="P65" s="350">
        <v>15</v>
      </c>
      <c r="Q65" s="350">
        <v>15</v>
      </c>
      <c r="R65" s="350">
        <v>15</v>
      </c>
    </row>
    <row r="66" spans="9:18" ht="15.75" thickBot="1">
      <c r="I66" s="203"/>
      <c r="J66" s="197" t="s">
        <v>182</v>
      </c>
      <c r="K66" s="203"/>
      <c r="L66" s="203"/>
      <c r="M66" s="204">
        <v>63</v>
      </c>
      <c r="N66" s="204">
        <v>65</v>
      </c>
      <c r="O66" s="204">
        <v>62</v>
      </c>
      <c r="P66" s="204">
        <v>59</v>
      </c>
      <c r="Q66" s="204">
        <v>56</v>
      </c>
      <c r="R66" s="204">
        <v>54</v>
      </c>
    </row>
    <row r="69" spans="9:18">
      <c r="I69" s="386"/>
    </row>
    <row r="70" spans="9:18">
      <c r="I70" s="387"/>
      <c r="J70" s="388"/>
      <c r="K70" s="388"/>
      <c r="L70" s="388"/>
    </row>
    <row r="71" spans="9:18">
      <c r="I71" s="389"/>
      <c r="J71" s="390"/>
      <c r="K71" s="391"/>
      <c r="L71" s="391"/>
    </row>
    <row r="72" spans="9:18">
      <c r="I72" s="389"/>
      <c r="J72" s="390"/>
      <c r="K72" s="391"/>
      <c r="L72" s="391"/>
    </row>
    <row r="73" spans="9:18">
      <c r="I73" s="389"/>
      <c r="J73" s="390"/>
      <c r="K73" s="391"/>
      <c r="L73" s="391"/>
    </row>
    <row r="74" spans="9:18">
      <c r="I74" s="389"/>
      <c r="J74" s="390"/>
      <c r="K74" s="391"/>
      <c r="L74" s="391"/>
    </row>
    <row r="75" spans="9:18">
      <c r="I75" s="387"/>
      <c r="J75" s="392"/>
      <c r="K75" s="392"/>
      <c r="L75" s="392"/>
    </row>
  </sheetData>
  <mergeCells count="2">
    <mergeCell ref="A55:A56"/>
    <mergeCell ref="C61:D6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F0"/>
  </sheetPr>
  <dimension ref="A1:AF153"/>
  <sheetViews>
    <sheetView zoomScale="73" zoomScaleNormal="73" workbookViewId="0">
      <selection activeCell="F83" sqref="F83"/>
    </sheetView>
  </sheetViews>
  <sheetFormatPr defaultRowHeight="15"/>
  <cols>
    <col min="1" max="1" width="30.42578125" style="56" customWidth="1"/>
    <col min="2" max="2" width="35.5703125" bestFit="1" customWidth="1"/>
    <col min="3" max="3" width="9.7109375" bestFit="1" customWidth="1"/>
    <col min="4" max="4" width="10.28515625" customWidth="1"/>
    <col min="5" max="13" width="10.42578125" bestFit="1" customWidth="1"/>
    <col min="14" max="17" width="9.42578125" bestFit="1" customWidth="1"/>
  </cols>
  <sheetData>
    <row r="1" spans="1:29" ht="15" customHeight="1">
      <c r="A1" s="455" t="s">
        <v>183</v>
      </c>
      <c r="B1" s="174" t="s">
        <v>3</v>
      </c>
      <c r="C1" s="11" t="s">
        <v>1</v>
      </c>
      <c r="D1" s="345">
        <v>2022</v>
      </c>
      <c r="E1" s="345">
        <v>2023</v>
      </c>
      <c r="F1" s="345">
        <v>2024</v>
      </c>
      <c r="G1" s="345">
        <v>2025</v>
      </c>
      <c r="H1" s="345">
        <v>2026</v>
      </c>
      <c r="I1" s="345">
        <v>2027</v>
      </c>
      <c r="J1" s="345">
        <v>2028</v>
      </c>
      <c r="K1" s="345">
        <v>2029</v>
      </c>
      <c r="L1" s="345">
        <v>2030</v>
      </c>
      <c r="M1" s="345">
        <v>2031</v>
      </c>
      <c r="N1" s="345">
        <v>2032</v>
      </c>
      <c r="O1" s="345">
        <v>2033</v>
      </c>
      <c r="P1" s="345">
        <v>2034</v>
      </c>
      <c r="Q1" s="345">
        <v>2035</v>
      </c>
      <c r="R1" s="345">
        <v>2036</v>
      </c>
      <c r="S1" s="345">
        <v>2037</v>
      </c>
      <c r="T1" s="345">
        <v>2038</v>
      </c>
      <c r="U1" s="345">
        <v>2039</v>
      </c>
      <c r="V1" s="345">
        <v>2040</v>
      </c>
      <c r="W1" s="345">
        <v>2041</v>
      </c>
      <c r="X1" s="345">
        <v>2042</v>
      </c>
      <c r="Y1" s="345">
        <v>2043</v>
      </c>
      <c r="Z1" s="345">
        <v>2044</v>
      </c>
      <c r="AA1" s="345">
        <v>2045</v>
      </c>
      <c r="AB1" s="345">
        <v>2046</v>
      </c>
    </row>
    <row r="2" spans="1:29" ht="15" customHeight="1">
      <c r="A2" s="455"/>
      <c r="B2" s="10" t="s">
        <v>102</v>
      </c>
      <c r="C2" s="10" t="s">
        <v>7</v>
      </c>
      <c r="D2" s="362">
        <f>INDEX('BAU Scenario'!$A$2:$AC$33,MATCH('BAU Comparison - All Fuel'!$B2,'BAU Scenario'!$C$2:$C$33,0),MATCH(D$1,'BAU Scenario'!$A$2:$AC$2))</f>
        <v>103.5217700036805</v>
      </c>
      <c r="E2" s="362">
        <f>INDEX('BAU Scenario'!$A$2:$AC$33,MATCH('BAU Comparison - All Fuel'!$B2,'BAU Scenario'!$C$2:$C$33,0),MATCH(E$1,'BAU Scenario'!$A$2:$AC$2))</f>
        <v>144.93047800515271</v>
      </c>
      <c r="F2" s="362">
        <f>INDEX('BAU Scenario'!$A$2:$AC$33,MATCH('BAU Comparison - All Fuel'!$B2,'BAU Scenario'!$C$2:$C$33,0),MATCH(F$1,'BAU Scenario'!$A$2:$AC$2))</f>
        <v>202.90266920721371</v>
      </c>
      <c r="G2" s="362">
        <f>INDEX('BAU Scenario'!$A$2:$AC$33,MATCH('BAU Comparison - All Fuel'!$B2,'BAU Scenario'!$C$2:$C$33,0),MATCH(G$1,'BAU Scenario'!$A$2:$AC$2))</f>
        <v>191.38755980861239</v>
      </c>
      <c r="H2" s="362">
        <f>INDEX('BAU Scenario'!$A$2:$AC$33,MATCH('BAU Comparison - All Fuel'!$B2,'BAU Scenario'!$C$2:$C$33,0),MATCH(H$1,'BAU Scenario'!$A$2:$AC$2))</f>
        <v>191.38755980861239</v>
      </c>
      <c r="I2" s="362">
        <f>INDEX('BAU Scenario'!$A$2:$AC$33,MATCH('BAU Comparison - All Fuel'!$B2,'BAU Scenario'!$C$2:$C$33,0),MATCH(I$1,'BAU Scenario'!$A$2:$AC$2))</f>
        <v>191.38755980861239</v>
      </c>
      <c r="J2" s="362">
        <f>INDEX('BAU Scenario'!$A$2:$AC$33,MATCH('BAU Comparison - All Fuel'!$B2,'BAU Scenario'!$C$2:$C$33,0),MATCH(J$1,'BAU Scenario'!$A$2:$AC$2))</f>
        <v>191.38755980861239</v>
      </c>
      <c r="K2" s="362">
        <f>INDEX('BAU Scenario'!$A$2:$AC$33,MATCH('BAU Comparison - All Fuel'!$B2,'BAU Scenario'!$C$2:$C$33,0),MATCH(K$1,'BAU Scenario'!$A$2:$AC$2))</f>
        <v>191.38755980861251</v>
      </c>
      <c r="L2" s="362">
        <f>INDEX('BAU Scenario'!$A$2:$AC$33,MATCH('BAU Comparison - All Fuel'!$B2,'BAU Scenario'!$C$2:$C$33,0),MATCH(L$1,'BAU Scenario'!$A$2:$AC$2))</f>
        <v>191.38755980861239</v>
      </c>
      <c r="M2" s="362">
        <f>INDEX('BAU Scenario'!$A$2:$AC$33,MATCH('BAU Comparison - All Fuel'!$B2,'BAU Scenario'!$C$2:$C$33,0),MATCH(M$1,'BAU Scenario'!$A$2:$AC$2))</f>
        <v>191.38755980861251</v>
      </c>
      <c r="N2" s="362">
        <f>INDEX('BAU Scenario'!$A$2:$AC$33,MATCH('BAU Comparison - All Fuel'!$B2,'BAU Scenario'!$C$2:$C$33,0),MATCH(N$1,'BAU Scenario'!$A$2:$AC$2))</f>
        <v>191.38755980861251</v>
      </c>
      <c r="O2" s="362">
        <f>INDEX('BAU Scenario'!$A$2:$AC$33,MATCH('BAU Comparison - All Fuel'!$B2,'BAU Scenario'!$C$2:$C$33,0),MATCH(O$1,'BAU Scenario'!$A$2:$AC$2))</f>
        <v>191.38755980861251</v>
      </c>
      <c r="P2" s="362">
        <f>INDEX('BAU Scenario'!$A$2:$AC$33,MATCH('BAU Comparison - All Fuel'!$B2,'BAU Scenario'!$C$2:$C$33,0),MATCH(P$1,'BAU Scenario'!$A$2:$AC$2))</f>
        <v>191.38755980861251</v>
      </c>
      <c r="Q2" s="362">
        <f>INDEX('BAU Scenario'!$A$2:$AC$33,MATCH('BAU Comparison - All Fuel'!$B2,'BAU Scenario'!$C$2:$C$33,0),MATCH(Q$1,'BAU Scenario'!$A$2:$AC$2))</f>
        <v>191.38755980861251</v>
      </c>
      <c r="R2" s="362">
        <f>INDEX('BAU Scenario'!$A$2:$AC$33,MATCH('BAU Comparison - All Fuel'!$B2,'BAU Scenario'!$C$2:$C$33,0),MATCH(R$1,'BAU Scenario'!$A$2:$AC$2))</f>
        <v>191.38755980861251</v>
      </c>
      <c r="S2" s="362">
        <f>INDEX('BAU Scenario'!$A$2:$AC$33,MATCH('BAU Comparison - All Fuel'!$B2,'BAU Scenario'!$C$2:$C$33,0),MATCH(S$1,'BAU Scenario'!$A$2:$AC$2))</f>
        <v>191.38755980861251</v>
      </c>
      <c r="T2" s="362">
        <f>INDEX('BAU Scenario'!$A$2:$AC$33,MATCH('BAU Comparison - All Fuel'!$B2,'BAU Scenario'!$C$2:$C$33,0),MATCH(T$1,'BAU Scenario'!$A$2:$AC$2))</f>
        <v>191.38755980861251</v>
      </c>
      <c r="U2" s="362">
        <f>INDEX('BAU Scenario'!$A$2:$AC$33,MATCH('BAU Comparison - All Fuel'!$B2,'BAU Scenario'!$C$2:$C$33,0),MATCH(U$1,'BAU Scenario'!$A$2:$AC$2))</f>
        <v>191.38755980861251</v>
      </c>
      <c r="V2" s="362">
        <f>INDEX('BAU Scenario'!$A$2:$AC$33,MATCH('BAU Comparison - All Fuel'!$B2,'BAU Scenario'!$C$2:$C$33,0),MATCH(V$1,'BAU Scenario'!$A$2:$AC$2))</f>
        <v>191.38755980861251</v>
      </c>
      <c r="W2" s="362">
        <f>INDEX('BAU Scenario'!$A$2:$AC$33,MATCH('BAU Comparison - All Fuel'!$B2,'BAU Scenario'!$C$2:$C$33,0),MATCH(W$1,'BAU Scenario'!$A$2:$AC$2))</f>
        <v>191.38755980861251</v>
      </c>
      <c r="X2" s="362">
        <f>INDEX('BAU Scenario'!$A$2:$AC$33,MATCH('BAU Comparison - All Fuel'!$B2,'BAU Scenario'!$C$2:$C$33,0),MATCH(X$1,'BAU Scenario'!$A$2:$AC$2))</f>
        <v>191.38755980861251</v>
      </c>
      <c r="Y2" s="362">
        <f>INDEX('BAU Scenario'!$A$2:$AC$33,MATCH('BAU Comparison - All Fuel'!$B2,'BAU Scenario'!$C$2:$C$33,0),MATCH(Y$1,'BAU Scenario'!$A$2:$AC$2))</f>
        <v>191.38755980861251</v>
      </c>
      <c r="Z2" s="362">
        <f>INDEX('BAU Scenario'!$A$2:$AC$33,MATCH('BAU Comparison - All Fuel'!$B2,'BAU Scenario'!$C$2:$C$33,0),MATCH(Z$1,'BAU Scenario'!$A$2:$AC$2))</f>
        <v>191.38755980861251</v>
      </c>
      <c r="AA2" s="362">
        <f>INDEX('BAU Scenario'!$A$2:$AC$33,MATCH('BAU Comparison - All Fuel'!$B2,'BAU Scenario'!$C$2:$C$33,0),MATCH(AA$1,'BAU Scenario'!$A$2:$AC$2))</f>
        <v>191.38755980861251</v>
      </c>
      <c r="AB2" s="362">
        <f>INDEX('BAU Scenario'!$A$2:$AC$33,MATCH('BAU Comparison - All Fuel'!$B2,'BAU Scenario'!$C$2:$C$33,0),MATCH(AB$1,'BAU Scenario'!$A$2:$AC$2))</f>
        <v>191.38755980861251</v>
      </c>
      <c r="AC2" s="2"/>
    </row>
    <row r="3" spans="1:29" ht="15" customHeight="1">
      <c r="A3" s="455"/>
      <c r="B3" s="10" t="s">
        <v>19</v>
      </c>
      <c r="C3" s="10" t="s">
        <v>7</v>
      </c>
      <c r="D3" s="362">
        <f>INDEX('BAU Scenario'!$A$2:$AC$33,MATCH('BAU Comparison - All Fuel'!$B3,'BAU Scenario'!$C$2:$C$33,0),MATCH(D$1,'BAU Scenario'!$A$2:$AC$2))</f>
        <v>1384.277987288961</v>
      </c>
      <c r="E3" s="362">
        <f>INDEX('BAU Scenario'!$A$2:$AC$33,MATCH('BAU Comparison - All Fuel'!$B3,'BAU Scenario'!$C$2:$C$33,0),MATCH(E$1,'BAU Scenario'!$A$2:$AC$2))</f>
        <v>1352.3732794342779</v>
      </c>
      <c r="F3" s="362">
        <f>INDEX('BAU Scenario'!$A$2:$AC$33,MATCH('BAU Comparison - All Fuel'!$B3,'BAU Scenario'!$C$2:$C$33,0),MATCH(F$1,'BAU Scenario'!$A$2:$AC$2))</f>
        <v>1304.993133935762</v>
      </c>
      <c r="G3" s="362">
        <f>INDEX('BAU Scenario'!$A$2:$AC$33,MATCH('BAU Comparison - All Fuel'!$B3,'BAU Scenario'!$C$2:$C$33,0),MATCH(G$1,'BAU Scenario'!$A$2:$AC$2))</f>
        <v>1266.4168351904989</v>
      </c>
      <c r="H3" s="362">
        <f>INDEX('BAU Scenario'!$A$2:$AC$33,MATCH('BAU Comparison - All Fuel'!$B3,'BAU Scenario'!$C$2:$C$33,0),MATCH(H$1,'BAU Scenario'!$A$2:$AC$2))</f>
        <v>1226.4886083575709</v>
      </c>
      <c r="I3" s="362">
        <f>INDEX('BAU Scenario'!$A$2:$AC$33,MATCH('BAU Comparison - All Fuel'!$B3,'BAU Scenario'!$C$2:$C$33,0),MATCH(I$1,'BAU Scenario'!$A$2:$AC$2))</f>
        <v>1179.090989088475</v>
      </c>
      <c r="J3" s="362">
        <f>INDEX('BAU Scenario'!$A$2:$AC$33,MATCH('BAU Comparison - All Fuel'!$B3,'BAU Scenario'!$C$2:$C$33,0),MATCH(J$1,'BAU Scenario'!$A$2:$AC$2))</f>
        <v>1129.562556499433</v>
      </c>
      <c r="K3" s="362">
        <f>INDEX('BAU Scenario'!$A$2:$AC$33,MATCH('BAU Comparison - All Fuel'!$B3,'BAU Scenario'!$C$2:$C$33,0),MATCH(K$1,'BAU Scenario'!$A$2:$AC$2))</f>
        <v>1077.99282538753</v>
      </c>
      <c r="L3" s="362">
        <f>INDEX('BAU Scenario'!$A$2:$AC$33,MATCH('BAU Comparison - All Fuel'!$B3,'BAU Scenario'!$C$2:$C$33,0),MATCH(L$1,'BAU Scenario'!$A$2:$AC$2))</f>
        <v>1024.043241531768</v>
      </c>
      <c r="M3" s="362">
        <f>INDEX('BAU Scenario'!$A$2:$AC$33,MATCH('BAU Comparison - All Fuel'!$B3,'BAU Scenario'!$C$2:$C$33,0),MATCH(M$1,'BAU Scenario'!$A$2:$AC$2))</f>
        <v>967.60183898860987</v>
      </c>
      <c r="N3" s="362">
        <f>INDEX('BAU Scenario'!$A$2:$AC$33,MATCH('BAU Comparison - All Fuel'!$B3,'BAU Scenario'!$C$2:$C$33,0),MATCH(N$1,'BAU Scenario'!$A$2:$AC$2))</f>
        <v>908.71318510639674</v>
      </c>
      <c r="O3" s="362">
        <f>INDEX('BAU Scenario'!$A$2:$AC$33,MATCH('BAU Comparison - All Fuel'!$B3,'BAU Scenario'!$C$2:$C$33,0),MATCH(O$1,'BAU Scenario'!$A$2:$AC$2))</f>
        <v>846.5423390255329</v>
      </c>
      <c r="P3" s="362">
        <f>INDEX('BAU Scenario'!$A$2:$AC$33,MATCH('BAU Comparison - All Fuel'!$B3,'BAU Scenario'!$C$2:$C$33,0),MATCH(P$1,'BAU Scenario'!$A$2:$AC$2))</f>
        <v>782.61726344205101</v>
      </c>
      <c r="Q3" s="362">
        <f>INDEX('BAU Scenario'!$A$2:$AC$33,MATCH('BAU Comparison - All Fuel'!$B3,'BAU Scenario'!$C$2:$C$33,0),MATCH(Q$1,'BAU Scenario'!$A$2:$AC$2))</f>
        <v>717.69639399902826</v>
      </c>
      <c r="R3" s="362">
        <f>INDEX('BAU Scenario'!$A$2:$AC$33,MATCH('BAU Comparison - All Fuel'!$B3,'BAU Scenario'!$C$2:$C$33,0),MATCH(R$1,'BAU Scenario'!$A$2:$AC$2))</f>
        <v>654.67258888205129</v>
      </c>
      <c r="S3" s="362">
        <f>INDEX('BAU Scenario'!$A$2:$AC$33,MATCH('BAU Comparison - All Fuel'!$B3,'BAU Scenario'!$C$2:$C$33,0),MATCH(S$1,'BAU Scenario'!$A$2:$AC$2))</f>
        <v>594.00991406812409</v>
      </c>
      <c r="T3" s="362">
        <f>INDEX('BAU Scenario'!$A$2:$AC$33,MATCH('BAU Comparison - All Fuel'!$B3,'BAU Scenario'!$C$2:$C$33,0),MATCH(T$1,'BAU Scenario'!$A$2:$AC$2))</f>
        <v>536.27170872226714</v>
      </c>
      <c r="U3" s="362">
        <f>INDEX('BAU Scenario'!$A$2:$AC$33,MATCH('BAU Comparison - All Fuel'!$B3,'BAU Scenario'!$C$2:$C$33,0),MATCH(U$1,'BAU Scenario'!$A$2:$AC$2))</f>
        <v>481.80934274936578</v>
      </c>
      <c r="V3" s="362">
        <f>INDEX('BAU Scenario'!$A$2:$AC$33,MATCH('BAU Comparison - All Fuel'!$B3,'BAU Scenario'!$C$2:$C$33,0),MATCH(V$1,'BAU Scenario'!$A$2:$AC$2))</f>
        <v>430.5064041777058</v>
      </c>
      <c r="W3" s="362">
        <f>INDEX('BAU Scenario'!$A$2:$AC$33,MATCH('BAU Comparison - All Fuel'!$B3,'BAU Scenario'!$C$2:$C$33,0),MATCH(W$1,'BAU Scenario'!$A$2:$AC$2))</f>
        <v>382.47201147681511</v>
      </c>
      <c r="X3" s="362">
        <f>INDEX('BAU Scenario'!$A$2:$AC$33,MATCH('BAU Comparison - All Fuel'!$B3,'BAU Scenario'!$C$2:$C$33,0),MATCH(X$1,'BAU Scenario'!$A$2:$AC$2))</f>
        <v>337.84825494456129</v>
      </c>
      <c r="Y3" s="362">
        <f>INDEX('BAU Scenario'!$A$2:$AC$33,MATCH('BAU Comparison - All Fuel'!$B3,'BAU Scenario'!$C$2:$C$33,0),MATCH(Y$1,'BAU Scenario'!$A$2:$AC$2))</f>
        <v>296.73966168960862</v>
      </c>
      <c r="Z3" s="362">
        <f>INDEX('BAU Scenario'!$A$2:$AC$33,MATCH('BAU Comparison - All Fuel'!$B3,'BAU Scenario'!$C$2:$C$33,0),MATCH(Z$1,'BAU Scenario'!$A$2:$AC$2))</f>
        <v>258.91700877732791</v>
      </c>
      <c r="AA3" s="362">
        <f>INDEX('BAU Scenario'!$A$2:$AC$33,MATCH('BAU Comparison - All Fuel'!$B3,'BAU Scenario'!$C$2:$C$33,0),MATCH(AA$1,'BAU Scenario'!$A$2:$AC$2))</f>
        <v>224.44128171703099</v>
      </c>
      <c r="AB3" s="362">
        <f>INDEX('BAU Scenario'!$A$2:$AC$33,MATCH('BAU Comparison - All Fuel'!$B3,'BAU Scenario'!$C$2:$C$33,0),MATCH(AB$1,'BAU Scenario'!$A$2:$AC$2))</f>
        <v>195.76913761252359</v>
      </c>
    </row>
    <row r="4" spans="1:29" ht="15" customHeight="1">
      <c r="A4" s="455"/>
      <c r="B4" s="10" t="s">
        <v>104</v>
      </c>
      <c r="C4" s="10" t="s">
        <v>7</v>
      </c>
      <c r="D4" s="362">
        <f>INDEX('BAU Scenario'!$A$2:$AC$33,MATCH('BAU Comparison - All Fuel'!$B4,'BAU Scenario'!$C$2:$C$33,0),MATCH(D$1,'BAU Scenario'!$A$2:$AC$2))</f>
        <v>0</v>
      </c>
      <c r="E4" s="362">
        <f>INDEX('BAU Scenario'!$A$2:$AC$33,MATCH('BAU Comparison - All Fuel'!$B4,'BAU Scenario'!$C$2:$C$33,0),MATCH(E$1,'BAU Scenario'!$A$2:$AC$2))</f>
        <v>0</v>
      </c>
      <c r="F4" s="362">
        <f>INDEX('BAU Scenario'!$A$2:$AC$33,MATCH('BAU Comparison - All Fuel'!$B4,'BAU Scenario'!$C$2:$C$33,0),MATCH(F$1,'BAU Scenario'!$A$2:$AC$2))</f>
        <v>0</v>
      </c>
      <c r="G4" s="362">
        <f>INDEX('BAU Scenario'!$A$2:$AC$33,MATCH('BAU Comparison - All Fuel'!$B4,'BAU Scenario'!$C$2:$C$33,0),MATCH(G$1,'BAU Scenario'!$A$2:$AC$2))</f>
        <v>0</v>
      </c>
      <c r="H4" s="362">
        <f>INDEX('BAU Scenario'!$A$2:$AC$33,MATCH('BAU Comparison - All Fuel'!$B4,'BAU Scenario'!$C$2:$C$33,0),MATCH(H$1,'BAU Scenario'!$A$2:$AC$2))</f>
        <v>0</v>
      </c>
      <c r="I4" s="362">
        <f>INDEX('BAU Scenario'!$A$2:$AC$33,MATCH('BAU Comparison - All Fuel'!$B4,'BAU Scenario'!$C$2:$C$33,0),MATCH(I$1,'BAU Scenario'!$A$2:$AC$2))</f>
        <v>0</v>
      </c>
      <c r="J4" s="362">
        <f>INDEX('BAU Scenario'!$A$2:$AC$33,MATCH('BAU Comparison - All Fuel'!$B4,'BAU Scenario'!$C$2:$C$33,0),MATCH(J$1,'BAU Scenario'!$A$2:$AC$2))</f>
        <v>0</v>
      </c>
      <c r="K4" s="362">
        <f>INDEX('BAU Scenario'!$A$2:$AC$33,MATCH('BAU Comparison - All Fuel'!$B4,'BAU Scenario'!$C$2:$C$33,0),MATCH(K$1,'BAU Scenario'!$A$2:$AC$2))</f>
        <v>0</v>
      </c>
      <c r="L4" s="362">
        <f>INDEX('BAU Scenario'!$A$2:$AC$33,MATCH('BAU Comparison - All Fuel'!$B4,'BAU Scenario'!$C$2:$C$33,0),MATCH(L$1,'BAU Scenario'!$A$2:$AC$2))</f>
        <v>0</v>
      </c>
      <c r="M4" s="362">
        <f>INDEX('BAU Scenario'!$A$2:$AC$33,MATCH('BAU Comparison - All Fuel'!$B4,'BAU Scenario'!$C$2:$C$33,0),MATCH(M$1,'BAU Scenario'!$A$2:$AC$2))</f>
        <v>0</v>
      </c>
      <c r="N4" s="362">
        <f>INDEX('BAU Scenario'!$A$2:$AC$33,MATCH('BAU Comparison - All Fuel'!$B4,'BAU Scenario'!$C$2:$C$33,0),MATCH(N$1,'BAU Scenario'!$A$2:$AC$2))</f>
        <v>0</v>
      </c>
      <c r="O4" s="362">
        <f>INDEX('BAU Scenario'!$A$2:$AC$33,MATCH('BAU Comparison - All Fuel'!$B4,'BAU Scenario'!$C$2:$C$33,0),MATCH(O$1,'BAU Scenario'!$A$2:$AC$2))</f>
        <v>0</v>
      </c>
      <c r="P4" s="362">
        <f>INDEX('BAU Scenario'!$A$2:$AC$33,MATCH('BAU Comparison - All Fuel'!$B4,'BAU Scenario'!$C$2:$C$33,0),MATCH(P$1,'BAU Scenario'!$A$2:$AC$2))</f>
        <v>0</v>
      </c>
      <c r="Q4" s="362">
        <f>INDEX('BAU Scenario'!$A$2:$AC$33,MATCH('BAU Comparison - All Fuel'!$B4,'BAU Scenario'!$C$2:$C$33,0),MATCH(Q$1,'BAU Scenario'!$A$2:$AC$2))</f>
        <v>0</v>
      </c>
      <c r="R4" s="362">
        <f>INDEX('BAU Scenario'!$A$2:$AC$33,MATCH('BAU Comparison - All Fuel'!$B4,'BAU Scenario'!$C$2:$C$33,0),MATCH(R$1,'BAU Scenario'!$A$2:$AC$2))</f>
        <v>0</v>
      </c>
      <c r="S4" s="362">
        <f>INDEX('BAU Scenario'!$A$2:$AC$33,MATCH('BAU Comparison - All Fuel'!$B4,'BAU Scenario'!$C$2:$C$33,0),MATCH(S$1,'BAU Scenario'!$A$2:$AC$2))</f>
        <v>0</v>
      </c>
      <c r="T4" s="362">
        <f>INDEX('BAU Scenario'!$A$2:$AC$33,MATCH('BAU Comparison - All Fuel'!$B4,'BAU Scenario'!$C$2:$C$33,0),MATCH(T$1,'BAU Scenario'!$A$2:$AC$2))</f>
        <v>0</v>
      </c>
      <c r="U4" s="362">
        <f>INDEX('BAU Scenario'!$A$2:$AC$33,MATCH('BAU Comparison - All Fuel'!$B4,'BAU Scenario'!$C$2:$C$33,0),MATCH(U$1,'BAU Scenario'!$A$2:$AC$2))</f>
        <v>0</v>
      </c>
      <c r="V4" s="362">
        <f>INDEX('BAU Scenario'!$A$2:$AC$33,MATCH('BAU Comparison - All Fuel'!$B4,'BAU Scenario'!$C$2:$C$33,0),MATCH(V$1,'BAU Scenario'!$A$2:$AC$2))</f>
        <v>0</v>
      </c>
      <c r="W4" s="362">
        <f>INDEX('BAU Scenario'!$A$2:$AC$33,MATCH('BAU Comparison - All Fuel'!$B4,'BAU Scenario'!$C$2:$C$33,0),MATCH(W$1,'BAU Scenario'!$A$2:$AC$2))</f>
        <v>0</v>
      </c>
      <c r="X4" s="362">
        <f>INDEX('BAU Scenario'!$A$2:$AC$33,MATCH('BAU Comparison - All Fuel'!$B4,'BAU Scenario'!$C$2:$C$33,0),MATCH(X$1,'BAU Scenario'!$A$2:$AC$2))</f>
        <v>0</v>
      </c>
      <c r="Y4" s="362">
        <f>INDEX('BAU Scenario'!$A$2:$AC$33,MATCH('BAU Comparison - All Fuel'!$B4,'BAU Scenario'!$C$2:$C$33,0),MATCH(Y$1,'BAU Scenario'!$A$2:$AC$2))</f>
        <v>0</v>
      </c>
      <c r="Z4" s="362">
        <f>INDEX('BAU Scenario'!$A$2:$AC$33,MATCH('BAU Comparison - All Fuel'!$B4,'BAU Scenario'!$C$2:$C$33,0),MATCH(Z$1,'BAU Scenario'!$A$2:$AC$2))</f>
        <v>0</v>
      </c>
      <c r="AA4" s="362">
        <f>INDEX('BAU Scenario'!$A$2:$AC$33,MATCH('BAU Comparison - All Fuel'!$B4,'BAU Scenario'!$C$2:$C$33,0),MATCH(AA$1,'BAU Scenario'!$A$2:$AC$2))</f>
        <v>0</v>
      </c>
      <c r="AB4" s="362">
        <f>INDEX('BAU Scenario'!$A$2:$AC$33,MATCH('BAU Comparison - All Fuel'!$B4,'BAU Scenario'!$C$2:$C$33,0),MATCH(AB$1,'BAU Scenario'!$A$2:$AC$2))</f>
        <v>0</v>
      </c>
    </row>
    <row r="5" spans="1:29" ht="15" customHeight="1">
      <c r="A5" s="455"/>
      <c r="B5" s="10" t="s">
        <v>29</v>
      </c>
      <c r="C5" s="10" t="s">
        <v>22</v>
      </c>
      <c r="D5" s="362">
        <f>INDEX('BAU Scenario'!$A$2:$AC$33,MATCH('BAU Comparison - All Fuel'!$B5,'BAU Scenario'!$C$2:$C$33,0),MATCH(D$1,'BAU Scenario'!$A$2:$AC$2))</f>
        <v>0</v>
      </c>
      <c r="E5" s="362">
        <f>INDEX('BAU Scenario'!$A$2:$AC$33,MATCH('BAU Comparison - All Fuel'!$B5,'BAU Scenario'!$C$2:$C$33,0),MATCH(E$1,'BAU Scenario'!$A$2:$AC$2))</f>
        <v>0</v>
      </c>
      <c r="F5" s="362">
        <f>INDEX('BAU Scenario'!$A$2:$AC$33,MATCH('BAU Comparison - All Fuel'!$B5,'BAU Scenario'!$C$2:$C$33,0),MATCH(F$1,'BAU Scenario'!$A$2:$AC$2))</f>
        <v>0</v>
      </c>
      <c r="G5" s="362">
        <f>INDEX('BAU Scenario'!$A$2:$AC$33,MATCH('BAU Comparison - All Fuel'!$B5,'BAU Scenario'!$C$2:$C$33,0),MATCH(G$1,'BAU Scenario'!$A$2:$AC$2))</f>
        <v>0</v>
      </c>
      <c r="H5" s="362">
        <f>INDEX('BAU Scenario'!$A$2:$AC$33,MATCH('BAU Comparison - All Fuel'!$B5,'BAU Scenario'!$C$2:$C$33,0),MATCH(H$1,'BAU Scenario'!$A$2:$AC$2))</f>
        <v>0</v>
      </c>
      <c r="I5" s="362">
        <f>INDEX('BAU Scenario'!$A$2:$AC$33,MATCH('BAU Comparison - All Fuel'!$B5,'BAU Scenario'!$C$2:$C$33,0),MATCH(I$1,'BAU Scenario'!$A$2:$AC$2))</f>
        <v>0</v>
      </c>
      <c r="J5" s="362">
        <f>INDEX('BAU Scenario'!$A$2:$AC$33,MATCH('BAU Comparison - All Fuel'!$B5,'BAU Scenario'!$C$2:$C$33,0),MATCH(J$1,'BAU Scenario'!$A$2:$AC$2))</f>
        <v>0</v>
      </c>
      <c r="K5" s="362">
        <f>INDEX('BAU Scenario'!$A$2:$AC$33,MATCH('BAU Comparison - All Fuel'!$B5,'BAU Scenario'!$C$2:$C$33,0),MATCH(K$1,'BAU Scenario'!$A$2:$AC$2))</f>
        <v>0</v>
      </c>
      <c r="L5" s="362">
        <f>INDEX('BAU Scenario'!$A$2:$AC$33,MATCH('BAU Comparison - All Fuel'!$B5,'BAU Scenario'!$C$2:$C$33,0),MATCH(L$1,'BAU Scenario'!$A$2:$AC$2))</f>
        <v>0</v>
      </c>
      <c r="M5" s="362">
        <f>INDEX('BAU Scenario'!$A$2:$AC$33,MATCH('BAU Comparison - All Fuel'!$B5,'BAU Scenario'!$C$2:$C$33,0),MATCH(M$1,'BAU Scenario'!$A$2:$AC$2))</f>
        <v>0</v>
      </c>
      <c r="N5" s="362">
        <f>INDEX('BAU Scenario'!$A$2:$AC$33,MATCH('BAU Comparison - All Fuel'!$B5,'BAU Scenario'!$C$2:$C$33,0),MATCH(N$1,'BAU Scenario'!$A$2:$AC$2))</f>
        <v>0</v>
      </c>
      <c r="O5" s="362">
        <f>INDEX('BAU Scenario'!$A$2:$AC$33,MATCH('BAU Comparison - All Fuel'!$B5,'BAU Scenario'!$C$2:$C$33,0),MATCH(O$1,'BAU Scenario'!$A$2:$AC$2))</f>
        <v>0</v>
      </c>
      <c r="P5" s="362">
        <f>INDEX('BAU Scenario'!$A$2:$AC$33,MATCH('BAU Comparison - All Fuel'!$B5,'BAU Scenario'!$C$2:$C$33,0),MATCH(P$1,'BAU Scenario'!$A$2:$AC$2))</f>
        <v>0</v>
      </c>
      <c r="Q5" s="362">
        <f>INDEX('BAU Scenario'!$A$2:$AC$33,MATCH('BAU Comparison - All Fuel'!$B5,'BAU Scenario'!$C$2:$C$33,0),MATCH(Q$1,'BAU Scenario'!$A$2:$AC$2))</f>
        <v>0</v>
      </c>
      <c r="R5" s="362">
        <f>INDEX('BAU Scenario'!$A$2:$AC$33,MATCH('BAU Comparison - All Fuel'!$B5,'BAU Scenario'!$C$2:$C$33,0),MATCH(R$1,'BAU Scenario'!$A$2:$AC$2))</f>
        <v>10.336950848166589</v>
      </c>
      <c r="S5" s="362">
        <f>INDEX('BAU Scenario'!$A$2:$AC$33,MATCH('BAU Comparison - All Fuel'!$B5,'BAU Scenario'!$C$2:$C$33,0),MATCH(S$1,'BAU Scenario'!$A$2:$AC$2))</f>
        <v>36.772132816833263</v>
      </c>
      <c r="T5" s="362">
        <f>INDEX('BAU Scenario'!$A$2:$AC$33,MATCH('BAU Comparison - All Fuel'!$B5,'BAU Scenario'!$C$2:$C$33,0),MATCH(T$1,'BAU Scenario'!$A$2:$AC$2))</f>
        <v>63.80610649416662</v>
      </c>
      <c r="U5" s="362">
        <f>INDEX('BAU Scenario'!$A$2:$AC$33,MATCH('BAU Comparison - All Fuel'!$B5,'BAU Scenario'!$C$2:$C$33,0),MATCH(U$1,'BAU Scenario'!$A$2:$AC$2))</f>
        <v>83.385007674999997</v>
      </c>
      <c r="V5" s="362">
        <f>INDEX('BAU Scenario'!$A$2:$AC$33,MATCH('BAU Comparison - All Fuel'!$B5,'BAU Scenario'!$C$2:$C$33,0),MATCH(V$1,'BAU Scenario'!$A$2:$AC$2))</f>
        <v>89.979236608333338</v>
      </c>
      <c r="W5" s="362">
        <f>INDEX('BAU Scenario'!$A$2:$AC$33,MATCH('BAU Comparison - All Fuel'!$B5,'BAU Scenario'!$C$2:$C$33,0),MATCH(W$1,'BAU Scenario'!$A$2:$AC$2))</f>
        <v>96.330386916666654</v>
      </c>
      <c r="X5" s="362">
        <f>INDEX('BAU Scenario'!$A$2:$AC$33,MATCH('BAU Comparison - All Fuel'!$B5,'BAU Scenario'!$C$2:$C$33,0),MATCH(X$1,'BAU Scenario'!$A$2:$AC$2))</f>
        <v>102.3610350666667</v>
      </c>
      <c r="Y5" s="362">
        <f>INDEX('BAU Scenario'!$A$2:$AC$33,MATCH('BAU Comparison - All Fuel'!$B5,'BAU Scenario'!$C$2:$C$33,0),MATCH(Y$1,'BAU Scenario'!$A$2:$AC$2))</f>
        <v>108.04777675</v>
      </c>
      <c r="Z5" s="362">
        <f>INDEX('BAU Scenario'!$A$2:$AC$33,MATCH('BAU Comparison - All Fuel'!$B5,'BAU Scenario'!$C$2:$C$33,0),MATCH(Z$1,'BAU Scenario'!$A$2:$AC$2))</f>
        <v>113.350635025</v>
      </c>
      <c r="AA5" s="362">
        <f>INDEX('BAU Scenario'!$A$2:$AC$33,MATCH('BAU Comparison - All Fuel'!$B5,'BAU Scenario'!$C$2:$C$33,0),MATCH(AA$1,'BAU Scenario'!$A$2:$AC$2))</f>
        <v>118.22997807500001</v>
      </c>
      <c r="AB5" s="362">
        <f>INDEX('BAU Scenario'!$A$2:$AC$33,MATCH('BAU Comparison - All Fuel'!$B5,'BAU Scenario'!$C$2:$C$33,0),MATCH(AB$1,'BAU Scenario'!$A$2:$AC$2))</f>
        <v>123.36066523333329</v>
      </c>
    </row>
    <row r="6" spans="1:29" ht="15" customHeight="1">
      <c r="A6" s="455"/>
      <c r="B6" s="10" t="s">
        <v>27</v>
      </c>
      <c r="C6" s="10" t="s">
        <v>22</v>
      </c>
      <c r="D6" s="362">
        <f>INDEX('BAU Scenario'!$A$2:$AC$33,MATCH('BAU Comparison - All Fuel'!$B6,'BAU Scenario'!$C$2:$C$33,0),MATCH(D$1,'BAU Scenario'!$A$2:$AC$2))</f>
        <v>0</v>
      </c>
      <c r="E6" s="362">
        <f>INDEX('BAU Scenario'!$A$2:$AC$33,MATCH('BAU Comparison - All Fuel'!$B6,'BAU Scenario'!$C$2:$C$33,0),MATCH(E$1,'BAU Scenario'!$A$2:$AC$2))</f>
        <v>0</v>
      </c>
      <c r="F6" s="362">
        <f>INDEX('BAU Scenario'!$A$2:$AC$33,MATCH('BAU Comparison - All Fuel'!$B6,'BAU Scenario'!$C$2:$C$33,0),MATCH(F$1,'BAU Scenario'!$A$2:$AC$2))</f>
        <v>0</v>
      </c>
      <c r="G6" s="362">
        <f>INDEX('BAU Scenario'!$A$2:$AC$33,MATCH('BAU Comparison - All Fuel'!$B6,'BAU Scenario'!$C$2:$C$33,0),MATCH(G$1,'BAU Scenario'!$A$2:$AC$2))</f>
        <v>0</v>
      </c>
      <c r="H6" s="362">
        <f>INDEX('BAU Scenario'!$A$2:$AC$33,MATCH('BAU Comparison - All Fuel'!$B6,'BAU Scenario'!$C$2:$C$33,0),MATCH(H$1,'BAU Scenario'!$A$2:$AC$2))</f>
        <v>0</v>
      </c>
      <c r="I6" s="362">
        <f>INDEX('BAU Scenario'!$A$2:$AC$33,MATCH('BAU Comparison - All Fuel'!$B6,'BAU Scenario'!$C$2:$C$33,0),MATCH(I$1,'BAU Scenario'!$A$2:$AC$2))</f>
        <v>0</v>
      </c>
      <c r="J6" s="362">
        <f>INDEX('BAU Scenario'!$A$2:$AC$33,MATCH('BAU Comparison - All Fuel'!$B6,'BAU Scenario'!$C$2:$C$33,0),MATCH(J$1,'BAU Scenario'!$A$2:$AC$2))</f>
        <v>0</v>
      </c>
      <c r="K6" s="362">
        <f>INDEX('BAU Scenario'!$A$2:$AC$33,MATCH('BAU Comparison - All Fuel'!$B6,'BAU Scenario'!$C$2:$C$33,0),MATCH(K$1,'BAU Scenario'!$A$2:$AC$2))</f>
        <v>0</v>
      </c>
      <c r="L6" s="362">
        <f>INDEX('BAU Scenario'!$A$2:$AC$33,MATCH('BAU Comparison - All Fuel'!$B6,'BAU Scenario'!$C$2:$C$33,0),MATCH(L$1,'BAU Scenario'!$A$2:$AC$2))</f>
        <v>0</v>
      </c>
      <c r="M6" s="362">
        <f>INDEX('BAU Scenario'!$A$2:$AC$33,MATCH('BAU Comparison - All Fuel'!$B6,'BAU Scenario'!$C$2:$C$33,0),MATCH(M$1,'BAU Scenario'!$A$2:$AC$2))</f>
        <v>0</v>
      </c>
      <c r="N6" s="362">
        <f>INDEX('BAU Scenario'!$A$2:$AC$33,MATCH('BAU Comparison - All Fuel'!$B6,'BAU Scenario'!$C$2:$C$33,0),MATCH(N$1,'BAU Scenario'!$A$2:$AC$2))</f>
        <v>0</v>
      </c>
      <c r="O6" s="362">
        <f>INDEX('BAU Scenario'!$A$2:$AC$33,MATCH('BAU Comparison - All Fuel'!$B6,'BAU Scenario'!$C$2:$C$33,0),MATCH(O$1,'BAU Scenario'!$A$2:$AC$2))</f>
        <v>0</v>
      </c>
      <c r="P6" s="362">
        <f>INDEX('BAU Scenario'!$A$2:$AC$33,MATCH('BAU Comparison - All Fuel'!$B6,'BAU Scenario'!$C$2:$C$33,0),MATCH(P$1,'BAU Scenario'!$A$2:$AC$2))</f>
        <v>0</v>
      </c>
      <c r="Q6" s="362">
        <f>INDEX('BAU Scenario'!$A$2:$AC$33,MATCH('BAU Comparison - All Fuel'!$B6,'BAU Scenario'!$C$2:$C$33,0),MATCH(Q$1,'BAU Scenario'!$A$2:$AC$2))</f>
        <v>0</v>
      </c>
      <c r="R6" s="362">
        <f>INDEX('BAU Scenario'!$A$2:$AC$33,MATCH('BAU Comparison - All Fuel'!$B6,'BAU Scenario'!$C$2:$C$33,0),MATCH(R$1,'BAU Scenario'!$A$2:$AC$2))</f>
        <v>0</v>
      </c>
      <c r="S6" s="362">
        <f>INDEX('BAU Scenario'!$A$2:$AC$33,MATCH('BAU Comparison - All Fuel'!$B6,'BAU Scenario'!$C$2:$C$33,0),MATCH(S$1,'BAU Scenario'!$A$2:$AC$2))</f>
        <v>0</v>
      </c>
      <c r="T6" s="362">
        <f>INDEX('BAU Scenario'!$A$2:$AC$33,MATCH('BAU Comparison - All Fuel'!$B6,'BAU Scenario'!$C$2:$C$33,0),MATCH(T$1,'BAU Scenario'!$A$2:$AC$2))</f>
        <v>0</v>
      </c>
      <c r="U6" s="362">
        <f>INDEX('BAU Scenario'!$A$2:$AC$33,MATCH('BAU Comparison - All Fuel'!$B6,'BAU Scenario'!$C$2:$C$33,0),MATCH(U$1,'BAU Scenario'!$A$2:$AC$2))</f>
        <v>0</v>
      </c>
      <c r="V6" s="362">
        <f>INDEX('BAU Scenario'!$A$2:$AC$33,MATCH('BAU Comparison - All Fuel'!$B6,'BAU Scenario'!$C$2:$C$33,0),MATCH(V$1,'BAU Scenario'!$A$2:$AC$2))</f>
        <v>0</v>
      </c>
      <c r="W6" s="362">
        <f>INDEX('BAU Scenario'!$A$2:$AC$33,MATCH('BAU Comparison - All Fuel'!$B6,'BAU Scenario'!$C$2:$C$33,0),MATCH(W$1,'BAU Scenario'!$A$2:$AC$2))</f>
        <v>0</v>
      </c>
      <c r="X6" s="362">
        <f>INDEX('BAU Scenario'!$A$2:$AC$33,MATCH('BAU Comparison - All Fuel'!$B6,'BAU Scenario'!$C$2:$C$33,0),MATCH(X$1,'BAU Scenario'!$A$2:$AC$2))</f>
        <v>0</v>
      </c>
      <c r="Y6" s="362">
        <f>INDEX('BAU Scenario'!$A$2:$AC$33,MATCH('BAU Comparison - All Fuel'!$B6,'BAU Scenario'!$C$2:$C$33,0),MATCH(Y$1,'BAU Scenario'!$A$2:$AC$2))</f>
        <v>0</v>
      </c>
      <c r="Z6" s="362">
        <f>INDEX('BAU Scenario'!$A$2:$AC$33,MATCH('BAU Comparison - All Fuel'!$B6,'BAU Scenario'!$C$2:$C$33,0),MATCH(Z$1,'BAU Scenario'!$A$2:$AC$2))</f>
        <v>0</v>
      </c>
      <c r="AA6" s="362">
        <f>INDEX('BAU Scenario'!$A$2:$AC$33,MATCH('BAU Comparison - All Fuel'!$B6,'BAU Scenario'!$C$2:$C$33,0),MATCH(AA$1,'BAU Scenario'!$A$2:$AC$2))</f>
        <v>0</v>
      </c>
      <c r="AB6" s="362">
        <f>INDEX('BAU Scenario'!$A$2:$AC$33,MATCH('BAU Comparison - All Fuel'!$B6,'BAU Scenario'!$C$2:$C$33,0),MATCH(AB$1,'BAU Scenario'!$A$2:$AC$2))</f>
        <v>0</v>
      </c>
    </row>
    <row r="7" spans="1:29" ht="15" customHeight="1">
      <c r="A7" s="455"/>
      <c r="B7" s="10" t="s">
        <v>28</v>
      </c>
      <c r="C7" s="10" t="s">
        <v>22</v>
      </c>
      <c r="D7" s="362">
        <f>INDEX('BAU Scenario'!$A$2:$AC$33,MATCH('BAU Comparison - All Fuel'!$B7,'BAU Scenario'!$C$2:$C$33,0),MATCH(D$1,'BAU Scenario'!$A$2:$AC$2))</f>
        <v>0</v>
      </c>
      <c r="E7" s="362">
        <f>INDEX('BAU Scenario'!$A$2:$AC$33,MATCH('BAU Comparison - All Fuel'!$B7,'BAU Scenario'!$C$2:$C$33,0),MATCH(E$1,'BAU Scenario'!$A$2:$AC$2))</f>
        <v>0</v>
      </c>
      <c r="F7" s="362">
        <f>INDEX('BAU Scenario'!$A$2:$AC$33,MATCH('BAU Comparison - All Fuel'!$B7,'BAU Scenario'!$C$2:$C$33,0),MATCH(F$1,'BAU Scenario'!$A$2:$AC$2))</f>
        <v>0</v>
      </c>
      <c r="G7" s="362">
        <f>INDEX('BAU Scenario'!$A$2:$AC$33,MATCH('BAU Comparison - All Fuel'!$B7,'BAU Scenario'!$C$2:$C$33,0),MATCH(G$1,'BAU Scenario'!$A$2:$AC$2))</f>
        <v>0.54649999999999999</v>
      </c>
      <c r="H7" s="362">
        <f>INDEX('BAU Scenario'!$A$2:$AC$33,MATCH('BAU Comparison - All Fuel'!$B7,'BAU Scenario'!$C$2:$C$33,0),MATCH(H$1,'BAU Scenario'!$A$2:$AC$2))</f>
        <v>0</v>
      </c>
      <c r="I7" s="362">
        <f>INDEX('BAU Scenario'!$A$2:$AC$33,MATCH('BAU Comparison - All Fuel'!$B7,'BAU Scenario'!$C$2:$C$33,0),MATCH(I$1,'BAU Scenario'!$A$2:$AC$2))</f>
        <v>0</v>
      </c>
      <c r="J7" s="362">
        <f>INDEX('BAU Scenario'!$A$2:$AC$33,MATCH('BAU Comparison - All Fuel'!$B7,'BAU Scenario'!$C$2:$C$33,0),MATCH(J$1,'BAU Scenario'!$A$2:$AC$2))</f>
        <v>0</v>
      </c>
      <c r="K7" s="362">
        <f>INDEX('BAU Scenario'!$A$2:$AC$33,MATCH('BAU Comparison - All Fuel'!$B7,'BAU Scenario'!$C$2:$C$33,0),MATCH(K$1,'BAU Scenario'!$A$2:$AC$2))</f>
        <v>0</v>
      </c>
      <c r="L7" s="362">
        <f>INDEX('BAU Scenario'!$A$2:$AC$33,MATCH('BAU Comparison - All Fuel'!$B7,'BAU Scenario'!$C$2:$C$33,0),MATCH(L$1,'BAU Scenario'!$A$2:$AC$2))</f>
        <v>0</v>
      </c>
      <c r="M7" s="362">
        <f>INDEX('BAU Scenario'!$A$2:$AC$33,MATCH('BAU Comparison - All Fuel'!$B7,'BAU Scenario'!$C$2:$C$33,0),MATCH(M$1,'BAU Scenario'!$A$2:$AC$2))</f>
        <v>0</v>
      </c>
      <c r="N7" s="362">
        <f>INDEX('BAU Scenario'!$A$2:$AC$33,MATCH('BAU Comparison - All Fuel'!$B7,'BAU Scenario'!$C$2:$C$33,0),MATCH(N$1,'BAU Scenario'!$A$2:$AC$2))</f>
        <v>0</v>
      </c>
      <c r="O7" s="362">
        <f>INDEX('BAU Scenario'!$A$2:$AC$33,MATCH('BAU Comparison - All Fuel'!$B7,'BAU Scenario'!$C$2:$C$33,0),MATCH(O$1,'BAU Scenario'!$A$2:$AC$2))</f>
        <v>0</v>
      </c>
      <c r="P7" s="362">
        <f>INDEX('BAU Scenario'!$A$2:$AC$33,MATCH('BAU Comparison - All Fuel'!$B7,'BAU Scenario'!$C$2:$C$33,0),MATCH(P$1,'BAU Scenario'!$A$2:$AC$2))</f>
        <v>0</v>
      </c>
      <c r="Q7" s="362">
        <f>INDEX('BAU Scenario'!$A$2:$AC$33,MATCH('BAU Comparison - All Fuel'!$B7,'BAU Scenario'!$C$2:$C$33,0),MATCH(Q$1,'BAU Scenario'!$A$2:$AC$2))</f>
        <v>0</v>
      </c>
      <c r="R7" s="362">
        <f>INDEX('BAU Scenario'!$A$2:$AC$33,MATCH('BAU Comparison - All Fuel'!$B7,'BAU Scenario'!$C$2:$C$33,0),MATCH(R$1,'BAU Scenario'!$A$2:$AC$2))</f>
        <v>0</v>
      </c>
      <c r="S7" s="362">
        <f>INDEX('BAU Scenario'!$A$2:$AC$33,MATCH('BAU Comparison - All Fuel'!$B7,'BAU Scenario'!$C$2:$C$33,0),MATCH(S$1,'BAU Scenario'!$A$2:$AC$2))</f>
        <v>0</v>
      </c>
      <c r="T7" s="362">
        <f>INDEX('BAU Scenario'!$A$2:$AC$33,MATCH('BAU Comparison - All Fuel'!$B7,'BAU Scenario'!$C$2:$C$33,0),MATCH(T$1,'BAU Scenario'!$A$2:$AC$2))</f>
        <v>0</v>
      </c>
      <c r="U7" s="362">
        <f>INDEX('BAU Scenario'!$A$2:$AC$33,MATCH('BAU Comparison - All Fuel'!$B7,'BAU Scenario'!$C$2:$C$33,0),MATCH(U$1,'BAU Scenario'!$A$2:$AC$2))</f>
        <v>0</v>
      </c>
      <c r="V7" s="362">
        <f>INDEX('BAU Scenario'!$A$2:$AC$33,MATCH('BAU Comparison - All Fuel'!$B7,'BAU Scenario'!$C$2:$C$33,0),MATCH(V$1,'BAU Scenario'!$A$2:$AC$2))</f>
        <v>0</v>
      </c>
      <c r="W7" s="362">
        <f>INDEX('BAU Scenario'!$A$2:$AC$33,MATCH('BAU Comparison - All Fuel'!$B7,'BAU Scenario'!$C$2:$C$33,0),MATCH(W$1,'BAU Scenario'!$A$2:$AC$2))</f>
        <v>0</v>
      </c>
      <c r="X7" s="362">
        <f>INDEX('BAU Scenario'!$A$2:$AC$33,MATCH('BAU Comparison - All Fuel'!$B7,'BAU Scenario'!$C$2:$C$33,0),MATCH(X$1,'BAU Scenario'!$A$2:$AC$2))</f>
        <v>0</v>
      </c>
      <c r="Y7" s="362">
        <f>INDEX('BAU Scenario'!$A$2:$AC$33,MATCH('BAU Comparison - All Fuel'!$B7,'BAU Scenario'!$C$2:$C$33,0),MATCH(Y$1,'BAU Scenario'!$A$2:$AC$2))</f>
        <v>0</v>
      </c>
      <c r="Z7" s="362">
        <f>INDEX('BAU Scenario'!$A$2:$AC$33,MATCH('BAU Comparison - All Fuel'!$B7,'BAU Scenario'!$C$2:$C$33,0),MATCH(Z$1,'BAU Scenario'!$A$2:$AC$2))</f>
        <v>0</v>
      </c>
      <c r="AA7" s="362">
        <f>INDEX('BAU Scenario'!$A$2:$AC$33,MATCH('BAU Comparison - All Fuel'!$B7,'BAU Scenario'!$C$2:$C$33,0),MATCH(AA$1,'BAU Scenario'!$A$2:$AC$2))</f>
        <v>0</v>
      </c>
      <c r="AB7" s="362">
        <f>INDEX('BAU Scenario'!$A$2:$AC$33,MATCH('BAU Comparison - All Fuel'!$B7,'BAU Scenario'!$C$2:$C$33,0),MATCH(AB$1,'BAU Scenario'!$A$2:$AC$2))</f>
        <v>0</v>
      </c>
    </row>
    <row r="8" spans="1:29" ht="15" customHeight="1">
      <c r="A8" s="455"/>
      <c r="B8" s="10" t="s">
        <v>30</v>
      </c>
      <c r="C8" s="10" t="s">
        <v>22</v>
      </c>
      <c r="D8" s="362">
        <f>INDEX('BAU Scenario'!$A$2:$AC$33,MATCH('BAU Comparison - All Fuel'!$B8,'BAU Scenario'!$C$2:$C$33,0),MATCH(D$1,'BAU Scenario'!$A$2:$AC$2))</f>
        <v>0</v>
      </c>
      <c r="E8" s="362">
        <f>INDEX('BAU Scenario'!$A$2:$AC$33,MATCH('BAU Comparison - All Fuel'!$B8,'BAU Scenario'!$C$2:$C$33,0),MATCH(E$1,'BAU Scenario'!$A$2:$AC$2))</f>
        <v>0</v>
      </c>
      <c r="F8" s="362">
        <f>INDEX('BAU Scenario'!$A$2:$AC$33,MATCH('BAU Comparison - All Fuel'!$B8,'BAU Scenario'!$C$2:$C$33,0),MATCH(F$1,'BAU Scenario'!$A$2:$AC$2))</f>
        <v>0</v>
      </c>
      <c r="G8" s="362">
        <f>INDEX('BAU Scenario'!$A$2:$AC$33,MATCH('BAU Comparison - All Fuel'!$B8,'BAU Scenario'!$C$2:$C$33,0),MATCH(G$1,'BAU Scenario'!$A$2:$AC$2))</f>
        <v>0</v>
      </c>
      <c r="H8" s="362">
        <f>INDEX('BAU Scenario'!$A$2:$AC$33,MATCH('BAU Comparison - All Fuel'!$B8,'BAU Scenario'!$C$2:$C$33,0),MATCH(H$1,'BAU Scenario'!$A$2:$AC$2))</f>
        <v>0</v>
      </c>
      <c r="I8" s="362">
        <f>INDEX('BAU Scenario'!$A$2:$AC$33,MATCH('BAU Comparison - All Fuel'!$B8,'BAU Scenario'!$C$2:$C$33,0),MATCH(I$1,'BAU Scenario'!$A$2:$AC$2))</f>
        <v>0</v>
      </c>
      <c r="J8" s="362">
        <f>INDEX('BAU Scenario'!$A$2:$AC$33,MATCH('BAU Comparison - All Fuel'!$B8,'BAU Scenario'!$C$2:$C$33,0),MATCH(J$1,'BAU Scenario'!$A$2:$AC$2))</f>
        <v>0</v>
      </c>
      <c r="K8" s="362">
        <f>INDEX('BAU Scenario'!$A$2:$AC$33,MATCH('BAU Comparison - All Fuel'!$B8,'BAU Scenario'!$C$2:$C$33,0),MATCH(K$1,'BAU Scenario'!$A$2:$AC$2))</f>
        <v>0</v>
      </c>
      <c r="L8" s="362">
        <f>INDEX('BAU Scenario'!$A$2:$AC$33,MATCH('BAU Comparison - All Fuel'!$B8,'BAU Scenario'!$C$2:$C$33,0),MATCH(L$1,'BAU Scenario'!$A$2:$AC$2))</f>
        <v>0</v>
      </c>
      <c r="M8" s="362">
        <f>INDEX('BAU Scenario'!$A$2:$AC$33,MATCH('BAU Comparison - All Fuel'!$B8,'BAU Scenario'!$C$2:$C$33,0),MATCH(M$1,'BAU Scenario'!$A$2:$AC$2))</f>
        <v>0</v>
      </c>
      <c r="N8" s="362">
        <f>INDEX('BAU Scenario'!$A$2:$AC$33,MATCH('BAU Comparison - All Fuel'!$B8,'BAU Scenario'!$C$2:$C$33,0),MATCH(N$1,'BAU Scenario'!$A$2:$AC$2))</f>
        <v>0</v>
      </c>
      <c r="O8" s="362">
        <f>INDEX('BAU Scenario'!$A$2:$AC$33,MATCH('BAU Comparison - All Fuel'!$B8,'BAU Scenario'!$C$2:$C$33,0),MATCH(O$1,'BAU Scenario'!$A$2:$AC$2))</f>
        <v>0</v>
      </c>
      <c r="P8" s="362">
        <f>INDEX('BAU Scenario'!$A$2:$AC$33,MATCH('BAU Comparison - All Fuel'!$B8,'BAU Scenario'!$C$2:$C$33,0),MATCH(P$1,'BAU Scenario'!$A$2:$AC$2))</f>
        <v>0</v>
      </c>
      <c r="Q8" s="362">
        <f>INDEX('BAU Scenario'!$A$2:$AC$33,MATCH('BAU Comparison - All Fuel'!$B8,'BAU Scenario'!$C$2:$C$33,0),MATCH(Q$1,'BAU Scenario'!$A$2:$AC$2))</f>
        <v>0</v>
      </c>
      <c r="R8" s="362">
        <f>INDEX('BAU Scenario'!$A$2:$AC$33,MATCH('BAU Comparison - All Fuel'!$B8,'BAU Scenario'!$C$2:$C$33,0),MATCH(R$1,'BAU Scenario'!$A$2:$AC$2))</f>
        <v>0</v>
      </c>
      <c r="S8" s="362">
        <f>INDEX('BAU Scenario'!$A$2:$AC$33,MATCH('BAU Comparison - All Fuel'!$B8,'BAU Scenario'!$C$2:$C$33,0),MATCH(S$1,'BAU Scenario'!$A$2:$AC$2))</f>
        <v>0</v>
      </c>
      <c r="T8" s="362">
        <f>INDEX('BAU Scenario'!$A$2:$AC$33,MATCH('BAU Comparison - All Fuel'!$B8,'BAU Scenario'!$C$2:$C$33,0),MATCH(T$1,'BAU Scenario'!$A$2:$AC$2))</f>
        <v>0</v>
      </c>
      <c r="U8" s="362">
        <f>INDEX('BAU Scenario'!$A$2:$AC$33,MATCH('BAU Comparison - All Fuel'!$B8,'BAU Scenario'!$C$2:$C$33,0),MATCH(U$1,'BAU Scenario'!$A$2:$AC$2))</f>
        <v>0</v>
      </c>
      <c r="V8" s="362">
        <f>INDEX('BAU Scenario'!$A$2:$AC$33,MATCH('BAU Comparison - All Fuel'!$B8,'BAU Scenario'!$C$2:$C$33,0),MATCH(V$1,'BAU Scenario'!$A$2:$AC$2))</f>
        <v>0</v>
      </c>
      <c r="W8" s="362">
        <f>INDEX('BAU Scenario'!$A$2:$AC$33,MATCH('BAU Comparison - All Fuel'!$B8,'BAU Scenario'!$C$2:$C$33,0),MATCH(W$1,'BAU Scenario'!$A$2:$AC$2))</f>
        <v>0</v>
      </c>
      <c r="X8" s="362">
        <f>INDEX('BAU Scenario'!$A$2:$AC$33,MATCH('BAU Comparison - All Fuel'!$B8,'BAU Scenario'!$C$2:$C$33,0),MATCH(X$1,'BAU Scenario'!$A$2:$AC$2))</f>
        <v>0</v>
      </c>
      <c r="Y8" s="362">
        <f>INDEX('BAU Scenario'!$A$2:$AC$33,MATCH('BAU Comparison - All Fuel'!$B8,'BAU Scenario'!$C$2:$C$33,0),MATCH(Y$1,'BAU Scenario'!$A$2:$AC$2))</f>
        <v>0</v>
      </c>
      <c r="Z8" s="362">
        <f>INDEX('BAU Scenario'!$A$2:$AC$33,MATCH('BAU Comparison - All Fuel'!$B8,'BAU Scenario'!$C$2:$C$33,0),MATCH(Z$1,'BAU Scenario'!$A$2:$AC$2))</f>
        <v>0</v>
      </c>
      <c r="AA8" s="362">
        <f>INDEX('BAU Scenario'!$A$2:$AC$33,MATCH('BAU Comparison - All Fuel'!$B8,'BAU Scenario'!$C$2:$C$33,0),MATCH(AA$1,'BAU Scenario'!$A$2:$AC$2))</f>
        <v>0</v>
      </c>
      <c r="AB8" s="362">
        <f>INDEX('BAU Scenario'!$A$2:$AC$33,MATCH('BAU Comparison - All Fuel'!$B8,'BAU Scenario'!$C$2:$C$33,0),MATCH(AB$1,'BAU Scenario'!$A$2:$AC$2))</f>
        <v>0</v>
      </c>
    </row>
    <row r="9" spans="1:29" ht="15" customHeight="1">
      <c r="A9" s="455"/>
      <c r="B9" s="10" t="s">
        <v>31</v>
      </c>
      <c r="C9" s="10" t="s">
        <v>22</v>
      </c>
      <c r="D9" s="362">
        <f>INDEX('BAU Scenario'!$A$2:$AC$33,MATCH('BAU Comparison - All Fuel'!$B9,'BAU Scenario'!$C$2:$C$33,0),MATCH(D$1,'BAU Scenario'!$A$2:$AC$2))</f>
        <v>1.0825233750000001</v>
      </c>
      <c r="E9" s="362">
        <f>INDEX('BAU Scenario'!$A$2:$AC$33,MATCH('BAU Comparison - All Fuel'!$B9,'BAU Scenario'!$C$2:$C$33,0),MATCH(E$1,'BAU Scenario'!$A$2:$AC$2))</f>
        <v>1.2335523333333329</v>
      </c>
      <c r="F9" s="362">
        <f>INDEX('BAU Scenario'!$A$2:$AC$33,MATCH('BAU Comparison - All Fuel'!$B9,'BAU Scenario'!$C$2:$C$33,0),MATCH(F$1,'BAU Scenario'!$A$2:$AC$2))</f>
        <v>1.543232158333333</v>
      </c>
      <c r="G9" s="362">
        <f>INDEX('BAU Scenario'!$A$2:$AC$33,MATCH('BAU Comparison - All Fuel'!$B9,'BAU Scenario'!$C$2:$C$33,0),MATCH(G$1,'BAU Scenario'!$A$2:$AC$2))</f>
        <v>1.4590063</v>
      </c>
      <c r="H9" s="362">
        <f>INDEX('BAU Scenario'!$A$2:$AC$33,MATCH('BAU Comparison - All Fuel'!$B9,'BAU Scenario'!$C$2:$C$33,0),MATCH(H$1,'BAU Scenario'!$A$2:$AC$2))</f>
        <v>3.863752158333333</v>
      </c>
      <c r="I9" s="362">
        <f>INDEX('BAU Scenario'!$A$2:$AC$33,MATCH('BAU Comparison - All Fuel'!$B9,'BAU Scenario'!$C$2:$C$33,0),MATCH(I$1,'BAU Scenario'!$A$2:$AC$2))</f>
        <v>6.839509708333332</v>
      </c>
      <c r="J9" s="362">
        <f>INDEX('BAU Scenario'!$A$2:$AC$33,MATCH('BAU Comparison - All Fuel'!$B9,'BAU Scenario'!$C$2:$C$33,0),MATCH(J$1,'BAU Scenario'!$A$2:$AC$2))</f>
        <v>10.851397933333329</v>
      </c>
      <c r="K9" s="362">
        <f>INDEX('BAU Scenario'!$A$2:$AC$33,MATCH('BAU Comparison - All Fuel'!$B9,'BAU Scenario'!$C$2:$C$33,0),MATCH(K$1,'BAU Scenario'!$A$2:$AC$2))</f>
        <v>15.86534685833333</v>
      </c>
      <c r="L9" s="362">
        <f>INDEX('BAU Scenario'!$A$2:$AC$33,MATCH('BAU Comparison - All Fuel'!$B9,'BAU Scenario'!$C$2:$C$33,0),MATCH(L$1,'BAU Scenario'!$A$2:$AC$2))</f>
        <v>21.928768191666659</v>
      </c>
      <c r="M9" s="362">
        <f>INDEX('BAU Scenario'!$A$2:$AC$33,MATCH('BAU Comparison - All Fuel'!$B9,'BAU Scenario'!$C$2:$C$33,0),MATCH(M$1,'BAU Scenario'!$A$2:$AC$2))</f>
        <v>28.145119391666661</v>
      </c>
      <c r="N9" s="362">
        <f>INDEX('BAU Scenario'!$A$2:$AC$33,MATCH('BAU Comparison - All Fuel'!$B9,'BAU Scenario'!$C$2:$C$33,0),MATCH(N$1,'BAU Scenario'!$A$2:$AC$2))</f>
        <v>34.5995828</v>
      </c>
      <c r="O9" s="362">
        <f>INDEX('BAU Scenario'!$A$2:$AC$33,MATCH('BAU Comparison - All Fuel'!$B9,'BAU Scenario'!$C$2:$C$33,0),MATCH(O$1,'BAU Scenario'!$A$2:$AC$2))</f>
        <v>41.314089950000003</v>
      </c>
      <c r="P9" s="362">
        <f>INDEX('BAU Scenario'!$A$2:$AC$33,MATCH('BAU Comparison - All Fuel'!$B9,'BAU Scenario'!$C$2:$C$33,0),MATCH(P$1,'BAU Scenario'!$A$2:$AC$2))</f>
        <v>48.226662391666657</v>
      </c>
      <c r="Q9" s="362">
        <f>INDEX('BAU Scenario'!$A$2:$AC$33,MATCH('BAU Comparison - All Fuel'!$B9,'BAU Scenario'!$C$2:$C$33,0),MATCH(Q$1,'BAU Scenario'!$A$2:$AC$2))</f>
        <v>55.392127308333343</v>
      </c>
      <c r="R9" s="362">
        <f>INDEX('BAU Scenario'!$A$2:$AC$33,MATCH('BAU Comparison - All Fuel'!$B9,'BAU Scenario'!$C$2:$C$33,0),MATCH(R$1,'BAU Scenario'!$A$2:$AC$2))</f>
        <v>52.194153926833408</v>
      </c>
      <c r="S9" s="362">
        <f>INDEX('BAU Scenario'!$A$2:$AC$33,MATCH('BAU Comparison - All Fuel'!$B9,'BAU Scenario'!$C$2:$C$33,0),MATCH(S$1,'BAU Scenario'!$A$2:$AC$2))</f>
        <v>32.848628783166738</v>
      </c>
      <c r="T9" s="362">
        <f>INDEX('BAU Scenario'!$A$2:$AC$33,MATCH('BAU Comparison - All Fuel'!$B9,'BAU Scenario'!$C$2:$C$33,0),MATCH(T$1,'BAU Scenario'!$A$2:$AC$2))</f>
        <v>12.78333590583337</v>
      </c>
      <c r="U9" s="362">
        <f>INDEX('BAU Scenario'!$A$2:$AC$33,MATCH('BAU Comparison - All Fuel'!$B9,'BAU Scenario'!$C$2:$C$33,0),MATCH(U$1,'BAU Scenario'!$A$2:$AC$2))</f>
        <v>0</v>
      </c>
      <c r="V9" s="362">
        <f>INDEX('BAU Scenario'!$A$2:$AC$33,MATCH('BAU Comparison - All Fuel'!$B9,'BAU Scenario'!$C$2:$C$33,0),MATCH(V$1,'BAU Scenario'!$A$2:$AC$2))</f>
        <v>0</v>
      </c>
      <c r="W9" s="362">
        <f>INDEX('BAU Scenario'!$A$2:$AC$33,MATCH('BAU Comparison - All Fuel'!$B9,'BAU Scenario'!$C$2:$C$33,0),MATCH(W$1,'BAU Scenario'!$A$2:$AC$2))</f>
        <v>0</v>
      </c>
      <c r="X9" s="362">
        <f>INDEX('BAU Scenario'!$A$2:$AC$33,MATCH('BAU Comparison - All Fuel'!$B9,'BAU Scenario'!$C$2:$C$33,0),MATCH(X$1,'BAU Scenario'!$A$2:$AC$2))</f>
        <v>0</v>
      </c>
      <c r="Y9" s="362">
        <f>INDEX('BAU Scenario'!$A$2:$AC$33,MATCH('BAU Comparison - All Fuel'!$B9,'BAU Scenario'!$C$2:$C$33,0),MATCH(Y$1,'BAU Scenario'!$A$2:$AC$2))</f>
        <v>0</v>
      </c>
      <c r="Z9" s="362">
        <f>INDEX('BAU Scenario'!$A$2:$AC$33,MATCH('BAU Comparison - All Fuel'!$B9,'BAU Scenario'!$C$2:$C$33,0),MATCH(Z$1,'BAU Scenario'!$A$2:$AC$2))</f>
        <v>0</v>
      </c>
      <c r="AA9" s="362">
        <f>INDEX('BAU Scenario'!$A$2:$AC$33,MATCH('BAU Comparison - All Fuel'!$B9,'BAU Scenario'!$C$2:$C$33,0),MATCH(AA$1,'BAU Scenario'!$A$2:$AC$2))</f>
        <v>0</v>
      </c>
      <c r="AB9" s="362">
        <f>INDEX('BAU Scenario'!$A$2:$AC$33,MATCH('BAU Comparison - All Fuel'!$B9,'BAU Scenario'!$C$2:$C$33,0),MATCH(AB$1,'BAU Scenario'!$A$2:$AC$2))</f>
        <v>0</v>
      </c>
    </row>
    <row r="10" spans="1:29" ht="15" customHeight="1">
      <c r="A10" s="455"/>
      <c r="B10" s="10" t="s">
        <v>17</v>
      </c>
      <c r="C10" s="10" t="s">
        <v>103</v>
      </c>
      <c r="D10" s="362">
        <f>INDEX('BAU Scenario'!$A$2:$AC$33,MATCH('BAU Comparison - All Fuel'!$B10,'BAU Scenario'!$C$2:$C$33,0),MATCH(D$1,'BAU Scenario'!$A$2:$AC$2))</f>
        <v>3405.916658055557</v>
      </c>
      <c r="E10" s="362">
        <f>INDEX('BAU Scenario'!$A$2:$AC$33,MATCH('BAU Comparison - All Fuel'!$B10,'BAU Scenario'!$C$2:$C$33,0),MATCH(E$1,'BAU Scenario'!$A$2:$AC$2))</f>
        <v>4243.2297497222226</v>
      </c>
      <c r="F10" s="362">
        <f>INDEX('BAU Scenario'!$A$2:$AC$33,MATCH('BAU Comparison - All Fuel'!$B10,'BAU Scenario'!$C$2:$C$33,0),MATCH(F$1,'BAU Scenario'!$A$2:$AC$2))</f>
        <v>5276.2062469444454</v>
      </c>
      <c r="G10" s="362">
        <f>INDEX('BAU Scenario'!$A$2:$AC$33,MATCH('BAU Comparison - All Fuel'!$B10,'BAU Scenario'!$C$2:$C$33,0),MATCH(G$1,'BAU Scenario'!$A$2:$AC$2))</f>
        <v>6542.380570000003</v>
      </c>
      <c r="H10" s="362">
        <f>INDEX('BAU Scenario'!$A$2:$AC$33,MATCH('BAU Comparison - All Fuel'!$B10,'BAU Scenario'!$C$2:$C$33,0),MATCH(H$1,'BAU Scenario'!$A$2:$AC$2))</f>
        <v>8093.20976138889</v>
      </c>
      <c r="I10" s="362">
        <f>INDEX('BAU Scenario'!$A$2:$AC$33,MATCH('BAU Comparison - All Fuel'!$B10,'BAU Scenario'!$C$2:$C$33,0),MATCH(I$1,'BAU Scenario'!$A$2:$AC$2))</f>
        <v>10505.71946416667</v>
      </c>
      <c r="J10" s="362">
        <f>INDEX('BAU Scenario'!$A$2:$AC$33,MATCH('BAU Comparison - All Fuel'!$B10,'BAU Scenario'!$C$2:$C$33,0),MATCH(J$1,'BAU Scenario'!$A$2:$AC$2))</f>
        <v>13361.60451138889</v>
      </c>
      <c r="K10" s="362">
        <f>INDEX('BAU Scenario'!$A$2:$AC$33,MATCH('BAU Comparison - All Fuel'!$B10,'BAU Scenario'!$C$2:$C$33,0),MATCH(K$1,'BAU Scenario'!$A$2:$AC$2))</f>
        <v>16691.896311111112</v>
      </c>
      <c r="L10" s="362">
        <f>INDEX('BAU Scenario'!$A$2:$AC$33,MATCH('BAU Comparison - All Fuel'!$B10,'BAU Scenario'!$C$2:$C$33,0),MATCH(L$1,'BAU Scenario'!$A$2:$AC$2))</f>
        <v>20547.963274166668</v>
      </c>
      <c r="M10" s="362">
        <f>INDEX('BAU Scenario'!$A$2:$AC$33,MATCH('BAU Comparison - All Fuel'!$B10,'BAU Scenario'!$C$2:$C$33,0),MATCH(M$1,'BAU Scenario'!$A$2:$AC$2))</f>
        <v>24978.509136666671</v>
      </c>
      <c r="N10" s="362">
        <f>INDEX('BAU Scenario'!$A$2:$AC$33,MATCH('BAU Comparison - All Fuel'!$B10,'BAU Scenario'!$C$2:$C$33,0),MATCH(N$1,'BAU Scenario'!$A$2:$AC$2))</f>
        <v>29484.45985472223</v>
      </c>
      <c r="O10" s="362">
        <f>INDEX('BAU Scenario'!$A$2:$AC$33,MATCH('BAU Comparison - All Fuel'!$B10,'BAU Scenario'!$C$2:$C$33,0),MATCH(O$1,'BAU Scenario'!$A$2:$AC$2))</f>
        <v>34455.75230472222</v>
      </c>
      <c r="P10" s="362">
        <f>INDEX('BAU Scenario'!$A$2:$AC$33,MATCH('BAU Comparison - All Fuel'!$B10,'BAU Scenario'!$C$2:$C$33,0),MATCH(P$1,'BAU Scenario'!$A$2:$AC$2))</f>
        <v>39739.412582500008</v>
      </c>
      <c r="Q10" s="362">
        <f>INDEX('BAU Scenario'!$A$2:$AC$33,MATCH('BAU Comparison - All Fuel'!$B10,'BAU Scenario'!$C$2:$C$33,0),MATCH(Q$1,'BAU Scenario'!$A$2:$AC$2))</f>
        <v>45282.638018333339</v>
      </c>
      <c r="R10" s="362">
        <f>INDEX('BAU Scenario'!$A$2:$AC$33,MATCH('BAU Comparison - All Fuel'!$B10,'BAU Scenario'!$C$2:$C$33,0),MATCH(R$1,'BAU Scenario'!$A$2:$AC$2))</f>
        <v>50745.155940555582</v>
      </c>
      <c r="S10" s="362">
        <f>INDEX('BAU Scenario'!$A$2:$AC$33,MATCH('BAU Comparison - All Fuel'!$B10,'BAU Scenario'!$C$2:$C$33,0),MATCH(S$1,'BAU Scenario'!$A$2:$AC$2))</f>
        <v>56112.192676944462</v>
      </c>
      <c r="T10" s="362">
        <f>INDEX('BAU Scenario'!$A$2:$AC$33,MATCH('BAU Comparison - All Fuel'!$B10,'BAU Scenario'!$C$2:$C$33,0),MATCH(T$1,'BAU Scenario'!$A$2:$AC$2))</f>
        <v>61329.187026111118</v>
      </c>
      <c r="U10" s="362">
        <f>INDEX('BAU Scenario'!$A$2:$AC$33,MATCH('BAU Comparison - All Fuel'!$B10,'BAU Scenario'!$C$2:$C$33,0),MATCH(U$1,'BAU Scenario'!$A$2:$AC$2))</f>
        <v>66355.345674166689</v>
      </c>
      <c r="V10" s="362">
        <f>INDEX('BAU Scenario'!$A$2:$AC$33,MATCH('BAU Comparison - All Fuel'!$B10,'BAU Scenario'!$C$2:$C$33,0),MATCH(V$1,'BAU Scenario'!$A$2:$AC$2))</f>
        <v>71164.976508888896</v>
      </c>
      <c r="W10" s="362">
        <f>INDEX('BAU Scenario'!$A$2:$AC$33,MATCH('BAU Comparison - All Fuel'!$B10,'BAU Scenario'!$C$2:$C$33,0),MATCH(W$1,'BAU Scenario'!$A$2:$AC$2))</f>
        <v>75752.910762500032</v>
      </c>
      <c r="X10" s="362">
        <f>INDEX('BAU Scenario'!$A$2:$AC$33,MATCH('BAU Comparison - All Fuel'!$B10,'BAU Scenario'!$C$2:$C$33,0),MATCH(X$1,'BAU Scenario'!$A$2:$AC$2))</f>
        <v>80054.986243611143</v>
      </c>
      <c r="Y10" s="362">
        <f>INDEX('BAU Scenario'!$A$2:$AC$33,MATCH('BAU Comparison - All Fuel'!$B10,'BAU Scenario'!$C$2:$C$33,0),MATCH(Y$1,'BAU Scenario'!$A$2:$AC$2))</f>
        <v>84063.184965277818</v>
      </c>
      <c r="Z10" s="362">
        <f>INDEX('BAU Scenario'!$A$2:$AC$33,MATCH('BAU Comparison - All Fuel'!$B10,'BAU Scenario'!$C$2:$C$33,0),MATCH(Z$1,'BAU Scenario'!$A$2:$AC$2))</f>
        <v>87760.341567777796</v>
      </c>
      <c r="AA10" s="362">
        <f>INDEX('BAU Scenario'!$A$2:$AC$33,MATCH('BAU Comparison - All Fuel'!$B10,'BAU Scenario'!$C$2:$C$33,0),MATCH(AA$1,'BAU Scenario'!$A$2:$AC$2))</f>
        <v>91120.502526666663</v>
      </c>
      <c r="AB10" s="362">
        <f>INDEX('BAU Scenario'!$A$2:$AC$33,MATCH('BAU Comparison - All Fuel'!$B10,'BAU Scenario'!$C$2:$C$33,0),MATCH(AB$1,'BAU Scenario'!$A$2:$AC$2))</f>
        <v>94608.523778333343</v>
      </c>
    </row>
    <row r="11" spans="1:29" ht="15" customHeight="1">
      <c r="A11" s="455"/>
      <c r="B11" s="10" t="s">
        <v>18</v>
      </c>
      <c r="C11" s="10" t="s">
        <v>103</v>
      </c>
      <c r="D11" s="362">
        <f>INDEX('BAU Scenario'!$A$2:$AC$33,MATCH('BAU Comparison - All Fuel'!$B11,'BAU Scenario'!$C$2:$C$33,0),MATCH(D$1,'BAU Scenario'!$A$2:$AC$2))</f>
        <v>0</v>
      </c>
      <c r="E11" s="362">
        <f>INDEX('BAU Scenario'!$A$2:$AC$33,MATCH('BAU Comparison - All Fuel'!$B11,'BAU Scenario'!$C$2:$C$33,0),MATCH(E$1,'BAU Scenario'!$A$2:$AC$2))</f>
        <v>0</v>
      </c>
      <c r="F11" s="362">
        <f>INDEX('BAU Scenario'!$A$2:$AC$33,MATCH('BAU Comparison - All Fuel'!$B11,'BAU Scenario'!$C$2:$C$33,0),MATCH(F$1,'BAU Scenario'!$A$2:$AC$2))</f>
        <v>0</v>
      </c>
      <c r="G11" s="362">
        <f>INDEX('BAU Scenario'!$A$2:$AC$33,MATCH('BAU Comparison - All Fuel'!$B11,'BAU Scenario'!$C$2:$C$33,0),MATCH(G$1,'BAU Scenario'!$A$2:$AC$2))</f>
        <v>3.4</v>
      </c>
      <c r="H11" s="362">
        <f>INDEX('BAU Scenario'!$A$2:$AC$33,MATCH('BAU Comparison - All Fuel'!$B11,'BAU Scenario'!$C$2:$C$33,0),MATCH(H$1,'BAU Scenario'!$A$2:$AC$2))</f>
        <v>0</v>
      </c>
      <c r="I11" s="362">
        <f>INDEX('BAU Scenario'!$A$2:$AC$33,MATCH('BAU Comparison - All Fuel'!$B11,'BAU Scenario'!$C$2:$C$33,0),MATCH(I$1,'BAU Scenario'!$A$2:$AC$2))</f>
        <v>0</v>
      </c>
      <c r="J11" s="362">
        <f>INDEX('BAU Scenario'!$A$2:$AC$33,MATCH('BAU Comparison - All Fuel'!$B11,'BAU Scenario'!$C$2:$C$33,0),MATCH(J$1,'BAU Scenario'!$A$2:$AC$2))</f>
        <v>0</v>
      </c>
      <c r="K11" s="362">
        <f>INDEX('BAU Scenario'!$A$2:$AC$33,MATCH('BAU Comparison - All Fuel'!$B11,'BAU Scenario'!$C$2:$C$33,0),MATCH(K$1,'BAU Scenario'!$A$2:$AC$2))</f>
        <v>0</v>
      </c>
      <c r="L11" s="362">
        <f>INDEX('BAU Scenario'!$A$2:$AC$33,MATCH('BAU Comparison - All Fuel'!$B11,'BAU Scenario'!$C$2:$C$33,0),MATCH(L$1,'BAU Scenario'!$A$2:$AC$2))</f>
        <v>0</v>
      </c>
      <c r="M11" s="362">
        <f>INDEX('BAU Scenario'!$A$2:$AC$33,MATCH('BAU Comparison - All Fuel'!$B11,'BAU Scenario'!$C$2:$C$33,0),MATCH(M$1,'BAU Scenario'!$A$2:$AC$2))</f>
        <v>0</v>
      </c>
      <c r="N11" s="362">
        <f>INDEX('BAU Scenario'!$A$2:$AC$33,MATCH('BAU Comparison - All Fuel'!$B11,'BAU Scenario'!$C$2:$C$33,0),MATCH(N$1,'BAU Scenario'!$A$2:$AC$2))</f>
        <v>0</v>
      </c>
      <c r="O11" s="362">
        <f>INDEX('BAU Scenario'!$A$2:$AC$33,MATCH('BAU Comparison - All Fuel'!$B11,'BAU Scenario'!$C$2:$C$33,0),MATCH(O$1,'BAU Scenario'!$A$2:$AC$2))</f>
        <v>0</v>
      </c>
      <c r="P11" s="362">
        <f>INDEX('BAU Scenario'!$A$2:$AC$33,MATCH('BAU Comparison - All Fuel'!$B11,'BAU Scenario'!$C$2:$C$33,0),MATCH(P$1,'BAU Scenario'!$A$2:$AC$2))</f>
        <v>0</v>
      </c>
      <c r="Q11" s="362">
        <f>INDEX('BAU Scenario'!$A$2:$AC$33,MATCH('BAU Comparison - All Fuel'!$B11,'BAU Scenario'!$C$2:$C$33,0),MATCH(Q$1,'BAU Scenario'!$A$2:$AC$2))</f>
        <v>0</v>
      </c>
      <c r="R11" s="362">
        <f>INDEX('BAU Scenario'!$A$2:$AC$33,MATCH('BAU Comparison - All Fuel'!$B11,'BAU Scenario'!$C$2:$C$33,0),MATCH(R$1,'BAU Scenario'!$A$2:$AC$2))</f>
        <v>0</v>
      </c>
      <c r="S11" s="362">
        <f>INDEX('BAU Scenario'!$A$2:$AC$33,MATCH('BAU Comparison - All Fuel'!$B11,'BAU Scenario'!$C$2:$C$33,0),MATCH(S$1,'BAU Scenario'!$A$2:$AC$2))</f>
        <v>0</v>
      </c>
      <c r="T11" s="362">
        <f>INDEX('BAU Scenario'!$A$2:$AC$33,MATCH('BAU Comparison - All Fuel'!$B11,'BAU Scenario'!$C$2:$C$33,0),MATCH(T$1,'BAU Scenario'!$A$2:$AC$2))</f>
        <v>0</v>
      </c>
      <c r="U11" s="362">
        <f>INDEX('BAU Scenario'!$A$2:$AC$33,MATCH('BAU Comparison - All Fuel'!$B11,'BAU Scenario'!$C$2:$C$33,0),MATCH(U$1,'BAU Scenario'!$A$2:$AC$2))</f>
        <v>0</v>
      </c>
      <c r="V11" s="362">
        <f>INDEX('BAU Scenario'!$A$2:$AC$33,MATCH('BAU Comparison - All Fuel'!$B11,'BAU Scenario'!$C$2:$C$33,0),MATCH(V$1,'BAU Scenario'!$A$2:$AC$2))</f>
        <v>0</v>
      </c>
      <c r="W11" s="362">
        <f>INDEX('BAU Scenario'!$A$2:$AC$33,MATCH('BAU Comparison - All Fuel'!$B11,'BAU Scenario'!$C$2:$C$33,0),MATCH(W$1,'BAU Scenario'!$A$2:$AC$2))</f>
        <v>0</v>
      </c>
      <c r="X11" s="362">
        <f>INDEX('BAU Scenario'!$A$2:$AC$33,MATCH('BAU Comparison - All Fuel'!$B11,'BAU Scenario'!$C$2:$C$33,0),MATCH(X$1,'BAU Scenario'!$A$2:$AC$2))</f>
        <v>0</v>
      </c>
      <c r="Y11" s="362">
        <f>INDEX('BAU Scenario'!$A$2:$AC$33,MATCH('BAU Comparison - All Fuel'!$B11,'BAU Scenario'!$C$2:$C$33,0),MATCH(Y$1,'BAU Scenario'!$A$2:$AC$2))</f>
        <v>0</v>
      </c>
      <c r="Z11" s="362">
        <f>INDEX('BAU Scenario'!$A$2:$AC$33,MATCH('BAU Comparison - All Fuel'!$B11,'BAU Scenario'!$C$2:$C$33,0),MATCH(Z$1,'BAU Scenario'!$A$2:$AC$2))</f>
        <v>0</v>
      </c>
      <c r="AA11" s="362">
        <f>INDEX('BAU Scenario'!$A$2:$AC$33,MATCH('BAU Comparison - All Fuel'!$B11,'BAU Scenario'!$C$2:$C$33,0),MATCH(AA$1,'BAU Scenario'!$A$2:$AC$2))</f>
        <v>0</v>
      </c>
      <c r="AB11" s="362">
        <f>INDEX('BAU Scenario'!$A$2:$AC$33,MATCH('BAU Comparison - All Fuel'!$B11,'BAU Scenario'!$C$2:$C$33,0),MATCH(AB$1,'BAU Scenario'!$A$2:$AC$2))</f>
        <v>0</v>
      </c>
    </row>
    <row r="12" spans="1:29" ht="15" customHeight="1">
      <c r="A12" s="455"/>
      <c r="B12" s="10" t="s">
        <v>9</v>
      </c>
      <c r="C12" s="10" t="s">
        <v>7</v>
      </c>
      <c r="D12" s="362">
        <f>INDEX('BAU Scenario'!$A$2:$AC$33,MATCH('BAU Comparison - All Fuel'!$B12,'BAU Scenario'!$C$2:$C$33,0),MATCH(D$1,'BAU Scenario'!$A$2:$AC$2))</f>
        <v>281.16396700229922</v>
      </c>
      <c r="E12" s="362">
        <f>INDEX('BAU Scenario'!$A$2:$AC$33,MATCH('BAU Comparison - All Fuel'!$B12,'BAU Scenario'!$C$2:$C$33,0),MATCH(E$1,'BAU Scenario'!$A$2:$AC$2))</f>
        <v>281.16396700229922</v>
      </c>
      <c r="F12" s="362">
        <f>INDEX('BAU Scenario'!$A$2:$AC$33,MATCH('BAU Comparison - All Fuel'!$B12,'BAU Scenario'!$C$2:$C$33,0),MATCH(F$1,'BAU Scenario'!$A$2:$AC$2))</f>
        <v>281.16396700229922</v>
      </c>
      <c r="G12" s="362">
        <f>INDEX('BAU Scenario'!$A$2:$AC$33,MATCH('BAU Comparison - All Fuel'!$B12,'BAU Scenario'!$C$2:$C$33,0),MATCH(G$1,'BAU Scenario'!$A$2:$AC$2))</f>
        <v>281.16396700229922</v>
      </c>
      <c r="H12" s="362">
        <f>INDEX('BAU Scenario'!$A$2:$AC$33,MATCH('BAU Comparison - All Fuel'!$B12,'BAU Scenario'!$C$2:$C$33,0),MATCH(H$1,'BAU Scenario'!$A$2:$AC$2))</f>
        <v>281.16396700229922</v>
      </c>
      <c r="I12" s="362">
        <f>INDEX('BAU Scenario'!$A$2:$AC$33,MATCH('BAU Comparison - All Fuel'!$B12,'BAU Scenario'!$C$2:$C$33,0),MATCH(I$1,'BAU Scenario'!$A$2:$AC$2))</f>
        <v>281.16396700229922</v>
      </c>
      <c r="J12" s="362">
        <f>INDEX('BAU Scenario'!$A$2:$AC$33,MATCH('BAU Comparison - All Fuel'!$B12,'BAU Scenario'!$C$2:$C$33,0),MATCH(J$1,'BAU Scenario'!$A$2:$AC$2))</f>
        <v>281.16396700229922</v>
      </c>
      <c r="K12" s="362">
        <f>INDEX('BAU Scenario'!$A$2:$AC$33,MATCH('BAU Comparison - All Fuel'!$B12,'BAU Scenario'!$C$2:$C$33,0),MATCH(K$1,'BAU Scenario'!$A$2:$AC$2))</f>
        <v>281.16396700229922</v>
      </c>
      <c r="L12" s="362">
        <f>INDEX('BAU Scenario'!$A$2:$AC$33,MATCH('BAU Comparison - All Fuel'!$B12,'BAU Scenario'!$C$2:$C$33,0),MATCH(L$1,'BAU Scenario'!$A$2:$AC$2))</f>
        <v>281.16396700229927</v>
      </c>
      <c r="M12" s="362">
        <f>INDEX('BAU Scenario'!$A$2:$AC$33,MATCH('BAU Comparison - All Fuel'!$B12,'BAU Scenario'!$C$2:$C$33,0),MATCH(M$1,'BAU Scenario'!$A$2:$AC$2))</f>
        <v>281.16396700229927</v>
      </c>
      <c r="N12" s="362">
        <f>INDEX('BAU Scenario'!$A$2:$AC$33,MATCH('BAU Comparison - All Fuel'!$B12,'BAU Scenario'!$C$2:$C$33,0),MATCH(N$1,'BAU Scenario'!$A$2:$AC$2))</f>
        <v>281.16396700229927</v>
      </c>
      <c r="O12" s="362">
        <f>INDEX('BAU Scenario'!$A$2:$AC$33,MATCH('BAU Comparison - All Fuel'!$B12,'BAU Scenario'!$C$2:$C$33,0),MATCH(O$1,'BAU Scenario'!$A$2:$AC$2))</f>
        <v>281.16396700229927</v>
      </c>
      <c r="P12" s="362">
        <f>INDEX('BAU Scenario'!$A$2:$AC$33,MATCH('BAU Comparison - All Fuel'!$B12,'BAU Scenario'!$C$2:$C$33,0),MATCH(P$1,'BAU Scenario'!$A$2:$AC$2))</f>
        <v>281.16396700229927</v>
      </c>
      <c r="Q12" s="362">
        <f>INDEX('BAU Scenario'!$A$2:$AC$33,MATCH('BAU Comparison - All Fuel'!$B12,'BAU Scenario'!$C$2:$C$33,0),MATCH(Q$1,'BAU Scenario'!$A$2:$AC$2))</f>
        <v>281.16396700229927</v>
      </c>
      <c r="R12" s="362">
        <f>INDEX('BAU Scenario'!$A$2:$AC$33,MATCH('BAU Comparison - All Fuel'!$B12,'BAU Scenario'!$C$2:$C$33,0),MATCH(R$1,'BAU Scenario'!$A$2:$AC$2))</f>
        <v>281.16396700229927</v>
      </c>
      <c r="S12" s="362">
        <f>INDEX('BAU Scenario'!$A$2:$AC$33,MATCH('BAU Comparison - All Fuel'!$B12,'BAU Scenario'!$C$2:$C$33,0),MATCH(S$1,'BAU Scenario'!$A$2:$AC$2))</f>
        <v>281.16396700229927</v>
      </c>
      <c r="T12" s="362">
        <f>INDEX('BAU Scenario'!$A$2:$AC$33,MATCH('BAU Comparison - All Fuel'!$B12,'BAU Scenario'!$C$2:$C$33,0),MATCH(T$1,'BAU Scenario'!$A$2:$AC$2))</f>
        <v>281.16396700229927</v>
      </c>
      <c r="U12" s="362">
        <f>INDEX('BAU Scenario'!$A$2:$AC$33,MATCH('BAU Comparison - All Fuel'!$B12,'BAU Scenario'!$C$2:$C$33,0),MATCH(U$1,'BAU Scenario'!$A$2:$AC$2))</f>
        <v>281.16396700229927</v>
      </c>
      <c r="V12" s="362">
        <f>INDEX('BAU Scenario'!$A$2:$AC$33,MATCH('BAU Comparison - All Fuel'!$B12,'BAU Scenario'!$C$2:$C$33,0),MATCH(V$1,'BAU Scenario'!$A$2:$AC$2))</f>
        <v>281.16396700229927</v>
      </c>
      <c r="W12" s="362">
        <f>INDEX('BAU Scenario'!$A$2:$AC$33,MATCH('BAU Comparison - All Fuel'!$B12,'BAU Scenario'!$C$2:$C$33,0),MATCH(W$1,'BAU Scenario'!$A$2:$AC$2))</f>
        <v>281.16396700229927</v>
      </c>
      <c r="X12" s="362">
        <f>INDEX('BAU Scenario'!$A$2:$AC$33,MATCH('BAU Comparison - All Fuel'!$B12,'BAU Scenario'!$C$2:$C$33,0),MATCH(X$1,'BAU Scenario'!$A$2:$AC$2))</f>
        <v>281.16396700229927</v>
      </c>
      <c r="Y12" s="362">
        <f>INDEX('BAU Scenario'!$A$2:$AC$33,MATCH('BAU Comparison - All Fuel'!$B12,'BAU Scenario'!$C$2:$C$33,0),MATCH(Y$1,'BAU Scenario'!$A$2:$AC$2))</f>
        <v>281.16396700229927</v>
      </c>
      <c r="Z12" s="362">
        <f>INDEX('BAU Scenario'!$A$2:$AC$33,MATCH('BAU Comparison - All Fuel'!$B12,'BAU Scenario'!$C$2:$C$33,0),MATCH(Z$1,'BAU Scenario'!$A$2:$AC$2))</f>
        <v>281.16396700229927</v>
      </c>
      <c r="AA12" s="362">
        <f>INDEX('BAU Scenario'!$A$2:$AC$33,MATCH('BAU Comparison - All Fuel'!$B12,'BAU Scenario'!$C$2:$C$33,0),MATCH(AA$1,'BAU Scenario'!$A$2:$AC$2))</f>
        <v>281.16396700229927</v>
      </c>
      <c r="AB12" s="362">
        <f>INDEX('BAU Scenario'!$A$2:$AC$33,MATCH('BAU Comparison - All Fuel'!$B12,'BAU Scenario'!$C$2:$C$33,0),MATCH(AB$1,'BAU Scenario'!$A$2:$AC$2))</f>
        <v>281.16396700229927</v>
      </c>
    </row>
    <row r="13" spans="1:29" ht="15" customHeight="1">
      <c r="A13" s="455"/>
      <c r="B13" s="10" t="s">
        <v>34</v>
      </c>
      <c r="C13" s="10" t="s">
        <v>7</v>
      </c>
      <c r="D13" s="362">
        <f>'BAU Scenario'!E30</f>
        <v>1385.2302780331661</v>
      </c>
      <c r="E13" s="362">
        <f>'BAU Scenario'!F30</f>
        <v>1965.1653570536059</v>
      </c>
      <c r="F13" s="362">
        <f>'BAU Scenario'!G30</f>
        <v>2144.849823411751</v>
      </c>
      <c r="G13" s="362">
        <f>'BAU Scenario'!H30</f>
        <v>1812.5335162117501</v>
      </c>
      <c r="H13" s="362">
        <f>'BAU Scenario'!I30</f>
        <v>1613.143731891751</v>
      </c>
      <c r="I13" s="362">
        <f>'BAU Scenario'!J30</f>
        <v>1493.509861299751</v>
      </c>
      <c r="J13" s="362">
        <f>'BAU Scenario'!K30</f>
        <v>1421.729538944551</v>
      </c>
      <c r="K13" s="362">
        <f>'BAU Scenario'!L30</f>
        <v>1378.6613455314309</v>
      </c>
      <c r="L13" s="362">
        <f>'BAU Scenario'!M30</f>
        <v>1352.820429483558</v>
      </c>
      <c r="M13" s="362">
        <f>'BAU Scenario'!N30</f>
        <v>1337.315879854835</v>
      </c>
      <c r="N13" s="362">
        <f>'BAU Scenario'!O30</f>
        <v>1328.013150077601</v>
      </c>
      <c r="O13" s="362">
        <f>'BAU Scenario'!P30</f>
        <v>1322.431512211261</v>
      </c>
      <c r="P13" s="362">
        <f>'BAU Scenario'!Q30</f>
        <v>1314.05905541175</v>
      </c>
      <c r="Q13" s="362">
        <f>'BAU Scenario'!R30</f>
        <v>1314.05905541175</v>
      </c>
      <c r="R13" s="362">
        <f>'BAU Scenario'!S30</f>
        <v>1314.05905541175</v>
      </c>
      <c r="S13" s="362">
        <f>'BAU Scenario'!T30</f>
        <v>1314.05905541175</v>
      </c>
      <c r="T13" s="362">
        <f>'BAU Scenario'!U30</f>
        <v>1314.05905541175</v>
      </c>
      <c r="U13" s="362">
        <f>'BAU Scenario'!V30</f>
        <v>1314.05905541175</v>
      </c>
      <c r="V13" s="362">
        <f>'BAU Scenario'!W30</f>
        <v>1314.05905541175</v>
      </c>
      <c r="W13" s="362">
        <f>'BAU Scenario'!X30</f>
        <v>1314.05905541175</v>
      </c>
      <c r="X13" s="362">
        <f>'BAU Scenario'!Y30</f>
        <v>1314.05905541175</v>
      </c>
      <c r="Y13" s="362">
        <f>'BAU Scenario'!Z30</f>
        <v>1314.05905541175</v>
      </c>
      <c r="Z13" s="362">
        <f>'BAU Scenario'!AA30</f>
        <v>1314.05905541175</v>
      </c>
      <c r="AA13" s="362">
        <f>'BAU Scenario'!AB30</f>
        <v>1314.05905541175</v>
      </c>
      <c r="AB13" s="362">
        <f>'BAU Scenario'!AC30</f>
        <v>1314.05905541175</v>
      </c>
    </row>
    <row r="14" spans="1:29" ht="15" customHeight="1">
      <c r="A14" s="455"/>
      <c r="B14" s="10" t="s">
        <v>33</v>
      </c>
      <c r="C14" s="10" t="s">
        <v>13</v>
      </c>
      <c r="D14" s="362">
        <f>INDEX('BAU Scenario'!$A$2:$AC$33,MATCH('BAU Comparison - All Fuel'!$B14,'BAU Scenario'!$C$2:$C$33,0),MATCH(D$1,'BAU Scenario'!$A$2:$AC$2))</f>
        <v>0</v>
      </c>
      <c r="E14" s="362">
        <f>INDEX('BAU Scenario'!$A$2:$AC$33,MATCH('BAU Comparison - All Fuel'!$B14,'BAU Scenario'!$C$2:$C$33,0),MATCH(E$1,'BAU Scenario'!$A$2:$AC$2))</f>
        <v>0</v>
      </c>
      <c r="F14" s="362">
        <f>INDEX('BAU Scenario'!$A$2:$AC$33,MATCH('BAU Comparison - All Fuel'!$B14,'BAU Scenario'!$C$2:$C$33,0),MATCH(F$1,'BAU Scenario'!$A$2:$AC$2))</f>
        <v>0</v>
      </c>
      <c r="G14" s="362">
        <f>INDEX('BAU Scenario'!$A$2:$AC$33,MATCH('BAU Comparison - All Fuel'!$B14,'BAU Scenario'!$C$2:$C$33,0),MATCH(G$1,'BAU Scenario'!$A$2:$AC$2))</f>
        <v>0</v>
      </c>
      <c r="H14" s="362">
        <f>INDEX('BAU Scenario'!$A$2:$AC$33,MATCH('BAU Comparison - All Fuel'!$B14,'BAU Scenario'!$C$2:$C$33,0),MATCH(H$1,'BAU Scenario'!$A$2:$AC$2))</f>
        <v>0</v>
      </c>
      <c r="I14" s="362">
        <f>INDEX('BAU Scenario'!$A$2:$AC$33,MATCH('BAU Comparison - All Fuel'!$B14,'BAU Scenario'!$C$2:$C$33,0),MATCH(I$1,'BAU Scenario'!$A$2:$AC$2))</f>
        <v>0</v>
      </c>
      <c r="J14" s="362">
        <f>INDEX('BAU Scenario'!$A$2:$AC$33,MATCH('BAU Comparison - All Fuel'!$B14,'BAU Scenario'!$C$2:$C$33,0),MATCH(J$1,'BAU Scenario'!$A$2:$AC$2))</f>
        <v>0</v>
      </c>
      <c r="K14" s="362">
        <f>INDEX('BAU Scenario'!$A$2:$AC$33,MATCH('BAU Comparison - All Fuel'!$B14,'BAU Scenario'!$C$2:$C$33,0),MATCH(K$1,'BAU Scenario'!$A$2:$AC$2))</f>
        <v>0</v>
      </c>
      <c r="L14" s="362">
        <f>INDEX('BAU Scenario'!$A$2:$AC$33,MATCH('BAU Comparison - All Fuel'!$B14,'BAU Scenario'!$C$2:$C$33,0),MATCH(L$1,'BAU Scenario'!$A$2:$AC$2))</f>
        <v>0</v>
      </c>
      <c r="M14" s="362">
        <f>INDEX('BAU Scenario'!$A$2:$AC$33,MATCH('BAU Comparison - All Fuel'!$B14,'BAU Scenario'!$C$2:$C$33,0),MATCH(M$1,'BAU Scenario'!$A$2:$AC$2))</f>
        <v>0</v>
      </c>
      <c r="N14" s="362">
        <f>INDEX('BAU Scenario'!$A$2:$AC$33,MATCH('BAU Comparison - All Fuel'!$B14,'BAU Scenario'!$C$2:$C$33,0),MATCH(N$1,'BAU Scenario'!$A$2:$AC$2))</f>
        <v>0</v>
      </c>
      <c r="O14" s="362">
        <f>INDEX('BAU Scenario'!$A$2:$AC$33,MATCH('BAU Comparison - All Fuel'!$B14,'BAU Scenario'!$C$2:$C$33,0),MATCH(O$1,'BAU Scenario'!$A$2:$AC$2))</f>
        <v>0</v>
      </c>
      <c r="P14" s="362">
        <f>INDEX('BAU Scenario'!$A$2:$AC$33,MATCH('BAU Comparison - All Fuel'!$B14,'BAU Scenario'!$C$2:$C$33,0),MATCH(P$1,'BAU Scenario'!$A$2:$AC$2))</f>
        <v>0</v>
      </c>
      <c r="Q14" s="362">
        <f>INDEX('BAU Scenario'!$A$2:$AC$33,MATCH('BAU Comparison - All Fuel'!$B14,'BAU Scenario'!$C$2:$C$33,0),MATCH(Q$1,'BAU Scenario'!$A$2:$AC$2))</f>
        <v>0</v>
      </c>
      <c r="R14" s="362">
        <f>INDEX('BAU Scenario'!$A$2:$AC$33,MATCH('BAU Comparison - All Fuel'!$B14,'BAU Scenario'!$C$2:$C$33,0),MATCH(R$1,'BAU Scenario'!$A$2:$AC$2))</f>
        <v>0</v>
      </c>
      <c r="S14" s="362">
        <f>INDEX('BAU Scenario'!$A$2:$AC$33,MATCH('BAU Comparison - All Fuel'!$B14,'BAU Scenario'!$C$2:$C$33,0),MATCH(S$1,'BAU Scenario'!$A$2:$AC$2))</f>
        <v>0</v>
      </c>
      <c r="T14" s="362">
        <f>INDEX('BAU Scenario'!$A$2:$AC$33,MATCH('BAU Comparison - All Fuel'!$B14,'BAU Scenario'!$C$2:$C$33,0),MATCH(T$1,'BAU Scenario'!$A$2:$AC$2))</f>
        <v>0</v>
      </c>
      <c r="U14" s="362">
        <f>INDEX('BAU Scenario'!$A$2:$AC$33,MATCH('BAU Comparison - All Fuel'!$B14,'BAU Scenario'!$C$2:$C$33,0),MATCH(U$1,'BAU Scenario'!$A$2:$AC$2))</f>
        <v>0</v>
      </c>
      <c r="V14" s="362">
        <f>INDEX('BAU Scenario'!$A$2:$AC$33,MATCH('BAU Comparison - All Fuel'!$B14,'BAU Scenario'!$C$2:$C$33,0),MATCH(V$1,'BAU Scenario'!$A$2:$AC$2))</f>
        <v>0</v>
      </c>
      <c r="W14" s="362">
        <f>INDEX('BAU Scenario'!$A$2:$AC$33,MATCH('BAU Comparison - All Fuel'!$B14,'BAU Scenario'!$C$2:$C$33,0),MATCH(W$1,'BAU Scenario'!$A$2:$AC$2))</f>
        <v>0</v>
      </c>
      <c r="X14" s="362">
        <f>INDEX('BAU Scenario'!$A$2:$AC$33,MATCH('BAU Comparison - All Fuel'!$B14,'BAU Scenario'!$C$2:$C$33,0),MATCH(X$1,'BAU Scenario'!$A$2:$AC$2))</f>
        <v>0</v>
      </c>
      <c r="Y14" s="362">
        <f>INDEX('BAU Scenario'!$A$2:$AC$33,MATCH('BAU Comparison - All Fuel'!$B14,'BAU Scenario'!$C$2:$C$33,0),MATCH(Y$1,'BAU Scenario'!$A$2:$AC$2))</f>
        <v>0</v>
      </c>
      <c r="Z14" s="362">
        <f>INDEX('BAU Scenario'!$A$2:$AC$33,MATCH('BAU Comparison - All Fuel'!$B14,'BAU Scenario'!$C$2:$C$33,0),MATCH(Z$1,'BAU Scenario'!$A$2:$AC$2))</f>
        <v>0</v>
      </c>
      <c r="AA14" s="362">
        <f>INDEX('BAU Scenario'!$A$2:$AC$33,MATCH('BAU Comparison - All Fuel'!$B14,'BAU Scenario'!$C$2:$C$33,0),MATCH(AA$1,'BAU Scenario'!$A$2:$AC$2))</f>
        <v>0</v>
      </c>
      <c r="AB14" s="362">
        <f>INDEX('BAU Scenario'!$A$2:$AC$33,MATCH('BAU Comparison - All Fuel'!$B14,'BAU Scenario'!$C$2:$C$33,0),MATCH(AB$1,'BAU Scenario'!$A$2:$AC$2))</f>
        <v>0</v>
      </c>
    </row>
    <row r="15" spans="1:29" ht="15" customHeight="1">
      <c r="A15" s="455"/>
      <c r="B15" s="10" t="s">
        <v>24</v>
      </c>
      <c r="C15" s="10" t="s">
        <v>22</v>
      </c>
      <c r="D15" s="362">
        <f>INDEX('BAU Scenario'!$A$2:$AC$33,MATCH('BAU Comparison - All Fuel'!$B15,'BAU Scenario'!$C$2:$C$33,0),MATCH(D$1,'BAU Scenario'!$A$2:$AC$2))</f>
        <v>0</v>
      </c>
      <c r="E15" s="362">
        <f>INDEX('BAU Scenario'!$A$2:$AC$33,MATCH('BAU Comparison - All Fuel'!$B15,'BAU Scenario'!$C$2:$C$33,0),MATCH(E$1,'BAU Scenario'!$A$2:$AC$2))</f>
        <v>0</v>
      </c>
      <c r="F15" s="362">
        <f>INDEX('BAU Scenario'!$A$2:$AC$33,MATCH('BAU Comparison - All Fuel'!$B15,'BAU Scenario'!$C$2:$C$33,0),MATCH(F$1,'BAU Scenario'!$A$2:$AC$2))</f>
        <v>0</v>
      </c>
      <c r="G15" s="362">
        <f>INDEX('BAU Scenario'!$A$2:$AC$33,MATCH('BAU Comparison - All Fuel'!$B15,'BAU Scenario'!$C$2:$C$33,0),MATCH(G$1,'BAU Scenario'!$A$2:$AC$2))</f>
        <v>0</v>
      </c>
      <c r="H15" s="362">
        <f>INDEX('BAU Scenario'!$A$2:$AC$33,MATCH('BAU Comparison - All Fuel'!$B15,'BAU Scenario'!$C$2:$C$33,0),MATCH(H$1,'BAU Scenario'!$A$2:$AC$2))</f>
        <v>0</v>
      </c>
      <c r="I15" s="362">
        <f>INDEX('BAU Scenario'!$A$2:$AC$33,MATCH('BAU Comparison - All Fuel'!$B15,'BAU Scenario'!$C$2:$C$33,0),MATCH(I$1,'BAU Scenario'!$A$2:$AC$2))</f>
        <v>0</v>
      </c>
      <c r="J15" s="362">
        <f>INDEX('BAU Scenario'!$A$2:$AC$33,MATCH('BAU Comparison - All Fuel'!$B15,'BAU Scenario'!$C$2:$C$33,0),MATCH(J$1,'BAU Scenario'!$A$2:$AC$2))</f>
        <v>0</v>
      </c>
      <c r="K15" s="362">
        <f>INDEX('BAU Scenario'!$A$2:$AC$33,MATCH('BAU Comparison - All Fuel'!$B15,'BAU Scenario'!$C$2:$C$33,0),MATCH(K$1,'BAU Scenario'!$A$2:$AC$2))</f>
        <v>0</v>
      </c>
      <c r="L15" s="362">
        <f>INDEX('BAU Scenario'!$A$2:$AC$33,MATCH('BAU Comparison - All Fuel'!$B15,'BAU Scenario'!$C$2:$C$33,0),MATCH(L$1,'BAU Scenario'!$A$2:$AC$2))</f>
        <v>0</v>
      </c>
      <c r="M15" s="362">
        <f>INDEX('BAU Scenario'!$A$2:$AC$33,MATCH('BAU Comparison - All Fuel'!$B15,'BAU Scenario'!$C$2:$C$33,0),MATCH(M$1,'BAU Scenario'!$A$2:$AC$2))</f>
        <v>0</v>
      </c>
      <c r="N15" s="362">
        <f>INDEX('BAU Scenario'!$A$2:$AC$33,MATCH('BAU Comparison - All Fuel'!$B15,'BAU Scenario'!$C$2:$C$33,0),MATCH(N$1,'BAU Scenario'!$A$2:$AC$2))</f>
        <v>0</v>
      </c>
      <c r="O15" s="362">
        <f>INDEX('BAU Scenario'!$A$2:$AC$33,MATCH('BAU Comparison - All Fuel'!$B15,'BAU Scenario'!$C$2:$C$33,0),MATCH(O$1,'BAU Scenario'!$A$2:$AC$2))</f>
        <v>0</v>
      </c>
      <c r="P15" s="362">
        <f>INDEX('BAU Scenario'!$A$2:$AC$33,MATCH('BAU Comparison - All Fuel'!$B15,'BAU Scenario'!$C$2:$C$33,0),MATCH(P$1,'BAU Scenario'!$A$2:$AC$2))</f>
        <v>0</v>
      </c>
      <c r="Q15" s="362">
        <f>INDEX('BAU Scenario'!$A$2:$AC$33,MATCH('BAU Comparison - All Fuel'!$B15,'BAU Scenario'!$C$2:$C$33,0),MATCH(Q$1,'BAU Scenario'!$A$2:$AC$2))</f>
        <v>0</v>
      </c>
      <c r="R15" s="362">
        <f>INDEX('BAU Scenario'!$A$2:$AC$33,MATCH('BAU Comparison - All Fuel'!$B15,'BAU Scenario'!$C$2:$C$33,0),MATCH(R$1,'BAU Scenario'!$A$2:$AC$2))</f>
        <v>0</v>
      </c>
      <c r="S15" s="362">
        <f>INDEX('BAU Scenario'!$A$2:$AC$33,MATCH('BAU Comparison - All Fuel'!$B15,'BAU Scenario'!$C$2:$C$33,0),MATCH(S$1,'BAU Scenario'!$A$2:$AC$2))</f>
        <v>0</v>
      </c>
      <c r="T15" s="362">
        <f>INDEX('BAU Scenario'!$A$2:$AC$33,MATCH('BAU Comparison - All Fuel'!$B15,'BAU Scenario'!$C$2:$C$33,0),MATCH(T$1,'BAU Scenario'!$A$2:$AC$2))</f>
        <v>0</v>
      </c>
      <c r="U15" s="362">
        <f>INDEX('BAU Scenario'!$A$2:$AC$33,MATCH('BAU Comparison - All Fuel'!$B15,'BAU Scenario'!$C$2:$C$33,0),MATCH(U$1,'BAU Scenario'!$A$2:$AC$2))</f>
        <v>8.0123047741666138</v>
      </c>
      <c r="V15" s="362">
        <f>INDEX('BAU Scenario'!$A$2:$AC$33,MATCH('BAU Comparison - All Fuel'!$B15,'BAU Scenario'!$C$2:$C$33,0),MATCH(V$1,'BAU Scenario'!$A$2:$AC$2))</f>
        <v>25.39598266716661</v>
      </c>
      <c r="W15" s="362">
        <f>INDEX('BAU Scenario'!$A$2:$AC$33,MATCH('BAU Comparison - All Fuel'!$B15,'BAU Scenario'!$C$2:$C$33,0),MATCH(W$1,'BAU Scenario'!$A$2:$AC$2))</f>
        <v>44.702786013166637</v>
      </c>
      <c r="X15" s="362">
        <f>INDEX('BAU Scenario'!$A$2:$AC$33,MATCH('BAU Comparison - All Fuel'!$B15,'BAU Scenario'!$C$2:$C$33,0),MATCH(X$1,'BAU Scenario'!$A$2:$AC$2))</f>
        <v>67.842351482333285</v>
      </c>
      <c r="Y15" s="362">
        <f>INDEX('BAU Scenario'!$A$2:$AC$33,MATCH('BAU Comparison - All Fuel'!$B15,'BAU Scenario'!$C$2:$C$33,0),MATCH(Y$1,'BAU Scenario'!$A$2:$AC$2))</f>
        <v>77.558381250666642</v>
      </c>
      <c r="Z15" s="362">
        <f>INDEX('BAU Scenario'!$A$2:$AC$33,MATCH('BAU Comparison - All Fuel'!$B15,'BAU Scenario'!$C$2:$C$33,0),MATCH(Z$1,'BAU Scenario'!$A$2:$AC$2))</f>
        <v>88.236226162166602</v>
      </c>
      <c r="AA15" s="362">
        <f>INDEX('BAU Scenario'!$A$2:$AC$33,MATCH('BAU Comparison - All Fuel'!$B15,'BAU Scenario'!$C$2:$C$33,0),MATCH(AA$1,'BAU Scenario'!$A$2:$AC$2))</f>
        <v>99.297376775499927</v>
      </c>
      <c r="AB15" s="362">
        <f>INDEX('BAU Scenario'!$A$2:$AC$33,MATCH('BAU Comparison - All Fuel'!$B15,'BAU Scenario'!$C$2:$C$33,0),MATCH(AB$1,'BAU Scenario'!$A$2:$AC$2))</f>
        <v>115.92991817399989</v>
      </c>
    </row>
    <row r="16" spans="1:29" ht="15" customHeight="1">
      <c r="A16" s="455"/>
      <c r="B16" s="10" t="s">
        <v>21</v>
      </c>
      <c r="C16" s="10" t="s">
        <v>22</v>
      </c>
      <c r="D16" s="362">
        <f>INDEX('BAU Scenario'!$A$2:$AC$33,MATCH('BAU Comparison - All Fuel'!$B16,'BAU Scenario'!$C$2:$C$33,0),MATCH(D$1,'BAU Scenario'!$A$2:$AC$2))</f>
        <v>0</v>
      </c>
      <c r="E16" s="362">
        <f>INDEX('BAU Scenario'!$A$2:$AC$33,MATCH('BAU Comparison - All Fuel'!$B16,'BAU Scenario'!$C$2:$C$33,0),MATCH(E$1,'BAU Scenario'!$A$2:$AC$2))</f>
        <v>0</v>
      </c>
      <c r="F16" s="362">
        <f>INDEX('BAU Scenario'!$A$2:$AC$33,MATCH('BAU Comparison - All Fuel'!$B16,'BAU Scenario'!$C$2:$C$33,0),MATCH(F$1,'BAU Scenario'!$A$2:$AC$2))</f>
        <v>0</v>
      </c>
      <c r="G16" s="362">
        <f>INDEX('BAU Scenario'!$A$2:$AC$33,MATCH('BAU Comparison - All Fuel'!$B16,'BAU Scenario'!$C$2:$C$33,0),MATCH(G$1,'BAU Scenario'!$A$2:$AC$2))</f>
        <v>0</v>
      </c>
      <c r="H16" s="362">
        <f>INDEX('BAU Scenario'!$A$2:$AC$33,MATCH('BAU Comparison - All Fuel'!$B16,'BAU Scenario'!$C$2:$C$33,0),MATCH(H$1,'BAU Scenario'!$A$2:$AC$2))</f>
        <v>0</v>
      </c>
      <c r="I16" s="362">
        <f>INDEX('BAU Scenario'!$A$2:$AC$33,MATCH('BAU Comparison - All Fuel'!$B16,'BAU Scenario'!$C$2:$C$33,0),MATCH(I$1,'BAU Scenario'!$A$2:$AC$2))</f>
        <v>0</v>
      </c>
      <c r="J16" s="362">
        <f>INDEX('BAU Scenario'!$A$2:$AC$33,MATCH('BAU Comparison - All Fuel'!$B16,'BAU Scenario'!$C$2:$C$33,0),MATCH(J$1,'BAU Scenario'!$A$2:$AC$2))</f>
        <v>0</v>
      </c>
      <c r="K16" s="362">
        <f>INDEX('BAU Scenario'!$A$2:$AC$33,MATCH('BAU Comparison - All Fuel'!$B16,'BAU Scenario'!$C$2:$C$33,0),MATCH(K$1,'BAU Scenario'!$A$2:$AC$2))</f>
        <v>0</v>
      </c>
      <c r="L16" s="362">
        <f>INDEX('BAU Scenario'!$A$2:$AC$33,MATCH('BAU Comparison - All Fuel'!$B16,'BAU Scenario'!$C$2:$C$33,0),MATCH(L$1,'BAU Scenario'!$A$2:$AC$2))</f>
        <v>3.2550488666666668</v>
      </c>
      <c r="M16" s="362">
        <f>INDEX('BAU Scenario'!$A$2:$AC$33,MATCH('BAU Comparison - All Fuel'!$B16,'BAU Scenario'!$C$2:$C$33,0),MATCH(M$1,'BAU Scenario'!$A$2:$AC$2))</f>
        <v>2.8818263583333419</v>
      </c>
      <c r="N16" s="362">
        <f>INDEX('BAU Scenario'!$A$2:$AC$33,MATCH('BAU Comparison - All Fuel'!$B16,'BAU Scenario'!$C$2:$C$33,0),MATCH(N$1,'BAU Scenario'!$A$2:$AC$2))</f>
        <v>0</v>
      </c>
      <c r="O16" s="362">
        <f>INDEX('BAU Scenario'!$A$2:$AC$33,MATCH('BAU Comparison - All Fuel'!$B16,'BAU Scenario'!$C$2:$C$33,0),MATCH(O$1,'BAU Scenario'!$A$2:$AC$2))</f>
        <v>0</v>
      </c>
      <c r="P16" s="362">
        <f>INDEX('BAU Scenario'!$A$2:$AC$33,MATCH('BAU Comparison - All Fuel'!$B16,'BAU Scenario'!$C$2:$C$33,0),MATCH(P$1,'BAU Scenario'!$A$2:$AC$2))</f>
        <v>0</v>
      </c>
      <c r="Q16" s="362">
        <f>INDEX('BAU Scenario'!$A$2:$AC$33,MATCH('BAU Comparison - All Fuel'!$B16,'BAU Scenario'!$C$2:$C$33,0),MATCH(Q$1,'BAU Scenario'!$A$2:$AC$2))</f>
        <v>0</v>
      </c>
      <c r="R16" s="362">
        <f>INDEX('BAU Scenario'!$A$2:$AC$33,MATCH('BAU Comparison - All Fuel'!$B16,'BAU Scenario'!$C$2:$C$33,0),MATCH(R$1,'BAU Scenario'!$A$2:$AC$2))</f>
        <v>0</v>
      </c>
      <c r="S16" s="362">
        <f>INDEX('BAU Scenario'!$A$2:$AC$33,MATCH('BAU Comparison - All Fuel'!$B16,'BAU Scenario'!$C$2:$C$33,0),MATCH(S$1,'BAU Scenario'!$A$2:$AC$2))</f>
        <v>0</v>
      </c>
      <c r="T16" s="362">
        <f>INDEX('BAU Scenario'!$A$2:$AC$33,MATCH('BAU Comparison - All Fuel'!$B16,'BAU Scenario'!$C$2:$C$33,0),MATCH(T$1,'BAU Scenario'!$A$2:$AC$2))</f>
        <v>0</v>
      </c>
      <c r="U16" s="362">
        <f>INDEX('BAU Scenario'!$A$2:$AC$33,MATCH('BAU Comparison - All Fuel'!$B16,'BAU Scenario'!$C$2:$C$33,0),MATCH(U$1,'BAU Scenario'!$A$2:$AC$2))</f>
        <v>0</v>
      </c>
      <c r="V16" s="362">
        <f>INDEX('BAU Scenario'!$A$2:$AC$33,MATCH('BAU Comparison - All Fuel'!$B16,'BAU Scenario'!$C$2:$C$33,0),MATCH(V$1,'BAU Scenario'!$A$2:$AC$2))</f>
        <v>0</v>
      </c>
      <c r="W16" s="362">
        <f>INDEX('BAU Scenario'!$A$2:$AC$33,MATCH('BAU Comparison - All Fuel'!$B16,'BAU Scenario'!$C$2:$C$33,0),MATCH(W$1,'BAU Scenario'!$A$2:$AC$2))</f>
        <v>0</v>
      </c>
      <c r="X16" s="362">
        <f>INDEX('BAU Scenario'!$A$2:$AC$33,MATCH('BAU Comparison - All Fuel'!$B16,'BAU Scenario'!$C$2:$C$33,0),MATCH(X$1,'BAU Scenario'!$A$2:$AC$2))</f>
        <v>0</v>
      </c>
      <c r="Y16" s="362">
        <f>INDEX('BAU Scenario'!$A$2:$AC$33,MATCH('BAU Comparison - All Fuel'!$B16,'BAU Scenario'!$C$2:$C$33,0),MATCH(Y$1,'BAU Scenario'!$A$2:$AC$2))</f>
        <v>0</v>
      </c>
      <c r="Z16" s="362">
        <f>INDEX('BAU Scenario'!$A$2:$AC$33,MATCH('BAU Comparison - All Fuel'!$B16,'BAU Scenario'!$C$2:$C$33,0),MATCH(Z$1,'BAU Scenario'!$A$2:$AC$2))</f>
        <v>0</v>
      </c>
      <c r="AA16" s="362">
        <f>INDEX('BAU Scenario'!$A$2:$AC$33,MATCH('BAU Comparison - All Fuel'!$B16,'BAU Scenario'!$C$2:$C$33,0),MATCH(AA$1,'BAU Scenario'!$A$2:$AC$2))</f>
        <v>0</v>
      </c>
      <c r="AB16" s="362">
        <f>INDEX('BAU Scenario'!$A$2:$AC$33,MATCH('BAU Comparison - All Fuel'!$B16,'BAU Scenario'!$C$2:$C$33,0),MATCH(AB$1,'BAU Scenario'!$A$2:$AC$2))</f>
        <v>0</v>
      </c>
    </row>
    <row r="17" spans="1:32" ht="15" customHeight="1">
      <c r="A17" s="455"/>
      <c r="B17" s="10" t="s">
        <v>23</v>
      </c>
      <c r="C17" s="10" t="s">
        <v>22</v>
      </c>
      <c r="D17" s="362">
        <f>INDEX('BAU Scenario'!$A$2:$AC$33,MATCH('BAU Comparison - All Fuel'!$B17,'BAU Scenario'!$C$2:$C$33,0),MATCH(D$1,'BAU Scenario'!$A$2:$AC$2))</f>
        <v>0</v>
      </c>
      <c r="E17" s="362">
        <f>INDEX('BAU Scenario'!$A$2:$AC$33,MATCH('BAU Comparison - All Fuel'!$B17,'BAU Scenario'!$C$2:$C$33,0),MATCH(E$1,'BAU Scenario'!$A$2:$AC$2))</f>
        <v>0</v>
      </c>
      <c r="F17" s="362">
        <f>INDEX('BAU Scenario'!$A$2:$AC$33,MATCH('BAU Comparison - All Fuel'!$B17,'BAU Scenario'!$C$2:$C$33,0),MATCH(F$1,'BAU Scenario'!$A$2:$AC$2))</f>
        <v>0</v>
      </c>
      <c r="G17" s="362">
        <f>INDEX('BAU Scenario'!$A$2:$AC$33,MATCH('BAU Comparison - All Fuel'!$B17,'BAU Scenario'!$C$2:$C$33,0),MATCH(G$1,'BAU Scenario'!$A$2:$AC$2))</f>
        <v>0.54649999999999999</v>
      </c>
      <c r="H17" s="362">
        <f>INDEX('BAU Scenario'!$A$2:$AC$33,MATCH('BAU Comparison - All Fuel'!$B17,'BAU Scenario'!$C$2:$C$33,0),MATCH(H$1,'BAU Scenario'!$A$2:$AC$2))</f>
        <v>0</v>
      </c>
      <c r="I17" s="362">
        <f>INDEX('BAU Scenario'!$A$2:$AC$33,MATCH('BAU Comparison - All Fuel'!$B17,'BAU Scenario'!$C$2:$C$33,0),MATCH(I$1,'BAU Scenario'!$A$2:$AC$2))</f>
        <v>0</v>
      </c>
      <c r="J17" s="362">
        <f>INDEX('BAU Scenario'!$A$2:$AC$33,MATCH('BAU Comparison - All Fuel'!$B17,'BAU Scenario'!$C$2:$C$33,0),MATCH(J$1,'BAU Scenario'!$A$2:$AC$2))</f>
        <v>0</v>
      </c>
      <c r="K17" s="362">
        <f>INDEX('BAU Scenario'!$A$2:$AC$33,MATCH('BAU Comparison - All Fuel'!$B17,'BAU Scenario'!$C$2:$C$33,0),MATCH(K$1,'BAU Scenario'!$A$2:$AC$2))</f>
        <v>0</v>
      </c>
      <c r="L17" s="362">
        <f>INDEX('BAU Scenario'!$A$2:$AC$33,MATCH('BAU Comparison - All Fuel'!$B17,'BAU Scenario'!$C$2:$C$33,0),MATCH(L$1,'BAU Scenario'!$A$2:$AC$2))</f>
        <v>0</v>
      </c>
      <c r="M17" s="362">
        <f>INDEX('BAU Scenario'!$A$2:$AC$33,MATCH('BAU Comparison - All Fuel'!$B17,'BAU Scenario'!$C$2:$C$33,0),MATCH(M$1,'BAU Scenario'!$A$2:$AC$2))</f>
        <v>0</v>
      </c>
      <c r="N17" s="362">
        <f>INDEX('BAU Scenario'!$A$2:$AC$33,MATCH('BAU Comparison - All Fuel'!$B17,'BAU Scenario'!$C$2:$C$33,0),MATCH(N$1,'BAU Scenario'!$A$2:$AC$2))</f>
        <v>0</v>
      </c>
      <c r="O17" s="362">
        <f>INDEX('BAU Scenario'!$A$2:$AC$33,MATCH('BAU Comparison - All Fuel'!$B17,'BAU Scenario'!$C$2:$C$33,0),MATCH(O$1,'BAU Scenario'!$A$2:$AC$2))</f>
        <v>0</v>
      </c>
      <c r="P17" s="362">
        <f>INDEX('BAU Scenario'!$A$2:$AC$33,MATCH('BAU Comparison - All Fuel'!$B17,'BAU Scenario'!$C$2:$C$33,0),MATCH(P$1,'BAU Scenario'!$A$2:$AC$2))</f>
        <v>0</v>
      </c>
      <c r="Q17" s="362">
        <f>INDEX('BAU Scenario'!$A$2:$AC$33,MATCH('BAU Comparison - All Fuel'!$B17,'BAU Scenario'!$C$2:$C$33,0),MATCH(Q$1,'BAU Scenario'!$A$2:$AC$2))</f>
        <v>0</v>
      </c>
      <c r="R17" s="362">
        <f>INDEX('BAU Scenario'!$A$2:$AC$33,MATCH('BAU Comparison - All Fuel'!$B17,'BAU Scenario'!$C$2:$C$33,0),MATCH(R$1,'BAU Scenario'!$A$2:$AC$2))</f>
        <v>0</v>
      </c>
      <c r="S17" s="362">
        <f>INDEX('BAU Scenario'!$A$2:$AC$33,MATCH('BAU Comparison - All Fuel'!$B17,'BAU Scenario'!$C$2:$C$33,0),MATCH(S$1,'BAU Scenario'!$A$2:$AC$2))</f>
        <v>0</v>
      </c>
      <c r="T17" s="362">
        <f>INDEX('BAU Scenario'!$A$2:$AC$33,MATCH('BAU Comparison - All Fuel'!$B17,'BAU Scenario'!$C$2:$C$33,0),MATCH(T$1,'BAU Scenario'!$A$2:$AC$2))</f>
        <v>0</v>
      </c>
      <c r="U17" s="362">
        <f>INDEX('BAU Scenario'!$A$2:$AC$33,MATCH('BAU Comparison - All Fuel'!$B17,'BAU Scenario'!$C$2:$C$33,0),MATCH(U$1,'BAU Scenario'!$A$2:$AC$2))</f>
        <v>0</v>
      </c>
      <c r="V17" s="362">
        <f>INDEX('BAU Scenario'!$A$2:$AC$33,MATCH('BAU Comparison - All Fuel'!$B17,'BAU Scenario'!$C$2:$C$33,0),MATCH(V$1,'BAU Scenario'!$A$2:$AC$2))</f>
        <v>0</v>
      </c>
      <c r="W17" s="362">
        <f>INDEX('BAU Scenario'!$A$2:$AC$33,MATCH('BAU Comparison - All Fuel'!$B17,'BAU Scenario'!$C$2:$C$33,0),MATCH(W$1,'BAU Scenario'!$A$2:$AC$2))</f>
        <v>0</v>
      </c>
      <c r="X17" s="362">
        <f>INDEX('BAU Scenario'!$A$2:$AC$33,MATCH('BAU Comparison - All Fuel'!$B17,'BAU Scenario'!$C$2:$C$33,0),MATCH(X$1,'BAU Scenario'!$A$2:$AC$2))</f>
        <v>0</v>
      </c>
      <c r="Y17" s="362">
        <f>INDEX('BAU Scenario'!$A$2:$AC$33,MATCH('BAU Comparison - All Fuel'!$B17,'BAU Scenario'!$C$2:$C$33,0),MATCH(Y$1,'BAU Scenario'!$A$2:$AC$2))</f>
        <v>0</v>
      </c>
      <c r="Z17" s="362">
        <f>INDEX('BAU Scenario'!$A$2:$AC$33,MATCH('BAU Comparison - All Fuel'!$B17,'BAU Scenario'!$C$2:$C$33,0),MATCH(Z$1,'BAU Scenario'!$A$2:$AC$2))</f>
        <v>0</v>
      </c>
      <c r="AA17" s="362">
        <f>INDEX('BAU Scenario'!$A$2:$AC$33,MATCH('BAU Comparison - All Fuel'!$B17,'BAU Scenario'!$C$2:$C$33,0),MATCH(AA$1,'BAU Scenario'!$A$2:$AC$2))</f>
        <v>0</v>
      </c>
      <c r="AB17" s="362">
        <f>INDEX('BAU Scenario'!$A$2:$AC$33,MATCH('BAU Comparison - All Fuel'!$B17,'BAU Scenario'!$C$2:$C$33,0),MATCH(AB$1,'BAU Scenario'!$A$2:$AC$2))</f>
        <v>0</v>
      </c>
    </row>
    <row r="18" spans="1:32" ht="15" customHeight="1">
      <c r="A18" s="455"/>
      <c r="B18" s="10" t="s">
        <v>25</v>
      </c>
      <c r="C18" s="10" t="s">
        <v>22</v>
      </c>
      <c r="D18" s="362">
        <f>INDEX('BAU Scenario'!$A$2:$AC$33,MATCH('BAU Comparison - All Fuel'!$B18,'BAU Scenario'!$C$2:$C$33,0),MATCH(D$1,'BAU Scenario'!$A$2:$AC$2))</f>
        <v>0</v>
      </c>
      <c r="E18" s="362">
        <f>INDEX('BAU Scenario'!$A$2:$AC$33,MATCH('BAU Comparison - All Fuel'!$B18,'BAU Scenario'!$C$2:$C$33,0),MATCH(E$1,'BAU Scenario'!$A$2:$AC$2))</f>
        <v>0</v>
      </c>
      <c r="F18" s="362">
        <f>INDEX('BAU Scenario'!$A$2:$AC$33,MATCH('BAU Comparison - All Fuel'!$B18,'BAU Scenario'!$C$2:$C$33,0),MATCH(F$1,'BAU Scenario'!$A$2:$AC$2))</f>
        <v>0</v>
      </c>
      <c r="G18" s="362">
        <f>INDEX('BAU Scenario'!$A$2:$AC$33,MATCH('BAU Comparison - All Fuel'!$B18,'BAU Scenario'!$C$2:$C$33,0),MATCH(G$1,'BAU Scenario'!$A$2:$AC$2))</f>
        <v>0</v>
      </c>
      <c r="H18" s="362">
        <f>INDEX('BAU Scenario'!$A$2:$AC$33,MATCH('BAU Comparison - All Fuel'!$B18,'BAU Scenario'!$C$2:$C$33,0),MATCH(H$1,'BAU Scenario'!$A$2:$AC$2))</f>
        <v>0</v>
      </c>
      <c r="I18" s="362">
        <f>INDEX('BAU Scenario'!$A$2:$AC$33,MATCH('BAU Comparison - All Fuel'!$B18,'BAU Scenario'!$C$2:$C$33,0),MATCH(I$1,'BAU Scenario'!$A$2:$AC$2))</f>
        <v>0</v>
      </c>
      <c r="J18" s="362">
        <f>INDEX('BAU Scenario'!$A$2:$AC$33,MATCH('BAU Comparison - All Fuel'!$B18,'BAU Scenario'!$C$2:$C$33,0),MATCH(J$1,'BAU Scenario'!$A$2:$AC$2))</f>
        <v>0</v>
      </c>
      <c r="K18" s="362">
        <f>INDEX('BAU Scenario'!$A$2:$AC$33,MATCH('BAU Comparison - All Fuel'!$B18,'BAU Scenario'!$C$2:$C$33,0),MATCH(K$1,'BAU Scenario'!$A$2:$AC$2))</f>
        <v>0</v>
      </c>
      <c r="L18" s="362">
        <f>INDEX('BAU Scenario'!$A$2:$AC$33,MATCH('BAU Comparison - All Fuel'!$B18,'BAU Scenario'!$C$2:$C$33,0),MATCH(L$1,'BAU Scenario'!$A$2:$AC$2))</f>
        <v>0</v>
      </c>
      <c r="M18" s="362">
        <f>INDEX('BAU Scenario'!$A$2:$AC$33,MATCH('BAU Comparison - All Fuel'!$B18,'BAU Scenario'!$C$2:$C$33,0),MATCH(M$1,'BAU Scenario'!$A$2:$AC$2))</f>
        <v>0</v>
      </c>
      <c r="N18" s="362">
        <f>INDEX('BAU Scenario'!$A$2:$AC$33,MATCH('BAU Comparison - All Fuel'!$B18,'BAU Scenario'!$C$2:$C$33,0),MATCH(N$1,'BAU Scenario'!$A$2:$AC$2))</f>
        <v>0</v>
      </c>
      <c r="O18" s="362">
        <f>INDEX('BAU Scenario'!$A$2:$AC$33,MATCH('BAU Comparison - All Fuel'!$B18,'BAU Scenario'!$C$2:$C$33,0),MATCH(O$1,'BAU Scenario'!$A$2:$AC$2))</f>
        <v>0</v>
      </c>
      <c r="P18" s="362">
        <f>INDEX('BAU Scenario'!$A$2:$AC$33,MATCH('BAU Comparison - All Fuel'!$B18,'BAU Scenario'!$C$2:$C$33,0),MATCH(P$1,'BAU Scenario'!$A$2:$AC$2))</f>
        <v>0</v>
      </c>
      <c r="Q18" s="362">
        <f>INDEX('BAU Scenario'!$A$2:$AC$33,MATCH('BAU Comparison - All Fuel'!$B18,'BAU Scenario'!$C$2:$C$33,0),MATCH(Q$1,'BAU Scenario'!$A$2:$AC$2))</f>
        <v>0</v>
      </c>
      <c r="R18" s="362">
        <f>INDEX('BAU Scenario'!$A$2:$AC$33,MATCH('BAU Comparison - All Fuel'!$B18,'BAU Scenario'!$C$2:$C$33,0),MATCH(R$1,'BAU Scenario'!$A$2:$AC$2))</f>
        <v>0</v>
      </c>
      <c r="S18" s="362">
        <f>INDEX('BAU Scenario'!$A$2:$AC$33,MATCH('BAU Comparison - All Fuel'!$B18,'BAU Scenario'!$C$2:$C$33,0),MATCH(S$1,'BAU Scenario'!$A$2:$AC$2))</f>
        <v>0</v>
      </c>
      <c r="T18" s="362">
        <f>INDEX('BAU Scenario'!$A$2:$AC$33,MATCH('BAU Comparison - All Fuel'!$B18,'BAU Scenario'!$C$2:$C$33,0),MATCH(T$1,'BAU Scenario'!$A$2:$AC$2))</f>
        <v>0</v>
      </c>
      <c r="U18" s="362">
        <f>INDEX('BAU Scenario'!$A$2:$AC$33,MATCH('BAU Comparison - All Fuel'!$B18,'BAU Scenario'!$C$2:$C$33,0),MATCH(U$1,'BAU Scenario'!$A$2:$AC$2))</f>
        <v>0</v>
      </c>
      <c r="V18" s="362">
        <f>INDEX('BAU Scenario'!$A$2:$AC$33,MATCH('BAU Comparison - All Fuel'!$B18,'BAU Scenario'!$C$2:$C$33,0),MATCH(V$1,'BAU Scenario'!$A$2:$AC$2))</f>
        <v>0</v>
      </c>
      <c r="W18" s="362">
        <f>INDEX('BAU Scenario'!$A$2:$AC$33,MATCH('BAU Comparison - All Fuel'!$B18,'BAU Scenario'!$C$2:$C$33,0),MATCH(W$1,'BAU Scenario'!$A$2:$AC$2))</f>
        <v>0</v>
      </c>
      <c r="X18" s="362">
        <f>INDEX('BAU Scenario'!$A$2:$AC$33,MATCH('BAU Comparison - All Fuel'!$B18,'BAU Scenario'!$C$2:$C$33,0),MATCH(X$1,'BAU Scenario'!$A$2:$AC$2))</f>
        <v>0</v>
      </c>
      <c r="Y18" s="362">
        <f>INDEX('BAU Scenario'!$A$2:$AC$33,MATCH('BAU Comparison - All Fuel'!$B18,'BAU Scenario'!$C$2:$C$33,0),MATCH(Y$1,'BAU Scenario'!$A$2:$AC$2))</f>
        <v>0</v>
      </c>
      <c r="Z18" s="362">
        <f>INDEX('BAU Scenario'!$A$2:$AC$33,MATCH('BAU Comparison - All Fuel'!$B18,'BAU Scenario'!$C$2:$C$33,0),MATCH(Z$1,'BAU Scenario'!$A$2:$AC$2))</f>
        <v>0</v>
      </c>
      <c r="AA18" s="362">
        <f>INDEX('BAU Scenario'!$A$2:$AC$33,MATCH('BAU Comparison - All Fuel'!$B18,'BAU Scenario'!$C$2:$C$33,0),MATCH(AA$1,'BAU Scenario'!$A$2:$AC$2))</f>
        <v>0</v>
      </c>
      <c r="AB18" s="362">
        <f>INDEX('BAU Scenario'!$A$2:$AC$33,MATCH('BAU Comparison - All Fuel'!$B18,'BAU Scenario'!$C$2:$C$33,0),MATCH(AB$1,'BAU Scenario'!$A$2:$AC$2))</f>
        <v>0</v>
      </c>
    </row>
    <row r="19" spans="1:32" ht="15" customHeight="1">
      <c r="A19" s="455"/>
      <c r="B19" s="10" t="s">
        <v>26</v>
      </c>
      <c r="C19" s="10" t="s">
        <v>22</v>
      </c>
      <c r="D19" s="362">
        <f>INDEX('BAU Scenario'!$A$2:$AC$33,MATCH('BAU Comparison - All Fuel'!$B19,'BAU Scenario'!$C$2:$C$33,0),MATCH(D$1,'BAU Scenario'!$A$2:$AC$2))</f>
        <v>0</v>
      </c>
      <c r="E19" s="362">
        <f>INDEX('BAU Scenario'!$A$2:$AC$33,MATCH('BAU Comparison - All Fuel'!$B19,'BAU Scenario'!$C$2:$C$33,0),MATCH(E$1,'BAU Scenario'!$A$2:$AC$2))</f>
        <v>0.2385582083333333</v>
      </c>
      <c r="F19" s="362">
        <f>INDEX('BAU Scenario'!$A$2:$AC$33,MATCH('BAU Comparison - All Fuel'!$B19,'BAU Scenario'!$C$2:$C$33,0),MATCH(F$1,'BAU Scenario'!$A$2:$AC$2))</f>
        <v>1.1241731333333329</v>
      </c>
      <c r="G19" s="362">
        <f>INDEX('BAU Scenario'!$A$2:$AC$33,MATCH('BAU Comparison - All Fuel'!$B19,'BAU Scenario'!$C$2:$C$33,0),MATCH(G$1,'BAU Scenario'!$A$2:$AC$2))</f>
        <v>2.0283731833333332</v>
      </c>
      <c r="H19" s="362">
        <f>INDEX('BAU Scenario'!$A$2:$AC$33,MATCH('BAU Comparison - All Fuel'!$B19,'BAU Scenario'!$C$2:$C$33,0),MATCH(H$1,'BAU Scenario'!$A$2:$AC$2))</f>
        <v>5.1617237999999999</v>
      </c>
      <c r="I19" s="362">
        <f>INDEX('BAU Scenario'!$A$2:$AC$33,MATCH('BAU Comparison - All Fuel'!$B19,'BAU Scenario'!$C$2:$C$33,0),MATCH(I$1,'BAU Scenario'!$A$2:$AC$2))</f>
        <v>10.654472183333329</v>
      </c>
      <c r="J19" s="362">
        <f>INDEX('BAU Scenario'!$A$2:$AC$33,MATCH('BAU Comparison - All Fuel'!$B19,'BAU Scenario'!$C$2:$C$33,0),MATCH(J$1,'BAU Scenario'!$A$2:$AC$2))</f>
        <v>20.592489916666668</v>
      </c>
      <c r="K19" s="362">
        <f>INDEX('BAU Scenario'!$A$2:$AC$33,MATCH('BAU Comparison - All Fuel'!$B19,'BAU Scenario'!$C$2:$C$33,0),MATCH(K$1,'BAU Scenario'!$A$2:$AC$2))</f>
        <v>34.402153908333332</v>
      </c>
      <c r="L19" s="362">
        <f>INDEX('BAU Scenario'!$A$2:$AC$33,MATCH('BAU Comparison - All Fuel'!$B19,'BAU Scenario'!$C$2:$C$33,0),MATCH(L$1,'BAU Scenario'!$A$2:$AC$2))</f>
        <v>48.262500000000003</v>
      </c>
      <c r="M19" s="362">
        <f>INDEX('BAU Scenario'!$A$2:$AC$33,MATCH('BAU Comparison - All Fuel'!$B19,'BAU Scenario'!$C$2:$C$33,0),MATCH(M$1,'BAU Scenario'!$A$2:$AC$2))</f>
        <v>67.567499999999981</v>
      </c>
      <c r="N19" s="362">
        <f>INDEX('BAU Scenario'!$A$2:$AC$33,MATCH('BAU Comparison - All Fuel'!$B19,'BAU Scenario'!$C$2:$C$33,0),MATCH(N$1,'BAU Scenario'!$A$2:$AC$2))</f>
        <v>88.950653916666667</v>
      </c>
      <c r="O19" s="362">
        <f>INDEX('BAU Scenario'!$A$2:$AC$33,MATCH('BAU Comparison - All Fuel'!$B19,'BAU Scenario'!$C$2:$C$33,0),MATCH(O$1,'BAU Scenario'!$A$2:$AC$2))</f>
        <v>106.31570783333331</v>
      </c>
      <c r="P19" s="362">
        <f>INDEX('BAU Scenario'!$A$2:$AC$33,MATCH('BAU Comparison - All Fuel'!$B19,'BAU Scenario'!$C$2:$C$33,0),MATCH(P$1,'BAU Scenario'!$A$2:$AC$2))</f>
        <v>129.653683925</v>
      </c>
      <c r="Q19" s="362">
        <f>INDEX('BAU Scenario'!$A$2:$AC$33,MATCH('BAU Comparison - All Fuel'!$B19,'BAU Scenario'!$C$2:$C$33,0),MATCH(Q$1,'BAU Scenario'!$A$2:$AC$2))</f>
        <v>155.58310943333331</v>
      </c>
      <c r="R19" s="362">
        <f>INDEX('BAU Scenario'!$A$2:$AC$33,MATCH('BAU Comparison - All Fuel'!$B19,'BAU Scenario'!$C$2:$C$33,0),MATCH(R$1,'BAU Scenario'!$A$2:$AC$2))</f>
        <v>180.15187690833329</v>
      </c>
      <c r="S19" s="362">
        <f>INDEX('BAU Scenario'!$A$2:$AC$33,MATCH('BAU Comparison - All Fuel'!$B19,'BAU Scenario'!$C$2:$C$33,0),MATCH(S$1,'BAU Scenario'!$A$2:$AC$2))</f>
        <v>206.37337038333331</v>
      </c>
      <c r="T19" s="362">
        <f>INDEX('BAU Scenario'!$A$2:$AC$33,MATCH('BAU Comparison - All Fuel'!$B19,'BAU Scenario'!$C$2:$C$33,0),MATCH(T$1,'BAU Scenario'!$A$2:$AC$2))</f>
        <v>233.8010902916667</v>
      </c>
      <c r="U19" s="362">
        <f>INDEX('BAU Scenario'!$A$2:$AC$33,MATCH('BAU Comparison - All Fuel'!$B19,'BAU Scenario'!$C$2:$C$33,0),MATCH(U$1,'BAU Scenario'!$A$2:$AC$2))</f>
        <v>254.46210859249999</v>
      </c>
      <c r="V19" s="362">
        <f>INDEX('BAU Scenario'!$A$2:$AC$33,MATCH('BAU Comparison - All Fuel'!$B19,'BAU Scenario'!$C$2:$C$33,0),MATCH(V$1,'BAU Scenario'!$A$2:$AC$2))</f>
        <v>261.97346686616669</v>
      </c>
      <c r="W19" s="362">
        <f>INDEX('BAU Scenario'!$A$2:$AC$33,MATCH('BAU Comparison - All Fuel'!$B19,'BAU Scenario'!$C$2:$C$33,0),MATCH(W$1,'BAU Scenario'!$A$2:$AC$2))</f>
        <v>269.91590188683341</v>
      </c>
      <c r="X19" s="362">
        <f>INDEX('BAU Scenario'!$A$2:$AC$33,MATCH('BAU Comparison - All Fuel'!$B19,'BAU Scenario'!$C$2:$C$33,0),MATCH(X$1,'BAU Scenario'!$A$2:$AC$2))</f>
        <v>277.12460070933338</v>
      </c>
      <c r="Y19" s="362">
        <f>INDEX('BAU Scenario'!$A$2:$AC$33,MATCH('BAU Comparison - All Fuel'!$B19,'BAU Scenario'!$C$2:$C$33,0),MATCH(Y$1,'BAU Scenario'!$A$2:$AC$2))</f>
        <v>283.71223942433329</v>
      </c>
      <c r="Z19" s="362">
        <f>INDEX('BAU Scenario'!$A$2:$AC$33,MATCH('BAU Comparison - All Fuel'!$B19,'BAU Scenario'!$C$2:$C$33,0),MATCH(Z$1,'BAU Scenario'!$A$2:$AC$2))</f>
        <v>289.44595303783342</v>
      </c>
      <c r="AA19" s="362">
        <f>INDEX('BAU Scenario'!$A$2:$AC$33,MATCH('BAU Comparison - All Fuel'!$B19,'BAU Scenario'!$C$2:$C$33,0),MATCH(AA$1,'BAU Scenario'!$A$2:$AC$2))</f>
        <v>294.68315958283341</v>
      </c>
      <c r="AB19" s="362">
        <f>INDEX('BAU Scenario'!$A$2:$AC$33,MATCH('BAU Comparison - All Fuel'!$B19,'BAU Scenario'!$C$2:$C$33,0),MATCH(AB$1,'BAU Scenario'!$A$2:$AC$2))</f>
        <v>294.68315957599998</v>
      </c>
    </row>
    <row r="20" spans="1:32" ht="15" customHeight="1">
      <c r="A20" s="455"/>
      <c r="B20" s="10" t="s">
        <v>14</v>
      </c>
      <c r="C20" s="10" t="s">
        <v>103</v>
      </c>
      <c r="D20" s="362">
        <f>INDEX('BAU Scenario'!$A$2:$AC$33,MATCH('BAU Comparison - All Fuel'!$B20,'BAU Scenario'!$C$2:$C$33,0),MATCH(D$1,'BAU Scenario'!$A$2:$AC$2))</f>
        <v>3.8346666666666671</v>
      </c>
      <c r="E20" s="362">
        <f>INDEX('BAU Scenario'!$A$2:$AC$33,MATCH('BAU Comparison - All Fuel'!$B20,'BAU Scenario'!$C$2:$C$33,0),MATCH(E$1,'BAU Scenario'!$A$2:$AC$2))</f>
        <v>18.410886111111122</v>
      </c>
      <c r="F20" s="362">
        <f>INDEX('BAU Scenario'!$A$2:$AC$33,MATCH('BAU Comparison - All Fuel'!$B20,'BAU Scenario'!$C$2:$C$33,0),MATCH(F$1,'BAU Scenario'!$A$2:$AC$2))</f>
        <v>382.22966222222232</v>
      </c>
      <c r="G20" s="362">
        <f>INDEX('BAU Scenario'!$A$2:$AC$33,MATCH('BAU Comparison - All Fuel'!$B20,'BAU Scenario'!$C$2:$C$33,0),MATCH(G$1,'BAU Scenario'!$A$2:$AC$2))</f>
        <v>697.45028083333341</v>
      </c>
      <c r="H20" s="362">
        <f>INDEX('BAU Scenario'!$A$2:$AC$33,MATCH('BAU Comparison - All Fuel'!$B20,'BAU Scenario'!$C$2:$C$33,0),MATCH(H$1,'BAU Scenario'!$A$2:$AC$2))</f>
        <v>1206.3094530555561</v>
      </c>
      <c r="I20" s="362">
        <f>INDEX('BAU Scenario'!$A$2:$AC$33,MATCH('BAU Comparison - All Fuel'!$B20,'BAU Scenario'!$C$2:$C$33,0),MATCH(I$1,'BAU Scenario'!$A$2:$AC$2))</f>
        <v>1930.2697627777779</v>
      </c>
      <c r="J20" s="362">
        <f>INDEX('BAU Scenario'!$A$2:$AC$33,MATCH('BAU Comparison - All Fuel'!$B20,'BAU Scenario'!$C$2:$C$33,0),MATCH(J$1,'BAU Scenario'!$A$2:$AC$2))</f>
        <v>2583.6675002777788</v>
      </c>
      <c r="K20" s="362">
        <f>INDEX('BAU Scenario'!$A$2:$AC$33,MATCH('BAU Comparison - All Fuel'!$B20,'BAU Scenario'!$C$2:$C$33,0),MATCH(K$1,'BAU Scenario'!$A$2:$AC$2))</f>
        <v>3456.705892500001</v>
      </c>
      <c r="L20" s="362">
        <f>INDEX('BAU Scenario'!$A$2:$AC$33,MATCH('BAU Comparison - All Fuel'!$B20,'BAU Scenario'!$C$2:$C$33,0),MATCH(L$1,'BAU Scenario'!$A$2:$AC$2))</f>
        <v>4569.5603663888896</v>
      </c>
      <c r="M20" s="362">
        <f>INDEX('BAU Scenario'!$A$2:$AC$33,MATCH('BAU Comparison - All Fuel'!$B20,'BAU Scenario'!$C$2:$C$33,0),MATCH(M$1,'BAU Scenario'!$A$2:$AC$2))</f>
        <v>5862.2211216666656</v>
      </c>
      <c r="N20" s="362">
        <f>INDEX('BAU Scenario'!$A$2:$AC$33,MATCH('BAU Comparison - All Fuel'!$B20,'BAU Scenario'!$C$2:$C$33,0),MATCH(N$1,'BAU Scenario'!$A$2:$AC$2))</f>
        <v>7129.843291388891</v>
      </c>
      <c r="O20" s="362">
        <f>INDEX('BAU Scenario'!$A$2:$AC$33,MATCH('BAU Comparison - All Fuel'!$B20,'BAU Scenario'!$C$2:$C$33,0),MATCH(O$1,'BAU Scenario'!$A$2:$AC$2))</f>
        <v>8339.2769141666704</v>
      </c>
      <c r="P20" s="362">
        <f>INDEX('BAU Scenario'!$A$2:$AC$33,MATCH('BAU Comparison - All Fuel'!$B20,'BAU Scenario'!$C$2:$C$33,0),MATCH(P$1,'BAU Scenario'!$A$2:$AC$2))</f>
        <v>9776.9359541666672</v>
      </c>
      <c r="Q20" s="362">
        <f>INDEX('BAU Scenario'!$A$2:$AC$33,MATCH('BAU Comparison - All Fuel'!$B20,'BAU Scenario'!$C$2:$C$33,0),MATCH(Q$1,'BAU Scenario'!$A$2:$AC$2))</f>
        <v>11415.656083611109</v>
      </c>
      <c r="R20" s="362">
        <f>INDEX('BAU Scenario'!$A$2:$AC$33,MATCH('BAU Comparison - All Fuel'!$B20,'BAU Scenario'!$C$2:$C$33,0),MATCH(R$1,'BAU Scenario'!$A$2:$AC$2))</f>
        <v>12987.748855</v>
      </c>
      <c r="S20" s="362">
        <f>INDEX('BAU Scenario'!$A$2:$AC$33,MATCH('BAU Comparison - All Fuel'!$B20,'BAU Scenario'!$C$2:$C$33,0),MATCH(S$1,'BAU Scenario'!$A$2:$AC$2))</f>
        <v>14690.00529472223</v>
      </c>
      <c r="T20" s="362">
        <f>INDEX('BAU Scenario'!$A$2:$AC$33,MATCH('BAU Comparison - All Fuel'!$B20,'BAU Scenario'!$C$2:$C$33,0),MATCH(T$1,'BAU Scenario'!$A$2:$AC$2))</f>
        <v>16418.76916472222</v>
      </c>
      <c r="U20" s="362">
        <f>INDEX('BAU Scenario'!$A$2:$AC$33,MATCH('BAU Comparison - All Fuel'!$B20,'BAU Scenario'!$C$2:$C$33,0),MATCH(U$1,'BAU Scenario'!$A$2:$AC$2))</f>
        <v>18213.835303888889</v>
      </c>
      <c r="V20" s="362">
        <f>INDEX('BAU Scenario'!$A$2:$AC$33,MATCH('BAU Comparison - All Fuel'!$B20,'BAU Scenario'!$C$2:$C$33,0),MATCH(V$1,'BAU Scenario'!$A$2:$AC$2))</f>
        <v>19678.438300833332</v>
      </c>
      <c r="W20" s="362">
        <f>INDEX('BAU Scenario'!$A$2:$AC$33,MATCH('BAU Comparison - All Fuel'!$B20,'BAU Scenario'!$C$2:$C$33,0),MATCH(W$1,'BAU Scenario'!$A$2:$AC$2))</f>
        <v>21193.848648055558</v>
      </c>
      <c r="X20" s="362">
        <f>INDEX('BAU Scenario'!$A$2:$AC$33,MATCH('BAU Comparison - All Fuel'!$B20,'BAU Scenario'!$C$2:$C$33,0),MATCH(X$1,'BAU Scenario'!$A$2:$AC$2))</f>
        <v>22785.324677500001</v>
      </c>
      <c r="Y20" s="362">
        <f>INDEX('BAU Scenario'!$A$2:$AC$33,MATCH('BAU Comparison - All Fuel'!$B20,'BAU Scenario'!$C$2:$C$33,0),MATCH(Y$1,'BAU Scenario'!$A$2:$AC$2))</f>
        <v>23915.834082500001</v>
      </c>
      <c r="Z20" s="362">
        <f>INDEX('BAU Scenario'!$A$2:$AC$33,MATCH('BAU Comparison - All Fuel'!$B20,'BAU Scenario'!$C$2:$C$33,0),MATCH(Z$1,'BAU Scenario'!$A$2:$AC$2))</f>
        <v>25047.633741944439</v>
      </c>
      <c r="AA20" s="362">
        <f>INDEX('BAU Scenario'!$A$2:$AC$33,MATCH('BAU Comparison - All Fuel'!$B20,'BAU Scenario'!$C$2:$C$33,0),MATCH(AA$1,'BAU Scenario'!$A$2:$AC$2))</f>
        <v>26140.67146666667</v>
      </c>
      <c r="AB20" s="362">
        <f>INDEX('BAU Scenario'!$A$2:$AC$33,MATCH('BAU Comparison - All Fuel'!$B20,'BAU Scenario'!$C$2:$C$33,0),MATCH(AB$1,'BAU Scenario'!$A$2:$AC$2))</f>
        <v>27327.589306388891</v>
      </c>
    </row>
    <row r="21" spans="1:32" ht="15" customHeight="1">
      <c r="A21" s="455"/>
      <c r="B21" s="10" t="s">
        <v>16</v>
      </c>
      <c r="C21" s="10" t="s">
        <v>103</v>
      </c>
      <c r="D21" s="362">
        <f>INDEX('BAU Scenario'!$A$2:$AC$33,MATCH('BAU Comparison - All Fuel'!$B21,'BAU Scenario'!$C$2:$C$33,0),MATCH(D$1,'BAU Scenario'!$A$2:$AC$2))</f>
        <v>0</v>
      </c>
      <c r="E21" s="362">
        <f>INDEX('BAU Scenario'!$A$2:$AC$33,MATCH('BAU Comparison - All Fuel'!$B21,'BAU Scenario'!$C$2:$C$33,0),MATCH(E$1,'BAU Scenario'!$A$2:$AC$2))</f>
        <v>0</v>
      </c>
      <c r="F21" s="362">
        <f>INDEX('BAU Scenario'!$A$2:$AC$33,MATCH('BAU Comparison - All Fuel'!$B21,'BAU Scenario'!$C$2:$C$33,0),MATCH(F$1,'BAU Scenario'!$A$2:$AC$2))</f>
        <v>0</v>
      </c>
      <c r="G21" s="362">
        <f>INDEX('BAU Scenario'!$A$2:$AC$33,MATCH('BAU Comparison - All Fuel'!$B21,'BAU Scenario'!$C$2:$C$33,0),MATCH(G$1,'BAU Scenario'!$A$2:$AC$2))</f>
        <v>30.6</v>
      </c>
      <c r="H21" s="362">
        <f>INDEX('BAU Scenario'!$A$2:$AC$33,MATCH('BAU Comparison - All Fuel'!$B21,'BAU Scenario'!$C$2:$C$33,0),MATCH(H$1,'BAU Scenario'!$A$2:$AC$2))</f>
        <v>0</v>
      </c>
      <c r="I21" s="362">
        <f>INDEX('BAU Scenario'!$A$2:$AC$33,MATCH('BAU Comparison - All Fuel'!$B21,'BAU Scenario'!$C$2:$C$33,0),MATCH(I$1,'BAU Scenario'!$A$2:$AC$2))</f>
        <v>0</v>
      </c>
      <c r="J21" s="362">
        <f>INDEX('BAU Scenario'!$A$2:$AC$33,MATCH('BAU Comparison - All Fuel'!$B21,'BAU Scenario'!$C$2:$C$33,0),MATCH(J$1,'BAU Scenario'!$A$2:$AC$2))</f>
        <v>0</v>
      </c>
      <c r="K21" s="362">
        <f>INDEX('BAU Scenario'!$A$2:$AC$33,MATCH('BAU Comparison - All Fuel'!$B21,'BAU Scenario'!$C$2:$C$33,0),MATCH(K$1,'BAU Scenario'!$A$2:$AC$2))</f>
        <v>0</v>
      </c>
      <c r="L21" s="362">
        <f>INDEX('BAU Scenario'!$A$2:$AC$33,MATCH('BAU Comparison - All Fuel'!$B21,'BAU Scenario'!$C$2:$C$33,0),MATCH(L$1,'BAU Scenario'!$A$2:$AC$2))</f>
        <v>0</v>
      </c>
      <c r="M21" s="362">
        <f>INDEX('BAU Scenario'!$A$2:$AC$33,MATCH('BAU Comparison - All Fuel'!$B21,'BAU Scenario'!$C$2:$C$33,0),MATCH(M$1,'BAU Scenario'!$A$2:$AC$2))</f>
        <v>0</v>
      </c>
      <c r="N21" s="362">
        <f>INDEX('BAU Scenario'!$A$2:$AC$33,MATCH('BAU Comparison - All Fuel'!$B21,'BAU Scenario'!$C$2:$C$33,0),MATCH(N$1,'BAU Scenario'!$A$2:$AC$2))</f>
        <v>0</v>
      </c>
      <c r="O21" s="362">
        <f>INDEX('BAU Scenario'!$A$2:$AC$33,MATCH('BAU Comparison - All Fuel'!$B21,'BAU Scenario'!$C$2:$C$33,0),MATCH(O$1,'BAU Scenario'!$A$2:$AC$2))</f>
        <v>0</v>
      </c>
      <c r="P21" s="362">
        <f>INDEX('BAU Scenario'!$A$2:$AC$33,MATCH('BAU Comparison - All Fuel'!$B21,'BAU Scenario'!$C$2:$C$33,0),MATCH(P$1,'BAU Scenario'!$A$2:$AC$2))</f>
        <v>0</v>
      </c>
      <c r="Q21" s="362">
        <f>INDEX('BAU Scenario'!$A$2:$AC$33,MATCH('BAU Comparison - All Fuel'!$B21,'BAU Scenario'!$C$2:$C$33,0),MATCH(Q$1,'BAU Scenario'!$A$2:$AC$2))</f>
        <v>0</v>
      </c>
      <c r="R21" s="362">
        <f>INDEX('BAU Scenario'!$A$2:$AC$33,MATCH('BAU Comparison - All Fuel'!$B21,'BAU Scenario'!$C$2:$C$33,0),MATCH(R$1,'BAU Scenario'!$A$2:$AC$2))</f>
        <v>0</v>
      </c>
      <c r="S21" s="362">
        <f>INDEX('BAU Scenario'!$A$2:$AC$33,MATCH('BAU Comparison - All Fuel'!$B21,'BAU Scenario'!$C$2:$C$33,0),MATCH(S$1,'BAU Scenario'!$A$2:$AC$2))</f>
        <v>0</v>
      </c>
      <c r="T21" s="362">
        <f>INDEX('BAU Scenario'!$A$2:$AC$33,MATCH('BAU Comparison - All Fuel'!$B21,'BAU Scenario'!$C$2:$C$33,0),MATCH(T$1,'BAU Scenario'!$A$2:$AC$2))</f>
        <v>0</v>
      </c>
      <c r="U21" s="362">
        <f>INDEX('BAU Scenario'!$A$2:$AC$33,MATCH('BAU Comparison - All Fuel'!$B21,'BAU Scenario'!$C$2:$C$33,0),MATCH(U$1,'BAU Scenario'!$A$2:$AC$2))</f>
        <v>0</v>
      </c>
      <c r="V21" s="362">
        <f>INDEX('BAU Scenario'!$A$2:$AC$33,MATCH('BAU Comparison - All Fuel'!$B21,'BAU Scenario'!$C$2:$C$33,0),MATCH(V$1,'BAU Scenario'!$A$2:$AC$2))</f>
        <v>0</v>
      </c>
      <c r="W21" s="362">
        <f>INDEX('BAU Scenario'!$A$2:$AC$33,MATCH('BAU Comparison - All Fuel'!$B21,'BAU Scenario'!$C$2:$C$33,0),MATCH(W$1,'BAU Scenario'!$A$2:$AC$2))</f>
        <v>0</v>
      </c>
      <c r="X21" s="362">
        <f>INDEX('BAU Scenario'!$A$2:$AC$33,MATCH('BAU Comparison - All Fuel'!$B21,'BAU Scenario'!$C$2:$C$33,0),MATCH(X$1,'BAU Scenario'!$A$2:$AC$2))</f>
        <v>0</v>
      </c>
      <c r="Y21" s="362">
        <f>INDEX('BAU Scenario'!$A$2:$AC$33,MATCH('BAU Comparison - All Fuel'!$B21,'BAU Scenario'!$C$2:$C$33,0),MATCH(Y$1,'BAU Scenario'!$A$2:$AC$2))</f>
        <v>0</v>
      </c>
      <c r="Z21" s="362">
        <f>INDEX('BAU Scenario'!$A$2:$AC$33,MATCH('BAU Comparison - All Fuel'!$B21,'BAU Scenario'!$C$2:$C$33,0),MATCH(Z$1,'BAU Scenario'!$A$2:$AC$2))</f>
        <v>0</v>
      </c>
      <c r="AA21" s="362">
        <f>INDEX('BAU Scenario'!$A$2:$AC$33,MATCH('BAU Comparison - All Fuel'!$B21,'BAU Scenario'!$C$2:$C$33,0),MATCH(AA$1,'BAU Scenario'!$A$2:$AC$2))</f>
        <v>0</v>
      </c>
      <c r="AB21" s="362">
        <f>INDEX('BAU Scenario'!$A$2:$AC$33,MATCH('BAU Comparison - All Fuel'!$B21,'BAU Scenario'!$C$2:$C$33,0),MATCH(AB$1,'BAU Scenario'!$A$2:$AC$2))</f>
        <v>0</v>
      </c>
    </row>
    <row r="22" spans="1:32" ht="15" customHeight="1">
      <c r="A22" s="455"/>
      <c r="B22" s="10" t="s">
        <v>108</v>
      </c>
      <c r="C22" s="10" t="s">
        <v>64</v>
      </c>
      <c r="D22" s="362">
        <f>INDEX('BAU Scenario'!$A$2:$AC$33,MATCH('BAU Comparison - All Fuel'!$B22,'BAU Scenario'!$C$2:$C$33,0),MATCH(D$1,'BAU Scenario'!$A$2:$AC$2))</f>
        <v>0</v>
      </c>
      <c r="E22" s="362">
        <f>INDEX('BAU Scenario'!$A$2:$AC$33,MATCH('BAU Comparison - All Fuel'!$B22,'BAU Scenario'!$C$2:$C$33,0),MATCH(E$1,'BAU Scenario'!$A$2:$AC$2))</f>
        <v>0</v>
      </c>
      <c r="F22" s="362">
        <f>INDEX('BAU Scenario'!$A$2:$AC$33,MATCH('BAU Comparison - All Fuel'!$B22,'BAU Scenario'!$C$2:$C$33,0),MATCH(F$1,'BAU Scenario'!$A$2:$AC$2))</f>
        <v>0</v>
      </c>
      <c r="G22" s="362">
        <f>INDEX('BAU Scenario'!$A$2:$AC$33,MATCH('BAU Comparison - All Fuel'!$B22,'BAU Scenario'!$C$2:$C$33,0),MATCH(G$1,'BAU Scenario'!$A$2:$AC$2))</f>
        <v>0</v>
      </c>
      <c r="H22" s="362">
        <f>INDEX('BAU Scenario'!$A$2:$AC$33,MATCH('BAU Comparison - All Fuel'!$B22,'BAU Scenario'!$C$2:$C$33,0),MATCH(H$1,'BAU Scenario'!$A$2:$AC$2))</f>
        <v>0</v>
      </c>
      <c r="I22" s="362">
        <f>INDEX('BAU Scenario'!$A$2:$AC$33,MATCH('BAU Comparison - All Fuel'!$B22,'BAU Scenario'!$C$2:$C$33,0),MATCH(I$1,'BAU Scenario'!$A$2:$AC$2))</f>
        <v>0</v>
      </c>
      <c r="J22" s="362">
        <f>INDEX('BAU Scenario'!$A$2:$AC$33,MATCH('BAU Comparison - All Fuel'!$B22,'BAU Scenario'!$C$2:$C$33,0),MATCH(J$1,'BAU Scenario'!$A$2:$AC$2))</f>
        <v>0</v>
      </c>
      <c r="K22" s="362">
        <f>INDEX('BAU Scenario'!$A$2:$AC$33,MATCH('BAU Comparison - All Fuel'!$B22,'BAU Scenario'!$C$2:$C$33,0),MATCH(K$1,'BAU Scenario'!$A$2:$AC$2))</f>
        <v>0</v>
      </c>
      <c r="L22" s="362">
        <f>INDEX('BAU Scenario'!$A$2:$AC$33,MATCH('BAU Comparison - All Fuel'!$B22,'BAU Scenario'!$C$2:$C$33,0),MATCH(L$1,'BAU Scenario'!$A$2:$AC$2))</f>
        <v>0</v>
      </c>
      <c r="M22" s="362">
        <f>INDEX('BAU Scenario'!$A$2:$AC$33,MATCH('BAU Comparison - All Fuel'!$B22,'BAU Scenario'!$C$2:$C$33,0),MATCH(M$1,'BAU Scenario'!$A$2:$AC$2))</f>
        <v>0</v>
      </c>
      <c r="N22" s="362">
        <f>INDEX('BAU Scenario'!$A$2:$AC$33,MATCH('BAU Comparison - All Fuel'!$B22,'BAU Scenario'!$C$2:$C$33,0),MATCH(N$1,'BAU Scenario'!$A$2:$AC$2))</f>
        <v>0</v>
      </c>
      <c r="O22" s="362">
        <f>INDEX('BAU Scenario'!$A$2:$AC$33,MATCH('BAU Comparison - All Fuel'!$B22,'BAU Scenario'!$C$2:$C$33,0),MATCH(O$1,'BAU Scenario'!$A$2:$AC$2))</f>
        <v>0</v>
      </c>
      <c r="P22" s="362">
        <f>INDEX('BAU Scenario'!$A$2:$AC$33,MATCH('BAU Comparison - All Fuel'!$B22,'BAU Scenario'!$C$2:$C$33,0),MATCH(P$1,'BAU Scenario'!$A$2:$AC$2))</f>
        <v>0</v>
      </c>
      <c r="Q22" s="362">
        <f>INDEX('BAU Scenario'!$A$2:$AC$33,MATCH('BAU Comparison - All Fuel'!$B22,'BAU Scenario'!$C$2:$C$33,0),MATCH(Q$1,'BAU Scenario'!$A$2:$AC$2))</f>
        <v>0</v>
      </c>
      <c r="R22" s="362">
        <f>INDEX('BAU Scenario'!$A$2:$AC$33,MATCH('BAU Comparison - All Fuel'!$B22,'BAU Scenario'!$C$2:$C$33,0),MATCH(R$1,'BAU Scenario'!$A$2:$AC$2))</f>
        <v>0</v>
      </c>
      <c r="S22" s="362">
        <f>INDEX('BAU Scenario'!$A$2:$AC$33,MATCH('BAU Comparison - All Fuel'!$B22,'BAU Scenario'!$C$2:$C$33,0),MATCH(S$1,'BAU Scenario'!$A$2:$AC$2))</f>
        <v>0</v>
      </c>
      <c r="T22" s="362">
        <f>INDEX('BAU Scenario'!$A$2:$AC$33,MATCH('BAU Comparison - All Fuel'!$B22,'BAU Scenario'!$C$2:$C$33,0),MATCH(T$1,'BAU Scenario'!$A$2:$AC$2))</f>
        <v>0</v>
      </c>
      <c r="U22" s="362">
        <f>INDEX('BAU Scenario'!$A$2:$AC$33,MATCH('BAU Comparison - All Fuel'!$B22,'BAU Scenario'!$C$2:$C$33,0),MATCH(U$1,'BAU Scenario'!$A$2:$AC$2))</f>
        <v>0</v>
      </c>
      <c r="V22" s="362">
        <f>INDEX('BAU Scenario'!$A$2:$AC$33,MATCH('BAU Comparison - All Fuel'!$B22,'BAU Scenario'!$C$2:$C$33,0),MATCH(V$1,'BAU Scenario'!$A$2:$AC$2))</f>
        <v>0</v>
      </c>
      <c r="W22" s="362">
        <f>INDEX('BAU Scenario'!$A$2:$AC$33,MATCH('BAU Comparison - All Fuel'!$B22,'BAU Scenario'!$C$2:$C$33,0),MATCH(W$1,'BAU Scenario'!$A$2:$AC$2))</f>
        <v>0</v>
      </c>
      <c r="X22" s="362">
        <f>INDEX('BAU Scenario'!$A$2:$AC$33,MATCH('BAU Comparison - All Fuel'!$B22,'BAU Scenario'!$C$2:$C$33,0),MATCH(X$1,'BAU Scenario'!$A$2:$AC$2))</f>
        <v>0</v>
      </c>
      <c r="Y22" s="362">
        <f>INDEX('BAU Scenario'!$A$2:$AC$33,MATCH('BAU Comparison - All Fuel'!$B22,'BAU Scenario'!$C$2:$C$33,0),MATCH(Y$1,'BAU Scenario'!$A$2:$AC$2))</f>
        <v>0</v>
      </c>
      <c r="Z22" s="362">
        <f>INDEX('BAU Scenario'!$A$2:$AC$33,MATCH('BAU Comparison - All Fuel'!$B22,'BAU Scenario'!$C$2:$C$33,0),MATCH(Z$1,'BAU Scenario'!$A$2:$AC$2))</f>
        <v>0</v>
      </c>
      <c r="AA22" s="362">
        <f>INDEX('BAU Scenario'!$A$2:$AC$33,MATCH('BAU Comparison - All Fuel'!$B22,'BAU Scenario'!$C$2:$C$33,0),MATCH(AA$1,'BAU Scenario'!$A$2:$AC$2))</f>
        <v>0</v>
      </c>
      <c r="AB22" s="362">
        <f>INDEX('BAU Scenario'!$A$2:$AC$33,MATCH('BAU Comparison - All Fuel'!$B22,'BAU Scenario'!$C$2:$C$33,0),MATCH(AB$1,'BAU Scenario'!$A$2:$AC$2))</f>
        <v>0</v>
      </c>
    </row>
    <row r="23" spans="1:32" ht="15" customHeight="1">
      <c r="A23" s="455"/>
      <c r="B23" s="10" t="s">
        <v>11</v>
      </c>
      <c r="C23" s="10" t="s">
        <v>13</v>
      </c>
      <c r="D23" s="362">
        <f>INDEX('BAU Scenario'!$A$2:$AC$33,MATCH('BAU Comparison - All Fuel'!$B23,'BAU Scenario'!$C$2:$C$33,0),MATCH(D$1,'BAU Scenario'!$A$2:$AC$2))</f>
        <v>498.1990930995043</v>
      </c>
      <c r="E23" s="362">
        <f>INDEX('BAU Scenario'!$A$2:$AC$33,MATCH('BAU Comparison - All Fuel'!$B23,'BAU Scenario'!$C$2:$C$33,0),MATCH(E$1,'BAU Scenario'!$A$2:$AC$2))</f>
        <v>497.75217017155933</v>
      </c>
      <c r="F23" s="362">
        <f>INDEX('BAU Scenario'!$A$2:$AC$33,MATCH('BAU Comparison - All Fuel'!$B23,'BAU Scenario'!$C$2:$C$33,0),MATCH(F$1,'BAU Scenario'!$A$2:$AC$2))</f>
        <v>519.83275540973443</v>
      </c>
      <c r="G23" s="362">
        <f>INDEX('BAU Scenario'!$A$2:$AC$33,MATCH('BAU Comparison - All Fuel'!$B23,'BAU Scenario'!$C$2:$C$33,0),MATCH(G$1,'BAU Scenario'!$A$2:$AC$2))</f>
        <v>522.98009198671639</v>
      </c>
      <c r="H23" s="362">
        <f>INDEX('BAU Scenario'!$A$2:$AC$33,MATCH('BAU Comparison - All Fuel'!$B23,'BAU Scenario'!$C$2:$C$33,0),MATCH(H$1,'BAU Scenario'!$A$2:$AC$2))</f>
        <v>519.49400373542176</v>
      </c>
      <c r="I23" s="362">
        <f>INDEX('BAU Scenario'!$A$2:$AC$33,MATCH('BAU Comparison - All Fuel'!$B23,'BAU Scenario'!$C$2:$C$33,0),MATCH(I$1,'BAU Scenario'!$A$2:$AC$2))</f>
        <v>514.79405571640268</v>
      </c>
      <c r="J23" s="362">
        <f>INDEX('BAU Scenario'!$A$2:$AC$33,MATCH('BAU Comparison - All Fuel'!$B23,'BAU Scenario'!$C$2:$C$33,0),MATCH(J$1,'BAU Scenario'!$A$2:$AC$2))</f>
        <v>508.66927933045821</v>
      </c>
      <c r="K23" s="362">
        <f>INDEX('BAU Scenario'!$A$2:$AC$33,MATCH('BAU Comparison - All Fuel'!$B23,'BAU Scenario'!$C$2:$C$33,0),MATCH(K$1,'BAU Scenario'!$A$2:$AC$2))</f>
        <v>501.13225739519339</v>
      </c>
      <c r="L23" s="362">
        <f>INDEX('BAU Scenario'!$A$2:$AC$33,MATCH('BAU Comparison - All Fuel'!$B23,'BAU Scenario'!$C$2:$C$33,0),MATCH(L$1,'BAU Scenario'!$A$2:$AC$2))</f>
        <v>492.98068126034019</v>
      </c>
      <c r="M23" s="362">
        <f>INDEX('BAU Scenario'!$A$2:$AC$33,MATCH('BAU Comparison - All Fuel'!$B23,'BAU Scenario'!$C$2:$C$33,0),MATCH(M$1,'BAU Scenario'!$A$2:$AC$2))</f>
        <v>501.53553021305402</v>
      </c>
      <c r="N23" s="362">
        <f>INDEX('BAU Scenario'!$A$2:$AC$33,MATCH('BAU Comparison - All Fuel'!$B23,'BAU Scenario'!$C$2:$C$33,0),MATCH(N$1,'BAU Scenario'!$A$2:$AC$2))</f>
        <v>510.01321348632172</v>
      </c>
      <c r="O23" s="362">
        <f>INDEX('BAU Scenario'!$A$2:$AC$33,MATCH('BAU Comparison - All Fuel'!$B23,'BAU Scenario'!$C$2:$C$33,0),MATCH(O$1,'BAU Scenario'!$A$2:$AC$2))</f>
        <v>518.42487286393066</v>
      </c>
      <c r="P23" s="362">
        <f>INDEX('BAU Scenario'!$A$2:$AC$33,MATCH('BAU Comparison - All Fuel'!$B23,'BAU Scenario'!$C$2:$C$33,0),MATCH(P$1,'BAU Scenario'!$A$2:$AC$2))</f>
        <v>526.77999363831225</v>
      </c>
      <c r="Q23" s="362">
        <f>INDEX('BAU Scenario'!$A$2:$AC$33,MATCH('BAU Comparison - All Fuel'!$B23,'BAU Scenario'!$C$2:$C$33,0),MATCH(Q$1,'BAU Scenario'!$A$2:$AC$2))</f>
        <v>535.04402220865165</v>
      </c>
      <c r="R23" s="362">
        <f>INDEX('BAU Scenario'!$A$2:$AC$33,MATCH('BAU Comparison - All Fuel'!$B23,'BAU Scenario'!$C$2:$C$33,0),MATCH(R$1,'BAU Scenario'!$A$2:$AC$2))</f>
        <v>543.24060748505258</v>
      </c>
      <c r="S23" s="362">
        <f>INDEX('BAU Scenario'!$A$2:$AC$33,MATCH('BAU Comparison - All Fuel'!$B23,'BAU Scenario'!$C$2:$C$33,0),MATCH(S$1,'BAU Scenario'!$A$2:$AC$2))</f>
        <v>551.37948089717611</v>
      </c>
      <c r="T23" s="362">
        <f>INDEX('BAU Scenario'!$A$2:$AC$33,MATCH('BAU Comparison - All Fuel'!$B23,'BAU Scenario'!$C$2:$C$33,0),MATCH(T$1,'BAU Scenario'!$A$2:$AC$2))</f>
        <v>559.44610084380213</v>
      </c>
      <c r="U23" s="362">
        <f>INDEX('BAU Scenario'!$A$2:$AC$33,MATCH('BAU Comparison - All Fuel'!$B23,'BAU Scenario'!$C$2:$C$33,0),MATCH(U$1,'BAU Scenario'!$A$2:$AC$2))</f>
        <v>567.4180424297723</v>
      </c>
      <c r="V23" s="362">
        <f>INDEX('BAU Scenario'!$A$2:$AC$33,MATCH('BAU Comparison - All Fuel'!$B23,'BAU Scenario'!$C$2:$C$33,0),MATCH(V$1,'BAU Scenario'!$A$2:$AC$2))</f>
        <v>575.32677449229618</v>
      </c>
      <c r="W23" s="362">
        <f>INDEX('BAU Scenario'!$A$2:$AC$33,MATCH('BAU Comparison - All Fuel'!$B23,'BAU Scenario'!$C$2:$C$33,0),MATCH(W$1,'BAU Scenario'!$A$2:$AC$2))</f>
        <v>583.15029667300541</v>
      </c>
      <c r="X23" s="362">
        <f>INDEX('BAU Scenario'!$A$2:$AC$33,MATCH('BAU Comparison - All Fuel'!$B23,'BAU Scenario'!$C$2:$C$33,0),MATCH(X$1,'BAU Scenario'!$A$2:$AC$2))</f>
        <v>590.90571504128593</v>
      </c>
      <c r="Y23" s="362">
        <f>INDEX('BAU Scenario'!$A$2:$AC$33,MATCH('BAU Comparison - All Fuel'!$B23,'BAU Scenario'!$C$2:$C$33,0),MATCH(Y$1,'BAU Scenario'!$A$2:$AC$2))</f>
        <v>598.58162329900608</v>
      </c>
      <c r="Z23" s="362">
        <f>INDEX('BAU Scenario'!$A$2:$AC$33,MATCH('BAU Comparison - All Fuel'!$B23,'BAU Scenario'!$C$2:$C$33,0),MATCH(Z$1,'BAU Scenario'!$A$2:$AC$2))</f>
        <v>606.18415909770977</v>
      </c>
      <c r="AA23" s="362">
        <f>INDEX('BAU Scenario'!$A$2:$AC$33,MATCH('BAU Comparison - All Fuel'!$B23,'BAU Scenario'!$C$2:$C$33,0),MATCH(AA$1,'BAU Scenario'!$A$2:$AC$2))</f>
        <v>613.71293190746974</v>
      </c>
      <c r="AB23" s="362">
        <f>INDEX('BAU Scenario'!$A$2:$AC$33,MATCH('BAU Comparison - All Fuel'!$B23,'BAU Scenario'!$C$2:$C$33,0),MATCH(AB$1,'BAU Scenario'!$A$2:$AC$2))</f>
        <v>621.42805956282609</v>
      </c>
    </row>
    <row r="24" spans="1:32" ht="15" customHeight="1">
      <c r="A24" s="455"/>
      <c r="B24" s="10" t="s">
        <v>122</v>
      </c>
      <c r="C24" s="10" t="s">
        <v>7</v>
      </c>
      <c r="D24" s="362">
        <f>SUM('BAU Scenario'!E33:E34)</f>
        <v>11.604588984727391</v>
      </c>
      <c r="E24" s="362">
        <f>SUM('BAU Scenario'!F33:F34)</f>
        <v>23.03738999762605</v>
      </c>
      <c r="F24" s="362">
        <f>SUM('BAU Scenario'!G33:G34)</f>
        <v>5.5013013295349698</v>
      </c>
      <c r="G24" s="362">
        <f>SUM('BAU Scenario'!H33:H34)</f>
        <v>4.64894694897629</v>
      </c>
      <c r="H24" s="362">
        <f>SUM('BAU Scenario'!I33:I34)</f>
        <v>4.1375343206410857</v>
      </c>
      <c r="I24" s="362">
        <f>SUM('BAU Scenario'!J33:J34)</f>
        <v>3.8306867436399616</v>
      </c>
      <c r="J24" s="362">
        <f>SUM('BAU Scenario'!K33:K34)</f>
        <v>3.6465781974392875</v>
      </c>
      <c r="K24" s="362">
        <f>SUM('BAU Scenario'!L33:L34)</f>
        <v>3.536113069718883</v>
      </c>
      <c r="L24" s="362">
        <f>SUM('BAU Scenario'!M33:M34)</f>
        <v>3.4698339930866391</v>
      </c>
      <c r="M24" s="362">
        <f>SUM('BAU Scenario'!N33:N34)</f>
        <v>3.4300665471072933</v>
      </c>
      <c r="N24" s="362">
        <f>SUM('BAU Scenario'!O33:O34)</f>
        <v>3.406206079519686</v>
      </c>
      <c r="O24" s="362">
        <f>SUM('BAU Scenario'!P33:P34)</f>
        <v>3.3918897989671213</v>
      </c>
      <c r="P24" s="362">
        <f>SUM('BAU Scenario'!Q33:Q34)</f>
        <v>3.3704153781382749</v>
      </c>
      <c r="Q24" s="362">
        <f>SUM('BAU Scenario'!R33:R34)</f>
        <v>3.3704153781382749</v>
      </c>
      <c r="R24" s="362">
        <f>SUM('BAU Scenario'!S33:S34)</f>
        <v>3.3704153781382749</v>
      </c>
      <c r="S24" s="362">
        <f>SUM('BAU Scenario'!T33:T34)</f>
        <v>3.3704153781382749</v>
      </c>
      <c r="T24" s="362">
        <f>SUM('BAU Scenario'!U33:U34)</f>
        <v>3.3704153781382749</v>
      </c>
      <c r="U24" s="362">
        <f>SUM('BAU Scenario'!V33:V34)</f>
        <v>3.3704153781382749</v>
      </c>
      <c r="V24" s="362">
        <f>SUM('BAU Scenario'!W33:W34)</f>
        <v>3.3704153781382749</v>
      </c>
      <c r="W24" s="362">
        <f>SUM('BAU Scenario'!X33:X34)</f>
        <v>3.3704153781382749</v>
      </c>
      <c r="X24" s="362">
        <f>SUM('BAU Scenario'!Y33:Y34)</f>
        <v>3.3704153781382749</v>
      </c>
      <c r="Y24" s="362">
        <f>SUM('BAU Scenario'!Z33:Z34)</f>
        <v>3.3704153781382749</v>
      </c>
      <c r="Z24" s="362">
        <f>SUM('BAU Scenario'!AA33:AA34)</f>
        <v>3.3704153781382749</v>
      </c>
      <c r="AA24" s="362">
        <f>SUM('BAU Scenario'!AB33:AB34)</f>
        <v>3.3704153781382749</v>
      </c>
      <c r="AB24" s="362">
        <f>SUM('BAU Scenario'!AC33:AC34)</f>
        <v>3.3704153781382749</v>
      </c>
    </row>
    <row r="25" spans="1:32" s="171" customFormat="1" ht="15" customHeight="1">
      <c r="A25" s="455"/>
      <c r="B25" s="10" t="s">
        <v>100</v>
      </c>
      <c r="C25" s="363" t="s">
        <v>101</v>
      </c>
      <c r="D25" s="364">
        <f>INDEX('BAU Scenario'!$A$2:$AC$33,MATCH('BAU Comparison - All Fuel'!$B25,'BAU Scenario'!$C$2:$C$33,0),MATCH(D$1,'BAU Scenario'!$A$2:$AC$2))</f>
        <v>0.10046759410490477</v>
      </c>
      <c r="E25" s="364">
        <f>INDEX('BAU Scenario'!$A$2:$AC$33,MATCH('BAU Comparison - All Fuel'!$B25,'BAU Scenario'!$C$2:$C$33,0),MATCH(E$1,'BAU Scenario'!$A$2:$AC$2))</f>
        <v>0.100690990028225</v>
      </c>
      <c r="F25" s="364">
        <f>INDEX('BAU Scenario'!$A$2:$AC$33,MATCH('BAU Comparison - All Fuel'!$B25,'BAU Scenario'!$C$2:$C$33,0),MATCH(F$1,'BAU Scenario'!$A$2:$AC$2))</f>
        <v>0.10102613587133048</v>
      </c>
      <c r="G25" s="364">
        <f>INDEX('BAU Scenario'!$A$2:$AC$33,MATCH('BAU Comparison - All Fuel'!$B25,'BAU Scenario'!$C$2:$C$33,0),MATCH(G$1,'BAU Scenario'!$A$2:$AC$2))</f>
        <v>0.10099582398388239</v>
      </c>
      <c r="H25" s="364">
        <f>INDEX('BAU Scenario'!$A$2:$AC$33,MATCH('BAU Comparison - All Fuel'!$B25,'BAU Scenario'!$C$2:$C$33,0),MATCH(H$1,'BAU Scenario'!$A$2:$AC$2))</f>
        <v>0.10103005671291428</v>
      </c>
      <c r="I25" s="364">
        <f>INDEX('BAU Scenario'!$A$2:$AC$33,MATCH('BAU Comparison - All Fuel'!$B25,'BAU Scenario'!$C$2:$C$33,0),MATCH(I$1,'BAU Scenario'!$A$2:$AC$2))</f>
        <v>0.10107373667837458</v>
      </c>
      <c r="J25" s="364">
        <f>INDEX('BAU Scenario'!$A$2:$AC$33,MATCH('BAU Comparison - All Fuel'!$B25,'BAU Scenario'!$C$2:$C$33,0),MATCH(J$1,'BAU Scenario'!$A$2:$AC$2))</f>
        <v>0.10112334269949853</v>
      </c>
      <c r="K25" s="364">
        <f>INDEX('BAU Scenario'!$A$2:$AC$33,MATCH('BAU Comparison - All Fuel'!$B25,'BAU Scenario'!$C$2:$C$33,0),MATCH(K$1,'BAU Scenario'!$A$2:$AC$2))</f>
        <v>0.1011798965312907</v>
      </c>
      <c r="L25" s="364">
        <f>INDEX('BAU Scenario'!$A$2:$AC$33,MATCH('BAU Comparison - All Fuel'!$B25,'BAU Scenario'!$C$2:$C$33,0),MATCH(L$1,'BAU Scenario'!$A$2:$AC$2))</f>
        <v>0.101245235223341</v>
      </c>
      <c r="M25" s="364">
        <f>INDEX('BAU Scenario'!$A$2:$AC$33,MATCH('BAU Comparison - All Fuel'!$B25,'BAU Scenario'!$C$2:$C$33,0),MATCH(M$1,'BAU Scenario'!$A$2:$AC$2))</f>
        <v>0.10132149695923953</v>
      </c>
      <c r="N25" s="364">
        <f>INDEX('BAU Scenario'!$A$2:$AC$33,MATCH('BAU Comparison - All Fuel'!$B25,'BAU Scenario'!$C$2:$C$33,0),MATCH(N$1,'BAU Scenario'!$A$2:$AC$2))</f>
        <v>0.10141131090686807</v>
      </c>
      <c r="O25" s="364">
        <f>INDEX('BAU Scenario'!$A$2:$AC$33,MATCH('BAU Comparison - All Fuel'!$B25,'BAU Scenario'!$C$2:$C$33,0),MATCH(O$1,'BAU Scenario'!$A$2:$AC$2))</f>
        <v>0.10151990258191058</v>
      </c>
      <c r="P25" s="364">
        <f>INDEX('BAU Scenario'!$A$2:$AC$33,MATCH('BAU Comparison - All Fuel'!$B25,'BAU Scenario'!$C$2:$C$33,0),MATCH(P$1,'BAU Scenario'!$A$2:$AC$2))</f>
        <v>0.10164985332590946</v>
      </c>
      <c r="Q25" s="364">
        <f>INDEX('BAU Scenario'!$A$2:$AC$33,MATCH('BAU Comparison - All Fuel'!$B25,'BAU Scenario'!$C$2:$C$33,0),MATCH(Q$1,'BAU Scenario'!$A$2:$AC$2))</f>
        <v>0.1018059601106394</v>
      </c>
      <c r="R25" s="364">
        <f>INDEX('BAU Scenario'!$A$2:$AC$33,MATCH('BAU Comparison - All Fuel'!$B25,'BAU Scenario'!$C$2:$C$33,0),MATCH(R$1,'BAU Scenario'!$A$2:$AC$2))</f>
        <v>0.10198772436674357</v>
      </c>
      <c r="S25" s="364">
        <f>INDEX('BAU Scenario'!$A$2:$AC$33,MATCH('BAU Comparison - All Fuel'!$B25,'BAU Scenario'!$C$2:$C$33,0),MATCH(S$1,'BAU Scenario'!$A$2:$AC$2))</f>
        <v>0.10219992656039077</v>
      </c>
      <c r="T25" s="364">
        <f>INDEX('BAU Scenario'!$A$2:$AC$33,MATCH('BAU Comparison - All Fuel'!$B25,'BAU Scenario'!$C$2:$C$33,0),MATCH(T$1,'BAU Scenario'!$A$2:$AC$2))</f>
        <v>0.10244760303959317</v>
      </c>
      <c r="U25" s="364">
        <f>INDEX('BAU Scenario'!$A$2:$AC$33,MATCH('BAU Comparison - All Fuel'!$B25,'BAU Scenario'!$C$2:$C$33,0),MATCH(U$1,'BAU Scenario'!$A$2:$AC$2))</f>
        <v>0.10273714624601703</v>
      </c>
      <c r="V25" s="364">
        <f>INDEX('BAU Scenario'!$A$2:$AC$33,MATCH('BAU Comparison - All Fuel'!$B25,'BAU Scenario'!$C$2:$C$33,0),MATCH(V$1,'BAU Scenario'!$A$2:$AC$2))</f>
        <v>0.10307899402027387</v>
      </c>
      <c r="W25" s="364">
        <f>INDEX('BAU Scenario'!$A$2:$AC$33,MATCH('BAU Comparison - All Fuel'!$B25,'BAU Scenario'!$C$2:$C$33,0),MATCH(W$1,'BAU Scenario'!$A$2:$AC$2))</f>
        <v>0.1034851275237673</v>
      </c>
      <c r="X25" s="364">
        <f>INDEX('BAU Scenario'!$A$2:$AC$33,MATCH('BAU Comparison - All Fuel'!$B25,'BAU Scenario'!$C$2:$C$33,0),MATCH(X$1,'BAU Scenario'!$A$2:$AC$2))</f>
        <v>0.10397005711697573</v>
      </c>
      <c r="Y25" s="364">
        <f>INDEX('BAU Scenario'!$A$2:$AC$33,MATCH('BAU Comparison - All Fuel'!$B25,'BAU Scenario'!$C$2:$C$33,0),MATCH(Y$1,'BAU Scenario'!$A$2:$AC$2))</f>
        <v>0.10455178886685595</v>
      </c>
      <c r="Z25" s="364">
        <f>INDEX('BAU Scenario'!$A$2:$AC$33,MATCH('BAU Comparison - All Fuel'!$B25,'BAU Scenario'!$C$2:$C$33,0),MATCH(Z$1,'BAU Scenario'!$A$2:$AC$2))</f>
        <v>0.10525884444651043</v>
      </c>
      <c r="AA25" s="364">
        <f>INDEX('BAU Scenario'!$A$2:$AC$33,MATCH('BAU Comparison - All Fuel'!$B25,'BAU Scenario'!$C$2:$C$33,0),MATCH(AA$1,'BAU Scenario'!$A$2:$AC$2))</f>
        <v>0.10612375058538411</v>
      </c>
      <c r="AB25" s="364">
        <f>INDEX('BAU Scenario'!$A$2:$AC$33,MATCH('BAU Comparison - All Fuel'!$B25,'BAU Scenario'!$C$2:$C$33,0),MATCH(AB$1,'BAU Scenario'!$A$2:$AC$2))</f>
        <v>0.10709164742425122</v>
      </c>
    </row>
    <row r="26" spans="1:32" ht="15" customHeight="1">
      <c r="A26" s="455"/>
      <c r="B26" s="147" t="s">
        <v>32</v>
      </c>
      <c r="C26" s="10" t="s">
        <v>184</v>
      </c>
      <c r="D26" s="362">
        <f>INDEX('BAU Scenario'!$A$2:$AC$33,MATCH('BAU Comparison - All Fuel'!$B26,'BAU Scenario'!$C$2:$C$33,0),MATCH(D$1,'BAU Scenario'!$A$2:$AC$2))</f>
        <v>155.2624472075556</v>
      </c>
      <c r="E26" s="362">
        <f>INDEX('BAU Scenario'!$A$2:$AC$33,MATCH('BAU Comparison - All Fuel'!$B26,'BAU Scenario'!$C$2:$C$33,0),MATCH(E$1,'BAU Scenario'!$A$2:$AC$2))</f>
        <v>163.9524477132446</v>
      </c>
      <c r="F26" s="362">
        <f>INDEX('BAU Scenario'!$A$2:$AC$33,MATCH('BAU Comparison - All Fuel'!$B26,'BAU Scenario'!$C$2:$C$33,0),MATCH(F$1,'BAU Scenario'!$A$2:$AC$2))</f>
        <v>165.1882957477504</v>
      </c>
      <c r="G26" s="362">
        <f>INDEX('BAU Scenario'!$A$2:$AC$33,MATCH('BAU Comparison - All Fuel'!$B26,'BAU Scenario'!$C$2:$C$33,0),MATCH(G$1,'BAU Scenario'!$A$2:$AC$2))</f>
        <v>163.38642495813201</v>
      </c>
      <c r="H26" s="362">
        <f>INDEX('BAU Scenario'!$A$2:$AC$33,MATCH('BAU Comparison - All Fuel'!$B26,'BAU Scenario'!$C$2:$C$33,0),MATCH(H$1,'BAU Scenario'!$A$2:$AC$2))</f>
        <v>165.4155616643117</v>
      </c>
      <c r="I26" s="362">
        <f>INDEX('BAU Scenario'!$A$2:$AC$33,MATCH('BAU Comparison - All Fuel'!$B26,'BAU Scenario'!$C$2:$C$33,0),MATCH(I$1,'BAU Scenario'!$A$2:$AC$2))</f>
        <v>157.8013307800997</v>
      </c>
      <c r="J26" s="362">
        <f>INDEX('BAU Scenario'!$A$2:$AC$33,MATCH('BAU Comparison - All Fuel'!$B26,'BAU Scenario'!$C$2:$C$33,0),MATCH(J$1,'BAU Scenario'!$A$2:$AC$2))</f>
        <v>149.3580882352941</v>
      </c>
      <c r="K26" s="362">
        <f>INDEX('BAU Scenario'!$A$2:$AC$33,MATCH('BAU Comparison - All Fuel'!$B26,'BAU Scenario'!$C$2:$C$33,0),MATCH(K$1,'BAU Scenario'!$A$2:$AC$2))</f>
        <v>141.7716384695471</v>
      </c>
      <c r="L26" s="362">
        <f>INDEX('BAU Scenario'!$A$2:$AC$33,MATCH('BAU Comparison - All Fuel'!$B26,'BAU Scenario'!$C$2:$C$33,0),MATCH(L$1,'BAU Scenario'!$A$2:$AC$2))</f>
        <v>134.70107912545541</v>
      </c>
      <c r="M26" s="362">
        <f>INDEX('BAU Scenario'!$A$2:$AC$33,MATCH('BAU Comparison - All Fuel'!$B26,'BAU Scenario'!$C$2:$C$33,0),MATCH(M$1,'BAU Scenario'!$A$2:$AC$2))</f>
        <v>128.0007997471555</v>
      </c>
      <c r="N26" s="362">
        <f>INDEX('BAU Scenario'!$A$2:$AC$33,MATCH('BAU Comparison - All Fuel'!$B26,'BAU Scenario'!$C$2:$C$33,0),MATCH(N$1,'BAU Scenario'!$A$2:$AC$2))</f>
        <v>122.5000413623856</v>
      </c>
      <c r="O26" s="362">
        <f>INDEX('BAU Scenario'!$A$2:$AC$33,MATCH('BAU Comparison - All Fuel'!$B26,'BAU Scenario'!$C$2:$C$33,0),MATCH(O$1,'BAU Scenario'!$A$2:$AC$2))</f>
        <v>116.601357745222</v>
      </c>
      <c r="P26" s="362">
        <f>INDEX('BAU Scenario'!$A$2:$AC$33,MATCH('BAU Comparison - All Fuel'!$B26,'BAU Scenario'!$C$2:$C$33,0),MATCH(P$1,'BAU Scenario'!$A$2:$AC$2))</f>
        <v>110.6093863463969</v>
      </c>
      <c r="Q26" s="362">
        <f>INDEX('BAU Scenario'!$A$2:$AC$33,MATCH('BAU Comparison - All Fuel'!$B26,'BAU Scenario'!$C$2:$C$33,0),MATCH(Q$1,'BAU Scenario'!$A$2:$AC$2))</f>
        <v>104.12766515207851</v>
      </c>
      <c r="R26" s="362">
        <f>INDEX('BAU Scenario'!$A$2:$AC$33,MATCH('BAU Comparison - All Fuel'!$B26,'BAU Scenario'!$C$2:$C$33,0),MATCH(R$1,'BAU Scenario'!$A$2:$AC$2))</f>
        <v>97.118312924815896</v>
      </c>
      <c r="S26" s="362">
        <f>INDEX('BAU Scenario'!$A$2:$AC$33,MATCH('BAU Comparison - All Fuel'!$B26,'BAU Scenario'!$C$2:$C$33,0),MATCH(S$1,'BAU Scenario'!$A$2:$AC$2))</f>
        <v>89.635311006172387</v>
      </c>
      <c r="T26" s="362">
        <f>INDEX('BAU Scenario'!$A$2:$AC$33,MATCH('BAU Comparison - All Fuel'!$B26,'BAU Scenario'!$C$2:$C$33,0),MATCH(T$1,'BAU Scenario'!$A$2:$AC$2))</f>
        <v>81.622904179370835</v>
      </c>
      <c r="U26" s="362">
        <f>INDEX('BAU Scenario'!$A$2:$AC$33,MATCH('BAU Comparison - All Fuel'!$B26,'BAU Scenario'!$C$2:$C$33,0),MATCH(U$1,'BAU Scenario'!$A$2:$AC$2))</f>
        <v>73.049753513794883</v>
      </c>
      <c r="V26" s="362">
        <f>INDEX('BAU Scenario'!$A$2:$AC$33,MATCH('BAU Comparison - All Fuel'!$B26,'BAU Scenario'!$C$2:$C$33,0),MATCH(V$1,'BAU Scenario'!$A$2:$AC$2))</f>
        <v>64.875267293820173</v>
      </c>
      <c r="W26" s="362">
        <f>INDEX('BAU Scenario'!$A$2:$AC$33,MATCH('BAU Comparison - All Fuel'!$B26,'BAU Scenario'!$C$2:$C$33,0),MATCH(W$1,'BAU Scenario'!$A$2:$AC$2))</f>
        <v>56.231647423217048</v>
      </c>
      <c r="X26" s="362">
        <f>INDEX('BAU Scenario'!$A$2:$AC$33,MATCH('BAU Comparison - All Fuel'!$B26,'BAU Scenario'!$C$2:$C$33,0),MATCH(X$1,'BAU Scenario'!$A$2:$AC$2))</f>
        <v>48.386540447683487</v>
      </c>
      <c r="Y26" s="362">
        <f>INDEX('BAU Scenario'!$A$2:$AC$33,MATCH('BAU Comparison - All Fuel'!$B26,'BAU Scenario'!$C$2:$C$33,0),MATCH(Y$1,'BAU Scenario'!$A$2:$AC$2))</f>
        <v>41.217322852680887</v>
      </c>
      <c r="Z26" s="362">
        <f>INDEX('BAU Scenario'!$A$2:$AC$33,MATCH('BAU Comparison - All Fuel'!$B26,'BAU Scenario'!$C$2:$C$33,0),MATCH(Z$1,'BAU Scenario'!$A$2:$AC$2))</f>
        <v>34.977417736298051</v>
      </c>
      <c r="AA26" s="362">
        <f>INDEX('BAU Scenario'!$A$2:$AC$33,MATCH('BAU Comparison - All Fuel'!$B26,'BAU Scenario'!$C$2:$C$33,0),MATCH(AA$1,'BAU Scenario'!$A$2:$AC$2))</f>
        <v>29.277853000669289</v>
      </c>
      <c r="AB26" s="362">
        <f>INDEX('BAU Scenario'!$A$2:$AC$33,MATCH('BAU Comparison - All Fuel'!$B26,'BAU Scenario'!$C$2:$C$33,0),MATCH(AB$1,'BAU Scenario'!$A$2:$AC$2))</f>
        <v>29.27785300810589</v>
      </c>
    </row>
    <row r="27" spans="1:32" ht="15" customHeight="1">
      <c r="A27" s="455"/>
      <c r="B27" s="147" t="s">
        <v>12</v>
      </c>
      <c r="C27" s="10" t="s">
        <v>13</v>
      </c>
      <c r="D27" s="362">
        <f>INDEX('BAU Scenario'!$A$2:$AC$33,MATCH('BAU Comparison - All Fuel'!$B27,'BAU Scenario'!$C$2:$C$33,0),MATCH(D$1,'BAU Scenario'!$A$2:$AC$2))</f>
        <v>41.411879452666028</v>
      </c>
      <c r="E27" s="362">
        <f>INDEX('BAU Scenario'!$A$2:$AC$33,MATCH('BAU Comparison - All Fuel'!$B27,'BAU Scenario'!$C$2:$C$33,0),MATCH(E$1,'BAU Scenario'!$A$2:$AC$2))</f>
        <v>24.847127671599619</v>
      </c>
      <c r="F27" s="362">
        <f>INDEX('BAU Scenario'!$A$2:$AC$33,MATCH('BAU Comparison - All Fuel'!$B27,'BAU Scenario'!$C$2:$C$33,0),MATCH(F$1,'BAU Scenario'!$A$2:$AC$2))</f>
        <v>14.90827660295977</v>
      </c>
      <c r="G27" s="362">
        <f>INDEX('BAU Scenario'!$A$2:$AC$33,MATCH('BAU Comparison - All Fuel'!$B27,'BAU Scenario'!$C$2:$C$33,0),MATCH(G$1,'BAU Scenario'!$A$2:$AC$2))</f>
        <v>8.9449659617758641</v>
      </c>
      <c r="H27" s="362">
        <f>INDEX('BAU Scenario'!$A$2:$AC$33,MATCH('BAU Comparison - All Fuel'!$B27,'BAU Scenario'!$C$2:$C$33,0),MATCH(H$1,'BAU Scenario'!$A$2:$AC$2))</f>
        <v>0</v>
      </c>
      <c r="I27" s="362">
        <f>INDEX('BAU Scenario'!$A$2:$AC$33,MATCH('BAU Comparison - All Fuel'!$B27,'BAU Scenario'!$C$2:$C$33,0),MATCH(I$1,'BAU Scenario'!$A$2:$AC$2))</f>
        <v>0</v>
      </c>
      <c r="J27" s="362">
        <f>INDEX('BAU Scenario'!$A$2:$AC$33,MATCH('BAU Comparison - All Fuel'!$B27,'BAU Scenario'!$C$2:$C$33,0),MATCH(J$1,'BAU Scenario'!$A$2:$AC$2))</f>
        <v>0</v>
      </c>
      <c r="K27" s="362">
        <f>INDEX('BAU Scenario'!$A$2:$AC$33,MATCH('BAU Comparison - All Fuel'!$B27,'BAU Scenario'!$C$2:$C$33,0),MATCH(K$1,'BAU Scenario'!$A$2:$AC$2))</f>
        <v>0</v>
      </c>
      <c r="L27" s="362">
        <f>INDEX('BAU Scenario'!$A$2:$AC$33,MATCH('BAU Comparison - All Fuel'!$B27,'BAU Scenario'!$C$2:$C$33,0),MATCH(L$1,'BAU Scenario'!$A$2:$AC$2))</f>
        <v>0</v>
      </c>
      <c r="M27" s="362">
        <f>INDEX('BAU Scenario'!$A$2:$AC$33,MATCH('BAU Comparison - All Fuel'!$B27,'BAU Scenario'!$C$2:$C$33,0),MATCH(M$1,'BAU Scenario'!$A$2:$AC$2))</f>
        <v>0</v>
      </c>
      <c r="N27" s="362">
        <f>INDEX('BAU Scenario'!$A$2:$AC$33,MATCH('BAU Comparison - All Fuel'!$B27,'BAU Scenario'!$C$2:$C$33,0),MATCH(N$1,'BAU Scenario'!$A$2:$AC$2))</f>
        <v>0</v>
      </c>
      <c r="O27" s="362">
        <f>INDEX('BAU Scenario'!$A$2:$AC$33,MATCH('BAU Comparison - All Fuel'!$B27,'BAU Scenario'!$C$2:$C$33,0),MATCH(O$1,'BAU Scenario'!$A$2:$AC$2))</f>
        <v>0</v>
      </c>
      <c r="P27" s="362">
        <f>INDEX('BAU Scenario'!$A$2:$AC$33,MATCH('BAU Comparison - All Fuel'!$B27,'BAU Scenario'!$C$2:$C$33,0),MATCH(P$1,'BAU Scenario'!$A$2:$AC$2))</f>
        <v>0</v>
      </c>
      <c r="Q27" s="362">
        <f>INDEX('BAU Scenario'!$A$2:$AC$33,MATCH('BAU Comparison - All Fuel'!$B27,'BAU Scenario'!$C$2:$C$33,0),MATCH(Q$1,'BAU Scenario'!$A$2:$AC$2))</f>
        <v>0</v>
      </c>
      <c r="R27" s="362">
        <f>INDEX('BAU Scenario'!$A$2:$AC$33,MATCH('BAU Comparison - All Fuel'!$B27,'BAU Scenario'!$C$2:$C$33,0),MATCH(R$1,'BAU Scenario'!$A$2:$AC$2))</f>
        <v>0</v>
      </c>
      <c r="S27" s="362">
        <f>INDEX('BAU Scenario'!$A$2:$AC$33,MATCH('BAU Comparison - All Fuel'!$B27,'BAU Scenario'!$C$2:$C$33,0),MATCH(S$1,'BAU Scenario'!$A$2:$AC$2))</f>
        <v>0</v>
      </c>
      <c r="T27" s="362">
        <f>INDEX('BAU Scenario'!$A$2:$AC$33,MATCH('BAU Comparison - All Fuel'!$B27,'BAU Scenario'!$C$2:$C$33,0),MATCH(T$1,'BAU Scenario'!$A$2:$AC$2))</f>
        <v>0</v>
      </c>
      <c r="U27" s="362">
        <f>INDEX('BAU Scenario'!$A$2:$AC$33,MATCH('BAU Comparison - All Fuel'!$B27,'BAU Scenario'!$C$2:$C$33,0),MATCH(U$1,'BAU Scenario'!$A$2:$AC$2))</f>
        <v>0</v>
      </c>
      <c r="V27" s="362">
        <f>INDEX('BAU Scenario'!$A$2:$AC$33,MATCH('BAU Comparison - All Fuel'!$B27,'BAU Scenario'!$C$2:$C$33,0),MATCH(V$1,'BAU Scenario'!$A$2:$AC$2))</f>
        <v>0</v>
      </c>
      <c r="W27" s="362">
        <f>INDEX('BAU Scenario'!$A$2:$AC$33,MATCH('BAU Comparison - All Fuel'!$B27,'BAU Scenario'!$C$2:$C$33,0),MATCH(W$1,'BAU Scenario'!$A$2:$AC$2))</f>
        <v>0</v>
      </c>
      <c r="X27" s="362">
        <f>INDEX('BAU Scenario'!$A$2:$AC$33,MATCH('BAU Comparison - All Fuel'!$B27,'BAU Scenario'!$C$2:$C$33,0),MATCH(X$1,'BAU Scenario'!$A$2:$AC$2))</f>
        <v>0</v>
      </c>
      <c r="Y27" s="362">
        <f>INDEX('BAU Scenario'!$A$2:$AC$33,MATCH('BAU Comparison - All Fuel'!$B27,'BAU Scenario'!$C$2:$C$33,0),MATCH(Y$1,'BAU Scenario'!$A$2:$AC$2))</f>
        <v>0</v>
      </c>
      <c r="Z27" s="362">
        <f>INDEX('BAU Scenario'!$A$2:$AC$33,MATCH('BAU Comparison - All Fuel'!$B27,'BAU Scenario'!$C$2:$C$33,0),MATCH(Z$1,'BAU Scenario'!$A$2:$AC$2))</f>
        <v>0</v>
      </c>
      <c r="AA27" s="362">
        <f>INDEX('BAU Scenario'!$A$2:$AC$33,MATCH('BAU Comparison - All Fuel'!$B27,'BAU Scenario'!$C$2:$C$33,0),MATCH(AA$1,'BAU Scenario'!$A$2:$AC$2))</f>
        <v>0</v>
      </c>
      <c r="AB27" s="362">
        <f>INDEX('BAU Scenario'!$A$2:$AC$33,MATCH('BAU Comparison - All Fuel'!$B27,'BAU Scenario'!$C$2:$C$33,0),MATCH(AB$1,'BAU Scenario'!$A$2:$AC$2))</f>
        <v>0</v>
      </c>
      <c r="AC27" s="2"/>
    </row>
    <row r="28" spans="1:32" ht="15" customHeight="1">
      <c r="A28" s="455"/>
      <c r="B28" s="147" t="s">
        <v>10</v>
      </c>
      <c r="C28" s="10" t="s">
        <v>7</v>
      </c>
      <c r="D28" s="362">
        <f>INDEX('BAU Scenario'!$A$2:$AC$33,MATCH('BAU Comparison - All Fuel'!$B28,'BAU Scenario'!$C$2:$C$33,0),MATCH(D$1,'BAU Scenario'!$A$2:$AC$2))</f>
        <v>12394.075118723969</v>
      </c>
      <c r="E28" s="362">
        <f>INDEX('BAU Scenario'!$A$2:$AC$33,MATCH('BAU Comparison - All Fuel'!$B28,'BAU Scenario'!$C$2:$C$33,0),MATCH(E$1,'BAU Scenario'!$A$2:$AC$2))</f>
        <v>12078.55315256515</v>
      </c>
      <c r="F28" s="362">
        <f>INDEX('BAU Scenario'!$A$2:$AC$33,MATCH('BAU Comparison - All Fuel'!$B28,'BAU Scenario'!$C$2:$C$33,0),MATCH(F$1,'BAU Scenario'!$A$2:$AC$2))</f>
        <v>11612.38832067946</v>
      </c>
      <c r="G28" s="362">
        <f>INDEX('BAU Scenario'!$A$2:$AC$33,MATCH('BAU Comparison - All Fuel'!$B28,'BAU Scenario'!$C$2:$C$33,0),MATCH(G$1,'BAU Scenario'!$A$2:$AC$2))</f>
        <v>11272.88216981195</v>
      </c>
      <c r="H28" s="362">
        <f>INDEX('BAU Scenario'!$A$2:$AC$33,MATCH('BAU Comparison - All Fuel'!$B28,'BAU Scenario'!$C$2:$C$33,0),MATCH(H$1,'BAU Scenario'!$A$2:$AC$2))</f>
        <v>10913.35025011942</v>
      </c>
      <c r="I28" s="362">
        <f>INDEX('BAU Scenario'!$A$2:$AC$33,MATCH('BAU Comparison - All Fuel'!$B28,'BAU Scenario'!$C$2:$C$33,0),MATCH(I$1,'BAU Scenario'!$A$2:$AC$2))</f>
        <v>10486.560522742389</v>
      </c>
      <c r="J28" s="362">
        <f>INDEX('BAU Scenario'!$A$2:$AC$33,MATCH('BAU Comparison - All Fuel'!$B28,'BAU Scenario'!$C$2:$C$33,0),MATCH(J$1,'BAU Scenario'!$A$2:$AC$2))</f>
        <v>10040.58398282214</v>
      </c>
      <c r="K28" s="362">
        <f>INDEX('BAU Scenario'!$A$2:$AC$33,MATCH('BAU Comparison - All Fuel'!$B28,'BAU Scenario'!$C$2:$C$33,0),MATCH(K$1,'BAU Scenario'!$A$2:$AC$2))</f>
        <v>9576.2266623162559</v>
      </c>
      <c r="L28" s="362">
        <f>INDEX('BAU Scenario'!$A$2:$AC$33,MATCH('BAU Comparison - All Fuel'!$B28,'BAU Scenario'!$C$2:$C$33,0),MATCH(L$1,'BAU Scenario'!$A$2:$AC$2))</f>
        <v>9090.4400649941053</v>
      </c>
      <c r="M28" s="362">
        <f>INDEX('BAU Scenario'!$A$2:$AC$33,MATCH('BAU Comparison - All Fuel'!$B28,'BAU Scenario'!$C$2:$C$33,0),MATCH(M$1,'BAU Scenario'!$A$2:$AC$2))</f>
        <v>8582.2159985613507</v>
      </c>
      <c r="N28" s="362">
        <f>INDEX('BAU Scenario'!$A$2:$AC$33,MATCH('BAU Comparison - All Fuel'!$B28,'BAU Scenario'!$C$2:$C$33,0),MATCH(N$1,'BAU Scenario'!$A$2:$AC$2))</f>
        <v>8051.9557676982977</v>
      </c>
      <c r="O28" s="362">
        <f>INDEX('BAU Scenario'!$A$2:$AC$33,MATCH('BAU Comparison - All Fuel'!$B28,'BAU Scenario'!$C$2:$C$33,0),MATCH(O$1,'BAU Scenario'!$A$2:$AC$2))</f>
        <v>7492.1411850500181</v>
      </c>
      <c r="P28" s="362">
        <f>INDEX('BAU Scenario'!$A$2:$AC$33,MATCH('BAU Comparison - All Fuel'!$B28,'BAU Scenario'!$C$2:$C$33,0),MATCH(P$1,'BAU Scenario'!$A$2:$AC$2))</f>
        <v>6916.5307218759981</v>
      </c>
      <c r="Q28" s="362">
        <f>INDEX('BAU Scenario'!$A$2:$AC$33,MATCH('BAU Comparison - All Fuel'!$B28,'BAU Scenario'!$C$2:$C$33,0),MATCH(Q$1,'BAU Scenario'!$A$2:$AC$2))</f>
        <v>6331.9536777557023</v>
      </c>
      <c r="R28" s="362">
        <f>INDEX('BAU Scenario'!$A$2:$AC$33,MATCH('BAU Comparison - All Fuel'!$B28,'BAU Scenario'!$C$2:$C$33,0),MATCH(R$1,'BAU Scenario'!$A$2:$AC$2))</f>
        <v>5764.4586638937844</v>
      </c>
      <c r="S28" s="362">
        <f>INDEX('BAU Scenario'!$A$2:$AC$33,MATCH('BAU Comparison - All Fuel'!$B28,'BAU Scenario'!$C$2:$C$33,0),MATCH(S$1,'BAU Scenario'!$A$2:$AC$2))</f>
        <v>5218.2243414733293</v>
      </c>
      <c r="T28" s="362">
        <f>INDEX('BAU Scenario'!$A$2:$AC$33,MATCH('BAU Comparison - All Fuel'!$B28,'BAU Scenario'!$C$2:$C$33,0),MATCH(T$1,'BAU Scenario'!$A$2:$AC$2))</f>
        <v>4698.3232726265196</v>
      </c>
      <c r="U28" s="362">
        <f>INDEX('BAU Scenario'!$A$2:$AC$33,MATCH('BAU Comparison - All Fuel'!$B28,'BAU Scenario'!$C$2:$C$33,0),MATCH(U$1,'BAU Scenario'!$A$2:$AC$2))</f>
        <v>4207.9193518321699</v>
      </c>
      <c r="V28" s="362">
        <f>INDEX('BAU Scenario'!$A$2:$AC$33,MATCH('BAU Comparison - All Fuel'!$B28,'BAU Scenario'!$C$2:$C$33,0),MATCH(V$1,'BAU Scenario'!$A$2:$AC$2))</f>
        <v>3745.9643527355079</v>
      </c>
      <c r="W28" s="362">
        <f>INDEX('BAU Scenario'!$A$2:$AC$33,MATCH('BAU Comparison - All Fuel'!$B28,'BAU Scenario'!$C$2:$C$33,0),MATCH(W$1,'BAU Scenario'!$A$2:$AC$2))</f>
        <v>3313.4408276794511</v>
      </c>
      <c r="X28" s="362">
        <f>INDEX('BAU Scenario'!$A$2:$AC$33,MATCH('BAU Comparison - All Fuel'!$B28,'BAU Scenario'!$C$2:$C$33,0),MATCH(X$1,'BAU Scenario'!$A$2:$AC$2))</f>
        <v>2911.628222349776</v>
      </c>
      <c r="Y28" s="362">
        <f>INDEX('BAU Scenario'!$A$2:$AC$33,MATCH('BAU Comparison - All Fuel'!$B28,'BAU Scenario'!$C$2:$C$33,0),MATCH(Y$1,'BAU Scenario'!$A$2:$AC$2))</f>
        <v>2541.46774638735</v>
      </c>
      <c r="Z28" s="362">
        <f>INDEX('BAU Scenario'!$A$2:$AC$33,MATCH('BAU Comparison - All Fuel'!$B28,'BAU Scenario'!$C$2:$C$33,0),MATCH(Z$1,'BAU Scenario'!$A$2:$AC$2))</f>
        <v>2200.8953722041319</v>
      </c>
      <c r="AA28" s="362">
        <f>INDEX('BAU Scenario'!$A$2:$AC$33,MATCH('BAU Comparison - All Fuel'!$B28,'BAU Scenario'!$C$2:$C$33,0),MATCH(AA$1,'BAU Scenario'!$A$2:$AC$2))</f>
        <v>1890.460241071235</v>
      </c>
      <c r="AB28" s="362">
        <f>INDEX('BAU Scenario'!$A$2:$AC$33,MATCH('BAU Comparison - All Fuel'!$B28,'BAU Scenario'!$C$2:$C$33,0),MATCH(AB$1,'BAU Scenario'!$A$2:$AC$2))</f>
        <v>1632.283211203908</v>
      </c>
      <c r="AC28" s="58"/>
      <c r="AD28" s="58"/>
      <c r="AE28" s="58"/>
      <c r="AF28" s="58"/>
    </row>
    <row r="29" spans="1:32" ht="15.75" customHeight="1">
      <c r="A29" s="455"/>
      <c r="B29" s="147" t="s">
        <v>35</v>
      </c>
      <c r="C29" s="10" t="s">
        <v>185</v>
      </c>
      <c r="D29" s="362">
        <f>INDEX('BAU Scenario'!$A$2:$AC$33,MATCH('BAU Comparison - All Fuel'!$B29,'BAU Scenario'!$C$2:$C$33,0),MATCH(D$1,'BAU Scenario'!$A$2:$AC$2))</f>
        <v>2041.163086138172</v>
      </c>
      <c r="E29" s="362">
        <f>INDEX('BAU Scenario'!$A$2:$AC$33,MATCH('BAU Comparison - All Fuel'!$B29,'BAU Scenario'!$C$2:$C$33,0),MATCH(E$1,'BAU Scenario'!$A$2:$AC$2))</f>
        <v>1503.9860612924831</v>
      </c>
      <c r="F29" s="362">
        <f>INDEX('BAU Scenario'!$A$2:$AC$33,MATCH('BAU Comparison - All Fuel'!$B29,'BAU Scenario'!$C$2:$C$33,0),MATCH(F$1,'BAU Scenario'!$A$2:$AC$2))</f>
        <v>1210.8732416573689</v>
      </c>
      <c r="G29" s="362">
        <f>INDEX('BAU Scenario'!$A$2:$AC$33,MATCH('BAU Comparison - All Fuel'!$B29,'BAU Scenario'!$C$2:$C$33,0),MATCH(G$1,'BAU Scenario'!$A$2:$AC$2))</f>
        <v>1517.3423192247089</v>
      </c>
      <c r="H29" s="362">
        <f>INDEX('BAU Scenario'!$A$2:$AC$33,MATCH('BAU Comparison - All Fuel'!$B29,'BAU Scenario'!$C$2:$C$33,0),MATCH(H$1,'BAU Scenario'!$A$2:$AC$2))</f>
        <v>1683.264585024426</v>
      </c>
      <c r="I29" s="362">
        <f>INDEX('BAU Scenario'!$A$2:$AC$33,MATCH('BAU Comparison - All Fuel'!$B29,'BAU Scenario'!$C$2:$C$33,0),MATCH(I$1,'BAU Scenario'!$A$2:$AC$2))</f>
        <v>1748.430382259889</v>
      </c>
      <c r="J29" s="362">
        <f>INDEX('BAU Scenario'!$A$2:$AC$33,MATCH('BAU Comparison - All Fuel'!$B29,'BAU Scenario'!$C$2:$C$33,0),MATCH(J$1,'BAU Scenario'!$A$2:$AC$2))</f>
        <v>1767.480777986457</v>
      </c>
      <c r="K29" s="362">
        <f>INDEX('BAU Scenario'!$A$2:$AC$33,MATCH('BAU Comparison - All Fuel'!$B29,'BAU Scenario'!$C$2:$C$33,0),MATCH(K$1,'BAU Scenario'!$A$2:$AC$2))</f>
        <v>1740.3302553049</v>
      </c>
      <c r="L29" s="362">
        <f>INDEX('BAU Scenario'!$A$2:$AC$33,MATCH('BAU Comparison - All Fuel'!$B29,'BAU Scenario'!$C$2:$C$33,0),MATCH(L$1,'BAU Scenario'!$A$2:$AC$2))</f>
        <v>1680.529463452493</v>
      </c>
      <c r="M29" s="362">
        <f>INDEX('BAU Scenario'!$A$2:$AC$33,MATCH('BAU Comparison - All Fuel'!$B29,'BAU Scenario'!$C$2:$C$33,0),MATCH(M$1,'BAU Scenario'!$A$2:$AC$2))</f>
        <v>1619.1515058810189</v>
      </c>
      <c r="N29" s="362">
        <f>INDEX('BAU Scenario'!$A$2:$AC$33,MATCH('BAU Comparison - All Fuel'!$B29,'BAU Scenario'!$C$2:$C$33,0),MATCH(N$1,'BAU Scenario'!$A$2:$AC$2))</f>
        <v>1558.3930320847701</v>
      </c>
      <c r="O29" s="362">
        <f>INDEX('BAU Scenario'!$A$2:$AC$33,MATCH('BAU Comparison - All Fuel'!$B29,'BAU Scenario'!$C$2:$C$33,0),MATCH(O$1,'BAU Scenario'!$A$2:$AC$2))</f>
        <v>1507.2738507757119</v>
      </c>
      <c r="P29" s="362">
        <f>INDEX('BAU Scenario'!$A$2:$AC$33,MATCH('BAU Comparison - All Fuel'!$B29,'BAU Scenario'!$C$2:$C$33,0),MATCH(P$1,'BAU Scenario'!$A$2:$AC$2))</f>
        <v>1439.1239087072699</v>
      </c>
      <c r="Q29" s="362">
        <f>INDEX('BAU Scenario'!$A$2:$AC$33,MATCH('BAU Comparison - All Fuel'!$B29,'BAU Scenario'!$C$2:$C$33,0),MATCH(Q$1,'BAU Scenario'!$A$2:$AC$2))</f>
        <v>1354.4785646156499</v>
      </c>
      <c r="R29" s="362">
        <f>INDEX('BAU Scenario'!$A$2:$AC$33,MATCH('BAU Comparison - All Fuel'!$B29,'BAU Scenario'!$C$2:$C$33,0),MATCH(R$1,'BAU Scenario'!$A$2:$AC$2))</f>
        <v>1278.605640855704</v>
      </c>
      <c r="S29" s="362">
        <f>INDEX('BAU Scenario'!$A$2:$AC$33,MATCH('BAU Comparison - All Fuel'!$B29,'BAU Scenario'!$C$2:$C$33,0),MATCH(S$1,'BAU Scenario'!$A$2:$AC$2))</f>
        <v>1201.4720602578011</v>
      </c>
      <c r="T29" s="362">
        <f>INDEX('BAU Scenario'!$A$2:$AC$33,MATCH('BAU Comparison - All Fuel'!$B29,'BAU Scenario'!$C$2:$C$33,0),MATCH(T$1,'BAU Scenario'!$A$2:$AC$2))</f>
        <v>1122.561879994546</v>
      </c>
      <c r="U29" s="362">
        <f>INDEX('BAU Scenario'!$A$2:$AC$33,MATCH('BAU Comparison - All Fuel'!$B29,'BAU Scenario'!$C$2:$C$33,0),MATCH(U$1,'BAU Scenario'!$A$2:$AC$2))</f>
        <v>1040.399153527675</v>
      </c>
      <c r="V29" s="362">
        <f>INDEX('BAU Scenario'!$A$2:$AC$33,MATCH('BAU Comparison - All Fuel'!$B29,'BAU Scenario'!$C$2:$C$33,0),MATCH(V$1,'BAU Scenario'!$A$2:$AC$2))</f>
        <v>995.69035526040386</v>
      </c>
      <c r="W29" s="362">
        <f>INDEX('BAU Scenario'!$A$2:$AC$33,MATCH('BAU Comparison - All Fuel'!$B29,'BAU Scenario'!$C$2:$C$33,0),MATCH(W$1,'BAU Scenario'!$A$2:$AC$2))</f>
        <v>944.77685155697588</v>
      </c>
      <c r="X29" s="362">
        <f>INDEX('BAU Scenario'!$A$2:$AC$33,MATCH('BAU Comparison - All Fuel'!$B29,'BAU Scenario'!$C$2:$C$33,0),MATCH(X$1,'BAU Scenario'!$A$2:$AC$2))</f>
        <v>886.35292099997389</v>
      </c>
      <c r="Y29" s="362">
        <f>INDEX('BAU Scenario'!$A$2:$AC$33,MATCH('BAU Comparison - All Fuel'!$B29,'BAU Scenario'!$C$2:$C$33,0),MATCH(Y$1,'BAU Scenario'!$A$2:$AC$2))</f>
        <v>886.1627373233174</v>
      </c>
      <c r="Z29" s="362">
        <f>INDEX('BAU Scenario'!$A$2:$AC$33,MATCH('BAU Comparison - All Fuel'!$B29,'BAU Scenario'!$C$2:$C$33,0),MATCH(Z$1,'BAU Scenario'!$A$2:$AC$2))</f>
        <v>889.51779840757422</v>
      </c>
      <c r="AA29" s="362">
        <f>INDEX('BAU Scenario'!$A$2:$AC$33,MATCH('BAU Comparison - All Fuel'!$B29,'BAU Scenario'!$C$2:$C$33,0),MATCH(AA$1,'BAU Scenario'!$A$2:$AC$2))</f>
        <v>898.68851178602335</v>
      </c>
      <c r="AB29" s="362">
        <f>INDEX('BAU Scenario'!$A$2:$AC$33,MATCH('BAU Comparison - All Fuel'!$B29,'BAU Scenario'!$C$2:$C$33,0),MATCH(AB$1,'BAU Scenario'!$A$2:$AC$2))</f>
        <v>901.88227081777723</v>
      </c>
      <c r="AC29" s="28"/>
      <c r="AD29" s="28"/>
      <c r="AE29" s="28"/>
      <c r="AF29" s="28"/>
    </row>
    <row r="31" spans="1:32" ht="15" customHeight="1">
      <c r="A31" s="456" t="s">
        <v>186</v>
      </c>
      <c r="B31" s="174" t="s">
        <v>3</v>
      </c>
      <c r="C31" s="11" t="s">
        <v>1</v>
      </c>
      <c r="D31" s="345">
        <f t="shared" ref="D31:AB31" si="0">D1</f>
        <v>2022</v>
      </c>
      <c r="E31" s="345">
        <f t="shared" si="0"/>
        <v>2023</v>
      </c>
      <c r="F31" s="345">
        <f t="shared" si="0"/>
        <v>2024</v>
      </c>
      <c r="G31" s="345">
        <f t="shared" si="0"/>
        <v>2025</v>
      </c>
      <c r="H31" s="345">
        <f t="shared" si="0"/>
        <v>2026</v>
      </c>
      <c r="I31" s="345">
        <f t="shared" si="0"/>
        <v>2027</v>
      </c>
      <c r="J31" s="345">
        <f t="shared" si="0"/>
        <v>2028</v>
      </c>
      <c r="K31" s="345">
        <f t="shared" si="0"/>
        <v>2029</v>
      </c>
      <c r="L31" s="345">
        <f t="shared" si="0"/>
        <v>2030</v>
      </c>
      <c r="M31" s="345">
        <f t="shared" si="0"/>
        <v>2031</v>
      </c>
      <c r="N31" s="345">
        <f t="shared" si="0"/>
        <v>2032</v>
      </c>
      <c r="O31" s="345">
        <f t="shared" si="0"/>
        <v>2033</v>
      </c>
      <c r="P31" s="345">
        <f t="shared" si="0"/>
        <v>2034</v>
      </c>
      <c r="Q31" s="345">
        <f t="shared" si="0"/>
        <v>2035</v>
      </c>
      <c r="R31" s="345">
        <f t="shared" si="0"/>
        <v>2036</v>
      </c>
      <c r="S31" s="345">
        <f t="shared" si="0"/>
        <v>2037</v>
      </c>
      <c r="T31" s="345">
        <f t="shared" si="0"/>
        <v>2038</v>
      </c>
      <c r="U31" s="345">
        <f t="shared" si="0"/>
        <v>2039</v>
      </c>
      <c r="V31" s="345">
        <f t="shared" si="0"/>
        <v>2040</v>
      </c>
      <c r="W31" s="345">
        <f t="shared" si="0"/>
        <v>2041</v>
      </c>
      <c r="X31" s="345">
        <f t="shared" si="0"/>
        <v>2042</v>
      </c>
      <c r="Y31" s="345">
        <f t="shared" si="0"/>
        <v>2043</v>
      </c>
      <c r="Z31" s="345">
        <f t="shared" si="0"/>
        <v>2044</v>
      </c>
      <c r="AA31" s="345">
        <f t="shared" si="0"/>
        <v>2045</v>
      </c>
      <c r="AB31" s="345">
        <f t="shared" si="0"/>
        <v>2046</v>
      </c>
    </row>
    <row r="32" spans="1:32" ht="15" customHeight="1">
      <c r="A32" s="456"/>
      <c r="B32" s="10" t="s">
        <v>102</v>
      </c>
      <c r="C32" s="10" t="s">
        <v>7</v>
      </c>
      <c r="D32" s="365">
        <f>INDEX('Proposed Amendments Scenario'!$A$2:$AC$33, MATCH('BAU Comparison - All Fuel'!$B32,'Proposed Amendments Scenario'!$C$2:$C$33,0),MATCH('BAU Comparison - All Fuel'!D$31,'Proposed Amendments Scenario'!$A$2:$AC$2,0))</f>
        <v>103.5217700036805</v>
      </c>
      <c r="E32" s="365">
        <f>INDEX('Proposed Amendments Scenario'!$A$2:$AC$33, MATCH('BAU Comparison - All Fuel'!$B32,'Proposed Amendments Scenario'!$C$2:$C$33,0),MATCH('BAU Comparison - All Fuel'!E$31,'Proposed Amendments Scenario'!$A$2:$AC$2,0))</f>
        <v>144.93047800515271</v>
      </c>
      <c r="F32" s="365">
        <f>INDEX('Proposed Amendments Scenario'!$A$2:$AC$33, MATCH('BAU Comparison - All Fuel'!$B32,'Proposed Amendments Scenario'!$C$2:$C$33,0),MATCH('BAU Comparison - All Fuel'!F$31,'Proposed Amendments Scenario'!$A$2:$AC$2,0))</f>
        <v>202.9026692072139</v>
      </c>
      <c r="G32" s="365">
        <f>INDEX('Proposed Amendments Scenario'!$A$2:$AC$33, MATCH('BAU Comparison - All Fuel'!$B32,'Proposed Amendments Scenario'!$C$2:$C$33,0),MATCH('BAU Comparison - All Fuel'!G$31,'Proposed Amendments Scenario'!$A$2:$AC$2,0))</f>
        <v>191.38755980861251</v>
      </c>
      <c r="H32" s="365">
        <f>INDEX('Proposed Amendments Scenario'!$A$2:$AC$33, MATCH('BAU Comparison - All Fuel'!$B32,'Proposed Amendments Scenario'!$C$2:$C$33,0),MATCH('BAU Comparison - All Fuel'!H$31,'Proposed Amendments Scenario'!$A$2:$AC$2,0))</f>
        <v>191.38755980861239</v>
      </c>
      <c r="I32" s="365">
        <f>INDEX('Proposed Amendments Scenario'!$A$2:$AC$33, MATCH('BAU Comparison - All Fuel'!$B32,'Proposed Amendments Scenario'!$C$2:$C$33,0),MATCH('BAU Comparison - All Fuel'!I$31,'Proposed Amendments Scenario'!$A$2:$AC$2,0))</f>
        <v>191.38755980861239</v>
      </c>
      <c r="J32" s="365">
        <f>INDEX('Proposed Amendments Scenario'!$A$2:$AC$33, MATCH('BAU Comparison - All Fuel'!$B32,'Proposed Amendments Scenario'!$C$2:$C$33,0),MATCH('BAU Comparison - All Fuel'!J$31,'Proposed Amendments Scenario'!$A$2:$AC$2,0))</f>
        <v>191.38755980861239</v>
      </c>
      <c r="K32" s="365">
        <f>INDEX('Proposed Amendments Scenario'!$A$2:$AC$33, MATCH('BAU Comparison - All Fuel'!$B32,'Proposed Amendments Scenario'!$C$2:$C$33,0),MATCH('BAU Comparison - All Fuel'!K$31,'Proposed Amendments Scenario'!$A$2:$AC$2,0))</f>
        <v>191.38755980861239</v>
      </c>
      <c r="L32" s="365">
        <f>INDEX('Proposed Amendments Scenario'!$A$2:$AC$33, MATCH('BAU Comparison - All Fuel'!$B32,'Proposed Amendments Scenario'!$C$2:$C$33,0),MATCH('BAU Comparison - All Fuel'!L$31,'Proposed Amendments Scenario'!$A$2:$AC$2,0))</f>
        <v>191.38755980861239</v>
      </c>
      <c r="M32" s="365">
        <f>INDEX('Proposed Amendments Scenario'!$A$2:$AC$33, MATCH('BAU Comparison - All Fuel'!$B32,'Proposed Amendments Scenario'!$C$2:$C$33,0),MATCH('BAU Comparison - All Fuel'!M$31,'Proposed Amendments Scenario'!$A$2:$AC$2,0))</f>
        <v>191.38755980861239</v>
      </c>
      <c r="N32" s="365">
        <f>INDEX('Proposed Amendments Scenario'!$A$2:$AC$33, MATCH('BAU Comparison - All Fuel'!$B32,'Proposed Amendments Scenario'!$C$2:$C$33,0),MATCH('BAU Comparison - All Fuel'!N$31,'Proposed Amendments Scenario'!$A$2:$AC$2,0))</f>
        <v>191.38755980861239</v>
      </c>
      <c r="O32" s="365">
        <f>INDEX('Proposed Amendments Scenario'!$A$2:$AC$33, MATCH('BAU Comparison - All Fuel'!$B32,'Proposed Amendments Scenario'!$C$2:$C$33,0),MATCH('BAU Comparison - All Fuel'!O$31,'Proposed Amendments Scenario'!$A$2:$AC$2,0))</f>
        <v>191.38755980861251</v>
      </c>
      <c r="P32" s="365">
        <f>INDEX('Proposed Amendments Scenario'!$A$2:$AC$33, MATCH('BAU Comparison - All Fuel'!$B32,'Proposed Amendments Scenario'!$C$2:$C$33,0),MATCH('BAU Comparison - All Fuel'!P$31,'Proposed Amendments Scenario'!$A$2:$AC$2,0))</f>
        <v>191.38755980861239</v>
      </c>
      <c r="Q32" s="365">
        <f>INDEX('Proposed Amendments Scenario'!$A$2:$AC$33, MATCH('BAU Comparison - All Fuel'!$B32,'Proposed Amendments Scenario'!$C$2:$C$33,0),MATCH('BAU Comparison - All Fuel'!Q$31,'Proposed Amendments Scenario'!$A$2:$AC$2,0))</f>
        <v>191.38755980861239</v>
      </c>
      <c r="R32" s="365">
        <f>INDEX('Proposed Amendments Scenario'!$A$2:$AC$33, MATCH('BAU Comparison - All Fuel'!$B32,'Proposed Amendments Scenario'!$C$2:$C$33,0),MATCH('BAU Comparison - All Fuel'!R$31,'Proposed Amendments Scenario'!$A$2:$AC$2,0))</f>
        <v>191.38755980861239</v>
      </c>
      <c r="S32" s="365">
        <f>INDEX('Proposed Amendments Scenario'!$A$2:$AC$33, MATCH('BAU Comparison - All Fuel'!$B32,'Proposed Amendments Scenario'!$C$2:$C$33,0),MATCH('BAU Comparison - All Fuel'!S$31,'Proposed Amendments Scenario'!$A$2:$AC$2,0))</f>
        <v>191.38755980861239</v>
      </c>
      <c r="T32" s="365">
        <f>INDEX('Proposed Amendments Scenario'!$A$2:$AC$33, MATCH('BAU Comparison - All Fuel'!$B32,'Proposed Amendments Scenario'!$C$2:$C$33,0),MATCH('BAU Comparison - All Fuel'!T$31,'Proposed Amendments Scenario'!$A$2:$AC$2,0))</f>
        <v>191.38755980861251</v>
      </c>
      <c r="U32" s="365">
        <f>INDEX('Proposed Amendments Scenario'!$A$2:$AC$33, MATCH('BAU Comparison - All Fuel'!$B32,'Proposed Amendments Scenario'!$C$2:$C$33,0),MATCH('BAU Comparison - All Fuel'!U$31,'Proposed Amendments Scenario'!$A$2:$AC$2,0))</f>
        <v>191.38755980861251</v>
      </c>
      <c r="V32" s="365">
        <f>INDEX('Proposed Amendments Scenario'!$A$2:$AC$33, MATCH('BAU Comparison - All Fuel'!$B32,'Proposed Amendments Scenario'!$C$2:$C$33,0),MATCH('BAU Comparison - All Fuel'!V$31,'Proposed Amendments Scenario'!$A$2:$AC$2,0))</f>
        <v>191.38755980861239</v>
      </c>
      <c r="W32" s="365">
        <f>INDEX('Proposed Amendments Scenario'!$A$2:$AC$33, MATCH('BAU Comparison - All Fuel'!$B32,'Proposed Amendments Scenario'!$C$2:$C$33,0),MATCH('BAU Comparison - All Fuel'!W$31,'Proposed Amendments Scenario'!$A$2:$AC$2,0))</f>
        <v>191.38755980861251</v>
      </c>
      <c r="X32" s="365">
        <f>INDEX('Proposed Amendments Scenario'!$A$2:$AC$33, MATCH('BAU Comparison - All Fuel'!$B32,'Proposed Amendments Scenario'!$C$2:$C$33,0),MATCH('BAU Comparison - All Fuel'!X$31,'Proposed Amendments Scenario'!$A$2:$AC$2,0))</f>
        <v>191.38755980861239</v>
      </c>
      <c r="Y32" s="365">
        <f>INDEX('Proposed Amendments Scenario'!$A$2:$AC$33, MATCH('BAU Comparison - All Fuel'!$B32,'Proposed Amendments Scenario'!$C$2:$C$33,0),MATCH('BAU Comparison - All Fuel'!Y$31,'Proposed Amendments Scenario'!$A$2:$AC$2,0))</f>
        <v>191.38755980861239</v>
      </c>
      <c r="Z32" s="365">
        <f>INDEX('Proposed Amendments Scenario'!$A$2:$AC$33, MATCH('BAU Comparison - All Fuel'!$B32,'Proposed Amendments Scenario'!$C$2:$C$33,0),MATCH('BAU Comparison - All Fuel'!Z$31,'Proposed Amendments Scenario'!$A$2:$AC$2,0))</f>
        <v>191.38755980861239</v>
      </c>
      <c r="AA32" s="365">
        <f>INDEX('Proposed Amendments Scenario'!$A$2:$AC$33, MATCH('BAU Comparison - All Fuel'!$B32,'Proposed Amendments Scenario'!$C$2:$C$33,0),MATCH('BAU Comparison - All Fuel'!AA$31,'Proposed Amendments Scenario'!$A$2:$AC$2,0))</f>
        <v>191.38755980861239</v>
      </c>
      <c r="AB32" s="365">
        <f>INDEX('Proposed Amendments Scenario'!$A$2:$AC$33, MATCH('BAU Comparison - All Fuel'!$B32,'Proposed Amendments Scenario'!$C$2:$C$33,0),MATCH('BAU Comparison - All Fuel'!AB$31,'Proposed Amendments Scenario'!$A$2:$AC$2,0))</f>
        <v>191.38755980861239</v>
      </c>
    </row>
    <row r="33" spans="1:28" ht="15" customHeight="1">
      <c r="A33" s="456"/>
      <c r="B33" s="10" t="s">
        <v>19</v>
      </c>
      <c r="C33" s="10" t="s">
        <v>7</v>
      </c>
      <c r="D33" s="365">
        <f>INDEX('Proposed Amendments Scenario'!$A$2:$AC$33, MATCH('BAU Comparison - All Fuel'!$B33,'Proposed Amendments Scenario'!$C$2:$C$33,0),MATCH('BAU Comparison - All Fuel'!D$31,'Proposed Amendments Scenario'!$A$2:$AC$2,0))</f>
        <v>1384.277987288961</v>
      </c>
      <c r="E33" s="365">
        <f>INDEX('Proposed Amendments Scenario'!$A$2:$AC$33, MATCH('BAU Comparison - All Fuel'!$B33,'Proposed Amendments Scenario'!$C$2:$C$33,0),MATCH('BAU Comparison - All Fuel'!E$31,'Proposed Amendments Scenario'!$A$2:$AC$2,0))</f>
        <v>1352.3732794342779</v>
      </c>
      <c r="F33" s="365">
        <f>INDEX('Proposed Amendments Scenario'!$A$2:$AC$33, MATCH('BAU Comparison - All Fuel'!$B33,'Proposed Amendments Scenario'!$C$2:$C$33,0),MATCH('BAU Comparison - All Fuel'!F$31,'Proposed Amendments Scenario'!$A$2:$AC$2,0))</f>
        <v>1304.9931339357629</v>
      </c>
      <c r="G33" s="365">
        <f>INDEX('Proposed Amendments Scenario'!$A$2:$AC$33, MATCH('BAU Comparison - All Fuel'!$B33,'Proposed Amendments Scenario'!$C$2:$C$33,0),MATCH('BAU Comparison - All Fuel'!G$31,'Proposed Amendments Scenario'!$A$2:$AC$2,0))</f>
        <v>1266.4168351904989</v>
      </c>
      <c r="H33" s="365">
        <f>INDEX('Proposed Amendments Scenario'!$A$2:$AC$33, MATCH('BAU Comparison - All Fuel'!$B33,'Proposed Amendments Scenario'!$C$2:$C$33,0),MATCH('BAU Comparison - All Fuel'!H$31,'Proposed Amendments Scenario'!$A$2:$AC$2,0))</f>
        <v>1226.4886083575709</v>
      </c>
      <c r="I33" s="365">
        <f>INDEX('Proposed Amendments Scenario'!$A$2:$AC$33, MATCH('BAU Comparison - All Fuel'!$B33,'Proposed Amendments Scenario'!$C$2:$C$33,0),MATCH('BAU Comparison - All Fuel'!I$31,'Proposed Amendments Scenario'!$A$2:$AC$2,0))</f>
        <v>1179.090989088475</v>
      </c>
      <c r="J33" s="365">
        <f>INDEX('Proposed Amendments Scenario'!$A$2:$AC$33, MATCH('BAU Comparison - All Fuel'!$B33,'Proposed Amendments Scenario'!$C$2:$C$33,0),MATCH('BAU Comparison - All Fuel'!J$31,'Proposed Amendments Scenario'!$A$2:$AC$2,0))</f>
        <v>1129.5625564994341</v>
      </c>
      <c r="K33" s="365">
        <f>INDEX('Proposed Amendments Scenario'!$A$2:$AC$33, MATCH('BAU Comparison - All Fuel'!$B33,'Proposed Amendments Scenario'!$C$2:$C$33,0),MATCH('BAU Comparison - All Fuel'!K$31,'Proposed Amendments Scenario'!$A$2:$AC$2,0))</f>
        <v>1077.99282538753</v>
      </c>
      <c r="L33" s="365">
        <f>INDEX('Proposed Amendments Scenario'!$A$2:$AC$33, MATCH('BAU Comparison - All Fuel'!$B33,'Proposed Amendments Scenario'!$C$2:$C$33,0),MATCH('BAU Comparison - All Fuel'!L$31,'Proposed Amendments Scenario'!$A$2:$AC$2,0))</f>
        <v>1024.043241531768</v>
      </c>
      <c r="M33" s="365">
        <f>INDEX('Proposed Amendments Scenario'!$A$2:$AC$33, MATCH('BAU Comparison - All Fuel'!$B33,'Proposed Amendments Scenario'!$C$2:$C$33,0),MATCH('BAU Comparison - All Fuel'!M$31,'Proposed Amendments Scenario'!$A$2:$AC$2,0))</f>
        <v>967.60183898860987</v>
      </c>
      <c r="N33" s="365">
        <f>INDEX('Proposed Amendments Scenario'!$A$2:$AC$33, MATCH('BAU Comparison - All Fuel'!$B33,'Proposed Amendments Scenario'!$C$2:$C$33,0),MATCH('BAU Comparison - All Fuel'!N$31,'Proposed Amendments Scenario'!$A$2:$AC$2,0))</f>
        <v>908.71318510639708</v>
      </c>
      <c r="O33" s="365">
        <f>INDEX('Proposed Amendments Scenario'!$A$2:$AC$33, MATCH('BAU Comparison - All Fuel'!$B33,'Proposed Amendments Scenario'!$C$2:$C$33,0),MATCH('BAU Comparison - All Fuel'!O$31,'Proposed Amendments Scenario'!$A$2:$AC$2,0))</f>
        <v>846.5423390255329</v>
      </c>
      <c r="P33" s="365">
        <f>INDEX('Proposed Amendments Scenario'!$A$2:$AC$33, MATCH('BAU Comparison - All Fuel'!$B33,'Proposed Amendments Scenario'!$C$2:$C$33,0),MATCH('BAU Comparison - All Fuel'!P$31,'Proposed Amendments Scenario'!$A$2:$AC$2,0))</f>
        <v>782.61726344205135</v>
      </c>
      <c r="Q33" s="365">
        <f>INDEX('Proposed Amendments Scenario'!$A$2:$AC$33, MATCH('BAU Comparison - All Fuel'!$B33,'Proposed Amendments Scenario'!$C$2:$C$33,0),MATCH('BAU Comparison - All Fuel'!Q$31,'Proposed Amendments Scenario'!$A$2:$AC$2,0))</f>
        <v>717.69639399902837</v>
      </c>
      <c r="R33" s="365">
        <f>INDEX('Proposed Amendments Scenario'!$A$2:$AC$33, MATCH('BAU Comparison - All Fuel'!$B33,'Proposed Amendments Scenario'!$C$2:$C$33,0),MATCH('BAU Comparison - All Fuel'!R$31,'Proposed Amendments Scenario'!$A$2:$AC$2,0))</f>
        <v>654.67258888205117</v>
      </c>
      <c r="S33" s="365">
        <f>INDEX('Proposed Amendments Scenario'!$A$2:$AC$33, MATCH('BAU Comparison - All Fuel'!$B33,'Proposed Amendments Scenario'!$C$2:$C$33,0),MATCH('BAU Comparison - All Fuel'!S$31,'Proposed Amendments Scenario'!$A$2:$AC$2,0))</f>
        <v>594.00991406812432</v>
      </c>
      <c r="T33" s="365">
        <f>INDEX('Proposed Amendments Scenario'!$A$2:$AC$33, MATCH('BAU Comparison - All Fuel'!$B33,'Proposed Amendments Scenario'!$C$2:$C$33,0),MATCH('BAU Comparison - All Fuel'!T$31,'Proposed Amendments Scenario'!$A$2:$AC$2,0))</f>
        <v>536.27170872226725</v>
      </c>
      <c r="U33" s="365">
        <f>INDEX('Proposed Amendments Scenario'!$A$2:$AC$33, MATCH('BAU Comparison - All Fuel'!$B33,'Proposed Amendments Scenario'!$C$2:$C$33,0),MATCH('BAU Comparison - All Fuel'!U$31,'Proposed Amendments Scenario'!$A$2:$AC$2,0))</f>
        <v>481.80934274936561</v>
      </c>
      <c r="V33" s="365">
        <f>INDEX('Proposed Amendments Scenario'!$A$2:$AC$33, MATCH('BAU Comparison - All Fuel'!$B33,'Proposed Amendments Scenario'!$C$2:$C$33,0),MATCH('BAU Comparison - All Fuel'!V$31,'Proposed Amendments Scenario'!$A$2:$AC$2,0))</f>
        <v>430.5064041777058</v>
      </c>
      <c r="W33" s="365">
        <f>INDEX('Proposed Amendments Scenario'!$A$2:$AC$33, MATCH('BAU Comparison - All Fuel'!$B33,'Proposed Amendments Scenario'!$C$2:$C$33,0),MATCH('BAU Comparison - All Fuel'!W$31,'Proposed Amendments Scenario'!$A$2:$AC$2,0))</f>
        <v>382.47201147681511</v>
      </c>
      <c r="X33" s="365">
        <f>INDEX('Proposed Amendments Scenario'!$A$2:$AC$33, MATCH('BAU Comparison - All Fuel'!$B33,'Proposed Amendments Scenario'!$C$2:$C$33,0),MATCH('BAU Comparison - All Fuel'!X$31,'Proposed Amendments Scenario'!$A$2:$AC$2,0))</f>
        <v>337.8482549445614</v>
      </c>
      <c r="Y33" s="365">
        <f>INDEX('Proposed Amendments Scenario'!$A$2:$AC$33, MATCH('BAU Comparison - All Fuel'!$B33,'Proposed Amendments Scenario'!$C$2:$C$33,0),MATCH('BAU Comparison - All Fuel'!Y$31,'Proposed Amendments Scenario'!$A$2:$AC$2,0))</f>
        <v>296.73966168960862</v>
      </c>
      <c r="Z33" s="365">
        <f>INDEX('Proposed Amendments Scenario'!$A$2:$AC$33, MATCH('BAU Comparison - All Fuel'!$B33,'Proposed Amendments Scenario'!$C$2:$C$33,0),MATCH('BAU Comparison - All Fuel'!Z$31,'Proposed Amendments Scenario'!$A$2:$AC$2,0))</f>
        <v>258.91700877732791</v>
      </c>
      <c r="AA33" s="365">
        <f>INDEX('Proposed Amendments Scenario'!$A$2:$AC$33, MATCH('BAU Comparison - All Fuel'!$B33,'Proposed Amendments Scenario'!$C$2:$C$33,0),MATCH('BAU Comparison - All Fuel'!AA$31,'Proposed Amendments Scenario'!$A$2:$AC$2,0))</f>
        <v>224.44128171703099</v>
      </c>
      <c r="AB33" s="365">
        <f>INDEX('Proposed Amendments Scenario'!$A$2:$AC$33, MATCH('BAU Comparison - All Fuel'!$B33,'Proposed Amendments Scenario'!$C$2:$C$33,0),MATCH('BAU Comparison - All Fuel'!AB$31,'Proposed Amendments Scenario'!$A$2:$AC$2,0))</f>
        <v>195.76913761252359</v>
      </c>
    </row>
    <row r="34" spans="1:28" ht="15" customHeight="1">
      <c r="A34" s="456"/>
      <c r="B34" s="10" t="s">
        <v>104</v>
      </c>
      <c r="C34" s="10" t="s">
        <v>7</v>
      </c>
      <c r="D34" s="365">
        <f>INDEX('Proposed Amendments Scenario'!$A$2:$AC$33, MATCH('BAU Comparison - All Fuel'!$B34,'Proposed Amendments Scenario'!$C$2:$C$33,0),MATCH('BAU Comparison - All Fuel'!D$31,'Proposed Amendments Scenario'!$A$2:$AC$2,0))</f>
        <v>0</v>
      </c>
      <c r="E34" s="365">
        <f>INDEX('Proposed Amendments Scenario'!$A$2:$AC$33, MATCH('BAU Comparison - All Fuel'!$B34,'Proposed Amendments Scenario'!$C$2:$C$33,0),MATCH('BAU Comparison - All Fuel'!E$31,'Proposed Amendments Scenario'!$A$2:$AC$2,0))</f>
        <v>0</v>
      </c>
      <c r="F34" s="365">
        <f>INDEX('Proposed Amendments Scenario'!$A$2:$AC$33, MATCH('BAU Comparison - All Fuel'!$B34,'Proposed Amendments Scenario'!$C$2:$C$33,0),MATCH('BAU Comparison - All Fuel'!F$31,'Proposed Amendments Scenario'!$A$2:$AC$2,0))</f>
        <v>0</v>
      </c>
      <c r="G34" s="365">
        <f>INDEX('Proposed Amendments Scenario'!$A$2:$AC$33, MATCH('BAU Comparison - All Fuel'!$B34,'Proposed Amendments Scenario'!$C$2:$C$33,0),MATCH('BAU Comparison - All Fuel'!G$31,'Proposed Amendments Scenario'!$A$2:$AC$2,0))</f>
        <v>0</v>
      </c>
      <c r="H34" s="365">
        <f>INDEX('Proposed Amendments Scenario'!$A$2:$AC$33, MATCH('BAU Comparison - All Fuel'!$B34,'Proposed Amendments Scenario'!$C$2:$C$33,0),MATCH('BAU Comparison - All Fuel'!H$31,'Proposed Amendments Scenario'!$A$2:$AC$2,0))</f>
        <v>0</v>
      </c>
      <c r="I34" s="365">
        <f>INDEX('Proposed Amendments Scenario'!$A$2:$AC$33, MATCH('BAU Comparison - All Fuel'!$B34,'Proposed Amendments Scenario'!$C$2:$C$33,0),MATCH('BAU Comparison - All Fuel'!I$31,'Proposed Amendments Scenario'!$A$2:$AC$2,0))</f>
        <v>0</v>
      </c>
      <c r="J34" s="365">
        <f>INDEX('Proposed Amendments Scenario'!$A$2:$AC$33, MATCH('BAU Comparison - All Fuel'!$B34,'Proposed Amendments Scenario'!$C$2:$C$33,0),MATCH('BAU Comparison - All Fuel'!J$31,'Proposed Amendments Scenario'!$A$2:$AC$2,0))</f>
        <v>0</v>
      </c>
      <c r="K34" s="365">
        <f>INDEX('Proposed Amendments Scenario'!$A$2:$AC$33, MATCH('BAU Comparison - All Fuel'!$B34,'Proposed Amendments Scenario'!$C$2:$C$33,0),MATCH('BAU Comparison - All Fuel'!K$31,'Proposed Amendments Scenario'!$A$2:$AC$2,0))</f>
        <v>0</v>
      </c>
      <c r="L34" s="365">
        <f>INDEX('Proposed Amendments Scenario'!$A$2:$AC$33, MATCH('BAU Comparison - All Fuel'!$B34,'Proposed Amendments Scenario'!$C$2:$C$33,0),MATCH('BAU Comparison - All Fuel'!L$31,'Proposed Amendments Scenario'!$A$2:$AC$2,0))</f>
        <v>0</v>
      </c>
      <c r="M34" s="365">
        <f>INDEX('Proposed Amendments Scenario'!$A$2:$AC$33, MATCH('BAU Comparison - All Fuel'!$B34,'Proposed Amendments Scenario'!$C$2:$C$33,0),MATCH('BAU Comparison - All Fuel'!M$31,'Proposed Amendments Scenario'!$A$2:$AC$2,0))</f>
        <v>0</v>
      </c>
      <c r="N34" s="365">
        <f>INDEX('Proposed Amendments Scenario'!$A$2:$AC$33, MATCH('BAU Comparison - All Fuel'!$B34,'Proposed Amendments Scenario'!$C$2:$C$33,0),MATCH('BAU Comparison - All Fuel'!N$31,'Proposed Amendments Scenario'!$A$2:$AC$2,0))</f>
        <v>0</v>
      </c>
      <c r="O34" s="365">
        <f>INDEX('Proposed Amendments Scenario'!$A$2:$AC$33, MATCH('BAU Comparison - All Fuel'!$B34,'Proposed Amendments Scenario'!$C$2:$C$33,0),MATCH('BAU Comparison - All Fuel'!O$31,'Proposed Amendments Scenario'!$A$2:$AC$2,0))</f>
        <v>0</v>
      </c>
      <c r="P34" s="365">
        <f>INDEX('Proposed Amendments Scenario'!$A$2:$AC$33, MATCH('BAU Comparison - All Fuel'!$B34,'Proposed Amendments Scenario'!$C$2:$C$33,0),MATCH('BAU Comparison - All Fuel'!P$31,'Proposed Amendments Scenario'!$A$2:$AC$2,0))</f>
        <v>0</v>
      </c>
      <c r="Q34" s="365">
        <f>INDEX('Proposed Amendments Scenario'!$A$2:$AC$33, MATCH('BAU Comparison - All Fuel'!$B34,'Proposed Amendments Scenario'!$C$2:$C$33,0),MATCH('BAU Comparison - All Fuel'!Q$31,'Proposed Amendments Scenario'!$A$2:$AC$2,0))</f>
        <v>0</v>
      </c>
      <c r="R34" s="365">
        <f>INDEX('Proposed Amendments Scenario'!$A$2:$AC$33, MATCH('BAU Comparison - All Fuel'!$B34,'Proposed Amendments Scenario'!$C$2:$C$33,0),MATCH('BAU Comparison - All Fuel'!R$31,'Proposed Amendments Scenario'!$A$2:$AC$2,0))</f>
        <v>0</v>
      </c>
      <c r="S34" s="365">
        <f>INDEX('Proposed Amendments Scenario'!$A$2:$AC$33, MATCH('BAU Comparison - All Fuel'!$B34,'Proposed Amendments Scenario'!$C$2:$C$33,0),MATCH('BAU Comparison - All Fuel'!S$31,'Proposed Amendments Scenario'!$A$2:$AC$2,0))</f>
        <v>0</v>
      </c>
      <c r="T34" s="365">
        <f>INDEX('Proposed Amendments Scenario'!$A$2:$AC$33, MATCH('BAU Comparison - All Fuel'!$B34,'Proposed Amendments Scenario'!$C$2:$C$33,0),MATCH('BAU Comparison - All Fuel'!T$31,'Proposed Amendments Scenario'!$A$2:$AC$2,0))</f>
        <v>0</v>
      </c>
      <c r="U34" s="365">
        <f>INDEX('Proposed Amendments Scenario'!$A$2:$AC$33, MATCH('BAU Comparison - All Fuel'!$B34,'Proposed Amendments Scenario'!$C$2:$C$33,0),MATCH('BAU Comparison - All Fuel'!U$31,'Proposed Amendments Scenario'!$A$2:$AC$2,0))</f>
        <v>0</v>
      </c>
      <c r="V34" s="365">
        <f>INDEX('Proposed Amendments Scenario'!$A$2:$AC$33, MATCH('BAU Comparison - All Fuel'!$B34,'Proposed Amendments Scenario'!$C$2:$C$33,0),MATCH('BAU Comparison - All Fuel'!V$31,'Proposed Amendments Scenario'!$A$2:$AC$2,0))</f>
        <v>0</v>
      </c>
      <c r="W34" s="365">
        <f>INDEX('Proposed Amendments Scenario'!$A$2:$AC$33, MATCH('BAU Comparison - All Fuel'!$B34,'Proposed Amendments Scenario'!$C$2:$C$33,0),MATCH('BAU Comparison - All Fuel'!W$31,'Proposed Amendments Scenario'!$A$2:$AC$2,0))</f>
        <v>0</v>
      </c>
      <c r="X34" s="365">
        <f>INDEX('Proposed Amendments Scenario'!$A$2:$AC$33, MATCH('BAU Comparison - All Fuel'!$B34,'Proposed Amendments Scenario'!$C$2:$C$33,0),MATCH('BAU Comparison - All Fuel'!X$31,'Proposed Amendments Scenario'!$A$2:$AC$2,0))</f>
        <v>0</v>
      </c>
      <c r="Y34" s="365">
        <f>INDEX('Proposed Amendments Scenario'!$A$2:$AC$33, MATCH('BAU Comparison - All Fuel'!$B34,'Proposed Amendments Scenario'!$C$2:$C$33,0),MATCH('BAU Comparison - All Fuel'!Y$31,'Proposed Amendments Scenario'!$A$2:$AC$2,0))</f>
        <v>0</v>
      </c>
      <c r="Z34" s="365">
        <f>INDEX('Proposed Amendments Scenario'!$A$2:$AC$33, MATCH('BAU Comparison - All Fuel'!$B34,'Proposed Amendments Scenario'!$C$2:$C$33,0),MATCH('BAU Comparison - All Fuel'!Z$31,'Proposed Amendments Scenario'!$A$2:$AC$2,0))</f>
        <v>0</v>
      </c>
      <c r="AA34" s="365">
        <f>INDEX('Proposed Amendments Scenario'!$A$2:$AC$33, MATCH('BAU Comparison - All Fuel'!$B34,'Proposed Amendments Scenario'!$C$2:$C$33,0),MATCH('BAU Comparison - All Fuel'!AA$31,'Proposed Amendments Scenario'!$A$2:$AC$2,0))</f>
        <v>0</v>
      </c>
      <c r="AB34" s="365">
        <f>INDEX('Proposed Amendments Scenario'!$A$2:$AC$33, MATCH('BAU Comparison - All Fuel'!$B34,'Proposed Amendments Scenario'!$C$2:$C$33,0),MATCH('BAU Comparison - All Fuel'!AB$31,'Proposed Amendments Scenario'!$A$2:$AC$2,0))</f>
        <v>0</v>
      </c>
    </row>
    <row r="35" spans="1:28" ht="15" customHeight="1">
      <c r="A35" s="456"/>
      <c r="B35" s="10" t="s">
        <v>29</v>
      </c>
      <c r="C35" s="10" t="s">
        <v>22</v>
      </c>
      <c r="D35" s="365">
        <f>INDEX('Proposed Amendments Scenario'!$A$2:$AC$33, MATCH('BAU Comparison - All Fuel'!$B35,'Proposed Amendments Scenario'!$C$2:$C$33,0),MATCH('BAU Comparison - All Fuel'!D$31,'Proposed Amendments Scenario'!$A$2:$AC$2,0))</f>
        <v>0</v>
      </c>
      <c r="E35" s="365">
        <f>INDEX('Proposed Amendments Scenario'!$A$2:$AC$33, MATCH('BAU Comparison - All Fuel'!$B35,'Proposed Amendments Scenario'!$C$2:$C$33,0),MATCH('BAU Comparison - All Fuel'!E$31,'Proposed Amendments Scenario'!$A$2:$AC$2,0))</f>
        <v>0</v>
      </c>
      <c r="F35" s="365">
        <f>INDEX('Proposed Amendments Scenario'!$A$2:$AC$33, MATCH('BAU Comparison - All Fuel'!$B35,'Proposed Amendments Scenario'!$C$2:$C$33,0),MATCH('BAU Comparison - All Fuel'!F$31,'Proposed Amendments Scenario'!$A$2:$AC$2,0))</f>
        <v>0</v>
      </c>
      <c r="G35" s="365">
        <f>INDEX('Proposed Amendments Scenario'!$A$2:$AC$33, MATCH('BAU Comparison - All Fuel'!$B35,'Proposed Amendments Scenario'!$C$2:$C$33,0),MATCH('BAU Comparison - All Fuel'!G$31,'Proposed Amendments Scenario'!$A$2:$AC$2,0))</f>
        <v>0</v>
      </c>
      <c r="H35" s="365">
        <f>INDEX('Proposed Amendments Scenario'!$A$2:$AC$33, MATCH('BAU Comparison - All Fuel'!$B35,'Proposed Amendments Scenario'!$C$2:$C$33,0),MATCH('BAU Comparison - All Fuel'!H$31,'Proposed Amendments Scenario'!$A$2:$AC$2,0))</f>
        <v>0</v>
      </c>
      <c r="I35" s="365">
        <f>INDEX('Proposed Amendments Scenario'!$A$2:$AC$33, MATCH('BAU Comparison - All Fuel'!$B35,'Proposed Amendments Scenario'!$C$2:$C$33,0),MATCH('BAU Comparison - All Fuel'!I$31,'Proposed Amendments Scenario'!$A$2:$AC$2,0))</f>
        <v>0</v>
      </c>
      <c r="J35" s="365">
        <f>INDEX('Proposed Amendments Scenario'!$A$2:$AC$33, MATCH('BAU Comparison - All Fuel'!$B35,'Proposed Amendments Scenario'!$C$2:$C$33,0),MATCH('BAU Comparison - All Fuel'!J$31,'Proposed Amendments Scenario'!$A$2:$AC$2,0))</f>
        <v>0</v>
      </c>
      <c r="K35" s="365">
        <f>INDEX('Proposed Amendments Scenario'!$A$2:$AC$33, MATCH('BAU Comparison - All Fuel'!$B35,'Proposed Amendments Scenario'!$C$2:$C$33,0),MATCH('BAU Comparison - All Fuel'!K$31,'Proposed Amendments Scenario'!$A$2:$AC$2,0))</f>
        <v>0</v>
      </c>
      <c r="L35" s="365">
        <f>INDEX('Proposed Amendments Scenario'!$A$2:$AC$33, MATCH('BAU Comparison - All Fuel'!$B35,'Proposed Amendments Scenario'!$C$2:$C$33,0),MATCH('BAU Comparison - All Fuel'!L$31,'Proposed Amendments Scenario'!$A$2:$AC$2,0))</f>
        <v>0</v>
      </c>
      <c r="M35" s="365">
        <f>INDEX('Proposed Amendments Scenario'!$A$2:$AC$33, MATCH('BAU Comparison - All Fuel'!$B35,'Proposed Amendments Scenario'!$C$2:$C$33,0),MATCH('BAU Comparison - All Fuel'!M$31,'Proposed Amendments Scenario'!$A$2:$AC$2,0))</f>
        <v>0</v>
      </c>
      <c r="N35" s="365">
        <f>INDEX('Proposed Amendments Scenario'!$A$2:$AC$33, MATCH('BAU Comparison - All Fuel'!$B35,'Proposed Amendments Scenario'!$C$2:$C$33,0),MATCH('BAU Comparison - All Fuel'!N$31,'Proposed Amendments Scenario'!$A$2:$AC$2,0))</f>
        <v>0</v>
      </c>
      <c r="O35" s="365">
        <f>INDEX('Proposed Amendments Scenario'!$A$2:$AC$33, MATCH('BAU Comparison - All Fuel'!$B35,'Proposed Amendments Scenario'!$C$2:$C$33,0),MATCH('BAU Comparison - All Fuel'!O$31,'Proposed Amendments Scenario'!$A$2:$AC$2,0))</f>
        <v>0</v>
      </c>
      <c r="P35" s="365">
        <f>INDEX('Proposed Amendments Scenario'!$A$2:$AC$33, MATCH('BAU Comparison - All Fuel'!$B35,'Proposed Amendments Scenario'!$C$2:$C$33,0),MATCH('BAU Comparison - All Fuel'!P$31,'Proposed Amendments Scenario'!$A$2:$AC$2,0))</f>
        <v>0</v>
      </c>
      <c r="Q35" s="365">
        <f>INDEX('Proposed Amendments Scenario'!$A$2:$AC$33, MATCH('BAU Comparison - All Fuel'!$B35,'Proposed Amendments Scenario'!$C$2:$C$33,0),MATCH('BAU Comparison - All Fuel'!Q$31,'Proposed Amendments Scenario'!$A$2:$AC$2,0))</f>
        <v>0</v>
      </c>
      <c r="R35" s="365">
        <f>INDEX('Proposed Amendments Scenario'!$A$2:$AC$33, MATCH('BAU Comparison - All Fuel'!$B35,'Proposed Amendments Scenario'!$C$2:$C$33,0),MATCH('BAU Comparison - All Fuel'!R$31,'Proposed Amendments Scenario'!$A$2:$AC$2,0))</f>
        <v>0</v>
      </c>
      <c r="S35" s="365">
        <f>INDEX('Proposed Amendments Scenario'!$A$2:$AC$33, MATCH('BAU Comparison - All Fuel'!$B35,'Proposed Amendments Scenario'!$C$2:$C$33,0),MATCH('BAU Comparison - All Fuel'!S$31,'Proposed Amendments Scenario'!$A$2:$AC$2,0))</f>
        <v>0</v>
      </c>
      <c r="T35" s="365">
        <f>INDEX('Proposed Amendments Scenario'!$A$2:$AC$33, MATCH('BAU Comparison - All Fuel'!$B35,'Proposed Amendments Scenario'!$C$2:$C$33,0),MATCH('BAU Comparison - All Fuel'!T$31,'Proposed Amendments Scenario'!$A$2:$AC$2,0))</f>
        <v>0</v>
      </c>
      <c r="U35" s="365">
        <f>INDEX('Proposed Amendments Scenario'!$A$2:$AC$33, MATCH('BAU Comparison - All Fuel'!$B35,'Proposed Amendments Scenario'!$C$2:$C$33,0),MATCH('BAU Comparison - All Fuel'!U$31,'Proposed Amendments Scenario'!$A$2:$AC$2,0))</f>
        <v>0</v>
      </c>
      <c r="V35" s="365">
        <f>INDEX('Proposed Amendments Scenario'!$A$2:$AC$33, MATCH('BAU Comparison - All Fuel'!$B35,'Proposed Amendments Scenario'!$C$2:$C$33,0),MATCH('BAU Comparison - All Fuel'!V$31,'Proposed Amendments Scenario'!$A$2:$AC$2,0))</f>
        <v>0</v>
      </c>
      <c r="W35" s="365">
        <f>INDEX('Proposed Amendments Scenario'!$A$2:$AC$33, MATCH('BAU Comparison - All Fuel'!$B35,'Proposed Amendments Scenario'!$C$2:$C$33,0),MATCH('BAU Comparison - All Fuel'!W$31,'Proposed Amendments Scenario'!$A$2:$AC$2,0))</f>
        <v>0</v>
      </c>
      <c r="X35" s="365">
        <f>INDEX('Proposed Amendments Scenario'!$A$2:$AC$33, MATCH('BAU Comparison - All Fuel'!$B35,'Proposed Amendments Scenario'!$C$2:$C$33,0),MATCH('BAU Comparison - All Fuel'!X$31,'Proposed Amendments Scenario'!$A$2:$AC$2,0))</f>
        <v>0</v>
      </c>
      <c r="Y35" s="365">
        <f>INDEX('Proposed Amendments Scenario'!$A$2:$AC$33, MATCH('BAU Comparison - All Fuel'!$B35,'Proposed Amendments Scenario'!$C$2:$C$33,0),MATCH('BAU Comparison - All Fuel'!Y$31,'Proposed Amendments Scenario'!$A$2:$AC$2,0))</f>
        <v>0</v>
      </c>
      <c r="Z35" s="365">
        <f>INDEX('Proposed Amendments Scenario'!$A$2:$AC$33, MATCH('BAU Comparison - All Fuel'!$B35,'Proposed Amendments Scenario'!$C$2:$C$33,0),MATCH('BAU Comparison - All Fuel'!Z$31,'Proposed Amendments Scenario'!$A$2:$AC$2,0))</f>
        <v>0</v>
      </c>
      <c r="AA35" s="365">
        <f>INDEX('Proposed Amendments Scenario'!$A$2:$AC$33, MATCH('BAU Comparison - All Fuel'!$B35,'Proposed Amendments Scenario'!$C$2:$C$33,0),MATCH('BAU Comparison - All Fuel'!AA$31,'Proposed Amendments Scenario'!$A$2:$AC$2,0))</f>
        <v>0</v>
      </c>
      <c r="AB35" s="365">
        <f>INDEX('Proposed Amendments Scenario'!$A$2:$AC$33, MATCH('BAU Comparison - All Fuel'!$B35,'Proposed Amendments Scenario'!$C$2:$C$33,0),MATCH('BAU Comparison - All Fuel'!AB$31,'Proposed Amendments Scenario'!$A$2:$AC$2,0))</f>
        <v>0</v>
      </c>
    </row>
    <row r="36" spans="1:28" ht="15" customHeight="1">
      <c r="A36" s="456"/>
      <c r="B36" s="10" t="s">
        <v>27</v>
      </c>
      <c r="C36" s="10" t="s">
        <v>22</v>
      </c>
      <c r="D36" s="365">
        <f>INDEX('Proposed Amendments Scenario'!$A$2:$AC$33, MATCH('BAU Comparison - All Fuel'!$B36,'Proposed Amendments Scenario'!$C$2:$C$33,0),MATCH('BAU Comparison - All Fuel'!D$31,'Proposed Amendments Scenario'!$A$2:$AC$2,0))</f>
        <v>0</v>
      </c>
      <c r="E36" s="365">
        <f>INDEX('Proposed Amendments Scenario'!$A$2:$AC$33, MATCH('BAU Comparison - All Fuel'!$B36,'Proposed Amendments Scenario'!$C$2:$C$33,0),MATCH('BAU Comparison - All Fuel'!E$31,'Proposed Amendments Scenario'!$A$2:$AC$2,0))</f>
        <v>0</v>
      </c>
      <c r="F36" s="365">
        <f>INDEX('Proposed Amendments Scenario'!$A$2:$AC$33, MATCH('BAU Comparison - All Fuel'!$B36,'Proposed Amendments Scenario'!$C$2:$C$33,0),MATCH('BAU Comparison - All Fuel'!F$31,'Proposed Amendments Scenario'!$A$2:$AC$2,0))</f>
        <v>0</v>
      </c>
      <c r="G36" s="365">
        <f>INDEX('Proposed Amendments Scenario'!$A$2:$AC$33, MATCH('BAU Comparison - All Fuel'!$B36,'Proposed Amendments Scenario'!$C$2:$C$33,0),MATCH('BAU Comparison - All Fuel'!G$31,'Proposed Amendments Scenario'!$A$2:$AC$2,0))</f>
        <v>0</v>
      </c>
      <c r="H36" s="365">
        <f>INDEX('Proposed Amendments Scenario'!$A$2:$AC$33, MATCH('BAU Comparison - All Fuel'!$B36,'Proposed Amendments Scenario'!$C$2:$C$33,0),MATCH('BAU Comparison - All Fuel'!H$31,'Proposed Amendments Scenario'!$A$2:$AC$2,0))</f>
        <v>0</v>
      </c>
      <c r="I36" s="365">
        <f>INDEX('Proposed Amendments Scenario'!$A$2:$AC$33, MATCH('BAU Comparison - All Fuel'!$B36,'Proposed Amendments Scenario'!$C$2:$C$33,0),MATCH('BAU Comparison - All Fuel'!I$31,'Proposed Amendments Scenario'!$A$2:$AC$2,0))</f>
        <v>0</v>
      </c>
      <c r="J36" s="365">
        <f>INDEX('Proposed Amendments Scenario'!$A$2:$AC$33, MATCH('BAU Comparison - All Fuel'!$B36,'Proposed Amendments Scenario'!$C$2:$C$33,0),MATCH('BAU Comparison - All Fuel'!J$31,'Proposed Amendments Scenario'!$A$2:$AC$2,0))</f>
        <v>0</v>
      </c>
      <c r="K36" s="365">
        <f>INDEX('Proposed Amendments Scenario'!$A$2:$AC$33, MATCH('BAU Comparison - All Fuel'!$B36,'Proposed Amendments Scenario'!$C$2:$C$33,0),MATCH('BAU Comparison - All Fuel'!K$31,'Proposed Amendments Scenario'!$A$2:$AC$2,0))</f>
        <v>0</v>
      </c>
      <c r="L36" s="365">
        <f>INDEX('Proposed Amendments Scenario'!$A$2:$AC$33, MATCH('BAU Comparison - All Fuel'!$B36,'Proposed Amendments Scenario'!$C$2:$C$33,0),MATCH('BAU Comparison - All Fuel'!L$31,'Proposed Amendments Scenario'!$A$2:$AC$2,0))</f>
        <v>0</v>
      </c>
      <c r="M36" s="365">
        <f>INDEX('Proposed Amendments Scenario'!$A$2:$AC$33, MATCH('BAU Comparison - All Fuel'!$B36,'Proposed Amendments Scenario'!$C$2:$C$33,0),MATCH('BAU Comparison - All Fuel'!M$31,'Proposed Amendments Scenario'!$A$2:$AC$2,0))</f>
        <v>0</v>
      </c>
      <c r="N36" s="365">
        <f>INDEX('Proposed Amendments Scenario'!$A$2:$AC$33, MATCH('BAU Comparison - All Fuel'!$B36,'Proposed Amendments Scenario'!$C$2:$C$33,0),MATCH('BAU Comparison - All Fuel'!N$31,'Proposed Amendments Scenario'!$A$2:$AC$2,0))</f>
        <v>0</v>
      </c>
      <c r="O36" s="365">
        <f>INDEX('Proposed Amendments Scenario'!$A$2:$AC$33, MATCH('BAU Comparison - All Fuel'!$B36,'Proposed Amendments Scenario'!$C$2:$C$33,0),MATCH('BAU Comparison - All Fuel'!O$31,'Proposed Amendments Scenario'!$A$2:$AC$2,0))</f>
        <v>0</v>
      </c>
      <c r="P36" s="365">
        <f>INDEX('Proposed Amendments Scenario'!$A$2:$AC$33, MATCH('BAU Comparison - All Fuel'!$B36,'Proposed Amendments Scenario'!$C$2:$C$33,0),MATCH('BAU Comparison - All Fuel'!P$31,'Proposed Amendments Scenario'!$A$2:$AC$2,0))</f>
        <v>0</v>
      </c>
      <c r="Q36" s="365">
        <f>INDEX('Proposed Amendments Scenario'!$A$2:$AC$33, MATCH('BAU Comparison - All Fuel'!$B36,'Proposed Amendments Scenario'!$C$2:$C$33,0),MATCH('BAU Comparison - All Fuel'!Q$31,'Proposed Amendments Scenario'!$A$2:$AC$2,0))</f>
        <v>0</v>
      </c>
      <c r="R36" s="365">
        <f>INDEX('Proposed Amendments Scenario'!$A$2:$AC$33, MATCH('BAU Comparison - All Fuel'!$B36,'Proposed Amendments Scenario'!$C$2:$C$33,0),MATCH('BAU Comparison - All Fuel'!R$31,'Proposed Amendments Scenario'!$A$2:$AC$2,0))</f>
        <v>0</v>
      </c>
      <c r="S36" s="365">
        <f>INDEX('Proposed Amendments Scenario'!$A$2:$AC$33, MATCH('BAU Comparison - All Fuel'!$B36,'Proposed Amendments Scenario'!$C$2:$C$33,0),MATCH('BAU Comparison - All Fuel'!S$31,'Proposed Amendments Scenario'!$A$2:$AC$2,0))</f>
        <v>0</v>
      </c>
      <c r="T36" s="365">
        <f>INDEX('Proposed Amendments Scenario'!$A$2:$AC$33, MATCH('BAU Comparison - All Fuel'!$B36,'Proposed Amendments Scenario'!$C$2:$C$33,0),MATCH('BAU Comparison - All Fuel'!T$31,'Proposed Amendments Scenario'!$A$2:$AC$2,0))</f>
        <v>0</v>
      </c>
      <c r="U36" s="365">
        <f>INDEX('Proposed Amendments Scenario'!$A$2:$AC$33, MATCH('BAU Comparison - All Fuel'!$B36,'Proposed Amendments Scenario'!$C$2:$C$33,0),MATCH('BAU Comparison - All Fuel'!U$31,'Proposed Amendments Scenario'!$A$2:$AC$2,0))</f>
        <v>0</v>
      </c>
      <c r="V36" s="365">
        <f>INDEX('Proposed Amendments Scenario'!$A$2:$AC$33, MATCH('BAU Comparison - All Fuel'!$B36,'Proposed Amendments Scenario'!$C$2:$C$33,0),MATCH('BAU Comparison - All Fuel'!V$31,'Proposed Amendments Scenario'!$A$2:$AC$2,0))</f>
        <v>75.254672526833346</v>
      </c>
      <c r="W36" s="365">
        <f>INDEX('Proposed Amendments Scenario'!$A$2:$AC$33, MATCH('BAU Comparison - All Fuel'!$B36,'Proposed Amendments Scenario'!$C$2:$C$33,0),MATCH('BAU Comparison - All Fuel'!W$31,'Proposed Amendments Scenario'!$A$2:$AC$2,0))</f>
        <v>87.495648467766671</v>
      </c>
      <c r="X36" s="365">
        <f>INDEX('Proposed Amendments Scenario'!$A$2:$AC$33, MATCH('BAU Comparison - All Fuel'!$B36,'Proposed Amendments Scenario'!$C$2:$C$33,0),MATCH('BAU Comparison - All Fuel'!X$31,'Proposed Amendments Scenario'!$A$2:$AC$2,0))</f>
        <v>54.098535066666649</v>
      </c>
      <c r="Y36" s="365">
        <f>INDEX('Proposed Amendments Scenario'!$A$2:$AC$33, MATCH('BAU Comparison - All Fuel'!$B36,'Proposed Amendments Scenario'!$C$2:$C$33,0),MATCH('BAU Comparison - All Fuel'!Y$31,'Proposed Amendments Scenario'!$A$2:$AC$2,0))</f>
        <v>36.282880931833333</v>
      </c>
      <c r="Z36" s="365">
        <f>INDEX('Proposed Amendments Scenario'!$A$2:$AC$33, MATCH('BAU Comparison - All Fuel'!$B36,'Proposed Amendments Scenario'!$C$2:$C$33,0),MATCH('BAU Comparison - All Fuel'!Z$31,'Proposed Amendments Scenario'!$A$2:$AC$2,0))</f>
        <v>36.045780879566671</v>
      </c>
      <c r="AA36" s="365">
        <f>INDEX('Proposed Amendments Scenario'!$A$2:$AC$33, MATCH('BAU Comparison - All Fuel'!$B36,'Proposed Amendments Scenario'!$C$2:$C$33,0),MATCH('BAU Comparison - All Fuel'!AA$31,'Proposed Amendments Scenario'!$A$2:$AC$2,0))</f>
        <v>38.661276388026643</v>
      </c>
      <c r="AB36" s="365">
        <f>INDEX('Proposed Amendments Scenario'!$A$2:$AC$33, MATCH('BAU Comparison - All Fuel'!$B36,'Proposed Amendments Scenario'!$C$2:$C$33,0),MATCH('BAU Comparison - All Fuel'!AB$31,'Proposed Amendments Scenario'!$A$2:$AC$2,0))</f>
        <v>54.125786943237308</v>
      </c>
    </row>
    <row r="37" spans="1:28" ht="15" customHeight="1">
      <c r="A37" s="456"/>
      <c r="B37" s="10" t="s">
        <v>28</v>
      </c>
      <c r="C37" s="10" t="s">
        <v>22</v>
      </c>
      <c r="D37" s="365">
        <f>INDEX('Proposed Amendments Scenario'!$A$2:$AC$33, MATCH('BAU Comparison - All Fuel'!$B37,'Proposed Amendments Scenario'!$C$2:$C$33,0),MATCH('BAU Comparison - All Fuel'!D$31,'Proposed Amendments Scenario'!$A$2:$AC$2,0))</f>
        <v>0</v>
      </c>
      <c r="E37" s="365">
        <f>INDEX('Proposed Amendments Scenario'!$A$2:$AC$33, MATCH('BAU Comparison - All Fuel'!$B37,'Proposed Amendments Scenario'!$C$2:$C$33,0),MATCH('BAU Comparison - All Fuel'!E$31,'Proposed Amendments Scenario'!$A$2:$AC$2,0))</f>
        <v>0</v>
      </c>
      <c r="F37" s="365">
        <f>INDEX('Proposed Amendments Scenario'!$A$2:$AC$33, MATCH('BAU Comparison - All Fuel'!$B37,'Proposed Amendments Scenario'!$C$2:$C$33,0),MATCH('BAU Comparison - All Fuel'!F$31,'Proposed Amendments Scenario'!$A$2:$AC$2,0))</f>
        <v>0</v>
      </c>
      <c r="G37" s="365">
        <f>INDEX('Proposed Amendments Scenario'!$A$2:$AC$33, MATCH('BAU Comparison - All Fuel'!$B37,'Proposed Amendments Scenario'!$C$2:$C$33,0),MATCH('BAU Comparison - All Fuel'!G$31,'Proposed Amendments Scenario'!$A$2:$AC$2,0))</f>
        <v>2.0055063</v>
      </c>
      <c r="H37" s="365">
        <f>INDEX('Proposed Amendments Scenario'!$A$2:$AC$33, MATCH('BAU Comparison - All Fuel'!$B37,'Proposed Amendments Scenario'!$C$2:$C$33,0),MATCH('BAU Comparison - All Fuel'!H$31,'Proposed Amendments Scenario'!$A$2:$AC$2,0))</f>
        <v>3.863752158333333</v>
      </c>
      <c r="I37" s="365">
        <f>INDEX('Proposed Amendments Scenario'!$A$2:$AC$33, MATCH('BAU Comparison - All Fuel'!$B37,'Proposed Amendments Scenario'!$C$2:$C$33,0),MATCH('BAU Comparison - All Fuel'!I$31,'Proposed Amendments Scenario'!$A$2:$AC$2,0))</f>
        <v>6.8395097083333338</v>
      </c>
      <c r="J37" s="365">
        <f>INDEX('Proposed Amendments Scenario'!$A$2:$AC$33, MATCH('BAU Comparison - All Fuel'!$B37,'Proposed Amendments Scenario'!$C$2:$C$33,0),MATCH('BAU Comparison - All Fuel'!J$31,'Proposed Amendments Scenario'!$A$2:$AC$2,0))</f>
        <v>10.851397933333329</v>
      </c>
      <c r="K37" s="365">
        <f>INDEX('Proposed Amendments Scenario'!$A$2:$AC$33, MATCH('BAU Comparison - All Fuel'!$B37,'Proposed Amendments Scenario'!$C$2:$C$33,0),MATCH('BAU Comparison - All Fuel'!K$31,'Proposed Amendments Scenario'!$A$2:$AC$2,0))</f>
        <v>0</v>
      </c>
      <c r="L37" s="365">
        <f>INDEX('Proposed Amendments Scenario'!$A$2:$AC$33, MATCH('BAU Comparison - All Fuel'!$B37,'Proposed Amendments Scenario'!$C$2:$C$33,0),MATCH('BAU Comparison - All Fuel'!L$31,'Proposed Amendments Scenario'!$A$2:$AC$2,0))</f>
        <v>0</v>
      </c>
      <c r="M37" s="365">
        <f>INDEX('Proposed Amendments Scenario'!$A$2:$AC$33, MATCH('BAU Comparison - All Fuel'!$B37,'Proposed Amendments Scenario'!$C$2:$C$33,0),MATCH('BAU Comparison - All Fuel'!M$31,'Proposed Amendments Scenario'!$A$2:$AC$2,0))</f>
        <v>0</v>
      </c>
      <c r="N37" s="365">
        <f>INDEX('Proposed Amendments Scenario'!$A$2:$AC$33, MATCH('BAU Comparison - All Fuel'!$B37,'Proposed Amendments Scenario'!$C$2:$C$33,0),MATCH('BAU Comparison - All Fuel'!N$31,'Proposed Amendments Scenario'!$A$2:$AC$2,0))</f>
        <v>0</v>
      </c>
      <c r="O37" s="365">
        <f>INDEX('Proposed Amendments Scenario'!$A$2:$AC$33, MATCH('BAU Comparison - All Fuel'!$B37,'Proposed Amendments Scenario'!$C$2:$C$33,0),MATCH('BAU Comparison - All Fuel'!O$31,'Proposed Amendments Scenario'!$A$2:$AC$2,0))</f>
        <v>12.35969396142362</v>
      </c>
      <c r="P37" s="365">
        <f>INDEX('Proposed Amendments Scenario'!$A$2:$AC$33, MATCH('BAU Comparison - All Fuel'!$B37,'Proposed Amendments Scenario'!$C$2:$C$33,0),MATCH('BAU Comparison - All Fuel'!P$31,'Proposed Amendments Scenario'!$A$2:$AC$2,0))</f>
        <v>0</v>
      </c>
      <c r="Q37" s="365">
        <f>INDEX('Proposed Amendments Scenario'!$A$2:$AC$33, MATCH('BAU Comparison - All Fuel'!$B37,'Proposed Amendments Scenario'!$C$2:$C$33,0),MATCH('BAU Comparison - All Fuel'!Q$31,'Proposed Amendments Scenario'!$A$2:$AC$2,0))</f>
        <v>17.58700801985875</v>
      </c>
      <c r="R37" s="365">
        <f>INDEX('Proposed Amendments Scenario'!$A$2:$AC$33, MATCH('BAU Comparison - All Fuel'!$B37,'Proposed Amendments Scenario'!$C$2:$C$33,0),MATCH('BAU Comparison - All Fuel'!R$31,'Proposed Amendments Scenario'!$A$2:$AC$2,0))</f>
        <v>37.797658982447643</v>
      </c>
      <c r="S37" s="365">
        <f>INDEX('Proposed Amendments Scenario'!$A$2:$AC$33, MATCH('BAU Comparison - All Fuel'!$B37,'Proposed Amendments Scenario'!$C$2:$C$33,0),MATCH('BAU Comparison - All Fuel'!S$31,'Proposed Amendments Scenario'!$A$2:$AC$2,0))</f>
        <v>52.916722575426718</v>
      </c>
      <c r="T37" s="365">
        <f>INDEX('Proposed Amendments Scenario'!$A$2:$AC$33, MATCH('BAU Comparison - All Fuel'!$B37,'Proposed Amendments Scenario'!$C$2:$C$33,0),MATCH('BAU Comparison - All Fuel'!T$31,'Proposed Amendments Scenario'!$A$2:$AC$2,0))</f>
        <v>66.567018985256041</v>
      </c>
      <c r="U37" s="365">
        <f>INDEX('Proposed Amendments Scenario'!$A$2:$AC$33, MATCH('BAU Comparison - All Fuel'!$B37,'Proposed Amendments Scenario'!$C$2:$C$33,0),MATCH('BAU Comparison - All Fuel'!U$31,'Proposed Amendments Scenario'!$A$2:$AC$2,0))</f>
        <v>58.844067539166673</v>
      </c>
      <c r="V37" s="365">
        <f>INDEX('Proposed Amendments Scenario'!$A$2:$AC$33, MATCH('BAU Comparison - All Fuel'!$B37,'Proposed Amendments Scenario'!$C$2:$C$33,0),MATCH('BAU Comparison - All Fuel'!V$31,'Proposed Amendments Scenario'!$A$2:$AC$2,0))</f>
        <v>0</v>
      </c>
      <c r="W37" s="365">
        <f>INDEX('Proposed Amendments Scenario'!$A$2:$AC$33, MATCH('BAU Comparison - All Fuel'!$B37,'Proposed Amendments Scenario'!$C$2:$C$33,0),MATCH('BAU Comparison - All Fuel'!W$31,'Proposed Amendments Scenario'!$A$2:$AC$2,0))</f>
        <v>0</v>
      </c>
      <c r="X37" s="365">
        <f>INDEX('Proposed Amendments Scenario'!$A$2:$AC$33, MATCH('BAU Comparison - All Fuel'!$B37,'Proposed Amendments Scenario'!$C$2:$C$33,0),MATCH('BAU Comparison - All Fuel'!X$31,'Proposed Amendments Scenario'!$A$2:$AC$2,0))</f>
        <v>0</v>
      </c>
      <c r="Y37" s="365">
        <f>INDEX('Proposed Amendments Scenario'!$A$2:$AC$33, MATCH('BAU Comparison - All Fuel'!$B37,'Proposed Amendments Scenario'!$C$2:$C$33,0),MATCH('BAU Comparison - All Fuel'!Y$31,'Proposed Amendments Scenario'!$A$2:$AC$2,0))</f>
        <v>42.807395818166661</v>
      </c>
      <c r="Z37" s="365">
        <f>INDEX('Proposed Amendments Scenario'!$A$2:$AC$33, MATCH('BAU Comparison - All Fuel'!$B37,'Proposed Amendments Scenario'!$C$2:$C$33,0),MATCH('BAU Comparison - All Fuel'!Z$31,'Proposed Amendments Scenario'!$A$2:$AC$2,0))</f>
        <v>59.930354145433341</v>
      </c>
      <c r="AA37" s="365">
        <f>INDEX('Proposed Amendments Scenario'!$A$2:$AC$33, MATCH('BAU Comparison - All Fuel'!$B37,'Proposed Amendments Scenario'!$C$2:$C$33,0),MATCH('BAU Comparison - All Fuel'!AA$31,'Proposed Amendments Scenario'!$A$2:$AC$2,0))</f>
        <v>68.752032550426662</v>
      </c>
      <c r="AB37" s="365">
        <f>INDEX('Proposed Amendments Scenario'!$A$2:$AC$33, MATCH('BAU Comparison - All Fuel'!$B37,'Proposed Amendments Scenario'!$C$2:$C$33,0),MATCH('BAU Comparison - All Fuel'!AB$31,'Proposed Amendments Scenario'!$A$2:$AC$2,0))</f>
        <v>48.795260586666693</v>
      </c>
    </row>
    <row r="38" spans="1:28" ht="15" customHeight="1">
      <c r="A38" s="456"/>
      <c r="B38" s="10" t="s">
        <v>30</v>
      </c>
      <c r="C38" s="10" t="s">
        <v>22</v>
      </c>
      <c r="D38" s="365">
        <f>INDEX('Proposed Amendments Scenario'!$A$2:$AC$33, MATCH('BAU Comparison - All Fuel'!$B38,'Proposed Amendments Scenario'!$C$2:$C$33,0),MATCH('BAU Comparison - All Fuel'!D$31,'Proposed Amendments Scenario'!$A$2:$AC$2,0))</f>
        <v>0</v>
      </c>
      <c r="E38" s="365">
        <f>INDEX('Proposed Amendments Scenario'!$A$2:$AC$33, MATCH('BAU Comparison - All Fuel'!$B38,'Proposed Amendments Scenario'!$C$2:$C$33,0),MATCH('BAU Comparison - All Fuel'!E$31,'Proposed Amendments Scenario'!$A$2:$AC$2,0))</f>
        <v>0</v>
      </c>
      <c r="F38" s="365">
        <f>INDEX('Proposed Amendments Scenario'!$A$2:$AC$33, MATCH('BAU Comparison - All Fuel'!$B38,'Proposed Amendments Scenario'!$C$2:$C$33,0),MATCH('BAU Comparison - All Fuel'!F$31,'Proposed Amendments Scenario'!$A$2:$AC$2,0))</f>
        <v>0</v>
      </c>
      <c r="G38" s="365">
        <f>INDEX('Proposed Amendments Scenario'!$A$2:$AC$33, MATCH('BAU Comparison - All Fuel'!$B38,'Proposed Amendments Scenario'!$C$2:$C$33,0),MATCH('BAU Comparison - All Fuel'!G$31,'Proposed Amendments Scenario'!$A$2:$AC$2,0))</f>
        <v>0</v>
      </c>
      <c r="H38" s="365">
        <f>INDEX('Proposed Amendments Scenario'!$A$2:$AC$33, MATCH('BAU Comparison - All Fuel'!$B38,'Proposed Amendments Scenario'!$C$2:$C$33,0),MATCH('BAU Comparison - All Fuel'!H$31,'Proposed Amendments Scenario'!$A$2:$AC$2,0))</f>
        <v>0</v>
      </c>
      <c r="I38" s="365">
        <f>INDEX('Proposed Amendments Scenario'!$A$2:$AC$33, MATCH('BAU Comparison - All Fuel'!$B38,'Proposed Amendments Scenario'!$C$2:$C$33,0),MATCH('BAU Comparison - All Fuel'!I$31,'Proposed Amendments Scenario'!$A$2:$AC$2,0))</f>
        <v>0</v>
      </c>
      <c r="J38" s="365">
        <f>INDEX('Proposed Amendments Scenario'!$A$2:$AC$33, MATCH('BAU Comparison - All Fuel'!$B38,'Proposed Amendments Scenario'!$C$2:$C$33,0),MATCH('BAU Comparison - All Fuel'!J$31,'Proposed Amendments Scenario'!$A$2:$AC$2,0))</f>
        <v>0</v>
      </c>
      <c r="K38" s="365">
        <f>INDEX('Proposed Amendments Scenario'!$A$2:$AC$33, MATCH('BAU Comparison - All Fuel'!$B38,'Proposed Amendments Scenario'!$C$2:$C$33,0),MATCH('BAU Comparison - All Fuel'!K$31,'Proposed Amendments Scenario'!$A$2:$AC$2,0))</f>
        <v>0</v>
      </c>
      <c r="L38" s="365">
        <f>INDEX('Proposed Amendments Scenario'!$A$2:$AC$33, MATCH('BAU Comparison - All Fuel'!$B38,'Proposed Amendments Scenario'!$C$2:$C$33,0),MATCH('BAU Comparison - All Fuel'!L$31,'Proposed Amendments Scenario'!$A$2:$AC$2,0))</f>
        <v>0</v>
      </c>
      <c r="M38" s="365">
        <f>INDEX('Proposed Amendments Scenario'!$A$2:$AC$33, MATCH('BAU Comparison - All Fuel'!$B38,'Proposed Amendments Scenario'!$C$2:$C$33,0),MATCH('BAU Comparison - All Fuel'!M$31,'Proposed Amendments Scenario'!$A$2:$AC$2,0))</f>
        <v>0</v>
      </c>
      <c r="N38" s="365">
        <f>INDEX('Proposed Amendments Scenario'!$A$2:$AC$33, MATCH('BAU Comparison - All Fuel'!$B38,'Proposed Amendments Scenario'!$C$2:$C$33,0),MATCH('BAU Comparison - All Fuel'!N$31,'Proposed Amendments Scenario'!$A$2:$AC$2,0))</f>
        <v>0</v>
      </c>
      <c r="O38" s="365">
        <f>INDEX('Proposed Amendments Scenario'!$A$2:$AC$33, MATCH('BAU Comparison - All Fuel'!$B38,'Proposed Amendments Scenario'!$C$2:$C$33,0),MATCH('BAU Comparison - All Fuel'!O$31,'Proposed Amendments Scenario'!$A$2:$AC$2,0))</f>
        <v>0</v>
      </c>
      <c r="P38" s="365">
        <f>INDEX('Proposed Amendments Scenario'!$A$2:$AC$33, MATCH('BAU Comparison - All Fuel'!$B38,'Proposed Amendments Scenario'!$C$2:$C$33,0),MATCH('BAU Comparison - All Fuel'!P$31,'Proposed Amendments Scenario'!$A$2:$AC$2,0))</f>
        <v>0</v>
      </c>
      <c r="Q38" s="365">
        <f>INDEX('Proposed Amendments Scenario'!$A$2:$AC$33, MATCH('BAU Comparison - All Fuel'!$B38,'Proposed Amendments Scenario'!$C$2:$C$33,0),MATCH('BAU Comparison - All Fuel'!Q$31,'Proposed Amendments Scenario'!$A$2:$AC$2,0))</f>
        <v>0</v>
      </c>
      <c r="R38" s="365">
        <f>INDEX('Proposed Amendments Scenario'!$A$2:$AC$33, MATCH('BAU Comparison - All Fuel'!$B38,'Proposed Amendments Scenario'!$C$2:$C$33,0),MATCH('BAU Comparison - All Fuel'!R$31,'Proposed Amendments Scenario'!$A$2:$AC$2,0))</f>
        <v>0</v>
      </c>
      <c r="S38" s="365">
        <f>INDEX('Proposed Amendments Scenario'!$A$2:$AC$33, MATCH('BAU Comparison - All Fuel'!$B38,'Proposed Amendments Scenario'!$C$2:$C$33,0),MATCH('BAU Comparison - All Fuel'!S$31,'Proposed Amendments Scenario'!$A$2:$AC$2,0))</f>
        <v>0</v>
      </c>
      <c r="T38" s="365">
        <f>INDEX('Proposed Amendments Scenario'!$A$2:$AC$33, MATCH('BAU Comparison - All Fuel'!$B38,'Proposed Amendments Scenario'!$C$2:$C$33,0),MATCH('BAU Comparison - All Fuel'!T$31,'Proposed Amendments Scenario'!$A$2:$AC$2,0))</f>
        <v>0</v>
      </c>
      <c r="U38" s="365">
        <f>INDEX('Proposed Amendments Scenario'!$A$2:$AC$33, MATCH('BAU Comparison - All Fuel'!$B38,'Proposed Amendments Scenario'!$C$2:$C$33,0),MATCH('BAU Comparison - All Fuel'!U$31,'Proposed Amendments Scenario'!$A$2:$AC$2,0))</f>
        <v>0</v>
      </c>
      <c r="V38" s="365">
        <f>INDEX('Proposed Amendments Scenario'!$A$2:$AC$33, MATCH('BAU Comparison - All Fuel'!$B38,'Proposed Amendments Scenario'!$C$2:$C$33,0),MATCH('BAU Comparison - All Fuel'!V$31,'Proposed Amendments Scenario'!$A$2:$AC$2,0))</f>
        <v>0</v>
      </c>
      <c r="W38" s="365">
        <f>INDEX('Proposed Amendments Scenario'!$A$2:$AC$33, MATCH('BAU Comparison - All Fuel'!$B38,'Proposed Amendments Scenario'!$C$2:$C$33,0),MATCH('BAU Comparison - All Fuel'!W$31,'Proposed Amendments Scenario'!$A$2:$AC$2,0))</f>
        <v>0</v>
      </c>
      <c r="X38" s="365">
        <f>INDEX('Proposed Amendments Scenario'!$A$2:$AC$33, MATCH('BAU Comparison - All Fuel'!$B38,'Proposed Amendments Scenario'!$C$2:$C$33,0),MATCH('BAU Comparison - All Fuel'!X$31,'Proposed Amendments Scenario'!$A$2:$AC$2,0))</f>
        <v>0</v>
      </c>
      <c r="Y38" s="365">
        <f>INDEX('Proposed Amendments Scenario'!$A$2:$AC$33, MATCH('BAU Comparison - All Fuel'!$B38,'Proposed Amendments Scenario'!$C$2:$C$33,0),MATCH('BAU Comparison - All Fuel'!Y$31,'Proposed Amendments Scenario'!$A$2:$AC$2,0))</f>
        <v>0</v>
      </c>
      <c r="Z38" s="365">
        <f>INDEX('Proposed Amendments Scenario'!$A$2:$AC$33, MATCH('BAU Comparison - All Fuel'!$B38,'Proposed Amendments Scenario'!$C$2:$C$33,0),MATCH('BAU Comparison - All Fuel'!Z$31,'Proposed Amendments Scenario'!$A$2:$AC$2,0))</f>
        <v>0</v>
      </c>
      <c r="AA38" s="365">
        <f>INDEX('Proposed Amendments Scenario'!$A$2:$AC$33, MATCH('BAU Comparison - All Fuel'!$B38,'Proposed Amendments Scenario'!$C$2:$C$33,0),MATCH('BAU Comparison - All Fuel'!AA$31,'Proposed Amendments Scenario'!$A$2:$AC$2,0))</f>
        <v>0</v>
      </c>
      <c r="AB38" s="365">
        <f>INDEX('Proposed Amendments Scenario'!$A$2:$AC$33, MATCH('BAU Comparison - All Fuel'!$B38,'Proposed Amendments Scenario'!$C$2:$C$33,0),MATCH('BAU Comparison - All Fuel'!AB$31,'Proposed Amendments Scenario'!$A$2:$AC$2,0))</f>
        <v>0</v>
      </c>
    </row>
    <row r="39" spans="1:28" ht="15" customHeight="1">
      <c r="A39" s="456"/>
      <c r="B39" s="10" t="s">
        <v>31</v>
      </c>
      <c r="C39" s="10" t="s">
        <v>22</v>
      </c>
      <c r="D39" s="365">
        <f>INDEX('Proposed Amendments Scenario'!$A$2:$AC$33, MATCH('BAU Comparison - All Fuel'!$B39,'Proposed Amendments Scenario'!$C$2:$C$33,0),MATCH('BAU Comparison - All Fuel'!D$31,'Proposed Amendments Scenario'!$A$2:$AC$2,0))</f>
        <v>1.0825233750000001</v>
      </c>
      <c r="E39" s="365">
        <f>INDEX('Proposed Amendments Scenario'!$A$2:$AC$33, MATCH('BAU Comparison - All Fuel'!$B39,'Proposed Amendments Scenario'!$C$2:$C$33,0),MATCH('BAU Comparison - All Fuel'!E$31,'Proposed Amendments Scenario'!$A$2:$AC$2,0))</f>
        <v>1.2335523333333329</v>
      </c>
      <c r="F39" s="365">
        <f>INDEX('Proposed Amendments Scenario'!$A$2:$AC$33, MATCH('BAU Comparison - All Fuel'!$B39,'Proposed Amendments Scenario'!$C$2:$C$33,0),MATCH('BAU Comparison - All Fuel'!F$31,'Proposed Amendments Scenario'!$A$2:$AC$2,0))</f>
        <v>1.543232158333333</v>
      </c>
      <c r="G39" s="365">
        <f>INDEX('Proposed Amendments Scenario'!$A$2:$AC$33, MATCH('BAU Comparison - All Fuel'!$B39,'Proposed Amendments Scenario'!$C$2:$C$33,0),MATCH('BAU Comparison - All Fuel'!G$31,'Proposed Amendments Scenario'!$A$2:$AC$2,0))</f>
        <v>0</v>
      </c>
      <c r="H39" s="365">
        <f>INDEX('Proposed Amendments Scenario'!$A$2:$AC$33, MATCH('BAU Comparison - All Fuel'!$B39,'Proposed Amendments Scenario'!$C$2:$C$33,0),MATCH('BAU Comparison - All Fuel'!H$31,'Proposed Amendments Scenario'!$A$2:$AC$2,0))</f>
        <v>0</v>
      </c>
      <c r="I39" s="365">
        <f>INDEX('Proposed Amendments Scenario'!$A$2:$AC$33, MATCH('BAU Comparison - All Fuel'!$B39,'Proposed Amendments Scenario'!$C$2:$C$33,0),MATCH('BAU Comparison - All Fuel'!I$31,'Proposed Amendments Scenario'!$A$2:$AC$2,0))</f>
        <v>0</v>
      </c>
      <c r="J39" s="365">
        <f>INDEX('Proposed Amendments Scenario'!$A$2:$AC$33, MATCH('BAU Comparison - All Fuel'!$B39,'Proposed Amendments Scenario'!$C$2:$C$33,0),MATCH('BAU Comparison - All Fuel'!J$31,'Proposed Amendments Scenario'!$A$2:$AC$2,0))</f>
        <v>0</v>
      </c>
      <c r="K39" s="365">
        <f>INDEX('Proposed Amendments Scenario'!$A$2:$AC$33, MATCH('BAU Comparison - All Fuel'!$B39,'Proposed Amendments Scenario'!$C$2:$C$33,0),MATCH('BAU Comparison - All Fuel'!K$31,'Proposed Amendments Scenario'!$A$2:$AC$2,0))</f>
        <v>15.86534685833333</v>
      </c>
      <c r="L39" s="365">
        <f>INDEX('Proposed Amendments Scenario'!$A$2:$AC$33, MATCH('BAU Comparison - All Fuel'!$B39,'Proposed Amendments Scenario'!$C$2:$C$33,0),MATCH('BAU Comparison - All Fuel'!L$31,'Proposed Amendments Scenario'!$A$2:$AC$2,0))</f>
        <v>21.928768191666659</v>
      </c>
      <c r="M39" s="365">
        <f>INDEX('Proposed Amendments Scenario'!$A$2:$AC$33, MATCH('BAU Comparison - All Fuel'!$B39,'Proposed Amendments Scenario'!$C$2:$C$33,0),MATCH('BAU Comparison - All Fuel'!M$31,'Proposed Amendments Scenario'!$A$2:$AC$2,0))</f>
        <v>28.145119391666672</v>
      </c>
      <c r="N39" s="365">
        <f>INDEX('Proposed Amendments Scenario'!$A$2:$AC$33, MATCH('BAU Comparison - All Fuel'!$B39,'Proposed Amendments Scenario'!$C$2:$C$33,0),MATCH('BAU Comparison - All Fuel'!N$31,'Proposed Amendments Scenario'!$A$2:$AC$2,0))</f>
        <v>34.599582799999993</v>
      </c>
      <c r="O39" s="365">
        <f>INDEX('Proposed Amendments Scenario'!$A$2:$AC$33, MATCH('BAU Comparison - All Fuel'!$B39,'Proposed Amendments Scenario'!$C$2:$C$33,0),MATCH('BAU Comparison - All Fuel'!O$31,'Proposed Amendments Scenario'!$A$2:$AC$2,0))</f>
        <v>28.95439598857638</v>
      </c>
      <c r="P39" s="365">
        <f>INDEX('Proposed Amendments Scenario'!$A$2:$AC$33, MATCH('BAU Comparison - All Fuel'!$B39,'Proposed Amendments Scenario'!$C$2:$C$33,0),MATCH('BAU Comparison - All Fuel'!P$31,'Proposed Amendments Scenario'!$A$2:$AC$2,0))</f>
        <v>48.226662391666657</v>
      </c>
      <c r="Q39" s="365">
        <f>INDEX('Proposed Amendments Scenario'!$A$2:$AC$33, MATCH('BAU Comparison - All Fuel'!$B39,'Proposed Amendments Scenario'!$C$2:$C$33,0),MATCH('BAU Comparison - All Fuel'!Q$31,'Proposed Amendments Scenario'!$A$2:$AC$2,0))</f>
        <v>37.805119288474572</v>
      </c>
      <c r="R39" s="365">
        <f>INDEX('Proposed Amendments Scenario'!$A$2:$AC$33, MATCH('BAU Comparison - All Fuel'!$B39,'Proposed Amendments Scenario'!$C$2:$C$33,0),MATCH('BAU Comparison - All Fuel'!R$31,'Proposed Amendments Scenario'!$A$2:$AC$2,0))</f>
        <v>24.733445792552359</v>
      </c>
      <c r="S39" s="365">
        <f>INDEX('Proposed Amendments Scenario'!$A$2:$AC$33, MATCH('BAU Comparison - All Fuel'!$B39,'Proposed Amendments Scenario'!$C$2:$C$33,0),MATCH('BAU Comparison - All Fuel'!S$31,'Proposed Amendments Scenario'!$A$2:$AC$2,0))</f>
        <v>16.70403902457328</v>
      </c>
      <c r="T39" s="365">
        <f>INDEX('Proposed Amendments Scenario'!$A$2:$AC$33, MATCH('BAU Comparison - All Fuel'!$B39,'Proposed Amendments Scenario'!$C$2:$C$33,0),MATCH('BAU Comparison - All Fuel'!T$31,'Proposed Amendments Scenario'!$A$2:$AC$2,0))</f>
        <v>10.022423414743971</v>
      </c>
      <c r="U39" s="365">
        <f>INDEX('Proposed Amendments Scenario'!$A$2:$AC$33, MATCH('BAU Comparison - All Fuel'!$B39,'Proposed Amendments Scenario'!$C$2:$C$33,0),MATCH('BAU Comparison - All Fuel'!U$31,'Proposed Amendments Scenario'!$A$2:$AC$2,0))</f>
        <v>24.540940135833321</v>
      </c>
      <c r="V39" s="365">
        <f>INDEX('Proposed Amendments Scenario'!$A$2:$AC$33, MATCH('BAU Comparison - All Fuel'!$B39,'Proposed Amendments Scenario'!$C$2:$C$33,0),MATCH('BAU Comparison - All Fuel'!V$31,'Proposed Amendments Scenario'!$A$2:$AC$2,0))</f>
        <v>14.72456408149999</v>
      </c>
      <c r="W39" s="365">
        <f>INDEX('Proposed Amendments Scenario'!$A$2:$AC$33, MATCH('BAU Comparison - All Fuel'!$B39,'Proposed Amendments Scenario'!$C$2:$C$33,0),MATCH('BAU Comparison - All Fuel'!W$31,'Proposed Amendments Scenario'!$A$2:$AC$2,0))</f>
        <v>8.8347384488999907</v>
      </c>
      <c r="X39" s="365">
        <f>INDEX('Proposed Amendments Scenario'!$A$2:$AC$33, MATCH('BAU Comparison - All Fuel'!$B39,'Proposed Amendments Scenario'!$C$2:$C$33,0),MATCH('BAU Comparison - All Fuel'!X$31,'Proposed Amendments Scenario'!$A$2:$AC$2,0))</f>
        <v>48.262500000000003</v>
      </c>
      <c r="Y39" s="365">
        <f>INDEX('Proposed Amendments Scenario'!$A$2:$AC$33, MATCH('BAU Comparison - All Fuel'!$B39,'Proposed Amendments Scenario'!$C$2:$C$33,0),MATCH('BAU Comparison - All Fuel'!Y$31,'Proposed Amendments Scenario'!$A$2:$AC$2,0))</f>
        <v>28.9575</v>
      </c>
      <c r="Z39" s="365">
        <f>INDEX('Proposed Amendments Scenario'!$A$2:$AC$33, MATCH('BAU Comparison - All Fuel'!$B39,'Proposed Amendments Scenario'!$C$2:$C$33,0),MATCH('BAU Comparison - All Fuel'!Z$31,'Proposed Amendments Scenario'!$A$2:$AC$2,0))</f>
        <v>17.374500000000001</v>
      </c>
      <c r="AA39" s="365">
        <f>INDEX('Proposed Amendments Scenario'!$A$2:$AC$33, MATCH('BAU Comparison - All Fuel'!$B39,'Proposed Amendments Scenario'!$C$2:$C$33,0),MATCH('BAU Comparison - All Fuel'!AA$31,'Proposed Amendments Scenario'!$A$2:$AC$2,0))</f>
        <v>10.81666913654669</v>
      </c>
      <c r="AB39" s="365">
        <f>INDEX('Proposed Amendments Scenario'!$A$2:$AC$33, MATCH('BAU Comparison - All Fuel'!$B39,'Proposed Amendments Scenario'!$C$2:$C$33,0),MATCH('BAU Comparison - All Fuel'!AB$31,'Proposed Amendments Scenario'!$A$2:$AC$2,0))</f>
        <v>20.439617703429342</v>
      </c>
    </row>
    <row r="40" spans="1:28" ht="15" customHeight="1">
      <c r="A40" s="456"/>
      <c r="B40" s="10" t="s">
        <v>17</v>
      </c>
      <c r="C40" s="10" t="s">
        <v>103</v>
      </c>
      <c r="D40" s="365">
        <f>INDEX('Proposed Amendments Scenario'!$A$2:$AC$33, MATCH('BAU Comparison - All Fuel'!$B40,'Proposed Amendments Scenario'!$C$2:$C$33,0),MATCH('BAU Comparison - All Fuel'!D$31,'Proposed Amendments Scenario'!$A$2:$AC$2,0))</f>
        <v>3405.916658055557</v>
      </c>
      <c r="E40" s="365">
        <f>INDEX('Proposed Amendments Scenario'!$A$2:$AC$33, MATCH('BAU Comparison - All Fuel'!$B40,'Proposed Amendments Scenario'!$C$2:$C$33,0),MATCH('BAU Comparison - All Fuel'!E$31,'Proposed Amendments Scenario'!$A$2:$AC$2,0))</f>
        <v>4243.2297497222226</v>
      </c>
      <c r="F40" s="365">
        <f>INDEX('Proposed Amendments Scenario'!$A$2:$AC$33, MATCH('BAU Comparison - All Fuel'!$B40,'Proposed Amendments Scenario'!$C$2:$C$33,0),MATCH('BAU Comparison - All Fuel'!F$31,'Proposed Amendments Scenario'!$A$2:$AC$2,0))</f>
        <v>5276.2062469444454</v>
      </c>
      <c r="G40" s="365">
        <f>INDEX('Proposed Amendments Scenario'!$A$2:$AC$33, MATCH('BAU Comparison - All Fuel'!$B40,'Proposed Amendments Scenario'!$C$2:$C$33,0),MATCH('BAU Comparison - All Fuel'!G$31,'Proposed Amendments Scenario'!$A$2:$AC$2,0))</f>
        <v>5073.3937440966602</v>
      </c>
      <c r="H40" s="365">
        <f>INDEX('Proposed Amendments Scenario'!$A$2:$AC$33, MATCH('BAU Comparison - All Fuel'!$B40,'Proposed Amendments Scenario'!$C$2:$C$33,0),MATCH('BAU Comparison - All Fuel'!H$31,'Proposed Amendments Scenario'!$A$2:$AC$2,0))</f>
        <v>7209.7776658468829</v>
      </c>
      <c r="I40" s="365">
        <f>INDEX('Proposed Amendments Scenario'!$A$2:$AC$33, MATCH('BAU Comparison - All Fuel'!$B40,'Proposed Amendments Scenario'!$C$2:$C$33,0),MATCH('BAU Comparison - All Fuel'!I$31,'Proposed Amendments Scenario'!$A$2:$AC$2,0))</f>
        <v>9975.660206841465</v>
      </c>
      <c r="J40" s="365">
        <f>INDEX('Proposed Amendments Scenario'!$A$2:$AC$33, MATCH('BAU Comparison - All Fuel'!$B40,'Proposed Amendments Scenario'!$C$2:$C$33,0),MATCH('BAU Comparison - All Fuel'!J$31,'Proposed Amendments Scenario'!$A$2:$AC$2,0))</f>
        <v>13043.568956993769</v>
      </c>
      <c r="K40" s="365">
        <f>INDEX('Proposed Amendments Scenario'!$A$2:$AC$33, MATCH('BAU Comparison - All Fuel'!$B40,'Proposed Amendments Scenario'!$C$2:$C$33,0),MATCH('BAU Comparison - All Fuel'!K$31,'Proposed Amendments Scenario'!$A$2:$AC$2,0))</f>
        <v>16691.896311111119</v>
      </c>
      <c r="L40" s="365">
        <f>INDEX('Proposed Amendments Scenario'!$A$2:$AC$33, MATCH('BAU Comparison - All Fuel'!$B40,'Proposed Amendments Scenario'!$C$2:$C$33,0),MATCH('BAU Comparison - All Fuel'!L$31,'Proposed Amendments Scenario'!$A$2:$AC$2,0))</f>
        <v>20547.963274166668</v>
      </c>
      <c r="M40" s="365">
        <f>INDEX('Proposed Amendments Scenario'!$A$2:$AC$33, MATCH('BAU Comparison - All Fuel'!$B40,'Proposed Amendments Scenario'!$C$2:$C$33,0),MATCH('BAU Comparison - All Fuel'!M$31,'Proposed Amendments Scenario'!$A$2:$AC$2,0))</f>
        <v>24978.509136666671</v>
      </c>
      <c r="N40" s="365">
        <f>INDEX('Proposed Amendments Scenario'!$A$2:$AC$33, MATCH('BAU Comparison - All Fuel'!$B40,'Proposed Amendments Scenario'!$C$2:$C$33,0),MATCH('BAU Comparison - All Fuel'!N$31,'Proposed Amendments Scenario'!$A$2:$AC$2,0))</f>
        <v>29484.45985472223</v>
      </c>
      <c r="O40" s="365">
        <f>INDEX('Proposed Amendments Scenario'!$A$2:$AC$33, MATCH('BAU Comparison - All Fuel'!$B40,'Proposed Amendments Scenario'!$C$2:$C$33,0),MATCH('BAU Comparison - All Fuel'!O$31,'Proposed Amendments Scenario'!$A$2:$AC$2,0))</f>
        <v>34455.752304722228</v>
      </c>
      <c r="P40" s="365">
        <f>INDEX('Proposed Amendments Scenario'!$A$2:$AC$33, MATCH('BAU Comparison - All Fuel'!$B40,'Proposed Amendments Scenario'!$C$2:$C$33,0),MATCH('BAU Comparison - All Fuel'!P$31,'Proposed Amendments Scenario'!$A$2:$AC$2,0))</f>
        <v>39739.412582500008</v>
      </c>
      <c r="Q40" s="365">
        <f>INDEX('Proposed Amendments Scenario'!$A$2:$AC$33, MATCH('BAU Comparison - All Fuel'!$B40,'Proposed Amendments Scenario'!$C$2:$C$33,0),MATCH('BAU Comparison - All Fuel'!Q$31,'Proposed Amendments Scenario'!$A$2:$AC$2,0))</f>
        <v>45282.638018333339</v>
      </c>
      <c r="R40" s="365">
        <f>INDEX('Proposed Amendments Scenario'!$A$2:$AC$33, MATCH('BAU Comparison - All Fuel'!$B40,'Proposed Amendments Scenario'!$C$2:$C$33,0),MATCH('BAU Comparison - All Fuel'!R$31,'Proposed Amendments Scenario'!$A$2:$AC$2,0))</f>
        <v>50745.155940555553</v>
      </c>
      <c r="S40" s="365">
        <f>INDEX('Proposed Amendments Scenario'!$A$2:$AC$33, MATCH('BAU Comparison - All Fuel'!$B40,'Proposed Amendments Scenario'!$C$2:$C$33,0),MATCH('BAU Comparison - All Fuel'!S$31,'Proposed Amendments Scenario'!$A$2:$AC$2,0))</f>
        <v>56112.192676944447</v>
      </c>
      <c r="T40" s="365">
        <f>INDEX('Proposed Amendments Scenario'!$A$2:$AC$33, MATCH('BAU Comparison - All Fuel'!$B40,'Proposed Amendments Scenario'!$C$2:$C$33,0),MATCH('BAU Comparison - All Fuel'!T$31,'Proposed Amendments Scenario'!$A$2:$AC$2,0))</f>
        <v>61329.187026111133</v>
      </c>
      <c r="U40" s="365">
        <f>INDEX('Proposed Amendments Scenario'!$A$2:$AC$33, MATCH('BAU Comparison - All Fuel'!$B40,'Proposed Amendments Scenario'!$C$2:$C$33,0),MATCH('BAU Comparison - All Fuel'!U$31,'Proposed Amendments Scenario'!$A$2:$AC$2,0))</f>
        <v>65734.460328874251</v>
      </c>
      <c r="V40" s="365">
        <f>INDEX('Proposed Amendments Scenario'!$A$2:$AC$33, MATCH('BAU Comparison - All Fuel'!$B40,'Proposed Amendments Scenario'!$C$2:$C$33,0),MATCH('BAU Comparison - All Fuel'!V$31,'Proposed Amendments Scenario'!$A$2:$AC$2,0))</f>
        <v>70792.445301713466</v>
      </c>
      <c r="W40" s="365">
        <f>INDEX('Proposed Amendments Scenario'!$A$2:$AC$33, MATCH('BAU Comparison - All Fuel'!$B40,'Proposed Amendments Scenario'!$C$2:$C$33,0),MATCH('BAU Comparison - All Fuel'!W$31,'Proposed Amendments Scenario'!$A$2:$AC$2,0))</f>
        <v>74998.284609503724</v>
      </c>
      <c r="X40" s="365">
        <f>INDEX('Proposed Amendments Scenario'!$A$2:$AC$33, MATCH('BAU Comparison - All Fuel'!$B40,'Proposed Amendments Scenario'!$C$2:$C$33,0),MATCH('BAU Comparison - All Fuel'!X$31,'Proposed Amendments Scenario'!$A$2:$AC$2,0))</f>
        <v>78993.228962455061</v>
      </c>
      <c r="Y40" s="365">
        <f>INDEX('Proposed Amendments Scenario'!$A$2:$AC$33, MATCH('BAU Comparison - All Fuel'!$B40,'Proposed Amendments Scenario'!$C$2:$C$33,0),MATCH('BAU Comparison - All Fuel'!Y$31,'Proposed Amendments Scenario'!$A$2:$AC$2,0))</f>
        <v>82550.253588188527</v>
      </c>
      <c r="Z40" s="365">
        <f>INDEX('Proposed Amendments Scenario'!$A$2:$AC$33, MATCH('BAU Comparison - All Fuel'!$B40,'Proposed Amendments Scenario'!$C$2:$C$33,0),MATCH('BAU Comparison - All Fuel'!Z$31,'Proposed Amendments Scenario'!$A$2:$AC$2,0))</f>
        <v>86852.582741524238</v>
      </c>
      <c r="AA40" s="365">
        <f>INDEX('Proposed Amendments Scenario'!$A$2:$AC$33, MATCH('BAU Comparison - All Fuel'!$B40,'Proposed Amendments Scenario'!$C$2:$C$33,0),MATCH('BAU Comparison - All Fuel'!AA$31,'Proposed Amendments Scenario'!$A$2:$AC$2,0))</f>
        <v>90575.847230914544</v>
      </c>
      <c r="AB40" s="365">
        <f>INDEX('Proposed Amendments Scenario'!$A$2:$AC$33, MATCH('BAU Comparison - All Fuel'!$B40,'Proposed Amendments Scenario'!$C$2:$C$33,0),MATCH('BAU Comparison - All Fuel'!AB$31,'Proposed Amendments Scenario'!$A$2:$AC$2,0))</f>
        <v>94281.730600882089</v>
      </c>
    </row>
    <row r="41" spans="1:28" ht="15" customHeight="1">
      <c r="A41" s="456"/>
      <c r="B41" s="10" t="s">
        <v>18</v>
      </c>
      <c r="C41" s="10" t="s">
        <v>103</v>
      </c>
      <c r="D41" s="365">
        <f>INDEX('Proposed Amendments Scenario'!$A$2:$AC$33, MATCH('BAU Comparison - All Fuel'!$B41,'Proposed Amendments Scenario'!$C$2:$C$33,0),MATCH('BAU Comparison - All Fuel'!D$31,'Proposed Amendments Scenario'!$A$2:$AC$2,0))</f>
        <v>0</v>
      </c>
      <c r="E41" s="365">
        <f>INDEX('Proposed Amendments Scenario'!$A$2:$AC$33, MATCH('BAU Comparison - All Fuel'!$B41,'Proposed Amendments Scenario'!$C$2:$C$33,0),MATCH('BAU Comparison - All Fuel'!E$31,'Proposed Amendments Scenario'!$A$2:$AC$2,0))</f>
        <v>0</v>
      </c>
      <c r="F41" s="365">
        <f>INDEX('Proposed Amendments Scenario'!$A$2:$AC$33, MATCH('BAU Comparison - All Fuel'!$B41,'Proposed Amendments Scenario'!$C$2:$C$33,0),MATCH('BAU Comparison - All Fuel'!F$31,'Proposed Amendments Scenario'!$A$2:$AC$2,0))</f>
        <v>0</v>
      </c>
      <c r="G41" s="365">
        <f>INDEX('Proposed Amendments Scenario'!$A$2:$AC$33, MATCH('BAU Comparison - All Fuel'!$B41,'Proposed Amendments Scenario'!$C$2:$C$33,0),MATCH('BAU Comparison - All Fuel'!G$31,'Proposed Amendments Scenario'!$A$2:$AC$2,0))</f>
        <v>1472.386825903342</v>
      </c>
      <c r="H41" s="365">
        <f>INDEX('Proposed Amendments Scenario'!$A$2:$AC$33, MATCH('BAU Comparison - All Fuel'!$B41,'Proposed Amendments Scenario'!$C$2:$C$33,0),MATCH('BAU Comparison - All Fuel'!H$31,'Proposed Amendments Scenario'!$A$2:$AC$2,0))</f>
        <v>883.43209554200519</v>
      </c>
      <c r="I41" s="365">
        <f>INDEX('Proposed Amendments Scenario'!$A$2:$AC$33, MATCH('BAU Comparison - All Fuel'!$B41,'Proposed Amendments Scenario'!$C$2:$C$33,0),MATCH('BAU Comparison - All Fuel'!I$31,'Proposed Amendments Scenario'!$A$2:$AC$2,0))</f>
        <v>530.05925732520313</v>
      </c>
      <c r="J41" s="365">
        <f>INDEX('Proposed Amendments Scenario'!$A$2:$AC$33, MATCH('BAU Comparison - All Fuel'!$B41,'Proposed Amendments Scenario'!$C$2:$C$33,0),MATCH('BAU Comparison - All Fuel'!J$31,'Proposed Amendments Scenario'!$A$2:$AC$2,0))</f>
        <v>318.03555439512189</v>
      </c>
      <c r="K41" s="365">
        <f>INDEX('Proposed Amendments Scenario'!$A$2:$AC$33, MATCH('BAU Comparison - All Fuel'!$B41,'Proposed Amendments Scenario'!$C$2:$C$33,0),MATCH('BAU Comparison - All Fuel'!K$31,'Proposed Amendments Scenario'!$A$2:$AC$2,0))</f>
        <v>0</v>
      </c>
      <c r="L41" s="365">
        <f>INDEX('Proposed Amendments Scenario'!$A$2:$AC$33, MATCH('BAU Comparison - All Fuel'!$B41,'Proposed Amendments Scenario'!$C$2:$C$33,0),MATCH('BAU Comparison - All Fuel'!L$31,'Proposed Amendments Scenario'!$A$2:$AC$2,0))</f>
        <v>0</v>
      </c>
      <c r="M41" s="365">
        <f>INDEX('Proposed Amendments Scenario'!$A$2:$AC$33, MATCH('BAU Comparison - All Fuel'!$B41,'Proposed Amendments Scenario'!$C$2:$C$33,0),MATCH('BAU Comparison - All Fuel'!M$31,'Proposed Amendments Scenario'!$A$2:$AC$2,0))</f>
        <v>0</v>
      </c>
      <c r="N41" s="365">
        <f>INDEX('Proposed Amendments Scenario'!$A$2:$AC$33, MATCH('BAU Comparison - All Fuel'!$B41,'Proposed Amendments Scenario'!$C$2:$C$33,0),MATCH('BAU Comparison - All Fuel'!N$31,'Proposed Amendments Scenario'!$A$2:$AC$2,0))</f>
        <v>0</v>
      </c>
      <c r="O41" s="365">
        <f>INDEX('Proposed Amendments Scenario'!$A$2:$AC$33, MATCH('BAU Comparison - All Fuel'!$B41,'Proposed Amendments Scenario'!$C$2:$C$33,0),MATCH('BAU Comparison - All Fuel'!O$31,'Proposed Amendments Scenario'!$A$2:$AC$2,0))</f>
        <v>0</v>
      </c>
      <c r="P41" s="365">
        <f>INDEX('Proposed Amendments Scenario'!$A$2:$AC$33, MATCH('BAU Comparison - All Fuel'!$B41,'Proposed Amendments Scenario'!$C$2:$C$33,0),MATCH('BAU Comparison - All Fuel'!P$31,'Proposed Amendments Scenario'!$A$2:$AC$2,0))</f>
        <v>0</v>
      </c>
      <c r="Q41" s="365">
        <f>INDEX('Proposed Amendments Scenario'!$A$2:$AC$33, MATCH('BAU Comparison - All Fuel'!$B41,'Proposed Amendments Scenario'!$C$2:$C$33,0),MATCH('BAU Comparison - All Fuel'!Q$31,'Proposed Amendments Scenario'!$A$2:$AC$2,0))</f>
        <v>0</v>
      </c>
      <c r="R41" s="365">
        <f>INDEX('Proposed Amendments Scenario'!$A$2:$AC$33, MATCH('BAU Comparison - All Fuel'!$B41,'Proposed Amendments Scenario'!$C$2:$C$33,0),MATCH('BAU Comparison - All Fuel'!R$31,'Proposed Amendments Scenario'!$A$2:$AC$2,0))</f>
        <v>0</v>
      </c>
      <c r="S41" s="365">
        <f>INDEX('Proposed Amendments Scenario'!$A$2:$AC$33, MATCH('BAU Comparison - All Fuel'!$B41,'Proposed Amendments Scenario'!$C$2:$C$33,0),MATCH('BAU Comparison - All Fuel'!S$31,'Proposed Amendments Scenario'!$A$2:$AC$2,0))</f>
        <v>0</v>
      </c>
      <c r="T41" s="365">
        <f>INDEX('Proposed Amendments Scenario'!$A$2:$AC$33, MATCH('BAU Comparison - All Fuel'!$B41,'Proposed Amendments Scenario'!$C$2:$C$33,0),MATCH('BAU Comparison - All Fuel'!T$31,'Proposed Amendments Scenario'!$A$2:$AC$2,0))</f>
        <v>0</v>
      </c>
      <c r="U41" s="365">
        <f>INDEX('Proposed Amendments Scenario'!$A$2:$AC$33, MATCH('BAU Comparison - All Fuel'!$B41,'Proposed Amendments Scenario'!$C$2:$C$33,0),MATCH('BAU Comparison - All Fuel'!U$31,'Proposed Amendments Scenario'!$A$2:$AC$2,0))</f>
        <v>620.88534529244055</v>
      </c>
      <c r="V41" s="365">
        <f>INDEX('Proposed Amendments Scenario'!$A$2:$AC$33, MATCH('BAU Comparison - All Fuel'!$B41,'Proposed Amendments Scenario'!$C$2:$C$33,0),MATCH('BAU Comparison - All Fuel'!V$31,'Proposed Amendments Scenario'!$A$2:$AC$2,0))</f>
        <v>372.53120717546437</v>
      </c>
      <c r="W41" s="365">
        <f>INDEX('Proposed Amendments Scenario'!$A$2:$AC$33, MATCH('BAU Comparison - All Fuel'!$B41,'Proposed Amendments Scenario'!$C$2:$C$33,0),MATCH('BAU Comparison - All Fuel'!W$31,'Proposed Amendments Scenario'!$A$2:$AC$2,0))</f>
        <v>754.62615299629476</v>
      </c>
      <c r="X41" s="365">
        <f>INDEX('Proposed Amendments Scenario'!$A$2:$AC$33, MATCH('BAU Comparison - All Fuel'!$B41,'Proposed Amendments Scenario'!$C$2:$C$33,0),MATCH('BAU Comparison - All Fuel'!X$31,'Proposed Amendments Scenario'!$A$2:$AC$2,0))</f>
        <v>1061.7572811560731</v>
      </c>
      <c r="Y41" s="365">
        <f>INDEX('Proposed Amendments Scenario'!$A$2:$AC$33, MATCH('BAU Comparison - All Fuel'!$B41,'Proposed Amendments Scenario'!$C$2:$C$33,0),MATCH('BAU Comparison - All Fuel'!Y$31,'Proposed Amendments Scenario'!$A$2:$AC$2,0))</f>
        <v>1512.9313770892511</v>
      </c>
      <c r="Z41" s="365">
        <f>INDEX('Proposed Amendments Scenario'!$A$2:$AC$33, MATCH('BAU Comparison - All Fuel'!$B41,'Proposed Amendments Scenario'!$C$2:$C$33,0),MATCH('BAU Comparison - All Fuel'!Z$31,'Proposed Amendments Scenario'!$A$2:$AC$2,0))</f>
        <v>907.7588262535503</v>
      </c>
      <c r="AA41" s="365">
        <f>INDEX('Proposed Amendments Scenario'!$A$2:$AC$33, MATCH('BAU Comparison - All Fuel'!$B41,'Proposed Amendments Scenario'!$C$2:$C$33,0),MATCH('BAU Comparison - All Fuel'!AA$31,'Proposed Amendments Scenario'!$A$2:$AC$2,0))</f>
        <v>544.6552957521302</v>
      </c>
      <c r="AB41" s="365">
        <f>INDEX('Proposed Amendments Scenario'!$A$2:$AC$33, MATCH('BAU Comparison - All Fuel'!$B41,'Proposed Amendments Scenario'!$C$2:$C$33,0),MATCH('BAU Comparison - All Fuel'!AB$31,'Proposed Amendments Scenario'!$A$2:$AC$2,0))</f>
        <v>326.79317745127798</v>
      </c>
    </row>
    <row r="42" spans="1:28" ht="15" customHeight="1">
      <c r="A42" s="456"/>
      <c r="B42" s="10" t="s">
        <v>9</v>
      </c>
      <c r="C42" s="10" t="s">
        <v>7</v>
      </c>
      <c r="D42" s="365">
        <f>INDEX('Proposed Amendments Scenario'!$A$2:$AC$33, MATCH('BAU Comparison - All Fuel'!$B42,'Proposed Amendments Scenario'!$C$2:$C$33,0),MATCH('BAU Comparison - All Fuel'!D$31,'Proposed Amendments Scenario'!$A$2:$AC$2,0))</f>
        <v>281.16396700229922</v>
      </c>
      <c r="E42" s="365">
        <f>INDEX('Proposed Amendments Scenario'!$A$2:$AC$33, MATCH('BAU Comparison - All Fuel'!$B42,'Proposed Amendments Scenario'!$C$2:$C$33,0),MATCH('BAU Comparison - All Fuel'!E$31,'Proposed Amendments Scenario'!$A$2:$AC$2,0))</f>
        <v>281.16396700229922</v>
      </c>
      <c r="F42" s="365">
        <f>INDEX('Proposed Amendments Scenario'!$A$2:$AC$33, MATCH('BAU Comparison - All Fuel'!$B42,'Proposed Amendments Scenario'!$C$2:$C$33,0),MATCH('BAU Comparison - All Fuel'!F$31,'Proposed Amendments Scenario'!$A$2:$AC$2,0))</f>
        <v>281.16396700229922</v>
      </c>
      <c r="G42" s="365">
        <f>INDEX('Proposed Amendments Scenario'!$A$2:$AC$33, MATCH('BAU Comparison - All Fuel'!$B42,'Proposed Amendments Scenario'!$C$2:$C$33,0),MATCH('BAU Comparison - All Fuel'!G$31,'Proposed Amendments Scenario'!$A$2:$AC$2,0))</f>
        <v>281.16396700229922</v>
      </c>
      <c r="H42" s="365">
        <f>INDEX('Proposed Amendments Scenario'!$A$2:$AC$33, MATCH('BAU Comparison - All Fuel'!$B42,'Proposed Amendments Scenario'!$C$2:$C$33,0),MATCH('BAU Comparison - All Fuel'!H$31,'Proposed Amendments Scenario'!$A$2:$AC$2,0))</f>
        <v>281.16396700229927</v>
      </c>
      <c r="I42" s="365">
        <f>INDEX('Proposed Amendments Scenario'!$A$2:$AC$33, MATCH('BAU Comparison - All Fuel'!$B42,'Proposed Amendments Scenario'!$C$2:$C$33,0),MATCH('BAU Comparison - All Fuel'!I$31,'Proposed Amendments Scenario'!$A$2:$AC$2,0))</f>
        <v>281.16396700229922</v>
      </c>
      <c r="J42" s="365">
        <f>INDEX('Proposed Amendments Scenario'!$A$2:$AC$33, MATCH('BAU Comparison - All Fuel'!$B42,'Proposed Amendments Scenario'!$C$2:$C$33,0),MATCH('BAU Comparison - All Fuel'!J$31,'Proposed Amendments Scenario'!$A$2:$AC$2,0))</f>
        <v>281.1639670022991</v>
      </c>
      <c r="K42" s="365">
        <f>INDEX('Proposed Amendments Scenario'!$A$2:$AC$33, MATCH('BAU Comparison - All Fuel'!$B42,'Proposed Amendments Scenario'!$C$2:$C$33,0),MATCH('BAU Comparison - All Fuel'!K$31,'Proposed Amendments Scenario'!$A$2:$AC$2,0))</f>
        <v>281.16396700229922</v>
      </c>
      <c r="L42" s="365">
        <f>INDEX('Proposed Amendments Scenario'!$A$2:$AC$33, MATCH('BAU Comparison - All Fuel'!$B42,'Proposed Amendments Scenario'!$C$2:$C$33,0),MATCH('BAU Comparison - All Fuel'!L$31,'Proposed Amendments Scenario'!$A$2:$AC$2,0))</f>
        <v>281.16396700229922</v>
      </c>
      <c r="M42" s="365">
        <f>INDEX('Proposed Amendments Scenario'!$A$2:$AC$33, MATCH('BAU Comparison - All Fuel'!$B42,'Proposed Amendments Scenario'!$C$2:$C$33,0),MATCH('BAU Comparison - All Fuel'!M$31,'Proposed Amendments Scenario'!$A$2:$AC$2,0))</f>
        <v>281.16396700229922</v>
      </c>
      <c r="N42" s="365">
        <f>INDEX('Proposed Amendments Scenario'!$A$2:$AC$33, MATCH('BAU Comparison - All Fuel'!$B42,'Proposed Amendments Scenario'!$C$2:$C$33,0),MATCH('BAU Comparison - All Fuel'!N$31,'Proposed Amendments Scenario'!$A$2:$AC$2,0))</f>
        <v>281.16396700229922</v>
      </c>
      <c r="O42" s="365">
        <f>INDEX('Proposed Amendments Scenario'!$A$2:$AC$33, MATCH('BAU Comparison - All Fuel'!$B42,'Proposed Amendments Scenario'!$C$2:$C$33,0),MATCH('BAU Comparison - All Fuel'!O$31,'Proposed Amendments Scenario'!$A$2:$AC$2,0))</f>
        <v>281.16396700229922</v>
      </c>
      <c r="P42" s="365">
        <f>INDEX('Proposed Amendments Scenario'!$A$2:$AC$33, MATCH('BAU Comparison - All Fuel'!$B42,'Proposed Amendments Scenario'!$C$2:$C$33,0),MATCH('BAU Comparison - All Fuel'!P$31,'Proposed Amendments Scenario'!$A$2:$AC$2,0))</f>
        <v>281.16396700229922</v>
      </c>
      <c r="Q42" s="365">
        <f>INDEX('Proposed Amendments Scenario'!$A$2:$AC$33, MATCH('BAU Comparison - All Fuel'!$B42,'Proposed Amendments Scenario'!$C$2:$C$33,0),MATCH('BAU Comparison - All Fuel'!Q$31,'Proposed Amendments Scenario'!$A$2:$AC$2,0))</f>
        <v>281.16396700229927</v>
      </c>
      <c r="R42" s="365">
        <f>INDEX('Proposed Amendments Scenario'!$A$2:$AC$33, MATCH('BAU Comparison - All Fuel'!$B42,'Proposed Amendments Scenario'!$C$2:$C$33,0),MATCH('BAU Comparison - All Fuel'!R$31,'Proposed Amendments Scenario'!$A$2:$AC$2,0))</f>
        <v>281.16396700229922</v>
      </c>
      <c r="S42" s="365">
        <f>INDEX('Proposed Amendments Scenario'!$A$2:$AC$33, MATCH('BAU Comparison - All Fuel'!$B42,'Proposed Amendments Scenario'!$C$2:$C$33,0),MATCH('BAU Comparison - All Fuel'!S$31,'Proposed Amendments Scenario'!$A$2:$AC$2,0))</f>
        <v>281.16396700229922</v>
      </c>
      <c r="T42" s="365">
        <f>INDEX('Proposed Amendments Scenario'!$A$2:$AC$33, MATCH('BAU Comparison - All Fuel'!$B42,'Proposed Amendments Scenario'!$C$2:$C$33,0),MATCH('BAU Comparison - All Fuel'!T$31,'Proposed Amendments Scenario'!$A$2:$AC$2,0))</f>
        <v>281.16396700229922</v>
      </c>
      <c r="U42" s="365">
        <f>INDEX('Proposed Amendments Scenario'!$A$2:$AC$33, MATCH('BAU Comparison - All Fuel'!$B42,'Proposed Amendments Scenario'!$C$2:$C$33,0),MATCH('BAU Comparison - All Fuel'!U$31,'Proposed Amendments Scenario'!$A$2:$AC$2,0))</f>
        <v>281.16396700229922</v>
      </c>
      <c r="V42" s="365">
        <f>INDEX('Proposed Amendments Scenario'!$A$2:$AC$33, MATCH('BAU Comparison - All Fuel'!$B42,'Proposed Amendments Scenario'!$C$2:$C$33,0),MATCH('BAU Comparison - All Fuel'!V$31,'Proposed Amendments Scenario'!$A$2:$AC$2,0))</f>
        <v>281.16396700229922</v>
      </c>
      <c r="W42" s="365">
        <f>INDEX('Proposed Amendments Scenario'!$A$2:$AC$33, MATCH('BAU Comparison - All Fuel'!$B42,'Proposed Amendments Scenario'!$C$2:$C$33,0),MATCH('BAU Comparison - All Fuel'!W$31,'Proposed Amendments Scenario'!$A$2:$AC$2,0))</f>
        <v>281.16396700229922</v>
      </c>
      <c r="X42" s="365">
        <f>INDEX('Proposed Amendments Scenario'!$A$2:$AC$33, MATCH('BAU Comparison - All Fuel'!$B42,'Proposed Amendments Scenario'!$C$2:$C$33,0),MATCH('BAU Comparison - All Fuel'!X$31,'Proposed Amendments Scenario'!$A$2:$AC$2,0))</f>
        <v>281.16396700229922</v>
      </c>
      <c r="Y42" s="365">
        <f>INDEX('Proposed Amendments Scenario'!$A$2:$AC$33, MATCH('BAU Comparison - All Fuel'!$B42,'Proposed Amendments Scenario'!$C$2:$C$33,0),MATCH('BAU Comparison - All Fuel'!Y$31,'Proposed Amendments Scenario'!$A$2:$AC$2,0))</f>
        <v>281.16396700229922</v>
      </c>
      <c r="Z42" s="365">
        <f>INDEX('Proposed Amendments Scenario'!$A$2:$AC$33, MATCH('BAU Comparison - All Fuel'!$B42,'Proposed Amendments Scenario'!$C$2:$C$33,0),MATCH('BAU Comparison - All Fuel'!Z$31,'Proposed Amendments Scenario'!$A$2:$AC$2,0))</f>
        <v>281.16396700229922</v>
      </c>
      <c r="AA42" s="365">
        <f>INDEX('Proposed Amendments Scenario'!$A$2:$AC$33, MATCH('BAU Comparison - All Fuel'!$B42,'Proposed Amendments Scenario'!$C$2:$C$33,0),MATCH('BAU Comparison - All Fuel'!AA$31,'Proposed Amendments Scenario'!$A$2:$AC$2,0))</f>
        <v>281.16396700229922</v>
      </c>
      <c r="AB42" s="365">
        <f>INDEX('Proposed Amendments Scenario'!$A$2:$AC$33, MATCH('BAU Comparison - All Fuel'!$B42,'Proposed Amendments Scenario'!$C$2:$C$33,0),MATCH('BAU Comparison - All Fuel'!AB$31,'Proposed Amendments Scenario'!$A$2:$AC$2,0))</f>
        <v>281.16396700229922</v>
      </c>
    </row>
    <row r="43" spans="1:28" ht="15" customHeight="1">
      <c r="A43" s="456"/>
      <c r="B43" s="10" t="s">
        <v>34</v>
      </c>
      <c r="C43" s="10" t="s">
        <v>7</v>
      </c>
      <c r="D43" s="365">
        <f>'Proposed Amendments Scenario'!E30</f>
        <v>1385.2302780331661</v>
      </c>
      <c r="E43" s="365">
        <f>'Proposed Amendments Scenario'!F30</f>
        <v>1965.1653570536059</v>
      </c>
      <c r="F43" s="365">
        <f>'Proposed Amendments Scenario'!G30</f>
        <v>2464.7998535580418</v>
      </c>
      <c r="G43" s="365">
        <f>'Proposed Amendments Scenario'!H30</f>
        <v>2739.310306467939</v>
      </c>
      <c r="H43" s="365">
        <f>'Proposed Amendments Scenario'!I30</f>
        <v>2700.2257547873792</v>
      </c>
      <c r="I43" s="365">
        <f>'Proposed Amendments Scenario'!J30</f>
        <v>2643.2363055497281</v>
      </c>
      <c r="J43" s="365">
        <f>'Proposed Amendments Scenario'!K30</f>
        <v>2503.106223276809</v>
      </c>
      <c r="K43" s="365">
        <f>'Proposed Amendments Scenario'!L30</f>
        <v>2467.4348082408569</v>
      </c>
      <c r="L43" s="365">
        <f>'Proposed Amendments Scenario'!M30</f>
        <v>2432.8335356559842</v>
      </c>
      <c r="M43" s="365">
        <f>'Proposed Amendments Scenario'!N30</f>
        <v>2399.2703012486559</v>
      </c>
      <c r="N43" s="365">
        <f>'Proposed Amendments Scenario'!O30</f>
        <v>2366.7139638735489</v>
      </c>
      <c r="O43" s="365">
        <f>'Proposed Amendments Scenario'!P30</f>
        <v>2335.1343166196948</v>
      </c>
      <c r="P43" s="365">
        <f>'Proposed Amendments Scenario'!Q30</f>
        <v>2304.502058783457</v>
      </c>
      <c r="Q43" s="365">
        <f>'Proposed Amendments Scenario'!R30</f>
        <v>2274.788768682306</v>
      </c>
      <c r="R43" s="365">
        <f>'Proposed Amendments Scenario'!S30</f>
        <v>2245.9668772841892</v>
      </c>
      <c r="S43" s="365">
        <f>'Proposed Amendments Scenario'!T30</f>
        <v>2218.0096426280161</v>
      </c>
      <c r="T43" s="365">
        <f>'Proposed Amendments Scenario'!U30</f>
        <v>2190.8911250115279</v>
      </c>
      <c r="U43" s="365">
        <f>'Proposed Amendments Scenario'!V30</f>
        <v>2220.6591577435152</v>
      </c>
      <c r="V43" s="365">
        <f>'Proposed Amendments Scenario'!W30</f>
        <v>2243.2794142805101</v>
      </c>
      <c r="W43" s="365">
        <f>'Proposed Amendments Scenario'!X30</f>
        <v>2231.8678151660688</v>
      </c>
      <c r="X43" s="365">
        <f>'Proposed Amendments Scenario'!Y30</f>
        <v>2196.1086872731848</v>
      </c>
      <c r="Y43" s="365">
        <f>'Proposed Amendments Scenario'!Z30</f>
        <v>2189.4574501062179</v>
      </c>
      <c r="Z43" s="365">
        <f>'Proposed Amendments Scenario'!AA30</f>
        <v>2175.4535511298081</v>
      </c>
      <c r="AA43" s="365">
        <f>'Proposed Amendments Scenario'!AB30</f>
        <v>2160.4880365535778</v>
      </c>
      <c r="AB43" s="365">
        <f>'Proposed Amendments Scenario'!AC30</f>
        <v>2129.5324952274582</v>
      </c>
    </row>
    <row r="44" spans="1:28" ht="15" customHeight="1">
      <c r="A44" s="456"/>
      <c r="B44" s="10" t="s">
        <v>33</v>
      </c>
      <c r="C44" s="10" t="s">
        <v>13</v>
      </c>
      <c r="D44" s="365">
        <f>INDEX('Proposed Amendments Scenario'!$A$2:$AC$33, MATCH('BAU Comparison - All Fuel'!$B44,'Proposed Amendments Scenario'!$C$2:$C$33,0),MATCH('BAU Comparison - All Fuel'!D$31,'Proposed Amendments Scenario'!$A$2:$AC$2,0))</f>
        <v>0</v>
      </c>
      <c r="E44" s="365">
        <f>INDEX('Proposed Amendments Scenario'!$A$2:$AC$33, MATCH('BAU Comparison - All Fuel'!$B44,'Proposed Amendments Scenario'!$C$2:$C$33,0),MATCH('BAU Comparison - All Fuel'!E$31,'Proposed Amendments Scenario'!$A$2:$AC$2,0))</f>
        <v>0</v>
      </c>
      <c r="F44" s="365">
        <f>INDEX('Proposed Amendments Scenario'!$A$2:$AC$33, MATCH('BAU Comparison - All Fuel'!$B44,'Proposed Amendments Scenario'!$C$2:$C$33,0),MATCH('BAU Comparison - All Fuel'!F$31,'Proposed Amendments Scenario'!$A$2:$AC$2,0))</f>
        <v>0</v>
      </c>
      <c r="G44" s="365">
        <f>INDEX('Proposed Amendments Scenario'!$A$2:$AC$33, MATCH('BAU Comparison - All Fuel'!$B44,'Proposed Amendments Scenario'!$C$2:$C$33,0),MATCH('BAU Comparison - All Fuel'!G$31,'Proposed Amendments Scenario'!$A$2:$AC$2,0))</f>
        <v>0</v>
      </c>
      <c r="H44" s="365">
        <f>INDEX('Proposed Amendments Scenario'!$A$2:$AC$33, MATCH('BAU Comparison - All Fuel'!$B44,'Proposed Amendments Scenario'!$C$2:$C$33,0),MATCH('BAU Comparison - All Fuel'!H$31,'Proposed Amendments Scenario'!$A$2:$AC$2,0))</f>
        <v>0</v>
      </c>
      <c r="I44" s="365">
        <f>INDEX('Proposed Amendments Scenario'!$A$2:$AC$33, MATCH('BAU Comparison - All Fuel'!$B44,'Proposed Amendments Scenario'!$C$2:$C$33,0),MATCH('BAU Comparison - All Fuel'!I$31,'Proposed Amendments Scenario'!$A$2:$AC$2,0))</f>
        <v>0</v>
      </c>
      <c r="J44" s="365">
        <f>INDEX('Proposed Amendments Scenario'!$A$2:$AC$33, MATCH('BAU Comparison - All Fuel'!$B44,'Proposed Amendments Scenario'!$C$2:$C$33,0),MATCH('BAU Comparison - All Fuel'!J$31,'Proposed Amendments Scenario'!$A$2:$AC$2,0))</f>
        <v>0</v>
      </c>
      <c r="K44" s="365">
        <f>INDEX('Proposed Amendments Scenario'!$A$2:$AC$33, MATCH('BAU Comparison - All Fuel'!$B44,'Proposed Amendments Scenario'!$C$2:$C$33,0),MATCH('BAU Comparison - All Fuel'!K$31,'Proposed Amendments Scenario'!$A$2:$AC$2,0))</f>
        <v>0</v>
      </c>
      <c r="L44" s="365">
        <f>INDEX('Proposed Amendments Scenario'!$A$2:$AC$33, MATCH('BAU Comparison - All Fuel'!$B44,'Proposed Amendments Scenario'!$C$2:$C$33,0),MATCH('BAU Comparison - All Fuel'!L$31,'Proposed Amendments Scenario'!$A$2:$AC$2,0))</f>
        <v>0</v>
      </c>
      <c r="M44" s="365">
        <f>INDEX('Proposed Amendments Scenario'!$A$2:$AC$33, MATCH('BAU Comparison - All Fuel'!$B44,'Proposed Amendments Scenario'!$C$2:$C$33,0),MATCH('BAU Comparison - All Fuel'!M$31,'Proposed Amendments Scenario'!$A$2:$AC$2,0))</f>
        <v>0</v>
      </c>
      <c r="N44" s="365">
        <f>INDEX('Proposed Amendments Scenario'!$A$2:$AC$33, MATCH('BAU Comparison - All Fuel'!$B44,'Proposed Amendments Scenario'!$C$2:$C$33,0),MATCH('BAU Comparison - All Fuel'!N$31,'Proposed Amendments Scenario'!$A$2:$AC$2,0))</f>
        <v>0</v>
      </c>
      <c r="O44" s="365">
        <f>INDEX('Proposed Amendments Scenario'!$A$2:$AC$33, MATCH('BAU Comparison - All Fuel'!$B44,'Proposed Amendments Scenario'!$C$2:$C$33,0),MATCH('BAU Comparison - All Fuel'!O$31,'Proposed Amendments Scenario'!$A$2:$AC$2,0))</f>
        <v>0</v>
      </c>
      <c r="P44" s="365">
        <f>INDEX('Proposed Amendments Scenario'!$A$2:$AC$33, MATCH('BAU Comparison - All Fuel'!$B44,'Proposed Amendments Scenario'!$C$2:$C$33,0),MATCH('BAU Comparison - All Fuel'!P$31,'Proposed Amendments Scenario'!$A$2:$AC$2,0))</f>
        <v>0</v>
      </c>
      <c r="Q44" s="365">
        <f>INDEX('Proposed Amendments Scenario'!$A$2:$AC$33, MATCH('BAU Comparison - All Fuel'!$B44,'Proposed Amendments Scenario'!$C$2:$C$33,0),MATCH('BAU Comparison - All Fuel'!Q$31,'Proposed Amendments Scenario'!$A$2:$AC$2,0))</f>
        <v>0</v>
      </c>
      <c r="R44" s="365">
        <f>INDEX('Proposed Amendments Scenario'!$A$2:$AC$33, MATCH('BAU Comparison - All Fuel'!$B44,'Proposed Amendments Scenario'!$C$2:$C$33,0),MATCH('BAU Comparison - All Fuel'!R$31,'Proposed Amendments Scenario'!$A$2:$AC$2,0))</f>
        <v>0</v>
      </c>
      <c r="S44" s="365">
        <f>INDEX('Proposed Amendments Scenario'!$A$2:$AC$33, MATCH('BAU Comparison - All Fuel'!$B44,'Proposed Amendments Scenario'!$C$2:$C$33,0),MATCH('BAU Comparison - All Fuel'!S$31,'Proposed Amendments Scenario'!$A$2:$AC$2,0))</f>
        <v>0</v>
      </c>
      <c r="T44" s="365">
        <f>INDEX('Proposed Amendments Scenario'!$A$2:$AC$33, MATCH('BAU Comparison - All Fuel'!$B44,'Proposed Amendments Scenario'!$C$2:$C$33,0),MATCH('BAU Comparison - All Fuel'!T$31,'Proposed Amendments Scenario'!$A$2:$AC$2,0))</f>
        <v>0</v>
      </c>
      <c r="U44" s="365">
        <f>INDEX('Proposed Amendments Scenario'!$A$2:$AC$33, MATCH('BAU Comparison - All Fuel'!$B44,'Proposed Amendments Scenario'!$C$2:$C$33,0),MATCH('BAU Comparison - All Fuel'!U$31,'Proposed Amendments Scenario'!$A$2:$AC$2,0))</f>
        <v>0</v>
      </c>
      <c r="V44" s="365">
        <f>INDEX('Proposed Amendments Scenario'!$A$2:$AC$33, MATCH('BAU Comparison - All Fuel'!$B44,'Proposed Amendments Scenario'!$C$2:$C$33,0),MATCH('BAU Comparison - All Fuel'!V$31,'Proposed Amendments Scenario'!$A$2:$AC$2,0))</f>
        <v>0</v>
      </c>
      <c r="W44" s="365">
        <f>INDEX('Proposed Amendments Scenario'!$A$2:$AC$33, MATCH('BAU Comparison - All Fuel'!$B44,'Proposed Amendments Scenario'!$C$2:$C$33,0),MATCH('BAU Comparison - All Fuel'!W$31,'Proposed Amendments Scenario'!$A$2:$AC$2,0))</f>
        <v>0</v>
      </c>
      <c r="X44" s="365">
        <f>INDEX('Proposed Amendments Scenario'!$A$2:$AC$33, MATCH('BAU Comparison - All Fuel'!$B44,'Proposed Amendments Scenario'!$C$2:$C$33,0),MATCH('BAU Comparison - All Fuel'!X$31,'Proposed Amendments Scenario'!$A$2:$AC$2,0))</f>
        <v>0</v>
      </c>
      <c r="Y44" s="365">
        <f>INDEX('Proposed Amendments Scenario'!$A$2:$AC$33, MATCH('BAU Comparison - All Fuel'!$B44,'Proposed Amendments Scenario'!$C$2:$C$33,0),MATCH('BAU Comparison - All Fuel'!Y$31,'Proposed Amendments Scenario'!$A$2:$AC$2,0))</f>
        <v>0</v>
      </c>
      <c r="Z44" s="365">
        <f>INDEX('Proposed Amendments Scenario'!$A$2:$AC$33, MATCH('BAU Comparison - All Fuel'!$B44,'Proposed Amendments Scenario'!$C$2:$C$33,0),MATCH('BAU Comparison - All Fuel'!Z$31,'Proposed Amendments Scenario'!$A$2:$AC$2,0))</f>
        <v>0</v>
      </c>
      <c r="AA44" s="365">
        <f>INDEX('Proposed Amendments Scenario'!$A$2:$AC$33, MATCH('BAU Comparison - All Fuel'!$B44,'Proposed Amendments Scenario'!$C$2:$C$33,0),MATCH('BAU Comparison - All Fuel'!AA$31,'Proposed Amendments Scenario'!$A$2:$AC$2,0))</f>
        <v>0</v>
      </c>
      <c r="AB44" s="365">
        <f>INDEX('Proposed Amendments Scenario'!$A$2:$AC$33, MATCH('BAU Comparison - All Fuel'!$B44,'Proposed Amendments Scenario'!$C$2:$C$33,0),MATCH('BAU Comparison - All Fuel'!AB$31,'Proposed Amendments Scenario'!$A$2:$AC$2,0))</f>
        <v>0</v>
      </c>
    </row>
    <row r="45" spans="1:28" ht="15" customHeight="1">
      <c r="A45" s="456"/>
      <c r="B45" s="10" t="s">
        <v>24</v>
      </c>
      <c r="C45" s="10" t="s">
        <v>22</v>
      </c>
      <c r="D45" s="365">
        <f>INDEX('Proposed Amendments Scenario'!$A$2:$AC$33, MATCH('BAU Comparison - All Fuel'!$B45,'Proposed Amendments Scenario'!$C$2:$C$33,0),MATCH('BAU Comparison - All Fuel'!D$31,'Proposed Amendments Scenario'!$A$2:$AC$2,0))</f>
        <v>0</v>
      </c>
      <c r="E45" s="365">
        <f>INDEX('Proposed Amendments Scenario'!$A$2:$AC$33, MATCH('BAU Comparison - All Fuel'!$B45,'Proposed Amendments Scenario'!$C$2:$C$33,0),MATCH('BAU Comparison - All Fuel'!E$31,'Proposed Amendments Scenario'!$A$2:$AC$2,0))</f>
        <v>0</v>
      </c>
      <c r="F45" s="365">
        <f>INDEX('Proposed Amendments Scenario'!$A$2:$AC$33, MATCH('BAU Comparison - All Fuel'!$B45,'Proposed Amendments Scenario'!$C$2:$C$33,0),MATCH('BAU Comparison - All Fuel'!F$31,'Proposed Amendments Scenario'!$A$2:$AC$2,0))</f>
        <v>0</v>
      </c>
      <c r="G45" s="365">
        <f>INDEX('Proposed Amendments Scenario'!$A$2:$AC$33, MATCH('BAU Comparison - All Fuel'!$B45,'Proposed Amendments Scenario'!$C$2:$C$33,0),MATCH('BAU Comparison - All Fuel'!G$31,'Proposed Amendments Scenario'!$A$2:$AC$2,0))</f>
        <v>0</v>
      </c>
      <c r="H45" s="365">
        <f>INDEX('Proposed Amendments Scenario'!$A$2:$AC$33, MATCH('BAU Comparison - All Fuel'!$B45,'Proposed Amendments Scenario'!$C$2:$C$33,0),MATCH('BAU Comparison - All Fuel'!H$31,'Proposed Amendments Scenario'!$A$2:$AC$2,0))</f>
        <v>0</v>
      </c>
      <c r="I45" s="365">
        <f>INDEX('Proposed Amendments Scenario'!$A$2:$AC$33, MATCH('BAU Comparison - All Fuel'!$B45,'Proposed Amendments Scenario'!$C$2:$C$33,0),MATCH('BAU Comparison - All Fuel'!I$31,'Proposed Amendments Scenario'!$A$2:$AC$2,0))</f>
        <v>0</v>
      </c>
      <c r="J45" s="365">
        <f>INDEX('Proposed Amendments Scenario'!$A$2:$AC$33, MATCH('BAU Comparison - All Fuel'!$B45,'Proposed Amendments Scenario'!$C$2:$C$33,0),MATCH('BAU Comparison - All Fuel'!J$31,'Proposed Amendments Scenario'!$A$2:$AC$2,0))</f>
        <v>0</v>
      </c>
      <c r="K45" s="365">
        <f>INDEX('Proposed Amendments Scenario'!$A$2:$AC$33, MATCH('BAU Comparison - All Fuel'!$B45,'Proposed Amendments Scenario'!$C$2:$C$33,0),MATCH('BAU Comparison - All Fuel'!K$31,'Proposed Amendments Scenario'!$A$2:$AC$2,0))</f>
        <v>0</v>
      </c>
      <c r="L45" s="365">
        <f>INDEX('Proposed Amendments Scenario'!$A$2:$AC$33, MATCH('BAU Comparison - All Fuel'!$B45,'Proposed Amendments Scenario'!$C$2:$C$33,0),MATCH('BAU Comparison - All Fuel'!L$31,'Proposed Amendments Scenario'!$A$2:$AC$2,0))</f>
        <v>0</v>
      </c>
      <c r="M45" s="365">
        <f>INDEX('Proposed Amendments Scenario'!$A$2:$AC$33, MATCH('BAU Comparison - All Fuel'!$B45,'Proposed Amendments Scenario'!$C$2:$C$33,0),MATCH('BAU Comparison - All Fuel'!M$31,'Proposed Amendments Scenario'!$A$2:$AC$2,0))</f>
        <v>0</v>
      </c>
      <c r="N45" s="365">
        <f>INDEX('Proposed Amendments Scenario'!$A$2:$AC$33, MATCH('BAU Comparison - All Fuel'!$B45,'Proposed Amendments Scenario'!$C$2:$C$33,0),MATCH('BAU Comparison - All Fuel'!N$31,'Proposed Amendments Scenario'!$A$2:$AC$2,0))</f>
        <v>0</v>
      </c>
      <c r="O45" s="365">
        <f>INDEX('Proposed Amendments Scenario'!$A$2:$AC$33, MATCH('BAU Comparison - All Fuel'!$B45,'Proposed Amendments Scenario'!$C$2:$C$33,0),MATCH('BAU Comparison - All Fuel'!O$31,'Proposed Amendments Scenario'!$A$2:$AC$2,0))</f>
        <v>0</v>
      </c>
      <c r="P45" s="365">
        <f>INDEX('Proposed Amendments Scenario'!$A$2:$AC$33, MATCH('BAU Comparison - All Fuel'!$B45,'Proposed Amendments Scenario'!$C$2:$C$33,0),MATCH('BAU Comparison - All Fuel'!P$31,'Proposed Amendments Scenario'!$A$2:$AC$2,0))</f>
        <v>0</v>
      </c>
      <c r="Q45" s="365">
        <f>INDEX('Proposed Amendments Scenario'!$A$2:$AC$33, MATCH('BAU Comparison - All Fuel'!$B45,'Proposed Amendments Scenario'!$C$2:$C$33,0),MATCH('BAU Comparison - All Fuel'!Q$31,'Proposed Amendments Scenario'!$A$2:$AC$2,0))</f>
        <v>0</v>
      </c>
      <c r="R45" s="365">
        <f>INDEX('Proposed Amendments Scenario'!$A$2:$AC$33, MATCH('BAU Comparison - All Fuel'!$B45,'Proposed Amendments Scenario'!$C$2:$C$33,0),MATCH('BAU Comparison - All Fuel'!R$31,'Proposed Amendments Scenario'!$A$2:$AC$2,0))</f>
        <v>0</v>
      </c>
      <c r="S45" s="365">
        <f>INDEX('Proposed Amendments Scenario'!$A$2:$AC$33, MATCH('BAU Comparison - All Fuel'!$B45,'Proposed Amendments Scenario'!$C$2:$C$33,0),MATCH('BAU Comparison - All Fuel'!S$31,'Proposed Amendments Scenario'!$A$2:$AC$2,0))</f>
        <v>0</v>
      </c>
      <c r="T45" s="365">
        <f>INDEX('Proposed Amendments Scenario'!$A$2:$AC$33, MATCH('BAU Comparison - All Fuel'!$B45,'Proposed Amendments Scenario'!$C$2:$C$33,0),MATCH('BAU Comparison - All Fuel'!T$31,'Proposed Amendments Scenario'!$A$2:$AC$2,0))</f>
        <v>0</v>
      </c>
      <c r="U45" s="365">
        <f>INDEX('Proposed Amendments Scenario'!$A$2:$AC$33, MATCH('BAU Comparison - All Fuel'!$B45,'Proposed Amendments Scenario'!$C$2:$C$33,0),MATCH('BAU Comparison - All Fuel'!U$31,'Proposed Amendments Scenario'!$A$2:$AC$2,0))</f>
        <v>0</v>
      </c>
      <c r="V45" s="365">
        <f>INDEX('Proposed Amendments Scenario'!$A$2:$AC$33, MATCH('BAU Comparison - All Fuel'!$B45,'Proposed Amendments Scenario'!$C$2:$C$33,0),MATCH('BAU Comparison - All Fuel'!V$31,'Proposed Amendments Scenario'!$A$2:$AC$2,0))</f>
        <v>0</v>
      </c>
      <c r="W45" s="365">
        <f>INDEX('Proposed Amendments Scenario'!$A$2:$AC$33, MATCH('BAU Comparison - All Fuel'!$B45,'Proposed Amendments Scenario'!$C$2:$C$33,0),MATCH('BAU Comparison - All Fuel'!W$31,'Proposed Amendments Scenario'!$A$2:$AC$2,0))</f>
        <v>0</v>
      </c>
      <c r="X45" s="365">
        <f>INDEX('Proposed Amendments Scenario'!$A$2:$AC$33, MATCH('BAU Comparison - All Fuel'!$B45,'Proposed Amendments Scenario'!$C$2:$C$33,0),MATCH('BAU Comparison - All Fuel'!X$31,'Proposed Amendments Scenario'!$A$2:$AC$2,0))</f>
        <v>0</v>
      </c>
      <c r="Y45" s="365">
        <f>INDEX('Proposed Amendments Scenario'!$A$2:$AC$33, MATCH('BAU Comparison - All Fuel'!$B45,'Proposed Amendments Scenario'!$C$2:$C$33,0),MATCH('BAU Comparison - All Fuel'!Y$31,'Proposed Amendments Scenario'!$A$2:$AC$2,0))</f>
        <v>0</v>
      </c>
      <c r="Z45" s="365">
        <f>INDEX('Proposed Amendments Scenario'!$A$2:$AC$33, MATCH('BAU Comparison - All Fuel'!$B45,'Proposed Amendments Scenario'!$C$2:$C$33,0),MATCH('BAU Comparison - All Fuel'!Z$31,'Proposed Amendments Scenario'!$A$2:$AC$2,0))</f>
        <v>0</v>
      </c>
      <c r="AA45" s="365">
        <f>INDEX('Proposed Amendments Scenario'!$A$2:$AC$33, MATCH('BAU Comparison - All Fuel'!$B45,'Proposed Amendments Scenario'!$C$2:$C$33,0),MATCH('BAU Comparison - All Fuel'!AA$31,'Proposed Amendments Scenario'!$A$2:$AC$2,0))</f>
        <v>0</v>
      </c>
      <c r="AB45" s="365">
        <f>INDEX('Proposed Amendments Scenario'!$A$2:$AC$33, MATCH('BAU Comparison - All Fuel'!$B45,'Proposed Amendments Scenario'!$C$2:$C$33,0),MATCH('BAU Comparison - All Fuel'!AB$31,'Proposed Amendments Scenario'!$A$2:$AC$2,0))</f>
        <v>0</v>
      </c>
    </row>
    <row r="46" spans="1:28" ht="15" customHeight="1">
      <c r="A46" s="456"/>
      <c r="B46" s="10" t="s">
        <v>21</v>
      </c>
      <c r="C46" s="10" t="s">
        <v>22</v>
      </c>
      <c r="D46" s="365">
        <f>INDEX('Proposed Amendments Scenario'!$A$2:$AC$33, MATCH('BAU Comparison - All Fuel'!$B46,'Proposed Amendments Scenario'!$C$2:$C$33,0),MATCH('BAU Comparison - All Fuel'!D$31,'Proposed Amendments Scenario'!$A$2:$AC$2,0))</f>
        <v>0</v>
      </c>
      <c r="E46" s="365">
        <f>INDEX('Proposed Amendments Scenario'!$A$2:$AC$33, MATCH('BAU Comparison - All Fuel'!$B46,'Proposed Amendments Scenario'!$C$2:$C$33,0),MATCH('BAU Comparison - All Fuel'!E$31,'Proposed Amendments Scenario'!$A$2:$AC$2,0))</f>
        <v>0</v>
      </c>
      <c r="F46" s="365">
        <f>INDEX('Proposed Amendments Scenario'!$A$2:$AC$33, MATCH('BAU Comparison - All Fuel'!$B46,'Proposed Amendments Scenario'!$C$2:$C$33,0),MATCH('BAU Comparison - All Fuel'!F$31,'Proposed Amendments Scenario'!$A$2:$AC$2,0))</f>
        <v>0</v>
      </c>
      <c r="G46" s="365">
        <f>INDEX('Proposed Amendments Scenario'!$A$2:$AC$33, MATCH('BAU Comparison - All Fuel'!$B46,'Proposed Amendments Scenario'!$C$2:$C$33,0),MATCH('BAU Comparison - All Fuel'!G$31,'Proposed Amendments Scenario'!$A$2:$AC$2,0))</f>
        <v>0</v>
      </c>
      <c r="H46" s="365">
        <f>INDEX('Proposed Amendments Scenario'!$A$2:$AC$33, MATCH('BAU Comparison - All Fuel'!$B46,'Proposed Amendments Scenario'!$C$2:$C$33,0),MATCH('BAU Comparison - All Fuel'!H$31,'Proposed Amendments Scenario'!$A$2:$AC$2,0))</f>
        <v>0</v>
      </c>
      <c r="I46" s="365">
        <f>INDEX('Proposed Amendments Scenario'!$A$2:$AC$33, MATCH('BAU Comparison - All Fuel'!$B46,'Proposed Amendments Scenario'!$C$2:$C$33,0),MATCH('BAU Comparison - All Fuel'!I$31,'Proposed Amendments Scenario'!$A$2:$AC$2,0))</f>
        <v>0</v>
      </c>
      <c r="J46" s="365">
        <f>INDEX('Proposed Amendments Scenario'!$A$2:$AC$33, MATCH('BAU Comparison - All Fuel'!$B46,'Proposed Amendments Scenario'!$C$2:$C$33,0),MATCH('BAU Comparison - All Fuel'!J$31,'Proposed Amendments Scenario'!$A$2:$AC$2,0))</f>
        <v>0</v>
      </c>
      <c r="K46" s="365">
        <f>INDEX('Proposed Amendments Scenario'!$A$2:$AC$33, MATCH('BAU Comparison - All Fuel'!$B46,'Proposed Amendments Scenario'!$C$2:$C$33,0),MATCH('BAU Comparison - All Fuel'!K$31,'Proposed Amendments Scenario'!$A$2:$AC$2,0))</f>
        <v>0</v>
      </c>
      <c r="L46" s="365">
        <f>INDEX('Proposed Amendments Scenario'!$A$2:$AC$33, MATCH('BAU Comparison - All Fuel'!$B46,'Proposed Amendments Scenario'!$C$2:$C$33,0),MATCH('BAU Comparison - All Fuel'!L$31,'Proposed Amendments Scenario'!$A$2:$AC$2,0))</f>
        <v>3.2550488666666721</v>
      </c>
      <c r="M46" s="365">
        <f>INDEX('Proposed Amendments Scenario'!$A$2:$AC$33, MATCH('BAU Comparison - All Fuel'!$B46,'Proposed Amendments Scenario'!$C$2:$C$33,0),MATCH('BAU Comparison - All Fuel'!M$31,'Proposed Amendments Scenario'!$A$2:$AC$2,0))</f>
        <v>2.881826358333345</v>
      </c>
      <c r="N46" s="365">
        <f>INDEX('Proposed Amendments Scenario'!$A$2:$AC$33, MATCH('BAU Comparison - All Fuel'!$B46,'Proposed Amendments Scenario'!$C$2:$C$33,0),MATCH('BAU Comparison - All Fuel'!N$31,'Proposed Amendments Scenario'!$A$2:$AC$2,0))</f>
        <v>0</v>
      </c>
      <c r="O46" s="365">
        <f>INDEX('Proposed Amendments Scenario'!$A$2:$AC$33, MATCH('BAU Comparison - All Fuel'!$B46,'Proposed Amendments Scenario'!$C$2:$C$33,0),MATCH('BAU Comparison - All Fuel'!O$31,'Proposed Amendments Scenario'!$A$2:$AC$2,0))</f>
        <v>0</v>
      </c>
      <c r="P46" s="365">
        <f>INDEX('Proposed Amendments Scenario'!$A$2:$AC$33, MATCH('BAU Comparison - All Fuel'!$B46,'Proposed Amendments Scenario'!$C$2:$C$33,0),MATCH('BAU Comparison - All Fuel'!P$31,'Proposed Amendments Scenario'!$A$2:$AC$2,0))</f>
        <v>0</v>
      </c>
      <c r="Q46" s="365">
        <f>INDEX('Proposed Amendments Scenario'!$A$2:$AC$33, MATCH('BAU Comparison - All Fuel'!$B46,'Proposed Amendments Scenario'!$C$2:$C$33,0),MATCH('BAU Comparison - All Fuel'!Q$31,'Proposed Amendments Scenario'!$A$2:$AC$2,0))</f>
        <v>0</v>
      </c>
      <c r="R46" s="365">
        <f>INDEX('Proposed Amendments Scenario'!$A$2:$AC$33, MATCH('BAU Comparison - All Fuel'!$B46,'Proposed Amendments Scenario'!$C$2:$C$33,0),MATCH('BAU Comparison - All Fuel'!R$31,'Proposed Amendments Scenario'!$A$2:$AC$2,0))</f>
        <v>0</v>
      </c>
      <c r="S46" s="365">
        <f>INDEX('Proposed Amendments Scenario'!$A$2:$AC$33, MATCH('BAU Comparison - All Fuel'!$B46,'Proposed Amendments Scenario'!$C$2:$C$33,0),MATCH('BAU Comparison - All Fuel'!S$31,'Proposed Amendments Scenario'!$A$2:$AC$2,0))</f>
        <v>0</v>
      </c>
      <c r="T46" s="365">
        <f>INDEX('Proposed Amendments Scenario'!$A$2:$AC$33, MATCH('BAU Comparison - All Fuel'!$B46,'Proposed Amendments Scenario'!$C$2:$C$33,0),MATCH('BAU Comparison - All Fuel'!T$31,'Proposed Amendments Scenario'!$A$2:$AC$2,0))</f>
        <v>0</v>
      </c>
      <c r="U46" s="365">
        <f>INDEX('Proposed Amendments Scenario'!$A$2:$AC$33, MATCH('BAU Comparison - All Fuel'!$B46,'Proposed Amendments Scenario'!$C$2:$C$33,0),MATCH('BAU Comparison - All Fuel'!U$31,'Proposed Amendments Scenario'!$A$2:$AC$2,0))</f>
        <v>0</v>
      </c>
      <c r="V46" s="365">
        <f>INDEX('Proposed Amendments Scenario'!$A$2:$AC$33, MATCH('BAU Comparison - All Fuel'!$B46,'Proposed Amendments Scenario'!$C$2:$C$33,0),MATCH('BAU Comparison - All Fuel'!V$31,'Proposed Amendments Scenario'!$A$2:$AC$2,0))</f>
        <v>51.672747484999952</v>
      </c>
      <c r="W46" s="365">
        <f>INDEX('Proposed Amendments Scenario'!$A$2:$AC$33, MATCH('BAU Comparison - All Fuel'!$B46,'Proposed Amendments Scenario'!$C$2:$C$33,0),MATCH('BAU Comparison - All Fuel'!W$31,'Proposed Amendments Scenario'!$A$2:$AC$2,0))</f>
        <v>72.341846478999912</v>
      </c>
      <c r="X46" s="365">
        <f>INDEX('Proposed Amendments Scenario'!$A$2:$AC$33, MATCH('BAU Comparison - All Fuel'!$B46,'Proposed Amendments Scenario'!$C$2:$C$33,0),MATCH('BAU Comparison - All Fuel'!X$31,'Proposed Amendments Scenario'!$A$2:$AC$2,0))</f>
        <v>48.65146364026657</v>
      </c>
      <c r="Y46" s="365">
        <f>INDEX('Proposed Amendments Scenario'!$A$2:$AC$33, MATCH('BAU Comparison - All Fuel'!$B46,'Proposed Amendments Scenario'!$C$2:$C$33,0),MATCH('BAU Comparison - All Fuel'!Y$31,'Proposed Amendments Scenario'!$A$2:$AC$2,0))</f>
        <v>42.216709529666602</v>
      </c>
      <c r="Z46" s="365">
        <f>INDEX('Proposed Amendments Scenario'!$A$2:$AC$33, MATCH('BAU Comparison - All Fuel'!$B46,'Proposed Amendments Scenario'!$C$2:$C$33,0),MATCH('BAU Comparison - All Fuel'!Z$31,'Proposed Amendments Scenario'!$A$2:$AC$2,0))</f>
        <v>58.434512768433308</v>
      </c>
      <c r="AA46" s="365">
        <f>INDEX('Proposed Amendments Scenario'!$A$2:$AC$33, MATCH('BAU Comparison - All Fuel'!$B46,'Proposed Amendments Scenario'!$C$2:$C$33,0),MATCH('BAU Comparison - All Fuel'!AA$31,'Proposed Amendments Scenario'!$A$2:$AC$2,0))</f>
        <v>81.808317875806637</v>
      </c>
      <c r="AB46" s="365">
        <f>INDEX('Proposed Amendments Scenario'!$A$2:$AC$33, MATCH('BAU Comparison - All Fuel'!$B46,'Proposed Amendments Scenario'!$C$2:$C$33,0),MATCH('BAU Comparison - All Fuel'!AB$31,'Proposed Amendments Scenario'!$A$2:$AC$2,0))</f>
        <v>88.107035877429354</v>
      </c>
    </row>
    <row r="47" spans="1:28" ht="15" customHeight="1">
      <c r="A47" s="456"/>
      <c r="B47" s="10" t="s">
        <v>23</v>
      </c>
      <c r="C47" s="10" t="s">
        <v>22</v>
      </c>
      <c r="D47" s="365">
        <f>INDEX('Proposed Amendments Scenario'!$A$2:$AC$33, MATCH('BAU Comparison - All Fuel'!$B47,'Proposed Amendments Scenario'!$C$2:$C$33,0),MATCH('BAU Comparison - All Fuel'!D$31,'Proposed Amendments Scenario'!$A$2:$AC$2,0))</f>
        <v>0</v>
      </c>
      <c r="E47" s="365">
        <f>INDEX('Proposed Amendments Scenario'!$A$2:$AC$33, MATCH('BAU Comparison - All Fuel'!$B47,'Proposed Amendments Scenario'!$C$2:$C$33,0),MATCH('BAU Comparison - All Fuel'!E$31,'Proposed Amendments Scenario'!$A$2:$AC$2,0))</f>
        <v>0</v>
      </c>
      <c r="F47" s="365">
        <f>INDEX('Proposed Amendments Scenario'!$A$2:$AC$33, MATCH('BAU Comparison - All Fuel'!$B47,'Proposed Amendments Scenario'!$C$2:$C$33,0),MATCH('BAU Comparison - All Fuel'!F$31,'Proposed Amendments Scenario'!$A$2:$AC$2,0))</f>
        <v>0</v>
      </c>
      <c r="G47" s="365">
        <f>INDEX('Proposed Amendments Scenario'!$A$2:$AC$33, MATCH('BAU Comparison - All Fuel'!$B47,'Proposed Amendments Scenario'!$C$2:$C$33,0),MATCH('BAU Comparison - All Fuel'!G$31,'Proposed Amendments Scenario'!$A$2:$AC$2,0))</f>
        <v>2.574873183333334</v>
      </c>
      <c r="H47" s="365">
        <f>INDEX('Proposed Amendments Scenario'!$A$2:$AC$33, MATCH('BAU Comparison - All Fuel'!$B47,'Proposed Amendments Scenario'!$C$2:$C$33,0),MATCH('BAU Comparison - All Fuel'!H$31,'Proposed Amendments Scenario'!$A$2:$AC$2,0))</f>
        <v>5.161723799999999</v>
      </c>
      <c r="I47" s="365">
        <f>INDEX('Proposed Amendments Scenario'!$A$2:$AC$33, MATCH('BAU Comparison - All Fuel'!$B47,'Proposed Amendments Scenario'!$C$2:$C$33,0),MATCH('BAU Comparison - All Fuel'!I$31,'Proposed Amendments Scenario'!$A$2:$AC$2,0))</f>
        <v>10.654472183333329</v>
      </c>
      <c r="J47" s="365">
        <f>INDEX('Proposed Amendments Scenario'!$A$2:$AC$33, MATCH('BAU Comparison - All Fuel'!$B47,'Proposed Amendments Scenario'!$C$2:$C$33,0),MATCH('BAU Comparison - All Fuel'!J$31,'Proposed Amendments Scenario'!$A$2:$AC$2,0))</f>
        <v>20.592489916666668</v>
      </c>
      <c r="K47" s="365">
        <f>INDEX('Proposed Amendments Scenario'!$A$2:$AC$33, MATCH('BAU Comparison - All Fuel'!$B47,'Proposed Amendments Scenario'!$C$2:$C$33,0),MATCH('BAU Comparison - All Fuel'!K$31,'Proposed Amendments Scenario'!$A$2:$AC$2,0))</f>
        <v>12.35549395</v>
      </c>
      <c r="L47" s="365">
        <f>INDEX('Proposed Amendments Scenario'!$A$2:$AC$33, MATCH('BAU Comparison - All Fuel'!$B47,'Proposed Amendments Scenario'!$C$2:$C$33,0),MATCH('BAU Comparison - All Fuel'!L$31,'Proposed Amendments Scenario'!$A$2:$AC$2,0))</f>
        <v>0</v>
      </c>
      <c r="M47" s="365">
        <f>INDEX('Proposed Amendments Scenario'!$A$2:$AC$33, MATCH('BAU Comparison - All Fuel'!$B47,'Proposed Amendments Scenario'!$C$2:$C$33,0),MATCH('BAU Comparison - All Fuel'!M$31,'Proposed Amendments Scenario'!$A$2:$AC$2,0))</f>
        <v>0</v>
      </c>
      <c r="N47" s="365">
        <f>INDEX('Proposed Amendments Scenario'!$A$2:$AC$33, MATCH('BAU Comparison - All Fuel'!$B47,'Proposed Amendments Scenario'!$C$2:$C$33,0),MATCH('BAU Comparison - All Fuel'!N$31,'Proposed Amendments Scenario'!$A$2:$AC$2,0))</f>
        <v>0</v>
      </c>
      <c r="O47" s="365">
        <f>INDEX('Proposed Amendments Scenario'!$A$2:$AC$33, MATCH('BAU Comparison - All Fuel'!$B47,'Proposed Amendments Scenario'!$C$2:$C$33,0),MATCH('BAU Comparison - All Fuel'!O$31,'Proposed Amendments Scenario'!$A$2:$AC$2,0))</f>
        <v>0</v>
      </c>
      <c r="P47" s="365">
        <f>INDEX('Proposed Amendments Scenario'!$A$2:$AC$33, MATCH('BAU Comparison - All Fuel'!$B47,'Proposed Amendments Scenario'!$C$2:$C$33,0),MATCH('BAU Comparison - All Fuel'!P$31,'Proposed Amendments Scenario'!$A$2:$AC$2,0))</f>
        <v>23.872124346635889</v>
      </c>
      <c r="Q47" s="365">
        <f>INDEX('Proposed Amendments Scenario'!$A$2:$AC$33, MATCH('BAU Comparison - All Fuel'!$B47,'Proposed Amendments Scenario'!$C$2:$C$33,0),MATCH('BAU Comparison - All Fuel'!Q$31,'Proposed Amendments Scenario'!$A$2:$AC$2,0))</f>
        <v>14.32327460798153</v>
      </c>
      <c r="R47" s="365">
        <f>INDEX('Proposed Amendments Scenario'!$A$2:$AC$33, MATCH('BAU Comparison - All Fuel'!$B47,'Proposed Amendments Scenario'!$C$2:$C$33,0),MATCH('BAU Comparison - All Fuel'!R$31,'Proposed Amendments Scenario'!$A$2:$AC$2,0))</f>
        <v>11.49810177333333</v>
      </c>
      <c r="S47" s="365">
        <f>INDEX('Proposed Amendments Scenario'!$A$2:$AC$33, MATCH('BAU Comparison - All Fuel'!$B47,'Proposed Amendments Scenario'!$C$2:$C$33,0),MATCH('BAU Comparison - All Fuel'!S$31,'Proposed Amendments Scenario'!$A$2:$AC$2,0))</f>
        <v>20.559621296279591</v>
      </c>
      <c r="T47" s="365">
        <f>INDEX('Proposed Amendments Scenario'!$A$2:$AC$33, MATCH('BAU Comparison - All Fuel'!$B47,'Proposed Amendments Scenario'!$C$2:$C$33,0),MATCH('BAU Comparison - All Fuel'!T$31,'Proposed Amendments Scenario'!$A$2:$AC$2,0))</f>
        <v>30.49074160141064</v>
      </c>
      <c r="U47" s="365">
        <f>INDEX('Proposed Amendments Scenario'!$A$2:$AC$33, MATCH('BAU Comparison - All Fuel'!$B47,'Proposed Amendments Scenario'!$C$2:$C$33,0),MATCH('BAU Comparison - All Fuel'!U$31,'Proposed Amendments Scenario'!$A$2:$AC$2,0))</f>
        <v>48.26250000000001</v>
      </c>
      <c r="V47" s="365">
        <f>INDEX('Proposed Amendments Scenario'!$A$2:$AC$33, MATCH('BAU Comparison - All Fuel'!$B47,'Proposed Amendments Scenario'!$C$2:$C$33,0),MATCH('BAU Comparison - All Fuel'!V$31,'Proposed Amendments Scenario'!$A$2:$AC$2,0))</f>
        <v>107.16955402833329</v>
      </c>
      <c r="W47" s="365">
        <f>INDEX('Proposed Amendments Scenario'!$A$2:$AC$33, MATCH('BAU Comparison - All Fuel'!$B47,'Proposed Amendments Scenario'!$C$2:$C$33,0),MATCH('BAU Comparison - All Fuel'!W$31,'Proposed Amendments Scenario'!$A$2:$AC$2,0))</f>
        <v>107.16955402833329</v>
      </c>
      <c r="X47" s="365">
        <f>INDEX('Proposed Amendments Scenario'!$A$2:$AC$33, MATCH('BAU Comparison - All Fuel'!$B47,'Proposed Amendments Scenario'!$C$2:$C$33,0),MATCH('BAU Comparison - All Fuel'!X$31,'Proposed Amendments Scenario'!$A$2:$AC$2,0))</f>
        <v>107.1652862016667</v>
      </c>
      <c r="Y47" s="365">
        <f>INDEX('Proposed Amendments Scenario'!$A$2:$AC$33, MATCH('BAU Comparison - All Fuel'!$B47,'Proposed Amendments Scenario'!$C$2:$C$33,0),MATCH('BAU Comparison - All Fuel'!Y$31,'Proposed Amendments Scenario'!$A$2:$AC$2,0))</f>
        <v>64.299171721000008</v>
      </c>
      <c r="Z47" s="365">
        <f>INDEX('Proposed Amendments Scenario'!$A$2:$AC$33, MATCH('BAU Comparison - All Fuel'!$B47,'Proposed Amendments Scenario'!$C$2:$C$33,0),MATCH('BAU Comparison - All Fuel'!Z$31,'Proposed Amendments Scenario'!$A$2:$AC$2,0))</f>
        <v>47.176213393733327</v>
      </c>
      <c r="AA47" s="365">
        <f>INDEX('Proposed Amendments Scenario'!$A$2:$AC$33, MATCH('BAU Comparison - All Fuel'!$B47,'Proposed Amendments Scenario'!$C$2:$C$33,0),MATCH('BAU Comparison - All Fuel'!AA$31,'Proposed Amendments Scenario'!$A$2:$AC$2,0))</f>
        <v>28.305728036240001</v>
      </c>
      <c r="AB47" s="365">
        <f>INDEX('Proposed Amendments Scenario'!$A$2:$AC$33, MATCH('BAU Comparison - All Fuel'!$B47,'Proposed Amendments Scenario'!$C$2:$C$33,0),MATCH('BAU Comparison - All Fuel'!AB$31,'Proposed Amendments Scenario'!$A$2:$AC$2,0))</f>
        <v>48.262499999999989</v>
      </c>
    </row>
    <row r="48" spans="1:28" ht="15" customHeight="1">
      <c r="A48" s="456"/>
      <c r="B48" s="10" t="s">
        <v>25</v>
      </c>
      <c r="C48" s="10" t="s">
        <v>22</v>
      </c>
      <c r="D48" s="365">
        <f>INDEX('Proposed Amendments Scenario'!$A$2:$AC$33, MATCH('BAU Comparison - All Fuel'!$B48,'Proposed Amendments Scenario'!$C$2:$C$33,0),MATCH('BAU Comparison - All Fuel'!D$31,'Proposed Amendments Scenario'!$A$2:$AC$2,0))</f>
        <v>0</v>
      </c>
      <c r="E48" s="365">
        <f>INDEX('Proposed Amendments Scenario'!$A$2:$AC$33, MATCH('BAU Comparison - All Fuel'!$B48,'Proposed Amendments Scenario'!$C$2:$C$33,0),MATCH('BAU Comparison - All Fuel'!E$31,'Proposed Amendments Scenario'!$A$2:$AC$2,0))</f>
        <v>0</v>
      </c>
      <c r="F48" s="365">
        <f>INDEX('Proposed Amendments Scenario'!$A$2:$AC$33, MATCH('BAU Comparison - All Fuel'!$B48,'Proposed Amendments Scenario'!$C$2:$C$33,0),MATCH('BAU Comparison - All Fuel'!F$31,'Proposed Amendments Scenario'!$A$2:$AC$2,0))</f>
        <v>0</v>
      </c>
      <c r="G48" s="365">
        <f>INDEX('Proposed Amendments Scenario'!$A$2:$AC$33, MATCH('BAU Comparison - All Fuel'!$B48,'Proposed Amendments Scenario'!$C$2:$C$33,0),MATCH('BAU Comparison - All Fuel'!G$31,'Proposed Amendments Scenario'!$A$2:$AC$2,0))</f>
        <v>0</v>
      </c>
      <c r="H48" s="365">
        <f>INDEX('Proposed Amendments Scenario'!$A$2:$AC$33, MATCH('BAU Comparison - All Fuel'!$B48,'Proposed Amendments Scenario'!$C$2:$C$33,0),MATCH('BAU Comparison - All Fuel'!H$31,'Proposed Amendments Scenario'!$A$2:$AC$2,0))</f>
        <v>0</v>
      </c>
      <c r="I48" s="365">
        <f>INDEX('Proposed Amendments Scenario'!$A$2:$AC$33, MATCH('BAU Comparison - All Fuel'!$B48,'Proposed Amendments Scenario'!$C$2:$C$33,0),MATCH('BAU Comparison - All Fuel'!I$31,'Proposed Amendments Scenario'!$A$2:$AC$2,0))</f>
        <v>0</v>
      </c>
      <c r="J48" s="365">
        <f>INDEX('Proposed Amendments Scenario'!$A$2:$AC$33, MATCH('BAU Comparison - All Fuel'!$B48,'Proposed Amendments Scenario'!$C$2:$C$33,0),MATCH('BAU Comparison - All Fuel'!J$31,'Proposed Amendments Scenario'!$A$2:$AC$2,0))</f>
        <v>0</v>
      </c>
      <c r="K48" s="365">
        <f>INDEX('Proposed Amendments Scenario'!$A$2:$AC$33, MATCH('BAU Comparison - All Fuel'!$B48,'Proposed Amendments Scenario'!$C$2:$C$33,0),MATCH('BAU Comparison - All Fuel'!K$31,'Proposed Amendments Scenario'!$A$2:$AC$2,0))</f>
        <v>0</v>
      </c>
      <c r="L48" s="365">
        <f>INDEX('Proposed Amendments Scenario'!$A$2:$AC$33, MATCH('BAU Comparison - All Fuel'!$B48,'Proposed Amendments Scenario'!$C$2:$C$33,0),MATCH('BAU Comparison - All Fuel'!L$31,'Proposed Amendments Scenario'!$A$2:$AC$2,0))</f>
        <v>0</v>
      </c>
      <c r="M48" s="365">
        <f>INDEX('Proposed Amendments Scenario'!$A$2:$AC$33, MATCH('BAU Comparison - All Fuel'!$B48,'Proposed Amendments Scenario'!$C$2:$C$33,0),MATCH('BAU Comparison - All Fuel'!M$31,'Proposed Amendments Scenario'!$A$2:$AC$2,0))</f>
        <v>0</v>
      </c>
      <c r="N48" s="365">
        <f>INDEX('Proposed Amendments Scenario'!$A$2:$AC$33, MATCH('BAU Comparison - All Fuel'!$B48,'Proposed Amendments Scenario'!$C$2:$C$33,0),MATCH('BAU Comparison - All Fuel'!N$31,'Proposed Amendments Scenario'!$A$2:$AC$2,0))</f>
        <v>0</v>
      </c>
      <c r="O48" s="365">
        <f>INDEX('Proposed Amendments Scenario'!$A$2:$AC$33, MATCH('BAU Comparison - All Fuel'!$B48,'Proposed Amendments Scenario'!$C$2:$C$33,0),MATCH('BAU Comparison - All Fuel'!O$31,'Proposed Amendments Scenario'!$A$2:$AC$2,0))</f>
        <v>0</v>
      </c>
      <c r="P48" s="365">
        <f>INDEX('Proposed Amendments Scenario'!$A$2:$AC$33, MATCH('BAU Comparison - All Fuel'!$B48,'Proposed Amendments Scenario'!$C$2:$C$33,0),MATCH('BAU Comparison - All Fuel'!P$31,'Proposed Amendments Scenario'!$A$2:$AC$2,0))</f>
        <v>0</v>
      </c>
      <c r="Q48" s="365">
        <f>INDEX('Proposed Amendments Scenario'!$A$2:$AC$33, MATCH('BAU Comparison - All Fuel'!$B48,'Proposed Amendments Scenario'!$C$2:$C$33,0),MATCH('BAU Comparison - All Fuel'!Q$31,'Proposed Amendments Scenario'!$A$2:$AC$2,0))</f>
        <v>0</v>
      </c>
      <c r="R48" s="365">
        <f>INDEX('Proposed Amendments Scenario'!$A$2:$AC$33, MATCH('BAU Comparison - All Fuel'!$B48,'Proposed Amendments Scenario'!$C$2:$C$33,0),MATCH('BAU Comparison - All Fuel'!R$31,'Proposed Amendments Scenario'!$A$2:$AC$2,0))</f>
        <v>0</v>
      </c>
      <c r="S48" s="365">
        <f>INDEX('Proposed Amendments Scenario'!$A$2:$AC$33, MATCH('BAU Comparison - All Fuel'!$B48,'Proposed Amendments Scenario'!$C$2:$C$33,0),MATCH('BAU Comparison - All Fuel'!S$31,'Proposed Amendments Scenario'!$A$2:$AC$2,0))</f>
        <v>0</v>
      </c>
      <c r="T48" s="365">
        <f>INDEX('Proposed Amendments Scenario'!$A$2:$AC$33, MATCH('BAU Comparison - All Fuel'!$B48,'Proposed Amendments Scenario'!$C$2:$C$33,0),MATCH('BAU Comparison - All Fuel'!T$31,'Proposed Amendments Scenario'!$A$2:$AC$2,0))</f>
        <v>0</v>
      </c>
      <c r="U48" s="365">
        <f>INDEX('Proposed Amendments Scenario'!$A$2:$AC$33, MATCH('BAU Comparison - All Fuel'!$B48,'Proposed Amendments Scenario'!$C$2:$C$33,0),MATCH('BAU Comparison - All Fuel'!U$31,'Proposed Amendments Scenario'!$A$2:$AC$2,0))</f>
        <v>0</v>
      </c>
      <c r="V48" s="365">
        <f>INDEX('Proposed Amendments Scenario'!$A$2:$AC$33, MATCH('BAU Comparison - All Fuel'!$B48,'Proposed Amendments Scenario'!$C$2:$C$33,0),MATCH('BAU Comparison - All Fuel'!V$31,'Proposed Amendments Scenario'!$A$2:$AC$2,0))</f>
        <v>0</v>
      </c>
      <c r="W48" s="365">
        <f>INDEX('Proposed Amendments Scenario'!$A$2:$AC$33, MATCH('BAU Comparison - All Fuel'!$B48,'Proposed Amendments Scenario'!$C$2:$C$33,0),MATCH('BAU Comparison - All Fuel'!W$31,'Proposed Amendments Scenario'!$A$2:$AC$2,0))</f>
        <v>0</v>
      </c>
      <c r="X48" s="365">
        <f>INDEX('Proposed Amendments Scenario'!$A$2:$AC$33, MATCH('BAU Comparison - All Fuel'!$B48,'Proposed Amendments Scenario'!$C$2:$C$33,0),MATCH('BAU Comparison - All Fuel'!X$31,'Proposed Amendments Scenario'!$A$2:$AC$2,0))</f>
        <v>0</v>
      </c>
      <c r="Y48" s="365">
        <f>INDEX('Proposed Amendments Scenario'!$A$2:$AC$33, MATCH('BAU Comparison - All Fuel'!$B48,'Proposed Amendments Scenario'!$C$2:$C$33,0),MATCH('BAU Comparison - All Fuel'!Y$31,'Proposed Amendments Scenario'!$A$2:$AC$2,0))</f>
        <v>0</v>
      </c>
      <c r="Z48" s="365">
        <f>INDEX('Proposed Amendments Scenario'!$A$2:$AC$33, MATCH('BAU Comparison - All Fuel'!$B48,'Proposed Amendments Scenario'!$C$2:$C$33,0),MATCH('BAU Comparison - All Fuel'!Z$31,'Proposed Amendments Scenario'!$A$2:$AC$2,0))</f>
        <v>0</v>
      </c>
      <c r="AA48" s="365">
        <f>INDEX('Proposed Amendments Scenario'!$A$2:$AC$33, MATCH('BAU Comparison - All Fuel'!$B48,'Proposed Amendments Scenario'!$C$2:$C$33,0),MATCH('BAU Comparison - All Fuel'!AA$31,'Proposed Amendments Scenario'!$A$2:$AC$2,0))</f>
        <v>0</v>
      </c>
      <c r="AB48" s="365">
        <f>INDEX('Proposed Amendments Scenario'!$A$2:$AC$33, MATCH('BAU Comparison - All Fuel'!$B48,'Proposed Amendments Scenario'!$C$2:$C$33,0),MATCH('BAU Comparison - All Fuel'!AB$31,'Proposed Amendments Scenario'!$A$2:$AC$2,0))</f>
        <v>0</v>
      </c>
    </row>
    <row r="49" spans="1:29" ht="15" customHeight="1">
      <c r="A49" s="456"/>
      <c r="B49" s="10" t="s">
        <v>26</v>
      </c>
      <c r="C49" s="10" t="s">
        <v>22</v>
      </c>
      <c r="D49" s="365">
        <f>INDEX('Proposed Amendments Scenario'!$A$2:$AC$33, MATCH('BAU Comparison - All Fuel'!$B49,'Proposed Amendments Scenario'!$C$2:$C$33,0),MATCH('BAU Comparison - All Fuel'!D$31,'Proposed Amendments Scenario'!$A$2:$AC$2,0))</f>
        <v>0</v>
      </c>
      <c r="E49" s="365">
        <f>INDEX('Proposed Amendments Scenario'!$A$2:$AC$33, MATCH('BAU Comparison - All Fuel'!$B49,'Proposed Amendments Scenario'!$C$2:$C$33,0),MATCH('BAU Comparison - All Fuel'!E$31,'Proposed Amendments Scenario'!$A$2:$AC$2,0))</f>
        <v>0.2385582083333333</v>
      </c>
      <c r="F49" s="365">
        <f>INDEX('Proposed Amendments Scenario'!$A$2:$AC$33, MATCH('BAU Comparison - All Fuel'!$B49,'Proposed Amendments Scenario'!$C$2:$C$33,0),MATCH('BAU Comparison - All Fuel'!F$31,'Proposed Amendments Scenario'!$A$2:$AC$2,0))</f>
        <v>1.1241731333333329</v>
      </c>
      <c r="G49" s="365">
        <f>INDEX('Proposed Amendments Scenario'!$A$2:$AC$33, MATCH('BAU Comparison - All Fuel'!$B49,'Proposed Amendments Scenario'!$C$2:$C$33,0),MATCH('BAU Comparison - All Fuel'!G$31,'Proposed Amendments Scenario'!$A$2:$AC$2,0))</f>
        <v>0</v>
      </c>
      <c r="H49" s="365">
        <f>INDEX('Proposed Amendments Scenario'!$A$2:$AC$33, MATCH('BAU Comparison - All Fuel'!$B49,'Proposed Amendments Scenario'!$C$2:$C$33,0),MATCH('BAU Comparison - All Fuel'!H$31,'Proposed Amendments Scenario'!$A$2:$AC$2,0))</f>
        <v>0</v>
      </c>
      <c r="I49" s="365">
        <f>INDEX('Proposed Amendments Scenario'!$A$2:$AC$33, MATCH('BAU Comparison - All Fuel'!$B49,'Proposed Amendments Scenario'!$C$2:$C$33,0),MATCH('BAU Comparison - All Fuel'!I$31,'Proposed Amendments Scenario'!$A$2:$AC$2,0))</f>
        <v>0</v>
      </c>
      <c r="J49" s="365">
        <f>INDEX('Proposed Amendments Scenario'!$A$2:$AC$33, MATCH('BAU Comparison - All Fuel'!$B49,'Proposed Amendments Scenario'!$C$2:$C$33,0),MATCH('BAU Comparison - All Fuel'!J$31,'Proposed Amendments Scenario'!$A$2:$AC$2,0))</f>
        <v>0</v>
      </c>
      <c r="K49" s="365">
        <f>INDEX('Proposed Amendments Scenario'!$A$2:$AC$33, MATCH('BAU Comparison - All Fuel'!$B49,'Proposed Amendments Scenario'!$C$2:$C$33,0),MATCH('BAU Comparison - All Fuel'!K$31,'Proposed Amendments Scenario'!$A$2:$AC$2,0))</f>
        <v>22.046659958333329</v>
      </c>
      <c r="L49" s="365">
        <f>INDEX('Proposed Amendments Scenario'!$A$2:$AC$33, MATCH('BAU Comparison - All Fuel'!$B49,'Proposed Amendments Scenario'!$C$2:$C$33,0),MATCH('BAU Comparison - All Fuel'!L$31,'Proposed Amendments Scenario'!$A$2:$AC$2,0))</f>
        <v>48.262500000000003</v>
      </c>
      <c r="M49" s="365">
        <f>INDEX('Proposed Amendments Scenario'!$A$2:$AC$33, MATCH('BAU Comparison - All Fuel'!$B49,'Proposed Amendments Scenario'!$C$2:$C$33,0),MATCH('BAU Comparison - All Fuel'!M$31,'Proposed Amendments Scenario'!$A$2:$AC$2,0))</f>
        <v>67.567500000000024</v>
      </c>
      <c r="N49" s="365">
        <f>INDEX('Proposed Amendments Scenario'!$A$2:$AC$33, MATCH('BAU Comparison - All Fuel'!$B49,'Proposed Amendments Scenario'!$C$2:$C$33,0),MATCH('BAU Comparison - All Fuel'!N$31,'Proposed Amendments Scenario'!$A$2:$AC$2,0))</f>
        <v>88.950653916666639</v>
      </c>
      <c r="O49" s="365">
        <f>INDEX('Proposed Amendments Scenario'!$A$2:$AC$33, MATCH('BAU Comparison - All Fuel'!$B49,'Proposed Amendments Scenario'!$C$2:$C$33,0),MATCH('BAU Comparison - All Fuel'!O$31,'Proposed Amendments Scenario'!$A$2:$AC$2,0))</f>
        <v>106.31570783333331</v>
      </c>
      <c r="P49" s="365">
        <f>INDEX('Proposed Amendments Scenario'!$A$2:$AC$33, MATCH('BAU Comparison - All Fuel'!$B49,'Proposed Amendments Scenario'!$C$2:$C$33,0),MATCH('BAU Comparison - All Fuel'!P$31,'Proposed Amendments Scenario'!$A$2:$AC$2,0))</f>
        <v>105.7815595783641</v>
      </c>
      <c r="Q49" s="365">
        <f>INDEX('Proposed Amendments Scenario'!$A$2:$AC$33, MATCH('BAU Comparison - All Fuel'!$B49,'Proposed Amendments Scenario'!$C$2:$C$33,0),MATCH('BAU Comparison - All Fuel'!Q$31,'Proposed Amendments Scenario'!$A$2:$AC$2,0))</f>
        <v>141.25983482535179</v>
      </c>
      <c r="R49" s="365">
        <f>INDEX('Proposed Amendments Scenario'!$A$2:$AC$33, MATCH('BAU Comparison - All Fuel'!$B49,'Proposed Amendments Scenario'!$C$2:$C$33,0),MATCH('BAU Comparison - All Fuel'!R$31,'Proposed Amendments Scenario'!$A$2:$AC$2,0))</f>
        <v>168.65377513499999</v>
      </c>
      <c r="S49" s="365">
        <f>INDEX('Proposed Amendments Scenario'!$A$2:$AC$33, MATCH('BAU Comparison - All Fuel'!$B49,'Proposed Amendments Scenario'!$C$2:$C$33,0),MATCH('BAU Comparison - All Fuel'!S$31,'Proposed Amendments Scenario'!$A$2:$AC$2,0))</f>
        <v>185.81374908705371</v>
      </c>
      <c r="T49" s="365">
        <f>INDEX('Proposed Amendments Scenario'!$A$2:$AC$33, MATCH('BAU Comparison - All Fuel'!$B49,'Proposed Amendments Scenario'!$C$2:$C$33,0),MATCH('BAU Comparison - All Fuel'!T$31,'Proposed Amendments Scenario'!$A$2:$AC$2,0))</f>
        <v>203.31034869025601</v>
      </c>
      <c r="U49" s="365">
        <f>INDEX('Proposed Amendments Scenario'!$A$2:$AC$33, MATCH('BAU Comparison - All Fuel'!$B49,'Proposed Amendments Scenario'!$C$2:$C$33,0),MATCH('BAU Comparison - All Fuel'!U$31,'Proposed Amendments Scenario'!$A$2:$AC$2,0))</f>
        <v>214.21191336666661</v>
      </c>
      <c r="V49" s="365">
        <f>INDEX('Proposed Amendments Scenario'!$A$2:$AC$33, MATCH('BAU Comparison - All Fuel'!$B49,'Proposed Amendments Scenario'!$C$2:$C$33,0),MATCH('BAU Comparison - All Fuel'!V$31,'Proposed Amendments Scenario'!$A$2:$AC$2,0))</f>
        <v>128.52714801999991</v>
      </c>
      <c r="W49" s="365">
        <f>INDEX('Proposed Amendments Scenario'!$A$2:$AC$33, MATCH('BAU Comparison - All Fuel'!$B49,'Proposed Amendments Scenario'!$C$2:$C$33,0),MATCH('BAU Comparison - All Fuel'!W$31,'Proposed Amendments Scenario'!$A$2:$AC$2,0))</f>
        <v>135.10728739266671</v>
      </c>
      <c r="X49" s="365">
        <f>INDEX('Proposed Amendments Scenario'!$A$2:$AC$33, MATCH('BAU Comparison - All Fuel'!$B49,'Proposed Amendments Scenario'!$C$2:$C$33,0),MATCH('BAU Comparison - All Fuel'!X$31,'Proposed Amendments Scenario'!$A$2:$AC$2,0))</f>
        <v>189.15020234973329</v>
      </c>
      <c r="Y49" s="365">
        <f>INDEX('Proposed Amendments Scenario'!$A$2:$AC$33, MATCH('BAU Comparison - All Fuel'!$B49,'Proposed Amendments Scenario'!$C$2:$C$33,0),MATCH('BAU Comparison - All Fuel'!Y$31,'Proposed Amendments Scenario'!$A$2:$AC$2,0))</f>
        <v>254.75473942433339</v>
      </c>
      <c r="Z49" s="365">
        <f>INDEX('Proposed Amendments Scenario'!$A$2:$AC$33, MATCH('BAU Comparison - All Fuel'!$B49,'Proposed Amendments Scenario'!$C$2:$C$33,0),MATCH('BAU Comparison - All Fuel'!Z$31,'Proposed Amendments Scenario'!$A$2:$AC$2,0))</f>
        <v>272.07145303783341</v>
      </c>
      <c r="AA49" s="365">
        <f>INDEX('Proposed Amendments Scenario'!$A$2:$AC$33, MATCH('BAU Comparison - All Fuel'!$B49,'Proposed Amendments Scenario'!$C$2:$C$33,0),MATCH('BAU Comparison - All Fuel'!AA$31,'Proposed Amendments Scenario'!$A$2:$AC$2,0))</f>
        <v>283.86649044628672</v>
      </c>
      <c r="AB49" s="365">
        <f>INDEX('Proposed Amendments Scenario'!$A$2:$AC$33, MATCH('BAU Comparison - All Fuel'!$B49,'Proposed Amendments Scenario'!$C$2:$C$33,0),MATCH('BAU Comparison - All Fuel'!AB$31,'Proposed Amendments Scenario'!$A$2:$AC$2,0))</f>
        <v>274.24354187257069</v>
      </c>
    </row>
    <row r="50" spans="1:29" ht="15" customHeight="1">
      <c r="A50" s="456"/>
      <c r="B50" s="10" t="s">
        <v>14</v>
      </c>
      <c r="C50" s="10" t="s">
        <v>103</v>
      </c>
      <c r="D50" s="365">
        <f>INDEX('Proposed Amendments Scenario'!$A$2:$AC$33, MATCH('BAU Comparison - All Fuel'!$B50,'Proposed Amendments Scenario'!$C$2:$C$33,0),MATCH('BAU Comparison - All Fuel'!D$31,'Proposed Amendments Scenario'!$A$2:$AC$2,0))</f>
        <v>3.8346666666666671</v>
      </c>
      <c r="E50" s="365">
        <f>INDEX('Proposed Amendments Scenario'!$A$2:$AC$33, MATCH('BAU Comparison - All Fuel'!$B50,'Proposed Amendments Scenario'!$C$2:$C$33,0),MATCH('BAU Comparison - All Fuel'!E$31,'Proposed Amendments Scenario'!$A$2:$AC$2,0))</f>
        <v>18.410886111111111</v>
      </c>
      <c r="F50" s="365">
        <f>INDEX('Proposed Amendments Scenario'!$A$2:$AC$33, MATCH('BAU Comparison - All Fuel'!$B50,'Proposed Amendments Scenario'!$C$2:$C$33,0),MATCH('BAU Comparison - All Fuel'!F$31,'Proposed Amendments Scenario'!$A$2:$AC$2,0))</f>
        <v>382.22966222222232</v>
      </c>
      <c r="G50" s="365">
        <f>INDEX('Proposed Amendments Scenario'!$A$2:$AC$33, MATCH('BAU Comparison - All Fuel'!$B50,'Proposed Amendments Scenario'!$C$2:$C$33,0),MATCH('BAU Comparison - All Fuel'!G$31,'Proposed Amendments Scenario'!$A$2:$AC$2,0))</f>
        <v>697.4502808333333</v>
      </c>
      <c r="H50" s="365">
        <f>INDEX('Proposed Amendments Scenario'!$A$2:$AC$33, MATCH('BAU Comparison - All Fuel'!$B50,'Proposed Amendments Scenario'!$C$2:$C$33,0),MATCH('BAU Comparison - All Fuel'!H$31,'Proposed Amendments Scenario'!$A$2:$AC$2,0))</f>
        <v>1206.309453055555</v>
      </c>
      <c r="I50" s="365">
        <f>INDEX('Proposed Amendments Scenario'!$A$2:$AC$33, MATCH('BAU Comparison - All Fuel'!$B50,'Proposed Amendments Scenario'!$C$2:$C$33,0),MATCH('BAU Comparison - All Fuel'!I$31,'Proposed Amendments Scenario'!$A$2:$AC$2,0))</f>
        <v>1930.2697627777791</v>
      </c>
      <c r="J50" s="365">
        <f>INDEX('Proposed Amendments Scenario'!$A$2:$AC$33, MATCH('BAU Comparison - All Fuel'!$B50,'Proposed Amendments Scenario'!$C$2:$C$33,0),MATCH('BAU Comparison - All Fuel'!J$31,'Proposed Amendments Scenario'!$A$2:$AC$2,0))</f>
        <v>2583.6675002777779</v>
      </c>
      <c r="K50" s="365">
        <f>INDEX('Proposed Amendments Scenario'!$A$2:$AC$33, MATCH('BAU Comparison - All Fuel'!$B50,'Proposed Amendments Scenario'!$C$2:$C$33,0),MATCH('BAU Comparison - All Fuel'!K$31,'Proposed Amendments Scenario'!$A$2:$AC$2,0))</f>
        <v>3456.7058925000001</v>
      </c>
      <c r="L50" s="365">
        <f>INDEX('Proposed Amendments Scenario'!$A$2:$AC$33, MATCH('BAU Comparison - All Fuel'!$B50,'Proposed Amendments Scenario'!$C$2:$C$33,0),MATCH('BAU Comparison - All Fuel'!L$31,'Proposed Amendments Scenario'!$A$2:$AC$2,0))</f>
        <v>4569.5603663888887</v>
      </c>
      <c r="M50" s="365">
        <f>INDEX('Proposed Amendments Scenario'!$A$2:$AC$33, MATCH('BAU Comparison - All Fuel'!$B50,'Proposed Amendments Scenario'!$C$2:$C$33,0),MATCH('BAU Comparison - All Fuel'!M$31,'Proposed Amendments Scenario'!$A$2:$AC$2,0))</f>
        <v>5862.2211216666656</v>
      </c>
      <c r="N50" s="365">
        <f>INDEX('Proposed Amendments Scenario'!$A$2:$AC$33, MATCH('BAU Comparison - All Fuel'!$B50,'Proposed Amendments Scenario'!$C$2:$C$33,0),MATCH('BAU Comparison - All Fuel'!N$31,'Proposed Amendments Scenario'!$A$2:$AC$2,0))</f>
        <v>7129.843291388891</v>
      </c>
      <c r="O50" s="365">
        <f>INDEX('Proposed Amendments Scenario'!$A$2:$AC$33, MATCH('BAU Comparison - All Fuel'!$B50,'Proposed Amendments Scenario'!$C$2:$C$33,0),MATCH('BAU Comparison - All Fuel'!O$31,'Proposed Amendments Scenario'!$A$2:$AC$2,0))</f>
        <v>8339.2769141666686</v>
      </c>
      <c r="P50" s="365">
        <f>INDEX('Proposed Amendments Scenario'!$A$2:$AC$33, MATCH('BAU Comparison - All Fuel'!$B50,'Proposed Amendments Scenario'!$C$2:$C$33,0),MATCH('BAU Comparison - All Fuel'!P$31,'Proposed Amendments Scenario'!$A$2:$AC$2,0))</f>
        <v>9776.9359541666672</v>
      </c>
      <c r="Q50" s="365">
        <f>INDEX('Proposed Amendments Scenario'!$A$2:$AC$33, MATCH('BAU Comparison - All Fuel'!$B50,'Proposed Amendments Scenario'!$C$2:$C$33,0),MATCH('BAU Comparison - All Fuel'!Q$31,'Proposed Amendments Scenario'!$A$2:$AC$2,0))</f>
        <v>11415.65608361112</v>
      </c>
      <c r="R50" s="365">
        <f>INDEX('Proposed Amendments Scenario'!$A$2:$AC$33, MATCH('BAU Comparison - All Fuel'!$B50,'Proposed Amendments Scenario'!$C$2:$C$33,0),MATCH('BAU Comparison - All Fuel'!R$31,'Proposed Amendments Scenario'!$A$2:$AC$2,0))</f>
        <v>12987.748855</v>
      </c>
      <c r="S50" s="365">
        <f>INDEX('Proposed Amendments Scenario'!$A$2:$AC$33, MATCH('BAU Comparison - All Fuel'!$B50,'Proposed Amendments Scenario'!$C$2:$C$33,0),MATCH('BAU Comparison - All Fuel'!S$31,'Proposed Amendments Scenario'!$A$2:$AC$2,0))</f>
        <v>14690.00529472223</v>
      </c>
      <c r="T50" s="365">
        <f>INDEX('Proposed Amendments Scenario'!$A$2:$AC$33, MATCH('BAU Comparison - All Fuel'!$B50,'Proposed Amendments Scenario'!$C$2:$C$33,0),MATCH('BAU Comparison - All Fuel'!T$31,'Proposed Amendments Scenario'!$A$2:$AC$2,0))</f>
        <v>16418.76916472222</v>
      </c>
      <c r="U50" s="365">
        <f>INDEX('Proposed Amendments Scenario'!$A$2:$AC$33, MATCH('BAU Comparison - All Fuel'!$B50,'Proposed Amendments Scenario'!$C$2:$C$33,0),MATCH('BAU Comparison - All Fuel'!U$31,'Proposed Amendments Scenario'!$A$2:$AC$2,0))</f>
        <v>18213.835303888889</v>
      </c>
      <c r="V50" s="365">
        <f>INDEX('Proposed Amendments Scenario'!$A$2:$AC$33, MATCH('BAU Comparison - All Fuel'!$B50,'Proposed Amendments Scenario'!$C$2:$C$33,0),MATCH('BAU Comparison - All Fuel'!V$31,'Proposed Amendments Scenario'!$A$2:$AC$2,0))</f>
        <v>18504.9778357588</v>
      </c>
      <c r="W50" s="365">
        <f>INDEX('Proposed Amendments Scenario'!$A$2:$AC$33, MATCH('BAU Comparison - All Fuel'!$B50,'Proposed Amendments Scenario'!$C$2:$C$33,0),MATCH('BAU Comparison - All Fuel'!W$31,'Proposed Amendments Scenario'!$A$2:$AC$2,0))</f>
        <v>20489.77236901084</v>
      </c>
      <c r="X50" s="365">
        <f>INDEX('Proposed Amendments Scenario'!$A$2:$AC$33, MATCH('BAU Comparison - All Fuel'!$B50,'Proposed Amendments Scenario'!$C$2:$C$33,0),MATCH('BAU Comparison - All Fuel'!X$31,'Proposed Amendments Scenario'!$A$2:$AC$2,0))</f>
        <v>22362.87891007317</v>
      </c>
      <c r="Y50" s="365">
        <f>INDEX('Proposed Amendments Scenario'!$A$2:$AC$33, MATCH('BAU Comparison - All Fuel'!$B50,'Proposed Amendments Scenario'!$C$2:$C$33,0),MATCH('BAU Comparison - All Fuel'!Y$31,'Proposed Amendments Scenario'!$A$2:$AC$2,0))</f>
        <v>23915.834082500009</v>
      </c>
      <c r="Z50" s="365">
        <f>INDEX('Proposed Amendments Scenario'!$A$2:$AC$33, MATCH('BAU Comparison - All Fuel'!$B50,'Proposed Amendments Scenario'!$C$2:$C$33,0),MATCH('BAU Comparison - All Fuel'!Z$31,'Proposed Amendments Scenario'!$A$2:$AC$2,0))</f>
        <v>25047.633741944439</v>
      </c>
      <c r="AA50" s="365">
        <f>INDEX('Proposed Amendments Scenario'!$A$2:$AC$33, MATCH('BAU Comparison - All Fuel'!$B50,'Proposed Amendments Scenario'!$C$2:$C$33,0),MATCH('BAU Comparison - All Fuel'!AA$31,'Proposed Amendments Scenario'!$A$2:$AC$2,0))</f>
        <v>26140.67146666667</v>
      </c>
      <c r="AB50" s="365">
        <f>INDEX('Proposed Amendments Scenario'!$A$2:$AC$33, MATCH('BAU Comparison - All Fuel'!$B50,'Proposed Amendments Scenario'!$C$2:$C$33,0),MATCH('BAU Comparison - All Fuel'!AB$31,'Proposed Amendments Scenario'!$A$2:$AC$2,0))</f>
        <v>27327.589306388902</v>
      </c>
    </row>
    <row r="51" spans="1:29" ht="15" customHeight="1">
      <c r="A51" s="456"/>
      <c r="B51" s="10" t="s">
        <v>16</v>
      </c>
      <c r="C51" s="10" t="s">
        <v>103</v>
      </c>
      <c r="D51" s="365">
        <f>INDEX('Proposed Amendments Scenario'!$A$2:$AC$33, MATCH('BAU Comparison - All Fuel'!$B51,'Proposed Amendments Scenario'!$C$2:$C$33,0),MATCH('BAU Comparison - All Fuel'!D$31,'Proposed Amendments Scenario'!$A$2:$AC$2,0))</f>
        <v>0</v>
      </c>
      <c r="E51" s="365">
        <f>INDEX('Proposed Amendments Scenario'!$A$2:$AC$33, MATCH('BAU Comparison - All Fuel'!$B51,'Proposed Amendments Scenario'!$C$2:$C$33,0),MATCH('BAU Comparison - All Fuel'!E$31,'Proposed Amendments Scenario'!$A$2:$AC$2,0))</f>
        <v>0</v>
      </c>
      <c r="F51" s="365">
        <f>INDEX('Proposed Amendments Scenario'!$A$2:$AC$33, MATCH('BAU Comparison - All Fuel'!$B51,'Proposed Amendments Scenario'!$C$2:$C$33,0),MATCH('BAU Comparison - All Fuel'!F$31,'Proposed Amendments Scenario'!$A$2:$AC$2,0))</f>
        <v>0</v>
      </c>
      <c r="G51" s="365">
        <f>INDEX('Proposed Amendments Scenario'!$A$2:$AC$33, MATCH('BAU Comparison - All Fuel'!$B51,'Proposed Amendments Scenario'!$C$2:$C$33,0),MATCH('BAU Comparison - All Fuel'!G$31,'Proposed Amendments Scenario'!$A$2:$AC$2,0))</f>
        <v>30.600000000000058</v>
      </c>
      <c r="H51" s="365">
        <f>INDEX('Proposed Amendments Scenario'!$A$2:$AC$33, MATCH('BAU Comparison - All Fuel'!$B51,'Proposed Amendments Scenario'!$C$2:$C$33,0),MATCH('BAU Comparison - All Fuel'!H$31,'Proposed Amendments Scenario'!$A$2:$AC$2,0))</f>
        <v>0</v>
      </c>
      <c r="I51" s="365">
        <f>INDEX('Proposed Amendments Scenario'!$A$2:$AC$33, MATCH('BAU Comparison - All Fuel'!$B51,'Proposed Amendments Scenario'!$C$2:$C$33,0),MATCH('BAU Comparison - All Fuel'!I$31,'Proposed Amendments Scenario'!$A$2:$AC$2,0))</f>
        <v>0</v>
      </c>
      <c r="J51" s="365">
        <f>INDEX('Proposed Amendments Scenario'!$A$2:$AC$33, MATCH('BAU Comparison - All Fuel'!$B51,'Proposed Amendments Scenario'!$C$2:$C$33,0),MATCH('BAU Comparison - All Fuel'!J$31,'Proposed Amendments Scenario'!$A$2:$AC$2,0))</f>
        <v>0</v>
      </c>
      <c r="K51" s="365">
        <f>INDEX('Proposed Amendments Scenario'!$A$2:$AC$33, MATCH('BAU Comparison - All Fuel'!$B51,'Proposed Amendments Scenario'!$C$2:$C$33,0),MATCH('BAU Comparison - All Fuel'!K$31,'Proposed Amendments Scenario'!$A$2:$AC$2,0))</f>
        <v>0</v>
      </c>
      <c r="L51" s="365">
        <f>INDEX('Proposed Amendments Scenario'!$A$2:$AC$33, MATCH('BAU Comparison - All Fuel'!$B51,'Proposed Amendments Scenario'!$C$2:$C$33,0),MATCH('BAU Comparison - All Fuel'!L$31,'Proposed Amendments Scenario'!$A$2:$AC$2,0))</f>
        <v>0</v>
      </c>
      <c r="M51" s="365">
        <f>INDEX('Proposed Amendments Scenario'!$A$2:$AC$33, MATCH('BAU Comparison - All Fuel'!$B51,'Proposed Amendments Scenario'!$C$2:$C$33,0),MATCH('BAU Comparison - All Fuel'!M$31,'Proposed Amendments Scenario'!$A$2:$AC$2,0))</f>
        <v>0</v>
      </c>
      <c r="N51" s="365">
        <f>INDEX('Proposed Amendments Scenario'!$A$2:$AC$33, MATCH('BAU Comparison - All Fuel'!$B51,'Proposed Amendments Scenario'!$C$2:$C$33,0),MATCH('BAU Comparison - All Fuel'!N$31,'Proposed Amendments Scenario'!$A$2:$AC$2,0))</f>
        <v>0</v>
      </c>
      <c r="O51" s="365">
        <f>INDEX('Proposed Amendments Scenario'!$A$2:$AC$33, MATCH('BAU Comparison - All Fuel'!$B51,'Proposed Amendments Scenario'!$C$2:$C$33,0),MATCH('BAU Comparison - All Fuel'!O$31,'Proposed Amendments Scenario'!$A$2:$AC$2,0))</f>
        <v>0</v>
      </c>
      <c r="P51" s="365">
        <f>INDEX('Proposed Amendments Scenario'!$A$2:$AC$33, MATCH('BAU Comparison - All Fuel'!$B51,'Proposed Amendments Scenario'!$C$2:$C$33,0),MATCH('BAU Comparison - All Fuel'!P$31,'Proposed Amendments Scenario'!$A$2:$AC$2,0))</f>
        <v>0</v>
      </c>
      <c r="Q51" s="365">
        <f>INDEX('Proposed Amendments Scenario'!$A$2:$AC$33, MATCH('BAU Comparison - All Fuel'!$B51,'Proposed Amendments Scenario'!$C$2:$C$33,0),MATCH('BAU Comparison - All Fuel'!Q$31,'Proposed Amendments Scenario'!$A$2:$AC$2,0))</f>
        <v>0</v>
      </c>
      <c r="R51" s="365">
        <f>INDEX('Proposed Amendments Scenario'!$A$2:$AC$33, MATCH('BAU Comparison - All Fuel'!$B51,'Proposed Amendments Scenario'!$C$2:$C$33,0),MATCH('BAU Comparison - All Fuel'!R$31,'Proposed Amendments Scenario'!$A$2:$AC$2,0))</f>
        <v>0</v>
      </c>
      <c r="S51" s="365">
        <f>INDEX('Proposed Amendments Scenario'!$A$2:$AC$33, MATCH('BAU Comparison - All Fuel'!$B51,'Proposed Amendments Scenario'!$C$2:$C$33,0),MATCH('BAU Comparison - All Fuel'!S$31,'Proposed Amendments Scenario'!$A$2:$AC$2,0))</f>
        <v>0</v>
      </c>
      <c r="T51" s="365">
        <f>INDEX('Proposed Amendments Scenario'!$A$2:$AC$33, MATCH('BAU Comparison - All Fuel'!$B51,'Proposed Amendments Scenario'!$C$2:$C$33,0),MATCH('BAU Comparison - All Fuel'!T$31,'Proposed Amendments Scenario'!$A$2:$AC$2,0))</f>
        <v>0</v>
      </c>
      <c r="U51" s="365">
        <f>INDEX('Proposed Amendments Scenario'!$A$2:$AC$33, MATCH('BAU Comparison - All Fuel'!$B51,'Proposed Amendments Scenario'!$C$2:$C$33,0),MATCH('BAU Comparison - All Fuel'!U$31,'Proposed Amendments Scenario'!$A$2:$AC$2,0))</f>
        <v>0</v>
      </c>
      <c r="V51" s="365">
        <f>INDEX('Proposed Amendments Scenario'!$A$2:$AC$33, MATCH('BAU Comparison - All Fuel'!$B51,'Proposed Amendments Scenario'!$C$2:$C$33,0),MATCH('BAU Comparison - All Fuel'!V$31,'Proposed Amendments Scenario'!$A$2:$AC$2,0))</f>
        <v>1173.460465074535</v>
      </c>
      <c r="W51" s="365">
        <f>INDEX('Proposed Amendments Scenario'!$A$2:$AC$33, MATCH('BAU Comparison - All Fuel'!$B51,'Proposed Amendments Scenario'!$C$2:$C$33,0),MATCH('BAU Comparison - All Fuel'!W$31,'Proposed Amendments Scenario'!$A$2:$AC$2,0))</f>
        <v>704.07627904472099</v>
      </c>
      <c r="X51" s="365">
        <f>INDEX('Proposed Amendments Scenario'!$A$2:$AC$33, MATCH('BAU Comparison - All Fuel'!$B51,'Proposed Amendments Scenario'!$C$2:$C$33,0),MATCH('BAU Comparison - All Fuel'!X$31,'Proposed Amendments Scenario'!$A$2:$AC$2,0))</f>
        <v>422.44576742683262</v>
      </c>
      <c r="Y51" s="365">
        <f>INDEX('Proposed Amendments Scenario'!$A$2:$AC$33, MATCH('BAU Comparison - All Fuel'!$B51,'Proposed Amendments Scenario'!$C$2:$C$33,0),MATCH('BAU Comparison - All Fuel'!Y$31,'Proposed Amendments Scenario'!$A$2:$AC$2,0))</f>
        <v>0</v>
      </c>
      <c r="Z51" s="365">
        <f>INDEX('Proposed Amendments Scenario'!$A$2:$AC$33, MATCH('BAU Comparison - All Fuel'!$B51,'Proposed Amendments Scenario'!$C$2:$C$33,0),MATCH('BAU Comparison - All Fuel'!Z$31,'Proposed Amendments Scenario'!$A$2:$AC$2,0))</f>
        <v>0</v>
      </c>
      <c r="AA51" s="365">
        <f>INDEX('Proposed Amendments Scenario'!$A$2:$AC$33, MATCH('BAU Comparison - All Fuel'!$B51,'Proposed Amendments Scenario'!$C$2:$C$33,0),MATCH('BAU Comparison - All Fuel'!AA$31,'Proposed Amendments Scenario'!$A$2:$AC$2,0))</f>
        <v>0</v>
      </c>
      <c r="AB51" s="365">
        <f>INDEX('Proposed Amendments Scenario'!$A$2:$AC$33, MATCH('BAU Comparison - All Fuel'!$B51,'Proposed Amendments Scenario'!$C$2:$C$33,0),MATCH('BAU Comparison - All Fuel'!AB$31,'Proposed Amendments Scenario'!$A$2:$AC$2,0))</f>
        <v>0</v>
      </c>
    </row>
    <row r="52" spans="1:29" ht="15" customHeight="1">
      <c r="A52" s="456"/>
      <c r="B52" s="10" t="s">
        <v>108</v>
      </c>
      <c r="C52" s="10" t="s">
        <v>64</v>
      </c>
      <c r="D52" s="365">
        <f>INDEX('Proposed Amendments Scenario'!$A$2:$AC$33, MATCH('BAU Comparison - All Fuel'!$B52,'Proposed Amendments Scenario'!$C$2:$C$33,0),MATCH('BAU Comparison - All Fuel'!D$31,'Proposed Amendments Scenario'!$A$2:$AC$2,0))</f>
        <v>0</v>
      </c>
      <c r="E52" s="365">
        <f>INDEX('Proposed Amendments Scenario'!$A$2:$AC$33, MATCH('BAU Comparison - All Fuel'!$B52,'Proposed Amendments Scenario'!$C$2:$C$33,0),MATCH('BAU Comparison - All Fuel'!E$31,'Proposed Amendments Scenario'!$A$2:$AC$2,0))</f>
        <v>0</v>
      </c>
      <c r="F52" s="365">
        <f>INDEX('Proposed Amendments Scenario'!$A$2:$AC$33, MATCH('BAU Comparison - All Fuel'!$B52,'Proposed Amendments Scenario'!$C$2:$C$33,0),MATCH('BAU Comparison - All Fuel'!F$31,'Proposed Amendments Scenario'!$A$2:$AC$2,0))</f>
        <v>0</v>
      </c>
      <c r="G52" s="365">
        <f>INDEX('Proposed Amendments Scenario'!$A$2:$AC$33, MATCH('BAU Comparison - All Fuel'!$B52,'Proposed Amendments Scenario'!$C$2:$C$33,0),MATCH('BAU Comparison - All Fuel'!G$31,'Proposed Amendments Scenario'!$A$2:$AC$2,0))</f>
        <v>0</v>
      </c>
      <c r="H52" s="365">
        <f>INDEX('Proposed Amendments Scenario'!$A$2:$AC$33, MATCH('BAU Comparison - All Fuel'!$B52,'Proposed Amendments Scenario'!$C$2:$C$33,0),MATCH('BAU Comparison - All Fuel'!H$31,'Proposed Amendments Scenario'!$A$2:$AC$2,0))</f>
        <v>0</v>
      </c>
      <c r="I52" s="365">
        <f>INDEX('Proposed Amendments Scenario'!$A$2:$AC$33, MATCH('BAU Comparison - All Fuel'!$B52,'Proposed Amendments Scenario'!$C$2:$C$33,0),MATCH('BAU Comparison - All Fuel'!I$31,'Proposed Amendments Scenario'!$A$2:$AC$2,0))</f>
        <v>0</v>
      </c>
      <c r="J52" s="365">
        <f>INDEX('Proposed Amendments Scenario'!$A$2:$AC$33, MATCH('BAU Comparison - All Fuel'!$B52,'Proposed Amendments Scenario'!$C$2:$C$33,0),MATCH('BAU Comparison - All Fuel'!J$31,'Proposed Amendments Scenario'!$A$2:$AC$2,0))</f>
        <v>0</v>
      </c>
      <c r="K52" s="365">
        <f>INDEX('Proposed Amendments Scenario'!$A$2:$AC$33, MATCH('BAU Comparison - All Fuel'!$B52,'Proposed Amendments Scenario'!$C$2:$C$33,0),MATCH('BAU Comparison - All Fuel'!K$31,'Proposed Amendments Scenario'!$A$2:$AC$2,0))</f>
        <v>0</v>
      </c>
      <c r="L52" s="365">
        <f>INDEX('Proposed Amendments Scenario'!$A$2:$AC$33, MATCH('BAU Comparison - All Fuel'!$B52,'Proposed Amendments Scenario'!$C$2:$C$33,0),MATCH('BAU Comparison - All Fuel'!L$31,'Proposed Amendments Scenario'!$A$2:$AC$2,0))</f>
        <v>0</v>
      </c>
      <c r="M52" s="365">
        <f>INDEX('Proposed Amendments Scenario'!$A$2:$AC$33, MATCH('BAU Comparison - All Fuel'!$B52,'Proposed Amendments Scenario'!$C$2:$C$33,0),MATCH('BAU Comparison - All Fuel'!M$31,'Proposed Amendments Scenario'!$A$2:$AC$2,0))</f>
        <v>0</v>
      </c>
      <c r="N52" s="365">
        <f>INDEX('Proposed Amendments Scenario'!$A$2:$AC$33, MATCH('BAU Comparison - All Fuel'!$B52,'Proposed Amendments Scenario'!$C$2:$C$33,0),MATCH('BAU Comparison - All Fuel'!N$31,'Proposed Amendments Scenario'!$A$2:$AC$2,0))</f>
        <v>0</v>
      </c>
      <c r="O52" s="365">
        <f>INDEX('Proposed Amendments Scenario'!$A$2:$AC$33, MATCH('BAU Comparison - All Fuel'!$B52,'Proposed Amendments Scenario'!$C$2:$C$33,0),MATCH('BAU Comparison - All Fuel'!O$31,'Proposed Amendments Scenario'!$A$2:$AC$2,0))</f>
        <v>0</v>
      </c>
      <c r="P52" s="365">
        <f>INDEX('Proposed Amendments Scenario'!$A$2:$AC$33, MATCH('BAU Comparison - All Fuel'!$B52,'Proposed Amendments Scenario'!$C$2:$C$33,0),MATCH('BAU Comparison - All Fuel'!P$31,'Proposed Amendments Scenario'!$A$2:$AC$2,0))</f>
        <v>0</v>
      </c>
      <c r="Q52" s="365">
        <f>INDEX('Proposed Amendments Scenario'!$A$2:$AC$33, MATCH('BAU Comparison - All Fuel'!$B52,'Proposed Amendments Scenario'!$C$2:$C$33,0),MATCH('BAU Comparison - All Fuel'!Q$31,'Proposed Amendments Scenario'!$A$2:$AC$2,0))</f>
        <v>0</v>
      </c>
      <c r="R52" s="365">
        <f>INDEX('Proposed Amendments Scenario'!$A$2:$AC$33, MATCH('BAU Comparison - All Fuel'!$B52,'Proposed Amendments Scenario'!$C$2:$C$33,0),MATCH('BAU Comparison - All Fuel'!R$31,'Proposed Amendments Scenario'!$A$2:$AC$2,0))</f>
        <v>0</v>
      </c>
      <c r="S52" s="365">
        <f>INDEX('Proposed Amendments Scenario'!$A$2:$AC$33, MATCH('BAU Comparison - All Fuel'!$B52,'Proposed Amendments Scenario'!$C$2:$C$33,0),MATCH('BAU Comparison - All Fuel'!S$31,'Proposed Amendments Scenario'!$A$2:$AC$2,0))</f>
        <v>0</v>
      </c>
      <c r="T52" s="365">
        <f>INDEX('Proposed Amendments Scenario'!$A$2:$AC$33, MATCH('BAU Comparison - All Fuel'!$B52,'Proposed Amendments Scenario'!$C$2:$C$33,0),MATCH('BAU Comparison - All Fuel'!T$31,'Proposed Amendments Scenario'!$A$2:$AC$2,0))</f>
        <v>0</v>
      </c>
      <c r="U52" s="365">
        <f>INDEX('Proposed Amendments Scenario'!$A$2:$AC$33, MATCH('BAU Comparison - All Fuel'!$B52,'Proposed Amendments Scenario'!$C$2:$C$33,0),MATCH('BAU Comparison - All Fuel'!U$31,'Proposed Amendments Scenario'!$A$2:$AC$2,0))</f>
        <v>0</v>
      </c>
      <c r="V52" s="365">
        <f>INDEX('Proposed Amendments Scenario'!$A$2:$AC$33, MATCH('BAU Comparison - All Fuel'!$B52,'Proposed Amendments Scenario'!$C$2:$C$33,0),MATCH('BAU Comparison - All Fuel'!V$31,'Proposed Amendments Scenario'!$A$2:$AC$2,0))</f>
        <v>0</v>
      </c>
      <c r="W52" s="365">
        <f>INDEX('Proposed Amendments Scenario'!$A$2:$AC$33, MATCH('BAU Comparison - All Fuel'!$B52,'Proposed Amendments Scenario'!$C$2:$C$33,0),MATCH('BAU Comparison - All Fuel'!W$31,'Proposed Amendments Scenario'!$A$2:$AC$2,0))</f>
        <v>0</v>
      </c>
      <c r="X52" s="365">
        <f>INDEX('Proposed Amendments Scenario'!$A$2:$AC$33, MATCH('BAU Comparison - All Fuel'!$B52,'Proposed Amendments Scenario'!$C$2:$C$33,0),MATCH('BAU Comparison - All Fuel'!X$31,'Proposed Amendments Scenario'!$A$2:$AC$2,0))</f>
        <v>0</v>
      </c>
      <c r="Y52" s="365">
        <f>INDEX('Proposed Amendments Scenario'!$A$2:$AC$33, MATCH('BAU Comparison - All Fuel'!$B52,'Proposed Amendments Scenario'!$C$2:$C$33,0),MATCH('BAU Comparison - All Fuel'!Y$31,'Proposed Amendments Scenario'!$A$2:$AC$2,0))</f>
        <v>0</v>
      </c>
      <c r="Z52" s="365">
        <f>INDEX('Proposed Amendments Scenario'!$A$2:$AC$33, MATCH('BAU Comparison - All Fuel'!$B52,'Proposed Amendments Scenario'!$C$2:$C$33,0),MATCH('BAU Comparison - All Fuel'!Z$31,'Proposed Amendments Scenario'!$A$2:$AC$2,0))</f>
        <v>0</v>
      </c>
      <c r="AA52" s="365">
        <f>INDEX('Proposed Amendments Scenario'!$A$2:$AC$33, MATCH('BAU Comparison - All Fuel'!$B52,'Proposed Amendments Scenario'!$C$2:$C$33,0),MATCH('BAU Comparison - All Fuel'!AA$31,'Proposed Amendments Scenario'!$A$2:$AC$2,0))</f>
        <v>0</v>
      </c>
      <c r="AB52" s="365">
        <f>INDEX('Proposed Amendments Scenario'!$A$2:$AC$33, MATCH('BAU Comparison - All Fuel'!$B52,'Proposed Amendments Scenario'!$C$2:$C$33,0),MATCH('BAU Comparison - All Fuel'!AB$31,'Proposed Amendments Scenario'!$A$2:$AC$2,0))</f>
        <v>0</v>
      </c>
    </row>
    <row r="53" spans="1:29" ht="15" customHeight="1">
      <c r="A53" s="456"/>
      <c r="B53" s="10" t="s">
        <v>11</v>
      </c>
      <c r="C53" s="10" t="s">
        <v>7</v>
      </c>
      <c r="D53" s="365">
        <f>INDEX('Proposed Amendments Scenario'!$A$2:$AC$33, MATCH('BAU Comparison - All Fuel'!$B53,'Proposed Amendments Scenario'!$C$2:$C$33,0),MATCH('BAU Comparison - All Fuel'!D$31,'Proposed Amendments Scenario'!$A$2:$AC$2,0))</f>
        <v>498.1990930995043</v>
      </c>
      <c r="E53" s="365">
        <f>INDEX('Proposed Amendments Scenario'!$A$2:$AC$33, MATCH('BAU Comparison - All Fuel'!$B53,'Proposed Amendments Scenario'!$C$2:$C$33,0),MATCH('BAU Comparison - All Fuel'!E$31,'Proposed Amendments Scenario'!$A$2:$AC$2,0))</f>
        <v>497.75217017155933</v>
      </c>
      <c r="F53" s="365">
        <f>INDEX('Proposed Amendments Scenario'!$A$2:$AC$33, MATCH('BAU Comparison - All Fuel'!$B53,'Proposed Amendments Scenario'!$C$2:$C$33,0),MATCH('BAU Comparison - All Fuel'!F$31,'Proposed Amendments Scenario'!$A$2:$AC$2,0))</f>
        <v>488.72639416698439</v>
      </c>
      <c r="G53" s="365">
        <f>INDEX('Proposed Amendments Scenario'!$A$2:$AC$33, MATCH('BAU Comparison - All Fuel'!$B53,'Proposed Amendments Scenario'!$C$2:$C$33,0),MATCH('BAU Comparison - All Fuel'!G$31,'Proposed Amendments Scenario'!$A$2:$AC$2,0))</f>
        <v>473.29287891242677</v>
      </c>
      <c r="H53" s="365">
        <f>INDEX('Proposed Amendments Scenario'!$A$2:$AC$33, MATCH('BAU Comparison - All Fuel'!$B53,'Proposed Amendments Scenario'!$C$2:$C$33,0),MATCH('BAU Comparison - All Fuel'!H$31,'Proposed Amendments Scenario'!$A$2:$AC$2,0))</f>
        <v>455.10461021246488</v>
      </c>
      <c r="I53" s="365">
        <f>INDEX('Proposed Amendments Scenario'!$A$2:$AC$33, MATCH('BAU Comparison - All Fuel'!$B53,'Proposed Amendments Scenario'!$C$2:$C$33,0),MATCH('BAU Comparison - All Fuel'!I$31,'Proposed Amendments Scenario'!$A$2:$AC$2,0))</f>
        <v>435.9467391513142</v>
      </c>
      <c r="J53" s="365">
        <f>INDEX('Proposed Amendments Scenario'!$A$2:$AC$33, MATCH('BAU Comparison - All Fuel'!$B53,'Proposed Amendments Scenario'!$C$2:$C$33,0),MATCH('BAU Comparison - All Fuel'!J$31,'Proposed Amendments Scenario'!$A$2:$AC$2,0))</f>
        <v>415.69059050449602</v>
      </c>
      <c r="K53" s="365">
        <f>INDEX('Proposed Amendments Scenario'!$A$2:$AC$33, MATCH('BAU Comparison - All Fuel'!$B53,'Proposed Amendments Scenario'!$C$2:$C$33,0),MATCH('BAU Comparison - All Fuel'!K$31,'Proposed Amendments Scenario'!$A$2:$AC$2,0))</f>
        <v>393.83772236114868</v>
      </c>
      <c r="L53" s="365">
        <f>INDEX('Proposed Amendments Scenario'!$A$2:$AC$33, MATCH('BAU Comparison - All Fuel'!$B53,'Proposed Amendments Scenario'!$C$2:$C$33,0),MATCH('BAU Comparison - All Fuel'!L$31,'Proposed Amendments Scenario'!$A$2:$AC$2,0))</f>
        <v>371.41287562840012</v>
      </c>
      <c r="M53" s="365">
        <f>INDEX('Proposed Amendments Scenario'!$A$2:$AC$33, MATCH('BAU Comparison - All Fuel'!$B53,'Proposed Amendments Scenario'!$C$2:$C$33,0),MATCH('BAU Comparison - All Fuel'!M$31,'Proposed Amendments Scenario'!$A$2:$AC$2,0))</f>
        <v>365.71999934933018</v>
      </c>
      <c r="N53" s="365">
        <f>INDEX('Proposed Amendments Scenario'!$A$2:$AC$33, MATCH('BAU Comparison - All Fuel'!$B53,'Proposed Amendments Scenario'!$C$2:$C$33,0),MATCH('BAU Comparison - All Fuel'!N$31,'Proposed Amendments Scenario'!$A$2:$AC$2,0))</f>
        <v>359.96528461048138</v>
      </c>
      <c r="O53" s="365">
        <f>INDEX('Proposed Amendments Scenario'!$A$2:$AC$33, MATCH('BAU Comparison - All Fuel'!$B53,'Proposed Amendments Scenario'!$C$2:$C$33,0),MATCH('BAU Comparison - All Fuel'!O$31,'Proposed Amendments Scenario'!$A$2:$AC$2,0))</f>
        <v>354.15374230777468</v>
      </c>
      <c r="P53" s="365">
        <f>INDEX('Proposed Amendments Scenario'!$A$2:$AC$33, MATCH('BAU Comparison - All Fuel'!$B53,'Proposed Amendments Scenario'!$C$2:$C$33,0),MATCH('BAU Comparison - All Fuel'!P$31,'Proposed Amendments Scenario'!$A$2:$AC$2,0))</f>
        <v>348.27876415299011</v>
      </c>
      <c r="Q53" s="365">
        <f>INDEX('Proposed Amendments Scenario'!$A$2:$AC$33, MATCH('BAU Comparison - All Fuel'!$B53,'Proposed Amendments Scenario'!$C$2:$C$33,0),MATCH('BAU Comparison - All Fuel'!Q$31,'Proposed Amendments Scenario'!$A$2:$AC$2,0))</f>
        <v>342.33338553308909</v>
      </c>
      <c r="R53" s="365">
        <f>INDEX('Proposed Amendments Scenario'!$A$2:$AC$33, MATCH('BAU Comparison - All Fuel'!$B53,'Proposed Amendments Scenario'!$C$2:$C$33,0),MATCH('BAU Comparison - All Fuel'!R$31,'Proposed Amendments Scenario'!$A$2:$AC$2,0))</f>
        <v>336.32056362687501</v>
      </c>
      <c r="S53" s="365">
        <f>INDEX('Proposed Amendments Scenario'!$A$2:$AC$33, MATCH('BAU Comparison - All Fuel'!$B53,'Proposed Amendments Scenario'!$C$2:$C$33,0),MATCH('BAU Comparison - All Fuel'!S$31,'Proposed Amendments Scenario'!$A$2:$AC$2,0))</f>
        <v>330.25002985638332</v>
      </c>
      <c r="T53" s="365">
        <f>INDEX('Proposed Amendments Scenario'!$A$2:$AC$33, MATCH('BAU Comparison - All Fuel'!$B53,'Proposed Amendments Scenario'!$C$2:$C$33,0),MATCH('BAU Comparison - All Fuel'!T$31,'Proposed Amendments Scenario'!$A$2:$AC$2,0))</f>
        <v>324.10724262039378</v>
      </c>
      <c r="U53" s="365">
        <f>INDEX('Proposed Amendments Scenario'!$A$2:$AC$33, MATCH('BAU Comparison - All Fuel'!$B53,'Proposed Amendments Scenario'!$C$2:$C$33,0),MATCH('BAU Comparison - All Fuel'!U$31,'Proposed Amendments Scenario'!$A$2:$AC$2,0))</f>
        <v>317.73119784383249</v>
      </c>
      <c r="V53" s="365">
        <f>INDEX('Proposed Amendments Scenario'!$A$2:$AC$33, MATCH('BAU Comparison - All Fuel'!$B53,'Proposed Amendments Scenario'!$C$2:$C$33,0),MATCH('BAU Comparison - All Fuel'!V$31,'Proposed Amendments Scenario'!$A$2:$AC$2,0))</f>
        <v>311.31155891427301</v>
      </c>
      <c r="W53" s="365">
        <f>INDEX('Proposed Amendments Scenario'!$A$2:$AC$33, MATCH('BAU Comparison - All Fuel'!$B53,'Proposed Amendments Scenario'!$C$2:$C$33,0),MATCH('BAU Comparison - All Fuel'!W$31,'Proposed Amendments Scenario'!$A$2:$AC$2,0))</f>
        <v>304.89270846051897</v>
      </c>
      <c r="X53" s="365">
        <f>INDEX('Proposed Amendments Scenario'!$A$2:$AC$33, MATCH('BAU Comparison - All Fuel'!$B53,'Proposed Amendments Scenario'!$C$2:$C$33,0),MATCH('BAU Comparison - All Fuel'!X$31,'Proposed Amendments Scenario'!$A$2:$AC$2,0))</f>
        <v>298.46776188684498</v>
      </c>
      <c r="Y53" s="365">
        <f>INDEX('Proposed Amendments Scenario'!$A$2:$AC$33, MATCH('BAU Comparison - All Fuel'!$B53,'Proposed Amendments Scenario'!$C$2:$C$33,0),MATCH('BAU Comparison - All Fuel'!Y$31,'Proposed Amendments Scenario'!$A$2:$AC$2,0))</f>
        <v>291.89314774963628</v>
      </c>
      <c r="Z53" s="365">
        <f>INDEX('Proposed Amendments Scenario'!$A$2:$AC$33, MATCH('BAU Comparison - All Fuel'!$B53,'Proposed Amendments Scenario'!$C$2:$C$33,0),MATCH('BAU Comparison - All Fuel'!Z$31,'Proposed Amendments Scenario'!$A$2:$AC$2,0))</f>
        <v>285.26505917284868</v>
      </c>
      <c r="AA53" s="365">
        <f>INDEX('Proposed Amendments Scenario'!$A$2:$AC$33, MATCH('BAU Comparison - All Fuel'!$B53,'Proposed Amendments Scenario'!$C$2:$C$33,0),MATCH('BAU Comparison - All Fuel'!AA$31,'Proposed Amendments Scenario'!$A$2:$AC$2,0))</f>
        <v>278.56725894615141</v>
      </c>
      <c r="AB53" s="365">
        <f>INDEX('Proposed Amendments Scenario'!$A$2:$AC$33, MATCH('BAU Comparison - All Fuel'!$B53,'Proposed Amendments Scenario'!$C$2:$C$33,0),MATCH('BAU Comparison - All Fuel'!AB$31,'Proposed Amendments Scenario'!$A$2:$AC$2,0))</f>
        <v>272.09695597751443</v>
      </c>
    </row>
    <row r="54" spans="1:29" ht="15" customHeight="1">
      <c r="A54" s="456"/>
      <c r="B54" s="10" t="s">
        <v>187</v>
      </c>
      <c r="C54" s="10" t="s">
        <v>7</v>
      </c>
      <c r="D54" s="365">
        <f>SUM('Proposed Amendments Scenario'!E33:E34)</f>
        <v>11.604588984727393</v>
      </c>
      <c r="E54" s="365">
        <f>SUM('Proposed Amendments Scenario'!F33:F34)</f>
        <v>23.037389997626018</v>
      </c>
      <c r="F54" s="365">
        <f>SUM('Proposed Amendments Scenario'!G33:G34)</f>
        <v>37.784274163171638</v>
      </c>
      <c r="G54" s="365">
        <f>SUM('Proposed Amendments Scenario'!H33:H34)</f>
        <v>56.215600384863585</v>
      </c>
      <c r="H54" s="365">
        <f>SUM('Proposed Amendments Scenario'!I33:I34)</f>
        <v>70.962484550409172</v>
      </c>
      <c r="I54" s="365">
        <f>SUM('Proposed Amendments Scenario'!J33:J34)</f>
        <v>85.660437218525914</v>
      </c>
      <c r="J54" s="365">
        <f>SUM('Proposed Amendments Scenario'!K33:K34)</f>
        <v>100.14222621140564</v>
      </c>
      <c r="K54" s="365">
        <f>SUM('Proposed Amendments Scenario'!L33:L34)</f>
        <v>114.88911037695128</v>
      </c>
      <c r="L54" s="365">
        <f>SUM('Proposed Amendments Scenario'!M33:M34)</f>
        <v>129.63599454249697</v>
      </c>
      <c r="M54" s="365">
        <f>SUM('Proposed Amendments Scenario'!N33:N34)</f>
        <v>144.3828787080426</v>
      </c>
      <c r="N54" s="365">
        <f>SUM('Proposed Amendments Scenario'!O33:O34)</f>
        <v>159.12976287358828</v>
      </c>
      <c r="O54" s="365">
        <f>SUM('Proposed Amendments Scenario'!P33:P34)</f>
        <v>173.8766470391339</v>
      </c>
      <c r="P54" s="365">
        <f>SUM('Proposed Amendments Scenario'!Q33:Q34)</f>
        <v>188.62353120467938</v>
      </c>
      <c r="Q54" s="365">
        <f>SUM('Proposed Amendments Scenario'!R33:R34)</f>
        <v>203.37041537813826</v>
      </c>
      <c r="R54" s="365">
        <f>SUM('Proposed Amendments Scenario'!S33:S34)</f>
        <v>218.117299543684</v>
      </c>
      <c r="S54" s="365">
        <f>SUM('Proposed Amendments Scenario'!T33:T34)</f>
        <v>232.86418370922959</v>
      </c>
      <c r="T54" s="365">
        <f>SUM('Proposed Amendments Scenario'!U33:U34)</f>
        <v>247.61106787477507</v>
      </c>
      <c r="U54" s="365">
        <f>SUM('Proposed Amendments Scenario'!V33:V34)</f>
        <v>262.50177303775706</v>
      </c>
      <c r="V54" s="365">
        <f>SUM('Proposed Amendments Scenario'!W33:W34)</f>
        <v>277.37212087040501</v>
      </c>
      <c r="W54" s="365">
        <f>SUM('Proposed Amendments Scenario'!X33:X34)</f>
        <v>292.15321742029693</v>
      </c>
      <c r="X54" s="365">
        <f>SUM('Proposed Amendments Scenario'!Y33:Y34)</f>
        <v>306.86996080984642</v>
      </c>
      <c r="Y54" s="365">
        <f>SUM('Proposed Amendments Scenario'!Z33:Z34)</f>
        <v>321.65951538842461</v>
      </c>
      <c r="Z54" s="365">
        <f>SUM('Proposed Amendments Scenario'!AA33:AA34)</f>
        <v>336.42841929635904</v>
      </c>
      <c r="AA54" s="365">
        <f>SUM('Proposed Amendments Scenario'!AB33:AB34)</f>
        <v>351.19311862160515</v>
      </c>
      <c r="AB54" s="365">
        <f>SUM('Proposed Amendments Scenario'!AC33:AC34)</f>
        <v>365.91511930481113</v>
      </c>
    </row>
    <row r="55" spans="1:29" ht="15.75" customHeight="1">
      <c r="A55" s="456"/>
      <c r="B55" s="147" t="s">
        <v>32</v>
      </c>
      <c r="C55" s="10" t="s">
        <v>184</v>
      </c>
      <c r="D55" s="365">
        <f>INDEX('Proposed Amendments Scenario'!$A$2:$AC$33, MATCH('BAU Comparison - All Fuel'!$B55,'Proposed Amendments Scenario'!$C$2:$C$33,0),MATCH('BAU Comparison - All Fuel'!D$31,'Proposed Amendments Scenario'!$A$2:$AC$2,0))</f>
        <v>155.2624472075556</v>
      </c>
      <c r="E55" s="365">
        <f>INDEX('Proposed Amendments Scenario'!$A$2:$AC$33, MATCH('BAU Comparison - All Fuel'!$B55,'Proposed Amendments Scenario'!$C$2:$C$33,0),MATCH('BAU Comparison - All Fuel'!E$31,'Proposed Amendments Scenario'!$A$2:$AC$2,0))</f>
        <v>163.9524477132446</v>
      </c>
      <c r="F55" s="365">
        <f>INDEX('Proposed Amendments Scenario'!$A$2:$AC$33, MATCH('BAU Comparison - All Fuel'!$B55,'Proposed Amendments Scenario'!$C$2:$C$33,0),MATCH('BAU Comparison - All Fuel'!F$31,'Proposed Amendments Scenario'!$A$2:$AC$2,0))</f>
        <v>165.1882957477504</v>
      </c>
      <c r="G55" s="365">
        <f>INDEX('Proposed Amendments Scenario'!$A$2:$AC$33, MATCH('BAU Comparison - All Fuel'!$B55,'Proposed Amendments Scenario'!$C$2:$C$33,0),MATCH('BAU Comparison - All Fuel'!G$31,'Proposed Amendments Scenario'!$A$2:$AC$2,0))</f>
        <v>129.26230487841161</v>
      </c>
      <c r="H55" s="365">
        <f>INDEX('Proposed Amendments Scenario'!$A$2:$AC$33, MATCH('BAU Comparison - All Fuel'!$B55,'Proposed Amendments Scenario'!$C$2:$C$33,0),MATCH('BAU Comparison - All Fuel'!H$31,'Proposed Amendments Scenario'!$A$2:$AC$2,0))</f>
        <v>108.22915168681379</v>
      </c>
      <c r="I55" s="365">
        <f>INDEX('Proposed Amendments Scenario'!$A$2:$AC$33, MATCH('BAU Comparison - All Fuel'!$B55,'Proposed Amendments Scenario'!$C$2:$C$33,0),MATCH('BAU Comparison - All Fuel'!I$31,'Proposed Amendments Scenario'!$A$2:$AC$2,0))</f>
        <v>123.48948479360089</v>
      </c>
      <c r="J55" s="365">
        <f>INDEX('Proposed Amendments Scenario'!$A$2:$AC$33, MATCH('BAU Comparison - All Fuel'!$B55,'Proposed Amendments Scenario'!$C$2:$C$33,0),MATCH('BAU Comparison - All Fuel'!J$31,'Proposed Amendments Scenario'!$A$2:$AC$2,0))</f>
        <v>128.77098064339489</v>
      </c>
      <c r="K55" s="365">
        <f>INDEX('Proposed Amendments Scenario'!$A$2:$AC$33, MATCH('BAU Comparison - All Fuel'!$B55,'Proposed Amendments Scenario'!$C$2:$C$33,0),MATCH('BAU Comparison - All Fuel'!K$31,'Proposed Amendments Scenario'!$A$2:$AC$2,0))</f>
        <v>129.4193739144076</v>
      </c>
      <c r="L55" s="365">
        <f>INDEX('Proposed Amendments Scenario'!$A$2:$AC$33, MATCH('BAU Comparison - All Fuel'!$B55,'Proposed Amendments Scenario'!$C$2:$C$33,0),MATCH('BAU Comparison - All Fuel'!L$31,'Proposed Amendments Scenario'!$A$2:$AC$2,0))</f>
        <v>134.70107912545549</v>
      </c>
      <c r="M55" s="365">
        <f>INDEX('Proposed Amendments Scenario'!$A$2:$AC$33, MATCH('BAU Comparison - All Fuel'!$B55,'Proposed Amendments Scenario'!$C$2:$C$33,0),MATCH('BAU Comparison - All Fuel'!M$31,'Proposed Amendments Scenario'!$A$2:$AC$2,0))</f>
        <v>128.0007997471555</v>
      </c>
      <c r="N55" s="365">
        <f>INDEX('Proposed Amendments Scenario'!$A$2:$AC$33, MATCH('BAU Comparison - All Fuel'!$B55,'Proposed Amendments Scenario'!$C$2:$C$33,0),MATCH('BAU Comparison - All Fuel'!N$31,'Proposed Amendments Scenario'!$A$2:$AC$2,0))</f>
        <v>122.5000413623857</v>
      </c>
      <c r="O55" s="365">
        <f>INDEX('Proposed Amendments Scenario'!$A$2:$AC$33, MATCH('BAU Comparison - All Fuel'!$B55,'Proposed Amendments Scenario'!$C$2:$C$33,0),MATCH('BAU Comparison - All Fuel'!O$31,'Proposed Amendments Scenario'!$A$2:$AC$2,0))</f>
        <v>116.601357745222</v>
      </c>
      <c r="P55" s="365">
        <f>INDEX('Proposed Amendments Scenario'!$A$2:$AC$33, MATCH('BAU Comparison - All Fuel'!$B55,'Proposed Amendments Scenario'!$C$2:$C$33,0),MATCH('BAU Comparison - All Fuel'!P$31,'Proposed Amendments Scenario'!$A$2:$AC$2,0))</f>
        <v>110.6093863463969</v>
      </c>
      <c r="Q55" s="365">
        <f>INDEX('Proposed Amendments Scenario'!$A$2:$AC$33, MATCH('BAU Comparison - All Fuel'!$B55,'Proposed Amendments Scenario'!$C$2:$C$33,0),MATCH('BAU Comparison - All Fuel'!Q$31,'Proposed Amendments Scenario'!$A$2:$AC$2,0))</f>
        <v>104.12766515207851</v>
      </c>
      <c r="R55" s="365">
        <f>INDEX('Proposed Amendments Scenario'!$A$2:$AC$33, MATCH('BAU Comparison - All Fuel'!$B55,'Proposed Amendments Scenario'!$C$2:$C$33,0),MATCH('BAU Comparison - All Fuel'!R$31,'Proposed Amendments Scenario'!$A$2:$AC$2,0))</f>
        <v>97.118312924815925</v>
      </c>
      <c r="S55" s="365">
        <f>INDEX('Proposed Amendments Scenario'!$A$2:$AC$33, MATCH('BAU Comparison - All Fuel'!$B55,'Proposed Amendments Scenario'!$C$2:$C$33,0),MATCH('BAU Comparison - All Fuel'!S$31,'Proposed Amendments Scenario'!$A$2:$AC$2,0))</f>
        <v>89.635311006172373</v>
      </c>
      <c r="T55" s="365">
        <f>INDEX('Proposed Amendments Scenario'!$A$2:$AC$33, MATCH('BAU Comparison - All Fuel'!$B55,'Proposed Amendments Scenario'!$C$2:$C$33,0),MATCH('BAU Comparison - All Fuel'!T$31,'Proposed Amendments Scenario'!$A$2:$AC$2,0))</f>
        <v>81.622904179370849</v>
      </c>
      <c r="U55" s="365">
        <f>INDEX('Proposed Amendments Scenario'!$A$2:$AC$33, MATCH('BAU Comparison - All Fuel'!$B55,'Proposed Amendments Scenario'!$C$2:$C$33,0),MATCH('BAU Comparison - All Fuel'!U$31,'Proposed Amendments Scenario'!$A$2:$AC$2,0))</f>
        <v>73.049753513794883</v>
      </c>
      <c r="V55" s="365">
        <f>INDEX('Proposed Amendments Scenario'!$A$2:$AC$33, MATCH('BAU Comparison - All Fuel'!$B55,'Proposed Amendments Scenario'!$C$2:$C$33,0),MATCH('BAU Comparison - All Fuel'!V$31,'Proposed Amendments Scenario'!$A$2:$AC$2,0))</f>
        <v>64.875267293820187</v>
      </c>
      <c r="W55" s="365">
        <f>INDEX('Proposed Amendments Scenario'!$A$2:$AC$33, MATCH('BAU Comparison - All Fuel'!$B55,'Proposed Amendments Scenario'!$C$2:$C$33,0),MATCH('BAU Comparison - All Fuel'!W$31,'Proposed Amendments Scenario'!$A$2:$AC$2,0))</f>
        <v>56.231647423217069</v>
      </c>
      <c r="X55" s="365">
        <f>INDEX('Proposed Amendments Scenario'!$A$2:$AC$33, MATCH('BAU Comparison - All Fuel'!$B55,'Proposed Amendments Scenario'!$C$2:$C$33,0),MATCH('BAU Comparison - All Fuel'!X$31,'Proposed Amendments Scenario'!$A$2:$AC$2,0))</f>
        <v>48.386540447683501</v>
      </c>
      <c r="Y55" s="365">
        <f>INDEX('Proposed Amendments Scenario'!$A$2:$AC$33, MATCH('BAU Comparison - All Fuel'!$B55,'Proposed Amendments Scenario'!$C$2:$C$33,0),MATCH('BAU Comparison - All Fuel'!Y$31,'Proposed Amendments Scenario'!$A$2:$AC$2,0))</f>
        <v>41.217322852680887</v>
      </c>
      <c r="Z55" s="365">
        <f>INDEX('Proposed Amendments Scenario'!$A$2:$AC$33, MATCH('BAU Comparison - All Fuel'!$B55,'Proposed Amendments Scenario'!$C$2:$C$33,0),MATCH('BAU Comparison - All Fuel'!Z$31,'Proposed Amendments Scenario'!$A$2:$AC$2,0))</f>
        <v>34.977417736298058</v>
      </c>
      <c r="AA55" s="365">
        <f>INDEX('Proposed Amendments Scenario'!$A$2:$AC$33, MATCH('BAU Comparison - All Fuel'!$B55,'Proposed Amendments Scenario'!$C$2:$C$33,0),MATCH('BAU Comparison - All Fuel'!AA$31,'Proposed Amendments Scenario'!$A$2:$AC$2,0))</f>
        <v>29.2778530006693</v>
      </c>
      <c r="AB55" s="365">
        <f>INDEX('Proposed Amendments Scenario'!$A$2:$AC$33, MATCH('BAU Comparison - All Fuel'!$B55,'Proposed Amendments Scenario'!$C$2:$C$33,0),MATCH('BAU Comparison - All Fuel'!AB$31,'Proposed Amendments Scenario'!$A$2:$AC$2,0))</f>
        <v>29.2778530081059</v>
      </c>
    </row>
    <row r="56" spans="1:29" ht="15.75" customHeight="1">
      <c r="A56" s="456"/>
      <c r="B56" s="147" t="s">
        <v>12</v>
      </c>
      <c r="C56" s="10" t="s">
        <v>13</v>
      </c>
      <c r="D56" s="365">
        <f>INDEX('Proposed Amendments Scenario'!$A$2:$AC$33, MATCH('BAU Comparison - All Fuel'!$B56,'Proposed Amendments Scenario'!$C$2:$C$33,0),MATCH('BAU Comparison - All Fuel'!D$31,'Proposed Amendments Scenario'!$A$2:$AC$2,0))</f>
        <v>41.411879452666007</v>
      </c>
      <c r="E56" s="365">
        <f>INDEX('Proposed Amendments Scenario'!$A$2:$AC$33, MATCH('BAU Comparison - All Fuel'!$B56,'Proposed Amendments Scenario'!$C$2:$C$33,0),MATCH('BAU Comparison - All Fuel'!E$31,'Proposed Amendments Scenario'!$A$2:$AC$2,0))</f>
        <v>24.847127671599619</v>
      </c>
      <c r="F56" s="365">
        <f>INDEX('Proposed Amendments Scenario'!$A$2:$AC$33, MATCH('BAU Comparison - All Fuel'!$B56,'Proposed Amendments Scenario'!$C$2:$C$33,0),MATCH('BAU Comparison - All Fuel'!F$31,'Proposed Amendments Scenario'!$A$2:$AC$2,0))</f>
        <v>14.90827660295977</v>
      </c>
      <c r="G56" s="365">
        <f>INDEX('Proposed Amendments Scenario'!$A$2:$AC$33, MATCH('BAU Comparison - All Fuel'!$B56,'Proposed Amendments Scenario'!$C$2:$C$33,0),MATCH('BAU Comparison - All Fuel'!G$31,'Proposed Amendments Scenario'!$A$2:$AC$2,0))</f>
        <v>43.069086041496249</v>
      </c>
      <c r="H56" s="365">
        <f>INDEX('Proposed Amendments Scenario'!$A$2:$AC$33, MATCH('BAU Comparison - All Fuel'!$B56,'Proposed Amendments Scenario'!$C$2:$C$33,0),MATCH('BAU Comparison - All Fuel'!H$31,'Proposed Amendments Scenario'!$A$2:$AC$2,0))</f>
        <v>57.186409977497888</v>
      </c>
      <c r="I56" s="365">
        <f>INDEX('Proposed Amendments Scenario'!$A$2:$AC$33, MATCH('BAU Comparison - All Fuel'!$B56,'Proposed Amendments Scenario'!$C$2:$C$33,0),MATCH('BAU Comparison - All Fuel'!I$31,'Proposed Amendments Scenario'!$A$2:$AC$2,0))</f>
        <v>34.311845986498739</v>
      </c>
      <c r="J56" s="365">
        <f>INDEX('Proposed Amendments Scenario'!$A$2:$AC$33, MATCH('BAU Comparison - All Fuel'!$B56,'Proposed Amendments Scenario'!$C$2:$C$33,0),MATCH('BAU Comparison - All Fuel'!J$31,'Proposed Amendments Scenario'!$A$2:$AC$2,0))</f>
        <v>20.587107591899251</v>
      </c>
      <c r="K56" s="365">
        <f>INDEX('Proposed Amendments Scenario'!$A$2:$AC$33, MATCH('BAU Comparison - All Fuel'!$B56,'Proposed Amendments Scenario'!$C$2:$C$33,0),MATCH('BAU Comparison - All Fuel'!K$31,'Proposed Amendments Scenario'!$A$2:$AC$2,0))</f>
        <v>12.35226455513955</v>
      </c>
      <c r="L56" s="365">
        <f>INDEX('Proposed Amendments Scenario'!$A$2:$AC$33, MATCH('BAU Comparison - All Fuel'!$B56,'Proposed Amendments Scenario'!$C$2:$C$33,0),MATCH('BAU Comparison - All Fuel'!L$31,'Proposed Amendments Scenario'!$A$2:$AC$2,0))</f>
        <v>0</v>
      </c>
      <c r="M56" s="365">
        <f>INDEX('Proposed Amendments Scenario'!$A$2:$AC$33, MATCH('BAU Comparison - All Fuel'!$B56,'Proposed Amendments Scenario'!$C$2:$C$33,0),MATCH('BAU Comparison - All Fuel'!M$31,'Proposed Amendments Scenario'!$A$2:$AC$2,0))</f>
        <v>0</v>
      </c>
      <c r="N56" s="365">
        <f>INDEX('Proposed Amendments Scenario'!$A$2:$AC$33, MATCH('BAU Comparison - All Fuel'!$B56,'Proposed Amendments Scenario'!$C$2:$C$33,0),MATCH('BAU Comparison - All Fuel'!N$31,'Proposed Amendments Scenario'!$A$2:$AC$2,0))</f>
        <v>0</v>
      </c>
      <c r="O56" s="365">
        <f>INDEX('Proposed Amendments Scenario'!$A$2:$AC$33, MATCH('BAU Comparison - All Fuel'!$B56,'Proposed Amendments Scenario'!$C$2:$C$33,0),MATCH('BAU Comparison - All Fuel'!O$31,'Proposed Amendments Scenario'!$A$2:$AC$2,0))</f>
        <v>0</v>
      </c>
      <c r="P56" s="365">
        <f>INDEX('Proposed Amendments Scenario'!$A$2:$AC$33, MATCH('BAU Comparison - All Fuel'!$B56,'Proposed Amendments Scenario'!$C$2:$C$33,0),MATCH('BAU Comparison - All Fuel'!P$31,'Proposed Amendments Scenario'!$A$2:$AC$2,0))</f>
        <v>0</v>
      </c>
      <c r="Q56" s="365">
        <f>INDEX('Proposed Amendments Scenario'!$A$2:$AC$33, MATCH('BAU Comparison - All Fuel'!$B56,'Proposed Amendments Scenario'!$C$2:$C$33,0),MATCH('BAU Comparison - All Fuel'!Q$31,'Proposed Amendments Scenario'!$A$2:$AC$2,0))</f>
        <v>0</v>
      </c>
      <c r="R56" s="365">
        <f>INDEX('Proposed Amendments Scenario'!$A$2:$AC$33, MATCH('BAU Comparison - All Fuel'!$B56,'Proposed Amendments Scenario'!$C$2:$C$33,0),MATCH('BAU Comparison - All Fuel'!R$31,'Proposed Amendments Scenario'!$A$2:$AC$2,0))</f>
        <v>0</v>
      </c>
      <c r="S56" s="365">
        <f>INDEX('Proposed Amendments Scenario'!$A$2:$AC$33, MATCH('BAU Comparison - All Fuel'!$B56,'Proposed Amendments Scenario'!$C$2:$C$33,0),MATCH('BAU Comparison - All Fuel'!S$31,'Proposed Amendments Scenario'!$A$2:$AC$2,0))</f>
        <v>0</v>
      </c>
      <c r="T56" s="365">
        <f>INDEX('Proposed Amendments Scenario'!$A$2:$AC$33, MATCH('BAU Comparison - All Fuel'!$B56,'Proposed Amendments Scenario'!$C$2:$C$33,0),MATCH('BAU Comparison - All Fuel'!T$31,'Proposed Amendments Scenario'!$A$2:$AC$2,0))</f>
        <v>0</v>
      </c>
      <c r="U56" s="365">
        <f>INDEX('Proposed Amendments Scenario'!$A$2:$AC$33, MATCH('BAU Comparison - All Fuel'!$B56,'Proposed Amendments Scenario'!$C$2:$C$33,0),MATCH('BAU Comparison - All Fuel'!U$31,'Proposed Amendments Scenario'!$A$2:$AC$2,0))</f>
        <v>0</v>
      </c>
      <c r="V56" s="365">
        <f>INDEX('Proposed Amendments Scenario'!$A$2:$AC$33, MATCH('BAU Comparison - All Fuel'!$B56,'Proposed Amendments Scenario'!$C$2:$C$33,0),MATCH('BAU Comparison - All Fuel'!V$31,'Proposed Amendments Scenario'!$A$2:$AC$2,0))</f>
        <v>0</v>
      </c>
      <c r="W56" s="365">
        <f>INDEX('Proposed Amendments Scenario'!$A$2:$AC$33, MATCH('BAU Comparison - All Fuel'!$B56,'Proposed Amendments Scenario'!$C$2:$C$33,0),MATCH('BAU Comparison - All Fuel'!W$31,'Proposed Amendments Scenario'!$A$2:$AC$2,0))</f>
        <v>0</v>
      </c>
      <c r="X56" s="365">
        <f>INDEX('Proposed Amendments Scenario'!$A$2:$AC$33, MATCH('BAU Comparison - All Fuel'!$B56,'Proposed Amendments Scenario'!$C$2:$C$33,0),MATCH('BAU Comparison - All Fuel'!X$31,'Proposed Amendments Scenario'!$A$2:$AC$2,0))</f>
        <v>0</v>
      </c>
      <c r="Y56" s="365">
        <f>INDEX('Proposed Amendments Scenario'!$A$2:$AC$33, MATCH('BAU Comparison - All Fuel'!$B56,'Proposed Amendments Scenario'!$C$2:$C$33,0),MATCH('BAU Comparison - All Fuel'!Y$31,'Proposed Amendments Scenario'!$A$2:$AC$2,0))</f>
        <v>0</v>
      </c>
      <c r="Z56" s="365">
        <f>INDEX('Proposed Amendments Scenario'!$A$2:$AC$33, MATCH('BAU Comparison - All Fuel'!$B56,'Proposed Amendments Scenario'!$C$2:$C$33,0),MATCH('BAU Comparison - All Fuel'!Z$31,'Proposed Amendments Scenario'!$A$2:$AC$2,0))</f>
        <v>0</v>
      </c>
      <c r="AA56" s="365">
        <f>INDEX('Proposed Amendments Scenario'!$A$2:$AC$33, MATCH('BAU Comparison - All Fuel'!$B56,'Proposed Amendments Scenario'!$C$2:$C$33,0),MATCH('BAU Comparison - All Fuel'!AA$31,'Proposed Amendments Scenario'!$A$2:$AC$2,0))</f>
        <v>0</v>
      </c>
      <c r="AB56" s="365">
        <f>INDEX('Proposed Amendments Scenario'!$A$2:$AC$33, MATCH('BAU Comparison - All Fuel'!$B56,'Proposed Amendments Scenario'!$C$2:$C$33,0),MATCH('BAU Comparison - All Fuel'!AB$31,'Proposed Amendments Scenario'!$A$2:$AC$2,0))</f>
        <v>0</v>
      </c>
      <c r="AC56" s="2"/>
    </row>
    <row r="57" spans="1:29" ht="15.75" customHeight="1">
      <c r="A57" s="456"/>
      <c r="B57" s="147" t="s">
        <v>10</v>
      </c>
      <c r="C57" s="10" t="s">
        <v>7</v>
      </c>
      <c r="D57" s="365">
        <f>INDEX('Proposed Amendments Scenario'!$A$2:$AC$33, MATCH('BAU Comparison - All Fuel'!$B57,'Proposed Amendments Scenario'!$C$2:$C$33,0),MATCH('BAU Comparison - All Fuel'!D$31,'Proposed Amendments Scenario'!$A$2:$AC$2,0))</f>
        <v>12394.075118723969</v>
      </c>
      <c r="E57" s="365">
        <f>INDEX('Proposed Amendments Scenario'!$A$2:$AC$33, MATCH('BAU Comparison - All Fuel'!$B57,'Proposed Amendments Scenario'!$C$2:$C$33,0),MATCH('BAU Comparison - All Fuel'!E$31,'Proposed Amendments Scenario'!$A$2:$AC$2,0))</f>
        <v>12078.55315256515</v>
      </c>
      <c r="F57" s="365">
        <f>INDEX('Proposed Amendments Scenario'!$A$2:$AC$33, MATCH('BAU Comparison - All Fuel'!$B57,'Proposed Amendments Scenario'!$C$2:$C$33,0),MATCH('BAU Comparison - All Fuel'!F$31,'Proposed Amendments Scenario'!$A$2:$AC$2,0))</f>
        <v>11612.38832067946</v>
      </c>
      <c r="G57" s="365">
        <f>INDEX('Proposed Amendments Scenario'!$A$2:$AC$33, MATCH('BAU Comparison - All Fuel'!$B57,'Proposed Amendments Scenario'!$C$2:$C$33,0),MATCH('BAU Comparison - All Fuel'!G$31,'Proposed Amendments Scenario'!$A$2:$AC$2,0))</f>
        <v>11272.88216981195</v>
      </c>
      <c r="H57" s="365">
        <f>INDEX('Proposed Amendments Scenario'!$A$2:$AC$33, MATCH('BAU Comparison - All Fuel'!$B57,'Proposed Amendments Scenario'!$C$2:$C$33,0),MATCH('BAU Comparison - All Fuel'!H$31,'Proposed Amendments Scenario'!$A$2:$AC$2,0))</f>
        <v>10913.35025011942</v>
      </c>
      <c r="I57" s="365">
        <f>INDEX('Proposed Amendments Scenario'!$A$2:$AC$33, MATCH('BAU Comparison - All Fuel'!$B57,'Proposed Amendments Scenario'!$C$2:$C$33,0),MATCH('BAU Comparison - All Fuel'!I$31,'Proposed Amendments Scenario'!$A$2:$AC$2,0))</f>
        <v>10486.560522742389</v>
      </c>
      <c r="J57" s="365">
        <f>INDEX('Proposed Amendments Scenario'!$A$2:$AC$33, MATCH('BAU Comparison - All Fuel'!$B57,'Proposed Amendments Scenario'!$C$2:$C$33,0),MATCH('BAU Comparison - All Fuel'!J$31,'Proposed Amendments Scenario'!$A$2:$AC$2,0))</f>
        <v>10040.583982822151</v>
      </c>
      <c r="K57" s="365">
        <f>INDEX('Proposed Amendments Scenario'!$A$2:$AC$33, MATCH('BAU Comparison - All Fuel'!$B57,'Proposed Amendments Scenario'!$C$2:$C$33,0),MATCH('BAU Comparison - All Fuel'!K$31,'Proposed Amendments Scenario'!$A$2:$AC$2,0))</f>
        <v>9576.2266623162577</v>
      </c>
      <c r="L57" s="365">
        <f>INDEX('Proposed Amendments Scenario'!$A$2:$AC$33, MATCH('BAU Comparison - All Fuel'!$B57,'Proposed Amendments Scenario'!$C$2:$C$33,0),MATCH('BAU Comparison - All Fuel'!L$31,'Proposed Amendments Scenario'!$A$2:$AC$2,0))</f>
        <v>9090.4400649941072</v>
      </c>
      <c r="M57" s="365">
        <f>INDEX('Proposed Amendments Scenario'!$A$2:$AC$33, MATCH('BAU Comparison - All Fuel'!$B57,'Proposed Amendments Scenario'!$C$2:$C$33,0),MATCH('BAU Comparison - All Fuel'!M$31,'Proposed Amendments Scenario'!$A$2:$AC$2,0))</f>
        <v>8582.2159985613525</v>
      </c>
      <c r="N57" s="365">
        <f>INDEX('Proposed Amendments Scenario'!$A$2:$AC$33, MATCH('BAU Comparison - All Fuel'!$B57,'Proposed Amendments Scenario'!$C$2:$C$33,0),MATCH('BAU Comparison - All Fuel'!N$31,'Proposed Amendments Scenario'!$A$2:$AC$2,0))</f>
        <v>8051.9557676983013</v>
      </c>
      <c r="O57" s="365">
        <f>INDEX('Proposed Amendments Scenario'!$A$2:$AC$33, MATCH('BAU Comparison - All Fuel'!$B57,'Proposed Amendments Scenario'!$C$2:$C$33,0),MATCH('BAU Comparison - All Fuel'!O$31,'Proposed Amendments Scenario'!$A$2:$AC$2,0))</f>
        <v>7492.1411850500181</v>
      </c>
      <c r="P57" s="365">
        <f>INDEX('Proposed Amendments Scenario'!$A$2:$AC$33, MATCH('BAU Comparison - All Fuel'!$B57,'Proposed Amendments Scenario'!$C$2:$C$33,0),MATCH('BAU Comparison - All Fuel'!P$31,'Proposed Amendments Scenario'!$A$2:$AC$2,0))</f>
        <v>6916.5307218760008</v>
      </c>
      <c r="Q57" s="365">
        <f>INDEX('Proposed Amendments Scenario'!$A$2:$AC$33, MATCH('BAU Comparison - All Fuel'!$B57,'Proposed Amendments Scenario'!$C$2:$C$33,0),MATCH('BAU Comparison - All Fuel'!Q$31,'Proposed Amendments Scenario'!$A$2:$AC$2,0))</f>
        <v>6331.9536777557023</v>
      </c>
      <c r="R57" s="365">
        <f>INDEX('Proposed Amendments Scenario'!$A$2:$AC$33, MATCH('BAU Comparison - All Fuel'!$B57,'Proposed Amendments Scenario'!$C$2:$C$33,0),MATCH('BAU Comparison - All Fuel'!R$31,'Proposed Amendments Scenario'!$A$2:$AC$2,0))</f>
        <v>5764.4586638937844</v>
      </c>
      <c r="S57" s="365">
        <f>INDEX('Proposed Amendments Scenario'!$A$2:$AC$33, MATCH('BAU Comparison - All Fuel'!$B57,'Proposed Amendments Scenario'!$C$2:$C$33,0),MATCH('BAU Comparison - All Fuel'!S$31,'Proposed Amendments Scenario'!$A$2:$AC$2,0))</f>
        <v>5218.2243414733321</v>
      </c>
      <c r="T57" s="365">
        <f>INDEX('Proposed Amendments Scenario'!$A$2:$AC$33, MATCH('BAU Comparison - All Fuel'!$B57,'Proposed Amendments Scenario'!$C$2:$C$33,0),MATCH('BAU Comparison - All Fuel'!T$31,'Proposed Amendments Scenario'!$A$2:$AC$2,0))</f>
        <v>4698.3232726265223</v>
      </c>
      <c r="U57" s="365">
        <f>INDEX('Proposed Amendments Scenario'!$A$2:$AC$33, MATCH('BAU Comparison - All Fuel'!$B57,'Proposed Amendments Scenario'!$C$2:$C$33,0),MATCH('BAU Comparison - All Fuel'!U$31,'Proposed Amendments Scenario'!$A$2:$AC$2,0))</f>
        <v>4207.919351832169</v>
      </c>
      <c r="V57" s="365">
        <f>INDEX('Proposed Amendments Scenario'!$A$2:$AC$33, MATCH('BAU Comparison - All Fuel'!$B57,'Proposed Amendments Scenario'!$C$2:$C$33,0),MATCH('BAU Comparison - All Fuel'!V$31,'Proposed Amendments Scenario'!$A$2:$AC$2,0))</f>
        <v>3745.964352735507</v>
      </c>
      <c r="W57" s="365">
        <f>INDEX('Proposed Amendments Scenario'!$A$2:$AC$33, MATCH('BAU Comparison - All Fuel'!$B57,'Proposed Amendments Scenario'!$C$2:$C$33,0),MATCH('BAU Comparison - All Fuel'!W$31,'Proposed Amendments Scenario'!$A$2:$AC$2,0))</f>
        <v>3313.4408276794502</v>
      </c>
      <c r="X57" s="365">
        <f>INDEX('Proposed Amendments Scenario'!$A$2:$AC$33, MATCH('BAU Comparison - All Fuel'!$B57,'Proposed Amendments Scenario'!$C$2:$C$33,0),MATCH('BAU Comparison - All Fuel'!X$31,'Proposed Amendments Scenario'!$A$2:$AC$2,0))</f>
        <v>2911.628222349776</v>
      </c>
      <c r="Y57" s="365">
        <f>INDEX('Proposed Amendments Scenario'!$A$2:$AC$33, MATCH('BAU Comparison - All Fuel'!$B57,'Proposed Amendments Scenario'!$C$2:$C$33,0),MATCH('BAU Comparison - All Fuel'!Y$31,'Proposed Amendments Scenario'!$A$2:$AC$2,0))</f>
        <v>2541.46774638735</v>
      </c>
      <c r="Z57" s="365">
        <f>INDEX('Proposed Amendments Scenario'!$A$2:$AC$33, MATCH('BAU Comparison - All Fuel'!$B57,'Proposed Amendments Scenario'!$C$2:$C$33,0),MATCH('BAU Comparison - All Fuel'!Z$31,'Proposed Amendments Scenario'!$A$2:$AC$2,0))</f>
        <v>2200.8953722041319</v>
      </c>
      <c r="AA57" s="365">
        <f>INDEX('Proposed Amendments Scenario'!$A$2:$AC$33, MATCH('BAU Comparison - All Fuel'!$B57,'Proposed Amendments Scenario'!$C$2:$C$33,0),MATCH('BAU Comparison - All Fuel'!AA$31,'Proposed Amendments Scenario'!$A$2:$AC$2,0))</f>
        <v>1890.4602410712359</v>
      </c>
      <c r="AB57" s="365">
        <f>INDEX('Proposed Amendments Scenario'!$A$2:$AC$33, MATCH('BAU Comparison - All Fuel'!$B57,'Proposed Amendments Scenario'!$C$2:$C$33,0),MATCH('BAU Comparison - All Fuel'!AB$31,'Proposed Amendments Scenario'!$A$2:$AC$2,0))</f>
        <v>1632.2832112039091</v>
      </c>
    </row>
    <row r="58" spans="1:29" ht="15.75" customHeight="1">
      <c r="A58" s="456"/>
      <c r="B58" s="147" t="s">
        <v>35</v>
      </c>
      <c r="C58" s="10" t="s">
        <v>185</v>
      </c>
      <c r="D58" s="365">
        <f>INDEX('Proposed Amendments Scenario'!$A$2:$AC$33, MATCH('BAU Comparison - All Fuel'!$B58,'Proposed Amendments Scenario'!$C$2:$C$33,0),MATCH('BAU Comparison - All Fuel'!D$31,'Proposed Amendments Scenario'!$A$2:$AC$2,0))</f>
        <v>2041.163086138173</v>
      </c>
      <c r="E58" s="365">
        <f>INDEX('Proposed Amendments Scenario'!$A$2:$AC$33, MATCH('BAU Comparison - All Fuel'!$B58,'Proposed Amendments Scenario'!$C$2:$C$33,0),MATCH('BAU Comparison - All Fuel'!E$31,'Proposed Amendments Scenario'!$A$2:$AC$2,0))</f>
        <v>1503.986061292482</v>
      </c>
      <c r="F58" s="365">
        <f>INDEX('Proposed Amendments Scenario'!$A$2:$AC$33, MATCH('BAU Comparison - All Fuel'!$B58,'Proposed Amendments Scenario'!$C$2:$C$33,0),MATCH('BAU Comparison - All Fuel'!F$31,'Proposed Amendments Scenario'!$A$2:$AC$2,0))</f>
        <v>902.39163677548902</v>
      </c>
      <c r="G58" s="365">
        <f>INDEX('Proposed Amendments Scenario'!$A$2:$AC$33, MATCH('BAU Comparison - All Fuel'!$B58,'Proposed Amendments Scenario'!$C$2:$C$33,0),MATCH('BAU Comparison - All Fuel'!G$31,'Proposed Amendments Scenario'!$A$2:$AC$2,0))</f>
        <v>623.78531129197438</v>
      </c>
      <c r="H58" s="365">
        <f>INDEX('Proposed Amendments Scenario'!$A$2:$AC$33, MATCH('BAU Comparison - All Fuel'!$B58,'Proposed Amendments Scenario'!$C$2:$C$33,0),MATCH('BAU Comparison - All Fuel'!H$31,'Proposed Amendments Scenario'!$A$2:$AC$2,0))</f>
        <v>635.14839354366347</v>
      </c>
      <c r="I58" s="365">
        <f>INDEX('Proposed Amendments Scenario'!$A$2:$AC$33, MATCH('BAU Comparison - All Fuel'!$B58,'Proposed Amendments Scenario'!$C$2:$C$33,0),MATCH('BAU Comparison - All Fuel'!I$31,'Proposed Amendments Scenario'!$A$2:$AC$2,0))</f>
        <v>639.91522276699436</v>
      </c>
      <c r="J58" s="365">
        <f>INDEX('Proposed Amendments Scenario'!$A$2:$AC$33, MATCH('BAU Comparison - All Fuel'!$B58,'Proposed Amendments Scenario'!$C$2:$C$33,0),MATCH('BAU Comparison - All Fuel'!J$31,'Proposed Amendments Scenario'!$A$2:$AC$2,0))</f>
        <v>724.86542048160709</v>
      </c>
      <c r="K58" s="365">
        <f>INDEX('Proposed Amendments Scenario'!$A$2:$AC$33, MATCH('BAU Comparison - All Fuel'!$B58,'Proposed Amendments Scenario'!$C$2:$C$33,0),MATCH('BAU Comparison - All Fuel'!K$31,'Proposed Amendments Scenario'!$A$2:$AC$2,0))</f>
        <v>690.58325270002945</v>
      </c>
      <c r="L58" s="365">
        <f>INDEX('Proposed Amendments Scenario'!$A$2:$AC$33, MATCH('BAU Comparison - All Fuel'!$B58,'Proposed Amendments Scenario'!$C$2:$C$33,0),MATCH('BAU Comparison - All Fuel'!L$31,'Proposed Amendments Scenario'!$A$2:$AC$2,0))</f>
        <v>639.22880743066673</v>
      </c>
      <c r="M58" s="365">
        <f>INDEX('Proposed Amendments Scenario'!$A$2:$AC$33, MATCH('BAU Comparison - All Fuel'!$B58,'Proposed Amendments Scenario'!$C$2:$C$33,0),MATCH('BAU Comparison - All Fuel'!M$31,'Proposed Amendments Scenario'!$A$2:$AC$2,0))</f>
        <v>595.2622314427889</v>
      </c>
      <c r="N58" s="365">
        <f>INDEX('Proposed Amendments Scenario'!$A$2:$AC$33, MATCH('BAU Comparison - All Fuel'!$B58,'Proposed Amendments Scenario'!$C$2:$C$33,0),MATCH('BAU Comparison - All Fuel'!N$31,'Proposed Amendments Scenario'!$A$2:$AC$2,0))</f>
        <v>556.92385302144964</v>
      </c>
      <c r="O58" s="365">
        <f>INDEX('Proposed Amendments Scenario'!$A$2:$AC$33, MATCH('BAU Comparison - All Fuel'!$B58,'Proposed Amendments Scenario'!$C$2:$C$33,0),MATCH('BAU Comparison - All Fuel'!O$31,'Proposed Amendments Scenario'!$A$2:$AC$2,0))</f>
        <v>530.87079736935004</v>
      </c>
      <c r="P58" s="365">
        <f>INDEX('Proposed Amendments Scenario'!$A$2:$AC$33, MATCH('BAU Comparison - All Fuel'!$B58,'Proposed Amendments Scenario'!$C$2:$C$33,0),MATCH('BAU Comparison - All Fuel'!P$31,'Proposed Amendments Scenario'!$A$2:$AC$2,0))</f>
        <v>484.18276654067768</v>
      </c>
      <c r="Q58" s="365">
        <f>INDEX('Proposed Amendments Scenario'!$A$2:$AC$33, MATCH('BAU Comparison - All Fuel'!$B58,'Proposed Amendments Scenario'!$C$2:$C$33,0),MATCH('BAU Comparison - All Fuel'!Q$31,'Proposed Amendments Scenario'!$A$2:$AC$2,0))</f>
        <v>428.18565671405588</v>
      </c>
      <c r="R58" s="365">
        <f>INDEX('Proposed Amendments Scenario'!$A$2:$AC$33, MATCH('BAU Comparison - All Fuel'!$B58,'Proposed Amendments Scenario'!$C$2:$C$33,0),MATCH('BAU Comparison - All Fuel'!R$31,'Proposed Amendments Scenario'!$A$2:$AC$2,0))</f>
        <v>380.10152019115731</v>
      </c>
      <c r="S58" s="365">
        <f>INDEX('Proposed Amendments Scenario'!$A$2:$AC$33, MATCH('BAU Comparison - All Fuel'!$B58,'Proposed Amendments Scenario'!$C$2:$C$33,0),MATCH('BAU Comparison - All Fuel'!S$31,'Proposed Amendments Scenario'!$A$2:$AC$2,0))</f>
        <v>329.9230632131904</v>
      </c>
      <c r="T58" s="365">
        <f>INDEX('Proposed Amendments Scenario'!$A$2:$AC$33, MATCH('BAU Comparison - All Fuel'!$B58,'Proposed Amendments Scenario'!$C$2:$C$33,0),MATCH('BAU Comparison - All Fuel'!T$31,'Proposed Amendments Scenario'!$A$2:$AC$2,0))</f>
        <v>277.15935286127359</v>
      </c>
      <c r="U58" s="365">
        <f>INDEX('Proposed Amendments Scenario'!$A$2:$AC$33, MATCH('BAU Comparison - All Fuel'!$B58,'Proposed Amendments Scenario'!$C$2:$C$33,0),MATCH('BAU Comparison - All Fuel'!U$31,'Proposed Amendments Scenario'!$A$2:$AC$2,0))</f>
        <v>166.2956117167642</v>
      </c>
      <c r="V58" s="365">
        <f>INDEX('Proposed Amendments Scenario'!$A$2:$AC$33, MATCH('BAU Comparison - All Fuel'!$B58,'Proposed Amendments Scenario'!$C$2:$C$33,0),MATCH('BAU Comparison - All Fuel'!V$31,'Proposed Amendments Scenario'!$A$2:$AC$2,0))</f>
        <v>99.777367030058514</v>
      </c>
      <c r="W58" s="365">
        <f>INDEX('Proposed Amendments Scenario'!$A$2:$AC$33, MATCH('BAU Comparison - All Fuel'!$B58,'Proposed Amendments Scenario'!$C$2:$C$33,0),MATCH('BAU Comparison - All Fuel'!W$31,'Proposed Amendments Scenario'!$A$2:$AC$2,0))</f>
        <v>59.866420218035117</v>
      </c>
      <c r="X58" s="365">
        <f>INDEX('Proposed Amendments Scenario'!$A$2:$AC$33, MATCH('BAU Comparison - All Fuel'!$B58,'Proposed Amendments Scenario'!$C$2:$C$33,0),MATCH('BAU Comparison - All Fuel'!X$31,'Proposed Amendments Scenario'!$A$2:$AC$2,0))</f>
        <v>35.919852130821063</v>
      </c>
      <c r="Y58" s="365">
        <f>INDEX('Proposed Amendments Scenario'!$A$2:$AC$33, MATCH('BAU Comparison - All Fuel'!$B58,'Proposed Amendments Scenario'!$C$2:$C$33,0),MATCH('BAU Comparison - All Fuel'!Y$31,'Proposed Amendments Scenario'!$A$2:$AC$2,0))</f>
        <v>42.142495840922678</v>
      </c>
      <c r="Z58" s="365">
        <f>INDEX('Proposed Amendments Scenario'!$A$2:$AC$33, MATCH('BAU Comparison - All Fuel'!$B58,'Proposed Amendments Scenario'!$C$2:$C$33,0),MATCH('BAU Comparison - All Fuel'!Z$31,'Proposed Amendments Scenario'!$A$2:$AC$2,0))</f>
        <v>58.999494177291758</v>
      </c>
      <c r="AA58" s="365">
        <f>INDEX('Proposed Amendments Scenario'!$A$2:$AC$33, MATCH('BAU Comparison - All Fuel'!$B58,'Proposed Amendments Scenario'!$C$2:$C$33,0),MATCH('BAU Comparison - All Fuel'!AA$31,'Proposed Amendments Scenario'!$A$2:$AC$2,0))</f>
        <v>82.599291848208466</v>
      </c>
      <c r="AB58" s="365">
        <f>INDEX('Proposed Amendments Scenario'!$A$2:$AC$33, MATCH('BAU Comparison - All Fuel'!$B58,'Proposed Amendments Scenario'!$C$2:$C$33,0),MATCH('BAU Comparison - All Fuel'!AB$31,'Proposed Amendments Scenario'!$A$2:$AC$2,0))</f>
        <v>115.6390085874919</v>
      </c>
    </row>
    <row r="60" spans="1:29" ht="15" customHeight="1">
      <c r="A60" s="457" t="s">
        <v>188</v>
      </c>
      <c r="B60" s="174" t="s">
        <v>3</v>
      </c>
      <c r="C60" s="11" t="s">
        <v>1</v>
      </c>
      <c r="D60" s="345">
        <f t="shared" ref="D60:AB60" si="1">D31</f>
        <v>2022</v>
      </c>
      <c r="E60" s="345">
        <f t="shared" si="1"/>
        <v>2023</v>
      </c>
      <c r="F60" s="345">
        <f t="shared" si="1"/>
        <v>2024</v>
      </c>
      <c r="G60" s="345">
        <f t="shared" si="1"/>
        <v>2025</v>
      </c>
      <c r="H60" s="345">
        <f t="shared" si="1"/>
        <v>2026</v>
      </c>
      <c r="I60" s="345">
        <f t="shared" si="1"/>
        <v>2027</v>
      </c>
      <c r="J60" s="345">
        <f t="shared" si="1"/>
        <v>2028</v>
      </c>
      <c r="K60" s="345">
        <f t="shared" si="1"/>
        <v>2029</v>
      </c>
      <c r="L60" s="345">
        <f t="shared" si="1"/>
        <v>2030</v>
      </c>
      <c r="M60" s="345">
        <f t="shared" si="1"/>
        <v>2031</v>
      </c>
      <c r="N60" s="345">
        <f t="shared" si="1"/>
        <v>2032</v>
      </c>
      <c r="O60" s="345">
        <f t="shared" si="1"/>
        <v>2033</v>
      </c>
      <c r="P60" s="345">
        <f t="shared" si="1"/>
        <v>2034</v>
      </c>
      <c r="Q60" s="345">
        <f t="shared" si="1"/>
        <v>2035</v>
      </c>
      <c r="R60" s="345">
        <f t="shared" si="1"/>
        <v>2036</v>
      </c>
      <c r="S60" s="345">
        <f t="shared" si="1"/>
        <v>2037</v>
      </c>
      <c r="T60" s="345">
        <f t="shared" si="1"/>
        <v>2038</v>
      </c>
      <c r="U60" s="345">
        <f t="shared" si="1"/>
        <v>2039</v>
      </c>
      <c r="V60" s="345">
        <f t="shared" si="1"/>
        <v>2040</v>
      </c>
      <c r="W60" s="345">
        <f t="shared" si="1"/>
        <v>2041</v>
      </c>
      <c r="X60" s="345">
        <f t="shared" si="1"/>
        <v>2042</v>
      </c>
      <c r="Y60" s="345">
        <f t="shared" si="1"/>
        <v>2043</v>
      </c>
      <c r="Z60" s="345">
        <f t="shared" si="1"/>
        <v>2044</v>
      </c>
      <c r="AA60" s="345">
        <f t="shared" si="1"/>
        <v>2045</v>
      </c>
      <c r="AB60" s="345">
        <f t="shared" si="1"/>
        <v>2046</v>
      </c>
    </row>
    <row r="61" spans="1:29" ht="15" customHeight="1">
      <c r="A61" s="457"/>
      <c r="B61" s="10" t="s">
        <v>102</v>
      </c>
      <c r="C61" s="10" t="s">
        <v>7</v>
      </c>
      <c r="D61" s="193">
        <f t="shared" ref="D61:AB61" si="2">D32-D2</f>
        <v>0</v>
      </c>
      <c r="E61" s="193">
        <f t="shared" si="2"/>
        <v>0</v>
      </c>
      <c r="F61" s="193">
        <f t="shared" si="2"/>
        <v>0</v>
      </c>
      <c r="G61" s="193">
        <f t="shared" si="2"/>
        <v>0</v>
      </c>
      <c r="H61" s="193">
        <f t="shared" si="2"/>
        <v>0</v>
      </c>
      <c r="I61" s="193">
        <f t="shared" si="2"/>
        <v>0</v>
      </c>
      <c r="J61" s="193">
        <f t="shared" si="2"/>
        <v>0</v>
      </c>
      <c r="K61" s="193">
        <f t="shared" si="2"/>
        <v>0</v>
      </c>
      <c r="L61" s="193">
        <f t="shared" si="2"/>
        <v>0</v>
      </c>
      <c r="M61" s="193">
        <f t="shared" si="2"/>
        <v>0</v>
      </c>
      <c r="N61" s="193">
        <f t="shared" si="2"/>
        <v>0</v>
      </c>
      <c r="O61" s="193">
        <f t="shared" si="2"/>
        <v>0</v>
      </c>
      <c r="P61" s="193">
        <f t="shared" si="2"/>
        <v>0</v>
      </c>
      <c r="Q61" s="193">
        <f t="shared" si="2"/>
        <v>0</v>
      </c>
      <c r="R61" s="193">
        <f t="shared" si="2"/>
        <v>0</v>
      </c>
      <c r="S61" s="193">
        <f t="shared" si="2"/>
        <v>0</v>
      </c>
      <c r="T61" s="193">
        <f t="shared" si="2"/>
        <v>0</v>
      </c>
      <c r="U61" s="193">
        <f t="shared" si="2"/>
        <v>0</v>
      </c>
      <c r="V61" s="193">
        <f t="shared" si="2"/>
        <v>0</v>
      </c>
      <c r="W61" s="193">
        <f t="shared" si="2"/>
        <v>0</v>
      </c>
      <c r="X61" s="193">
        <f t="shared" si="2"/>
        <v>0</v>
      </c>
      <c r="Y61" s="193">
        <f t="shared" si="2"/>
        <v>0</v>
      </c>
      <c r="Z61" s="193">
        <f t="shared" si="2"/>
        <v>0</v>
      </c>
      <c r="AA61" s="193">
        <f t="shared" si="2"/>
        <v>0</v>
      </c>
      <c r="AB61" s="193">
        <f t="shared" si="2"/>
        <v>0</v>
      </c>
    </row>
    <row r="62" spans="1:29" ht="15" customHeight="1">
      <c r="A62" s="457"/>
      <c r="B62" s="10" t="s">
        <v>19</v>
      </c>
      <c r="C62" s="10" t="s">
        <v>7</v>
      </c>
      <c r="D62" s="193">
        <f t="shared" ref="D62:AB62" si="3">D33-D3</f>
        <v>0</v>
      </c>
      <c r="E62" s="193">
        <f t="shared" si="3"/>
        <v>0</v>
      </c>
      <c r="F62" s="193">
        <f t="shared" si="3"/>
        <v>0</v>
      </c>
      <c r="G62" s="193">
        <f t="shared" si="3"/>
        <v>0</v>
      </c>
      <c r="H62" s="193">
        <f t="shared" si="3"/>
        <v>0</v>
      </c>
      <c r="I62" s="193">
        <f t="shared" si="3"/>
        <v>0</v>
      </c>
      <c r="J62" s="193">
        <f t="shared" si="3"/>
        <v>0</v>
      </c>
      <c r="K62" s="193">
        <f t="shared" si="3"/>
        <v>0</v>
      </c>
      <c r="L62" s="193">
        <f t="shared" si="3"/>
        <v>0</v>
      </c>
      <c r="M62" s="193">
        <f t="shared" si="3"/>
        <v>0</v>
      </c>
      <c r="N62" s="193">
        <f t="shared" si="3"/>
        <v>0</v>
      </c>
      <c r="O62" s="193">
        <f t="shared" si="3"/>
        <v>0</v>
      </c>
      <c r="P62" s="193">
        <f t="shared" si="3"/>
        <v>0</v>
      </c>
      <c r="Q62" s="193">
        <f t="shared" si="3"/>
        <v>0</v>
      </c>
      <c r="R62" s="193">
        <f t="shared" si="3"/>
        <v>0</v>
      </c>
      <c r="S62" s="193">
        <f t="shared" si="3"/>
        <v>0</v>
      </c>
      <c r="T62" s="193">
        <f t="shared" si="3"/>
        <v>0</v>
      </c>
      <c r="U62" s="193">
        <f t="shared" si="3"/>
        <v>0</v>
      </c>
      <c r="V62" s="193">
        <f t="shared" si="3"/>
        <v>0</v>
      </c>
      <c r="W62" s="193">
        <f t="shared" si="3"/>
        <v>0</v>
      </c>
      <c r="X62" s="193">
        <f t="shared" si="3"/>
        <v>0</v>
      </c>
      <c r="Y62" s="193">
        <f t="shared" si="3"/>
        <v>0</v>
      </c>
      <c r="Z62" s="193">
        <f t="shared" si="3"/>
        <v>0</v>
      </c>
      <c r="AA62" s="193">
        <f t="shared" si="3"/>
        <v>0</v>
      </c>
      <c r="AB62" s="193">
        <f t="shared" si="3"/>
        <v>0</v>
      </c>
    </row>
    <row r="63" spans="1:29" ht="15" customHeight="1">
      <c r="A63" s="457"/>
      <c r="B63" s="10" t="s">
        <v>104</v>
      </c>
      <c r="C63" s="10" t="s">
        <v>7</v>
      </c>
      <c r="D63" s="193">
        <f t="shared" ref="D63:AB63" si="4">D34-D4</f>
        <v>0</v>
      </c>
      <c r="E63" s="193">
        <f t="shared" si="4"/>
        <v>0</v>
      </c>
      <c r="F63" s="193">
        <f t="shared" si="4"/>
        <v>0</v>
      </c>
      <c r="G63" s="193">
        <f t="shared" si="4"/>
        <v>0</v>
      </c>
      <c r="H63" s="193">
        <f t="shared" si="4"/>
        <v>0</v>
      </c>
      <c r="I63" s="193">
        <f t="shared" si="4"/>
        <v>0</v>
      </c>
      <c r="J63" s="193">
        <f t="shared" si="4"/>
        <v>0</v>
      </c>
      <c r="K63" s="193">
        <f t="shared" si="4"/>
        <v>0</v>
      </c>
      <c r="L63" s="193">
        <f t="shared" si="4"/>
        <v>0</v>
      </c>
      <c r="M63" s="193">
        <f t="shared" si="4"/>
        <v>0</v>
      </c>
      <c r="N63" s="193">
        <f t="shared" si="4"/>
        <v>0</v>
      </c>
      <c r="O63" s="193">
        <f t="shared" si="4"/>
        <v>0</v>
      </c>
      <c r="P63" s="193">
        <f t="shared" si="4"/>
        <v>0</v>
      </c>
      <c r="Q63" s="193">
        <f t="shared" si="4"/>
        <v>0</v>
      </c>
      <c r="R63" s="193">
        <f t="shared" si="4"/>
        <v>0</v>
      </c>
      <c r="S63" s="193">
        <f t="shared" si="4"/>
        <v>0</v>
      </c>
      <c r="T63" s="193">
        <f t="shared" si="4"/>
        <v>0</v>
      </c>
      <c r="U63" s="193">
        <f t="shared" si="4"/>
        <v>0</v>
      </c>
      <c r="V63" s="193">
        <f t="shared" si="4"/>
        <v>0</v>
      </c>
      <c r="W63" s="193">
        <f t="shared" si="4"/>
        <v>0</v>
      </c>
      <c r="X63" s="193">
        <f t="shared" si="4"/>
        <v>0</v>
      </c>
      <c r="Y63" s="193">
        <f t="shared" si="4"/>
        <v>0</v>
      </c>
      <c r="Z63" s="193">
        <f t="shared" si="4"/>
        <v>0</v>
      </c>
      <c r="AA63" s="193">
        <f t="shared" si="4"/>
        <v>0</v>
      </c>
      <c r="AB63" s="193">
        <f t="shared" si="4"/>
        <v>0</v>
      </c>
    </row>
    <row r="64" spans="1:29" ht="15" customHeight="1">
      <c r="A64" s="457"/>
      <c r="B64" s="10" t="s">
        <v>29</v>
      </c>
      <c r="C64" s="10" t="s">
        <v>22</v>
      </c>
      <c r="D64" s="193">
        <f t="shared" ref="D64:AB64" si="5">D35-D5</f>
        <v>0</v>
      </c>
      <c r="E64" s="193">
        <f t="shared" si="5"/>
        <v>0</v>
      </c>
      <c r="F64" s="193">
        <f t="shared" si="5"/>
        <v>0</v>
      </c>
      <c r="G64" s="193">
        <f t="shared" si="5"/>
        <v>0</v>
      </c>
      <c r="H64" s="193">
        <f t="shared" si="5"/>
        <v>0</v>
      </c>
      <c r="I64" s="193">
        <f t="shared" si="5"/>
        <v>0</v>
      </c>
      <c r="J64" s="193">
        <f t="shared" si="5"/>
        <v>0</v>
      </c>
      <c r="K64" s="193">
        <f t="shared" si="5"/>
        <v>0</v>
      </c>
      <c r="L64" s="193">
        <f t="shared" si="5"/>
        <v>0</v>
      </c>
      <c r="M64" s="193">
        <f t="shared" si="5"/>
        <v>0</v>
      </c>
      <c r="N64" s="193">
        <f t="shared" si="5"/>
        <v>0</v>
      </c>
      <c r="O64" s="193">
        <f t="shared" si="5"/>
        <v>0</v>
      </c>
      <c r="P64" s="193">
        <f t="shared" si="5"/>
        <v>0</v>
      </c>
      <c r="Q64" s="193">
        <f t="shared" si="5"/>
        <v>0</v>
      </c>
      <c r="R64" s="193">
        <f t="shared" si="5"/>
        <v>-10.336950848166589</v>
      </c>
      <c r="S64" s="193">
        <f t="shared" si="5"/>
        <v>-36.772132816833263</v>
      </c>
      <c r="T64" s="193">
        <f t="shared" si="5"/>
        <v>-63.80610649416662</v>
      </c>
      <c r="U64" s="193">
        <f t="shared" si="5"/>
        <v>-83.385007674999997</v>
      </c>
      <c r="V64" s="193">
        <f t="shared" si="5"/>
        <v>-89.979236608333338</v>
      </c>
      <c r="W64" s="193">
        <f t="shared" si="5"/>
        <v>-96.330386916666654</v>
      </c>
      <c r="X64" s="193">
        <f t="shared" si="5"/>
        <v>-102.3610350666667</v>
      </c>
      <c r="Y64" s="193">
        <f t="shared" si="5"/>
        <v>-108.04777675</v>
      </c>
      <c r="Z64" s="193">
        <f t="shared" si="5"/>
        <v>-113.350635025</v>
      </c>
      <c r="AA64" s="193">
        <f t="shared" si="5"/>
        <v>-118.22997807500001</v>
      </c>
      <c r="AB64" s="193">
        <f t="shared" si="5"/>
        <v>-123.36066523333329</v>
      </c>
    </row>
    <row r="65" spans="1:28" ht="15" customHeight="1">
      <c r="A65" s="457"/>
      <c r="B65" s="10" t="s">
        <v>27</v>
      </c>
      <c r="C65" s="10" t="s">
        <v>22</v>
      </c>
      <c r="D65" s="193">
        <f t="shared" ref="D65:AB65" si="6">D36-D6</f>
        <v>0</v>
      </c>
      <c r="E65" s="193">
        <f t="shared" si="6"/>
        <v>0</v>
      </c>
      <c r="F65" s="193">
        <f t="shared" si="6"/>
        <v>0</v>
      </c>
      <c r="G65" s="193">
        <f t="shared" si="6"/>
        <v>0</v>
      </c>
      <c r="H65" s="193">
        <f t="shared" si="6"/>
        <v>0</v>
      </c>
      <c r="I65" s="193">
        <f t="shared" si="6"/>
        <v>0</v>
      </c>
      <c r="J65" s="193">
        <f t="shared" si="6"/>
        <v>0</v>
      </c>
      <c r="K65" s="193">
        <f t="shared" si="6"/>
        <v>0</v>
      </c>
      <c r="L65" s="193">
        <f t="shared" si="6"/>
        <v>0</v>
      </c>
      <c r="M65" s="193">
        <f t="shared" si="6"/>
        <v>0</v>
      </c>
      <c r="N65" s="193">
        <f t="shared" si="6"/>
        <v>0</v>
      </c>
      <c r="O65" s="193">
        <f t="shared" si="6"/>
        <v>0</v>
      </c>
      <c r="P65" s="193">
        <f t="shared" si="6"/>
        <v>0</v>
      </c>
      <c r="Q65" s="193">
        <f t="shared" si="6"/>
        <v>0</v>
      </c>
      <c r="R65" s="193">
        <f t="shared" si="6"/>
        <v>0</v>
      </c>
      <c r="S65" s="193">
        <f t="shared" si="6"/>
        <v>0</v>
      </c>
      <c r="T65" s="193">
        <f t="shared" si="6"/>
        <v>0</v>
      </c>
      <c r="U65" s="193">
        <f t="shared" si="6"/>
        <v>0</v>
      </c>
      <c r="V65" s="193">
        <f t="shared" si="6"/>
        <v>75.254672526833346</v>
      </c>
      <c r="W65" s="193">
        <f t="shared" si="6"/>
        <v>87.495648467766671</v>
      </c>
      <c r="X65" s="193">
        <f t="shared" si="6"/>
        <v>54.098535066666649</v>
      </c>
      <c r="Y65" s="193">
        <f t="shared" si="6"/>
        <v>36.282880931833333</v>
      </c>
      <c r="Z65" s="193">
        <f t="shared" si="6"/>
        <v>36.045780879566671</v>
      </c>
      <c r="AA65" s="193">
        <f t="shared" si="6"/>
        <v>38.661276388026643</v>
      </c>
      <c r="AB65" s="193">
        <f t="shared" si="6"/>
        <v>54.125786943237308</v>
      </c>
    </row>
    <row r="66" spans="1:28" ht="15" customHeight="1">
      <c r="A66" s="457"/>
      <c r="B66" s="10" t="s">
        <v>28</v>
      </c>
      <c r="C66" s="10" t="s">
        <v>22</v>
      </c>
      <c r="D66" s="193">
        <f t="shared" ref="D66:AB66" si="7">D37-D7</f>
        <v>0</v>
      </c>
      <c r="E66" s="193">
        <f t="shared" si="7"/>
        <v>0</v>
      </c>
      <c r="F66" s="193">
        <f t="shared" si="7"/>
        <v>0</v>
      </c>
      <c r="G66" s="193">
        <f t="shared" si="7"/>
        <v>1.4590063</v>
      </c>
      <c r="H66" s="193">
        <f t="shared" si="7"/>
        <v>3.863752158333333</v>
      </c>
      <c r="I66" s="193">
        <f t="shared" si="7"/>
        <v>6.8395097083333338</v>
      </c>
      <c r="J66" s="193">
        <f t="shared" si="7"/>
        <v>10.851397933333329</v>
      </c>
      <c r="K66" s="193">
        <f t="shared" si="7"/>
        <v>0</v>
      </c>
      <c r="L66" s="193">
        <f t="shared" si="7"/>
        <v>0</v>
      </c>
      <c r="M66" s="193">
        <f t="shared" si="7"/>
        <v>0</v>
      </c>
      <c r="N66" s="193">
        <f t="shared" si="7"/>
        <v>0</v>
      </c>
      <c r="O66" s="193">
        <f t="shared" si="7"/>
        <v>12.35969396142362</v>
      </c>
      <c r="P66" s="193">
        <f t="shared" si="7"/>
        <v>0</v>
      </c>
      <c r="Q66" s="193">
        <f t="shared" si="7"/>
        <v>17.58700801985875</v>
      </c>
      <c r="R66" s="193">
        <f t="shared" si="7"/>
        <v>37.797658982447643</v>
      </c>
      <c r="S66" s="193">
        <f t="shared" si="7"/>
        <v>52.916722575426718</v>
      </c>
      <c r="T66" s="193">
        <f t="shared" si="7"/>
        <v>66.567018985256041</v>
      </c>
      <c r="U66" s="193">
        <f t="shared" si="7"/>
        <v>58.844067539166673</v>
      </c>
      <c r="V66" s="193">
        <f t="shared" si="7"/>
        <v>0</v>
      </c>
      <c r="W66" s="193">
        <f t="shared" si="7"/>
        <v>0</v>
      </c>
      <c r="X66" s="193">
        <f t="shared" si="7"/>
        <v>0</v>
      </c>
      <c r="Y66" s="193">
        <f t="shared" si="7"/>
        <v>42.807395818166661</v>
      </c>
      <c r="Z66" s="193">
        <f t="shared" si="7"/>
        <v>59.930354145433341</v>
      </c>
      <c r="AA66" s="193">
        <f t="shared" si="7"/>
        <v>68.752032550426662</v>
      </c>
      <c r="AB66" s="193">
        <f t="shared" si="7"/>
        <v>48.795260586666693</v>
      </c>
    </row>
    <row r="67" spans="1:28" ht="15" customHeight="1">
      <c r="A67" s="457"/>
      <c r="B67" s="10" t="s">
        <v>30</v>
      </c>
      <c r="C67" s="10" t="s">
        <v>22</v>
      </c>
      <c r="D67" s="193">
        <f t="shared" ref="D67:AB67" si="8">D38-D8</f>
        <v>0</v>
      </c>
      <c r="E67" s="193">
        <f t="shared" si="8"/>
        <v>0</v>
      </c>
      <c r="F67" s="193">
        <f t="shared" si="8"/>
        <v>0</v>
      </c>
      <c r="G67" s="193">
        <f t="shared" si="8"/>
        <v>0</v>
      </c>
      <c r="H67" s="193">
        <f t="shared" si="8"/>
        <v>0</v>
      </c>
      <c r="I67" s="193">
        <f t="shared" si="8"/>
        <v>0</v>
      </c>
      <c r="J67" s="193">
        <f t="shared" si="8"/>
        <v>0</v>
      </c>
      <c r="K67" s="193">
        <f t="shared" si="8"/>
        <v>0</v>
      </c>
      <c r="L67" s="193">
        <f t="shared" si="8"/>
        <v>0</v>
      </c>
      <c r="M67" s="193">
        <f t="shared" si="8"/>
        <v>0</v>
      </c>
      <c r="N67" s="193">
        <f t="shared" si="8"/>
        <v>0</v>
      </c>
      <c r="O67" s="193">
        <f t="shared" si="8"/>
        <v>0</v>
      </c>
      <c r="P67" s="193">
        <f t="shared" si="8"/>
        <v>0</v>
      </c>
      <c r="Q67" s="193">
        <f t="shared" si="8"/>
        <v>0</v>
      </c>
      <c r="R67" s="193">
        <f t="shared" si="8"/>
        <v>0</v>
      </c>
      <c r="S67" s="193">
        <f t="shared" si="8"/>
        <v>0</v>
      </c>
      <c r="T67" s="193">
        <f t="shared" si="8"/>
        <v>0</v>
      </c>
      <c r="U67" s="193">
        <f t="shared" si="8"/>
        <v>0</v>
      </c>
      <c r="V67" s="193">
        <f t="shared" si="8"/>
        <v>0</v>
      </c>
      <c r="W67" s="193">
        <f t="shared" si="8"/>
        <v>0</v>
      </c>
      <c r="X67" s="193">
        <f t="shared" si="8"/>
        <v>0</v>
      </c>
      <c r="Y67" s="193">
        <f t="shared" si="8"/>
        <v>0</v>
      </c>
      <c r="Z67" s="193">
        <f t="shared" si="8"/>
        <v>0</v>
      </c>
      <c r="AA67" s="193">
        <f t="shared" si="8"/>
        <v>0</v>
      </c>
      <c r="AB67" s="193">
        <f t="shared" si="8"/>
        <v>0</v>
      </c>
    </row>
    <row r="68" spans="1:28" ht="15" customHeight="1">
      <c r="A68" s="457"/>
      <c r="B68" s="10" t="s">
        <v>31</v>
      </c>
      <c r="C68" s="10" t="s">
        <v>22</v>
      </c>
      <c r="D68" s="193">
        <f t="shared" ref="D68:AB68" si="9">D39-D9</f>
        <v>0</v>
      </c>
      <c r="E68" s="193">
        <f t="shared" si="9"/>
        <v>0</v>
      </c>
      <c r="F68" s="193">
        <f t="shared" si="9"/>
        <v>0</v>
      </c>
      <c r="G68" s="193">
        <f t="shared" si="9"/>
        <v>-1.4590063</v>
      </c>
      <c r="H68" s="193">
        <f t="shared" si="9"/>
        <v>-3.863752158333333</v>
      </c>
      <c r="I68" s="193">
        <f t="shared" si="9"/>
        <v>-6.839509708333332</v>
      </c>
      <c r="J68" s="193">
        <f t="shared" si="9"/>
        <v>-10.851397933333329</v>
      </c>
      <c r="K68" s="193">
        <f t="shared" si="9"/>
        <v>0</v>
      </c>
      <c r="L68" s="193">
        <f t="shared" si="9"/>
        <v>0</v>
      </c>
      <c r="M68" s="193">
        <f t="shared" si="9"/>
        <v>0</v>
      </c>
      <c r="N68" s="193">
        <f t="shared" si="9"/>
        <v>0</v>
      </c>
      <c r="O68" s="193">
        <f t="shared" si="9"/>
        <v>-12.359693961423623</v>
      </c>
      <c r="P68" s="193">
        <f t="shared" si="9"/>
        <v>0</v>
      </c>
      <c r="Q68" s="193">
        <f t="shared" si="9"/>
        <v>-17.587008019858771</v>
      </c>
      <c r="R68" s="193">
        <f t="shared" si="9"/>
        <v>-27.460708134281049</v>
      </c>
      <c r="S68" s="193">
        <f t="shared" si="9"/>
        <v>-16.144589758593458</v>
      </c>
      <c r="T68" s="193">
        <f t="shared" si="9"/>
        <v>-2.7609124910893996</v>
      </c>
      <c r="U68" s="193">
        <f t="shared" si="9"/>
        <v>24.540940135833321</v>
      </c>
      <c r="V68" s="193">
        <f t="shared" si="9"/>
        <v>14.72456408149999</v>
      </c>
      <c r="W68" s="193">
        <f t="shared" si="9"/>
        <v>8.8347384488999907</v>
      </c>
      <c r="X68" s="193">
        <f t="shared" si="9"/>
        <v>48.262500000000003</v>
      </c>
      <c r="Y68" s="193">
        <f t="shared" si="9"/>
        <v>28.9575</v>
      </c>
      <c r="Z68" s="193">
        <f t="shared" si="9"/>
        <v>17.374500000000001</v>
      </c>
      <c r="AA68" s="193">
        <f t="shared" si="9"/>
        <v>10.81666913654669</v>
      </c>
      <c r="AB68" s="193">
        <f t="shared" si="9"/>
        <v>20.439617703429342</v>
      </c>
    </row>
    <row r="69" spans="1:28" ht="15" customHeight="1">
      <c r="A69" s="457"/>
      <c r="B69" s="10" t="s">
        <v>17</v>
      </c>
      <c r="C69" s="10" t="s">
        <v>103</v>
      </c>
      <c r="D69" s="193">
        <f t="shared" ref="D69:AB69" si="10">D40-D10</f>
        <v>0</v>
      </c>
      <c r="E69" s="193">
        <f t="shared" si="10"/>
        <v>0</v>
      </c>
      <c r="F69" s="193">
        <f t="shared" si="10"/>
        <v>0</v>
      </c>
      <c r="G69" s="193">
        <f t="shared" si="10"/>
        <v>-1468.9868259033428</v>
      </c>
      <c r="H69" s="193">
        <f t="shared" si="10"/>
        <v>-883.43209554200712</v>
      </c>
      <c r="I69" s="193">
        <f t="shared" si="10"/>
        <v>-530.05925732520518</v>
      </c>
      <c r="J69" s="193">
        <f t="shared" si="10"/>
        <v>-318.03555439512093</v>
      </c>
      <c r="K69" s="193">
        <f t="shared" si="10"/>
        <v>0</v>
      </c>
      <c r="L69" s="193">
        <f t="shared" si="10"/>
        <v>0</v>
      </c>
      <c r="M69" s="193">
        <f t="shared" si="10"/>
        <v>0</v>
      </c>
      <c r="N69" s="193">
        <f t="shared" si="10"/>
        <v>0</v>
      </c>
      <c r="O69" s="193">
        <f t="shared" si="10"/>
        <v>0</v>
      </c>
      <c r="P69" s="193">
        <f t="shared" si="10"/>
        <v>0</v>
      </c>
      <c r="Q69" s="193">
        <f t="shared" si="10"/>
        <v>0</v>
      </c>
      <c r="R69" s="193">
        <f t="shared" si="10"/>
        <v>0</v>
      </c>
      <c r="S69" s="193">
        <f t="shared" si="10"/>
        <v>0</v>
      </c>
      <c r="T69" s="193">
        <f t="shared" si="10"/>
        <v>0</v>
      </c>
      <c r="U69" s="193">
        <f t="shared" si="10"/>
        <v>-620.88534529243771</v>
      </c>
      <c r="V69" s="193">
        <f t="shared" si="10"/>
        <v>-372.53120717543061</v>
      </c>
      <c r="W69" s="193">
        <f t="shared" si="10"/>
        <v>-754.62615299630852</v>
      </c>
      <c r="X69" s="193">
        <f t="shared" si="10"/>
        <v>-1061.7572811560822</v>
      </c>
      <c r="Y69" s="193">
        <f t="shared" si="10"/>
        <v>-1512.9313770892913</v>
      </c>
      <c r="Z69" s="193">
        <f t="shared" si="10"/>
        <v>-907.75882625355734</v>
      </c>
      <c r="AA69" s="193">
        <f t="shared" si="10"/>
        <v>-544.65529575211986</v>
      </c>
      <c r="AB69" s="193">
        <f t="shared" si="10"/>
        <v>-326.79317745125445</v>
      </c>
    </row>
    <row r="70" spans="1:28" ht="15" customHeight="1">
      <c r="A70" s="457"/>
      <c r="B70" s="10" t="s">
        <v>189</v>
      </c>
      <c r="C70" s="10" t="s">
        <v>103</v>
      </c>
      <c r="D70" s="193">
        <f t="shared" ref="D70:AB70" si="11">D41-D11</f>
        <v>0</v>
      </c>
      <c r="E70" s="193">
        <f t="shared" si="11"/>
        <v>0</v>
      </c>
      <c r="F70" s="193">
        <f t="shared" si="11"/>
        <v>0</v>
      </c>
      <c r="G70" s="193">
        <f t="shared" si="11"/>
        <v>1468.9868259033419</v>
      </c>
      <c r="H70" s="193">
        <f t="shared" si="11"/>
        <v>883.43209554200519</v>
      </c>
      <c r="I70" s="193">
        <f t="shared" si="11"/>
        <v>530.05925732520313</v>
      </c>
      <c r="J70" s="193">
        <f t="shared" si="11"/>
        <v>318.03555439512189</v>
      </c>
      <c r="K70" s="193">
        <f t="shared" si="11"/>
        <v>0</v>
      </c>
      <c r="L70" s="193">
        <f t="shared" si="11"/>
        <v>0</v>
      </c>
      <c r="M70" s="193">
        <f t="shared" si="11"/>
        <v>0</v>
      </c>
      <c r="N70" s="193">
        <f t="shared" si="11"/>
        <v>0</v>
      </c>
      <c r="O70" s="193">
        <f t="shared" si="11"/>
        <v>0</v>
      </c>
      <c r="P70" s="193">
        <f t="shared" si="11"/>
        <v>0</v>
      </c>
      <c r="Q70" s="193">
        <f t="shared" si="11"/>
        <v>0</v>
      </c>
      <c r="R70" s="193">
        <f t="shared" si="11"/>
        <v>0</v>
      </c>
      <c r="S70" s="193">
        <f t="shared" si="11"/>
        <v>0</v>
      </c>
      <c r="T70" s="193">
        <f t="shared" si="11"/>
        <v>0</v>
      </c>
      <c r="U70" s="193">
        <f t="shared" si="11"/>
        <v>620.88534529244055</v>
      </c>
      <c r="V70" s="193">
        <f t="shared" si="11"/>
        <v>372.53120717546437</v>
      </c>
      <c r="W70" s="193">
        <f t="shared" si="11"/>
        <v>754.62615299629476</v>
      </c>
      <c r="X70" s="193">
        <f t="shared" si="11"/>
        <v>1061.7572811560731</v>
      </c>
      <c r="Y70" s="193">
        <f t="shared" si="11"/>
        <v>1512.9313770892511</v>
      </c>
      <c r="Z70" s="193">
        <f t="shared" si="11"/>
        <v>907.7588262535503</v>
      </c>
      <c r="AA70" s="193">
        <f t="shared" si="11"/>
        <v>544.6552957521302</v>
      </c>
      <c r="AB70" s="193">
        <f t="shared" si="11"/>
        <v>326.79317745127798</v>
      </c>
    </row>
    <row r="71" spans="1:28" ht="15" customHeight="1">
      <c r="A71" s="457"/>
      <c r="B71" s="10" t="s">
        <v>9</v>
      </c>
      <c r="C71" s="10" t="s">
        <v>7</v>
      </c>
      <c r="D71" s="193">
        <f t="shared" ref="D71:AB71" si="12">D42-D12</f>
        <v>0</v>
      </c>
      <c r="E71" s="193">
        <f t="shared" si="12"/>
        <v>0</v>
      </c>
      <c r="F71" s="193">
        <f t="shared" si="12"/>
        <v>0</v>
      </c>
      <c r="G71" s="193">
        <f t="shared" si="12"/>
        <v>0</v>
      </c>
      <c r="H71" s="193">
        <f t="shared" si="12"/>
        <v>0</v>
      </c>
      <c r="I71" s="193">
        <f t="shared" si="12"/>
        <v>0</v>
      </c>
      <c r="J71" s="193">
        <f t="shared" si="12"/>
        <v>0</v>
      </c>
      <c r="K71" s="193">
        <f t="shared" si="12"/>
        <v>0</v>
      </c>
      <c r="L71" s="193">
        <f t="shared" si="12"/>
        <v>0</v>
      </c>
      <c r="M71" s="193">
        <f t="shared" si="12"/>
        <v>0</v>
      </c>
      <c r="N71" s="193">
        <f t="shared" si="12"/>
        <v>0</v>
      </c>
      <c r="O71" s="193">
        <f t="shared" si="12"/>
        <v>0</v>
      </c>
      <c r="P71" s="193">
        <f t="shared" si="12"/>
        <v>0</v>
      </c>
      <c r="Q71" s="193">
        <f t="shared" si="12"/>
        <v>0</v>
      </c>
      <c r="R71" s="193">
        <f t="shared" si="12"/>
        <v>0</v>
      </c>
      <c r="S71" s="193">
        <f t="shared" si="12"/>
        <v>0</v>
      </c>
      <c r="T71" s="193">
        <f t="shared" si="12"/>
        <v>0</v>
      </c>
      <c r="U71" s="193">
        <f t="shared" si="12"/>
        <v>0</v>
      </c>
      <c r="V71" s="193">
        <f t="shared" si="12"/>
        <v>0</v>
      </c>
      <c r="W71" s="193">
        <f t="shared" si="12"/>
        <v>0</v>
      </c>
      <c r="X71" s="193">
        <f t="shared" si="12"/>
        <v>0</v>
      </c>
      <c r="Y71" s="193">
        <f t="shared" si="12"/>
        <v>0</v>
      </c>
      <c r="Z71" s="193">
        <f t="shared" si="12"/>
        <v>0</v>
      </c>
      <c r="AA71" s="193">
        <f t="shared" si="12"/>
        <v>0</v>
      </c>
      <c r="AB71" s="193">
        <f t="shared" si="12"/>
        <v>0</v>
      </c>
    </row>
    <row r="72" spans="1:28" ht="15" customHeight="1">
      <c r="A72" s="457"/>
      <c r="B72" s="10" t="s">
        <v>34</v>
      </c>
      <c r="C72" s="10" t="s">
        <v>7</v>
      </c>
      <c r="D72" s="193">
        <f t="shared" ref="D72:AB72" si="13">D43-D13</f>
        <v>0</v>
      </c>
      <c r="E72" s="193">
        <f t="shared" si="13"/>
        <v>0</v>
      </c>
      <c r="F72" s="193">
        <f t="shared" si="13"/>
        <v>319.95003014629083</v>
      </c>
      <c r="G72" s="193">
        <f t="shared" si="13"/>
        <v>926.77679025618886</v>
      </c>
      <c r="H72" s="193">
        <f t="shared" si="13"/>
        <v>1087.0820228956281</v>
      </c>
      <c r="I72" s="193">
        <f>I43-I13</f>
        <v>1149.726444249977</v>
      </c>
      <c r="J72" s="193">
        <f t="shared" si="13"/>
        <v>1081.376684332258</v>
      </c>
      <c r="K72" s="193">
        <f t="shared" si="13"/>
        <v>1088.773462709426</v>
      </c>
      <c r="L72" s="193">
        <f t="shared" si="13"/>
        <v>1080.0131061724262</v>
      </c>
      <c r="M72" s="193">
        <f t="shared" si="13"/>
        <v>1061.9544213938209</v>
      </c>
      <c r="N72" s="193">
        <f t="shared" si="13"/>
        <v>1038.7008137959479</v>
      </c>
      <c r="O72" s="193">
        <f t="shared" si="13"/>
        <v>1012.7028044084338</v>
      </c>
      <c r="P72" s="193">
        <f t="shared" si="13"/>
        <v>990.44300337170694</v>
      </c>
      <c r="Q72" s="193">
        <f t="shared" si="13"/>
        <v>960.72971327055598</v>
      </c>
      <c r="R72" s="193">
        <f t="shared" si="13"/>
        <v>931.90782187243917</v>
      </c>
      <c r="S72" s="193">
        <f t="shared" si="13"/>
        <v>903.95058721626606</v>
      </c>
      <c r="T72" s="193">
        <f t="shared" si="13"/>
        <v>876.83206959977792</v>
      </c>
      <c r="U72" s="193">
        <f t="shared" si="13"/>
        <v>906.60010233176513</v>
      </c>
      <c r="V72" s="193">
        <f t="shared" si="13"/>
        <v>929.22035886876006</v>
      </c>
      <c r="W72" s="193">
        <f t="shared" si="13"/>
        <v>917.80875975431877</v>
      </c>
      <c r="X72" s="193">
        <f t="shared" si="13"/>
        <v>882.04963186143482</v>
      </c>
      <c r="Y72" s="193">
        <f t="shared" si="13"/>
        <v>875.39839469446792</v>
      </c>
      <c r="Z72" s="193">
        <f t="shared" si="13"/>
        <v>861.39449571805812</v>
      </c>
      <c r="AA72" s="193">
        <f t="shared" si="13"/>
        <v>846.42898114182776</v>
      </c>
      <c r="AB72" s="193">
        <f t="shared" si="13"/>
        <v>815.47343981570816</v>
      </c>
    </row>
    <row r="73" spans="1:28" ht="15" customHeight="1">
      <c r="A73" s="457"/>
      <c r="B73" s="10" t="s">
        <v>33</v>
      </c>
      <c r="C73" s="10" t="s">
        <v>13</v>
      </c>
      <c r="D73" s="193">
        <f t="shared" ref="D73:AB73" si="14">D44-D14</f>
        <v>0</v>
      </c>
      <c r="E73" s="193">
        <f t="shared" si="14"/>
        <v>0</v>
      </c>
      <c r="F73" s="193">
        <f t="shared" si="14"/>
        <v>0</v>
      </c>
      <c r="G73" s="193">
        <f t="shared" si="14"/>
        <v>0</v>
      </c>
      <c r="H73" s="193">
        <f t="shared" si="14"/>
        <v>0</v>
      </c>
      <c r="I73" s="193">
        <f t="shared" si="14"/>
        <v>0</v>
      </c>
      <c r="J73" s="193">
        <f t="shared" si="14"/>
        <v>0</v>
      </c>
      <c r="K73" s="193">
        <f t="shared" si="14"/>
        <v>0</v>
      </c>
      <c r="L73" s="193">
        <f t="shared" si="14"/>
        <v>0</v>
      </c>
      <c r="M73" s="193">
        <f t="shared" si="14"/>
        <v>0</v>
      </c>
      <c r="N73" s="193">
        <f t="shared" si="14"/>
        <v>0</v>
      </c>
      <c r="O73" s="193">
        <f t="shared" si="14"/>
        <v>0</v>
      </c>
      <c r="P73" s="193">
        <f t="shared" si="14"/>
        <v>0</v>
      </c>
      <c r="Q73" s="193">
        <f t="shared" si="14"/>
        <v>0</v>
      </c>
      <c r="R73" s="193">
        <f t="shared" si="14"/>
        <v>0</v>
      </c>
      <c r="S73" s="193">
        <f t="shared" si="14"/>
        <v>0</v>
      </c>
      <c r="T73" s="193">
        <f t="shared" si="14"/>
        <v>0</v>
      </c>
      <c r="U73" s="193">
        <f t="shared" si="14"/>
        <v>0</v>
      </c>
      <c r="V73" s="193">
        <f t="shared" si="14"/>
        <v>0</v>
      </c>
      <c r="W73" s="193">
        <f t="shared" si="14"/>
        <v>0</v>
      </c>
      <c r="X73" s="193">
        <f t="shared" si="14"/>
        <v>0</v>
      </c>
      <c r="Y73" s="193">
        <f t="shared" si="14"/>
        <v>0</v>
      </c>
      <c r="Z73" s="193">
        <f t="shared" si="14"/>
        <v>0</v>
      </c>
      <c r="AA73" s="193">
        <f t="shared" si="14"/>
        <v>0</v>
      </c>
      <c r="AB73" s="193">
        <f t="shared" si="14"/>
        <v>0</v>
      </c>
    </row>
    <row r="74" spans="1:28" ht="15" customHeight="1">
      <c r="A74" s="457"/>
      <c r="B74" s="10" t="s">
        <v>24</v>
      </c>
      <c r="C74" s="10" t="s">
        <v>22</v>
      </c>
      <c r="D74" s="193">
        <f t="shared" ref="D74:AB74" si="15">D45-D15</f>
        <v>0</v>
      </c>
      <c r="E74" s="193">
        <f t="shared" si="15"/>
        <v>0</v>
      </c>
      <c r="F74" s="193">
        <f t="shared" si="15"/>
        <v>0</v>
      </c>
      <c r="G74" s="193">
        <f t="shared" si="15"/>
        <v>0</v>
      </c>
      <c r="H74" s="193">
        <f t="shared" si="15"/>
        <v>0</v>
      </c>
      <c r="I74" s="193">
        <f t="shared" si="15"/>
        <v>0</v>
      </c>
      <c r="J74" s="193">
        <f t="shared" si="15"/>
        <v>0</v>
      </c>
      <c r="K74" s="193">
        <f t="shared" si="15"/>
        <v>0</v>
      </c>
      <c r="L74" s="193">
        <f t="shared" si="15"/>
        <v>0</v>
      </c>
      <c r="M74" s="193">
        <f t="shared" si="15"/>
        <v>0</v>
      </c>
      <c r="N74" s="193">
        <f t="shared" si="15"/>
        <v>0</v>
      </c>
      <c r="O74" s="193">
        <f t="shared" si="15"/>
        <v>0</v>
      </c>
      <c r="P74" s="193">
        <f t="shared" si="15"/>
        <v>0</v>
      </c>
      <c r="Q74" s="193">
        <f t="shared" si="15"/>
        <v>0</v>
      </c>
      <c r="R74" s="193">
        <f t="shared" si="15"/>
        <v>0</v>
      </c>
      <c r="S74" s="193">
        <f t="shared" si="15"/>
        <v>0</v>
      </c>
      <c r="T74" s="193">
        <f t="shared" si="15"/>
        <v>0</v>
      </c>
      <c r="U74" s="193">
        <f t="shared" si="15"/>
        <v>-8.0123047741666138</v>
      </c>
      <c r="V74" s="193">
        <f t="shared" si="15"/>
        <v>-25.39598266716661</v>
      </c>
      <c r="W74" s="193">
        <f t="shared" si="15"/>
        <v>-44.702786013166637</v>
      </c>
      <c r="X74" s="193">
        <f t="shared" si="15"/>
        <v>-67.842351482333285</v>
      </c>
      <c r="Y74" s="193">
        <f t="shared" si="15"/>
        <v>-77.558381250666642</v>
      </c>
      <c r="Z74" s="193">
        <f t="shared" si="15"/>
        <v>-88.236226162166602</v>
      </c>
      <c r="AA74" s="193">
        <f t="shared" si="15"/>
        <v>-99.297376775499927</v>
      </c>
      <c r="AB74" s="193">
        <f t="shared" si="15"/>
        <v>-115.92991817399989</v>
      </c>
    </row>
    <row r="75" spans="1:28" ht="15" customHeight="1">
      <c r="A75" s="457"/>
      <c r="B75" s="10" t="s">
        <v>21</v>
      </c>
      <c r="C75" s="10" t="s">
        <v>22</v>
      </c>
      <c r="D75" s="193">
        <f t="shared" ref="D75:AB75" si="16">D46-D16</f>
        <v>0</v>
      </c>
      <c r="E75" s="193">
        <f t="shared" si="16"/>
        <v>0</v>
      </c>
      <c r="F75" s="193">
        <f t="shared" si="16"/>
        <v>0</v>
      </c>
      <c r="G75" s="193">
        <f t="shared" si="16"/>
        <v>0</v>
      </c>
      <c r="H75" s="193">
        <f t="shared" si="16"/>
        <v>0</v>
      </c>
      <c r="I75" s="193">
        <f t="shared" si="16"/>
        <v>0</v>
      </c>
      <c r="J75" s="193">
        <f t="shared" si="16"/>
        <v>0</v>
      </c>
      <c r="K75" s="193">
        <f t="shared" si="16"/>
        <v>0</v>
      </c>
      <c r="L75" s="193">
        <f t="shared" si="16"/>
        <v>5.3290705182007514E-15</v>
      </c>
      <c r="M75" s="193">
        <f t="shared" si="16"/>
        <v>0</v>
      </c>
      <c r="N75" s="193">
        <f t="shared" si="16"/>
        <v>0</v>
      </c>
      <c r="O75" s="193">
        <f t="shared" si="16"/>
        <v>0</v>
      </c>
      <c r="P75" s="193">
        <f t="shared" si="16"/>
        <v>0</v>
      </c>
      <c r="Q75" s="193">
        <f t="shared" si="16"/>
        <v>0</v>
      </c>
      <c r="R75" s="193">
        <f t="shared" si="16"/>
        <v>0</v>
      </c>
      <c r="S75" s="193">
        <f t="shared" si="16"/>
        <v>0</v>
      </c>
      <c r="T75" s="193">
        <f t="shared" si="16"/>
        <v>0</v>
      </c>
      <c r="U75" s="193">
        <f t="shared" si="16"/>
        <v>0</v>
      </c>
      <c r="V75" s="193">
        <f t="shared" si="16"/>
        <v>51.672747484999952</v>
      </c>
      <c r="W75" s="193">
        <f t="shared" si="16"/>
        <v>72.341846478999912</v>
      </c>
      <c r="X75" s="193">
        <f t="shared" si="16"/>
        <v>48.65146364026657</v>
      </c>
      <c r="Y75" s="193">
        <f t="shared" si="16"/>
        <v>42.216709529666602</v>
      </c>
      <c r="Z75" s="193">
        <f t="shared" si="16"/>
        <v>58.434512768433308</v>
      </c>
      <c r="AA75" s="193">
        <f t="shared" si="16"/>
        <v>81.808317875806637</v>
      </c>
      <c r="AB75" s="193">
        <f t="shared" si="16"/>
        <v>88.107035877429354</v>
      </c>
    </row>
    <row r="76" spans="1:28" ht="15" customHeight="1">
      <c r="A76" s="457"/>
      <c r="B76" s="10" t="s">
        <v>23</v>
      </c>
      <c r="C76" s="10" t="s">
        <v>22</v>
      </c>
      <c r="D76" s="193">
        <f t="shared" ref="D76:AB76" si="17">D47-D17</f>
        <v>0</v>
      </c>
      <c r="E76" s="193">
        <f t="shared" si="17"/>
        <v>0</v>
      </c>
      <c r="F76" s="193">
        <f t="shared" si="17"/>
        <v>0</v>
      </c>
      <c r="G76" s="193">
        <f t="shared" si="17"/>
        <v>2.0283731833333341</v>
      </c>
      <c r="H76" s="193">
        <f t="shared" si="17"/>
        <v>5.161723799999999</v>
      </c>
      <c r="I76" s="193">
        <f t="shared" si="17"/>
        <v>10.654472183333329</v>
      </c>
      <c r="J76" s="193">
        <f t="shared" si="17"/>
        <v>20.592489916666668</v>
      </c>
      <c r="K76" s="193">
        <f t="shared" si="17"/>
        <v>12.35549395</v>
      </c>
      <c r="L76" s="193">
        <f t="shared" si="17"/>
        <v>0</v>
      </c>
      <c r="M76" s="193">
        <f t="shared" si="17"/>
        <v>0</v>
      </c>
      <c r="N76" s="193">
        <f t="shared" si="17"/>
        <v>0</v>
      </c>
      <c r="O76" s="193">
        <f t="shared" si="17"/>
        <v>0</v>
      </c>
      <c r="P76" s="193">
        <f t="shared" si="17"/>
        <v>23.872124346635889</v>
      </c>
      <c r="Q76" s="193">
        <f t="shared" si="17"/>
        <v>14.32327460798153</v>
      </c>
      <c r="R76" s="193">
        <f t="shared" si="17"/>
        <v>11.49810177333333</v>
      </c>
      <c r="S76" s="193">
        <f t="shared" si="17"/>
        <v>20.559621296279591</v>
      </c>
      <c r="T76" s="193">
        <f t="shared" si="17"/>
        <v>30.49074160141064</v>
      </c>
      <c r="U76" s="193">
        <f t="shared" si="17"/>
        <v>48.26250000000001</v>
      </c>
      <c r="V76" s="193">
        <f t="shared" si="17"/>
        <v>107.16955402833329</v>
      </c>
      <c r="W76" s="193">
        <f t="shared" si="17"/>
        <v>107.16955402833329</v>
      </c>
      <c r="X76" s="193">
        <f t="shared" si="17"/>
        <v>107.1652862016667</v>
      </c>
      <c r="Y76" s="193">
        <f t="shared" si="17"/>
        <v>64.299171721000008</v>
      </c>
      <c r="Z76" s="193">
        <f t="shared" si="17"/>
        <v>47.176213393733327</v>
      </c>
      <c r="AA76" s="193">
        <f t="shared" si="17"/>
        <v>28.305728036240001</v>
      </c>
      <c r="AB76" s="193">
        <f t="shared" si="17"/>
        <v>48.262499999999989</v>
      </c>
    </row>
    <row r="77" spans="1:28" ht="15" customHeight="1">
      <c r="A77" s="457"/>
      <c r="B77" s="10" t="s">
        <v>25</v>
      </c>
      <c r="C77" s="10" t="s">
        <v>22</v>
      </c>
      <c r="D77" s="193">
        <f t="shared" ref="D77:AB77" si="18">D48-D18</f>
        <v>0</v>
      </c>
      <c r="E77" s="193">
        <f t="shared" si="18"/>
        <v>0</v>
      </c>
      <c r="F77" s="193">
        <f t="shared" si="18"/>
        <v>0</v>
      </c>
      <c r="G77" s="193">
        <f t="shared" si="18"/>
        <v>0</v>
      </c>
      <c r="H77" s="193">
        <f t="shared" si="18"/>
        <v>0</v>
      </c>
      <c r="I77" s="193">
        <f t="shared" si="18"/>
        <v>0</v>
      </c>
      <c r="J77" s="193">
        <f t="shared" si="18"/>
        <v>0</v>
      </c>
      <c r="K77" s="193">
        <f t="shared" si="18"/>
        <v>0</v>
      </c>
      <c r="L77" s="193">
        <f t="shared" si="18"/>
        <v>0</v>
      </c>
      <c r="M77" s="193">
        <f t="shared" si="18"/>
        <v>0</v>
      </c>
      <c r="N77" s="193">
        <f t="shared" si="18"/>
        <v>0</v>
      </c>
      <c r="O77" s="193">
        <f t="shared" si="18"/>
        <v>0</v>
      </c>
      <c r="P77" s="193">
        <f t="shared" si="18"/>
        <v>0</v>
      </c>
      <c r="Q77" s="193">
        <f t="shared" si="18"/>
        <v>0</v>
      </c>
      <c r="R77" s="193">
        <f t="shared" si="18"/>
        <v>0</v>
      </c>
      <c r="S77" s="193">
        <f t="shared" si="18"/>
        <v>0</v>
      </c>
      <c r="T77" s="193">
        <f t="shared" si="18"/>
        <v>0</v>
      </c>
      <c r="U77" s="193">
        <f t="shared" si="18"/>
        <v>0</v>
      </c>
      <c r="V77" s="193">
        <f t="shared" si="18"/>
        <v>0</v>
      </c>
      <c r="W77" s="193">
        <f t="shared" si="18"/>
        <v>0</v>
      </c>
      <c r="X77" s="193">
        <f t="shared" si="18"/>
        <v>0</v>
      </c>
      <c r="Y77" s="193">
        <f t="shared" si="18"/>
        <v>0</v>
      </c>
      <c r="Z77" s="193">
        <f t="shared" si="18"/>
        <v>0</v>
      </c>
      <c r="AA77" s="193">
        <f t="shared" si="18"/>
        <v>0</v>
      </c>
      <c r="AB77" s="193">
        <f t="shared" si="18"/>
        <v>0</v>
      </c>
    </row>
    <row r="78" spans="1:28" ht="15" customHeight="1">
      <c r="A78" s="457"/>
      <c r="B78" s="10" t="s">
        <v>26</v>
      </c>
      <c r="C78" s="10" t="s">
        <v>22</v>
      </c>
      <c r="D78" s="193">
        <f t="shared" ref="D78:AB78" si="19">D49-D19</f>
        <v>0</v>
      </c>
      <c r="E78" s="193">
        <f t="shared" si="19"/>
        <v>0</v>
      </c>
      <c r="F78" s="193">
        <f t="shared" si="19"/>
        <v>0</v>
      </c>
      <c r="G78" s="193">
        <f t="shared" si="19"/>
        <v>-2.0283731833333332</v>
      </c>
      <c r="H78" s="193">
        <f t="shared" si="19"/>
        <v>-5.1617237999999999</v>
      </c>
      <c r="I78" s="193">
        <f t="shared" si="19"/>
        <v>-10.654472183333329</v>
      </c>
      <c r="J78" s="193">
        <f t="shared" si="19"/>
        <v>-20.592489916666668</v>
      </c>
      <c r="K78" s="193">
        <f t="shared" si="19"/>
        <v>-12.355493950000003</v>
      </c>
      <c r="L78" s="193">
        <f t="shared" si="19"/>
        <v>0</v>
      </c>
      <c r="M78" s="193">
        <f t="shared" si="19"/>
        <v>0</v>
      </c>
      <c r="N78" s="193">
        <f t="shared" si="19"/>
        <v>0</v>
      </c>
      <c r="O78" s="193">
        <f t="shared" si="19"/>
        <v>0</v>
      </c>
      <c r="P78" s="193">
        <f t="shared" si="19"/>
        <v>-23.8721243466359</v>
      </c>
      <c r="Q78" s="193">
        <f t="shared" si="19"/>
        <v>-14.323274607981517</v>
      </c>
      <c r="R78" s="193">
        <f t="shared" si="19"/>
        <v>-11.498101773333303</v>
      </c>
      <c r="S78" s="193">
        <f t="shared" si="19"/>
        <v>-20.559621296279602</v>
      </c>
      <c r="T78" s="193">
        <f t="shared" si="19"/>
        <v>-30.49074160141069</v>
      </c>
      <c r="U78" s="193">
        <f t="shared" si="19"/>
        <v>-40.25019522583338</v>
      </c>
      <c r="V78" s="193">
        <f t="shared" si="19"/>
        <v>-133.44631884616678</v>
      </c>
      <c r="W78" s="193">
        <f t="shared" si="19"/>
        <v>-134.8086144941667</v>
      </c>
      <c r="X78" s="193">
        <f t="shared" si="19"/>
        <v>-87.974398359600087</v>
      </c>
      <c r="Y78" s="193">
        <f t="shared" si="19"/>
        <v>-28.957499999999897</v>
      </c>
      <c r="Z78" s="193">
        <f t="shared" si="19"/>
        <v>-17.374500000000012</v>
      </c>
      <c r="AA78" s="193">
        <f t="shared" si="19"/>
        <v>-10.816669136546693</v>
      </c>
      <c r="AB78" s="193">
        <f t="shared" si="19"/>
        <v>-20.439617703429292</v>
      </c>
    </row>
    <row r="79" spans="1:28" ht="15" customHeight="1">
      <c r="A79" s="457"/>
      <c r="B79" s="10" t="s">
        <v>14</v>
      </c>
      <c r="C79" s="10" t="s">
        <v>103</v>
      </c>
      <c r="D79" s="193">
        <f t="shared" ref="D79:AB79" si="20">D50-D20</f>
        <v>0</v>
      </c>
      <c r="E79" s="193">
        <f t="shared" si="20"/>
        <v>0</v>
      </c>
      <c r="F79" s="193">
        <f t="shared" si="20"/>
        <v>0</v>
      </c>
      <c r="G79" s="193">
        <f t="shared" si="20"/>
        <v>0</v>
      </c>
      <c r="H79" s="193">
        <f t="shared" si="20"/>
        <v>0</v>
      </c>
      <c r="I79" s="193">
        <f t="shared" si="20"/>
        <v>0</v>
      </c>
      <c r="J79" s="193">
        <f t="shared" si="20"/>
        <v>0</v>
      </c>
      <c r="K79" s="193">
        <f t="shared" si="20"/>
        <v>0</v>
      </c>
      <c r="L79" s="193">
        <f t="shared" si="20"/>
        <v>0</v>
      </c>
      <c r="M79" s="193">
        <f t="shared" si="20"/>
        <v>0</v>
      </c>
      <c r="N79" s="193">
        <f t="shared" si="20"/>
        <v>0</v>
      </c>
      <c r="O79" s="193">
        <f t="shared" si="20"/>
        <v>0</v>
      </c>
      <c r="P79" s="193">
        <f t="shared" si="20"/>
        <v>0</v>
      </c>
      <c r="Q79" s="193">
        <f t="shared" si="20"/>
        <v>0</v>
      </c>
      <c r="R79" s="193">
        <f t="shared" si="20"/>
        <v>0</v>
      </c>
      <c r="S79" s="193">
        <f t="shared" si="20"/>
        <v>0</v>
      </c>
      <c r="T79" s="193">
        <f t="shared" si="20"/>
        <v>0</v>
      </c>
      <c r="U79" s="193">
        <f t="shared" si="20"/>
        <v>0</v>
      </c>
      <c r="V79" s="193">
        <f t="shared" si="20"/>
        <v>-1173.4604650745314</v>
      </c>
      <c r="W79" s="193">
        <f t="shared" si="20"/>
        <v>-704.07627904471883</v>
      </c>
      <c r="X79" s="193">
        <f t="shared" si="20"/>
        <v>-422.44576742683057</v>
      </c>
      <c r="Y79" s="193">
        <f t="shared" si="20"/>
        <v>0</v>
      </c>
      <c r="Z79" s="193">
        <f t="shared" si="20"/>
        <v>0</v>
      </c>
      <c r="AA79" s="193">
        <f t="shared" si="20"/>
        <v>0</v>
      </c>
      <c r="AB79" s="193">
        <f t="shared" si="20"/>
        <v>0</v>
      </c>
    </row>
    <row r="80" spans="1:28" ht="15" customHeight="1">
      <c r="A80" s="457"/>
      <c r="B80" s="10" t="s">
        <v>16</v>
      </c>
      <c r="C80" s="10" t="s">
        <v>103</v>
      </c>
      <c r="D80" s="193">
        <f t="shared" ref="D80:AB80" si="21">D51-D21</f>
        <v>0</v>
      </c>
      <c r="E80" s="193">
        <f t="shared" si="21"/>
        <v>0</v>
      </c>
      <c r="F80" s="193">
        <f t="shared" si="21"/>
        <v>0</v>
      </c>
      <c r="G80" s="193">
        <f t="shared" si="21"/>
        <v>5.6843418860808015E-14</v>
      </c>
      <c r="H80" s="193">
        <f t="shared" si="21"/>
        <v>0</v>
      </c>
      <c r="I80" s="193">
        <f t="shared" si="21"/>
        <v>0</v>
      </c>
      <c r="J80" s="193">
        <f t="shared" si="21"/>
        <v>0</v>
      </c>
      <c r="K80" s="193">
        <f t="shared" si="21"/>
        <v>0</v>
      </c>
      <c r="L80" s="193">
        <f t="shared" si="21"/>
        <v>0</v>
      </c>
      <c r="M80" s="193">
        <f t="shared" si="21"/>
        <v>0</v>
      </c>
      <c r="N80" s="193">
        <f t="shared" si="21"/>
        <v>0</v>
      </c>
      <c r="O80" s="193">
        <f t="shared" si="21"/>
        <v>0</v>
      </c>
      <c r="P80" s="193">
        <f t="shared" si="21"/>
        <v>0</v>
      </c>
      <c r="Q80" s="193">
        <f t="shared" si="21"/>
        <v>0</v>
      </c>
      <c r="R80" s="193">
        <f t="shared" si="21"/>
        <v>0</v>
      </c>
      <c r="S80" s="193">
        <f t="shared" si="21"/>
        <v>0</v>
      </c>
      <c r="T80" s="193">
        <f t="shared" si="21"/>
        <v>0</v>
      </c>
      <c r="U80" s="193">
        <f t="shared" si="21"/>
        <v>0</v>
      </c>
      <c r="V80" s="193">
        <f t="shared" si="21"/>
        <v>1173.460465074535</v>
      </c>
      <c r="W80" s="193">
        <f t="shared" si="21"/>
        <v>704.07627904472099</v>
      </c>
      <c r="X80" s="193">
        <f t="shared" si="21"/>
        <v>422.44576742683262</v>
      </c>
      <c r="Y80" s="193">
        <f t="shared" si="21"/>
        <v>0</v>
      </c>
      <c r="Z80" s="193">
        <f t="shared" si="21"/>
        <v>0</v>
      </c>
      <c r="AA80" s="193">
        <f t="shared" si="21"/>
        <v>0</v>
      </c>
      <c r="AB80" s="193">
        <f t="shared" si="21"/>
        <v>0</v>
      </c>
    </row>
    <row r="81" spans="1:28" ht="15" customHeight="1">
      <c r="A81" s="457"/>
      <c r="B81" s="10" t="s">
        <v>108</v>
      </c>
      <c r="C81" s="10" t="s">
        <v>64</v>
      </c>
      <c r="D81" s="193">
        <f t="shared" ref="D81:AB81" si="22">D52-D22</f>
        <v>0</v>
      </c>
      <c r="E81" s="193">
        <f t="shared" si="22"/>
        <v>0</v>
      </c>
      <c r="F81" s="193">
        <f t="shared" si="22"/>
        <v>0</v>
      </c>
      <c r="G81" s="193">
        <f t="shared" si="22"/>
        <v>0</v>
      </c>
      <c r="H81" s="193">
        <f t="shared" si="22"/>
        <v>0</v>
      </c>
      <c r="I81" s="193">
        <f t="shared" si="22"/>
        <v>0</v>
      </c>
      <c r="J81" s="193">
        <f t="shared" si="22"/>
        <v>0</v>
      </c>
      <c r="K81" s="193">
        <f t="shared" si="22"/>
        <v>0</v>
      </c>
      <c r="L81" s="193">
        <f t="shared" si="22"/>
        <v>0</v>
      </c>
      <c r="M81" s="193">
        <f t="shared" si="22"/>
        <v>0</v>
      </c>
      <c r="N81" s="193">
        <f t="shared" si="22"/>
        <v>0</v>
      </c>
      <c r="O81" s="193">
        <f t="shared" si="22"/>
        <v>0</v>
      </c>
      <c r="P81" s="193">
        <f t="shared" si="22"/>
        <v>0</v>
      </c>
      <c r="Q81" s="193">
        <f t="shared" si="22"/>
        <v>0</v>
      </c>
      <c r="R81" s="193">
        <f t="shared" si="22"/>
        <v>0</v>
      </c>
      <c r="S81" s="193">
        <f t="shared" si="22"/>
        <v>0</v>
      </c>
      <c r="T81" s="193">
        <f t="shared" si="22"/>
        <v>0</v>
      </c>
      <c r="U81" s="193">
        <f t="shared" si="22"/>
        <v>0</v>
      </c>
      <c r="V81" s="193">
        <f t="shared" si="22"/>
        <v>0</v>
      </c>
      <c r="W81" s="193">
        <f t="shared" si="22"/>
        <v>0</v>
      </c>
      <c r="X81" s="193">
        <f t="shared" si="22"/>
        <v>0</v>
      </c>
      <c r="Y81" s="193">
        <f t="shared" si="22"/>
        <v>0</v>
      </c>
      <c r="Z81" s="193">
        <f t="shared" si="22"/>
        <v>0</v>
      </c>
      <c r="AA81" s="193">
        <f t="shared" si="22"/>
        <v>0</v>
      </c>
      <c r="AB81" s="193">
        <f t="shared" si="22"/>
        <v>0</v>
      </c>
    </row>
    <row r="82" spans="1:28" ht="15" customHeight="1">
      <c r="A82" s="457"/>
      <c r="B82" s="10" t="s">
        <v>11</v>
      </c>
      <c r="C82" s="10" t="s">
        <v>7</v>
      </c>
      <c r="D82" s="193">
        <f t="shared" ref="D82:AB82" si="23">D53-D23</f>
        <v>0</v>
      </c>
      <c r="E82" s="193">
        <f t="shared" si="23"/>
        <v>0</v>
      </c>
      <c r="F82" s="193">
        <f t="shared" si="23"/>
        <v>-31.10636124275004</v>
      </c>
      <c r="G82" s="193">
        <f t="shared" si="23"/>
        <v>-49.687213074289616</v>
      </c>
      <c r="H82" s="193">
        <f t="shared" si="23"/>
        <v>-64.38939352295688</v>
      </c>
      <c r="I82" s="193">
        <f t="shared" si="23"/>
        <v>-78.847316565088477</v>
      </c>
      <c r="J82" s="193">
        <f t="shared" si="23"/>
        <v>-92.978688825962195</v>
      </c>
      <c r="K82" s="193">
        <f t="shared" si="23"/>
        <v>-107.29453503404471</v>
      </c>
      <c r="L82" s="193">
        <f t="shared" si="23"/>
        <v>-121.56780563194008</v>
      </c>
      <c r="M82" s="193">
        <f t="shared" si="23"/>
        <v>-135.81553086372384</v>
      </c>
      <c r="N82" s="193">
        <f t="shared" si="23"/>
        <v>-150.04792887584034</v>
      </c>
      <c r="O82" s="193">
        <f t="shared" si="23"/>
        <v>-164.27113055615598</v>
      </c>
      <c r="P82" s="193">
        <f t="shared" si="23"/>
        <v>-178.50122948532214</v>
      </c>
      <c r="Q82" s="193">
        <f t="shared" si="23"/>
        <v>-192.71063667556257</v>
      </c>
      <c r="R82" s="193">
        <f t="shared" si="23"/>
        <v>-206.92004385817756</v>
      </c>
      <c r="S82" s="193">
        <f t="shared" si="23"/>
        <v>-221.12945104079279</v>
      </c>
      <c r="T82" s="193">
        <f t="shared" si="23"/>
        <v>-235.33885822340835</v>
      </c>
      <c r="U82" s="193">
        <f t="shared" si="23"/>
        <v>-249.68684458593981</v>
      </c>
      <c r="V82" s="193">
        <f t="shared" si="23"/>
        <v>-264.01521557802317</v>
      </c>
      <c r="W82" s="193">
        <f t="shared" si="23"/>
        <v>-278.25758821248644</v>
      </c>
      <c r="X82" s="193">
        <f t="shared" si="23"/>
        <v>-292.43795315444095</v>
      </c>
      <c r="Y82" s="193">
        <f t="shared" si="23"/>
        <v>-306.6884755493698</v>
      </c>
      <c r="Z82" s="193">
        <f t="shared" si="23"/>
        <v>-320.91909992486109</v>
      </c>
      <c r="AA82" s="193">
        <f t="shared" si="23"/>
        <v>-335.14567296131833</v>
      </c>
      <c r="AB82" s="193">
        <f t="shared" si="23"/>
        <v>-349.33110358531167</v>
      </c>
    </row>
    <row r="83" spans="1:28" ht="15" customHeight="1">
      <c r="A83" s="457"/>
      <c r="B83" s="10" t="s">
        <v>122</v>
      </c>
      <c r="C83" s="10" t="s">
        <v>7</v>
      </c>
      <c r="D83" s="193">
        <f t="shared" ref="D83:AB83" si="24">D54-D24</f>
        <v>0</v>
      </c>
      <c r="E83" s="193">
        <f t="shared" si="24"/>
        <v>-3.1974423109204508E-14</v>
      </c>
      <c r="F83" s="193">
        <f t="shared" si="24"/>
        <v>32.28297283363667</v>
      </c>
      <c r="G83" s="193">
        <f t="shared" si="24"/>
        <v>51.566653435887297</v>
      </c>
      <c r="H83" s="193">
        <f t="shared" si="24"/>
        <v>66.824950229768092</v>
      </c>
      <c r="I83" s="193">
        <f t="shared" si="24"/>
        <v>81.829750474885955</v>
      </c>
      <c r="J83" s="193">
        <f t="shared" si="24"/>
        <v>96.49564801396636</v>
      </c>
      <c r="K83" s="193">
        <f t="shared" si="24"/>
        <v>111.3529973072324</v>
      </c>
      <c r="L83" s="193">
        <f t="shared" si="24"/>
        <v>126.16616054941034</v>
      </c>
      <c r="M83" s="193">
        <f t="shared" si="24"/>
        <v>140.95281216093531</v>
      </c>
      <c r="N83" s="193">
        <f t="shared" si="24"/>
        <v>155.7235567940686</v>
      </c>
      <c r="O83" s="193">
        <f t="shared" si="24"/>
        <v>170.48475724016677</v>
      </c>
      <c r="P83" s="193">
        <f t="shared" si="24"/>
        <v>185.25311582654112</v>
      </c>
      <c r="Q83" s="193">
        <f t="shared" si="24"/>
        <v>200</v>
      </c>
      <c r="R83" s="193">
        <f t="shared" si="24"/>
        <v>214.74688416554574</v>
      </c>
      <c r="S83" s="193">
        <f t="shared" si="24"/>
        <v>229.49376833109133</v>
      </c>
      <c r="T83" s="193">
        <f t="shared" si="24"/>
        <v>244.24065249663681</v>
      </c>
      <c r="U83" s="193">
        <f t="shared" si="24"/>
        <v>259.1313576596188</v>
      </c>
      <c r="V83" s="193">
        <f t="shared" si="24"/>
        <v>274.00170549226675</v>
      </c>
      <c r="W83" s="193">
        <f t="shared" si="24"/>
        <v>288.78280204215866</v>
      </c>
      <c r="X83" s="193">
        <f t="shared" si="24"/>
        <v>303.49954543170816</v>
      </c>
      <c r="Y83" s="193">
        <f t="shared" si="24"/>
        <v>318.28910001028635</v>
      </c>
      <c r="Z83" s="193">
        <f t="shared" si="24"/>
        <v>333.05800391822078</v>
      </c>
      <c r="AA83" s="193">
        <f t="shared" si="24"/>
        <v>347.82270324346689</v>
      </c>
      <c r="AB83" s="193">
        <f t="shared" si="24"/>
        <v>362.54470392667287</v>
      </c>
    </row>
    <row r="84" spans="1:28" ht="15" customHeight="1">
      <c r="A84" s="457"/>
      <c r="B84" s="147" t="s">
        <v>190</v>
      </c>
      <c r="C84" s="10" t="s">
        <v>184</v>
      </c>
      <c r="D84" s="193">
        <f t="shared" ref="D84:AB84" si="25">D55-D26</f>
        <v>0</v>
      </c>
      <c r="E84" s="193">
        <f t="shared" si="25"/>
        <v>0</v>
      </c>
      <c r="F84" s="193">
        <f t="shared" si="25"/>
        <v>0</v>
      </c>
      <c r="G84" s="193">
        <f t="shared" si="25"/>
        <v>-34.124120079720399</v>
      </c>
      <c r="H84" s="193">
        <f t="shared" si="25"/>
        <v>-57.186409977497902</v>
      </c>
      <c r="I84" s="193">
        <f t="shared" si="25"/>
        <v>-34.31184598649881</v>
      </c>
      <c r="J84" s="193">
        <f t="shared" si="25"/>
        <v>-20.587107591899212</v>
      </c>
      <c r="K84" s="193">
        <f t="shared" si="25"/>
        <v>-12.352264555139499</v>
      </c>
      <c r="L84" s="193">
        <f t="shared" si="25"/>
        <v>0</v>
      </c>
      <c r="M84" s="193">
        <f t="shared" si="25"/>
        <v>0</v>
      </c>
      <c r="N84" s="193">
        <f t="shared" si="25"/>
        <v>0</v>
      </c>
      <c r="O84" s="193">
        <f t="shared" si="25"/>
        <v>0</v>
      </c>
      <c r="P84" s="193">
        <f t="shared" si="25"/>
        <v>0</v>
      </c>
      <c r="Q84" s="193">
        <f t="shared" si="25"/>
        <v>0</v>
      </c>
      <c r="R84" s="193">
        <f t="shared" si="25"/>
        <v>0</v>
      </c>
      <c r="S84" s="193">
        <f t="shared" si="25"/>
        <v>0</v>
      </c>
      <c r="T84" s="193">
        <f t="shared" si="25"/>
        <v>0</v>
      </c>
      <c r="U84" s="193">
        <f t="shared" si="25"/>
        <v>0</v>
      </c>
      <c r="V84" s="193">
        <f t="shared" si="25"/>
        <v>0</v>
      </c>
      <c r="W84" s="193">
        <f t="shared" si="25"/>
        <v>0</v>
      </c>
      <c r="X84" s="193">
        <f t="shared" si="25"/>
        <v>0</v>
      </c>
      <c r="Y84" s="193">
        <f t="shared" si="25"/>
        <v>0</v>
      </c>
      <c r="Z84" s="193">
        <f t="shared" si="25"/>
        <v>0</v>
      </c>
      <c r="AA84" s="193">
        <f t="shared" si="25"/>
        <v>0</v>
      </c>
      <c r="AB84" s="193">
        <f t="shared" si="25"/>
        <v>0</v>
      </c>
    </row>
    <row r="85" spans="1:28" ht="15" customHeight="1">
      <c r="A85" s="457"/>
      <c r="B85" s="147" t="s">
        <v>191</v>
      </c>
      <c r="C85" s="10" t="s">
        <v>13</v>
      </c>
      <c r="D85" s="193">
        <f t="shared" ref="D85:AB85" si="26">D56-D27</f>
        <v>0</v>
      </c>
      <c r="E85" s="193">
        <f t="shared" si="26"/>
        <v>0</v>
      </c>
      <c r="F85" s="193">
        <f t="shared" si="26"/>
        <v>0</v>
      </c>
      <c r="G85" s="193">
        <f t="shared" si="26"/>
        <v>34.124120079720385</v>
      </c>
      <c r="H85" s="193">
        <f t="shared" si="26"/>
        <v>57.186409977497888</v>
      </c>
      <c r="I85" s="193">
        <f t="shared" si="26"/>
        <v>34.311845986498739</v>
      </c>
      <c r="J85" s="193">
        <f t="shared" si="26"/>
        <v>20.587107591899251</v>
      </c>
      <c r="K85" s="193">
        <f t="shared" si="26"/>
        <v>12.35226455513955</v>
      </c>
      <c r="L85" s="193">
        <f t="shared" si="26"/>
        <v>0</v>
      </c>
      <c r="M85" s="193">
        <f t="shared" si="26"/>
        <v>0</v>
      </c>
      <c r="N85" s="193">
        <f t="shared" si="26"/>
        <v>0</v>
      </c>
      <c r="O85" s="193">
        <f t="shared" si="26"/>
        <v>0</v>
      </c>
      <c r="P85" s="193">
        <f t="shared" si="26"/>
        <v>0</v>
      </c>
      <c r="Q85" s="193">
        <f t="shared" si="26"/>
        <v>0</v>
      </c>
      <c r="R85" s="193">
        <f t="shared" si="26"/>
        <v>0</v>
      </c>
      <c r="S85" s="193">
        <f t="shared" si="26"/>
        <v>0</v>
      </c>
      <c r="T85" s="193">
        <f t="shared" si="26"/>
        <v>0</v>
      </c>
      <c r="U85" s="193">
        <f t="shared" si="26"/>
        <v>0</v>
      </c>
      <c r="V85" s="193">
        <f t="shared" si="26"/>
        <v>0</v>
      </c>
      <c r="W85" s="193">
        <f t="shared" si="26"/>
        <v>0</v>
      </c>
      <c r="X85" s="193">
        <f t="shared" si="26"/>
        <v>0</v>
      </c>
      <c r="Y85" s="193">
        <f t="shared" si="26"/>
        <v>0</v>
      </c>
      <c r="Z85" s="193">
        <f t="shared" si="26"/>
        <v>0</v>
      </c>
      <c r="AA85" s="193">
        <f t="shared" si="26"/>
        <v>0</v>
      </c>
      <c r="AB85" s="193">
        <f t="shared" si="26"/>
        <v>0</v>
      </c>
    </row>
    <row r="86" spans="1:28" ht="15" customHeight="1">
      <c r="A86" s="457"/>
      <c r="B86" s="147" t="s">
        <v>192</v>
      </c>
      <c r="C86" s="10" t="s">
        <v>7</v>
      </c>
      <c r="D86" s="193">
        <f t="shared" ref="D86:AB86" si="27">D57-D28</f>
        <v>0</v>
      </c>
      <c r="E86" s="193">
        <f t="shared" si="27"/>
        <v>0</v>
      </c>
      <c r="F86" s="193">
        <f t="shared" si="27"/>
        <v>0</v>
      </c>
      <c r="G86" s="193">
        <f t="shared" si="27"/>
        <v>0</v>
      </c>
      <c r="H86" s="193">
        <f t="shared" si="27"/>
        <v>0</v>
      </c>
      <c r="I86" s="193">
        <f t="shared" si="27"/>
        <v>0</v>
      </c>
      <c r="J86" s="193">
        <f t="shared" si="27"/>
        <v>0</v>
      </c>
      <c r="K86" s="193">
        <f t="shared" si="27"/>
        <v>0</v>
      </c>
      <c r="L86" s="193">
        <f t="shared" si="27"/>
        <v>0</v>
      </c>
      <c r="M86" s="193">
        <f t="shared" si="27"/>
        <v>0</v>
      </c>
      <c r="N86" s="193">
        <f t="shared" si="27"/>
        <v>0</v>
      </c>
      <c r="O86" s="193">
        <f t="shared" si="27"/>
        <v>0</v>
      </c>
      <c r="P86" s="193">
        <f t="shared" si="27"/>
        <v>0</v>
      </c>
      <c r="Q86" s="193">
        <f t="shared" si="27"/>
        <v>0</v>
      </c>
      <c r="R86" s="193">
        <f t="shared" si="27"/>
        <v>0</v>
      </c>
      <c r="S86" s="193">
        <f t="shared" si="27"/>
        <v>0</v>
      </c>
      <c r="T86" s="193">
        <f t="shared" si="27"/>
        <v>0</v>
      </c>
      <c r="U86" s="193">
        <f t="shared" si="27"/>
        <v>0</v>
      </c>
      <c r="V86" s="193">
        <f t="shared" si="27"/>
        <v>0</v>
      </c>
      <c r="W86" s="193">
        <f t="shared" si="27"/>
        <v>0</v>
      </c>
      <c r="X86" s="193">
        <f t="shared" si="27"/>
        <v>0</v>
      </c>
      <c r="Y86" s="193">
        <f t="shared" si="27"/>
        <v>0</v>
      </c>
      <c r="Z86" s="193">
        <f t="shared" si="27"/>
        <v>0</v>
      </c>
      <c r="AA86" s="193">
        <f t="shared" si="27"/>
        <v>0</v>
      </c>
      <c r="AB86" s="193">
        <f t="shared" si="27"/>
        <v>0</v>
      </c>
    </row>
    <row r="87" spans="1:28" ht="15.75" customHeight="1">
      <c r="A87" s="457"/>
      <c r="B87" s="147" t="s">
        <v>193</v>
      </c>
      <c r="C87" s="10" t="s">
        <v>185</v>
      </c>
      <c r="D87" s="193">
        <f t="shared" ref="D87:AB87" si="28">D58-D29</f>
        <v>0</v>
      </c>
      <c r="E87" s="193">
        <f t="shared" si="28"/>
        <v>0</v>
      </c>
      <c r="F87" s="193">
        <f t="shared" si="28"/>
        <v>-308.48160488187989</v>
      </c>
      <c r="G87" s="193">
        <f t="shared" si="28"/>
        <v>-893.55700793273456</v>
      </c>
      <c r="H87" s="193">
        <f t="shared" si="28"/>
        <v>-1048.1161914807626</v>
      </c>
      <c r="I87" s="193">
        <f t="shared" si="28"/>
        <v>-1108.5151594928948</v>
      </c>
      <c r="J87" s="193">
        <f t="shared" si="28"/>
        <v>-1042.61535750485</v>
      </c>
      <c r="K87" s="193">
        <f t="shared" si="28"/>
        <v>-1049.7470026048704</v>
      </c>
      <c r="L87" s="193">
        <f t="shared" si="28"/>
        <v>-1041.3006560218264</v>
      </c>
      <c r="M87" s="193">
        <f t="shared" si="28"/>
        <v>-1023.88927443823</v>
      </c>
      <c r="N87" s="193">
        <f t="shared" si="28"/>
        <v>-1001.4691790633204</v>
      </c>
      <c r="O87" s="193">
        <f t="shared" si="28"/>
        <v>-976.40305340636189</v>
      </c>
      <c r="P87" s="193">
        <f t="shared" si="28"/>
        <v>-954.94114216659227</v>
      </c>
      <c r="Q87" s="193">
        <f t="shared" si="28"/>
        <v>-926.29290790159405</v>
      </c>
      <c r="R87" s="193">
        <f t="shared" si="28"/>
        <v>-898.50412066454669</v>
      </c>
      <c r="S87" s="193">
        <f t="shared" si="28"/>
        <v>-871.5489970446107</v>
      </c>
      <c r="T87" s="193">
        <f t="shared" si="28"/>
        <v>-845.40252713327232</v>
      </c>
      <c r="U87" s="193">
        <f t="shared" si="28"/>
        <v>-874.10354181091088</v>
      </c>
      <c r="V87" s="193">
        <f t="shared" si="28"/>
        <v>-895.91298823034538</v>
      </c>
      <c r="W87" s="193">
        <f t="shared" si="28"/>
        <v>-884.91043133894073</v>
      </c>
      <c r="X87" s="193">
        <f t="shared" si="28"/>
        <v>-850.43306886915286</v>
      </c>
      <c r="Y87" s="193">
        <f t="shared" si="28"/>
        <v>-844.02024148239468</v>
      </c>
      <c r="Z87" s="193">
        <f t="shared" si="28"/>
        <v>-830.51830423028241</v>
      </c>
      <c r="AA87" s="193">
        <f t="shared" si="28"/>
        <v>-816.08921993781485</v>
      </c>
      <c r="AB87" s="193">
        <f t="shared" si="28"/>
        <v>-786.24326223028538</v>
      </c>
    </row>
    <row r="88" spans="1:28" ht="15" customHeight="1">
      <c r="A88" s="102"/>
      <c r="B88" s="53"/>
      <c r="C88" s="51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28" ht="15" customHeight="1">
      <c r="A89" s="457" t="s">
        <v>194</v>
      </c>
      <c r="B89" s="174" t="s">
        <v>3</v>
      </c>
      <c r="C89" s="11" t="s">
        <v>1</v>
      </c>
      <c r="D89" s="345">
        <f t="shared" ref="D89:AB89" si="29">D60</f>
        <v>2022</v>
      </c>
      <c r="E89" s="345">
        <f t="shared" si="29"/>
        <v>2023</v>
      </c>
      <c r="F89" s="345">
        <f t="shared" si="29"/>
        <v>2024</v>
      </c>
      <c r="G89" s="345">
        <f t="shared" si="29"/>
        <v>2025</v>
      </c>
      <c r="H89" s="345">
        <f t="shared" si="29"/>
        <v>2026</v>
      </c>
      <c r="I89" s="345">
        <f t="shared" si="29"/>
        <v>2027</v>
      </c>
      <c r="J89" s="345">
        <f t="shared" si="29"/>
        <v>2028</v>
      </c>
      <c r="K89" s="345">
        <f t="shared" si="29"/>
        <v>2029</v>
      </c>
      <c r="L89" s="345">
        <f t="shared" si="29"/>
        <v>2030</v>
      </c>
      <c r="M89" s="345">
        <f t="shared" si="29"/>
        <v>2031</v>
      </c>
      <c r="N89" s="345">
        <f t="shared" si="29"/>
        <v>2032</v>
      </c>
      <c r="O89" s="345">
        <f t="shared" si="29"/>
        <v>2033</v>
      </c>
      <c r="P89" s="345">
        <f t="shared" si="29"/>
        <v>2034</v>
      </c>
      <c r="Q89" s="345">
        <f t="shared" si="29"/>
        <v>2035</v>
      </c>
      <c r="R89" s="345">
        <f t="shared" si="29"/>
        <v>2036</v>
      </c>
      <c r="S89" s="345">
        <f t="shared" si="29"/>
        <v>2037</v>
      </c>
      <c r="T89" s="345">
        <f t="shared" si="29"/>
        <v>2038</v>
      </c>
      <c r="U89" s="345">
        <f t="shared" si="29"/>
        <v>2039</v>
      </c>
      <c r="V89" s="345">
        <f t="shared" si="29"/>
        <v>2040</v>
      </c>
      <c r="W89" s="345">
        <f t="shared" si="29"/>
        <v>2041</v>
      </c>
      <c r="X89" s="345">
        <f t="shared" si="29"/>
        <v>2042</v>
      </c>
      <c r="Y89" s="345">
        <f t="shared" si="29"/>
        <v>2043</v>
      </c>
      <c r="Z89" s="345">
        <f t="shared" si="29"/>
        <v>2044</v>
      </c>
      <c r="AA89" s="345">
        <f t="shared" si="29"/>
        <v>2045</v>
      </c>
      <c r="AB89" s="345">
        <f t="shared" si="29"/>
        <v>2046</v>
      </c>
    </row>
    <row r="90" spans="1:28" s="171" customFormat="1" ht="15" customHeight="1">
      <c r="A90" s="457"/>
      <c r="B90" s="309" t="s">
        <v>102</v>
      </c>
      <c r="C90" s="353" t="s">
        <v>101</v>
      </c>
      <c r="D90" s="354">
        <f>'Attribution Assumptions'!D40</f>
        <v>0</v>
      </c>
      <c r="E90" s="354">
        <f>'Attribution Assumptions'!E40</f>
        <v>0</v>
      </c>
      <c r="F90" s="354">
        <f>'Attribution Assumptions'!F40</f>
        <v>0</v>
      </c>
      <c r="G90" s="354">
        <f>'Attribution Assumptions'!G40</f>
        <v>0</v>
      </c>
      <c r="H90" s="354">
        <f>'Attribution Assumptions'!H40</f>
        <v>0</v>
      </c>
      <c r="I90" s="354">
        <f>'Attribution Assumptions'!I40</f>
        <v>0</v>
      </c>
      <c r="J90" s="354">
        <f>'Attribution Assumptions'!J40</f>
        <v>0</v>
      </c>
      <c r="K90" s="354">
        <f>'Attribution Assumptions'!K40</f>
        <v>0</v>
      </c>
      <c r="L90" s="354">
        <f>'Attribution Assumptions'!L40</f>
        <v>0</v>
      </c>
      <c r="M90" s="354">
        <f>'Attribution Assumptions'!M40</f>
        <v>0</v>
      </c>
      <c r="N90" s="354">
        <f>'Attribution Assumptions'!N40</f>
        <v>0</v>
      </c>
      <c r="O90" s="354">
        <f>'Attribution Assumptions'!O40</f>
        <v>0</v>
      </c>
      <c r="P90" s="354">
        <f>'Attribution Assumptions'!P40</f>
        <v>0</v>
      </c>
      <c r="Q90" s="354">
        <f>'Attribution Assumptions'!Q40</f>
        <v>0</v>
      </c>
      <c r="R90" s="354">
        <f>'Attribution Assumptions'!R40</f>
        <v>0</v>
      </c>
      <c r="S90" s="354">
        <f>'Attribution Assumptions'!S40</f>
        <v>0</v>
      </c>
      <c r="T90" s="354">
        <f>'Attribution Assumptions'!T40</f>
        <v>0</v>
      </c>
      <c r="U90" s="354">
        <f>'Attribution Assumptions'!U40</f>
        <v>0</v>
      </c>
      <c r="V90" s="354">
        <f>'Attribution Assumptions'!V40</f>
        <v>0</v>
      </c>
      <c r="W90" s="354">
        <f>'Attribution Assumptions'!W40</f>
        <v>0</v>
      </c>
      <c r="X90" s="354">
        <f>'Attribution Assumptions'!X40</f>
        <v>0</v>
      </c>
      <c r="Y90" s="354">
        <f>'Attribution Assumptions'!Y40</f>
        <v>0</v>
      </c>
      <c r="Z90" s="354">
        <f>'Attribution Assumptions'!Z40</f>
        <v>0</v>
      </c>
      <c r="AA90" s="354">
        <f>'Attribution Assumptions'!AA40</f>
        <v>0</v>
      </c>
      <c r="AB90" s="354">
        <f>'Attribution Assumptions'!AB40</f>
        <v>0</v>
      </c>
    </row>
    <row r="91" spans="1:28" s="171" customFormat="1" ht="15" customHeight="1">
      <c r="A91" s="457"/>
      <c r="B91" s="309" t="s">
        <v>19</v>
      </c>
      <c r="C91" s="353" t="s">
        <v>101</v>
      </c>
      <c r="D91" s="354">
        <f>'Attribution Assumptions'!D41</f>
        <v>0</v>
      </c>
      <c r="E91" s="354">
        <f>'Attribution Assumptions'!E41</f>
        <v>0</v>
      </c>
      <c r="F91" s="354">
        <f>'Attribution Assumptions'!F41</f>
        <v>0</v>
      </c>
      <c r="G91" s="354">
        <f>'Attribution Assumptions'!G41</f>
        <v>0</v>
      </c>
      <c r="H91" s="354">
        <f>'Attribution Assumptions'!H41</f>
        <v>0</v>
      </c>
      <c r="I91" s="354">
        <f>'Attribution Assumptions'!I41</f>
        <v>0</v>
      </c>
      <c r="J91" s="354">
        <f>'Attribution Assumptions'!J41</f>
        <v>0</v>
      </c>
      <c r="K91" s="354">
        <f>'Attribution Assumptions'!K41</f>
        <v>0</v>
      </c>
      <c r="L91" s="354">
        <f>'Attribution Assumptions'!L41</f>
        <v>0</v>
      </c>
      <c r="M91" s="354">
        <f>'Attribution Assumptions'!M41</f>
        <v>0</v>
      </c>
      <c r="N91" s="354">
        <f>'Attribution Assumptions'!N41</f>
        <v>0</v>
      </c>
      <c r="O91" s="354">
        <f>'Attribution Assumptions'!O41</f>
        <v>0</v>
      </c>
      <c r="P91" s="354">
        <f>'Attribution Assumptions'!P41</f>
        <v>0</v>
      </c>
      <c r="Q91" s="354">
        <f>'Attribution Assumptions'!Q41</f>
        <v>0</v>
      </c>
      <c r="R91" s="354">
        <f>'Attribution Assumptions'!R41</f>
        <v>0</v>
      </c>
      <c r="S91" s="354">
        <f>'Attribution Assumptions'!S41</f>
        <v>0</v>
      </c>
      <c r="T91" s="354">
        <f>'Attribution Assumptions'!T41</f>
        <v>0</v>
      </c>
      <c r="U91" s="354">
        <f>'Attribution Assumptions'!U41</f>
        <v>0</v>
      </c>
      <c r="V91" s="354">
        <f>'Attribution Assumptions'!V41</f>
        <v>0</v>
      </c>
      <c r="W91" s="354">
        <f>'Attribution Assumptions'!W41</f>
        <v>0</v>
      </c>
      <c r="X91" s="354">
        <f>'Attribution Assumptions'!X41</f>
        <v>0</v>
      </c>
      <c r="Y91" s="354">
        <f>'Attribution Assumptions'!Y41</f>
        <v>0</v>
      </c>
      <c r="Z91" s="354">
        <f>'Attribution Assumptions'!Z41</f>
        <v>0</v>
      </c>
      <c r="AA91" s="354">
        <f>'Attribution Assumptions'!AA41</f>
        <v>0</v>
      </c>
      <c r="AB91" s="354">
        <f>'Attribution Assumptions'!AB41</f>
        <v>0</v>
      </c>
    </row>
    <row r="92" spans="1:28" ht="15" customHeight="1">
      <c r="A92" s="457"/>
      <c r="B92" s="10" t="s">
        <v>104</v>
      </c>
      <c r="C92" s="345" t="s">
        <v>101</v>
      </c>
      <c r="D92" s="355">
        <f>'Attribution Assumptions'!D42</f>
        <v>0</v>
      </c>
      <c r="E92" s="355">
        <f>'Attribution Assumptions'!E42</f>
        <v>0</v>
      </c>
      <c r="F92" s="355">
        <f>'Attribution Assumptions'!F42</f>
        <v>0</v>
      </c>
      <c r="G92" s="355">
        <f>'Attribution Assumptions'!G42</f>
        <v>0</v>
      </c>
      <c r="H92" s="355">
        <f>'Attribution Assumptions'!H42</f>
        <v>1.3622184590004823E-2</v>
      </c>
      <c r="I92" s="355">
        <f>'Attribution Assumptions'!I42</f>
        <v>0.11015287206355706</v>
      </c>
      <c r="J92" s="355">
        <f>'Attribution Assumptions'!J42</f>
        <v>0.17627027747942778</v>
      </c>
      <c r="K92" s="355">
        <f>'Attribution Assumptions'!K42</f>
        <v>0.20898009481048263</v>
      </c>
      <c r="L92" s="355">
        <f>'Attribution Assumptions'!L42</f>
        <v>0.2294101251428399</v>
      </c>
      <c r="M92" s="355">
        <f>'Attribution Assumptions'!M42</f>
        <v>0.24295643541389875</v>
      </c>
      <c r="N92" s="355">
        <f>'Attribution Assumptions'!N42</f>
        <v>0.25249036378410949</v>
      </c>
      <c r="O92" s="355">
        <f>'Attribution Assumptions'!O42</f>
        <v>0.25961783908695407</v>
      </c>
      <c r="P92" s="355">
        <f>'Attribution Assumptions'!P42</f>
        <v>0.26841164486050301</v>
      </c>
      <c r="Q92" s="355">
        <f>'Attribution Assumptions'!Q42</f>
        <v>0.27187253466695305</v>
      </c>
      <c r="R92" s="356">
        <f>'Attribution Assumptions'!R42</f>
        <v>0.27520972752163275</v>
      </c>
      <c r="S92" s="356">
        <f>'Attribution Assumptions'!S42</f>
        <v>0.2784173106210564</v>
      </c>
      <c r="T92" s="356">
        <f>'Attribution Assumptions'!T42</f>
        <v>0.28148979365048893</v>
      </c>
      <c r="U92" s="356">
        <f>'Attribution Assumptions'!U42</f>
        <v>0.27070602453539699</v>
      </c>
      <c r="V92" s="356">
        <f>'Attribution Assumptions'!V42</f>
        <v>0.26227122869268193</v>
      </c>
      <c r="W92" s="356">
        <f>'Attribution Assumptions'!W42</f>
        <v>0.2615388166151793</v>
      </c>
      <c r="X92" s="356">
        <f>'Attribution Assumptions'!X42</f>
        <v>0.26618088498920417</v>
      </c>
      <c r="Y92" s="356">
        <f>'Attribution Assumptions'!Y42</f>
        <v>0.26436611810879757</v>
      </c>
      <c r="Z92" s="356">
        <f>'Attribution Assumptions'!Z42</f>
        <v>0.26419680088258485</v>
      </c>
      <c r="AA92" s="356">
        <f>'Attribution Assumptions'!AA42</f>
        <v>0.26424122597954908</v>
      </c>
      <c r="AB92" s="356">
        <f>'Attribution Assumptions'!AB42</f>
        <v>0.26788257115259112</v>
      </c>
    </row>
    <row r="93" spans="1:28" s="291" customFormat="1" ht="15" customHeight="1">
      <c r="A93" s="457"/>
      <c r="B93" s="10" t="s">
        <v>29</v>
      </c>
      <c r="C93" s="357" t="s">
        <v>101</v>
      </c>
      <c r="D93" s="358">
        <f>'Attribution Assumptions'!D43</f>
        <v>1</v>
      </c>
      <c r="E93" s="358">
        <f>'Attribution Assumptions'!E43</f>
        <v>1</v>
      </c>
      <c r="F93" s="358">
        <f>'Attribution Assumptions'!F43</f>
        <v>1</v>
      </c>
      <c r="G93" s="358">
        <f>'Attribution Assumptions'!G43</f>
        <v>1</v>
      </c>
      <c r="H93" s="358">
        <f>'Attribution Assumptions'!H43</f>
        <v>1</v>
      </c>
      <c r="I93" s="358">
        <f>'Attribution Assumptions'!I43</f>
        <v>1</v>
      </c>
      <c r="J93" s="358">
        <f>'Attribution Assumptions'!J43</f>
        <v>1</v>
      </c>
      <c r="K93" s="358">
        <f>'Attribution Assumptions'!K43</f>
        <v>1</v>
      </c>
      <c r="L93" s="358">
        <f>'Attribution Assumptions'!L43</f>
        <v>1</v>
      </c>
      <c r="M93" s="358">
        <f>'Attribution Assumptions'!M43</f>
        <v>1</v>
      </c>
      <c r="N93" s="358">
        <f>'Attribution Assumptions'!N43</f>
        <v>1</v>
      </c>
      <c r="O93" s="358">
        <f>'Attribution Assumptions'!O43</f>
        <v>1</v>
      </c>
      <c r="P93" s="358">
        <f>'Attribution Assumptions'!P43</f>
        <v>1</v>
      </c>
      <c r="Q93" s="358">
        <f>'Attribution Assumptions'!Q43</f>
        <v>1</v>
      </c>
      <c r="R93" s="358">
        <f>'Attribution Assumptions'!R43</f>
        <v>1</v>
      </c>
      <c r="S93" s="358">
        <f>'Attribution Assumptions'!S43</f>
        <v>1</v>
      </c>
      <c r="T93" s="358">
        <f>'Attribution Assumptions'!T43</f>
        <v>1</v>
      </c>
      <c r="U93" s="358">
        <f>'Attribution Assumptions'!U43</f>
        <v>1</v>
      </c>
      <c r="V93" s="358">
        <f>'Attribution Assumptions'!V43</f>
        <v>1</v>
      </c>
      <c r="W93" s="358">
        <f>'Attribution Assumptions'!W43</f>
        <v>1</v>
      </c>
      <c r="X93" s="358">
        <f>'Attribution Assumptions'!X43</f>
        <v>1</v>
      </c>
      <c r="Y93" s="358">
        <f>'Attribution Assumptions'!Y43</f>
        <v>1</v>
      </c>
      <c r="Z93" s="358">
        <f>'Attribution Assumptions'!Z43</f>
        <v>1</v>
      </c>
      <c r="AA93" s="358">
        <f>'Attribution Assumptions'!AA43</f>
        <v>1</v>
      </c>
      <c r="AB93" s="358">
        <f>'Attribution Assumptions'!AB43</f>
        <v>1</v>
      </c>
    </row>
    <row r="94" spans="1:28" s="203" customFormat="1" ht="15" customHeight="1">
      <c r="A94" s="457"/>
      <c r="B94" s="10" t="s">
        <v>27</v>
      </c>
      <c r="C94" s="357" t="s">
        <v>101</v>
      </c>
      <c r="D94" s="358">
        <f>'Attribution Assumptions'!D44</f>
        <v>0</v>
      </c>
      <c r="E94" s="358">
        <f>'Attribution Assumptions'!E44</f>
        <v>0</v>
      </c>
      <c r="F94" s="358">
        <f>'Attribution Assumptions'!F44</f>
        <v>0</v>
      </c>
      <c r="G94" s="358">
        <f>'Attribution Assumptions'!G44</f>
        <v>0.16666666666666666</v>
      </c>
      <c r="H94" s="358">
        <f>'Attribution Assumptions'!H44</f>
        <v>0.33333333333333331</v>
      </c>
      <c r="I94" s="358">
        <f>'Attribution Assumptions'!I44</f>
        <v>0.5</v>
      </c>
      <c r="J94" s="358">
        <f>'Attribution Assumptions'!J44</f>
        <v>0.66666666666666663</v>
      </c>
      <c r="K94" s="358">
        <f>'Attribution Assumptions'!K44</f>
        <v>0.83333333333333326</v>
      </c>
      <c r="L94" s="358">
        <f>'Attribution Assumptions'!L44</f>
        <v>1</v>
      </c>
      <c r="M94" s="358">
        <f>'Attribution Assumptions'!M44</f>
        <v>1</v>
      </c>
      <c r="N94" s="358">
        <f>'Attribution Assumptions'!N44</f>
        <v>1</v>
      </c>
      <c r="O94" s="358">
        <f>'Attribution Assumptions'!O44</f>
        <v>1</v>
      </c>
      <c r="P94" s="358">
        <f>'Attribution Assumptions'!P44</f>
        <v>1</v>
      </c>
      <c r="Q94" s="358">
        <f>'Attribution Assumptions'!Q44</f>
        <v>1</v>
      </c>
      <c r="R94" s="358">
        <f>'Attribution Assumptions'!R44</f>
        <v>1</v>
      </c>
      <c r="S94" s="358">
        <f>'Attribution Assumptions'!S44</f>
        <v>1</v>
      </c>
      <c r="T94" s="358">
        <f>'Attribution Assumptions'!T44</f>
        <v>1</v>
      </c>
      <c r="U94" s="358">
        <f>'Attribution Assumptions'!U44</f>
        <v>1</v>
      </c>
      <c r="V94" s="358">
        <f>'Attribution Assumptions'!V44</f>
        <v>1</v>
      </c>
      <c r="W94" s="358">
        <f>'Attribution Assumptions'!W44</f>
        <v>1</v>
      </c>
      <c r="X94" s="358">
        <f>'Attribution Assumptions'!X44</f>
        <v>1</v>
      </c>
      <c r="Y94" s="358">
        <f>'Attribution Assumptions'!Y44</f>
        <v>1</v>
      </c>
      <c r="Z94" s="358">
        <f>'Attribution Assumptions'!Z44</f>
        <v>1</v>
      </c>
      <c r="AA94" s="358">
        <f>'Attribution Assumptions'!AA44</f>
        <v>1</v>
      </c>
      <c r="AB94" s="358">
        <f>'Attribution Assumptions'!AB44</f>
        <v>1</v>
      </c>
    </row>
    <row r="95" spans="1:28" ht="15" customHeight="1">
      <c r="A95" s="457"/>
      <c r="B95" s="10" t="s">
        <v>195</v>
      </c>
      <c r="C95" s="357" t="s">
        <v>101</v>
      </c>
      <c r="D95" s="355">
        <f>D113</f>
        <v>0.69783566946249309</v>
      </c>
      <c r="E95" s="355">
        <f t="shared" ref="E95:AB95" si="30">E113</f>
        <v>0.49639278243748902</v>
      </c>
      <c r="F95" s="355">
        <f t="shared" si="30"/>
        <v>1</v>
      </c>
      <c r="G95" s="355">
        <f t="shared" si="30"/>
        <v>0.7396005467961152</v>
      </c>
      <c r="H95" s="355">
        <f t="shared" si="30"/>
        <v>0.78367721824282532</v>
      </c>
      <c r="I95" s="355">
        <f t="shared" si="30"/>
        <v>0.41194243352488652</v>
      </c>
      <c r="J95" s="355">
        <f t="shared" si="30"/>
        <v>0.77168609395429255</v>
      </c>
      <c r="K95" s="355">
        <f t="shared" si="30"/>
        <v>0.51496513508738317</v>
      </c>
      <c r="L95" s="355">
        <f t="shared" si="30"/>
        <v>0</v>
      </c>
      <c r="M95" s="355">
        <f t="shared" si="30"/>
        <v>0</v>
      </c>
      <c r="N95" s="355">
        <f t="shared" si="30"/>
        <v>0</v>
      </c>
      <c r="O95" s="355">
        <f t="shared" si="30"/>
        <v>6.9709831876051093E-2</v>
      </c>
      <c r="P95" s="355">
        <f t="shared" si="30"/>
        <v>0.51834610081721944</v>
      </c>
      <c r="Q95" s="355">
        <f t="shared" si="30"/>
        <v>0.63284943014099082</v>
      </c>
      <c r="R95" s="355">
        <f t="shared" si="30"/>
        <v>0.40965802874435708</v>
      </c>
      <c r="S95" s="355">
        <f t="shared" si="30"/>
        <v>0.65671780664199597</v>
      </c>
      <c r="T95" s="355">
        <f t="shared" si="30"/>
        <v>0.49715986744215895</v>
      </c>
      <c r="U95" s="355">
        <f t="shared" si="30"/>
        <v>0.45051600939274605</v>
      </c>
      <c r="V95" s="355">
        <f t="shared" si="30"/>
        <v>0.45025122876542795</v>
      </c>
      <c r="W95" s="355">
        <f t="shared" si="30"/>
        <v>0.45025122876542795</v>
      </c>
      <c r="X95" s="355">
        <f t="shared" si="30"/>
        <v>0.45026915989097177</v>
      </c>
      <c r="Y95" s="355">
        <f t="shared" si="30"/>
        <v>0.45051600939274605</v>
      </c>
      <c r="Z95" s="355">
        <f t="shared" si="30"/>
        <v>0.45051600939274605</v>
      </c>
      <c r="AA95" s="355">
        <f t="shared" si="30"/>
        <v>0.49715986744215895</v>
      </c>
      <c r="AB95" s="355">
        <f t="shared" si="30"/>
        <v>0.49715986744215895</v>
      </c>
    </row>
    <row r="96" spans="1:28" ht="15" customHeight="1">
      <c r="A96" s="457"/>
      <c r="B96" s="10" t="s">
        <v>30</v>
      </c>
      <c r="C96" s="357" t="s">
        <v>101</v>
      </c>
      <c r="D96" s="355">
        <f>'Attribution Assumptions'!D44</f>
        <v>0</v>
      </c>
      <c r="E96" s="355">
        <f>'Attribution Assumptions'!E44</f>
        <v>0</v>
      </c>
      <c r="F96" s="355">
        <f>'Attribution Assumptions'!F44</f>
        <v>0</v>
      </c>
      <c r="G96" s="355">
        <f>'Attribution Assumptions'!G44</f>
        <v>0.16666666666666666</v>
      </c>
      <c r="H96" s="355">
        <f>'Attribution Assumptions'!H44</f>
        <v>0.33333333333333331</v>
      </c>
      <c r="I96" s="355">
        <f>'Attribution Assumptions'!I44</f>
        <v>0.5</v>
      </c>
      <c r="J96" s="355">
        <f>'Attribution Assumptions'!J44</f>
        <v>0.66666666666666663</v>
      </c>
      <c r="K96" s="355">
        <f>'Attribution Assumptions'!K44</f>
        <v>0.83333333333333326</v>
      </c>
      <c r="L96" s="355">
        <f>'Attribution Assumptions'!L44</f>
        <v>1</v>
      </c>
      <c r="M96" s="355">
        <f>'Attribution Assumptions'!M44</f>
        <v>1</v>
      </c>
      <c r="N96" s="355">
        <f>'Attribution Assumptions'!N44</f>
        <v>1</v>
      </c>
      <c r="O96" s="355">
        <f>'Attribution Assumptions'!O44</f>
        <v>1</v>
      </c>
      <c r="P96" s="355">
        <f>'Attribution Assumptions'!P44</f>
        <v>1</v>
      </c>
      <c r="Q96" s="355">
        <f>'Attribution Assumptions'!Q44</f>
        <v>1</v>
      </c>
      <c r="R96" s="355">
        <f>'Attribution Assumptions'!R44</f>
        <v>1</v>
      </c>
      <c r="S96" s="355">
        <f>'Attribution Assumptions'!S44</f>
        <v>1</v>
      </c>
      <c r="T96" s="355">
        <f>'Attribution Assumptions'!T44</f>
        <v>1</v>
      </c>
      <c r="U96" s="355">
        <f>'Attribution Assumptions'!U44</f>
        <v>1</v>
      </c>
      <c r="V96" s="355">
        <f>'Attribution Assumptions'!V44</f>
        <v>1</v>
      </c>
      <c r="W96" s="355">
        <f>'Attribution Assumptions'!W44</f>
        <v>1</v>
      </c>
      <c r="X96" s="355">
        <f>'Attribution Assumptions'!X44</f>
        <v>1</v>
      </c>
      <c r="Y96" s="355">
        <f>'Attribution Assumptions'!Y44</f>
        <v>1</v>
      </c>
      <c r="Z96" s="355">
        <f>'Attribution Assumptions'!Z44</f>
        <v>1</v>
      </c>
      <c r="AA96" s="355">
        <f>'Attribution Assumptions'!AA44</f>
        <v>1</v>
      </c>
      <c r="AB96" s="355">
        <f>'Attribution Assumptions'!AB44</f>
        <v>1</v>
      </c>
    </row>
    <row r="97" spans="1:28" ht="15" customHeight="1">
      <c r="A97" s="457"/>
      <c r="B97" s="309" t="s">
        <v>31</v>
      </c>
      <c r="C97" s="359" t="s">
        <v>101</v>
      </c>
      <c r="D97" s="354">
        <f>'Attribution Assumptions'!D54</f>
        <v>0</v>
      </c>
      <c r="E97" s="354">
        <f>'Attribution Assumptions'!E54</f>
        <v>0</v>
      </c>
      <c r="F97" s="354">
        <f>'Attribution Assumptions'!F54</f>
        <v>0</v>
      </c>
      <c r="G97" s="354">
        <f>'Attribution Assumptions'!G54</f>
        <v>0</v>
      </c>
      <c r="H97" s="354">
        <f>'Attribution Assumptions'!H54</f>
        <v>0</v>
      </c>
      <c r="I97" s="354">
        <f>'Attribution Assumptions'!I54</f>
        <v>0</v>
      </c>
      <c r="J97" s="354">
        <f>'Attribution Assumptions'!J54</f>
        <v>0</v>
      </c>
      <c r="K97" s="354">
        <f>'Attribution Assumptions'!K54</f>
        <v>0</v>
      </c>
      <c r="L97" s="354">
        <f>'Attribution Assumptions'!L54</f>
        <v>0</v>
      </c>
      <c r="M97" s="354">
        <f>'Attribution Assumptions'!M54</f>
        <v>0</v>
      </c>
      <c r="N97" s="354">
        <f>'Attribution Assumptions'!N54</f>
        <v>0</v>
      </c>
      <c r="O97" s="354">
        <f>'Attribution Assumptions'!O54</f>
        <v>0</v>
      </c>
      <c r="P97" s="354">
        <f>'Attribution Assumptions'!P54</f>
        <v>0</v>
      </c>
      <c r="Q97" s="354">
        <f>'Attribution Assumptions'!Q54</f>
        <v>0</v>
      </c>
      <c r="R97" s="354">
        <f>'Attribution Assumptions'!R54</f>
        <v>0</v>
      </c>
      <c r="S97" s="354">
        <f>'Attribution Assumptions'!S54</f>
        <v>0</v>
      </c>
      <c r="T97" s="354">
        <f>'Attribution Assumptions'!T54</f>
        <v>0</v>
      </c>
      <c r="U97" s="354">
        <f>'Attribution Assumptions'!U54</f>
        <v>0</v>
      </c>
      <c r="V97" s="354">
        <f>'Attribution Assumptions'!V54</f>
        <v>0</v>
      </c>
      <c r="W97" s="354">
        <f>'Attribution Assumptions'!W54</f>
        <v>0</v>
      </c>
      <c r="X97" s="354">
        <f>'Attribution Assumptions'!X54</f>
        <v>0</v>
      </c>
      <c r="Y97" s="354">
        <f>'Attribution Assumptions'!Y54</f>
        <v>0</v>
      </c>
      <c r="Z97" s="354">
        <f>'Attribution Assumptions'!Z54</f>
        <v>0</v>
      </c>
      <c r="AA97" s="354">
        <f>'Attribution Assumptions'!AA54</f>
        <v>0</v>
      </c>
      <c r="AB97" s="354">
        <f>'Attribution Assumptions'!AB54</f>
        <v>0</v>
      </c>
    </row>
    <row r="98" spans="1:28" s="171" customFormat="1" ht="15" customHeight="1">
      <c r="A98" s="457"/>
      <c r="B98" s="309" t="s">
        <v>17</v>
      </c>
      <c r="C98" s="353" t="s">
        <v>101</v>
      </c>
      <c r="D98" s="354">
        <f>'Attribution Assumptions'!D45</f>
        <v>0</v>
      </c>
      <c r="E98" s="354">
        <f>'Attribution Assumptions'!E45</f>
        <v>0</v>
      </c>
      <c r="F98" s="354">
        <f>'Attribution Assumptions'!F45</f>
        <v>0</v>
      </c>
      <c r="G98" s="354">
        <f>'Attribution Assumptions'!G45</f>
        <v>0</v>
      </c>
      <c r="H98" s="354">
        <f>'Attribution Assumptions'!H45</f>
        <v>0</v>
      </c>
      <c r="I98" s="354">
        <f>'Attribution Assumptions'!I45</f>
        <v>0</v>
      </c>
      <c r="J98" s="354">
        <f>'Attribution Assumptions'!J45</f>
        <v>0</v>
      </c>
      <c r="K98" s="354">
        <f>'Attribution Assumptions'!K45</f>
        <v>0</v>
      </c>
      <c r="L98" s="354">
        <f>'Attribution Assumptions'!L45</f>
        <v>0</v>
      </c>
      <c r="M98" s="354">
        <f>'Attribution Assumptions'!M45</f>
        <v>0</v>
      </c>
      <c r="N98" s="354">
        <f>'Attribution Assumptions'!N45</f>
        <v>0</v>
      </c>
      <c r="O98" s="354">
        <f>'Attribution Assumptions'!O45</f>
        <v>0</v>
      </c>
      <c r="P98" s="354">
        <f>'Attribution Assumptions'!P45</f>
        <v>0</v>
      </c>
      <c r="Q98" s="354">
        <f>'Attribution Assumptions'!Q45</f>
        <v>0</v>
      </c>
      <c r="R98" s="354">
        <f>'Attribution Assumptions'!R45</f>
        <v>0</v>
      </c>
      <c r="S98" s="354">
        <f>'Attribution Assumptions'!S45</f>
        <v>0</v>
      </c>
      <c r="T98" s="354">
        <f>'Attribution Assumptions'!T45</f>
        <v>0</v>
      </c>
      <c r="U98" s="354">
        <f>'Attribution Assumptions'!U45</f>
        <v>0</v>
      </c>
      <c r="V98" s="354">
        <f>'Attribution Assumptions'!V45</f>
        <v>0</v>
      </c>
      <c r="W98" s="354">
        <f>'Attribution Assumptions'!W45</f>
        <v>0</v>
      </c>
      <c r="X98" s="354">
        <f>'Attribution Assumptions'!X45</f>
        <v>0</v>
      </c>
      <c r="Y98" s="354">
        <f>'Attribution Assumptions'!Y45</f>
        <v>0</v>
      </c>
      <c r="Z98" s="354">
        <f>'Attribution Assumptions'!Z45</f>
        <v>0</v>
      </c>
      <c r="AA98" s="354">
        <f>'Attribution Assumptions'!AA45</f>
        <v>0</v>
      </c>
      <c r="AB98" s="354">
        <f>'Attribution Assumptions'!AB45</f>
        <v>0</v>
      </c>
    </row>
    <row r="99" spans="1:28" ht="15" customHeight="1">
      <c r="A99" s="457"/>
      <c r="B99" s="10" t="s">
        <v>196</v>
      </c>
      <c r="C99" s="345" t="s">
        <v>101</v>
      </c>
      <c r="D99" s="355">
        <f>D113</f>
        <v>0.69783566946249309</v>
      </c>
      <c r="E99" s="355">
        <f t="shared" ref="E99:AB99" si="31">E113</f>
        <v>0.49639278243748902</v>
      </c>
      <c r="F99" s="355">
        <f t="shared" si="31"/>
        <v>1</v>
      </c>
      <c r="G99" s="355">
        <f t="shared" si="31"/>
        <v>0.7396005467961152</v>
      </c>
      <c r="H99" s="355">
        <f t="shared" si="31"/>
        <v>0.78367721824282532</v>
      </c>
      <c r="I99" s="355">
        <f t="shared" si="31"/>
        <v>0.41194243352488652</v>
      </c>
      <c r="J99" s="355">
        <f t="shared" si="31"/>
        <v>0.77168609395429255</v>
      </c>
      <c r="K99" s="355">
        <f t="shared" si="31"/>
        <v>0.51496513508738317</v>
      </c>
      <c r="L99" s="355">
        <f t="shared" si="31"/>
        <v>0</v>
      </c>
      <c r="M99" s="355">
        <f t="shared" si="31"/>
        <v>0</v>
      </c>
      <c r="N99" s="355">
        <f t="shared" si="31"/>
        <v>0</v>
      </c>
      <c r="O99" s="355">
        <f t="shared" si="31"/>
        <v>6.9709831876051093E-2</v>
      </c>
      <c r="P99" s="355">
        <f t="shared" si="31"/>
        <v>0.51834610081721944</v>
      </c>
      <c r="Q99" s="355">
        <f t="shared" si="31"/>
        <v>0.63284943014099082</v>
      </c>
      <c r="R99" s="355">
        <f t="shared" si="31"/>
        <v>0.40965802874435708</v>
      </c>
      <c r="S99" s="355">
        <f t="shared" si="31"/>
        <v>0.65671780664199597</v>
      </c>
      <c r="T99" s="355">
        <f t="shared" si="31"/>
        <v>0.49715986744215895</v>
      </c>
      <c r="U99" s="355">
        <f t="shared" si="31"/>
        <v>0.45051600939274605</v>
      </c>
      <c r="V99" s="355">
        <f t="shared" si="31"/>
        <v>0.45025122876542795</v>
      </c>
      <c r="W99" s="355">
        <f t="shared" si="31"/>
        <v>0.45025122876542795</v>
      </c>
      <c r="X99" s="355">
        <f t="shared" si="31"/>
        <v>0.45026915989097177</v>
      </c>
      <c r="Y99" s="355">
        <f t="shared" si="31"/>
        <v>0.45051600939274605</v>
      </c>
      <c r="Z99" s="355">
        <f t="shared" si="31"/>
        <v>0.45051600939274605</v>
      </c>
      <c r="AA99" s="355">
        <f t="shared" si="31"/>
        <v>0.49715986744215895</v>
      </c>
      <c r="AB99" s="355">
        <f t="shared" si="31"/>
        <v>0.49715986744215895</v>
      </c>
    </row>
    <row r="100" spans="1:28" s="275" customFormat="1" ht="15" customHeight="1">
      <c r="A100" s="457"/>
      <c r="B100" s="299" t="s">
        <v>9</v>
      </c>
      <c r="C100" s="360" t="s">
        <v>101</v>
      </c>
      <c r="D100" s="361">
        <f>'Attribution Assumptions'!D46</f>
        <v>0</v>
      </c>
      <c r="E100" s="361">
        <f>'Attribution Assumptions'!E46</f>
        <v>0</v>
      </c>
      <c r="F100" s="361">
        <f>'Attribution Assumptions'!F46</f>
        <v>0</v>
      </c>
      <c r="G100" s="361">
        <f>'Attribution Assumptions'!G46</f>
        <v>0</v>
      </c>
      <c r="H100" s="361">
        <f>'Attribution Assumptions'!H46</f>
        <v>0</v>
      </c>
      <c r="I100" s="361">
        <f>'Attribution Assumptions'!I46</f>
        <v>0</v>
      </c>
      <c r="J100" s="361">
        <f>'Attribution Assumptions'!J46</f>
        <v>0</v>
      </c>
      <c r="K100" s="361">
        <f>'Attribution Assumptions'!K46</f>
        <v>0</v>
      </c>
      <c r="L100" s="361">
        <f>'Attribution Assumptions'!L46</f>
        <v>0</v>
      </c>
      <c r="M100" s="361">
        <f>'Attribution Assumptions'!M46</f>
        <v>0</v>
      </c>
      <c r="N100" s="361">
        <f>'Attribution Assumptions'!N46</f>
        <v>0</v>
      </c>
      <c r="O100" s="361">
        <f>'Attribution Assumptions'!O46</f>
        <v>0</v>
      </c>
      <c r="P100" s="361">
        <f>'Attribution Assumptions'!P46</f>
        <v>0</v>
      </c>
      <c r="Q100" s="361">
        <f>'Attribution Assumptions'!Q46</f>
        <v>0</v>
      </c>
      <c r="R100" s="361">
        <f>'Attribution Assumptions'!R46</f>
        <v>0</v>
      </c>
      <c r="S100" s="361">
        <f>'Attribution Assumptions'!S46</f>
        <v>0</v>
      </c>
      <c r="T100" s="361">
        <f>'Attribution Assumptions'!T46</f>
        <v>0</v>
      </c>
      <c r="U100" s="361">
        <f>'Attribution Assumptions'!U46</f>
        <v>0</v>
      </c>
      <c r="V100" s="361">
        <f>'Attribution Assumptions'!V46</f>
        <v>0</v>
      </c>
      <c r="W100" s="361">
        <f>'Attribution Assumptions'!W46</f>
        <v>0</v>
      </c>
      <c r="X100" s="361">
        <f>'Attribution Assumptions'!X46</f>
        <v>0</v>
      </c>
      <c r="Y100" s="361">
        <f>'Attribution Assumptions'!Y46</f>
        <v>0</v>
      </c>
      <c r="Z100" s="361">
        <f>'Attribution Assumptions'!Z46</f>
        <v>0</v>
      </c>
      <c r="AA100" s="361">
        <f>'Attribution Assumptions'!AA46</f>
        <v>0</v>
      </c>
      <c r="AB100" s="361">
        <f>'Attribution Assumptions'!AB46</f>
        <v>0</v>
      </c>
    </row>
    <row r="101" spans="1:28" ht="15" customHeight="1">
      <c r="A101" s="457"/>
      <c r="B101" s="10" t="s">
        <v>34</v>
      </c>
      <c r="C101" s="345" t="s">
        <v>101</v>
      </c>
      <c r="D101" s="355">
        <f>'Attribution Assumptions'!D47</f>
        <v>0</v>
      </c>
      <c r="E101" s="355">
        <f>'Attribution Assumptions'!E47</f>
        <v>0</v>
      </c>
      <c r="F101" s="355">
        <f>'Attribution Assumptions'!F47</f>
        <v>0</v>
      </c>
      <c r="G101" s="355">
        <f>'Attribution Assumptions'!G47</f>
        <v>0</v>
      </c>
      <c r="H101" s="355">
        <f>'Attribution Assumptions'!H47</f>
        <v>1.3622184590004823E-2</v>
      </c>
      <c r="I101" s="355">
        <f>'Attribution Assumptions'!I47</f>
        <v>0.11015287206355706</v>
      </c>
      <c r="J101" s="355">
        <f>'Attribution Assumptions'!J47</f>
        <v>0.17627027747942778</v>
      </c>
      <c r="K101" s="355">
        <f>'Attribution Assumptions'!K47</f>
        <v>0.20898009481048263</v>
      </c>
      <c r="L101" s="355">
        <f>'Attribution Assumptions'!L47</f>
        <v>0.2294101251428399</v>
      </c>
      <c r="M101" s="355">
        <f>'Attribution Assumptions'!M47</f>
        <v>0.24295643541389875</v>
      </c>
      <c r="N101" s="355">
        <f>'Attribution Assumptions'!N47</f>
        <v>0.25249036378410949</v>
      </c>
      <c r="O101" s="355">
        <f>'Attribution Assumptions'!O47</f>
        <v>0.25961783908695407</v>
      </c>
      <c r="P101" s="355">
        <f>'Attribution Assumptions'!P47</f>
        <v>0.26841164486050301</v>
      </c>
      <c r="Q101" s="355">
        <f>'Attribution Assumptions'!Q47</f>
        <v>0.27187253466695305</v>
      </c>
      <c r="R101" s="356">
        <f>'Attribution Assumptions'!R47</f>
        <v>0.27520972752163275</v>
      </c>
      <c r="S101" s="356">
        <f>'Attribution Assumptions'!S47</f>
        <v>0.2784173106210564</v>
      </c>
      <c r="T101" s="356">
        <f>'Attribution Assumptions'!T47</f>
        <v>0.28148979365048893</v>
      </c>
      <c r="U101" s="356">
        <f>'Attribution Assumptions'!U47</f>
        <v>0.27070602453539699</v>
      </c>
      <c r="V101" s="356">
        <f>'Attribution Assumptions'!V47</f>
        <v>0.26227122869268193</v>
      </c>
      <c r="W101" s="356">
        <f>'Attribution Assumptions'!W47</f>
        <v>0.2615388166151793</v>
      </c>
      <c r="X101" s="356">
        <f>'Attribution Assumptions'!X47</f>
        <v>0.26618088498920417</v>
      </c>
      <c r="Y101" s="356">
        <f>'Attribution Assumptions'!Y47</f>
        <v>0.26436611810879757</v>
      </c>
      <c r="Z101" s="356">
        <f>'Attribution Assumptions'!Z47</f>
        <v>0.26419680088258485</v>
      </c>
      <c r="AA101" s="356">
        <f>'Attribution Assumptions'!AA47</f>
        <v>0.26424122597954908</v>
      </c>
      <c r="AB101" s="356">
        <f>'Attribution Assumptions'!AB47</f>
        <v>0.26788257115259112</v>
      </c>
    </row>
    <row r="102" spans="1:28" s="275" customFormat="1" ht="15" customHeight="1">
      <c r="A102" s="457"/>
      <c r="B102" s="299" t="s">
        <v>33</v>
      </c>
      <c r="C102" s="360" t="s">
        <v>101</v>
      </c>
      <c r="D102" s="361">
        <f>'Attribution Assumptions'!D48</f>
        <v>0</v>
      </c>
      <c r="E102" s="361">
        <f>'Attribution Assumptions'!E48</f>
        <v>0</v>
      </c>
      <c r="F102" s="361">
        <f>'Attribution Assumptions'!F48</f>
        <v>0</v>
      </c>
      <c r="G102" s="361">
        <f>'Attribution Assumptions'!G48</f>
        <v>0</v>
      </c>
      <c r="H102" s="361">
        <f>'Attribution Assumptions'!H48</f>
        <v>0</v>
      </c>
      <c r="I102" s="361">
        <f>'Attribution Assumptions'!I48</f>
        <v>0</v>
      </c>
      <c r="J102" s="361">
        <f>'Attribution Assumptions'!J48</f>
        <v>0</v>
      </c>
      <c r="K102" s="361">
        <f>'Attribution Assumptions'!K48</f>
        <v>0</v>
      </c>
      <c r="L102" s="361">
        <f>'Attribution Assumptions'!L48</f>
        <v>0</v>
      </c>
      <c r="M102" s="361">
        <f>'Attribution Assumptions'!M48</f>
        <v>0</v>
      </c>
      <c r="N102" s="361">
        <f>'Attribution Assumptions'!N48</f>
        <v>0</v>
      </c>
      <c r="O102" s="361">
        <f>'Attribution Assumptions'!O48</f>
        <v>0</v>
      </c>
      <c r="P102" s="361">
        <f>'Attribution Assumptions'!P48</f>
        <v>0</v>
      </c>
      <c r="Q102" s="361">
        <f>'Attribution Assumptions'!Q48</f>
        <v>0</v>
      </c>
      <c r="R102" s="361">
        <f>'Attribution Assumptions'!R48</f>
        <v>0</v>
      </c>
      <c r="S102" s="361">
        <f>'Attribution Assumptions'!S48</f>
        <v>0</v>
      </c>
      <c r="T102" s="361">
        <f>'Attribution Assumptions'!T48</f>
        <v>0</v>
      </c>
      <c r="U102" s="361">
        <f>'Attribution Assumptions'!U48</f>
        <v>0</v>
      </c>
      <c r="V102" s="361">
        <f>'Attribution Assumptions'!V48</f>
        <v>0</v>
      </c>
      <c r="W102" s="361">
        <f>'Attribution Assumptions'!W48</f>
        <v>0</v>
      </c>
      <c r="X102" s="361">
        <f>'Attribution Assumptions'!X48</f>
        <v>0</v>
      </c>
      <c r="Y102" s="361">
        <f>'Attribution Assumptions'!Y48</f>
        <v>0</v>
      </c>
      <c r="Z102" s="361">
        <f>'Attribution Assumptions'!Z48</f>
        <v>0</v>
      </c>
      <c r="AA102" s="361">
        <f>'Attribution Assumptions'!AA48</f>
        <v>0</v>
      </c>
      <c r="AB102" s="361">
        <f>'Attribution Assumptions'!AB48</f>
        <v>0</v>
      </c>
    </row>
    <row r="103" spans="1:28" s="275" customFormat="1" ht="15" customHeight="1">
      <c r="A103" s="457"/>
      <c r="B103" s="10" t="s">
        <v>24</v>
      </c>
      <c r="C103" s="345" t="s">
        <v>101</v>
      </c>
      <c r="D103" s="355">
        <f>'Attribution Assumptions'!D43</f>
        <v>1</v>
      </c>
      <c r="E103" s="355">
        <f>'Attribution Assumptions'!E43</f>
        <v>1</v>
      </c>
      <c r="F103" s="355">
        <f>'Attribution Assumptions'!F43</f>
        <v>1</v>
      </c>
      <c r="G103" s="355">
        <f>'Attribution Assumptions'!G43</f>
        <v>1</v>
      </c>
      <c r="H103" s="355">
        <f>'Attribution Assumptions'!H43</f>
        <v>1</v>
      </c>
      <c r="I103" s="355">
        <f>'Attribution Assumptions'!I43</f>
        <v>1</v>
      </c>
      <c r="J103" s="355">
        <f>'Attribution Assumptions'!J43</f>
        <v>1</v>
      </c>
      <c r="K103" s="355">
        <f>'Attribution Assumptions'!K43</f>
        <v>1</v>
      </c>
      <c r="L103" s="355">
        <f>'Attribution Assumptions'!L43</f>
        <v>1</v>
      </c>
      <c r="M103" s="355">
        <f>'Attribution Assumptions'!M43</f>
        <v>1</v>
      </c>
      <c r="N103" s="355">
        <f>'Attribution Assumptions'!N43</f>
        <v>1</v>
      </c>
      <c r="O103" s="355">
        <f>'Attribution Assumptions'!O43</f>
        <v>1</v>
      </c>
      <c r="P103" s="355">
        <f>'Attribution Assumptions'!P43</f>
        <v>1</v>
      </c>
      <c r="Q103" s="355">
        <f>'Attribution Assumptions'!Q43</f>
        <v>1</v>
      </c>
      <c r="R103" s="355">
        <f>'Attribution Assumptions'!R43</f>
        <v>1</v>
      </c>
      <c r="S103" s="355">
        <f>'Attribution Assumptions'!S43</f>
        <v>1</v>
      </c>
      <c r="T103" s="355">
        <f>'Attribution Assumptions'!T43</f>
        <v>1</v>
      </c>
      <c r="U103" s="355">
        <f>'Attribution Assumptions'!U43</f>
        <v>1</v>
      </c>
      <c r="V103" s="355">
        <f>'Attribution Assumptions'!V43</f>
        <v>1</v>
      </c>
      <c r="W103" s="355">
        <f>'Attribution Assumptions'!W43</f>
        <v>1</v>
      </c>
      <c r="X103" s="355">
        <f>'Attribution Assumptions'!X43</f>
        <v>1</v>
      </c>
      <c r="Y103" s="355">
        <f>'Attribution Assumptions'!Y43</f>
        <v>1</v>
      </c>
      <c r="Z103" s="355">
        <f>'Attribution Assumptions'!Z43</f>
        <v>1</v>
      </c>
      <c r="AA103" s="355">
        <f>'Attribution Assumptions'!AA43</f>
        <v>1</v>
      </c>
      <c r="AB103" s="355">
        <f>'Attribution Assumptions'!AB43</f>
        <v>1</v>
      </c>
    </row>
    <row r="104" spans="1:28" ht="15" customHeight="1">
      <c r="A104" s="457"/>
      <c r="B104" s="10" t="s">
        <v>21</v>
      </c>
      <c r="C104" s="345" t="s">
        <v>101</v>
      </c>
      <c r="D104" s="355">
        <f>'Attribution Assumptions'!D44</f>
        <v>0</v>
      </c>
      <c r="E104" s="355">
        <f>'Attribution Assumptions'!E44</f>
        <v>0</v>
      </c>
      <c r="F104" s="355">
        <f>'Attribution Assumptions'!F44</f>
        <v>0</v>
      </c>
      <c r="G104" s="355">
        <f>'Attribution Assumptions'!G44</f>
        <v>0.16666666666666666</v>
      </c>
      <c r="H104" s="355">
        <f>'Attribution Assumptions'!H44</f>
        <v>0.33333333333333331</v>
      </c>
      <c r="I104" s="355">
        <f>'Attribution Assumptions'!I44</f>
        <v>0.5</v>
      </c>
      <c r="J104" s="355">
        <f>'Attribution Assumptions'!J44</f>
        <v>0.66666666666666663</v>
      </c>
      <c r="K104" s="355">
        <f>'Attribution Assumptions'!K44</f>
        <v>0.83333333333333326</v>
      </c>
      <c r="L104" s="355">
        <f>'Attribution Assumptions'!L44</f>
        <v>1</v>
      </c>
      <c r="M104" s="355">
        <f>'Attribution Assumptions'!M44</f>
        <v>1</v>
      </c>
      <c r="N104" s="355">
        <f>'Attribution Assumptions'!N44</f>
        <v>1</v>
      </c>
      <c r="O104" s="355">
        <f>'Attribution Assumptions'!O44</f>
        <v>1</v>
      </c>
      <c r="P104" s="355">
        <f>'Attribution Assumptions'!P44</f>
        <v>1</v>
      </c>
      <c r="Q104" s="355">
        <f>'Attribution Assumptions'!Q44</f>
        <v>1</v>
      </c>
      <c r="R104" s="355">
        <f>'Attribution Assumptions'!R44</f>
        <v>1</v>
      </c>
      <c r="S104" s="355">
        <f>'Attribution Assumptions'!S44</f>
        <v>1</v>
      </c>
      <c r="T104" s="355">
        <f>'Attribution Assumptions'!T44</f>
        <v>1</v>
      </c>
      <c r="U104" s="355">
        <f>'Attribution Assumptions'!U44</f>
        <v>1</v>
      </c>
      <c r="V104" s="355">
        <f>'Attribution Assumptions'!V44</f>
        <v>1</v>
      </c>
      <c r="W104" s="355">
        <f>'Attribution Assumptions'!W44</f>
        <v>1</v>
      </c>
      <c r="X104" s="355">
        <f>'Attribution Assumptions'!X44</f>
        <v>1</v>
      </c>
      <c r="Y104" s="355">
        <f>'Attribution Assumptions'!Y44</f>
        <v>1</v>
      </c>
      <c r="Z104" s="355">
        <f>'Attribution Assumptions'!Z44</f>
        <v>1</v>
      </c>
      <c r="AA104" s="355">
        <f>'Attribution Assumptions'!AA44</f>
        <v>1</v>
      </c>
      <c r="AB104" s="355">
        <f>'Attribution Assumptions'!AB44</f>
        <v>1</v>
      </c>
    </row>
    <row r="105" spans="1:28" ht="15" customHeight="1">
      <c r="A105" s="457"/>
      <c r="B105" s="10" t="s">
        <v>197</v>
      </c>
      <c r="C105" s="345" t="s">
        <v>101</v>
      </c>
      <c r="D105" s="355">
        <f>D113</f>
        <v>0.69783566946249309</v>
      </c>
      <c r="E105" s="355">
        <f t="shared" ref="E105:AB105" si="32">E113</f>
        <v>0.49639278243748902</v>
      </c>
      <c r="F105" s="355">
        <f t="shared" si="32"/>
        <v>1</v>
      </c>
      <c r="G105" s="355">
        <f t="shared" si="32"/>
        <v>0.7396005467961152</v>
      </c>
      <c r="H105" s="355">
        <f t="shared" si="32"/>
        <v>0.78367721824282532</v>
      </c>
      <c r="I105" s="355">
        <f t="shared" si="32"/>
        <v>0.41194243352488652</v>
      </c>
      <c r="J105" s="355">
        <f t="shared" si="32"/>
        <v>0.77168609395429255</v>
      </c>
      <c r="K105" s="355">
        <f t="shared" si="32"/>
        <v>0.51496513508738317</v>
      </c>
      <c r="L105" s="355">
        <f t="shared" si="32"/>
        <v>0</v>
      </c>
      <c r="M105" s="355">
        <f t="shared" si="32"/>
        <v>0</v>
      </c>
      <c r="N105" s="355">
        <f t="shared" si="32"/>
        <v>0</v>
      </c>
      <c r="O105" s="355">
        <f t="shared" si="32"/>
        <v>6.9709831876051093E-2</v>
      </c>
      <c r="P105" s="355">
        <f t="shared" si="32"/>
        <v>0.51834610081721944</v>
      </c>
      <c r="Q105" s="355">
        <f t="shared" si="32"/>
        <v>0.63284943014099082</v>
      </c>
      <c r="R105" s="355">
        <f t="shared" si="32"/>
        <v>0.40965802874435708</v>
      </c>
      <c r="S105" s="355">
        <f t="shared" si="32"/>
        <v>0.65671780664199597</v>
      </c>
      <c r="T105" s="355">
        <f t="shared" si="32"/>
        <v>0.49715986744215895</v>
      </c>
      <c r="U105" s="355">
        <f t="shared" si="32"/>
        <v>0.45051600939274605</v>
      </c>
      <c r="V105" s="355">
        <f t="shared" si="32"/>
        <v>0.45025122876542795</v>
      </c>
      <c r="W105" s="355">
        <f t="shared" si="32"/>
        <v>0.45025122876542795</v>
      </c>
      <c r="X105" s="355">
        <f t="shared" si="32"/>
        <v>0.45026915989097177</v>
      </c>
      <c r="Y105" s="355">
        <f t="shared" si="32"/>
        <v>0.45051600939274605</v>
      </c>
      <c r="Z105" s="355">
        <f t="shared" si="32"/>
        <v>0.45051600939274605</v>
      </c>
      <c r="AA105" s="355">
        <f t="shared" si="32"/>
        <v>0.49715986744215895</v>
      </c>
      <c r="AB105" s="355">
        <f t="shared" si="32"/>
        <v>0.49715986744215895</v>
      </c>
    </row>
    <row r="106" spans="1:28" ht="15" customHeight="1">
      <c r="A106" s="457"/>
      <c r="B106" s="10" t="s">
        <v>25</v>
      </c>
      <c r="C106" s="345" t="s">
        <v>101</v>
      </c>
      <c r="D106" s="355">
        <f>'Attribution Assumptions'!D44</f>
        <v>0</v>
      </c>
      <c r="E106" s="355">
        <f>'Attribution Assumptions'!E44</f>
        <v>0</v>
      </c>
      <c r="F106" s="355">
        <f>'Attribution Assumptions'!F44</f>
        <v>0</v>
      </c>
      <c r="G106" s="355">
        <f>'Attribution Assumptions'!G44</f>
        <v>0.16666666666666666</v>
      </c>
      <c r="H106" s="355">
        <f>'Attribution Assumptions'!H44</f>
        <v>0.33333333333333331</v>
      </c>
      <c r="I106" s="355">
        <f>'Attribution Assumptions'!I44</f>
        <v>0.5</v>
      </c>
      <c r="J106" s="355">
        <f>'Attribution Assumptions'!J44</f>
        <v>0.66666666666666663</v>
      </c>
      <c r="K106" s="355">
        <f>'Attribution Assumptions'!K44</f>
        <v>0.83333333333333326</v>
      </c>
      <c r="L106" s="355">
        <f>'Attribution Assumptions'!L44</f>
        <v>1</v>
      </c>
      <c r="M106" s="355">
        <f>'Attribution Assumptions'!M44</f>
        <v>1</v>
      </c>
      <c r="N106" s="355">
        <f>'Attribution Assumptions'!N44</f>
        <v>1</v>
      </c>
      <c r="O106" s="355">
        <f>'Attribution Assumptions'!O44</f>
        <v>1</v>
      </c>
      <c r="P106" s="355">
        <f>'Attribution Assumptions'!P44</f>
        <v>1</v>
      </c>
      <c r="Q106" s="355">
        <f>'Attribution Assumptions'!Q44</f>
        <v>1</v>
      </c>
      <c r="R106" s="355">
        <f>'Attribution Assumptions'!R44</f>
        <v>1</v>
      </c>
      <c r="S106" s="355">
        <f>'Attribution Assumptions'!S44</f>
        <v>1</v>
      </c>
      <c r="T106" s="355">
        <f>'Attribution Assumptions'!T44</f>
        <v>1</v>
      </c>
      <c r="U106" s="355">
        <f>'Attribution Assumptions'!U44</f>
        <v>1</v>
      </c>
      <c r="V106" s="355">
        <f>'Attribution Assumptions'!V44</f>
        <v>1</v>
      </c>
      <c r="W106" s="355">
        <f>'Attribution Assumptions'!W44</f>
        <v>1</v>
      </c>
      <c r="X106" s="355">
        <f>'Attribution Assumptions'!X44</f>
        <v>1</v>
      </c>
      <c r="Y106" s="355">
        <f>'Attribution Assumptions'!Y44</f>
        <v>1</v>
      </c>
      <c r="Z106" s="355">
        <f>'Attribution Assumptions'!Z44</f>
        <v>1</v>
      </c>
      <c r="AA106" s="355">
        <f>'Attribution Assumptions'!AA44</f>
        <v>1</v>
      </c>
      <c r="AB106" s="355">
        <f>'Attribution Assumptions'!AB44</f>
        <v>1</v>
      </c>
    </row>
    <row r="107" spans="1:28" ht="15" customHeight="1">
      <c r="A107" s="457"/>
      <c r="B107" s="309" t="s">
        <v>26</v>
      </c>
      <c r="C107" s="353" t="s">
        <v>101</v>
      </c>
      <c r="D107" s="354">
        <f>'Attribution Assumptions'!D54</f>
        <v>0</v>
      </c>
      <c r="E107" s="354">
        <f>'Attribution Assumptions'!E54</f>
        <v>0</v>
      </c>
      <c r="F107" s="354">
        <f>'Attribution Assumptions'!F54</f>
        <v>0</v>
      </c>
      <c r="G107" s="354">
        <f>'Attribution Assumptions'!G54</f>
        <v>0</v>
      </c>
      <c r="H107" s="354">
        <f>'Attribution Assumptions'!H54</f>
        <v>0</v>
      </c>
      <c r="I107" s="354">
        <f>'Attribution Assumptions'!I54</f>
        <v>0</v>
      </c>
      <c r="J107" s="354">
        <f>'Attribution Assumptions'!J54</f>
        <v>0</v>
      </c>
      <c r="K107" s="354">
        <f>'Attribution Assumptions'!K54</f>
        <v>0</v>
      </c>
      <c r="L107" s="354">
        <f>'Attribution Assumptions'!L54</f>
        <v>0</v>
      </c>
      <c r="M107" s="354">
        <f>'Attribution Assumptions'!M54</f>
        <v>0</v>
      </c>
      <c r="N107" s="354">
        <f>'Attribution Assumptions'!N54</f>
        <v>0</v>
      </c>
      <c r="O107" s="354">
        <f>'Attribution Assumptions'!O54</f>
        <v>0</v>
      </c>
      <c r="P107" s="354">
        <f>'Attribution Assumptions'!P54</f>
        <v>0</v>
      </c>
      <c r="Q107" s="354">
        <f>'Attribution Assumptions'!Q54</f>
        <v>0</v>
      </c>
      <c r="R107" s="354">
        <f>'Attribution Assumptions'!R54</f>
        <v>0</v>
      </c>
      <c r="S107" s="354">
        <f>'Attribution Assumptions'!S54</f>
        <v>0</v>
      </c>
      <c r="T107" s="354">
        <f>'Attribution Assumptions'!T54</f>
        <v>0</v>
      </c>
      <c r="U107" s="354">
        <f>'Attribution Assumptions'!U54</f>
        <v>0</v>
      </c>
      <c r="V107" s="354">
        <f>'Attribution Assumptions'!V54</f>
        <v>0</v>
      </c>
      <c r="W107" s="354">
        <f>'Attribution Assumptions'!W54</f>
        <v>0</v>
      </c>
      <c r="X107" s="354">
        <f>'Attribution Assumptions'!X54</f>
        <v>0</v>
      </c>
      <c r="Y107" s="354">
        <f>'Attribution Assumptions'!Y54</f>
        <v>0</v>
      </c>
      <c r="Z107" s="354">
        <f>'Attribution Assumptions'!Z54</f>
        <v>0</v>
      </c>
      <c r="AA107" s="354">
        <f>'Attribution Assumptions'!AA54</f>
        <v>0</v>
      </c>
      <c r="AB107" s="354">
        <f>'Attribution Assumptions'!AB54</f>
        <v>0</v>
      </c>
    </row>
    <row r="108" spans="1:28" s="171" customFormat="1" ht="15" customHeight="1">
      <c r="A108" s="457"/>
      <c r="B108" s="309" t="s">
        <v>14</v>
      </c>
      <c r="C108" s="353" t="s">
        <v>101</v>
      </c>
      <c r="D108" s="354">
        <f>'Attribution Assumptions'!D51</f>
        <v>0</v>
      </c>
      <c r="E108" s="354">
        <f>'Attribution Assumptions'!E51</f>
        <v>0</v>
      </c>
      <c r="F108" s="354">
        <f>'Attribution Assumptions'!F51</f>
        <v>0</v>
      </c>
      <c r="G108" s="354">
        <f>'Attribution Assumptions'!G51</f>
        <v>0</v>
      </c>
      <c r="H108" s="354">
        <f>'Attribution Assumptions'!H51</f>
        <v>0</v>
      </c>
      <c r="I108" s="354">
        <f>'Attribution Assumptions'!I51</f>
        <v>0</v>
      </c>
      <c r="J108" s="354">
        <f>'Attribution Assumptions'!J51</f>
        <v>0</v>
      </c>
      <c r="K108" s="354">
        <f>'Attribution Assumptions'!K51</f>
        <v>0</v>
      </c>
      <c r="L108" s="354">
        <f>'Attribution Assumptions'!L51</f>
        <v>0</v>
      </c>
      <c r="M108" s="354">
        <f>'Attribution Assumptions'!M51</f>
        <v>0</v>
      </c>
      <c r="N108" s="354">
        <f>'Attribution Assumptions'!N51</f>
        <v>0</v>
      </c>
      <c r="O108" s="354">
        <f>'Attribution Assumptions'!O51</f>
        <v>0</v>
      </c>
      <c r="P108" s="354">
        <f>'Attribution Assumptions'!P51</f>
        <v>0</v>
      </c>
      <c r="Q108" s="354">
        <f>'Attribution Assumptions'!Q51</f>
        <v>0</v>
      </c>
      <c r="R108" s="354">
        <f>'Attribution Assumptions'!R51</f>
        <v>0</v>
      </c>
      <c r="S108" s="354">
        <f>'Attribution Assumptions'!S51</f>
        <v>0</v>
      </c>
      <c r="T108" s="354">
        <f>'Attribution Assumptions'!T51</f>
        <v>0</v>
      </c>
      <c r="U108" s="354">
        <f>'Attribution Assumptions'!U51</f>
        <v>0</v>
      </c>
      <c r="V108" s="354">
        <f>'Attribution Assumptions'!V51</f>
        <v>0</v>
      </c>
      <c r="W108" s="354">
        <f>'Attribution Assumptions'!W51</f>
        <v>0</v>
      </c>
      <c r="X108" s="354">
        <f>'Attribution Assumptions'!X51</f>
        <v>0</v>
      </c>
      <c r="Y108" s="354">
        <f>'Attribution Assumptions'!Y51</f>
        <v>0</v>
      </c>
      <c r="Z108" s="354">
        <f>'Attribution Assumptions'!Z51</f>
        <v>0</v>
      </c>
      <c r="AA108" s="354">
        <f>'Attribution Assumptions'!AA51</f>
        <v>0</v>
      </c>
      <c r="AB108" s="354">
        <f>'Attribution Assumptions'!AB51</f>
        <v>0</v>
      </c>
    </row>
    <row r="109" spans="1:28" ht="15" customHeight="1">
      <c r="A109" s="457"/>
      <c r="B109" s="10" t="s">
        <v>198</v>
      </c>
      <c r="C109" s="345" t="s">
        <v>101</v>
      </c>
      <c r="D109" s="355">
        <f>D113</f>
        <v>0.69783566946249309</v>
      </c>
      <c r="E109" s="355">
        <f t="shared" ref="E109:AB109" si="33">E113</f>
        <v>0.49639278243748902</v>
      </c>
      <c r="F109" s="355">
        <f t="shared" si="33"/>
        <v>1</v>
      </c>
      <c r="G109" s="355">
        <f t="shared" si="33"/>
        <v>0.7396005467961152</v>
      </c>
      <c r="H109" s="355">
        <f t="shared" si="33"/>
        <v>0.78367721824282532</v>
      </c>
      <c r="I109" s="355">
        <f t="shared" si="33"/>
        <v>0.41194243352488652</v>
      </c>
      <c r="J109" s="355">
        <f t="shared" si="33"/>
        <v>0.77168609395429255</v>
      </c>
      <c r="K109" s="355">
        <f t="shared" si="33"/>
        <v>0.51496513508738317</v>
      </c>
      <c r="L109" s="355">
        <f t="shared" si="33"/>
        <v>0</v>
      </c>
      <c r="M109" s="355">
        <f t="shared" si="33"/>
        <v>0</v>
      </c>
      <c r="N109" s="355">
        <f t="shared" si="33"/>
        <v>0</v>
      </c>
      <c r="O109" s="355">
        <f t="shared" si="33"/>
        <v>6.9709831876051093E-2</v>
      </c>
      <c r="P109" s="355">
        <f t="shared" si="33"/>
        <v>0.51834610081721944</v>
      </c>
      <c r="Q109" s="355">
        <f t="shared" si="33"/>
        <v>0.63284943014099082</v>
      </c>
      <c r="R109" s="355">
        <f t="shared" si="33"/>
        <v>0.40965802874435708</v>
      </c>
      <c r="S109" s="355">
        <f t="shared" si="33"/>
        <v>0.65671780664199597</v>
      </c>
      <c r="T109" s="355">
        <f t="shared" si="33"/>
        <v>0.49715986744215895</v>
      </c>
      <c r="U109" s="355">
        <f t="shared" si="33"/>
        <v>0.45051600939274605</v>
      </c>
      <c r="V109" s="355">
        <f t="shared" si="33"/>
        <v>0.45025122876542795</v>
      </c>
      <c r="W109" s="355">
        <f t="shared" si="33"/>
        <v>0.45025122876542795</v>
      </c>
      <c r="X109" s="355">
        <f t="shared" si="33"/>
        <v>0.45026915989097177</v>
      </c>
      <c r="Y109" s="355">
        <f t="shared" si="33"/>
        <v>0.45051600939274605</v>
      </c>
      <c r="Z109" s="355">
        <f t="shared" si="33"/>
        <v>0.45051600939274605</v>
      </c>
      <c r="AA109" s="355">
        <f t="shared" si="33"/>
        <v>0.49715986744215895</v>
      </c>
      <c r="AB109" s="355">
        <f t="shared" si="33"/>
        <v>0.49715986744215895</v>
      </c>
    </row>
    <row r="110" spans="1:28" s="171" customFormat="1" ht="15" customHeight="1">
      <c r="A110" s="457"/>
      <c r="B110" s="309" t="s">
        <v>108</v>
      </c>
      <c r="C110" s="353" t="s">
        <v>101</v>
      </c>
      <c r="D110" s="354">
        <f>'Attribution Assumptions'!D52</f>
        <v>0</v>
      </c>
      <c r="E110" s="354">
        <f>'Attribution Assumptions'!E52</f>
        <v>0</v>
      </c>
      <c r="F110" s="354">
        <f>'Attribution Assumptions'!F52</f>
        <v>0</v>
      </c>
      <c r="G110" s="354">
        <f>'Attribution Assumptions'!G52</f>
        <v>0</v>
      </c>
      <c r="H110" s="354">
        <f>'Attribution Assumptions'!H52</f>
        <v>0</v>
      </c>
      <c r="I110" s="354">
        <f>'Attribution Assumptions'!I52</f>
        <v>0</v>
      </c>
      <c r="J110" s="354">
        <f>'Attribution Assumptions'!J52</f>
        <v>0</v>
      </c>
      <c r="K110" s="354">
        <f>'Attribution Assumptions'!K52</f>
        <v>0</v>
      </c>
      <c r="L110" s="354">
        <f>'Attribution Assumptions'!L52</f>
        <v>0</v>
      </c>
      <c r="M110" s="354">
        <f>'Attribution Assumptions'!M52</f>
        <v>0</v>
      </c>
      <c r="N110" s="354">
        <f>'Attribution Assumptions'!N52</f>
        <v>0</v>
      </c>
      <c r="O110" s="354">
        <f>'Attribution Assumptions'!O52</f>
        <v>0</v>
      </c>
      <c r="P110" s="354">
        <f>'Attribution Assumptions'!P52</f>
        <v>0</v>
      </c>
      <c r="Q110" s="354">
        <f>'Attribution Assumptions'!Q52</f>
        <v>0</v>
      </c>
      <c r="R110" s="354">
        <f>'Attribution Assumptions'!R52</f>
        <v>0</v>
      </c>
      <c r="S110" s="354">
        <f>'Attribution Assumptions'!S52</f>
        <v>0</v>
      </c>
      <c r="T110" s="354">
        <f>'Attribution Assumptions'!T52</f>
        <v>0</v>
      </c>
      <c r="U110" s="354">
        <f>'Attribution Assumptions'!U52</f>
        <v>0</v>
      </c>
      <c r="V110" s="354">
        <f>'Attribution Assumptions'!V52</f>
        <v>0</v>
      </c>
      <c r="W110" s="354">
        <f>'Attribution Assumptions'!W52</f>
        <v>0</v>
      </c>
      <c r="X110" s="354">
        <f>'Attribution Assumptions'!X52</f>
        <v>0</v>
      </c>
      <c r="Y110" s="354">
        <f>'Attribution Assumptions'!Y52</f>
        <v>0</v>
      </c>
      <c r="Z110" s="354">
        <f>'Attribution Assumptions'!Z52</f>
        <v>0</v>
      </c>
      <c r="AA110" s="354">
        <f>'Attribution Assumptions'!AA52</f>
        <v>0</v>
      </c>
      <c r="AB110" s="354">
        <f>'Attribution Assumptions'!AB52</f>
        <v>0</v>
      </c>
    </row>
    <row r="111" spans="1:28" ht="15" customHeight="1">
      <c r="A111" s="457"/>
      <c r="B111" s="10" t="s">
        <v>122</v>
      </c>
      <c r="C111" s="345" t="s">
        <v>101</v>
      </c>
      <c r="D111" s="355">
        <f>'Attribution Assumptions'!D53</f>
        <v>0</v>
      </c>
      <c r="E111" s="355">
        <f>'Attribution Assumptions'!E53</f>
        <v>0</v>
      </c>
      <c r="F111" s="355">
        <f>'Attribution Assumptions'!F53</f>
        <v>0</v>
      </c>
      <c r="G111" s="355">
        <f>'Attribution Assumptions'!G53</f>
        <v>0</v>
      </c>
      <c r="H111" s="355">
        <f>'Attribution Assumptions'!H53</f>
        <v>1.3622184590004823E-2</v>
      </c>
      <c r="I111" s="355">
        <f>'Attribution Assumptions'!I53</f>
        <v>0.11015287206355706</v>
      </c>
      <c r="J111" s="355">
        <f>'Attribution Assumptions'!J53</f>
        <v>0.17627027747942778</v>
      </c>
      <c r="K111" s="355">
        <f>'Attribution Assumptions'!K53</f>
        <v>0.20898009481048263</v>
      </c>
      <c r="L111" s="355">
        <f>'Attribution Assumptions'!L53</f>
        <v>0.2294101251428399</v>
      </c>
      <c r="M111" s="355">
        <f>'Attribution Assumptions'!M53</f>
        <v>0.24295643541389875</v>
      </c>
      <c r="N111" s="355">
        <f>'Attribution Assumptions'!N53</f>
        <v>0.25249036378410949</v>
      </c>
      <c r="O111" s="355">
        <f>'Attribution Assumptions'!O53</f>
        <v>0.25961783908695407</v>
      </c>
      <c r="P111" s="355">
        <f>'Attribution Assumptions'!P53</f>
        <v>0.26841164486050301</v>
      </c>
      <c r="Q111" s="355">
        <f>'Attribution Assumptions'!Q53</f>
        <v>0.27187253466695305</v>
      </c>
      <c r="R111" s="356">
        <f>'Attribution Assumptions'!R53</f>
        <v>0.27520972752163275</v>
      </c>
      <c r="S111" s="356">
        <f>'Attribution Assumptions'!S53</f>
        <v>0.2784173106210564</v>
      </c>
      <c r="T111" s="356">
        <f>'Attribution Assumptions'!T53</f>
        <v>0.28148979365048893</v>
      </c>
      <c r="U111" s="356">
        <f>'Attribution Assumptions'!U53</f>
        <v>0.27070602453539699</v>
      </c>
      <c r="V111" s="356">
        <f>'Attribution Assumptions'!V53</f>
        <v>0.26227122869268193</v>
      </c>
      <c r="W111" s="356">
        <f>'Attribution Assumptions'!W53</f>
        <v>0.2615388166151793</v>
      </c>
      <c r="X111" s="356">
        <f>'Attribution Assumptions'!X53</f>
        <v>0.26618088498920417</v>
      </c>
      <c r="Y111" s="356">
        <f>'Attribution Assumptions'!Y53</f>
        <v>0.26436611810879757</v>
      </c>
      <c r="Z111" s="356">
        <f>'Attribution Assumptions'!Z53</f>
        <v>0.26419680088258485</v>
      </c>
      <c r="AA111" s="356">
        <f>'Attribution Assumptions'!AA53</f>
        <v>0.26424122597954908</v>
      </c>
      <c r="AB111" s="356">
        <f>'Attribution Assumptions'!AB53</f>
        <v>0.26788257115259112</v>
      </c>
    </row>
    <row r="112" spans="1:28" s="171" customFormat="1" ht="15" customHeight="1">
      <c r="A112" s="457"/>
      <c r="B112" s="313" t="s">
        <v>123</v>
      </c>
      <c r="C112" s="353" t="s">
        <v>101</v>
      </c>
      <c r="D112" s="354">
        <f>'Attribution Assumptions'!D54</f>
        <v>0</v>
      </c>
      <c r="E112" s="354">
        <f>'Attribution Assumptions'!E54</f>
        <v>0</v>
      </c>
      <c r="F112" s="354">
        <f>'Attribution Assumptions'!F54</f>
        <v>0</v>
      </c>
      <c r="G112" s="354">
        <f>'Attribution Assumptions'!G54</f>
        <v>0</v>
      </c>
      <c r="H112" s="354">
        <f>'Attribution Assumptions'!H54</f>
        <v>0</v>
      </c>
      <c r="I112" s="354">
        <f>'Attribution Assumptions'!I54</f>
        <v>0</v>
      </c>
      <c r="J112" s="354">
        <f>'Attribution Assumptions'!J54</f>
        <v>0</v>
      </c>
      <c r="K112" s="354">
        <f>'Attribution Assumptions'!K54</f>
        <v>0</v>
      </c>
      <c r="L112" s="354">
        <f>'Attribution Assumptions'!L54</f>
        <v>0</v>
      </c>
      <c r="M112" s="354">
        <f>'Attribution Assumptions'!M54</f>
        <v>0</v>
      </c>
      <c r="N112" s="354">
        <f>'Attribution Assumptions'!N54</f>
        <v>0</v>
      </c>
      <c r="O112" s="354">
        <f>'Attribution Assumptions'!O54</f>
        <v>0</v>
      </c>
      <c r="P112" s="354">
        <f>'Attribution Assumptions'!P54</f>
        <v>0</v>
      </c>
      <c r="Q112" s="354">
        <f>'Attribution Assumptions'!Q54</f>
        <v>0</v>
      </c>
      <c r="R112" s="354">
        <f>'Attribution Assumptions'!R54</f>
        <v>0</v>
      </c>
      <c r="S112" s="354">
        <f>'Attribution Assumptions'!S54</f>
        <v>0</v>
      </c>
      <c r="T112" s="354">
        <f>'Attribution Assumptions'!T54</f>
        <v>0</v>
      </c>
      <c r="U112" s="354">
        <f>'Attribution Assumptions'!U54</f>
        <v>0</v>
      </c>
      <c r="V112" s="354">
        <f>'Attribution Assumptions'!V54</f>
        <v>0</v>
      </c>
      <c r="W112" s="354">
        <f>'Attribution Assumptions'!W54</f>
        <v>0</v>
      </c>
      <c r="X112" s="354">
        <f>'Attribution Assumptions'!X54</f>
        <v>0</v>
      </c>
      <c r="Y112" s="354">
        <f>'Attribution Assumptions'!Y54</f>
        <v>0</v>
      </c>
      <c r="Z112" s="354">
        <f>'Attribution Assumptions'!Z54</f>
        <v>0</v>
      </c>
      <c r="AA112" s="354">
        <f>'Attribution Assumptions'!AA54</f>
        <v>0</v>
      </c>
      <c r="AB112" s="354">
        <f>'Attribution Assumptions'!AB54</f>
        <v>0</v>
      </c>
    </row>
    <row r="113" spans="1:29" ht="15" customHeight="1">
      <c r="A113" s="457"/>
      <c r="B113" s="147" t="s">
        <v>124</v>
      </c>
      <c r="C113" s="345" t="s">
        <v>101</v>
      </c>
      <c r="D113" s="355">
        <f>'Attribution Assumptions'!D55</f>
        <v>0.69783566946249309</v>
      </c>
      <c r="E113" s="355">
        <f>'Attribution Assumptions'!E55</f>
        <v>0.49639278243748902</v>
      </c>
      <c r="F113" s="355">
        <f>'Attribution Assumptions'!F55</f>
        <v>1</v>
      </c>
      <c r="G113" s="355">
        <f>'Attribution Assumptions'!G55</f>
        <v>0.7396005467961152</v>
      </c>
      <c r="H113" s="355">
        <f>'Attribution Assumptions'!H55</f>
        <v>0.78367721824282532</v>
      </c>
      <c r="I113" s="355">
        <f>'Attribution Assumptions'!I55</f>
        <v>0.41194243352488652</v>
      </c>
      <c r="J113" s="355">
        <f>'Attribution Assumptions'!J55</f>
        <v>0.77168609395429255</v>
      </c>
      <c r="K113" s="355">
        <f>'Attribution Assumptions'!K55</f>
        <v>0.51496513508738317</v>
      </c>
      <c r="L113" s="355">
        <f>'Attribution Assumptions'!L55</f>
        <v>0</v>
      </c>
      <c r="M113" s="355">
        <f>'Attribution Assumptions'!M55</f>
        <v>0</v>
      </c>
      <c r="N113" s="355">
        <f>'Attribution Assumptions'!N55</f>
        <v>0</v>
      </c>
      <c r="O113" s="355">
        <f>'Attribution Assumptions'!O55</f>
        <v>6.9709831876051093E-2</v>
      </c>
      <c r="P113" s="355">
        <f>'Attribution Assumptions'!P55</f>
        <v>0.51834610081721944</v>
      </c>
      <c r="Q113" s="355">
        <f>'Attribution Assumptions'!Q55</f>
        <v>0.63284943014099082</v>
      </c>
      <c r="R113" s="356">
        <f>'Attribution Assumptions'!R55</f>
        <v>0.40965802874435708</v>
      </c>
      <c r="S113" s="356">
        <f>'Attribution Assumptions'!S55</f>
        <v>0.65671780664199597</v>
      </c>
      <c r="T113" s="356">
        <f>'Attribution Assumptions'!T55</f>
        <v>0.49715986744215895</v>
      </c>
      <c r="U113" s="356">
        <f>'Attribution Assumptions'!U55</f>
        <v>0.45051600939274605</v>
      </c>
      <c r="V113" s="355">
        <f>'Attribution Assumptions'!V55</f>
        <v>0.45025122876542795</v>
      </c>
      <c r="W113" s="356">
        <f>'Attribution Assumptions'!W55</f>
        <v>0.45025122876542795</v>
      </c>
      <c r="X113" s="356">
        <f>'Attribution Assumptions'!X55</f>
        <v>0.45026915989097177</v>
      </c>
      <c r="Y113" s="356">
        <f>'Attribution Assumptions'!Y55</f>
        <v>0.45051600939274605</v>
      </c>
      <c r="Z113" s="356">
        <f>'Attribution Assumptions'!Z55</f>
        <v>0.45051600939274605</v>
      </c>
      <c r="AA113" s="356">
        <f>'Attribution Assumptions'!AA55</f>
        <v>0.49715986744215895</v>
      </c>
      <c r="AB113" s="356">
        <f>'Attribution Assumptions'!AB55</f>
        <v>0.49715986744215895</v>
      </c>
    </row>
    <row r="114" spans="1:29" ht="15" customHeight="1">
      <c r="A114" s="100"/>
    </row>
    <row r="115" spans="1:29" ht="15" customHeight="1">
      <c r="A115" s="457" t="s">
        <v>199</v>
      </c>
      <c r="B115" s="174" t="s">
        <v>3</v>
      </c>
      <c r="C115" s="11" t="s">
        <v>1</v>
      </c>
      <c r="D115" s="345">
        <f>D89</f>
        <v>2022</v>
      </c>
      <c r="E115" s="345">
        <f t="shared" ref="E115:AB115" si="34">E89</f>
        <v>2023</v>
      </c>
      <c r="F115" s="345">
        <f t="shared" si="34"/>
        <v>2024</v>
      </c>
      <c r="G115" s="345">
        <f t="shared" si="34"/>
        <v>2025</v>
      </c>
      <c r="H115" s="345">
        <f t="shared" si="34"/>
        <v>2026</v>
      </c>
      <c r="I115" s="345">
        <f t="shared" si="34"/>
        <v>2027</v>
      </c>
      <c r="J115" s="345">
        <f t="shared" si="34"/>
        <v>2028</v>
      </c>
      <c r="K115" s="345">
        <f t="shared" si="34"/>
        <v>2029</v>
      </c>
      <c r="L115" s="345">
        <f t="shared" si="34"/>
        <v>2030</v>
      </c>
      <c r="M115" s="345">
        <f t="shared" si="34"/>
        <v>2031</v>
      </c>
      <c r="N115" s="345">
        <f t="shared" si="34"/>
        <v>2032</v>
      </c>
      <c r="O115" s="345">
        <f t="shared" si="34"/>
        <v>2033</v>
      </c>
      <c r="P115" s="345">
        <f t="shared" si="34"/>
        <v>2034</v>
      </c>
      <c r="Q115" s="345">
        <f t="shared" si="34"/>
        <v>2035</v>
      </c>
      <c r="R115" s="345">
        <f t="shared" si="34"/>
        <v>2036</v>
      </c>
      <c r="S115" s="345">
        <f t="shared" si="34"/>
        <v>2037</v>
      </c>
      <c r="T115" s="345">
        <f t="shared" si="34"/>
        <v>2038</v>
      </c>
      <c r="U115" s="345">
        <f t="shared" si="34"/>
        <v>2039</v>
      </c>
      <c r="V115" s="345">
        <f t="shared" si="34"/>
        <v>2040</v>
      </c>
      <c r="W115" s="345">
        <f t="shared" si="34"/>
        <v>2041</v>
      </c>
      <c r="X115" s="345">
        <f t="shared" si="34"/>
        <v>2042</v>
      </c>
      <c r="Y115" s="345">
        <f t="shared" si="34"/>
        <v>2043</v>
      </c>
      <c r="Z115" s="345">
        <f t="shared" si="34"/>
        <v>2044</v>
      </c>
      <c r="AA115" s="345">
        <f t="shared" si="34"/>
        <v>2045</v>
      </c>
      <c r="AB115" s="345">
        <f t="shared" si="34"/>
        <v>2046</v>
      </c>
    </row>
    <row r="116" spans="1:29" ht="15" customHeight="1">
      <c r="A116" s="457"/>
      <c r="B116" s="10" t="s">
        <v>102</v>
      </c>
      <c r="C116" s="10" t="s">
        <v>7</v>
      </c>
      <c r="D116" s="193">
        <f t="shared" ref="D116:AB116" si="35">D62*D90</f>
        <v>0</v>
      </c>
      <c r="E116" s="193">
        <f t="shared" si="35"/>
        <v>0</v>
      </c>
      <c r="F116" s="193">
        <f t="shared" si="35"/>
        <v>0</v>
      </c>
      <c r="G116" s="193">
        <f t="shared" si="35"/>
        <v>0</v>
      </c>
      <c r="H116" s="193">
        <f t="shared" si="35"/>
        <v>0</v>
      </c>
      <c r="I116" s="193">
        <f t="shared" si="35"/>
        <v>0</v>
      </c>
      <c r="J116" s="193">
        <f t="shared" si="35"/>
        <v>0</v>
      </c>
      <c r="K116" s="193">
        <f t="shared" si="35"/>
        <v>0</v>
      </c>
      <c r="L116" s="193">
        <f t="shared" si="35"/>
        <v>0</v>
      </c>
      <c r="M116" s="193">
        <f t="shared" si="35"/>
        <v>0</v>
      </c>
      <c r="N116" s="193">
        <f t="shared" si="35"/>
        <v>0</v>
      </c>
      <c r="O116" s="193">
        <f t="shared" si="35"/>
        <v>0</v>
      </c>
      <c r="P116" s="193">
        <f t="shared" si="35"/>
        <v>0</v>
      </c>
      <c r="Q116" s="193">
        <f t="shared" si="35"/>
        <v>0</v>
      </c>
      <c r="R116" s="193">
        <f t="shared" si="35"/>
        <v>0</v>
      </c>
      <c r="S116" s="193">
        <f t="shared" si="35"/>
        <v>0</v>
      </c>
      <c r="T116" s="193">
        <f t="shared" si="35"/>
        <v>0</v>
      </c>
      <c r="U116" s="193">
        <f t="shared" si="35"/>
        <v>0</v>
      </c>
      <c r="V116" s="193">
        <f t="shared" si="35"/>
        <v>0</v>
      </c>
      <c r="W116" s="193">
        <f t="shared" si="35"/>
        <v>0</v>
      </c>
      <c r="X116" s="193">
        <f t="shared" si="35"/>
        <v>0</v>
      </c>
      <c r="Y116" s="193">
        <f t="shared" si="35"/>
        <v>0</v>
      </c>
      <c r="Z116" s="193">
        <f t="shared" si="35"/>
        <v>0</v>
      </c>
      <c r="AA116" s="193">
        <f t="shared" si="35"/>
        <v>0</v>
      </c>
      <c r="AB116" s="193">
        <f t="shared" si="35"/>
        <v>0</v>
      </c>
      <c r="AC116" s="105" t="s">
        <v>200</v>
      </c>
    </row>
    <row r="117" spans="1:29" ht="15" customHeight="1">
      <c r="A117" s="457"/>
      <c r="B117" s="10" t="s">
        <v>19</v>
      </c>
      <c r="C117" s="10" t="s">
        <v>7</v>
      </c>
      <c r="D117" s="193">
        <f t="shared" ref="D117:AB117" si="36">D62*D91</f>
        <v>0</v>
      </c>
      <c r="E117" s="193">
        <f t="shared" si="36"/>
        <v>0</v>
      </c>
      <c r="F117" s="193">
        <f t="shared" si="36"/>
        <v>0</v>
      </c>
      <c r="G117" s="193">
        <f t="shared" si="36"/>
        <v>0</v>
      </c>
      <c r="H117" s="193">
        <f t="shared" si="36"/>
        <v>0</v>
      </c>
      <c r="I117" s="193">
        <f t="shared" si="36"/>
        <v>0</v>
      </c>
      <c r="J117" s="193">
        <f t="shared" si="36"/>
        <v>0</v>
      </c>
      <c r="K117" s="193">
        <f t="shared" si="36"/>
        <v>0</v>
      </c>
      <c r="L117" s="193">
        <f t="shared" si="36"/>
        <v>0</v>
      </c>
      <c r="M117" s="193">
        <f t="shared" si="36"/>
        <v>0</v>
      </c>
      <c r="N117" s="193">
        <f t="shared" si="36"/>
        <v>0</v>
      </c>
      <c r="O117" s="193">
        <f t="shared" si="36"/>
        <v>0</v>
      </c>
      <c r="P117" s="193">
        <f t="shared" si="36"/>
        <v>0</v>
      </c>
      <c r="Q117" s="193">
        <f t="shared" si="36"/>
        <v>0</v>
      </c>
      <c r="R117" s="193">
        <f t="shared" si="36"/>
        <v>0</v>
      </c>
      <c r="S117" s="193">
        <f t="shared" si="36"/>
        <v>0</v>
      </c>
      <c r="T117" s="193">
        <f t="shared" si="36"/>
        <v>0</v>
      </c>
      <c r="U117" s="193">
        <f t="shared" si="36"/>
        <v>0</v>
      </c>
      <c r="V117" s="193">
        <f t="shared" si="36"/>
        <v>0</v>
      </c>
      <c r="W117" s="193">
        <f t="shared" si="36"/>
        <v>0</v>
      </c>
      <c r="X117" s="193">
        <f t="shared" si="36"/>
        <v>0</v>
      </c>
      <c r="Y117" s="193">
        <f t="shared" si="36"/>
        <v>0</v>
      </c>
      <c r="Z117" s="193">
        <f t="shared" si="36"/>
        <v>0</v>
      </c>
      <c r="AA117" s="193">
        <f t="shared" si="36"/>
        <v>0</v>
      </c>
      <c r="AB117" s="193">
        <f t="shared" si="36"/>
        <v>0</v>
      </c>
    </row>
    <row r="118" spans="1:29" ht="15" customHeight="1">
      <c r="A118" s="457"/>
      <c r="B118" s="10" t="s">
        <v>104</v>
      </c>
      <c r="C118" s="309" t="s">
        <v>7</v>
      </c>
      <c r="D118" s="193">
        <f t="shared" ref="D118:AB118" si="37">D63*D92</f>
        <v>0</v>
      </c>
      <c r="E118" s="193">
        <f t="shared" si="37"/>
        <v>0</v>
      </c>
      <c r="F118" s="193">
        <f t="shared" si="37"/>
        <v>0</v>
      </c>
      <c r="G118" s="193">
        <f t="shared" si="37"/>
        <v>0</v>
      </c>
      <c r="H118" s="193">
        <f t="shared" si="37"/>
        <v>0</v>
      </c>
      <c r="I118" s="193">
        <f t="shared" si="37"/>
        <v>0</v>
      </c>
      <c r="J118" s="193">
        <f t="shared" si="37"/>
        <v>0</v>
      </c>
      <c r="K118" s="193">
        <f t="shared" si="37"/>
        <v>0</v>
      </c>
      <c r="L118" s="193">
        <f t="shared" si="37"/>
        <v>0</v>
      </c>
      <c r="M118" s="193">
        <f t="shared" si="37"/>
        <v>0</v>
      </c>
      <c r="N118" s="193">
        <f t="shared" si="37"/>
        <v>0</v>
      </c>
      <c r="O118" s="193">
        <f t="shared" si="37"/>
        <v>0</v>
      </c>
      <c r="P118" s="193">
        <f t="shared" si="37"/>
        <v>0</v>
      </c>
      <c r="Q118" s="193">
        <f t="shared" si="37"/>
        <v>0</v>
      </c>
      <c r="R118" s="193">
        <f t="shared" si="37"/>
        <v>0</v>
      </c>
      <c r="S118" s="193">
        <f t="shared" si="37"/>
        <v>0</v>
      </c>
      <c r="T118" s="193">
        <f t="shared" si="37"/>
        <v>0</v>
      </c>
      <c r="U118" s="193">
        <f t="shared" si="37"/>
        <v>0</v>
      </c>
      <c r="V118" s="193">
        <f t="shared" si="37"/>
        <v>0</v>
      </c>
      <c r="W118" s="193">
        <f t="shared" si="37"/>
        <v>0</v>
      </c>
      <c r="X118" s="193">
        <f t="shared" si="37"/>
        <v>0</v>
      </c>
      <c r="Y118" s="193">
        <f t="shared" si="37"/>
        <v>0</v>
      </c>
      <c r="Z118" s="193">
        <f t="shared" si="37"/>
        <v>0</v>
      </c>
      <c r="AA118" s="193">
        <f t="shared" si="37"/>
        <v>0</v>
      </c>
      <c r="AB118" s="193">
        <f t="shared" si="37"/>
        <v>0</v>
      </c>
    </row>
    <row r="119" spans="1:29" ht="15" customHeight="1">
      <c r="A119" s="457"/>
      <c r="B119" s="10" t="s">
        <v>29</v>
      </c>
      <c r="C119" s="10" t="s">
        <v>22</v>
      </c>
      <c r="D119" s="193">
        <f t="shared" ref="D119:AB119" si="38">D64*D93</f>
        <v>0</v>
      </c>
      <c r="E119" s="193">
        <f t="shared" si="38"/>
        <v>0</v>
      </c>
      <c r="F119" s="193">
        <f t="shared" si="38"/>
        <v>0</v>
      </c>
      <c r="G119" s="193">
        <f t="shared" si="38"/>
        <v>0</v>
      </c>
      <c r="H119" s="193">
        <f t="shared" si="38"/>
        <v>0</v>
      </c>
      <c r="I119" s="193">
        <f t="shared" si="38"/>
        <v>0</v>
      </c>
      <c r="J119" s="193">
        <f t="shared" si="38"/>
        <v>0</v>
      </c>
      <c r="K119" s="193">
        <f t="shared" si="38"/>
        <v>0</v>
      </c>
      <c r="L119" s="193">
        <f t="shared" si="38"/>
        <v>0</v>
      </c>
      <c r="M119" s="193">
        <f t="shared" si="38"/>
        <v>0</v>
      </c>
      <c r="N119" s="193">
        <f t="shared" si="38"/>
        <v>0</v>
      </c>
      <c r="O119" s="193">
        <f t="shared" si="38"/>
        <v>0</v>
      </c>
      <c r="P119" s="193">
        <f t="shared" si="38"/>
        <v>0</v>
      </c>
      <c r="Q119" s="193">
        <f t="shared" si="38"/>
        <v>0</v>
      </c>
      <c r="R119" s="193">
        <f t="shared" si="38"/>
        <v>-10.336950848166589</v>
      </c>
      <c r="S119" s="193">
        <f t="shared" si="38"/>
        <v>-36.772132816833263</v>
      </c>
      <c r="T119" s="193">
        <f t="shared" si="38"/>
        <v>-63.80610649416662</v>
      </c>
      <c r="U119" s="193">
        <f t="shared" si="38"/>
        <v>-83.385007674999997</v>
      </c>
      <c r="V119" s="193">
        <f t="shared" si="38"/>
        <v>-89.979236608333338</v>
      </c>
      <c r="W119" s="193">
        <f t="shared" si="38"/>
        <v>-96.330386916666654</v>
      </c>
      <c r="X119" s="193">
        <f t="shared" si="38"/>
        <v>-102.3610350666667</v>
      </c>
      <c r="Y119" s="193">
        <f t="shared" si="38"/>
        <v>-108.04777675</v>
      </c>
      <c r="Z119" s="193">
        <f t="shared" si="38"/>
        <v>-113.350635025</v>
      </c>
      <c r="AA119" s="193">
        <f t="shared" si="38"/>
        <v>-118.22997807500001</v>
      </c>
      <c r="AB119" s="193">
        <f t="shared" si="38"/>
        <v>-123.36066523333329</v>
      </c>
    </row>
    <row r="120" spans="1:29" ht="15" customHeight="1">
      <c r="A120" s="457"/>
      <c r="B120" s="10" t="s">
        <v>27</v>
      </c>
      <c r="C120" s="10" t="s">
        <v>22</v>
      </c>
      <c r="D120" s="193">
        <f t="shared" ref="D120:AB120" si="39">D65*D94</f>
        <v>0</v>
      </c>
      <c r="E120" s="193">
        <f t="shared" si="39"/>
        <v>0</v>
      </c>
      <c r="F120" s="193">
        <f t="shared" si="39"/>
        <v>0</v>
      </c>
      <c r="G120" s="193">
        <f t="shared" si="39"/>
        <v>0</v>
      </c>
      <c r="H120" s="193">
        <f t="shared" si="39"/>
        <v>0</v>
      </c>
      <c r="I120" s="193">
        <f t="shared" si="39"/>
        <v>0</v>
      </c>
      <c r="J120" s="193">
        <f t="shared" si="39"/>
        <v>0</v>
      </c>
      <c r="K120" s="193">
        <f t="shared" si="39"/>
        <v>0</v>
      </c>
      <c r="L120" s="193">
        <f t="shared" si="39"/>
        <v>0</v>
      </c>
      <c r="M120" s="193">
        <f t="shared" si="39"/>
        <v>0</v>
      </c>
      <c r="N120" s="193">
        <f t="shared" si="39"/>
        <v>0</v>
      </c>
      <c r="O120" s="193">
        <f t="shared" si="39"/>
        <v>0</v>
      </c>
      <c r="P120" s="193">
        <f t="shared" si="39"/>
        <v>0</v>
      </c>
      <c r="Q120" s="193">
        <f t="shared" si="39"/>
        <v>0</v>
      </c>
      <c r="R120" s="193">
        <f t="shared" si="39"/>
        <v>0</v>
      </c>
      <c r="S120" s="193">
        <f t="shared" si="39"/>
        <v>0</v>
      </c>
      <c r="T120" s="193">
        <f t="shared" si="39"/>
        <v>0</v>
      </c>
      <c r="U120" s="193">
        <f t="shared" si="39"/>
        <v>0</v>
      </c>
      <c r="V120" s="193">
        <f t="shared" si="39"/>
        <v>75.254672526833346</v>
      </c>
      <c r="W120" s="193">
        <f t="shared" si="39"/>
        <v>87.495648467766671</v>
      </c>
      <c r="X120" s="193">
        <f t="shared" si="39"/>
        <v>54.098535066666649</v>
      </c>
      <c r="Y120" s="193">
        <f t="shared" si="39"/>
        <v>36.282880931833333</v>
      </c>
      <c r="Z120" s="193">
        <f t="shared" si="39"/>
        <v>36.045780879566671</v>
      </c>
      <c r="AA120" s="193">
        <f t="shared" si="39"/>
        <v>38.661276388026643</v>
      </c>
      <c r="AB120" s="193">
        <f t="shared" si="39"/>
        <v>54.125786943237308</v>
      </c>
    </row>
    <row r="121" spans="1:29" ht="15" customHeight="1">
      <c r="A121" s="457"/>
      <c r="B121" s="10" t="s">
        <v>28</v>
      </c>
      <c r="C121" s="10" t="s">
        <v>22</v>
      </c>
      <c r="D121" s="193">
        <f t="shared" ref="D121:AB121" si="40">D66*D95</f>
        <v>0</v>
      </c>
      <c r="E121" s="193">
        <f t="shared" si="40"/>
        <v>0</v>
      </c>
      <c r="F121" s="193">
        <f t="shared" si="40"/>
        <v>0</v>
      </c>
      <c r="G121" s="193">
        <f t="shared" si="40"/>
        <v>1.0790818572589769</v>
      </c>
      <c r="H121" s="193">
        <f t="shared" si="40"/>
        <v>3.0279345434223788</v>
      </c>
      <c r="I121" s="193">
        <f t="shared" si="40"/>
        <v>2.8174842733679202</v>
      </c>
      <c r="J121" s="193">
        <f t="shared" si="40"/>
        <v>8.3738728851176791</v>
      </c>
      <c r="K121" s="193">
        <f t="shared" si="40"/>
        <v>0</v>
      </c>
      <c r="L121" s="193">
        <f t="shared" si="40"/>
        <v>0</v>
      </c>
      <c r="M121" s="193">
        <f t="shared" si="40"/>
        <v>0</v>
      </c>
      <c r="N121" s="193">
        <f t="shared" si="40"/>
        <v>0</v>
      </c>
      <c r="O121" s="193">
        <f t="shared" si="40"/>
        <v>0.86159218809028448</v>
      </c>
      <c r="P121" s="193">
        <f t="shared" si="40"/>
        <v>0</v>
      </c>
      <c r="Q121" s="193">
        <f t="shared" si="40"/>
        <v>11.129928003252646</v>
      </c>
      <c r="R121" s="193">
        <f t="shared" si="40"/>
        <v>15.484114469900943</v>
      </c>
      <c r="S121" s="193">
        <f t="shared" si="40"/>
        <v>34.751353984417229</v>
      </c>
      <c r="T121" s="193">
        <f t="shared" si="40"/>
        <v>33.094450334729572</v>
      </c>
      <c r="U121" s="193">
        <f t="shared" si="40"/>
        <v>26.510194484182595</v>
      </c>
      <c r="V121" s="193">
        <f t="shared" si="40"/>
        <v>0</v>
      </c>
      <c r="W121" s="193">
        <f t="shared" si="40"/>
        <v>0</v>
      </c>
      <c r="X121" s="193">
        <f t="shared" si="40"/>
        <v>0</v>
      </c>
      <c r="Y121" s="193">
        <f t="shared" si="40"/>
        <v>19.285417136496168</v>
      </c>
      <c r="Z121" s="193">
        <f t="shared" si="40"/>
        <v>26.999583991094646</v>
      </c>
      <c r="AA121" s="193">
        <f t="shared" si="40"/>
        <v>34.180751389149115</v>
      </c>
      <c r="AB121" s="193">
        <f t="shared" si="40"/>
        <v>24.259045285072816</v>
      </c>
    </row>
    <row r="122" spans="1:29" ht="15" customHeight="1">
      <c r="A122" s="457"/>
      <c r="B122" s="10" t="s">
        <v>30</v>
      </c>
      <c r="C122" s="10" t="s">
        <v>22</v>
      </c>
      <c r="D122" s="193">
        <f t="shared" ref="D122:AB122" si="41">D67*D96</f>
        <v>0</v>
      </c>
      <c r="E122" s="193">
        <f t="shared" si="41"/>
        <v>0</v>
      </c>
      <c r="F122" s="193">
        <f t="shared" si="41"/>
        <v>0</v>
      </c>
      <c r="G122" s="193">
        <f t="shared" si="41"/>
        <v>0</v>
      </c>
      <c r="H122" s="193">
        <f t="shared" si="41"/>
        <v>0</v>
      </c>
      <c r="I122" s="193">
        <f t="shared" si="41"/>
        <v>0</v>
      </c>
      <c r="J122" s="193">
        <f t="shared" si="41"/>
        <v>0</v>
      </c>
      <c r="K122" s="193">
        <f t="shared" si="41"/>
        <v>0</v>
      </c>
      <c r="L122" s="193">
        <f t="shared" si="41"/>
        <v>0</v>
      </c>
      <c r="M122" s="193">
        <f t="shared" si="41"/>
        <v>0</v>
      </c>
      <c r="N122" s="193">
        <f t="shared" si="41"/>
        <v>0</v>
      </c>
      <c r="O122" s="193">
        <f t="shared" si="41"/>
        <v>0</v>
      </c>
      <c r="P122" s="193">
        <f t="shared" si="41"/>
        <v>0</v>
      </c>
      <c r="Q122" s="193">
        <f t="shared" si="41"/>
        <v>0</v>
      </c>
      <c r="R122" s="193">
        <f t="shared" si="41"/>
        <v>0</v>
      </c>
      <c r="S122" s="193">
        <f t="shared" si="41"/>
        <v>0</v>
      </c>
      <c r="T122" s="193">
        <f t="shared" si="41"/>
        <v>0</v>
      </c>
      <c r="U122" s="193">
        <f t="shared" si="41"/>
        <v>0</v>
      </c>
      <c r="V122" s="193">
        <f t="shared" si="41"/>
        <v>0</v>
      </c>
      <c r="W122" s="193">
        <f t="shared" si="41"/>
        <v>0</v>
      </c>
      <c r="X122" s="193">
        <f t="shared" si="41"/>
        <v>0</v>
      </c>
      <c r="Y122" s="193">
        <f t="shared" si="41"/>
        <v>0</v>
      </c>
      <c r="Z122" s="193">
        <f t="shared" si="41"/>
        <v>0</v>
      </c>
      <c r="AA122" s="193">
        <f t="shared" si="41"/>
        <v>0</v>
      </c>
      <c r="AB122" s="193">
        <f t="shared" si="41"/>
        <v>0</v>
      </c>
    </row>
    <row r="123" spans="1:29" ht="15" customHeight="1">
      <c r="A123" s="457"/>
      <c r="B123" s="10" t="s">
        <v>31</v>
      </c>
      <c r="C123" s="10" t="s">
        <v>22</v>
      </c>
      <c r="D123" s="193">
        <f t="shared" ref="D123:AB123" si="42">D68*D97</f>
        <v>0</v>
      </c>
      <c r="E123" s="193">
        <f t="shared" si="42"/>
        <v>0</v>
      </c>
      <c r="F123" s="193">
        <f t="shared" si="42"/>
        <v>0</v>
      </c>
      <c r="G123" s="193">
        <f t="shared" si="42"/>
        <v>0</v>
      </c>
      <c r="H123" s="193">
        <f t="shared" si="42"/>
        <v>0</v>
      </c>
      <c r="I123" s="193">
        <f t="shared" si="42"/>
        <v>0</v>
      </c>
      <c r="J123" s="193">
        <f t="shared" si="42"/>
        <v>0</v>
      </c>
      <c r="K123" s="193">
        <f t="shared" si="42"/>
        <v>0</v>
      </c>
      <c r="L123" s="193">
        <f t="shared" si="42"/>
        <v>0</v>
      </c>
      <c r="M123" s="193">
        <f t="shared" si="42"/>
        <v>0</v>
      </c>
      <c r="N123" s="193">
        <f t="shared" si="42"/>
        <v>0</v>
      </c>
      <c r="O123" s="193">
        <f t="shared" si="42"/>
        <v>0</v>
      </c>
      <c r="P123" s="193">
        <f t="shared" si="42"/>
        <v>0</v>
      </c>
      <c r="Q123" s="193">
        <f t="shared" si="42"/>
        <v>0</v>
      </c>
      <c r="R123" s="193">
        <f t="shared" si="42"/>
        <v>0</v>
      </c>
      <c r="S123" s="193">
        <f t="shared" si="42"/>
        <v>0</v>
      </c>
      <c r="T123" s="193">
        <f t="shared" si="42"/>
        <v>0</v>
      </c>
      <c r="U123" s="193">
        <f t="shared" si="42"/>
        <v>0</v>
      </c>
      <c r="V123" s="193">
        <f t="shared" si="42"/>
        <v>0</v>
      </c>
      <c r="W123" s="193">
        <f t="shared" si="42"/>
        <v>0</v>
      </c>
      <c r="X123" s="193">
        <f t="shared" si="42"/>
        <v>0</v>
      </c>
      <c r="Y123" s="193">
        <f t="shared" si="42"/>
        <v>0</v>
      </c>
      <c r="Z123" s="193">
        <f t="shared" si="42"/>
        <v>0</v>
      </c>
      <c r="AA123" s="193">
        <f t="shared" si="42"/>
        <v>0</v>
      </c>
      <c r="AB123" s="193">
        <f t="shared" si="42"/>
        <v>0</v>
      </c>
    </row>
    <row r="124" spans="1:29" ht="15.75" customHeight="1">
      <c r="A124" s="457"/>
      <c r="B124" s="10" t="s">
        <v>17</v>
      </c>
      <c r="C124" s="10" t="s">
        <v>103</v>
      </c>
      <c r="D124" s="193">
        <f t="shared" ref="D124:AB124" si="43">D69*D98</f>
        <v>0</v>
      </c>
      <c r="E124" s="193">
        <f t="shared" si="43"/>
        <v>0</v>
      </c>
      <c r="F124" s="193">
        <f t="shared" si="43"/>
        <v>0</v>
      </c>
      <c r="G124" s="193">
        <f t="shared" si="43"/>
        <v>0</v>
      </c>
      <c r="H124" s="193">
        <f t="shared" si="43"/>
        <v>0</v>
      </c>
      <c r="I124" s="193">
        <f t="shared" si="43"/>
        <v>0</v>
      </c>
      <c r="J124" s="193">
        <f t="shared" si="43"/>
        <v>0</v>
      </c>
      <c r="K124" s="193">
        <f t="shared" si="43"/>
        <v>0</v>
      </c>
      <c r="L124" s="193">
        <f t="shared" si="43"/>
        <v>0</v>
      </c>
      <c r="M124" s="193">
        <f t="shared" si="43"/>
        <v>0</v>
      </c>
      <c r="N124" s="193">
        <f t="shared" si="43"/>
        <v>0</v>
      </c>
      <c r="O124" s="193">
        <f t="shared" si="43"/>
        <v>0</v>
      </c>
      <c r="P124" s="193">
        <f t="shared" si="43"/>
        <v>0</v>
      </c>
      <c r="Q124" s="193">
        <f t="shared" si="43"/>
        <v>0</v>
      </c>
      <c r="R124" s="193">
        <f t="shared" si="43"/>
        <v>0</v>
      </c>
      <c r="S124" s="193">
        <f t="shared" si="43"/>
        <v>0</v>
      </c>
      <c r="T124" s="193">
        <f t="shared" si="43"/>
        <v>0</v>
      </c>
      <c r="U124" s="193">
        <f t="shared" si="43"/>
        <v>0</v>
      </c>
      <c r="V124" s="193">
        <f t="shared" si="43"/>
        <v>0</v>
      </c>
      <c r="W124" s="193">
        <f t="shared" si="43"/>
        <v>0</v>
      </c>
      <c r="X124" s="193">
        <f t="shared" si="43"/>
        <v>0</v>
      </c>
      <c r="Y124" s="193">
        <f t="shared" si="43"/>
        <v>0</v>
      </c>
      <c r="Z124" s="193">
        <f t="shared" si="43"/>
        <v>0</v>
      </c>
      <c r="AA124" s="193">
        <f t="shared" si="43"/>
        <v>0</v>
      </c>
      <c r="AB124" s="193">
        <f t="shared" si="43"/>
        <v>0</v>
      </c>
    </row>
    <row r="125" spans="1:29" ht="15.75" customHeight="1">
      <c r="A125" s="457"/>
      <c r="B125" s="10" t="s">
        <v>189</v>
      </c>
      <c r="C125" s="10" t="s">
        <v>103</v>
      </c>
      <c r="D125" s="193">
        <f t="shared" ref="D125:AB125" si="44">D70*D99</f>
        <v>0</v>
      </c>
      <c r="E125" s="193">
        <f t="shared" si="44"/>
        <v>0</v>
      </c>
      <c r="F125" s="193">
        <f t="shared" si="44"/>
        <v>0</v>
      </c>
      <c r="G125" s="193">
        <f t="shared" si="44"/>
        <v>1086.4634596744013</v>
      </c>
      <c r="H125" s="193">
        <f t="shared" si="44"/>
        <v>692.32560714078852</v>
      </c>
      <c r="I125" s="193">
        <f t="shared" si="44"/>
        <v>218.35390037493821</v>
      </c>
      <c r="J125" s="193">
        <f t="shared" si="44"/>
        <v>245.42361470975956</v>
      </c>
      <c r="K125" s="193">
        <f t="shared" si="44"/>
        <v>0</v>
      </c>
      <c r="L125" s="193">
        <f t="shared" si="44"/>
        <v>0</v>
      </c>
      <c r="M125" s="193">
        <f t="shared" si="44"/>
        <v>0</v>
      </c>
      <c r="N125" s="193">
        <f t="shared" si="44"/>
        <v>0</v>
      </c>
      <c r="O125" s="193">
        <f t="shared" si="44"/>
        <v>0</v>
      </c>
      <c r="P125" s="193">
        <f t="shared" si="44"/>
        <v>0</v>
      </c>
      <c r="Q125" s="193">
        <f t="shared" si="44"/>
        <v>0</v>
      </c>
      <c r="R125" s="193">
        <f t="shared" si="44"/>
        <v>0</v>
      </c>
      <c r="S125" s="193">
        <f t="shared" si="44"/>
        <v>0</v>
      </c>
      <c r="T125" s="193">
        <f t="shared" si="44"/>
        <v>0</v>
      </c>
      <c r="U125" s="193">
        <f t="shared" si="44"/>
        <v>279.71878805158752</v>
      </c>
      <c r="V125" s="193">
        <f t="shared" si="44"/>
        <v>167.73263378422104</v>
      </c>
      <c r="W125" s="193">
        <f t="shared" si="44"/>
        <v>339.77135264510952</v>
      </c>
      <c r="X125" s="193">
        <f t="shared" si="44"/>
        <v>478.07655899426732</v>
      </c>
      <c r="Y125" s="193">
        <f t="shared" si="44"/>
        <v>681.59980649132126</v>
      </c>
      <c r="Z125" s="193">
        <f t="shared" si="44"/>
        <v>408.9598838947926</v>
      </c>
      <c r="AA125" s="193">
        <f t="shared" si="44"/>
        <v>270.78075463779891</v>
      </c>
      <c r="AB125" s="193">
        <f t="shared" si="44"/>
        <v>162.46845278267929</v>
      </c>
    </row>
    <row r="126" spans="1:29" ht="15" customHeight="1">
      <c r="A126" s="457"/>
      <c r="B126" s="10" t="s">
        <v>9</v>
      </c>
      <c r="C126" s="10" t="s">
        <v>7</v>
      </c>
      <c r="D126" s="193">
        <f t="shared" ref="D126:AB126" si="45">D71*D100</f>
        <v>0</v>
      </c>
      <c r="E126" s="193">
        <f t="shared" si="45"/>
        <v>0</v>
      </c>
      <c r="F126" s="193">
        <f t="shared" si="45"/>
        <v>0</v>
      </c>
      <c r="G126" s="193">
        <f t="shared" si="45"/>
        <v>0</v>
      </c>
      <c r="H126" s="193">
        <f t="shared" si="45"/>
        <v>0</v>
      </c>
      <c r="I126" s="193">
        <f t="shared" si="45"/>
        <v>0</v>
      </c>
      <c r="J126" s="193">
        <f t="shared" si="45"/>
        <v>0</v>
      </c>
      <c r="K126" s="193">
        <f t="shared" si="45"/>
        <v>0</v>
      </c>
      <c r="L126" s="193">
        <f t="shared" si="45"/>
        <v>0</v>
      </c>
      <c r="M126" s="193">
        <f t="shared" si="45"/>
        <v>0</v>
      </c>
      <c r="N126" s="193">
        <f t="shared" si="45"/>
        <v>0</v>
      </c>
      <c r="O126" s="193">
        <f t="shared" si="45"/>
        <v>0</v>
      </c>
      <c r="P126" s="193">
        <f t="shared" si="45"/>
        <v>0</v>
      </c>
      <c r="Q126" s="193">
        <f t="shared" si="45"/>
        <v>0</v>
      </c>
      <c r="R126" s="193">
        <f t="shared" si="45"/>
        <v>0</v>
      </c>
      <c r="S126" s="193">
        <f t="shared" si="45"/>
        <v>0</v>
      </c>
      <c r="T126" s="193">
        <f t="shared" si="45"/>
        <v>0</v>
      </c>
      <c r="U126" s="193">
        <f t="shared" si="45"/>
        <v>0</v>
      </c>
      <c r="V126" s="193">
        <f t="shared" si="45"/>
        <v>0</v>
      </c>
      <c r="W126" s="193">
        <f t="shared" si="45"/>
        <v>0</v>
      </c>
      <c r="X126" s="193">
        <f t="shared" si="45"/>
        <v>0</v>
      </c>
      <c r="Y126" s="193">
        <f t="shared" si="45"/>
        <v>0</v>
      </c>
      <c r="Z126" s="193">
        <f t="shared" si="45"/>
        <v>0</v>
      </c>
      <c r="AA126" s="193">
        <f t="shared" si="45"/>
        <v>0</v>
      </c>
      <c r="AB126" s="193">
        <f t="shared" si="45"/>
        <v>0</v>
      </c>
    </row>
    <row r="127" spans="1:29" ht="15" customHeight="1">
      <c r="A127" s="457"/>
      <c r="B127" s="10" t="s">
        <v>34</v>
      </c>
      <c r="C127" s="10" t="s">
        <v>7</v>
      </c>
      <c r="D127" s="193">
        <f t="shared" ref="D127:AB127" si="46">D72*D101</f>
        <v>0</v>
      </c>
      <c r="E127" s="193">
        <f t="shared" si="46"/>
        <v>0</v>
      </c>
      <c r="F127" s="193">
        <f t="shared" si="46"/>
        <v>0</v>
      </c>
      <c r="G127" s="193">
        <f t="shared" si="46"/>
        <v>0</v>
      </c>
      <c r="H127" s="193">
        <f>H72*H101</f>
        <v>14.808431980360096</v>
      </c>
      <c r="I127" s="193">
        <f t="shared" si="46"/>
        <v>126.64566992155609</v>
      </c>
      <c r="J127" s="193">
        <f t="shared" si="46"/>
        <v>190.61456820703071</v>
      </c>
      <c r="K127" s="193">
        <f t="shared" si="46"/>
        <v>227.53198146415332</v>
      </c>
      <c r="L127" s="193">
        <f t="shared" si="46"/>
        <v>247.76594184292352</v>
      </c>
      <c r="M127" s="193">
        <f t="shared" si="46"/>
        <v>258.00866079387208</v>
      </c>
      <c r="N127" s="193">
        <f t="shared" si="46"/>
        <v>262.26194633818943</v>
      </c>
      <c r="O127" s="193">
        <f t="shared" si="46"/>
        <v>262.91571371781589</v>
      </c>
      <c r="P127" s="193">
        <f t="shared" si="46"/>
        <v>265.84643567557657</v>
      </c>
      <c r="Q127" s="193">
        <f t="shared" si="46"/>
        <v>261.19602227672107</v>
      </c>
      <c r="R127" s="193">
        <f t="shared" si="46"/>
        <v>256.47009773279228</v>
      </c>
      <c r="S127" s="193">
        <f t="shared" si="46"/>
        <v>251.67549142707747</v>
      </c>
      <c r="T127" s="193">
        <f t="shared" si="46"/>
        <v>246.81927833777263</v>
      </c>
      <c r="U127" s="193">
        <f t="shared" si="46"/>
        <v>245.42210954561622</v>
      </c>
      <c r="V127" s="193">
        <f t="shared" si="46"/>
        <v>243.70776524676455</v>
      </c>
      <c r="W127" s="193">
        <f t="shared" si="46"/>
        <v>240.04261690518993</v>
      </c>
      <c r="X127" s="193">
        <f t="shared" si="46"/>
        <v>234.78475161327844</v>
      </c>
      <c r="Y127" s="193">
        <f t="shared" si="46"/>
        <v>231.42567540404949</v>
      </c>
      <c r="Z127" s="193">
        <f t="shared" si="46"/>
        <v>227.57767006657838</v>
      </c>
      <c r="AA127" s="193">
        <f t="shared" si="46"/>
        <v>223.66143168153718</v>
      </c>
      <c r="AB127" s="193">
        <f t="shared" si="46"/>
        <v>218.45112176447967</v>
      </c>
    </row>
    <row r="128" spans="1:29" ht="15" customHeight="1">
      <c r="A128" s="457"/>
      <c r="B128" s="10" t="s">
        <v>33</v>
      </c>
      <c r="C128" s="309" t="s">
        <v>13</v>
      </c>
      <c r="D128" s="193">
        <f t="shared" ref="D128:AB128" si="47">D73*D102</f>
        <v>0</v>
      </c>
      <c r="E128" s="193">
        <f t="shared" si="47"/>
        <v>0</v>
      </c>
      <c r="F128" s="193">
        <f t="shared" si="47"/>
        <v>0</v>
      </c>
      <c r="G128" s="193">
        <f t="shared" si="47"/>
        <v>0</v>
      </c>
      <c r="H128" s="193">
        <f t="shared" si="47"/>
        <v>0</v>
      </c>
      <c r="I128" s="193">
        <f t="shared" si="47"/>
        <v>0</v>
      </c>
      <c r="J128" s="193">
        <f t="shared" si="47"/>
        <v>0</v>
      </c>
      <c r="K128" s="193">
        <f t="shared" si="47"/>
        <v>0</v>
      </c>
      <c r="L128" s="193">
        <f t="shared" si="47"/>
        <v>0</v>
      </c>
      <c r="M128" s="193">
        <f t="shared" si="47"/>
        <v>0</v>
      </c>
      <c r="N128" s="193">
        <f t="shared" si="47"/>
        <v>0</v>
      </c>
      <c r="O128" s="193">
        <f t="shared" si="47"/>
        <v>0</v>
      </c>
      <c r="P128" s="193">
        <f t="shared" si="47"/>
        <v>0</v>
      </c>
      <c r="Q128" s="193">
        <f t="shared" si="47"/>
        <v>0</v>
      </c>
      <c r="R128" s="193">
        <f t="shared" si="47"/>
        <v>0</v>
      </c>
      <c r="S128" s="193">
        <f t="shared" si="47"/>
        <v>0</v>
      </c>
      <c r="T128" s="193">
        <f t="shared" si="47"/>
        <v>0</v>
      </c>
      <c r="U128" s="193">
        <f t="shared" si="47"/>
        <v>0</v>
      </c>
      <c r="V128" s="193">
        <f t="shared" si="47"/>
        <v>0</v>
      </c>
      <c r="W128" s="193">
        <f t="shared" si="47"/>
        <v>0</v>
      </c>
      <c r="X128" s="193">
        <f t="shared" si="47"/>
        <v>0</v>
      </c>
      <c r="Y128" s="193">
        <f t="shared" si="47"/>
        <v>0</v>
      </c>
      <c r="Z128" s="193">
        <f t="shared" si="47"/>
        <v>0</v>
      </c>
      <c r="AA128" s="193">
        <f t="shared" si="47"/>
        <v>0</v>
      </c>
      <c r="AB128" s="193">
        <f t="shared" si="47"/>
        <v>0</v>
      </c>
    </row>
    <row r="129" spans="1:28" ht="15" customHeight="1">
      <c r="A129" s="457"/>
      <c r="B129" s="10" t="s">
        <v>24</v>
      </c>
      <c r="C129" s="10" t="s">
        <v>22</v>
      </c>
      <c r="D129" s="193">
        <f t="shared" ref="D129:AB129" si="48">D74*D103</f>
        <v>0</v>
      </c>
      <c r="E129" s="193">
        <f t="shared" si="48"/>
        <v>0</v>
      </c>
      <c r="F129" s="193">
        <f t="shared" si="48"/>
        <v>0</v>
      </c>
      <c r="G129" s="193">
        <f t="shared" si="48"/>
        <v>0</v>
      </c>
      <c r="H129" s="193">
        <f t="shared" si="48"/>
        <v>0</v>
      </c>
      <c r="I129" s="193">
        <f t="shared" si="48"/>
        <v>0</v>
      </c>
      <c r="J129" s="193">
        <f t="shared" si="48"/>
        <v>0</v>
      </c>
      <c r="K129" s="193">
        <f t="shared" si="48"/>
        <v>0</v>
      </c>
      <c r="L129" s="193">
        <f t="shared" si="48"/>
        <v>0</v>
      </c>
      <c r="M129" s="193">
        <f t="shared" si="48"/>
        <v>0</v>
      </c>
      <c r="N129" s="193">
        <f t="shared" si="48"/>
        <v>0</v>
      </c>
      <c r="O129" s="193">
        <f t="shared" si="48"/>
        <v>0</v>
      </c>
      <c r="P129" s="193">
        <f t="shared" si="48"/>
        <v>0</v>
      </c>
      <c r="Q129" s="193">
        <f t="shared" si="48"/>
        <v>0</v>
      </c>
      <c r="R129" s="193">
        <f t="shared" si="48"/>
        <v>0</v>
      </c>
      <c r="S129" s="193">
        <f t="shared" si="48"/>
        <v>0</v>
      </c>
      <c r="T129" s="193">
        <f t="shared" si="48"/>
        <v>0</v>
      </c>
      <c r="U129" s="193">
        <f t="shared" si="48"/>
        <v>-8.0123047741666138</v>
      </c>
      <c r="V129" s="193">
        <f t="shared" si="48"/>
        <v>-25.39598266716661</v>
      </c>
      <c r="W129" s="193">
        <f t="shared" si="48"/>
        <v>-44.702786013166637</v>
      </c>
      <c r="X129" s="193">
        <f t="shared" si="48"/>
        <v>-67.842351482333285</v>
      </c>
      <c r="Y129" s="193">
        <f t="shared" si="48"/>
        <v>-77.558381250666642</v>
      </c>
      <c r="Z129" s="193">
        <f t="shared" si="48"/>
        <v>-88.236226162166602</v>
      </c>
      <c r="AA129" s="193">
        <f t="shared" si="48"/>
        <v>-99.297376775499927</v>
      </c>
      <c r="AB129" s="193">
        <f t="shared" si="48"/>
        <v>-115.92991817399989</v>
      </c>
    </row>
    <row r="130" spans="1:28" ht="15" customHeight="1">
      <c r="A130" s="457"/>
      <c r="B130" s="10" t="s">
        <v>21</v>
      </c>
      <c r="C130" s="10" t="s">
        <v>22</v>
      </c>
      <c r="D130" s="193">
        <f t="shared" ref="D130:AB130" si="49">D75*D104</f>
        <v>0</v>
      </c>
      <c r="E130" s="193">
        <f t="shared" si="49"/>
        <v>0</v>
      </c>
      <c r="F130" s="193">
        <f t="shared" si="49"/>
        <v>0</v>
      </c>
      <c r="G130" s="193">
        <f t="shared" si="49"/>
        <v>0</v>
      </c>
      <c r="H130" s="193">
        <f t="shared" si="49"/>
        <v>0</v>
      </c>
      <c r="I130" s="193">
        <f t="shared" si="49"/>
        <v>0</v>
      </c>
      <c r="J130" s="193">
        <f t="shared" si="49"/>
        <v>0</v>
      </c>
      <c r="K130" s="193">
        <f t="shared" si="49"/>
        <v>0</v>
      </c>
      <c r="L130" s="193">
        <f t="shared" si="49"/>
        <v>5.3290705182007514E-15</v>
      </c>
      <c r="M130" s="193">
        <f t="shared" si="49"/>
        <v>0</v>
      </c>
      <c r="N130" s="193">
        <f t="shared" si="49"/>
        <v>0</v>
      </c>
      <c r="O130" s="193">
        <f t="shared" si="49"/>
        <v>0</v>
      </c>
      <c r="P130" s="193">
        <f t="shared" si="49"/>
        <v>0</v>
      </c>
      <c r="Q130" s="193">
        <f t="shared" si="49"/>
        <v>0</v>
      </c>
      <c r="R130" s="193">
        <f t="shared" si="49"/>
        <v>0</v>
      </c>
      <c r="S130" s="193">
        <f t="shared" si="49"/>
        <v>0</v>
      </c>
      <c r="T130" s="193">
        <f t="shared" si="49"/>
        <v>0</v>
      </c>
      <c r="U130" s="193">
        <f t="shared" si="49"/>
        <v>0</v>
      </c>
      <c r="V130" s="193">
        <f t="shared" si="49"/>
        <v>51.672747484999952</v>
      </c>
      <c r="W130" s="193">
        <f t="shared" si="49"/>
        <v>72.341846478999912</v>
      </c>
      <c r="X130" s="193">
        <f t="shared" si="49"/>
        <v>48.65146364026657</v>
      </c>
      <c r="Y130" s="193">
        <f t="shared" si="49"/>
        <v>42.216709529666602</v>
      </c>
      <c r="Z130" s="193">
        <f t="shared" si="49"/>
        <v>58.434512768433308</v>
      </c>
      <c r="AA130" s="193">
        <f t="shared" si="49"/>
        <v>81.808317875806637</v>
      </c>
      <c r="AB130" s="193">
        <f t="shared" si="49"/>
        <v>88.107035877429354</v>
      </c>
    </row>
    <row r="131" spans="1:28" ht="15" customHeight="1">
      <c r="A131" s="457"/>
      <c r="B131" s="10" t="s">
        <v>23</v>
      </c>
      <c r="C131" s="10" t="s">
        <v>22</v>
      </c>
      <c r="D131" s="193">
        <f t="shared" ref="D131:AB131" si="50">D76*D105</f>
        <v>0</v>
      </c>
      <c r="E131" s="193">
        <f t="shared" si="50"/>
        <v>0</v>
      </c>
      <c r="F131" s="193">
        <f t="shared" si="50"/>
        <v>0</v>
      </c>
      <c r="G131" s="193">
        <f t="shared" si="50"/>
        <v>1.5001859154999106</v>
      </c>
      <c r="H131" s="193">
        <f t="shared" si="50"/>
        <v>4.0451253489217844</v>
      </c>
      <c r="I131" s="193">
        <f t="shared" si="50"/>
        <v>4.3890291991255426</v>
      </c>
      <c r="J131" s="193">
        <f t="shared" si="50"/>
        <v>15.890938108585656</v>
      </c>
      <c r="K131" s="193">
        <f t="shared" si="50"/>
        <v>6.3626486110330953</v>
      </c>
      <c r="L131" s="193">
        <f t="shared" si="50"/>
        <v>0</v>
      </c>
      <c r="M131" s="193">
        <f t="shared" si="50"/>
        <v>0</v>
      </c>
      <c r="N131" s="193">
        <f t="shared" si="50"/>
        <v>0</v>
      </c>
      <c r="O131" s="193">
        <f t="shared" si="50"/>
        <v>0</v>
      </c>
      <c r="P131" s="193">
        <f t="shared" si="50"/>
        <v>12.374022573302526</v>
      </c>
      <c r="Q131" s="193">
        <f t="shared" si="50"/>
        <v>9.0644761734140342</v>
      </c>
      <c r="R131" s="193">
        <f t="shared" si="50"/>
        <v>4.7102897067657281</v>
      </c>
      <c r="S131" s="193">
        <f t="shared" si="50"/>
        <v>13.501869403082804</v>
      </c>
      <c r="T131" s="193">
        <f t="shared" si="50"/>
        <v>15.158773052770435</v>
      </c>
      <c r="U131" s="193">
        <f t="shared" si="50"/>
        <v>21.743028903317409</v>
      </c>
      <c r="V131" s="193">
        <f t="shared" si="50"/>
        <v>48.253223387499986</v>
      </c>
      <c r="W131" s="193">
        <f t="shared" si="50"/>
        <v>48.253223387499986</v>
      </c>
      <c r="X131" s="193">
        <f t="shared" si="50"/>
        <v>48.253223387500014</v>
      </c>
      <c r="Y131" s="193">
        <f t="shared" si="50"/>
        <v>28.967806251003832</v>
      </c>
      <c r="Z131" s="193">
        <f t="shared" si="50"/>
        <v>21.253639396405354</v>
      </c>
      <c r="AA131" s="193">
        <f t="shared" si="50"/>
        <v>14.072471998350881</v>
      </c>
      <c r="AB131" s="193">
        <f t="shared" si="50"/>
        <v>23.994178102427192</v>
      </c>
    </row>
    <row r="132" spans="1:28" ht="15" customHeight="1">
      <c r="A132" s="457"/>
      <c r="B132" s="10" t="s">
        <v>25</v>
      </c>
      <c r="C132" s="10" t="s">
        <v>22</v>
      </c>
      <c r="D132" s="193">
        <f t="shared" ref="D132:AB132" si="51">D77*D106</f>
        <v>0</v>
      </c>
      <c r="E132" s="193">
        <f t="shared" si="51"/>
        <v>0</v>
      </c>
      <c r="F132" s="193">
        <f t="shared" si="51"/>
        <v>0</v>
      </c>
      <c r="G132" s="193">
        <f t="shared" si="51"/>
        <v>0</v>
      </c>
      <c r="H132" s="193">
        <f t="shared" si="51"/>
        <v>0</v>
      </c>
      <c r="I132" s="193">
        <f t="shared" si="51"/>
        <v>0</v>
      </c>
      <c r="J132" s="193">
        <f t="shared" si="51"/>
        <v>0</v>
      </c>
      <c r="K132" s="193">
        <f t="shared" si="51"/>
        <v>0</v>
      </c>
      <c r="L132" s="193">
        <f t="shared" si="51"/>
        <v>0</v>
      </c>
      <c r="M132" s="193">
        <f t="shared" si="51"/>
        <v>0</v>
      </c>
      <c r="N132" s="193">
        <f t="shared" si="51"/>
        <v>0</v>
      </c>
      <c r="O132" s="193">
        <f t="shared" si="51"/>
        <v>0</v>
      </c>
      <c r="P132" s="193">
        <f t="shared" si="51"/>
        <v>0</v>
      </c>
      <c r="Q132" s="193">
        <f t="shared" si="51"/>
        <v>0</v>
      </c>
      <c r="R132" s="193">
        <f t="shared" si="51"/>
        <v>0</v>
      </c>
      <c r="S132" s="193">
        <f t="shared" si="51"/>
        <v>0</v>
      </c>
      <c r="T132" s="193">
        <f t="shared" si="51"/>
        <v>0</v>
      </c>
      <c r="U132" s="193">
        <f t="shared" si="51"/>
        <v>0</v>
      </c>
      <c r="V132" s="193">
        <f t="shared" si="51"/>
        <v>0</v>
      </c>
      <c r="W132" s="193">
        <f t="shared" si="51"/>
        <v>0</v>
      </c>
      <c r="X132" s="193">
        <f t="shared" si="51"/>
        <v>0</v>
      </c>
      <c r="Y132" s="193">
        <f t="shared" si="51"/>
        <v>0</v>
      </c>
      <c r="Z132" s="193">
        <f t="shared" si="51"/>
        <v>0</v>
      </c>
      <c r="AA132" s="193">
        <f t="shared" si="51"/>
        <v>0</v>
      </c>
      <c r="AB132" s="193">
        <f t="shared" si="51"/>
        <v>0</v>
      </c>
    </row>
    <row r="133" spans="1:28" ht="15" customHeight="1">
      <c r="A133" s="457"/>
      <c r="B133" s="10" t="s">
        <v>26</v>
      </c>
      <c r="C133" s="10" t="s">
        <v>22</v>
      </c>
      <c r="D133" s="193">
        <f t="shared" ref="D133:AB133" si="52">D78*D107</f>
        <v>0</v>
      </c>
      <c r="E133" s="193">
        <f t="shared" si="52"/>
        <v>0</v>
      </c>
      <c r="F133" s="193">
        <f t="shared" si="52"/>
        <v>0</v>
      </c>
      <c r="G133" s="193">
        <f t="shared" si="52"/>
        <v>0</v>
      </c>
      <c r="H133" s="193">
        <f t="shared" si="52"/>
        <v>0</v>
      </c>
      <c r="I133" s="193">
        <f t="shared" si="52"/>
        <v>0</v>
      </c>
      <c r="J133" s="193">
        <f t="shared" si="52"/>
        <v>0</v>
      </c>
      <c r="K133" s="193">
        <f t="shared" si="52"/>
        <v>0</v>
      </c>
      <c r="L133" s="193">
        <f t="shared" si="52"/>
        <v>0</v>
      </c>
      <c r="M133" s="193">
        <f t="shared" si="52"/>
        <v>0</v>
      </c>
      <c r="N133" s="193">
        <f t="shared" si="52"/>
        <v>0</v>
      </c>
      <c r="O133" s="193">
        <f t="shared" si="52"/>
        <v>0</v>
      </c>
      <c r="P133" s="193">
        <f t="shared" si="52"/>
        <v>0</v>
      </c>
      <c r="Q133" s="193">
        <f t="shared" si="52"/>
        <v>0</v>
      </c>
      <c r="R133" s="193">
        <f t="shared" si="52"/>
        <v>0</v>
      </c>
      <c r="S133" s="193">
        <f t="shared" si="52"/>
        <v>0</v>
      </c>
      <c r="T133" s="193">
        <f t="shared" si="52"/>
        <v>0</v>
      </c>
      <c r="U133" s="193">
        <f t="shared" si="52"/>
        <v>0</v>
      </c>
      <c r="V133" s="193">
        <f t="shared" si="52"/>
        <v>0</v>
      </c>
      <c r="W133" s="193">
        <f t="shared" si="52"/>
        <v>0</v>
      </c>
      <c r="X133" s="193">
        <f t="shared" si="52"/>
        <v>0</v>
      </c>
      <c r="Y133" s="193">
        <f t="shared" si="52"/>
        <v>0</v>
      </c>
      <c r="Z133" s="193">
        <f t="shared" si="52"/>
        <v>0</v>
      </c>
      <c r="AA133" s="193">
        <f t="shared" si="52"/>
        <v>0</v>
      </c>
      <c r="AB133" s="193">
        <f t="shared" si="52"/>
        <v>0</v>
      </c>
    </row>
    <row r="134" spans="1:28" ht="15" customHeight="1">
      <c r="A134" s="457"/>
      <c r="B134" s="10" t="s">
        <v>14</v>
      </c>
      <c r="C134" s="10" t="s">
        <v>22</v>
      </c>
      <c r="D134" s="193">
        <f t="shared" ref="D134:AB134" si="53">D79*D108</f>
        <v>0</v>
      </c>
      <c r="E134" s="193">
        <f t="shared" si="53"/>
        <v>0</v>
      </c>
      <c r="F134" s="193">
        <f t="shared" si="53"/>
        <v>0</v>
      </c>
      <c r="G134" s="193">
        <f t="shared" si="53"/>
        <v>0</v>
      </c>
      <c r="H134" s="193">
        <f t="shared" si="53"/>
        <v>0</v>
      </c>
      <c r="I134" s="193">
        <f t="shared" si="53"/>
        <v>0</v>
      </c>
      <c r="J134" s="193">
        <f t="shared" si="53"/>
        <v>0</v>
      </c>
      <c r="K134" s="193">
        <f t="shared" si="53"/>
        <v>0</v>
      </c>
      <c r="L134" s="193">
        <f t="shared" si="53"/>
        <v>0</v>
      </c>
      <c r="M134" s="193">
        <f t="shared" si="53"/>
        <v>0</v>
      </c>
      <c r="N134" s="193">
        <f t="shared" si="53"/>
        <v>0</v>
      </c>
      <c r="O134" s="193">
        <f t="shared" si="53"/>
        <v>0</v>
      </c>
      <c r="P134" s="193">
        <f t="shared" si="53"/>
        <v>0</v>
      </c>
      <c r="Q134" s="193">
        <f t="shared" si="53"/>
        <v>0</v>
      </c>
      <c r="R134" s="193">
        <f t="shared" si="53"/>
        <v>0</v>
      </c>
      <c r="S134" s="193">
        <f t="shared" si="53"/>
        <v>0</v>
      </c>
      <c r="T134" s="193">
        <f t="shared" si="53"/>
        <v>0</v>
      </c>
      <c r="U134" s="193">
        <f t="shared" si="53"/>
        <v>0</v>
      </c>
      <c r="V134" s="193">
        <f t="shared" si="53"/>
        <v>0</v>
      </c>
      <c r="W134" s="193">
        <f t="shared" si="53"/>
        <v>0</v>
      </c>
      <c r="X134" s="193">
        <f t="shared" si="53"/>
        <v>0</v>
      </c>
      <c r="Y134" s="193">
        <f t="shared" si="53"/>
        <v>0</v>
      </c>
      <c r="Z134" s="193">
        <f t="shared" si="53"/>
        <v>0</v>
      </c>
      <c r="AA134" s="193">
        <f t="shared" si="53"/>
        <v>0</v>
      </c>
      <c r="AB134" s="193">
        <f t="shared" si="53"/>
        <v>0</v>
      </c>
    </row>
    <row r="135" spans="1:28" ht="15" customHeight="1">
      <c r="A135" s="457"/>
      <c r="B135" s="10" t="s">
        <v>16</v>
      </c>
      <c r="C135" s="10" t="s">
        <v>103</v>
      </c>
      <c r="D135" s="193">
        <f t="shared" ref="D135:AB135" si="54">D80*D109</f>
        <v>0</v>
      </c>
      <c r="E135" s="193">
        <f t="shared" si="54"/>
        <v>0</v>
      </c>
      <c r="F135" s="193">
        <f t="shared" si="54"/>
        <v>0</v>
      </c>
      <c r="G135" s="193">
        <f t="shared" si="54"/>
        <v>4.2041423671214216E-14</v>
      </c>
      <c r="H135" s="193">
        <f t="shared" si="54"/>
        <v>0</v>
      </c>
      <c r="I135" s="193">
        <f t="shared" si="54"/>
        <v>0</v>
      </c>
      <c r="J135" s="193">
        <f t="shared" si="54"/>
        <v>0</v>
      </c>
      <c r="K135" s="193">
        <f t="shared" si="54"/>
        <v>0</v>
      </c>
      <c r="L135" s="193">
        <f t="shared" si="54"/>
        <v>0</v>
      </c>
      <c r="M135" s="193">
        <f t="shared" si="54"/>
        <v>0</v>
      </c>
      <c r="N135" s="193">
        <f t="shared" si="54"/>
        <v>0</v>
      </c>
      <c r="O135" s="193">
        <f t="shared" si="54"/>
        <v>0</v>
      </c>
      <c r="P135" s="193">
        <f t="shared" si="54"/>
        <v>0</v>
      </c>
      <c r="Q135" s="193">
        <f t="shared" si="54"/>
        <v>0</v>
      </c>
      <c r="R135" s="193">
        <f t="shared" si="54"/>
        <v>0</v>
      </c>
      <c r="S135" s="193">
        <f t="shared" si="54"/>
        <v>0</v>
      </c>
      <c r="T135" s="193">
        <f t="shared" si="54"/>
        <v>0</v>
      </c>
      <c r="U135" s="193">
        <f t="shared" si="54"/>
        <v>0</v>
      </c>
      <c r="V135" s="193">
        <f t="shared" si="54"/>
        <v>528.35201630745996</v>
      </c>
      <c r="W135" s="193">
        <f t="shared" si="54"/>
        <v>317.01120978447597</v>
      </c>
      <c r="X135" s="193">
        <f t="shared" si="54"/>
        <v>190.21430079877678</v>
      </c>
      <c r="Y135" s="193">
        <f t="shared" si="54"/>
        <v>0</v>
      </c>
      <c r="Z135" s="193">
        <f t="shared" si="54"/>
        <v>0</v>
      </c>
      <c r="AA135" s="193">
        <f t="shared" si="54"/>
        <v>0</v>
      </c>
      <c r="AB135" s="193">
        <f t="shared" si="54"/>
        <v>0</v>
      </c>
    </row>
    <row r="136" spans="1:28" ht="15" customHeight="1">
      <c r="A136" s="457"/>
      <c r="B136" s="10" t="s">
        <v>108</v>
      </c>
      <c r="C136" s="10" t="s">
        <v>64</v>
      </c>
      <c r="D136" s="193">
        <f t="shared" ref="D136:AB136" si="55">D81*D110</f>
        <v>0</v>
      </c>
      <c r="E136" s="193">
        <f t="shared" si="55"/>
        <v>0</v>
      </c>
      <c r="F136" s="193">
        <f t="shared" si="55"/>
        <v>0</v>
      </c>
      <c r="G136" s="193">
        <f t="shared" si="55"/>
        <v>0</v>
      </c>
      <c r="H136" s="193">
        <f t="shared" si="55"/>
        <v>0</v>
      </c>
      <c r="I136" s="193">
        <f t="shared" si="55"/>
        <v>0</v>
      </c>
      <c r="J136" s="193">
        <f t="shared" si="55"/>
        <v>0</v>
      </c>
      <c r="K136" s="193">
        <f t="shared" si="55"/>
        <v>0</v>
      </c>
      <c r="L136" s="193">
        <f t="shared" si="55"/>
        <v>0</v>
      </c>
      <c r="M136" s="193">
        <f t="shared" si="55"/>
        <v>0</v>
      </c>
      <c r="N136" s="193">
        <f t="shared" si="55"/>
        <v>0</v>
      </c>
      <c r="O136" s="193">
        <f t="shared" si="55"/>
        <v>0</v>
      </c>
      <c r="P136" s="193">
        <f t="shared" si="55"/>
        <v>0</v>
      </c>
      <c r="Q136" s="193">
        <f t="shared" si="55"/>
        <v>0</v>
      </c>
      <c r="R136" s="193">
        <f t="shared" si="55"/>
        <v>0</v>
      </c>
      <c r="S136" s="193">
        <f t="shared" si="55"/>
        <v>0</v>
      </c>
      <c r="T136" s="193">
        <f t="shared" si="55"/>
        <v>0</v>
      </c>
      <c r="U136" s="193">
        <f t="shared" si="55"/>
        <v>0</v>
      </c>
      <c r="V136" s="193">
        <f t="shared" si="55"/>
        <v>0</v>
      </c>
      <c r="W136" s="193">
        <f t="shared" si="55"/>
        <v>0</v>
      </c>
      <c r="X136" s="193">
        <f t="shared" si="55"/>
        <v>0</v>
      </c>
      <c r="Y136" s="193">
        <f t="shared" si="55"/>
        <v>0</v>
      </c>
      <c r="Z136" s="193">
        <f t="shared" si="55"/>
        <v>0</v>
      </c>
      <c r="AA136" s="193">
        <f t="shared" si="55"/>
        <v>0</v>
      </c>
      <c r="AB136" s="193">
        <f t="shared" si="55"/>
        <v>0</v>
      </c>
    </row>
    <row r="137" spans="1:28" ht="15" customHeight="1">
      <c r="A137" s="457"/>
      <c r="B137" s="10" t="s">
        <v>122</v>
      </c>
      <c r="C137" s="10" t="s">
        <v>103</v>
      </c>
      <c r="D137" s="193">
        <f t="shared" ref="D137:AB137" si="56">D83*D111</f>
        <v>0</v>
      </c>
      <c r="E137" s="193">
        <f t="shared" si="56"/>
        <v>0</v>
      </c>
      <c r="F137" s="193">
        <f t="shared" si="56"/>
        <v>0</v>
      </c>
      <c r="G137" s="193">
        <f t="shared" si="56"/>
        <v>0</v>
      </c>
      <c r="H137" s="193">
        <f t="shared" si="56"/>
        <v>0.9103018072477862</v>
      </c>
      <c r="I137" s="193">
        <f t="shared" si="56"/>
        <v>9.0137820350529108</v>
      </c>
      <c r="J137" s="193">
        <f t="shared" si="56"/>
        <v>17.009314650979043</v>
      </c>
      <c r="K137" s="193">
        <f t="shared" si="56"/>
        <v>23.270559934696845</v>
      </c>
      <c r="L137" s="193">
        <f t="shared" si="56"/>
        <v>28.943794680431857</v>
      </c>
      <c r="M137" s="193">
        <f t="shared" si="56"/>
        <v>34.245392804185684</v>
      </c>
      <c r="N137" s="193">
        <f t="shared" si="56"/>
        <v>39.318697504689816</v>
      </c>
      <c r="O137" s="193">
        <f t="shared" si="56"/>
        <v>44.260884271956044</v>
      </c>
      <c r="P137" s="193">
        <f t="shared" si="56"/>
        <v>49.724093534535186</v>
      </c>
      <c r="Q137" s="193">
        <f t="shared" si="56"/>
        <v>54.374506933390606</v>
      </c>
      <c r="R137" s="193">
        <f t="shared" si="56"/>
        <v>59.100431477319475</v>
      </c>
      <c r="S137" s="193">
        <f t="shared" si="56"/>
        <v>63.895037783034212</v>
      </c>
      <c r="T137" s="193">
        <f t="shared" si="56"/>
        <v>68.751250872339071</v>
      </c>
      <c r="U137" s="193">
        <f t="shared" si="56"/>
        <v>70.148419664495506</v>
      </c>
      <c r="V137" s="193">
        <f t="shared" si="56"/>
        <v>71.862763963347177</v>
      </c>
      <c r="W137" s="193">
        <f t="shared" si="56"/>
        <v>75.527912304921756</v>
      </c>
      <c r="X137" s="193">
        <f t="shared" si="56"/>
        <v>80.785777596833256</v>
      </c>
      <c r="Y137" s="193">
        <f t="shared" si="56"/>
        <v>84.144853806062244</v>
      </c>
      <c r="Z137" s="193">
        <f t="shared" si="56"/>
        <v>87.992859143533337</v>
      </c>
      <c r="AA137" s="193">
        <f t="shared" si="56"/>
        <v>91.909097528574577</v>
      </c>
      <c r="AB137" s="193">
        <f t="shared" si="56"/>
        <v>97.119407445632021</v>
      </c>
    </row>
    <row r="138" spans="1:28" ht="15" customHeight="1">
      <c r="A138" s="457"/>
      <c r="B138" s="147" t="s">
        <v>123</v>
      </c>
      <c r="C138" s="309" t="s">
        <v>201</v>
      </c>
      <c r="D138" s="193">
        <f t="shared" ref="D138:AB138" si="57">D84*D112</f>
        <v>0</v>
      </c>
      <c r="E138" s="193">
        <f t="shared" si="57"/>
        <v>0</v>
      </c>
      <c r="F138" s="193">
        <f t="shared" si="57"/>
        <v>0</v>
      </c>
      <c r="G138" s="193">
        <f t="shared" si="57"/>
        <v>0</v>
      </c>
      <c r="H138" s="193">
        <f t="shared" si="57"/>
        <v>0</v>
      </c>
      <c r="I138" s="193">
        <f t="shared" si="57"/>
        <v>0</v>
      </c>
      <c r="J138" s="193">
        <f t="shared" si="57"/>
        <v>0</v>
      </c>
      <c r="K138" s="193">
        <f t="shared" si="57"/>
        <v>0</v>
      </c>
      <c r="L138" s="193">
        <f t="shared" si="57"/>
        <v>0</v>
      </c>
      <c r="M138" s="193">
        <f t="shared" si="57"/>
        <v>0</v>
      </c>
      <c r="N138" s="193">
        <f t="shared" si="57"/>
        <v>0</v>
      </c>
      <c r="O138" s="193">
        <f t="shared" si="57"/>
        <v>0</v>
      </c>
      <c r="P138" s="193">
        <f t="shared" si="57"/>
        <v>0</v>
      </c>
      <c r="Q138" s="193">
        <f t="shared" si="57"/>
        <v>0</v>
      </c>
      <c r="R138" s="193">
        <f t="shared" si="57"/>
        <v>0</v>
      </c>
      <c r="S138" s="193">
        <f t="shared" si="57"/>
        <v>0</v>
      </c>
      <c r="T138" s="193">
        <f t="shared" si="57"/>
        <v>0</v>
      </c>
      <c r="U138" s="193">
        <f t="shared" si="57"/>
        <v>0</v>
      </c>
      <c r="V138" s="193">
        <f t="shared" si="57"/>
        <v>0</v>
      </c>
      <c r="W138" s="193">
        <f t="shared" si="57"/>
        <v>0</v>
      </c>
      <c r="X138" s="193">
        <f t="shared" si="57"/>
        <v>0</v>
      </c>
      <c r="Y138" s="193">
        <f t="shared" si="57"/>
        <v>0</v>
      </c>
      <c r="Z138" s="193">
        <f t="shared" si="57"/>
        <v>0</v>
      </c>
      <c r="AA138" s="193">
        <f t="shared" si="57"/>
        <v>0</v>
      </c>
      <c r="AB138" s="193">
        <f t="shared" si="57"/>
        <v>0</v>
      </c>
    </row>
    <row r="139" spans="1:28" ht="15" customHeight="1">
      <c r="A139" s="457"/>
      <c r="B139" s="147" t="s">
        <v>124</v>
      </c>
      <c r="C139" s="10" t="s">
        <v>7</v>
      </c>
      <c r="D139" s="193">
        <f t="shared" ref="D139:AB139" si="58">D85*D113</f>
        <v>0</v>
      </c>
      <c r="E139" s="193">
        <f t="shared" si="58"/>
        <v>0</v>
      </c>
      <c r="F139" s="193">
        <f t="shared" si="58"/>
        <v>0</v>
      </c>
      <c r="G139" s="193">
        <f>G85*G113</f>
        <v>25.23821786989749</v>
      </c>
      <c r="H139" s="193">
        <f t="shared" si="58"/>
        <v>44.815686692459295</v>
      </c>
      <c r="I139" s="193">
        <f t="shared" si="58"/>
        <v>14.1345053344094</v>
      </c>
      <c r="J139" s="193">
        <f t="shared" si="58"/>
        <v>15.886784643409495</v>
      </c>
      <c r="K139" s="193">
        <f t="shared" si="58"/>
        <v>6.3609855852725339</v>
      </c>
      <c r="L139" s="193">
        <f t="shared" si="58"/>
        <v>0</v>
      </c>
      <c r="M139" s="193">
        <f t="shared" si="58"/>
        <v>0</v>
      </c>
      <c r="N139" s="193">
        <f t="shared" si="58"/>
        <v>0</v>
      </c>
      <c r="O139" s="193">
        <f t="shared" si="58"/>
        <v>0</v>
      </c>
      <c r="P139" s="193">
        <f t="shared" si="58"/>
        <v>0</v>
      </c>
      <c r="Q139" s="193">
        <f t="shared" si="58"/>
        <v>0</v>
      </c>
      <c r="R139" s="193">
        <f t="shared" si="58"/>
        <v>0</v>
      </c>
      <c r="S139" s="193">
        <f t="shared" si="58"/>
        <v>0</v>
      </c>
      <c r="T139" s="193">
        <f t="shared" si="58"/>
        <v>0</v>
      </c>
      <c r="U139" s="193">
        <f t="shared" si="58"/>
        <v>0</v>
      </c>
      <c r="V139" s="193">
        <f t="shared" si="58"/>
        <v>0</v>
      </c>
      <c r="W139" s="193">
        <f t="shared" si="58"/>
        <v>0</v>
      </c>
      <c r="X139" s="193">
        <f t="shared" si="58"/>
        <v>0</v>
      </c>
      <c r="Y139" s="193">
        <f t="shared" si="58"/>
        <v>0</v>
      </c>
      <c r="Z139" s="193">
        <f t="shared" si="58"/>
        <v>0</v>
      </c>
      <c r="AA139" s="193">
        <f t="shared" si="58"/>
        <v>0</v>
      </c>
      <c r="AB139" s="193">
        <f t="shared" si="58"/>
        <v>0</v>
      </c>
    </row>
    <row r="140" spans="1:28" ht="15" customHeight="1">
      <c r="A140" s="102"/>
      <c r="B140" s="1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</row>
    <row r="141" spans="1:28">
      <c r="B141" s="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</row>
    <row r="142" spans="1:28">
      <c r="B142" s="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</row>
    <row r="143" spans="1:28"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</row>
    <row r="144" spans="1:28"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</row>
    <row r="145" spans="2:28"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51" spans="2:28">
      <c r="B151" s="2"/>
      <c r="C151" s="53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9"/>
      <c r="P151" s="21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2:28">
      <c r="B152" s="2"/>
      <c r="C152" s="53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9"/>
      <c r="P152" s="21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2:28"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</sheetData>
  <mergeCells count="5">
    <mergeCell ref="A1:A29"/>
    <mergeCell ref="A31:A58"/>
    <mergeCell ref="A60:A87"/>
    <mergeCell ref="A89:A113"/>
    <mergeCell ref="A115:A1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3">
    <tabColor rgb="FF00B0F0"/>
  </sheetPr>
  <dimension ref="A1:BD222"/>
  <sheetViews>
    <sheetView topLeftCell="U1" zoomScale="80" zoomScaleNormal="80" workbookViewId="0">
      <selection activeCell="G69" sqref="G69"/>
    </sheetView>
  </sheetViews>
  <sheetFormatPr defaultRowHeight="15"/>
  <cols>
    <col min="1" max="1" width="31.28515625" style="56" customWidth="1"/>
    <col min="2" max="2" width="25.28515625" customWidth="1"/>
    <col min="3" max="3" width="16.7109375" bestFit="1" customWidth="1"/>
    <col min="4" max="4" width="11.5703125" bestFit="1" customWidth="1"/>
    <col min="8" max="8" width="9.5703125" customWidth="1"/>
    <col min="9" max="9" width="9" customWidth="1"/>
    <col min="10" max="10" width="9.5703125" customWidth="1"/>
    <col min="11" max="11" width="10.28515625" customWidth="1"/>
    <col min="12" max="13" width="9.7109375" customWidth="1"/>
    <col min="14" max="14" width="10.42578125" customWidth="1"/>
    <col min="15" max="15" width="9.7109375" customWidth="1"/>
    <col min="16" max="16" width="9.28515625" customWidth="1"/>
    <col min="17" max="17" width="9.7109375" customWidth="1"/>
    <col min="18" max="18" width="10.28515625" customWidth="1"/>
    <col min="19" max="19" width="9.28515625" customWidth="1"/>
    <col min="20" max="20" width="9" customWidth="1"/>
    <col min="21" max="21" width="10" customWidth="1"/>
  </cols>
  <sheetData>
    <row r="1" spans="1:28" ht="15" customHeight="1">
      <c r="A1" s="458" t="s">
        <v>202</v>
      </c>
      <c r="B1" s="174" t="s">
        <v>3</v>
      </c>
      <c r="C1" s="11" t="s">
        <v>1</v>
      </c>
      <c r="D1" s="345">
        <v>2022</v>
      </c>
      <c r="E1" s="345">
        <v>2023</v>
      </c>
      <c r="F1" s="345">
        <v>2024</v>
      </c>
      <c r="G1" s="345">
        <v>2025</v>
      </c>
      <c r="H1" s="10">
        <v>2026</v>
      </c>
      <c r="I1" s="10">
        <v>2027</v>
      </c>
      <c r="J1" s="10">
        <v>2028</v>
      </c>
      <c r="K1" s="10">
        <v>2029</v>
      </c>
      <c r="L1" s="10">
        <v>2030</v>
      </c>
      <c r="M1" s="10">
        <v>2031</v>
      </c>
      <c r="N1" s="10">
        <v>2032</v>
      </c>
      <c r="O1" s="10">
        <v>2033</v>
      </c>
      <c r="P1" s="10">
        <v>2034</v>
      </c>
      <c r="Q1" s="10">
        <v>2035</v>
      </c>
      <c r="R1" s="10">
        <v>2036</v>
      </c>
      <c r="S1" s="10">
        <v>2037</v>
      </c>
      <c r="T1" s="10">
        <v>2038</v>
      </c>
      <c r="U1" s="10">
        <v>2039</v>
      </c>
      <c r="V1" s="10">
        <v>2040</v>
      </c>
      <c r="W1" s="10">
        <v>2041</v>
      </c>
      <c r="X1" s="10">
        <v>2042</v>
      </c>
      <c r="Y1" s="10">
        <v>2043</v>
      </c>
      <c r="Z1" s="10">
        <v>2044</v>
      </c>
      <c r="AA1" s="10">
        <v>2045</v>
      </c>
      <c r="AB1" s="10">
        <v>2046</v>
      </c>
    </row>
    <row r="2" spans="1:28" s="171" customFormat="1" ht="15" customHeight="1">
      <c r="A2" s="459"/>
      <c r="B2" s="309" t="s">
        <v>115</v>
      </c>
      <c r="C2" s="309" t="s">
        <v>7</v>
      </c>
      <c r="D2" s="311">
        <f>'BAU Comparison - All Fuel'!D116</f>
        <v>0</v>
      </c>
      <c r="E2" s="311">
        <f>'BAU Comparison - All Fuel'!E116</f>
        <v>0</v>
      </c>
      <c r="F2" s="311">
        <f>'BAU Comparison - All Fuel'!F116</f>
        <v>0</v>
      </c>
      <c r="G2" s="311">
        <f>'BAU Comparison - All Fuel'!G116</f>
        <v>0</v>
      </c>
      <c r="H2" s="311">
        <f>'BAU Comparison - All Fuel'!H116</f>
        <v>0</v>
      </c>
      <c r="I2" s="311">
        <f>'BAU Comparison - All Fuel'!I116</f>
        <v>0</v>
      </c>
      <c r="J2" s="311">
        <f>'BAU Comparison - All Fuel'!J116</f>
        <v>0</v>
      </c>
      <c r="K2" s="311">
        <f>'BAU Comparison - All Fuel'!K116</f>
        <v>0</v>
      </c>
      <c r="L2" s="311">
        <f>'BAU Comparison - All Fuel'!L116</f>
        <v>0</v>
      </c>
      <c r="M2" s="311">
        <f>'BAU Comparison - All Fuel'!M116</f>
        <v>0</v>
      </c>
      <c r="N2" s="311">
        <f>'BAU Comparison - All Fuel'!N116</f>
        <v>0</v>
      </c>
      <c r="O2" s="311">
        <f>'BAU Comparison - All Fuel'!O116</f>
        <v>0</v>
      </c>
      <c r="P2" s="311">
        <f>'BAU Comparison - All Fuel'!P116</f>
        <v>0</v>
      </c>
      <c r="Q2" s="311">
        <f>'BAU Comparison - All Fuel'!Q116</f>
        <v>0</v>
      </c>
      <c r="R2" s="311">
        <f>'BAU Comparison - All Fuel'!R116</f>
        <v>0</v>
      </c>
      <c r="S2" s="311">
        <f>'BAU Comparison - All Fuel'!S116</f>
        <v>0</v>
      </c>
      <c r="T2" s="311">
        <f>'BAU Comparison - All Fuel'!T116</f>
        <v>0</v>
      </c>
      <c r="U2" s="311">
        <f>'BAU Comparison - All Fuel'!U116</f>
        <v>0</v>
      </c>
      <c r="V2" s="311">
        <f>'BAU Comparison - All Fuel'!V116</f>
        <v>0</v>
      </c>
      <c r="W2" s="311">
        <f>'BAU Comparison - All Fuel'!W116</f>
        <v>0</v>
      </c>
      <c r="X2" s="311">
        <f>'BAU Comparison - All Fuel'!X116</f>
        <v>0</v>
      </c>
      <c r="Y2" s="311">
        <f>'BAU Comparison - All Fuel'!Y116</f>
        <v>0</v>
      </c>
      <c r="Z2" s="311">
        <f>'BAU Comparison - All Fuel'!Z116</f>
        <v>0</v>
      </c>
      <c r="AA2" s="311">
        <f>'BAU Comparison - All Fuel'!AA116</f>
        <v>0</v>
      </c>
      <c r="AB2" s="311">
        <f>'BAU Comparison - All Fuel'!AB116</f>
        <v>0</v>
      </c>
    </row>
    <row r="3" spans="1:28" s="171" customFormat="1" ht="15" customHeight="1">
      <c r="A3" s="459"/>
      <c r="B3" s="309" t="s">
        <v>19</v>
      </c>
      <c r="C3" s="309" t="s">
        <v>7</v>
      </c>
      <c r="D3" s="311">
        <f>'BAU Comparison - All Fuel'!D117</f>
        <v>0</v>
      </c>
      <c r="E3" s="311">
        <f>'BAU Comparison - All Fuel'!E117</f>
        <v>0</v>
      </c>
      <c r="F3" s="311">
        <f>'BAU Comparison - All Fuel'!F117</f>
        <v>0</v>
      </c>
      <c r="G3" s="311">
        <f>'BAU Comparison - All Fuel'!G117</f>
        <v>0</v>
      </c>
      <c r="H3" s="311">
        <f>'BAU Comparison - All Fuel'!H117</f>
        <v>0</v>
      </c>
      <c r="I3" s="311">
        <f>'BAU Comparison - All Fuel'!I117</f>
        <v>0</v>
      </c>
      <c r="J3" s="311">
        <f>'BAU Comparison - All Fuel'!J117</f>
        <v>0</v>
      </c>
      <c r="K3" s="311">
        <f>'BAU Comparison - All Fuel'!K117</f>
        <v>0</v>
      </c>
      <c r="L3" s="311">
        <f>'BAU Comparison - All Fuel'!L117</f>
        <v>0</v>
      </c>
      <c r="M3" s="311">
        <f>'BAU Comparison - All Fuel'!M117</f>
        <v>0</v>
      </c>
      <c r="N3" s="311">
        <f>'BAU Comparison - All Fuel'!N117</f>
        <v>0</v>
      </c>
      <c r="O3" s="311">
        <f>'BAU Comparison - All Fuel'!O117</f>
        <v>0</v>
      </c>
      <c r="P3" s="311">
        <f>'BAU Comparison - All Fuel'!P117</f>
        <v>0</v>
      </c>
      <c r="Q3" s="311">
        <f>'BAU Comparison - All Fuel'!Q117</f>
        <v>0</v>
      </c>
      <c r="R3" s="311">
        <f>'BAU Comparison - All Fuel'!R117</f>
        <v>0</v>
      </c>
      <c r="S3" s="311">
        <f>'BAU Comparison - All Fuel'!S117</f>
        <v>0</v>
      </c>
      <c r="T3" s="311">
        <f>'BAU Comparison - All Fuel'!T117</f>
        <v>0</v>
      </c>
      <c r="U3" s="311">
        <f>'BAU Comparison - All Fuel'!U117</f>
        <v>0</v>
      </c>
      <c r="V3" s="311">
        <f>'BAU Comparison - All Fuel'!V117</f>
        <v>0</v>
      </c>
      <c r="W3" s="311">
        <f>'BAU Comparison - All Fuel'!W117</f>
        <v>0</v>
      </c>
      <c r="X3" s="311">
        <f>'BAU Comparison - All Fuel'!X117</f>
        <v>0</v>
      </c>
      <c r="Y3" s="311">
        <f>'BAU Comparison - All Fuel'!Y117</f>
        <v>0</v>
      </c>
      <c r="Z3" s="311">
        <f>'BAU Comparison - All Fuel'!Z117</f>
        <v>0</v>
      </c>
      <c r="AA3" s="311">
        <f>'BAU Comparison - All Fuel'!AA117</f>
        <v>0</v>
      </c>
      <c r="AB3" s="311">
        <f>'BAU Comparison - All Fuel'!AB117</f>
        <v>0</v>
      </c>
    </row>
    <row r="4" spans="1:28" ht="15" customHeight="1">
      <c r="A4" s="459"/>
      <c r="B4" s="10" t="s">
        <v>104</v>
      </c>
      <c r="C4" s="10" t="s">
        <v>7</v>
      </c>
      <c r="D4" s="193">
        <f>'BAU Comparison - All Fuel'!D118</f>
        <v>0</v>
      </c>
      <c r="E4" s="193">
        <f>'BAU Comparison - All Fuel'!E118</f>
        <v>0</v>
      </c>
      <c r="F4" s="193">
        <f>'BAU Comparison - All Fuel'!F118</f>
        <v>0</v>
      </c>
      <c r="G4" s="193">
        <f>'BAU Comparison - All Fuel'!G118</f>
        <v>0</v>
      </c>
      <c r="H4" s="193">
        <f>'BAU Comparison - All Fuel'!H118</f>
        <v>0</v>
      </c>
      <c r="I4" s="193">
        <f>'BAU Comparison - All Fuel'!I118</f>
        <v>0</v>
      </c>
      <c r="J4" s="193">
        <f>'BAU Comparison - All Fuel'!J118</f>
        <v>0</v>
      </c>
      <c r="K4" s="193">
        <f>'BAU Comparison - All Fuel'!K118</f>
        <v>0</v>
      </c>
      <c r="L4" s="193">
        <f>'BAU Comparison - All Fuel'!L118</f>
        <v>0</v>
      </c>
      <c r="M4" s="193">
        <f>'BAU Comparison - All Fuel'!M118</f>
        <v>0</v>
      </c>
      <c r="N4" s="193">
        <f>'BAU Comparison - All Fuel'!N118</f>
        <v>0</v>
      </c>
      <c r="O4" s="193">
        <f>'BAU Comparison - All Fuel'!O118</f>
        <v>0</v>
      </c>
      <c r="P4" s="193">
        <f>'BAU Comparison - All Fuel'!P118</f>
        <v>0</v>
      </c>
      <c r="Q4" s="193">
        <f>'BAU Comparison - All Fuel'!Q118</f>
        <v>0</v>
      </c>
      <c r="R4" s="193">
        <f>'BAU Comparison - All Fuel'!R118</f>
        <v>0</v>
      </c>
      <c r="S4" s="193">
        <f>'BAU Comparison - All Fuel'!S118</f>
        <v>0</v>
      </c>
      <c r="T4" s="193">
        <f>'BAU Comparison - All Fuel'!T118</f>
        <v>0</v>
      </c>
      <c r="U4" s="193">
        <f>'BAU Comparison - All Fuel'!U118</f>
        <v>0</v>
      </c>
      <c r="V4" s="193">
        <f>'BAU Comparison - All Fuel'!V118</f>
        <v>0</v>
      </c>
      <c r="W4" s="193">
        <f>'BAU Comparison - All Fuel'!W118</f>
        <v>0</v>
      </c>
      <c r="X4" s="193">
        <f>'BAU Comparison - All Fuel'!X118</f>
        <v>0</v>
      </c>
      <c r="Y4" s="193">
        <f>'BAU Comparison - All Fuel'!Y118</f>
        <v>0</v>
      </c>
      <c r="Z4" s="193">
        <f>'BAU Comparison - All Fuel'!Z118</f>
        <v>0</v>
      </c>
      <c r="AA4" s="193">
        <f>'BAU Comparison - All Fuel'!AA118</f>
        <v>0</v>
      </c>
      <c r="AB4" s="193">
        <f>'BAU Comparison - All Fuel'!AB118</f>
        <v>0</v>
      </c>
    </row>
    <row r="5" spans="1:28" ht="15" customHeight="1">
      <c r="A5" s="459"/>
      <c r="B5" s="10" t="s">
        <v>203</v>
      </c>
      <c r="C5" s="10" t="s">
        <v>22</v>
      </c>
      <c r="D5" s="193">
        <f>'BAU Comparison - All Fuel'!D119</f>
        <v>0</v>
      </c>
      <c r="E5" s="193">
        <f>'BAU Comparison - All Fuel'!E119</f>
        <v>0</v>
      </c>
      <c r="F5" s="193">
        <f>'BAU Comparison - All Fuel'!F119</f>
        <v>0</v>
      </c>
      <c r="G5" s="193">
        <f>'BAU Comparison - All Fuel'!G119</f>
        <v>0</v>
      </c>
      <c r="H5" s="193">
        <f>'BAU Comparison - All Fuel'!H119</f>
        <v>0</v>
      </c>
      <c r="I5" s="193">
        <f>'BAU Comparison - All Fuel'!I119</f>
        <v>0</v>
      </c>
      <c r="J5" s="193">
        <f>'BAU Comparison - All Fuel'!J119</f>
        <v>0</v>
      </c>
      <c r="K5" s="193">
        <f>'BAU Comparison - All Fuel'!K119</f>
        <v>0</v>
      </c>
      <c r="L5" s="193">
        <f>'BAU Comparison - All Fuel'!L119</f>
        <v>0</v>
      </c>
      <c r="M5" s="193">
        <f>'BAU Comparison - All Fuel'!M119</f>
        <v>0</v>
      </c>
      <c r="N5" s="193">
        <f>'BAU Comparison - All Fuel'!N119</f>
        <v>0</v>
      </c>
      <c r="O5" s="193">
        <f>'BAU Comparison - All Fuel'!O119</f>
        <v>0</v>
      </c>
      <c r="P5" s="193">
        <f>'BAU Comparison - All Fuel'!P119</f>
        <v>0</v>
      </c>
      <c r="Q5" s="193">
        <f>'BAU Comparison - All Fuel'!Q119</f>
        <v>0</v>
      </c>
      <c r="R5" s="193">
        <f>'BAU Comparison - All Fuel'!R119</f>
        <v>-10.336950848166589</v>
      </c>
      <c r="S5" s="193">
        <f>'BAU Comparison - All Fuel'!S119</f>
        <v>-36.772132816833263</v>
      </c>
      <c r="T5" s="193">
        <f>'BAU Comparison - All Fuel'!T119</f>
        <v>-63.80610649416662</v>
      </c>
      <c r="U5" s="193">
        <f>'BAU Comparison - All Fuel'!U119</f>
        <v>-83.385007674999997</v>
      </c>
      <c r="V5" s="193">
        <f>'BAU Comparison - All Fuel'!V119</f>
        <v>-89.979236608333338</v>
      </c>
      <c r="W5" s="193">
        <f>'BAU Comparison - All Fuel'!W119</f>
        <v>-96.330386916666654</v>
      </c>
      <c r="X5" s="193">
        <f>'BAU Comparison - All Fuel'!X119</f>
        <v>-102.3610350666667</v>
      </c>
      <c r="Y5" s="193">
        <f>'BAU Comparison - All Fuel'!Y119</f>
        <v>-108.04777675</v>
      </c>
      <c r="Z5" s="193">
        <f>'BAU Comparison - All Fuel'!Z119</f>
        <v>-113.350635025</v>
      </c>
      <c r="AA5" s="193">
        <f>'BAU Comparison - All Fuel'!AA119</f>
        <v>-118.22997807500001</v>
      </c>
      <c r="AB5" s="193">
        <f>'BAU Comparison - All Fuel'!AB119</f>
        <v>-123.36066523333329</v>
      </c>
    </row>
    <row r="6" spans="1:28" ht="15" customHeight="1">
      <c r="A6" s="459"/>
      <c r="B6" s="10" t="s">
        <v>204</v>
      </c>
      <c r="C6" s="10" t="s">
        <v>22</v>
      </c>
      <c r="D6" s="193">
        <f>'BAU Comparison - All Fuel'!D120</f>
        <v>0</v>
      </c>
      <c r="E6" s="193">
        <f>'BAU Comparison - All Fuel'!E120</f>
        <v>0</v>
      </c>
      <c r="F6" s="193">
        <f>'BAU Comparison - All Fuel'!F120</f>
        <v>0</v>
      </c>
      <c r="G6" s="193">
        <f>'BAU Comparison - All Fuel'!G120</f>
        <v>0</v>
      </c>
      <c r="H6" s="193">
        <f>'BAU Comparison - All Fuel'!H120</f>
        <v>0</v>
      </c>
      <c r="I6" s="193">
        <f>'BAU Comparison - All Fuel'!I120</f>
        <v>0</v>
      </c>
      <c r="J6" s="193">
        <f>'BAU Comparison - All Fuel'!J120</f>
        <v>0</v>
      </c>
      <c r="K6" s="193">
        <f>'BAU Comparison - All Fuel'!K120</f>
        <v>0</v>
      </c>
      <c r="L6" s="193">
        <f>'BAU Comparison - All Fuel'!L120</f>
        <v>0</v>
      </c>
      <c r="M6" s="193">
        <f>'BAU Comparison - All Fuel'!M120</f>
        <v>0</v>
      </c>
      <c r="N6" s="193">
        <f>'BAU Comparison - All Fuel'!N120</f>
        <v>0</v>
      </c>
      <c r="O6" s="193">
        <f>'BAU Comparison - All Fuel'!O120</f>
        <v>0</v>
      </c>
      <c r="P6" s="193">
        <f>'BAU Comparison - All Fuel'!P120</f>
        <v>0</v>
      </c>
      <c r="Q6" s="193">
        <f>'BAU Comparison - All Fuel'!Q120</f>
        <v>0</v>
      </c>
      <c r="R6" s="193">
        <f>'BAU Comparison - All Fuel'!R120</f>
        <v>0</v>
      </c>
      <c r="S6" s="193">
        <f>'BAU Comparison - All Fuel'!S120</f>
        <v>0</v>
      </c>
      <c r="T6" s="193">
        <f>'BAU Comparison - All Fuel'!T120</f>
        <v>0</v>
      </c>
      <c r="U6" s="193">
        <f>'BAU Comparison - All Fuel'!U120</f>
        <v>0</v>
      </c>
      <c r="V6" s="193">
        <f>'BAU Comparison - All Fuel'!V120</f>
        <v>75.254672526833346</v>
      </c>
      <c r="W6" s="193">
        <f>'BAU Comparison - All Fuel'!W120</f>
        <v>87.495648467766671</v>
      </c>
      <c r="X6" s="193">
        <f>'BAU Comparison - All Fuel'!X120</f>
        <v>54.098535066666649</v>
      </c>
      <c r="Y6" s="193">
        <f>'BAU Comparison - All Fuel'!Y120</f>
        <v>36.282880931833333</v>
      </c>
      <c r="Z6" s="193">
        <f>'BAU Comparison - All Fuel'!Z120</f>
        <v>36.045780879566671</v>
      </c>
      <c r="AA6" s="193">
        <f>'BAU Comparison - All Fuel'!AA120</f>
        <v>38.661276388026643</v>
      </c>
      <c r="AB6" s="193">
        <f>'BAU Comparison - All Fuel'!AB120</f>
        <v>54.125786943237308</v>
      </c>
    </row>
    <row r="7" spans="1:28" ht="15" customHeight="1">
      <c r="A7" s="459"/>
      <c r="B7" s="10" t="s">
        <v>205</v>
      </c>
      <c r="C7" s="10" t="s">
        <v>22</v>
      </c>
      <c r="D7" s="193">
        <f>'BAU Comparison - All Fuel'!D121</f>
        <v>0</v>
      </c>
      <c r="E7" s="193">
        <f>'BAU Comparison - All Fuel'!E121</f>
        <v>0</v>
      </c>
      <c r="F7" s="193">
        <f>'BAU Comparison - All Fuel'!F121</f>
        <v>0</v>
      </c>
      <c r="G7" s="193">
        <f>'BAU Comparison - All Fuel'!G121</f>
        <v>1.0790818572589769</v>
      </c>
      <c r="H7" s="193">
        <f>'BAU Comparison - All Fuel'!H121</f>
        <v>3.0279345434223788</v>
      </c>
      <c r="I7" s="193">
        <f>'BAU Comparison - All Fuel'!I121</f>
        <v>2.8174842733679202</v>
      </c>
      <c r="J7" s="193">
        <f>'BAU Comparison - All Fuel'!J121</f>
        <v>8.3738728851176791</v>
      </c>
      <c r="K7" s="193">
        <f>'BAU Comparison - All Fuel'!K121</f>
        <v>0</v>
      </c>
      <c r="L7" s="193">
        <f>'BAU Comparison - All Fuel'!L121</f>
        <v>0</v>
      </c>
      <c r="M7" s="193">
        <f>'BAU Comparison - All Fuel'!M121</f>
        <v>0</v>
      </c>
      <c r="N7" s="193">
        <f>'BAU Comparison - All Fuel'!N121</f>
        <v>0</v>
      </c>
      <c r="O7" s="193">
        <f>'BAU Comparison - All Fuel'!O121</f>
        <v>0.86159218809028448</v>
      </c>
      <c r="P7" s="193">
        <f>'BAU Comparison - All Fuel'!P121</f>
        <v>0</v>
      </c>
      <c r="Q7" s="193">
        <f>'BAU Comparison - All Fuel'!Q121</f>
        <v>11.129928003252646</v>
      </c>
      <c r="R7" s="193">
        <f>'BAU Comparison - All Fuel'!R121</f>
        <v>15.484114469900943</v>
      </c>
      <c r="S7" s="193">
        <f>'BAU Comparison - All Fuel'!S121</f>
        <v>34.751353984417229</v>
      </c>
      <c r="T7" s="193">
        <f>'BAU Comparison - All Fuel'!T121</f>
        <v>33.094450334729572</v>
      </c>
      <c r="U7" s="193">
        <f>'BAU Comparison - All Fuel'!U121</f>
        <v>26.510194484182595</v>
      </c>
      <c r="V7" s="193">
        <f>'BAU Comparison - All Fuel'!V121</f>
        <v>0</v>
      </c>
      <c r="W7" s="193">
        <f>'BAU Comparison - All Fuel'!W121</f>
        <v>0</v>
      </c>
      <c r="X7" s="193">
        <f>'BAU Comparison - All Fuel'!X121</f>
        <v>0</v>
      </c>
      <c r="Y7" s="193">
        <f>'BAU Comparison - All Fuel'!Y121</f>
        <v>19.285417136496168</v>
      </c>
      <c r="Z7" s="193">
        <f>'BAU Comparison - All Fuel'!Z121</f>
        <v>26.999583991094646</v>
      </c>
      <c r="AA7" s="193">
        <f>'BAU Comparison - All Fuel'!AA121</f>
        <v>34.180751389149115</v>
      </c>
      <c r="AB7" s="193">
        <f>'BAU Comparison - All Fuel'!AB121</f>
        <v>24.259045285072816</v>
      </c>
    </row>
    <row r="8" spans="1:28" ht="15" customHeight="1">
      <c r="A8" s="459"/>
      <c r="B8" s="10" t="s">
        <v>206</v>
      </c>
      <c r="C8" s="10" t="s">
        <v>22</v>
      </c>
      <c r="D8" s="193">
        <f>'BAU Comparison - All Fuel'!D122</f>
        <v>0</v>
      </c>
      <c r="E8" s="193">
        <f>'BAU Comparison - All Fuel'!E122</f>
        <v>0</v>
      </c>
      <c r="F8" s="193">
        <f>'BAU Comparison - All Fuel'!F122</f>
        <v>0</v>
      </c>
      <c r="G8" s="193">
        <f>'BAU Comparison - All Fuel'!G122</f>
        <v>0</v>
      </c>
      <c r="H8" s="193">
        <f>'BAU Comparison - All Fuel'!H122</f>
        <v>0</v>
      </c>
      <c r="I8" s="193">
        <f>'BAU Comparison - All Fuel'!I122</f>
        <v>0</v>
      </c>
      <c r="J8" s="193">
        <f>'BAU Comparison - All Fuel'!J122</f>
        <v>0</v>
      </c>
      <c r="K8" s="193">
        <f>'BAU Comparison - All Fuel'!K122</f>
        <v>0</v>
      </c>
      <c r="L8" s="193">
        <f>'BAU Comparison - All Fuel'!L122</f>
        <v>0</v>
      </c>
      <c r="M8" s="193">
        <f>'BAU Comparison - All Fuel'!M122</f>
        <v>0</v>
      </c>
      <c r="N8" s="193">
        <f>'BAU Comparison - All Fuel'!N122</f>
        <v>0</v>
      </c>
      <c r="O8" s="193">
        <f>'BAU Comparison - All Fuel'!O122</f>
        <v>0</v>
      </c>
      <c r="P8" s="193">
        <f>'BAU Comparison - All Fuel'!P122</f>
        <v>0</v>
      </c>
      <c r="Q8" s="193">
        <f>'BAU Comparison - All Fuel'!Q122</f>
        <v>0</v>
      </c>
      <c r="R8" s="193">
        <f>'BAU Comparison - All Fuel'!R122</f>
        <v>0</v>
      </c>
      <c r="S8" s="193">
        <f>'BAU Comparison - All Fuel'!S122</f>
        <v>0</v>
      </c>
      <c r="T8" s="193">
        <f>'BAU Comparison - All Fuel'!T122</f>
        <v>0</v>
      </c>
      <c r="U8" s="193">
        <f>'BAU Comparison - All Fuel'!U122</f>
        <v>0</v>
      </c>
      <c r="V8" s="193">
        <f>'BAU Comparison - All Fuel'!V122</f>
        <v>0</v>
      </c>
      <c r="W8" s="193">
        <f>'BAU Comparison - All Fuel'!W122</f>
        <v>0</v>
      </c>
      <c r="X8" s="193">
        <f>'BAU Comparison - All Fuel'!X122</f>
        <v>0</v>
      </c>
      <c r="Y8" s="193">
        <f>'BAU Comparison - All Fuel'!Y122</f>
        <v>0</v>
      </c>
      <c r="Z8" s="193">
        <f>'BAU Comparison - All Fuel'!Z122</f>
        <v>0</v>
      </c>
      <c r="AA8" s="193">
        <f>'BAU Comparison - All Fuel'!AA122</f>
        <v>0</v>
      </c>
      <c r="AB8" s="193">
        <f>'BAU Comparison - All Fuel'!AB122</f>
        <v>0</v>
      </c>
    </row>
    <row r="9" spans="1:28" s="171" customFormat="1" ht="15" customHeight="1">
      <c r="A9" s="459"/>
      <c r="B9" s="309" t="s">
        <v>207</v>
      </c>
      <c r="C9" s="309" t="s">
        <v>22</v>
      </c>
      <c r="D9" s="311">
        <f>'BAU Comparison - All Fuel'!D123</f>
        <v>0</v>
      </c>
      <c r="E9" s="311">
        <f>'BAU Comparison - All Fuel'!E123</f>
        <v>0</v>
      </c>
      <c r="F9" s="311">
        <f>'BAU Comparison - All Fuel'!F123</f>
        <v>0</v>
      </c>
      <c r="G9" s="311">
        <f>'BAU Comparison - All Fuel'!G123</f>
        <v>0</v>
      </c>
      <c r="H9" s="311">
        <f>'BAU Comparison - All Fuel'!H123</f>
        <v>0</v>
      </c>
      <c r="I9" s="311">
        <f>'BAU Comparison - All Fuel'!I123</f>
        <v>0</v>
      </c>
      <c r="J9" s="311">
        <f>'BAU Comparison - All Fuel'!J123</f>
        <v>0</v>
      </c>
      <c r="K9" s="311">
        <f>'BAU Comparison - All Fuel'!K123</f>
        <v>0</v>
      </c>
      <c r="L9" s="311">
        <f>'BAU Comparison - All Fuel'!L123</f>
        <v>0</v>
      </c>
      <c r="M9" s="311">
        <f>'BAU Comparison - All Fuel'!M123</f>
        <v>0</v>
      </c>
      <c r="N9" s="311">
        <f>'BAU Comparison - All Fuel'!N123</f>
        <v>0</v>
      </c>
      <c r="O9" s="311">
        <f>'BAU Comparison - All Fuel'!O123</f>
        <v>0</v>
      </c>
      <c r="P9" s="311">
        <f>'BAU Comparison - All Fuel'!P123</f>
        <v>0</v>
      </c>
      <c r="Q9" s="311">
        <f>'BAU Comparison - All Fuel'!Q123</f>
        <v>0</v>
      </c>
      <c r="R9" s="311">
        <f>'BAU Comparison - All Fuel'!R123</f>
        <v>0</v>
      </c>
      <c r="S9" s="311">
        <f>'BAU Comparison - All Fuel'!S123</f>
        <v>0</v>
      </c>
      <c r="T9" s="311">
        <f>'BAU Comparison - All Fuel'!T123</f>
        <v>0</v>
      </c>
      <c r="U9" s="311">
        <f>'BAU Comparison - All Fuel'!U123</f>
        <v>0</v>
      </c>
      <c r="V9" s="311">
        <f>'BAU Comparison - All Fuel'!V123</f>
        <v>0</v>
      </c>
      <c r="W9" s="311">
        <f>'BAU Comparison - All Fuel'!W123</f>
        <v>0</v>
      </c>
      <c r="X9" s="311">
        <f>'BAU Comparison - All Fuel'!X123</f>
        <v>0</v>
      </c>
      <c r="Y9" s="311">
        <f>'BAU Comparison - All Fuel'!Y123</f>
        <v>0</v>
      </c>
      <c r="Z9" s="311">
        <f>'BAU Comparison - All Fuel'!Z123</f>
        <v>0</v>
      </c>
      <c r="AA9" s="311">
        <f>'BAU Comparison - All Fuel'!AA123</f>
        <v>0</v>
      </c>
      <c r="AB9" s="311">
        <f>'BAU Comparison - All Fuel'!AB123</f>
        <v>0</v>
      </c>
    </row>
    <row r="10" spans="1:28" s="171" customFormat="1" ht="15" customHeight="1">
      <c r="A10" s="459"/>
      <c r="B10" s="309" t="s">
        <v>118</v>
      </c>
      <c r="C10" s="309" t="s">
        <v>103</v>
      </c>
      <c r="D10" s="311">
        <f>'BAU Comparison - All Fuel'!D124</f>
        <v>0</v>
      </c>
      <c r="E10" s="311">
        <f>'BAU Comparison - All Fuel'!E124</f>
        <v>0</v>
      </c>
      <c r="F10" s="311">
        <f>'BAU Comparison - All Fuel'!F124</f>
        <v>0</v>
      </c>
      <c r="G10" s="311">
        <f>'BAU Comparison - All Fuel'!G124</f>
        <v>0</v>
      </c>
      <c r="H10" s="311">
        <f>'BAU Comparison - All Fuel'!H124</f>
        <v>0</v>
      </c>
      <c r="I10" s="311">
        <f>'BAU Comparison - All Fuel'!I124</f>
        <v>0</v>
      </c>
      <c r="J10" s="311">
        <f>'BAU Comparison - All Fuel'!J124</f>
        <v>0</v>
      </c>
      <c r="K10" s="311">
        <f>'BAU Comparison - All Fuel'!K124</f>
        <v>0</v>
      </c>
      <c r="L10" s="311">
        <f>'BAU Comparison - All Fuel'!L124</f>
        <v>0</v>
      </c>
      <c r="M10" s="311">
        <f>'BAU Comparison - All Fuel'!M124</f>
        <v>0</v>
      </c>
      <c r="N10" s="311">
        <f>'BAU Comparison - All Fuel'!N124</f>
        <v>0</v>
      </c>
      <c r="O10" s="311">
        <f>'BAU Comparison - All Fuel'!O124</f>
        <v>0</v>
      </c>
      <c r="P10" s="311">
        <f>'BAU Comparison - All Fuel'!P124</f>
        <v>0</v>
      </c>
      <c r="Q10" s="311">
        <f>'BAU Comparison - All Fuel'!Q124</f>
        <v>0</v>
      </c>
      <c r="R10" s="311">
        <f>'BAU Comparison - All Fuel'!R124</f>
        <v>0</v>
      </c>
      <c r="S10" s="311">
        <f>'BAU Comparison - All Fuel'!S124</f>
        <v>0</v>
      </c>
      <c r="T10" s="311">
        <f>'BAU Comparison - All Fuel'!T124</f>
        <v>0</v>
      </c>
      <c r="U10" s="311">
        <f>'BAU Comparison - All Fuel'!U124</f>
        <v>0</v>
      </c>
      <c r="V10" s="311">
        <f>'BAU Comparison - All Fuel'!V124</f>
        <v>0</v>
      </c>
      <c r="W10" s="311">
        <f>'BAU Comparison - All Fuel'!W124</f>
        <v>0</v>
      </c>
      <c r="X10" s="311">
        <f>'BAU Comparison - All Fuel'!X124</f>
        <v>0</v>
      </c>
      <c r="Y10" s="311">
        <f>'BAU Comparison - All Fuel'!Y124</f>
        <v>0</v>
      </c>
      <c r="Z10" s="311">
        <f>'BAU Comparison - All Fuel'!Z124</f>
        <v>0</v>
      </c>
      <c r="AA10" s="311">
        <f>'BAU Comparison - All Fuel'!AA124</f>
        <v>0</v>
      </c>
      <c r="AB10" s="311">
        <f>'BAU Comparison - All Fuel'!AB124</f>
        <v>0</v>
      </c>
    </row>
    <row r="11" spans="1:28" ht="15" customHeight="1">
      <c r="A11" s="459"/>
      <c r="B11" s="10" t="s">
        <v>208</v>
      </c>
      <c r="C11" s="10" t="s">
        <v>103</v>
      </c>
      <c r="D11" s="193">
        <f>'BAU Comparison - All Fuel'!D125</f>
        <v>0</v>
      </c>
      <c r="E11" s="193">
        <f>'BAU Comparison - All Fuel'!E125</f>
        <v>0</v>
      </c>
      <c r="F11" s="193">
        <f>'BAU Comparison - All Fuel'!F125</f>
        <v>0</v>
      </c>
      <c r="G11" s="193">
        <f>'BAU Comparison - All Fuel'!G125</f>
        <v>1086.4634596744013</v>
      </c>
      <c r="H11" s="193">
        <f>'BAU Comparison - All Fuel'!H125</f>
        <v>692.32560714078852</v>
      </c>
      <c r="I11" s="193">
        <f>'BAU Comparison - All Fuel'!I125</f>
        <v>218.35390037493821</v>
      </c>
      <c r="J11" s="193">
        <f>'BAU Comparison - All Fuel'!J125</f>
        <v>245.42361470975956</v>
      </c>
      <c r="K11" s="193">
        <f>'BAU Comparison - All Fuel'!K125</f>
        <v>0</v>
      </c>
      <c r="L11" s="193">
        <f>'BAU Comparison - All Fuel'!L125</f>
        <v>0</v>
      </c>
      <c r="M11" s="193">
        <f>'BAU Comparison - All Fuel'!M125</f>
        <v>0</v>
      </c>
      <c r="N11" s="193">
        <f>'BAU Comparison - All Fuel'!N125</f>
        <v>0</v>
      </c>
      <c r="O11" s="193">
        <f>'BAU Comparison - All Fuel'!O125</f>
        <v>0</v>
      </c>
      <c r="P11" s="193">
        <f>'BAU Comparison - All Fuel'!P125</f>
        <v>0</v>
      </c>
      <c r="Q11" s="193">
        <f>'BAU Comparison - All Fuel'!Q125</f>
        <v>0</v>
      </c>
      <c r="R11" s="193">
        <f>'BAU Comparison - All Fuel'!R125</f>
        <v>0</v>
      </c>
      <c r="S11" s="193">
        <f>'BAU Comparison - All Fuel'!S125</f>
        <v>0</v>
      </c>
      <c r="T11" s="193">
        <f>'BAU Comparison - All Fuel'!T125</f>
        <v>0</v>
      </c>
      <c r="U11" s="193">
        <f>'BAU Comparison - All Fuel'!U125</f>
        <v>279.71878805158752</v>
      </c>
      <c r="V11" s="193">
        <f>'BAU Comparison - All Fuel'!V125</f>
        <v>167.73263378422104</v>
      </c>
      <c r="W11" s="193">
        <f>'BAU Comparison - All Fuel'!W125</f>
        <v>339.77135264510952</v>
      </c>
      <c r="X11" s="193">
        <f>'BAU Comparison - All Fuel'!X125</f>
        <v>478.07655899426732</v>
      </c>
      <c r="Y11" s="193">
        <f>'BAU Comparison - All Fuel'!Y125</f>
        <v>681.59980649132126</v>
      </c>
      <c r="Z11" s="193">
        <f>'BAU Comparison - All Fuel'!Z125</f>
        <v>408.9598838947926</v>
      </c>
      <c r="AA11" s="193">
        <f>'BAU Comparison - All Fuel'!AA125</f>
        <v>270.78075463779891</v>
      </c>
      <c r="AB11" s="193">
        <f>'BAU Comparison - All Fuel'!AB125</f>
        <v>162.46845278267929</v>
      </c>
    </row>
    <row r="12" spans="1:28" s="275" customFormat="1" ht="15" customHeight="1">
      <c r="A12" s="459"/>
      <c r="B12" s="299" t="s">
        <v>9</v>
      </c>
      <c r="C12" s="299" t="s">
        <v>7</v>
      </c>
      <c r="D12" s="306">
        <f>'BAU Comparison - All Fuel'!D126</f>
        <v>0</v>
      </c>
      <c r="E12" s="306">
        <f>'BAU Comparison - All Fuel'!E126</f>
        <v>0</v>
      </c>
      <c r="F12" s="306">
        <f>'BAU Comparison - All Fuel'!F126</f>
        <v>0</v>
      </c>
      <c r="G12" s="306">
        <f>'BAU Comparison - All Fuel'!G126</f>
        <v>0</v>
      </c>
      <c r="H12" s="306">
        <f>'BAU Comparison - All Fuel'!H126</f>
        <v>0</v>
      </c>
      <c r="I12" s="306">
        <f>'BAU Comparison - All Fuel'!I126</f>
        <v>0</v>
      </c>
      <c r="J12" s="306">
        <f>'BAU Comparison - All Fuel'!J126</f>
        <v>0</v>
      </c>
      <c r="K12" s="306">
        <f>'BAU Comparison - All Fuel'!K126</f>
        <v>0</v>
      </c>
      <c r="L12" s="306">
        <f>'BAU Comparison - All Fuel'!L126</f>
        <v>0</v>
      </c>
      <c r="M12" s="306">
        <f>'BAU Comparison - All Fuel'!M126</f>
        <v>0</v>
      </c>
      <c r="N12" s="306">
        <f>'BAU Comparison - All Fuel'!N126</f>
        <v>0</v>
      </c>
      <c r="O12" s="306">
        <f>'BAU Comparison - All Fuel'!O126</f>
        <v>0</v>
      </c>
      <c r="P12" s="306">
        <f>'BAU Comparison - All Fuel'!P126</f>
        <v>0</v>
      </c>
      <c r="Q12" s="306">
        <f>'BAU Comparison - All Fuel'!Q126</f>
        <v>0</v>
      </c>
      <c r="R12" s="306">
        <f>'BAU Comparison - All Fuel'!R126</f>
        <v>0</v>
      </c>
      <c r="S12" s="306">
        <f>'BAU Comparison - All Fuel'!S126</f>
        <v>0</v>
      </c>
      <c r="T12" s="306">
        <f>'BAU Comparison - All Fuel'!T126</f>
        <v>0</v>
      </c>
      <c r="U12" s="306">
        <f>'BAU Comparison - All Fuel'!U126</f>
        <v>0</v>
      </c>
      <c r="V12" s="306">
        <f>'BAU Comparison - All Fuel'!V126</f>
        <v>0</v>
      </c>
      <c r="W12" s="306">
        <f>'BAU Comparison - All Fuel'!W126</f>
        <v>0</v>
      </c>
      <c r="X12" s="306">
        <f>'BAU Comparison - All Fuel'!X126</f>
        <v>0</v>
      </c>
      <c r="Y12" s="306">
        <f>'BAU Comparison - All Fuel'!Y126</f>
        <v>0</v>
      </c>
      <c r="Z12" s="306">
        <f>'BAU Comparison - All Fuel'!Z126</f>
        <v>0</v>
      </c>
      <c r="AA12" s="306">
        <f>'BAU Comparison - All Fuel'!AA126</f>
        <v>0</v>
      </c>
      <c r="AB12" s="306">
        <f>'BAU Comparison - All Fuel'!AB126</f>
        <v>0</v>
      </c>
    </row>
    <row r="13" spans="1:28" ht="15" customHeight="1">
      <c r="A13" s="459"/>
      <c r="B13" s="10" t="s">
        <v>34</v>
      </c>
      <c r="C13" s="10" t="s">
        <v>7</v>
      </c>
      <c r="D13" s="193">
        <f>'BAU Comparison - All Fuel'!D127</f>
        <v>0</v>
      </c>
      <c r="E13" s="193">
        <f>'BAU Comparison - All Fuel'!E127</f>
        <v>0</v>
      </c>
      <c r="F13" s="193">
        <f>'BAU Comparison - All Fuel'!F127</f>
        <v>0</v>
      </c>
      <c r="G13" s="193">
        <f>'BAU Comparison - All Fuel'!G127</f>
        <v>0</v>
      </c>
      <c r="H13" s="193">
        <f>'BAU Comparison - All Fuel'!H127</f>
        <v>14.808431980360096</v>
      </c>
      <c r="I13" s="193">
        <f>'BAU Comparison - All Fuel'!I127</f>
        <v>126.64566992155609</v>
      </c>
      <c r="J13" s="193">
        <f>'BAU Comparison - All Fuel'!J127</f>
        <v>190.61456820703071</v>
      </c>
      <c r="K13" s="193">
        <f>'BAU Comparison - All Fuel'!K127</f>
        <v>227.53198146415332</v>
      </c>
      <c r="L13" s="193">
        <f>'BAU Comparison - All Fuel'!L127</f>
        <v>247.76594184292352</v>
      </c>
      <c r="M13" s="193">
        <f>'BAU Comparison - All Fuel'!M127</f>
        <v>258.00866079387208</v>
      </c>
      <c r="N13" s="193">
        <f>'BAU Comparison - All Fuel'!N127</f>
        <v>262.26194633818943</v>
      </c>
      <c r="O13" s="193">
        <f>'BAU Comparison - All Fuel'!O127</f>
        <v>262.91571371781589</v>
      </c>
      <c r="P13" s="193">
        <f>'BAU Comparison - All Fuel'!P127</f>
        <v>265.84643567557657</v>
      </c>
      <c r="Q13" s="193">
        <f>'BAU Comparison - All Fuel'!Q127</f>
        <v>261.19602227672107</v>
      </c>
      <c r="R13" s="193">
        <f>'BAU Comparison - All Fuel'!R127</f>
        <v>256.47009773279228</v>
      </c>
      <c r="S13" s="193">
        <f>'BAU Comparison - All Fuel'!S127</f>
        <v>251.67549142707747</v>
      </c>
      <c r="T13" s="193">
        <f>'BAU Comparison - All Fuel'!T127</f>
        <v>246.81927833777263</v>
      </c>
      <c r="U13" s="193">
        <f>'BAU Comparison - All Fuel'!U127</f>
        <v>245.42210954561622</v>
      </c>
      <c r="V13" s="193">
        <f>'BAU Comparison - All Fuel'!V127</f>
        <v>243.70776524676455</v>
      </c>
      <c r="W13" s="193">
        <f>'BAU Comparison - All Fuel'!W127</f>
        <v>240.04261690518993</v>
      </c>
      <c r="X13" s="193">
        <f>'BAU Comparison - All Fuel'!X127</f>
        <v>234.78475161327844</v>
      </c>
      <c r="Y13" s="193">
        <f>'BAU Comparison - All Fuel'!Y127</f>
        <v>231.42567540404949</v>
      </c>
      <c r="Z13" s="193">
        <f>'BAU Comparison - All Fuel'!Z127</f>
        <v>227.57767006657838</v>
      </c>
      <c r="AA13" s="193">
        <f>'BAU Comparison - All Fuel'!AA127</f>
        <v>223.66143168153718</v>
      </c>
      <c r="AB13" s="193">
        <f>'BAU Comparison - All Fuel'!AB127</f>
        <v>218.45112176447967</v>
      </c>
    </row>
    <row r="14" spans="1:28" s="171" customFormat="1" ht="15" customHeight="1">
      <c r="A14" s="459"/>
      <c r="B14" s="309" t="s">
        <v>33</v>
      </c>
      <c r="C14" s="309" t="s">
        <v>13</v>
      </c>
      <c r="D14" s="311">
        <f>'BAU Comparison - All Fuel'!D128</f>
        <v>0</v>
      </c>
      <c r="E14" s="311">
        <f>'BAU Comparison - All Fuel'!E128</f>
        <v>0</v>
      </c>
      <c r="F14" s="311">
        <f>'BAU Comparison - All Fuel'!F128</f>
        <v>0</v>
      </c>
      <c r="G14" s="311">
        <f>'BAU Comparison - All Fuel'!G128</f>
        <v>0</v>
      </c>
      <c r="H14" s="311">
        <f>'BAU Comparison - All Fuel'!H128</f>
        <v>0</v>
      </c>
      <c r="I14" s="311">
        <f>'BAU Comparison - All Fuel'!I128</f>
        <v>0</v>
      </c>
      <c r="J14" s="311">
        <f>'BAU Comparison - All Fuel'!J128</f>
        <v>0</v>
      </c>
      <c r="K14" s="311">
        <f>'BAU Comparison - All Fuel'!K128</f>
        <v>0</v>
      </c>
      <c r="L14" s="311">
        <f>'BAU Comparison - All Fuel'!L128</f>
        <v>0</v>
      </c>
      <c r="M14" s="311">
        <f>'BAU Comparison - All Fuel'!M128</f>
        <v>0</v>
      </c>
      <c r="N14" s="311">
        <f>'BAU Comparison - All Fuel'!N128</f>
        <v>0</v>
      </c>
      <c r="O14" s="311">
        <f>'BAU Comparison - All Fuel'!O128</f>
        <v>0</v>
      </c>
      <c r="P14" s="311">
        <f>'BAU Comparison - All Fuel'!P128</f>
        <v>0</v>
      </c>
      <c r="Q14" s="311">
        <f>'BAU Comparison - All Fuel'!Q128</f>
        <v>0</v>
      </c>
      <c r="R14" s="311">
        <f>'BAU Comparison - All Fuel'!R128</f>
        <v>0</v>
      </c>
      <c r="S14" s="311">
        <f>'BAU Comparison - All Fuel'!S128</f>
        <v>0</v>
      </c>
      <c r="T14" s="311">
        <f>'BAU Comparison - All Fuel'!T128</f>
        <v>0</v>
      </c>
      <c r="U14" s="311">
        <f>'BAU Comparison - All Fuel'!U128</f>
        <v>0</v>
      </c>
      <c r="V14" s="311">
        <f>'BAU Comparison - All Fuel'!V128</f>
        <v>0</v>
      </c>
      <c r="W14" s="311">
        <f>'BAU Comparison - All Fuel'!W128</f>
        <v>0</v>
      </c>
      <c r="X14" s="311">
        <f>'BAU Comparison - All Fuel'!X128</f>
        <v>0</v>
      </c>
      <c r="Y14" s="311">
        <f>'BAU Comparison - All Fuel'!Y128</f>
        <v>0</v>
      </c>
      <c r="Z14" s="311">
        <f>'BAU Comparison - All Fuel'!Z128</f>
        <v>0</v>
      </c>
      <c r="AA14" s="311">
        <f>'BAU Comparison - All Fuel'!AA128</f>
        <v>0</v>
      </c>
      <c r="AB14" s="311">
        <f>'BAU Comparison - All Fuel'!AB128</f>
        <v>0</v>
      </c>
    </row>
    <row r="15" spans="1:28" ht="15" customHeight="1">
      <c r="A15" s="459"/>
      <c r="B15" s="10" t="s">
        <v>209</v>
      </c>
      <c r="C15" s="10" t="s">
        <v>22</v>
      </c>
      <c r="D15" s="193">
        <f>'BAU Comparison - All Fuel'!D129</f>
        <v>0</v>
      </c>
      <c r="E15" s="193">
        <f>'BAU Comparison - All Fuel'!E129</f>
        <v>0</v>
      </c>
      <c r="F15" s="193">
        <f>'BAU Comparison - All Fuel'!F129</f>
        <v>0</v>
      </c>
      <c r="G15" s="193">
        <f>'BAU Comparison - All Fuel'!G129</f>
        <v>0</v>
      </c>
      <c r="H15" s="193">
        <f>'BAU Comparison - All Fuel'!H129</f>
        <v>0</v>
      </c>
      <c r="I15" s="193">
        <f>'BAU Comparison - All Fuel'!I129</f>
        <v>0</v>
      </c>
      <c r="J15" s="193">
        <f>'BAU Comparison - All Fuel'!J129</f>
        <v>0</v>
      </c>
      <c r="K15" s="193">
        <f>'BAU Comparison - All Fuel'!K129</f>
        <v>0</v>
      </c>
      <c r="L15" s="193">
        <f>'BAU Comparison - All Fuel'!L129</f>
        <v>0</v>
      </c>
      <c r="M15" s="193">
        <f>'BAU Comparison - All Fuel'!M129</f>
        <v>0</v>
      </c>
      <c r="N15" s="193">
        <f>'BAU Comparison - All Fuel'!N129</f>
        <v>0</v>
      </c>
      <c r="O15" s="193">
        <f>'BAU Comparison - All Fuel'!O129</f>
        <v>0</v>
      </c>
      <c r="P15" s="193">
        <f>'BAU Comparison - All Fuel'!P129</f>
        <v>0</v>
      </c>
      <c r="Q15" s="193">
        <f>'BAU Comparison - All Fuel'!Q129</f>
        <v>0</v>
      </c>
      <c r="R15" s="193">
        <f>'BAU Comparison - All Fuel'!R129</f>
        <v>0</v>
      </c>
      <c r="S15" s="193">
        <f>'BAU Comparison - All Fuel'!S129</f>
        <v>0</v>
      </c>
      <c r="T15" s="193">
        <f>'BAU Comparison - All Fuel'!T129</f>
        <v>0</v>
      </c>
      <c r="U15" s="193">
        <f>'BAU Comparison - All Fuel'!U129</f>
        <v>-8.0123047741666138</v>
      </c>
      <c r="V15" s="193">
        <f>'BAU Comparison - All Fuel'!V129</f>
        <v>-25.39598266716661</v>
      </c>
      <c r="W15" s="193">
        <f>'BAU Comparison - All Fuel'!W129</f>
        <v>-44.702786013166637</v>
      </c>
      <c r="X15" s="193">
        <f>'BAU Comparison - All Fuel'!X129</f>
        <v>-67.842351482333285</v>
      </c>
      <c r="Y15" s="193">
        <f>'BAU Comparison - All Fuel'!Y129</f>
        <v>-77.558381250666642</v>
      </c>
      <c r="Z15" s="193">
        <f>'BAU Comparison - All Fuel'!Z129</f>
        <v>-88.236226162166602</v>
      </c>
      <c r="AA15" s="193">
        <f>'BAU Comparison - All Fuel'!AA129</f>
        <v>-99.297376775499927</v>
      </c>
      <c r="AB15" s="193">
        <f>'BAU Comparison - All Fuel'!AB129</f>
        <v>-115.92991817399989</v>
      </c>
    </row>
    <row r="16" spans="1:28" ht="15" customHeight="1">
      <c r="A16" s="459"/>
      <c r="B16" s="10" t="s">
        <v>210</v>
      </c>
      <c r="C16" s="10" t="s">
        <v>22</v>
      </c>
      <c r="D16" s="193">
        <f>'BAU Comparison - All Fuel'!D130</f>
        <v>0</v>
      </c>
      <c r="E16" s="193">
        <f>'BAU Comparison - All Fuel'!E130</f>
        <v>0</v>
      </c>
      <c r="F16" s="193">
        <f>'BAU Comparison - All Fuel'!F130</f>
        <v>0</v>
      </c>
      <c r="G16" s="193">
        <f>'BAU Comparison - All Fuel'!G130</f>
        <v>0</v>
      </c>
      <c r="H16" s="193">
        <f>'BAU Comparison - All Fuel'!H130</f>
        <v>0</v>
      </c>
      <c r="I16" s="193">
        <f>'BAU Comparison - All Fuel'!I130</f>
        <v>0</v>
      </c>
      <c r="J16" s="193">
        <f>'BAU Comparison - All Fuel'!J130</f>
        <v>0</v>
      </c>
      <c r="K16" s="193">
        <f>'BAU Comparison - All Fuel'!K130</f>
        <v>0</v>
      </c>
      <c r="L16" s="193">
        <f>'BAU Comparison - All Fuel'!L130</f>
        <v>5.3290705182007514E-15</v>
      </c>
      <c r="M16" s="193">
        <f>'BAU Comparison - All Fuel'!M130</f>
        <v>0</v>
      </c>
      <c r="N16" s="193">
        <f>'BAU Comparison - All Fuel'!N130</f>
        <v>0</v>
      </c>
      <c r="O16" s="193">
        <f>'BAU Comparison - All Fuel'!O130</f>
        <v>0</v>
      </c>
      <c r="P16" s="193">
        <f>'BAU Comparison - All Fuel'!P130</f>
        <v>0</v>
      </c>
      <c r="Q16" s="193">
        <f>'BAU Comparison - All Fuel'!Q130</f>
        <v>0</v>
      </c>
      <c r="R16" s="193">
        <f>'BAU Comparison - All Fuel'!R130</f>
        <v>0</v>
      </c>
      <c r="S16" s="193">
        <f>'BAU Comparison - All Fuel'!S130</f>
        <v>0</v>
      </c>
      <c r="T16" s="193">
        <f>'BAU Comparison - All Fuel'!T130</f>
        <v>0</v>
      </c>
      <c r="U16" s="193">
        <f>'BAU Comparison - All Fuel'!U130</f>
        <v>0</v>
      </c>
      <c r="V16" s="193">
        <f>'BAU Comparison - All Fuel'!V130</f>
        <v>51.672747484999952</v>
      </c>
      <c r="W16" s="193">
        <f>'BAU Comparison - All Fuel'!W130</f>
        <v>72.341846478999912</v>
      </c>
      <c r="X16" s="193">
        <f>'BAU Comparison - All Fuel'!X130</f>
        <v>48.65146364026657</v>
      </c>
      <c r="Y16" s="193">
        <f>'BAU Comparison - All Fuel'!Y130</f>
        <v>42.216709529666602</v>
      </c>
      <c r="Z16" s="193">
        <f>'BAU Comparison - All Fuel'!Z130</f>
        <v>58.434512768433308</v>
      </c>
      <c r="AA16" s="193">
        <f>'BAU Comparison - All Fuel'!AA130</f>
        <v>81.808317875806637</v>
      </c>
      <c r="AB16" s="193">
        <f>'BAU Comparison - All Fuel'!AB130</f>
        <v>88.107035877429354</v>
      </c>
    </row>
    <row r="17" spans="1:29" ht="15" customHeight="1">
      <c r="A17" s="459"/>
      <c r="B17" s="10" t="s">
        <v>211</v>
      </c>
      <c r="C17" s="10" t="s">
        <v>22</v>
      </c>
      <c r="D17" s="193">
        <f>'BAU Comparison - All Fuel'!D131</f>
        <v>0</v>
      </c>
      <c r="E17" s="193">
        <f>'BAU Comparison - All Fuel'!E131</f>
        <v>0</v>
      </c>
      <c r="F17" s="193">
        <f>'BAU Comparison - All Fuel'!F131</f>
        <v>0</v>
      </c>
      <c r="G17" s="193">
        <f>'BAU Comparison - All Fuel'!G131</f>
        <v>1.5001859154999106</v>
      </c>
      <c r="H17" s="193">
        <f>'BAU Comparison - All Fuel'!H131</f>
        <v>4.0451253489217844</v>
      </c>
      <c r="I17" s="193">
        <f>'BAU Comparison - All Fuel'!I131</f>
        <v>4.3890291991255426</v>
      </c>
      <c r="J17" s="193">
        <f>'BAU Comparison - All Fuel'!J131</f>
        <v>15.890938108585656</v>
      </c>
      <c r="K17" s="193">
        <f>'BAU Comparison - All Fuel'!K131</f>
        <v>6.3626486110330953</v>
      </c>
      <c r="L17" s="193">
        <f>'BAU Comparison - All Fuel'!L131</f>
        <v>0</v>
      </c>
      <c r="M17" s="193">
        <f>'BAU Comparison - All Fuel'!M131</f>
        <v>0</v>
      </c>
      <c r="N17" s="193">
        <f>'BAU Comparison - All Fuel'!N131</f>
        <v>0</v>
      </c>
      <c r="O17" s="193">
        <f>'BAU Comparison - All Fuel'!O131</f>
        <v>0</v>
      </c>
      <c r="P17" s="193">
        <f>'BAU Comparison - All Fuel'!P131</f>
        <v>12.374022573302526</v>
      </c>
      <c r="Q17" s="193">
        <f>'BAU Comparison - All Fuel'!Q131</f>
        <v>9.0644761734140342</v>
      </c>
      <c r="R17" s="193">
        <f>'BAU Comparison - All Fuel'!R131</f>
        <v>4.7102897067657281</v>
      </c>
      <c r="S17" s="193">
        <f>'BAU Comparison - All Fuel'!S131</f>
        <v>13.501869403082804</v>
      </c>
      <c r="T17" s="193">
        <f>'BAU Comparison - All Fuel'!T131</f>
        <v>15.158773052770435</v>
      </c>
      <c r="U17" s="193">
        <f>'BAU Comparison - All Fuel'!U131</f>
        <v>21.743028903317409</v>
      </c>
      <c r="V17" s="193">
        <f>'BAU Comparison - All Fuel'!V131</f>
        <v>48.253223387499986</v>
      </c>
      <c r="W17" s="193">
        <f>'BAU Comparison - All Fuel'!W131</f>
        <v>48.253223387499986</v>
      </c>
      <c r="X17" s="193">
        <f>'BAU Comparison - All Fuel'!X131</f>
        <v>48.253223387500014</v>
      </c>
      <c r="Y17" s="193">
        <f>'BAU Comparison - All Fuel'!Y131</f>
        <v>28.967806251003832</v>
      </c>
      <c r="Z17" s="193">
        <f>'BAU Comparison - All Fuel'!Z131</f>
        <v>21.253639396405354</v>
      </c>
      <c r="AA17" s="193">
        <f>'BAU Comparison - All Fuel'!AA131</f>
        <v>14.072471998350881</v>
      </c>
      <c r="AB17" s="193">
        <f>'BAU Comparison - All Fuel'!AB131</f>
        <v>23.994178102427192</v>
      </c>
    </row>
    <row r="18" spans="1:29" ht="13.9" customHeight="1">
      <c r="A18" s="459"/>
      <c r="B18" s="10" t="s">
        <v>212</v>
      </c>
      <c r="C18" s="10" t="s">
        <v>22</v>
      </c>
      <c r="D18" s="193">
        <f>'BAU Comparison - All Fuel'!D132</f>
        <v>0</v>
      </c>
      <c r="E18" s="193">
        <f>'BAU Comparison - All Fuel'!E132</f>
        <v>0</v>
      </c>
      <c r="F18" s="193">
        <f>'BAU Comparison - All Fuel'!F132</f>
        <v>0</v>
      </c>
      <c r="G18" s="193">
        <f>'BAU Comparison - All Fuel'!G132</f>
        <v>0</v>
      </c>
      <c r="H18" s="193">
        <f>'BAU Comparison - All Fuel'!H132</f>
        <v>0</v>
      </c>
      <c r="I18" s="193">
        <f>'BAU Comparison - All Fuel'!I132</f>
        <v>0</v>
      </c>
      <c r="J18" s="193">
        <f>'BAU Comparison - All Fuel'!J132</f>
        <v>0</v>
      </c>
      <c r="K18" s="193">
        <f>'BAU Comparison - All Fuel'!K132</f>
        <v>0</v>
      </c>
      <c r="L18" s="193">
        <f>'BAU Comparison - All Fuel'!L132</f>
        <v>0</v>
      </c>
      <c r="M18" s="193">
        <f>'BAU Comparison - All Fuel'!M132</f>
        <v>0</v>
      </c>
      <c r="N18" s="193">
        <f>'BAU Comparison - All Fuel'!N132</f>
        <v>0</v>
      </c>
      <c r="O18" s="193">
        <f>'BAU Comparison - All Fuel'!O132</f>
        <v>0</v>
      </c>
      <c r="P18" s="193">
        <f>'BAU Comparison - All Fuel'!P132</f>
        <v>0</v>
      </c>
      <c r="Q18" s="193">
        <f>'BAU Comparison - All Fuel'!Q132</f>
        <v>0</v>
      </c>
      <c r="R18" s="193">
        <f>'BAU Comparison - All Fuel'!R132</f>
        <v>0</v>
      </c>
      <c r="S18" s="193">
        <f>'BAU Comparison - All Fuel'!S132</f>
        <v>0</v>
      </c>
      <c r="T18" s="193">
        <f>'BAU Comparison - All Fuel'!T132</f>
        <v>0</v>
      </c>
      <c r="U18" s="193">
        <f>'BAU Comparison - All Fuel'!U132</f>
        <v>0</v>
      </c>
      <c r="V18" s="193">
        <f>'BAU Comparison - All Fuel'!V132</f>
        <v>0</v>
      </c>
      <c r="W18" s="193">
        <f>'BAU Comparison - All Fuel'!W132</f>
        <v>0</v>
      </c>
      <c r="X18" s="193">
        <f>'BAU Comparison - All Fuel'!X132</f>
        <v>0</v>
      </c>
      <c r="Y18" s="193">
        <f>'BAU Comparison - All Fuel'!Y132</f>
        <v>0</v>
      </c>
      <c r="Z18" s="193">
        <f>'BAU Comparison - All Fuel'!Z132</f>
        <v>0</v>
      </c>
      <c r="AA18" s="193">
        <f>'BAU Comparison - All Fuel'!AA132</f>
        <v>0</v>
      </c>
      <c r="AB18" s="193">
        <f>'BAU Comparison - All Fuel'!AB132</f>
        <v>0</v>
      </c>
    </row>
    <row r="19" spans="1:29" s="171" customFormat="1" ht="15" customHeight="1">
      <c r="A19" s="459"/>
      <c r="B19" s="309" t="s">
        <v>213</v>
      </c>
      <c r="C19" s="309" t="s">
        <v>22</v>
      </c>
      <c r="D19" s="311">
        <f>'BAU Comparison - All Fuel'!D133</f>
        <v>0</v>
      </c>
      <c r="E19" s="311">
        <f>'BAU Comparison - All Fuel'!E133</f>
        <v>0</v>
      </c>
      <c r="F19" s="311">
        <f>'BAU Comparison - All Fuel'!F133</f>
        <v>0</v>
      </c>
      <c r="G19" s="311">
        <f>'BAU Comparison - All Fuel'!G133</f>
        <v>0</v>
      </c>
      <c r="H19" s="311">
        <f>'BAU Comparison - All Fuel'!H133</f>
        <v>0</v>
      </c>
      <c r="I19" s="311">
        <f>'BAU Comparison - All Fuel'!I133</f>
        <v>0</v>
      </c>
      <c r="J19" s="311">
        <f>'BAU Comparison - All Fuel'!J133</f>
        <v>0</v>
      </c>
      <c r="K19" s="311">
        <f>'BAU Comparison - All Fuel'!K133</f>
        <v>0</v>
      </c>
      <c r="L19" s="311">
        <f>'BAU Comparison - All Fuel'!L133</f>
        <v>0</v>
      </c>
      <c r="M19" s="311">
        <f>'BAU Comparison - All Fuel'!M133</f>
        <v>0</v>
      </c>
      <c r="N19" s="311">
        <f>'BAU Comparison - All Fuel'!N133</f>
        <v>0</v>
      </c>
      <c r="O19" s="311">
        <f>'BAU Comparison - All Fuel'!O133</f>
        <v>0</v>
      </c>
      <c r="P19" s="311">
        <f>'BAU Comparison - All Fuel'!P133</f>
        <v>0</v>
      </c>
      <c r="Q19" s="311">
        <f>'BAU Comparison - All Fuel'!Q133</f>
        <v>0</v>
      </c>
      <c r="R19" s="311">
        <f>'BAU Comparison - All Fuel'!R133</f>
        <v>0</v>
      </c>
      <c r="S19" s="311">
        <f>'BAU Comparison - All Fuel'!S133</f>
        <v>0</v>
      </c>
      <c r="T19" s="311">
        <f>'BAU Comparison - All Fuel'!T133</f>
        <v>0</v>
      </c>
      <c r="U19" s="311">
        <f>'BAU Comparison - All Fuel'!U133</f>
        <v>0</v>
      </c>
      <c r="V19" s="311">
        <f>'BAU Comparison - All Fuel'!V133</f>
        <v>0</v>
      </c>
      <c r="W19" s="311">
        <f>'BAU Comparison - All Fuel'!W133</f>
        <v>0</v>
      </c>
      <c r="X19" s="311">
        <f>'BAU Comparison - All Fuel'!X133</f>
        <v>0</v>
      </c>
      <c r="Y19" s="311">
        <f>'BAU Comparison - All Fuel'!Y133</f>
        <v>0</v>
      </c>
      <c r="Z19" s="311">
        <f>'BAU Comparison - All Fuel'!Z133</f>
        <v>0</v>
      </c>
      <c r="AA19" s="311">
        <f>'BAU Comparison - All Fuel'!AA133</f>
        <v>0</v>
      </c>
      <c r="AB19" s="311">
        <f>'BAU Comparison - All Fuel'!AB133</f>
        <v>0</v>
      </c>
    </row>
    <row r="20" spans="1:29" s="171" customFormat="1" ht="15" customHeight="1">
      <c r="A20" s="459"/>
      <c r="B20" s="309" t="s">
        <v>14</v>
      </c>
      <c r="C20" s="309" t="s">
        <v>103</v>
      </c>
      <c r="D20" s="306">
        <f>'BAU Comparison - All Fuel'!D134</f>
        <v>0</v>
      </c>
      <c r="E20" s="311">
        <f>'BAU Comparison - All Fuel'!E134</f>
        <v>0</v>
      </c>
      <c r="F20" s="311">
        <f>'BAU Comparison - All Fuel'!F134</f>
        <v>0</v>
      </c>
      <c r="G20" s="311">
        <f>'BAU Comparison - All Fuel'!G134</f>
        <v>0</v>
      </c>
      <c r="H20" s="311">
        <f>'BAU Comparison - All Fuel'!H134</f>
        <v>0</v>
      </c>
      <c r="I20" s="311">
        <f>'BAU Comparison - All Fuel'!I134</f>
        <v>0</v>
      </c>
      <c r="J20" s="311">
        <f>'BAU Comparison - All Fuel'!J134</f>
        <v>0</v>
      </c>
      <c r="K20" s="311">
        <f>'BAU Comparison - All Fuel'!K134</f>
        <v>0</v>
      </c>
      <c r="L20" s="311">
        <f>'BAU Comparison - All Fuel'!L134</f>
        <v>0</v>
      </c>
      <c r="M20" s="311">
        <f>'BAU Comparison - All Fuel'!M134</f>
        <v>0</v>
      </c>
      <c r="N20" s="311">
        <f>'BAU Comparison - All Fuel'!N134</f>
        <v>0</v>
      </c>
      <c r="O20" s="311">
        <f>'BAU Comparison - All Fuel'!O134</f>
        <v>0</v>
      </c>
      <c r="P20" s="311">
        <f>'BAU Comparison - All Fuel'!P134</f>
        <v>0</v>
      </c>
      <c r="Q20" s="311">
        <f>'BAU Comparison - All Fuel'!Q134</f>
        <v>0</v>
      </c>
      <c r="R20" s="311">
        <f>'BAU Comparison - All Fuel'!R134</f>
        <v>0</v>
      </c>
      <c r="S20" s="311">
        <f>'BAU Comparison - All Fuel'!S134</f>
        <v>0</v>
      </c>
      <c r="T20" s="311">
        <f>'BAU Comparison - All Fuel'!T134</f>
        <v>0</v>
      </c>
      <c r="U20" s="311">
        <f>'BAU Comparison - All Fuel'!U134</f>
        <v>0</v>
      </c>
      <c r="V20" s="311">
        <f>'BAU Comparison - All Fuel'!V134</f>
        <v>0</v>
      </c>
      <c r="W20" s="311">
        <f>'BAU Comparison - All Fuel'!W134</f>
        <v>0</v>
      </c>
      <c r="X20" s="311">
        <f>'BAU Comparison - All Fuel'!X134</f>
        <v>0</v>
      </c>
      <c r="Y20" s="311">
        <f>'BAU Comparison - All Fuel'!Y134</f>
        <v>0</v>
      </c>
      <c r="Z20" s="311">
        <f>'BAU Comparison - All Fuel'!Z134</f>
        <v>0</v>
      </c>
      <c r="AA20" s="311">
        <f>'BAU Comparison - All Fuel'!AA134</f>
        <v>0</v>
      </c>
      <c r="AB20" s="311">
        <f>'BAU Comparison - All Fuel'!AB134</f>
        <v>0</v>
      </c>
    </row>
    <row r="21" spans="1:29" ht="15" customHeight="1">
      <c r="A21" s="459"/>
      <c r="B21" s="10" t="s">
        <v>214</v>
      </c>
      <c r="C21" s="10" t="s">
        <v>103</v>
      </c>
      <c r="D21" s="193">
        <f>'BAU Comparison - All Fuel'!D135</f>
        <v>0</v>
      </c>
      <c r="E21" s="193">
        <f>'BAU Comparison - All Fuel'!E135</f>
        <v>0</v>
      </c>
      <c r="F21" s="193">
        <f>'BAU Comparison - All Fuel'!F135</f>
        <v>0</v>
      </c>
      <c r="G21" s="193">
        <f>'BAU Comparison - All Fuel'!G135</f>
        <v>4.2041423671214216E-14</v>
      </c>
      <c r="H21" s="193">
        <f>'BAU Comparison - All Fuel'!H135</f>
        <v>0</v>
      </c>
      <c r="I21" s="193">
        <f>'BAU Comparison - All Fuel'!I135</f>
        <v>0</v>
      </c>
      <c r="J21" s="193">
        <f>'BAU Comparison - All Fuel'!J135</f>
        <v>0</v>
      </c>
      <c r="K21" s="193">
        <f>'BAU Comparison - All Fuel'!K135</f>
        <v>0</v>
      </c>
      <c r="L21" s="193">
        <f>'BAU Comparison - All Fuel'!L135</f>
        <v>0</v>
      </c>
      <c r="M21" s="193">
        <f>'BAU Comparison - All Fuel'!M135</f>
        <v>0</v>
      </c>
      <c r="N21" s="193">
        <f>'BAU Comparison - All Fuel'!N135</f>
        <v>0</v>
      </c>
      <c r="O21" s="193">
        <f>'BAU Comparison - All Fuel'!O135</f>
        <v>0</v>
      </c>
      <c r="P21" s="193">
        <f>'BAU Comparison - All Fuel'!P135</f>
        <v>0</v>
      </c>
      <c r="Q21" s="193">
        <f>'BAU Comparison - All Fuel'!Q135</f>
        <v>0</v>
      </c>
      <c r="R21" s="193">
        <f>'BAU Comparison - All Fuel'!R135</f>
        <v>0</v>
      </c>
      <c r="S21" s="193">
        <f>'BAU Comparison - All Fuel'!S135</f>
        <v>0</v>
      </c>
      <c r="T21" s="193">
        <f>'BAU Comparison - All Fuel'!T135</f>
        <v>0</v>
      </c>
      <c r="U21" s="193">
        <f>'BAU Comparison - All Fuel'!U135</f>
        <v>0</v>
      </c>
      <c r="V21" s="193">
        <f>'BAU Comparison - All Fuel'!V135</f>
        <v>528.35201630745996</v>
      </c>
      <c r="W21" s="193">
        <f>'BAU Comparison - All Fuel'!W135</f>
        <v>317.01120978447597</v>
      </c>
      <c r="X21" s="193">
        <f>'BAU Comparison - All Fuel'!X135</f>
        <v>190.21430079877678</v>
      </c>
      <c r="Y21" s="193">
        <f>'BAU Comparison - All Fuel'!Y135</f>
        <v>0</v>
      </c>
      <c r="Z21" s="193">
        <f>'BAU Comparison - All Fuel'!Z135</f>
        <v>0</v>
      </c>
      <c r="AA21" s="193">
        <f>'BAU Comparison - All Fuel'!AA135</f>
        <v>0</v>
      </c>
      <c r="AB21" s="193">
        <f>'BAU Comparison - All Fuel'!AB135</f>
        <v>0</v>
      </c>
    </row>
    <row r="22" spans="1:29" s="171" customFormat="1" ht="15" customHeight="1">
      <c r="A22" s="459"/>
      <c r="B22" s="309" t="s">
        <v>108</v>
      </c>
      <c r="C22" s="309" t="s">
        <v>103</v>
      </c>
      <c r="D22" s="311">
        <f>'BAU Comparison - All Fuel'!D136</f>
        <v>0</v>
      </c>
      <c r="E22" s="311">
        <f>'BAU Comparison - All Fuel'!E136</f>
        <v>0</v>
      </c>
      <c r="F22" s="311">
        <f>'BAU Comparison - All Fuel'!F136</f>
        <v>0</v>
      </c>
      <c r="G22" s="311">
        <f>'BAU Comparison - All Fuel'!G136</f>
        <v>0</v>
      </c>
      <c r="H22" s="311">
        <f>'BAU Comparison - All Fuel'!H136</f>
        <v>0</v>
      </c>
      <c r="I22" s="311">
        <f>'BAU Comparison - All Fuel'!I136</f>
        <v>0</v>
      </c>
      <c r="J22" s="311">
        <f>'BAU Comparison - All Fuel'!J136</f>
        <v>0</v>
      </c>
      <c r="K22" s="311">
        <f>'BAU Comparison - All Fuel'!K136</f>
        <v>0</v>
      </c>
      <c r="L22" s="311">
        <f>'BAU Comparison - All Fuel'!L136</f>
        <v>0</v>
      </c>
      <c r="M22" s="311">
        <f>'BAU Comparison - All Fuel'!M136</f>
        <v>0</v>
      </c>
      <c r="N22" s="311">
        <f>'BAU Comparison - All Fuel'!N136</f>
        <v>0</v>
      </c>
      <c r="O22" s="311">
        <f>'BAU Comparison - All Fuel'!O136</f>
        <v>0</v>
      </c>
      <c r="P22" s="311">
        <f>'BAU Comparison - All Fuel'!P136</f>
        <v>0</v>
      </c>
      <c r="Q22" s="311">
        <f>'BAU Comparison - All Fuel'!Q136</f>
        <v>0</v>
      </c>
      <c r="R22" s="311">
        <f>'BAU Comparison - All Fuel'!R136</f>
        <v>0</v>
      </c>
      <c r="S22" s="311">
        <f>'BAU Comparison - All Fuel'!S136</f>
        <v>0</v>
      </c>
      <c r="T22" s="311">
        <f>'BAU Comparison - All Fuel'!T136</f>
        <v>0</v>
      </c>
      <c r="U22" s="311">
        <f>'BAU Comparison - All Fuel'!U136</f>
        <v>0</v>
      </c>
      <c r="V22" s="311">
        <f>'BAU Comparison - All Fuel'!V136</f>
        <v>0</v>
      </c>
      <c r="W22" s="311">
        <f>'BAU Comparison - All Fuel'!W136</f>
        <v>0</v>
      </c>
      <c r="X22" s="311">
        <f>'BAU Comparison - All Fuel'!X136</f>
        <v>0</v>
      </c>
      <c r="Y22" s="311">
        <f>'BAU Comparison - All Fuel'!Y136</f>
        <v>0</v>
      </c>
      <c r="Z22" s="311">
        <f>'BAU Comparison - All Fuel'!Z136</f>
        <v>0</v>
      </c>
      <c r="AA22" s="311">
        <f>'BAU Comparison - All Fuel'!AA136</f>
        <v>0</v>
      </c>
      <c r="AB22" s="311">
        <f>'BAU Comparison - All Fuel'!AB136</f>
        <v>0</v>
      </c>
    </row>
    <row r="23" spans="1:29" ht="15" customHeight="1">
      <c r="A23" s="459"/>
      <c r="B23" s="10" t="s">
        <v>122</v>
      </c>
      <c r="C23" s="10" t="s">
        <v>7</v>
      </c>
      <c r="D23" s="193">
        <f>'BAU Comparison - All Fuel'!D137</f>
        <v>0</v>
      </c>
      <c r="E23" s="193">
        <f>'BAU Comparison - All Fuel'!E137</f>
        <v>0</v>
      </c>
      <c r="F23" s="193">
        <f>'BAU Comparison - All Fuel'!F137</f>
        <v>0</v>
      </c>
      <c r="G23" s="193">
        <f>'BAU Comparison - All Fuel'!G137</f>
        <v>0</v>
      </c>
      <c r="H23" s="193">
        <f>'BAU Comparison - All Fuel'!H137</f>
        <v>0.9103018072477862</v>
      </c>
      <c r="I23" s="193">
        <f>'BAU Comparison - All Fuel'!I137</f>
        <v>9.0137820350529108</v>
      </c>
      <c r="J23" s="193">
        <f>'BAU Comparison - All Fuel'!J137</f>
        <v>17.009314650979043</v>
      </c>
      <c r="K23" s="193">
        <f>'BAU Comparison - All Fuel'!K137</f>
        <v>23.270559934696845</v>
      </c>
      <c r="L23" s="193">
        <f>'BAU Comparison - All Fuel'!L137</f>
        <v>28.943794680431857</v>
      </c>
      <c r="M23" s="193">
        <f>'BAU Comparison - All Fuel'!M137</f>
        <v>34.245392804185684</v>
      </c>
      <c r="N23" s="193">
        <f>'BAU Comparison - All Fuel'!N137</f>
        <v>39.318697504689816</v>
      </c>
      <c r="O23" s="193">
        <f>'BAU Comparison - All Fuel'!O137</f>
        <v>44.260884271956044</v>
      </c>
      <c r="P23" s="193">
        <f>'BAU Comparison - All Fuel'!P137</f>
        <v>49.724093534535186</v>
      </c>
      <c r="Q23" s="193">
        <f>'BAU Comparison - All Fuel'!Q137</f>
        <v>54.374506933390606</v>
      </c>
      <c r="R23" s="193">
        <f>'BAU Comparison - All Fuel'!R137</f>
        <v>59.100431477319475</v>
      </c>
      <c r="S23" s="193">
        <f>'BAU Comparison - All Fuel'!S137</f>
        <v>63.895037783034212</v>
      </c>
      <c r="T23" s="193">
        <f>'BAU Comparison - All Fuel'!T137</f>
        <v>68.751250872339071</v>
      </c>
      <c r="U23" s="193">
        <f>'BAU Comparison - All Fuel'!U137</f>
        <v>70.148419664495506</v>
      </c>
      <c r="V23" s="193">
        <f>'BAU Comparison - All Fuel'!V137</f>
        <v>71.862763963347177</v>
      </c>
      <c r="W23" s="193">
        <f>'BAU Comparison - All Fuel'!W137</f>
        <v>75.527912304921756</v>
      </c>
      <c r="X23" s="193">
        <f>'BAU Comparison - All Fuel'!X137</f>
        <v>80.785777596833256</v>
      </c>
      <c r="Y23" s="193">
        <f>'BAU Comparison - All Fuel'!Y137</f>
        <v>84.144853806062244</v>
      </c>
      <c r="Z23" s="193">
        <f>'BAU Comparison - All Fuel'!Z137</f>
        <v>87.992859143533337</v>
      </c>
      <c r="AA23" s="193">
        <f>'BAU Comparison - All Fuel'!AA137</f>
        <v>91.909097528574577</v>
      </c>
      <c r="AB23" s="193">
        <f>'BAU Comparison - All Fuel'!AB137</f>
        <v>97.119407445632021</v>
      </c>
    </row>
    <row r="24" spans="1:29" s="171" customFormat="1" ht="15" customHeight="1">
      <c r="A24" s="459"/>
      <c r="B24" s="313" t="s">
        <v>123</v>
      </c>
      <c r="C24" s="309" t="s">
        <v>13</v>
      </c>
      <c r="D24" s="311">
        <f>'BAU Comparison - All Fuel'!D138</f>
        <v>0</v>
      </c>
      <c r="E24" s="311">
        <f>'BAU Comparison - All Fuel'!E138</f>
        <v>0</v>
      </c>
      <c r="F24" s="311">
        <f>'BAU Comparison - All Fuel'!F138</f>
        <v>0</v>
      </c>
      <c r="G24" s="311">
        <f>'BAU Comparison - All Fuel'!G138</f>
        <v>0</v>
      </c>
      <c r="H24" s="311">
        <f>'BAU Comparison - All Fuel'!H138</f>
        <v>0</v>
      </c>
      <c r="I24" s="311">
        <f>'BAU Comparison - All Fuel'!I138</f>
        <v>0</v>
      </c>
      <c r="J24" s="311">
        <f>'BAU Comparison - All Fuel'!J138</f>
        <v>0</v>
      </c>
      <c r="K24" s="311">
        <f>'BAU Comparison - All Fuel'!K138</f>
        <v>0</v>
      </c>
      <c r="L24" s="311">
        <f>'BAU Comparison - All Fuel'!L138</f>
        <v>0</v>
      </c>
      <c r="M24" s="311">
        <f>'BAU Comparison - All Fuel'!M138</f>
        <v>0</v>
      </c>
      <c r="N24" s="311">
        <f>'BAU Comparison - All Fuel'!N138</f>
        <v>0</v>
      </c>
      <c r="O24" s="311">
        <f>'BAU Comparison - All Fuel'!O138</f>
        <v>0</v>
      </c>
      <c r="P24" s="311">
        <f>'BAU Comparison - All Fuel'!P138</f>
        <v>0</v>
      </c>
      <c r="Q24" s="311">
        <f>'BAU Comparison - All Fuel'!Q138</f>
        <v>0</v>
      </c>
      <c r="R24" s="311">
        <f>'BAU Comparison - All Fuel'!R138</f>
        <v>0</v>
      </c>
      <c r="S24" s="311">
        <f>'BAU Comparison - All Fuel'!S138</f>
        <v>0</v>
      </c>
      <c r="T24" s="311">
        <f>'BAU Comparison - All Fuel'!T138</f>
        <v>0</v>
      </c>
      <c r="U24" s="311">
        <f>'BAU Comparison - All Fuel'!U138</f>
        <v>0</v>
      </c>
      <c r="V24" s="311">
        <f>'BAU Comparison - All Fuel'!V138</f>
        <v>0</v>
      </c>
      <c r="W24" s="311">
        <f>'BAU Comparison - All Fuel'!W138</f>
        <v>0</v>
      </c>
      <c r="X24" s="311">
        <f>'BAU Comparison - All Fuel'!X138</f>
        <v>0</v>
      </c>
      <c r="Y24" s="311">
        <f>'BAU Comparison - All Fuel'!Y138</f>
        <v>0</v>
      </c>
      <c r="Z24" s="311">
        <f>'BAU Comparison - All Fuel'!Z138</f>
        <v>0</v>
      </c>
      <c r="AA24" s="311">
        <f>'BAU Comparison - All Fuel'!AA138</f>
        <v>0</v>
      </c>
      <c r="AB24" s="311">
        <f>'BAU Comparison - All Fuel'!AB138</f>
        <v>0</v>
      </c>
    </row>
    <row r="25" spans="1:29" ht="15" customHeight="1">
      <c r="A25" s="459"/>
      <c r="B25" s="147" t="s">
        <v>124</v>
      </c>
      <c r="C25" s="10" t="s">
        <v>13</v>
      </c>
      <c r="D25" s="193">
        <f>'BAU Comparison - All Fuel'!D139</f>
        <v>0</v>
      </c>
      <c r="E25" s="193">
        <f>'BAU Comparison - All Fuel'!E139</f>
        <v>0</v>
      </c>
      <c r="F25" s="193">
        <f>'BAU Comparison - All Fuel'!F139</f>
        <v>0</v>
      </c>
      <c r="G25" s="193">
        <f>'BAU Comparison - All Fuel'!G139</f>
        <v>25.23821786989749</v>
      </c>
      <c r="H25" s="193">
        <f>'BAU Comparison - All Fuel'!H139</f>
        <v>44.815686692459295</v>
      </c>
      <c r="I25" s="193">
        <f>'BAU Comparison - All Fuel'!I139</f>
        <v>14.1345053344094</v>
      </c>
      <c r="J25" s="193">
        <f>'BAU Comparison - All Fuel'!J139</f>
        <v>15.886784643409495</v>
      </c>
      <c r="K25" s="193">
        <f>'BAU Comparison - All Fuel'!K139</f>
        <v>6.3609855852725339</v>
      </c>
      <c r="L25" s="193">
        <f>'BAU Comparison - All Fuel'!L139</f>
        <v>0</v>
      </c>
      <c r="M25" s="193">
        <f>'BAU Comparison - All Fuel'!M139</f>
        <v>0</v>
      </c>
      <c r="N25" s="193">
        <f>'BAU Comparison - All Fuel'!N139</f>
        <v>0</v>
      </c>
      <c r="O25" s="193">
        <f>'BAU Comparison - All Fuel'!O139</f>
        <v>0</v>
      </c>
      <c r="P25" s="193">
        <f>'BAU Comparison - All Fuel'!P139</f>
        <v>0</v>
      </c>
      <c r="Q25" s="193">
        <f>'BAU Comparison - All Fuel'!Q139</f>
        <v>0</v>
      </c>
      <c r="R25" s="193">
        <f>'BAU Comparison - All Fuel'!R139</f>
        <v>0</v>
      </c>
      <c r="S25" s="193">
        <f>'BAU Comparison - All Fuel'!S139</f>
        <v>0</v>
      </c>
      <c r="T25" s="193">
        <f>'BAU Comparison - All Fuel'!T139</f>
        <v>0</v>
      </c>
      <c r="U25" s="193">
        <f>'BAU Comparison - All Fuel'!U139</f>
        <v>0</v>
      </c>
      <c r="V25" s="193">
        <f>'BAU Comparison - All Fuel'!V139</f>
        <v>0</v>
      </c>
      <c r="W25" s="193">
        <f>'BAU Comparison - All Fuel'!W139</f>
        <v>0</v>
      </c>
      <c r="X25" s="193">
        <f>'BAU Comparison - All Fuel'!X139</f>
        <v>0</v>
      </c>
      <c r="Y25" s="193">
        <f>'BAU Comparison - All Fuel'!Y139</f>
        <v>0</v>
      </c>
      <c r="Z25" s="193">
        <f>'BAU Comparison - All Fuel'!Z139</f>
        <v>0</v>
      </c>
      <c r="AA25" s="193">
        <f>'BAU Comparison - All Fuel'!AA139</f>
        <v>0</v>
      </c>
      <c r="AB25" s="193">
        <f>'BAU Comparison - All Fuel'!AB139</f>
        <v>0</v>
      </c>
    </row>
    <row r="26" spans="1:29" s="275" customFormat="1" ht="16.5" customHeight="1">
      <c r="A26" s="459"/>
      <c r="B26" s="307" t="s">
        <v>127</v>
      </c>
      <c r="C26" s="299" t="s">
        <v>215</v>
      </c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275" t="s">
        <v>216</v>
      </c>
    </row>
    <row r="27" spans="1:29" ht="16.5" customHeight="1" thickBot="1">
      <c r="A27" s="102"/>
      <c r="B27" s="12"/>
      <c r="C27" s="2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29" ht="15" customHeight="1">
      <c r="A28" s="463" t="s">
        <v>217</v>
      </c>
      <c r="B28" s="78" t="s">
        <v>3</v>
      </c>
      <c r="C28" s="145" t="s">
        <v>1</v>
      </c>
      <c r="D28" s="146">
        <v>2022</v>
      </c>
      <c r="E28" s="146">
        <v>2023</v>
      </c>
      <c r="F28" s="146">
        <v>2024</v>
      </c>
      <c r="G28" s="146">
        <v>2025</v>
      </c>
      <c r="H28" s="72">
        <v>2026</v>
      </c>
      <c r="I28" s="72">
        <v>2027</v>
      </c>
      <c r="J28" s="72">
        <v>2028</v>
      </c>
      <c r="K28" s="72">
        <v>2029</v>
      </c>
      <c r="L28" s="73">
        <v>2030</v>
      </c>
      <c r="M28" s="146">
        <v>2031</v>
      </c>
      <c r="N28" s="146">
        <v>2032</v>
      </c>
      <c r="O28" s="146">
        <v>2033</v>
      </c>
      <c r="P28" s="146">
        <v>2034</v>
      </c>
      <c r="Q28" s="146">
        <v>2035</v>
      </c>
      <c r="R28" s="146">
        <v>2036</v>
      </c>
      <c r="S28" s="146">
        <v>2037</v>
      </c>
      <c r="T28" s="146">
        <v>2038</v>
      </c>
      <c r="U28" s="146">
        <v>2039</v>
      </c>
      <c r="V28" s="72">
        <v>2040</v>
      </c>
      <c r="W28" s="72">
        <v>2041</v>
      </c>
      <c r="X28" s="146">
        <v>2042</v>
      </c>
      <c r="Y28" s="146">
        <v>2043</v>
      </c>
      <c r="Z28" s="146">
        <v>2044</v>
      </c>
      <c r="AA28" s="146">
        <v>2045</v>
      </c>
      <c r="AB28" s="146">
        <v>2046</v>
      </c>
    </row>
    <row r="29" spans="1:29" ht="15" customHeight="1">
      <c r="A29" s="464"/>
      <c r="B29" s="2" t="s">
        <v>115</v>
      </c>
      <c r="C29" s="111" t="s">
        <v>101</v>
      </c>
      <c r="D29" s="97">
        <f>'Attribution Assumptions'!D3</f>
        <v>1</v>
      </c>
      <c r="E29" s="97">
        <f>'Attribution Assumptions'!E3</f>
        <v>1</v>
      </c>
      <c r="F29" s="97">
        <f>'Attribution Assumptions'!F3</f>
        <v>1</v>
      </c>
      <c r="G29" s="97">
        <f>'Attribution Assumptions'!G3</f>
        <v>1</v>
      </c>
      <c r="H29" s="97">
        <f>'Attribution Assumptions'!H3</f>
        <v>1</v>
      </c>
      <c r="I29" s="97">
        <f>'Attribution Assumptions'!I3</f>
        <v>1</v>
      </c>
      <c r="J29" s="97">
        <f>'Attribution Assumptions'!J3</f>
        <v>1</v>
      </c>
      <c r="K29" s="97">
        <f>'Attribution Assumptions'!K3</f>
        <v>1</v>
      </c>
      <c r="L29" s="97">
        <f>'Attribution Assumptions'!L3</f>
        <v>1</v>
      </c>
      <c r="M29" s="97">
        <f>'Attribution Assumptions'!M3</f>
        <v>1</v>
      </c>
      <c r="N29" s="97">
        <f>'Attribution Assumptions'!N3</f>
        <v>1</v>
      </c>
      <c r="O29" s="97">
        <f>'Attribution Assumptions'!O3</f>
        <v>1</v>
      </c>
      <c r="P29" s="97">
        <f>'Attribution Assumptions'!P3</f>
        <v>1</v>
      </c>
      <c r="Q29" s="97">
        <f>'Attribution Assumptions'!Q3</f>
        <v>1</v>
      </c>
      <c r="R29" s="97">
        <f>'Attribution Assumptions'!R3</f>
        <v>1</v>
      </c>
      <c r="S29" s="97">
        <f>'Attribution Assumptions'!S3</f>
        <v>1</v>
      </c>
      <c r="T29" s="97">
        <f>'Attribution Assumptions'!T3</f>
        <v>1</v>
      </c>
      <c r="U29" s="97">
        <f>'Attribution Assumptions'!U3</f>
        <v>1</v>
      </c>
      <c r="V29" s="97">
        <f>'Attribution Assumptions'!V3</f>
        <v>1</v>
      </c>
      <c r="W29" s="97">
        <f>'Attribution Assumptions'!W3</f>
        <v>1</v>
      </c>
      <c r="X29" s="97">
        <f>'Attribution Assumptions'!X3</f>
        <v>1</v>
      </c>
      <c r="Y29" s="97">
        <f>'Attribution Assumptions'!Y3</f>
        <v>1</v>
      </c>
      <c r="Z29" s="97">
        <f>'Attribution Assumptions'!Z3</f>
        <v>1</v>
      </c>
      <c r="AA29" s="97">
        <f>'Attribution Assumptions'!AA3</f>
        <v>1</v>
      </c>
      <c r="AB29" s="97">
        <f>'Attribution Assumptions'!AB3</f>
        <v>1</v>
      </c>
    </row>
    <row r="30" spans="1:29" ht="15" customHeight="1">
      <c r="A30" s="464"/>
      <c r="B30" s="2" t="s">
        <v>19</v>
      </c>
      <c r="C30" s="13" t="s">
        <v>101</v>
      </c>
      <c r="D30" s="97">
        <f>'Attribution Assumptions'!D4</f>
        <v>1</v>
      </c>
      <c r="E30" s="97">
        <f>'Attribution Assumptions'!E4</f>
        <v>1</v>
      </c>
      <c r="F30" s="97">
        <f>'Attribution Assumptions'!F4</f>
        <v>1</v>
      </c>
      <c r="G30" s="97">
        <f>'Attribution Assumptions'!G4</f>
        <v>1</v>
      </c>
      <c r="H30" s="97">
        <f>'Attribution Assumptions'!H4</f>
        <v>1</v>
      </c>
      <c r="I30" s="97">
        <f>'Attribution Assumptions'!I4</f>
        <v>1</v>
      </c>
      <c r="J30" s="97">
        <f>'Attribution Assumptions'!J4</f>
        <v>1</v>
      </c>
      <c r="K30" s="97">
        <f>'Attribution Assumptions'!K4</f>
        <v>1</v>
      </c>
      <c r="L30" s="97">
        <f>'Attribution Assumptions'!L4</f>
        <v>1</v>
      </c>
      <c r="M30" s="97">
        <f>'Attribution Assumptions'!M4</f>
        <v>1</v>
      </c>
      <c r="N30" s="97">
        <f>'Attribution Assumptions'!N4</f>
        <v>1</v>
      </c>
      <c r="O30" s="97">
        <f>'Attribution Assumptions'!O4</f>
        <v>1</v>
      </c>
      <c r="P30" s="97">
        <f>'Attribution Assumptions'!P4</f>
        <v>1</v>
      </c>
      <c r="Q30" s="97">
        <f>'Attribution Assumptions'!Q4</f>
        <v>1</v>
      </c>
      <c r="R30" s="97">
        <f>'Attribution Assumptions'!R4</f>
        <v>1</v>
      </c>
      <c r="S30" s="97">
        <f>'Attribution Assumptions'!S4</f>
        <v>1</v>
      </c>
      <c r="T30" s="97">
        <f>'Attribution Assumptions'!T4</f>
        <v>1</v>
      </c>
      <c r="U30" s="97">
        <f>'Attribution Assumptions'!U4</f>
        <v>1</v>
      </c>
      <c r="V30" s="97">
        <f>'Attribution Assumptions'!V4</f>
        <v>1</v>
      </c>
      <c r="W30" s="97">
        <f>'Attribution Assumptions'!W4</f>
        <v>1</v>
      </c>
      <c r="X30" s="97">
        <f>'Attribution Assumptions'!X4</f>
        <v>1</v>
      </c>
      <c r="Y30" s="97">
        <f>'Attribution Assumptions'!Y4</f>
        <v>1</v>
      </c>
      <c r="Z30" s="97">
        <f>'Attribution Assumptions'!Z4</f>
        <v>1</v>
      </c>
      <c r="AA30" s="97">
        <f>'Attribution Assumptions'!AA4</f>
        <v>1</v>
      </c>
      <c r="AB30" s="97">
        <f>'Attribution Assumptions'!AB4</f>
        <v>1</v>
      </c>
    </row>
    <row r="31" spans="1:29" ht="15" customHeight="1">
      <c r="A31" s="464"/>
      <c r="B31" s="2" t="s">
        <v>104</v>
      </c>
      <c r="C31" s="13" t="s">
        <v>101</v>
      </c>
      <c r="D31" s="97">
        <f>'Attribution Assumptions'!D5</f>
        <v>1</v>
      </c>
      <c r="E31" s="97">
        <f>'Attribution Assumptions'!E5</f>
        <v>1</v>
      </c>
      <c r="F31" s="97">
        <f>'Attribution Assumptions'!F5</f>
        <v>1</v>
      </c>
      <c r="G31" s="97">
        <f>'Attribution Assumptions'!G5</f>
        <v>1</v>
      </c>
      <c r="H31" s="97">
        <f>'Attribution Assumptions'!H5</f>
        <v>1</v>
      </c>
      <c r="I31" s="97">
        <f>'Attribution Assumptions'!I5</f>
        <v>1</v>
      </c>
      <c r="J31" s="97">
        <f>'Attribution Assumptions'!J5</f>
        <v>1</v>
      </c>
      <c r="K31" s="97">
        <f>'Attribution Assumptions'!K5</f>
        <v>1</v>
      </c>
      <c r="L31" s="97">
        <f>'Attribution Assumptions'!L5</f>
        <v>1</v>
      </c>
      <c r="M31" s="97">
        <f>'Attribution Assumptions'!M5</f>
        <v>1</v>
      </c>
      <c r="N31" s="97">
        <f>'Attribution Assumptions'!N5</f>
        <v>1</v>
      </c>
      <c r="O31" s="97">
        <f>'Attribution Assumptions'!O5</f>
        <v>1</v>
      </c>
      <c r="P31" s="97">
        <f>'Attribution Assumptions'!P5</f>
        <v>1</v>
      </c>
      <c r="Q31" s="97">
        <f>'Attribution Assumptions'!Q5</f>
        <v>1</v>
      </c>
      <c r="R31" s="97">
        <f>'Attribution Assumptions'!R5</f>
        <v>1</v>
      </c>
      <c r="S31" s="97">
        <f>'Attribution Assumptions'!S5</f>
        <v>1</v>
      </c>
      <c r="T31" s="97">
        <f>'Attribution Assumptions'!T5</f>
        <v>1</v>
      </c>
      <c r="U31" s="97">
        <f>'Attribution Assumptions'!U5</f>
        <v>1</v>
      </c>
      <c r="V31" s="97">
        <f>'Attribution Assumptions'!V5</f>
        <v>1</v>
      </c>
      <c r="W31" s="97">
        <f>'Attribution Assumptions'!W5</f>
        <v>1</v>
      </c>
      <c r="X31" s="97">
        <f>'Attribution Assumptions'!X5</f>
        <v>1</v>
      </c>
      <c r="Y31" s="97">
        <f>'Attribution Assumptions'!Y5</f>
        <v>1</v>
      </c>
      <c r="Z31" s="97">
        <f>'Attribution Assumptions'!Z5</f>
        <v>1</v>
      </c>
      <c r="AA31" s="97">
        <f>'Attribution Assumptions'!AA5</f>
        <v>1</v>
      </c>
      <c r="AB31" s="97">
        <f>'Attribution Assumptions'!AB5</f>
        <v>1</v>
      </c>
    </row>
    <row r="32" spans="1:29" s="171" customFormat="1" ht="15" customHeight="1">
      <c r="A32" s="464"/>
      <c r="B32" s="2" t="s">
        <v>29</v>
      </c>
      <c r="C32" s="13" t="s">
        <v>101</v>
      </c>
      <c r="D32" s="97">
        <f>'Attribution Assumptions'!D6</f>
        <v>1</v>
      </c>
      <c r="E32" s="97">
        <f>'Attribution Assumptions'!E6</f>
        <v>1</v>
      </c>
      <c r="F32" s="97">
        <f>'Attribution Assumptions'!F6</f>
        <v>1</v>
      </c>
      <c r="G32" s="97">
        <f>'Attribution Assumptions'!G6</f>
        <v>1</v>
      </c>
      <c r="H32" s="97">
        <f>'Attribution Assumptions'!H6</f>
        <v>1</v>
      </c>
      <c r="I32" s="97">
        <f>'Attribution Assumptions'!I6</f>
        <v>1</v>
      </c>
      <c r="J32" s="97">
        <f>'Attribution Assumptions'!J6</f>
        <v>1</v>
      </c>
      <c r="K32" s="97">
        <f>'Attribution Assumptions'!K6</f>
        <v>1</v>
      </c>
      <c r="L32" s="97">
        <f>'Attribution Assumptions'!L6</f>
        <v>1</v>
      </c>
      <c r="M32" s="97">
        <f>'Attribution Assumptions'!M6</f>
        <v>1</v>
      </c>
      <c r="N32" s="97">
        <f>'Attribution Assumptions'!N6</f>
        <v>1</v>
      </c>
      <c r="O32" s="97">
        <f>'Attribution Assumptions'!O6</f>
        <v>1</v>
      </c>
      <c r="P32" s="97">
        <f>'Attribution Assumptions'!P6</f>
        <v>1</v>
      </c>
      <c r="Q32" s="97">
        <f>'Attribution Assumptions'!Q6</f>
        <v>1</v>
      </c>
      <c r="R32" s="97">
        <f>'Attribution Assumptions'!R6</f>
        <v>1</v>
      </c>
      <c r="S32" s="97">
        <f>'Attribution Assumptions'!S6</f>
        <v>1</v>
      </c>
      <c r="T32" s="97">
        <f>'Attribution Assumptions'!T6</f>
        <v>1</v>
      </c>
      <c r="U32" s="97">
        <f>'Attribution Assumptions'!U6</f>
        <v>1</v>
      </c>
      <c r="V32" s="97">
        <f>'Attribution Assumptions'!V6</f>
        <v>1</v>
      </c>
      <c r="W32" s="97">
        <f>'Attribution Assumptions'!W6</f>
        <v>1</v>
      </c>
      <c r="X32" s="97">
        <f>'Attribution Assumptions'!X6</f>
        <v>1</v>
      </c>
      <c r="Y32" s="97">
        <f>'Attribution Assumptions'!Y6</f>
        <v>1</v>
      </c>
      <c r="Z32" s="97">
        <f>'Attribution Assumptions'!Z6</f>
        <v>1</v>
      </c>
      <c r="AA32" s="97">
        <f>'Attribution Assumptions'!AA6</f>
        <v>1</v>
      </c>
      <c r="AB32" s="97">
        <f>'Attribution Assumptions'!AB6</f>
        <v>1</v>
      </c>
    </row>
    <row r="33" spans="1:28" s="171" customFormat="1" ht="15" customHeight="1">
      <c r="A33" s="464"/>
      <c r="B33" s="2" t="s">
        <v>28</v>
      </c>
      <c r="C33" s="13" t="s">
        <v>101</v>
      </c>
      <c r="D33" s="97">
        <f>'Attribution Assumptions'!D7</f>
        <v>1</v>
      </c>
      <c r="E33" s="97">
        <f>'Attribution Assumptions'!E7</f>
        <v>1</v>
      </c>
      <c r="F33" s="97">
        <f>'Attribution Assumptions'!F7</f>
        <v>1</v>
      </c>
      <c r="G33" s="97">
        <f>'Attribution Assumptions'!G7</f>
        <v>1</v>
      </c>
      <c r="H33" s="97">
        <f>'Attribution Assumptions'!H7</f>
        <v>1</v>
      </c>
      <c r="I33" s="97">
        <f>'Attribution Assumptions'!I7</f>
        <v>1</v>
      </c>
      <c r="J33" s="97">
        <f>'Attribution Assumptions'!J7</f>
        <v>1</v>
      </c>
      <c r="K33" s="97">
        <f>'Attribution Assumptions'!K7</f>
        <v>1</v>
      </c>
      <c r="L33" s="97">
        <f>'Attribution Assumptions'!L7</f>
        <v>1</v>
      </c>
      <c r="M33" s="97">
        <f>'Attribution Assumptions'!M7</f>
        <v>1</v>
      </c>
      <c r="N33" s="97">
        <f>'Attribution Assumptions'!N7</f>
        <v>1</v>
      </c>
      <c r="O33" s="97">
        <f>'Attribution Assumptions'!O7</f>
        <v>1</v>
      </c>
      <c r="P33" s="97">
        <f>'Attribution Assumptions'!P7</f>
        <v>1</v>
      </c>
      <c r="Q33" s="97">
        <f>'Attribution Assumptions'!Q7</f>
        <v>1</v>
      </c>
      <c r="R33" s="97">
        <f>'Attribution Assumptions'!R7</f>
        <v>1</v>
      </c>
      <c r="S33" s="97">
        <f>'Attribution Assumptions'!S7</f>
        <v>1</v>
      </c>
      <c r="T33" s="97">
        <f>'Attribution Assumptions'!T7</f>
        <v>1</v>
      </c>
      <c r="U33" s="97">
        <f>'Attribution Assumptions'!U7</f>
        <v>1</v>
      </c>
      <c r="V33" s="97">
        <f>'Attribution Assumptions'!V7</f>
        <v>1</v>
      </c>
      <c r="W33" s="97">
        <f>'Attribution Assumptions'!W7</f>
        <v>1</v>
      </c>
      <c r="X33" s="97">
        <f>'Attribution Assumptions'!X7</f>
        <v>1</v>
      </c>
      <c r="Y33" s="97">
        <f>'Attribution Assumptions'!Y7</f>
        <v>1</v>
      </c>
      <c r="Z33" s="97">
        <f>'Attribution Assumptions'!Z7</f>
        <v>1</v>
      </c>
      <c r="AA33" s="97">
        <f>'Attribution Assumptions'!AA7</f>
        <v>1</v>
      </c>
      <c r="AB33" s="97">
        <f>'Attribution Assumptions'!AB7</f>
        <v>1</v>
      </c>
    </row>
    <row r="34" spans="1:28" s="171" customFormat="1" ht="15" customHeight="1">
      <c r="A34" s="464"/>
      <c r="B34" s="2" t="s">
        <v>117</v>
      </c>
      <c r="C34" s="13" t="s">
        <v>101</v>
      </c>
      <c r="D34" s="97">
        <f>'Attribution Assumptions'!D8</f>
        <v>1</v>
      </c>
      <c r="E34" s="97">
        <f>'Attribution Assumptions'!E8</f>
        <v>1</v>
      </c>
      <c r="F34" s="97">
        <f>'Attribution Assumptions'!F8</f>
        <v>1</v>
      </c>
      <c r="G34" s="97">
        <f>'Attribution Assumptions'!G8</f>
        <v>1</v>
      </c>
      <c r="H34" s="97">
        <f>'Attribution Assumptions'!H8</f>
        <v>1</v>
      </c>
      <c r="I34" s="97">
        <f>'Attribution Assumptions'!I8</f>
        <v>1</v>
      </c>
      <c r="J34" s="97">
        <f>'Attribution Assumptions'!J8</f>
        <v>1</v>
      </c>
      <c r="K34" s="97">
        <f>'Attribution Assumptions'!K8</f>
        <v>1</v>
      </c>
      <c r="L34" s="97">
        <f>'Attribution Assumptions'!L8</f>
        <v>1</v>
      </c>
      <c r="M34" s="97">
        <f>'Attribution Assumptions'!M8</f>
        <v>1</v>
      </c>
      <c r="N34" s="97">
        <f>'Attribution Assumptions'!N8</f>
        <v>1</v>
      </c>
      <c r="O34" s="97">
        <f>'Attribution Assumptions'!O8</f>
        <v>1</v>
      </c>
      <c r="P34" s="97">
        <f>'Attribution Assumptions'!P8</f>
        <v>1</v>
      </c>
      <c r="Q34" s="97">
        <f>'Attribution Assumptions'!Q8</f>
        <v>1</v>
      </c>
      <c r="R34" s="97">
        <f>'Attribution Assumptions'!R8</f>
        <v>1</v>
      </c>
      <c r="S34" s="97">
        <f>'Attribution Assumptions'!S8</f>
        <v>1</v>
      </c>
      <c r="T34" s="97">
        <f>'Attribution Assumptions'!T8</f>
        <v>1</v>
      </c>
      <c r="U34" s="97">
        <f>'Attribution Assumptions'!U8</f>
        <v>1</v>
      </c>
      <c r="V34" s="97">
        <f>'Attribution Assumptions'!V8</f>
        <v>1</v>
      </c>
      <c r="W34" s="97">
        <f>'Attribution Assumptions'!W8</f>
        <v>1</v>
      </c>
      <c r="X34" s="97">
        <f>'Attribution Assumptions'!X8</f>
        <v>1</v>
      </c>
      <c r="Y34" s="97">
        <f>'Attribution Assumptions'!Y8</f>
        <v>1</v>
      </c>
      <c r="Z34" s="97">
        <f>'Attribution Assumptions'!Z8</f>
        <v>1</v>
      </c>
      <c r="AA34" s="97">
        <f>'Attribution Assumptions'!AA8</f>
        <v>1</v>
      </c>
      <c r="AB34" s="97">
        <f>'Attribution Assumptions'!AB8</f>
        <v>1</v>
      </c>
    </row>
    <row r="35" spans="1:28" s="171" customFormat="1" ht="15" customHeight="1">
      <c r="A35" s="464"/>
      <c r="B35" s="2" t="s">
        <v>31</v>
      </c>
      <c r="C35" s="13" t="s">
        <v>101</v>
      </c>
      <c r="D35" s="97">
        <f>'Attribution Assumptions'!D9</f>
        <v>1</v>
      </c>
      <c r="E35" s="97">
        <f>'Attribution Assumptions'!E9</f>
        <v>1</v>
      </c>
      <c r="F35" s="97">
        <f>'Attribution Assumptions'!F9</f>
        <v>1</v>
      </c>
      <c r="G35" s="97">
        <f>'Attribution Assumptions'!G9</f>
        <v>1</v>
      </c>
      <c r="H35" s="97">
        <f>'Attribution Assumptions'!H9</f>
        <v>1</v>
      </c>
      <c r="I35" s="97">
        <f>'Attribution Assumptions'!I9</f>
        <v>1</v>
      </c>
      <c r="J35" s="97">
        <f>'Attribution Assumptions'!J9</f>
        <v>1</v>
      </c>
      <c r="K35" s="97">
        <f>'Attribution Assumptions'!K9</f>
        <v>1</v>
      </c>
      <c r="L35" s="97">
        <f>'Attribution Assumptions'!L9</f>
        <v>1</v>
      </c>
      <c r="M35" s="97">
        <f>'Attribution Assumptions'!M9</f>
        <v>1</v>
      </c>
      <c r="N35" s="97">
        <f>'Attribution Assumptions'!N9</f>
        <v>1</v>
      </c>
      <c r="O35" s="97">
        <f>'Attribution Assumptions'!O9</f>
        <v>1</v>
      </c>
      <c r="P35" s="97">
        <f>'Attribution Assumptions'!P9</f>
        <v>1</v>
      </c>
      <c r="Q35" s="97">
        <f>'Attribution Assumptions'!Q9</f>
        <v>1</v>
      </c>
      <c r="R35" s="97">
        <f>'Attribution Assumptions'!R9</f>
        <v>1</v>
      </c>
      <c r="S35" s="97">
        <f>'Attribution Assumptions'!S9</f>
        <v>1</v>
      </c>
      <c r="T35" s="97">
        <f>'Attribution Assumptions'!T9</f>
        <v>1</v>
      </c>
      <c r="U35" s="97">
        <f>'Attribution Assumptions'!U9</f>
        <v>1</v>
      </c>
      <c r="V35" s="97">
        <f>'Attribution Assumptions'!V9</f>
        <v>1</v>
      </c>
      <c r="W35" s="97">
        <f>'Attribution Assumptions'!W9</f>
        <v>1</v>
      </c>
      <c r="X35" s="97">
        <f>'Attribution Assumptions'!X9</f>
        <v>1</v>
      </c>
      <c r="Y35" s="97">
        <f>'Attribution Assumptions'!Y9</f>
        <v>1</v>
      </c>
      <c r="Z35" s="97">
        <f>'Attribution Assumptions'!Z9</f>
        <v>1</v>
      </c>
      <c r="AA35" s="97">
        <f>'Attribution Assumptions'!AA9</f>
        <v>1</v>
      </c>
      <c r="AB35" s="97">
        <f>'Attribution Assumptions'!AB9</f>
        <v>1</v>
      </c>
    </row>
    <row r="36" spans="1:28" s="171" customFormat="1" ht="15" customHeight="1">
      <c r="A36" s="464"/>
      <c r="B36" s="208" t="s">
        <v>118</v>
      </c>
      <c r="C36" s="244" t="s">
        <v>101</v>
      </c>
      <c r="D36" s="270">
        <f>'Attribution Assumptions'!D10</f>
        <v>0</v>
      </c>
      <c r="E36" s="270">
        <f>'Attribution Assumptions'!E10</f>
        <v>0</v>
      </c>
      <c r="F36" s="270">
        <f>'Attribution Assumptions'!F10</f>
        <v>0</v>
      </c>
      <c r="G36" s="270">
        <f>'Attribution Assumptions'!G10</f>
        <v>0</v>
      </c>
      <c r="H36" s="270">
        <f>'Attribution Assumptions'!H10</f>
        <v>0</v>
      </c>
      <c r="I36" s="270">
        <f>'Attribution Assumptions'!I10</f>
        <v>0</v>
      </c>
      <c r="J36" s="270">
        <f>'Attribution Assumptions'!J10</f>
        <v>0</v>
      </c>
      <c r="K36" s="270">
        <f>'Attribution Assumptions'!K10</f>
        <v>0</v>
      </c>
      <c r="L36" s="270">
        <f>'Attribution Assumptions'!L10</f>
        <v>0</v>
      </c>
      <c r="M36" s="270">
        <f>'Attribution Assumptions'!M10</f>
        <v>0</v>
      </c>
      <c r="N36" s="270">
        <f>'Attribution Assumptions'!N10</f>
        <v>0</v>
      </c>
      <c r="O36" s="270">
        <f>'Attribution Assumptions'!O10</f>
        <v>0</v>
      </c>
      <c r="P36" s="270">
        <f>'Attribution Assumptions'!P10</f>
        <v>0</v>
      </c>
      <c r="Q36" s="270">
        <f>'Attribution Assumptions'!Q10</f>
        <v>0</v>
      </c>
      <c r="R36" s="270">
        <f>'Attribution Assumptions'!R10</f>
        <v>0</v>
      </c>
      <c r="S36" s="270">
        <f>'Attribution Assumptions'!S10</f>
        <v>0</v>
      </c>
      <c r="T36" s="270">
        <f>'Attribution Assumptions'!T10</f>
        <v>0</v>
      </c>
      <c r="U36" s="270">
        <f>'Attribution Assumptions'!U10</f>
        <v>0</v>
      </c>
      <c r="V36" s="270">
        <f>'Attribution Assumptions'!V10</f>
        <v>0</v>
      </c>
      <c r="W36" s="270">
        <f>'Attribution Assumptions'!W10</f>
        <v>0</v>
      </c>
      <c r="X36" s="270">
        <f>'Attribution Assumptions'!X10</f>
        <v>0</v>
      </c>
      <c r="Y36" s="270">
        <f>'Attribution Assumptions'!Y10</f>
        <v>0</v>
      </c>
      <c r="Z36" s="270">
        <f>'Attribution Assumptions'!Z10</f>
        <v>0</v>
      </c>
      <c r="AA36" s="270">
        <f>'Attribution Assumptions'!AA10</f>
        <v>0</v>
      </c>
      <c r="AB36" s="270">
        <f>'Attribution Assumptions'!AB10</f>
        <v>0</v>
      </c>
    </row>
    <row r="37" spans="1:28" ht="15" customHeight="1">
      <c r="A37" s="464"/>
      <c r="B37" s="2" t="s">
        <v>9</v>
      </c>
      <c r="C37" s="13" t="s">
        <v>101</v>
      </c>
      <c r="D37" s="97">
        <f>'Attribution Assumptions'!D11</f>
        <v>1</v>
      </c>
      <c r="E37" s="97">
        <f>'Attribution Assumptions'!E11</f>
        <v>1</v>
      </c>
      <c r="F37" s="97">
        <f>'Attribution Assumptions'!F11</f>
        <v>1</v>
      </c>
      <c r="G37" s="97">
        <f>'Attribution Assumptions'!G11</f>
        <v>1</v>
      </c>
      <c r="H37" s="97">
        <f>'Attribution Assumptions'!H11</f>
        <v>1</v>
      </c>
      <c r="I37" s="97">
        <f>'Attribution Assumptions'!I11</f>
        <v>1</v>
      </c>
      <c r="J37" s="97">
        <f>'Attribution Assumptions'!J11</f>
        <v>1</v>
      </c>
      <c r="K37" s="97">
        <f>'Attribution Assumptions'!K11</f>
        <v>1</v>
      </c>
      <c r="L37" s="97">
        <f>'Attribution Assumptions'!L11</f>
        <v>1</v>
      </c>
      <c r="M37" s="97">
        <f>'Attribution Assumptions'!M11</f>
        <v>1</v>
      </c>
      <c r="N37" s="97">
        <f>'Attribution Assumptions'!N11</f>
        <v>1</v>
      </c>
      <c r="O37" s="97">
        <f>'Attribution Assumptions'!O11</f>
        <v>1</v>
      </c>
      <c r="P37" s="97">
        <f>'Attribution Assumptions'!P11</f>
        <v>1</v>
      </c>
      <c r="Q37" s="97">
        <f>'Attribution Assumptions'!Q11</f>
        <v>1</v>
      </c>
      <c r="R37" s="97">
        <f>'Attribution Assumptions'!R11</f>
        <v>1</v>
      </c>
      <c r="S37" s="97">
        <f>'Attribution Assumptions'!S11</f>
        <v>1</v>
      </c>
      <c r="T37" s="97">
        <f>'Attribution Assumptions'!T11</f>
        <v>1</v>
      </c>
      <c r="U37" s="97">
        <f>'Attribution Assumptions'!U11</f>
        <v>1</v>
      </c>
      <c r="V37" s="97">
        <f>'Attribution Assumptions'!V11</f>
        <v>1</v>
      </c>
      <c r="W37" s="97">
        <f>'Attribution Assumptions'!W11</f>
        <v>1</v>
      </c>
      <c r="X37" s="97">
        <f>'Attribution Assumptions'!X11</f>
        <v>1</v>
      </c>
      <c r="Y37" s="97">
        <f>'Attribution Assumptions'!Y11</f>
        <v>1</v>
      </c>
      <c r="Z37" s="97">
        <f>'Attribution Assumptions'!Z11</f>
        <v>1</v>
      </c>
      <c r="AA37" s="97">
        <f>'Attribution Assumptions'!AA11</f>
        <v>1</v>
      </c>
      <c r="AB37" s="97">
        <f>'Attribution Assumptions'!AB11</f>
        <v>1</v>
      </c>
    </row>
    <row r="38" spans="1:28" ht="15" customHeight="1">
      <c r="A38" s="464"/>
      <c r="B38" s="2" t="s">
        <v>34</v>
      </c>
      <c r="C38" s="13" t="s">
        <v>101</v>
      </c>
      <c r="D38" s="97">
        <f>'Attribution Assumptions'!D12</f>
        <v>1</v>
      </c>
      <c r="E38" s="97">
        <f>'Attribution Assumptions'!E12</f>
        <v>1</v>
      </c>
      <c r="F38" s="97">
        <f>'Attribution Assumptions'!F12</f>
        <v>1</v>
      </c>
      <c r="G38" s="97">
        <f>'Attribution Assumptions'!G12</f>
        <v>1</v>
      </c>
      <c r="H38" s="97">
        <f>'Attribution Assumptions'!H12</f>
        <v>1</v>
      </c>
      <c r="I38" s="97">
        <f>'Attribution Assumptions'!I12</f>
        <v>1</v>
      </c>
      <c r="J38" s="97">
        <f>'Attribution Assumptions'!J12</f>
        <v>1</v>
      </c>
      <c r="K38" s="97">
        <f>'Attribution Assumptions'!K12</f>
        <v>1</v>
      </c>
      <c r="L38" s="97">
        <f>'Attribution Assumptions'!L12</f>
        <v>1</v>
      </c>
      <c r="M38" s="97">
        <f>'Attribution Assumptions'!M12</f>
        <v>1</v>
      </c>
      <c r="N38" s="97">
        <f>'Attribution Assumptions'!N12</f>
        <v>1</v>
      </c>
      <c r="O38" s="97">
        <f>'Attribution Assumptions'!O12</f>
        <v>1</v>
      </c>
      <c r="P38" s="97">
        <f>'Attribution Assumptions'!P12</f>
        <v>1</v>
      </c>
      <c r="Q38" s="97">
        <f>'Attribution Assumptions'!Q12</f>
        <v>1</v>
      </c>
      <c r="R38" s="97">
        <f>'Attribution Assumptions'!R12</f>
        <v>1</v>
      </c>
      <c r="S38" s="97">
        <f>'Attribution Assumptions'!S12</f>
        <v>1</v>
      </c>
      <c r="T38" s="97">
        <f>'Attribution Assumptions'!T12</f>
        <v>1</v>
      </c>
      <c r="U38" s="97">
        <f>'Attribution Assumptions'!U12</f>
        <v>1</v>
      </c>
      <c r="V38" s="97">
        <f>'Attribution Assumptions'!V12</f>
        <v>1</v>
      </c>
      <c r="W38" s="97">
        <f>'Attribution Assumptions'!W12</f>
        <v>1</v>
      </c>
      <c r="X38" s="97">
        <f>'Attribution Assumptions'!X12</f>
        <v>1</v>
      </c>
      <c r="Y38" s="97">
        <f>'Attribution Assumptions'!Y12</f>
        <v>1</v>
      </c>
      <c r="Z38" s="97">
        <f>'Attribution Assumptions'!Z12</f>
        <v>1</v>
      </c>
      <c r="AA38" s="97">
        <f>'Attribution Assumptions'!AA12</f>
        <v>1</v>
      </c>
      <c r="AB38" s="97">
        <f>'Attribution Assumptions'!AB12</f>
        <v>1</v>
      </c>
    </row>
    <row r="39" spans="1:28" ht="15" customHeight="1">
      <c r="A39" s="464"/>
      <c r="B39" s="2" t="s">
        <v>33</v>
      </c>
      <c r="C39" s="13" t="s">
        <v>101</v>
      </c>
      <c r="D39" s="97">
        <f>'Attribution Assumptions'!D13</f>
        <v>1</v>
      </c>
      <c r="E39" s="97">
        <f>'Attribution Assumptions'!E13</f>
        <v>1</v>
      </c>
      <c r="F39" s="97">
        <f>'Attribution Assumptions'!F13</f>
        <v>1</v>
      </c>
      <c r="G39" s="97">
        <f>'Attribution Assumptions'!G13</f>
        <v>1</v>
      </c>
      <c r="H39" s="97">
        <f>'Attribution Assumptions'!H13</f>
        <v>1</v>
      </c>
      <c r="I39" s="97">
        <f>'Attribution Assumptions'!I13</f>
        <v>1</v>
      </c>
      <c r="J39" s="97">
        <f>'Attribution Assumptions'!J13</f>
        <v>1</v>
      </c>
      <c r="K39" s="97">
        <f>'Attribution Assumptions'!K13</f>
        <v>1</v>
      </c>
      <c r="L39" s="97">
        <f>'Attribution Assumptions'!L13</f>
        <v>1</v>
      </c>
      <c r="M39" s="97">
        <f>'Attribution Assumptions'!M13</f>
        <v>1</v>
      </c>
      <c r="N39" s="97">
        <f>'Attribution Assumptions'!N13</f>
        <v>1</v>
      </c>
      <c r="O39" s="97">
        <f>'Attribution Assumptions'!O13</f>
        <v>1</v>
      </c>
      <c r="P39" s="97">
        <f>'Attribution Assumptions'!P13</f>
        <v>1</v>
      </c>
      <c r="Q39" s="97">
        <f>'Attribution Assumptions'!Q13</f>
        <v>1</v>
      </c>
      <c r="R39" s="97">
        <f>'Attribution Assumptions'!R13</f>
        <v>1</v>
      </c>
      <c r="S39" s="97">
        <f>'Attribution Assumptions'!S13</f>
        <v>1</v>
      </c>
      <c r="T39" s="97">
        <f>'Attribution Assumptions'!T13</f>
        <v>1</v>
      </c>
      <c r="U39" s="97">
        <f>'Attribution Assumptions'!U13</f>
        <v>1</v>
      </c>
      <c r="V39" s="97">
        <f>'Attribution Assumptions'!V13</f>
        <v>1</v>
      </c>
      <c r="W39" s="97">
        <f>'Attribution Assumptions'!W13</f>
        <v>1</v>
      </c>
      <c r="X39" s="97">
        <f>'Attribution Assumptions'!X13</f>
        <v>1</v>
      </c>
      <c r="Y39" s="97">
        <f>'Attribution Assumptions'!Y13</f>
        <v>1</v>
      </c>
      <c r="Z39" s="97">
        <f>'Attribution Assumptions'!Z13</f>
        <v>1</v>
      </c>
      <c r="AA39" s="97">
        <f>'Attribution Assumptions'!AA13</f>
        <v>1</v>
      </c>
      <c r="AB39" s="97">
        <f>'Attribution Assumptions'!AB13</f>
        <v>1</v>
      </c>
    </row>
    <row r="40" spans="1:28" s="171" customFormat="1" ht="15" customHeight="1">
      <c r="A40" s="464"/>
      <c r="B40" s="2" t="s">
        <v>24</v>
      </c>
      <c r="C40" s="13" t="s">
        <v>101</v>
      </c>
      <c r="D40" s="97">
        <f>'Attribution Assumptions'!D14</f>
        <v>1</v>
      </c>
      <c r="E40" s="97">
        <f>'Attribution Assumptions'!E14</f>
        <v>1</v>
      </c>
      <c r="F40" s="97">
        <f>'Attribution Assumptions'!F14</f>
        <v>1</v>
      </c>
      <c r="G40" s="97">
        <f>'Attribution Assumptions'!G14</f>
        <v>1</v>
      </c>
      <c r="H40" s="97">
        <f>'Attribution Assumptions'!H14</f>
        <v>1</v>
      </c>
      <c r="I40" s="97">
        <f>'Attribution Assumptions'!I14</f>
        <v>1</v>
      </c>
      <c r="J40" s="97">
        <f>'Attribution Assumptions'!J14</f>
        <v>1</v>
      </c>
      <c r="K40" s="97">
        <f>'Attribution Assumptions'!K14</f>
        <v>1</v>
      </c>
      <c r="L40" s="97">
        <f>'Attribution Assumptions'!L14</f>
        <v>1</v>
      </c>
      <c r="M40" s="97">
        <f>'Attribution Assumptions'!M14</f>
        <v>1</v>
      </c>
      <c r="N40" s="97">
        <f>'Attribution Assumptions'!N14</f>
        <v>1</v>
      </c>
      <c r="O40" s="97">
        <f>'Attribution Assumptions'!O14</f>
        <v>1</v>
      </c>
      <c r="P40" s="97">
        <f>'Attribution Assumptions'!P14</f>
        <v>1</v>
      </c>
      <c r="Q40" s="97">
        <f>'Attribution Assumptions'!Q14</f>
        <v>1</v>
      </c>
      <c r="R40" s="97">
        <f>'Attribution Assumptions'!R14</f>
        <v>1</v>
      </c>
      <c r="S40" s="97">
        <f>'Attribution Assumptions'!S14</f>
        <v>1</v>
      </c>
      <c r="T40" s="97">
        <f>'Attribution Assumptions'!T14</f>
        <v>1</v>
      </c>
      <c r="U40" s="97">
        <f>'Attribution Assumptions'!U14</f>
        <v>1</v>
      </c>
      <c r="V40" s="97">
        <f>'Attribution Assumptions'!V14</f>
        <v>1</v>
      </c>
      <c r="W40" s="97">
        <f>'Attribution Assumptions'!W14</f>
        <v>1</v>
      </c>
      <c r="X40" s="97">
        <f>'Attribution Assumptions'!X14</f>
        <v>1</v>
      </c>
      <c r="Y40" s="97">
        <f>'Attribution Assumptions'!Y14</f>
        <v>1</v>
      </c>
      <c r="Z40" s="97">
        <f>'Attribution Assumptions'!Z14</f>
        <v>1</v>
      </c>
      <c r="AA40" s="97">
        <f>'Attribution Assumptions'!AA14</f>
        <v>1</v>
      </c>
      <c r="AB40" s="97">
        <f>'Attribution Assumptions'!AB14</f>
        <v>1</v>
      </c>
    </row>
    <row r="41" spans="1:28" s="171" customFormat="1" ht="15" customHeight="1">
      <c r="A41" s="464"/>
      <c r="B41" s="2" t="s">
        <v>23</v>
      </c>
      <c r="C41" s="13" t="s">
        <v>101</v>
      </c>
      <c r="D41" s="97">
        <f>'Attribution Assumptions'!D15</f>
        <v>1</v>
      </c>
      <c r="E41" s="97">
        <f>'Attribution Assumptions'!E15</f>
        <v>1</v>
      </c>
      <c r="F41" s="97">
        <f>'Attribution Assumptions'!F15</f>
        <v>1</v>
      </c>
      <c r="G41" s="97">
        <f>'Attribution Assumptions'!G15</f>
        <v>1</v>
      </c>
      <c r="H41" s="97">
        <f>'Attribution Assumptions'!H15</f>
        <v>1</v>
      </c>
      <c r="I41" s="97">
        <f>'Attribution Assumptions'!I15</f>
        <v>1</v>
      </c>
      <c r="J41" s="97">
        <f>'Attribution Assumptions'!J15</f>
        <v>1</v>
      </c>
      <c r="K41" s="97">
        <f>'Attribution Assumptions'!K15</f>
        <v>1</v>
      </c>
      <c r="L41" s="97">
        <f>'Attribution Assumptions'!L15</f>
        <v>1</v>
      </c>
      <c r="M41" s="97">
        <f>'Attribution Assumptions'!M15</f>
        <v>1</v>
      </c>
      <c r="N41" s="97">
        <f>'Attribution Assumptions'!N15</f>
        <v>1</v>
      </c>
      <c r="O41" s="97">
        <f>'Attribution Assumptions'!O15</f>
        <v>1</v>
      </c>
      <c r="P41" s="97">
        <f>'Attribution Assumptions'!P15</f>
        <v>1</v>
      </c>
      <c r="Q41" s="97">
        <f>'Attribution Assumptions'!Q15</f>
        <v>1</v>
      </c>
      <c r="R41" s="97">
        <f>'Attribution Assumptions'!R15</f>
        <v>1</v>
      </c>
      <c r="S41" s="97">
        <f>'Attribution Assumptions'!S15</f>
        <v>1</v>
      </c>
      <c r="T41" s="97">
        <f>'Attribution Assumptions'!T15</f>
        <v>1</v>
      </c>
      <c r="U41" s="97">
        <f>'Attribution Assumptions'!U15</f>
        <v>1</v>
      </c>
      <c r="V41" s="97">
        <f>'Attribution Assumptions'!V15</f>
        <v>1</v>
      </c>
      <c r="W41" s="97">
        <f>'Attribution Assumptions'!W15</f>
        <v>1</v>
      </c>
      <c r="X41" s="97">
        <f>'Attribution Assumptions'!X15</f>
        <v>1</v>
      </c>
      <c r="Y41" s="97">
        <f>'Attribution Assumptions'!Y15</f>
        <v>1</v>
      </c>
      <c r="Z41" s="97">
        <f>'Attribution Assumptions'!Z15</f>
        <v>1</v>
      </c>
      <c r="AA41" s="97">
        <f>'Attribution Assumptions'!AA15</f>
        <v>1</v>
      </c>
      <c r="AB41" s="97">
        <f>'Attribution Assumptions'!AB15</f>
        <v>1</v>
      </c>
    </row>
    <row r="42" spans="1:28" s="171" customFormat="1" ht="15" customHeight="1">
      <c r="A42" s="464"/>
      <c r="B42" s="2" t="s">
        <v>121</v>
      </c>
      <c r="C42" s="13" t="s">
        <v>101</v>
      </c>
      <c r="D42" s="97">
        <f>'Attribution Assumptions'!D16</f>
        <v>1</v>
      </c>
      <c r="E42" s="97">
        <f>'Attribution Assumptions'!E16</f>
        <v>1</v>
      </c>
      <c r="F42" s="97">
        <f>'Attribution Assumptions'!F16</f>
        <v>1</v>
      </c>
      <c r="G42" s="97">
        <f>'Attribution Assumptions'!G16</f>
        <v>1</v>
      </c>
      <c r="H42" s="97">
        <f>'Attribution Assumptions'!H16</f>
        <v>1</v>
      </c>
      <c r="I42" s="97">
        <f>'Attribution Assumptions'!I16</f>
        <v>1</v>
      </c>
      <c r="J42" s="97">
        <f>'Attribution Assumptions'!J16</f>
        <v>1</v>
      </c>
      <c r="K42" s="97">
        <f>'Attribution Assumptions'!K16</f>
        <v>1</v>
      </c>
      <c r="L42" s="97">
        <f>'Attribution Assumptions'!L16</f>
        <v>1</v>
      </c>
      <c r="M42" s="97">
        <f>'Attribution Assumptions'!M16</f>
        <v>1</v>
      </c>
      <c r="N42" s="97">
        <f>'Attribution Assumptions'!N16</f>
        <v>1</v>
      </c>
      <c r="O42" s="97">
        <f>'Attribution Assumptions'!O16</f>
        <v>1</v>
      </c>
      <c r="P42" s="97">
        <f>'Attribution Assumptions'!P16</f>
        <v>1</v>
      </c>
      <c r="Q42" s="97">
        <f>'Attribution Assumptions'!Q16</f>
        <v>1</v>
      </c>
      <c r="R42" s="97">
        <f>'Attribution Assumptions'!R16</f>
        <v>1</v>
      </c>
      <c r="S42" s="97">
        <f>'Attribution Assumptions'!S16</f>
        <v>1</v>
      </c>
      <c r="T42" s="97">
        <f>'Attribution Assumptions'!T16</f>
        <v>1</v>
      </c>
      <c r="U42" s="97">
        <f>'Attribution Assumptions'!U16</f>
        <v>1</v>
      </c>
      <c r="V42" s="97">
        <f>'Attribution Assumptions'!V16</f>
        <v>1</v>
      </c>
      <c r="W42" s="97">
        <f>'Attribution Assumptions'!W16</f>
        <v>1</v>
      </c>
      <c r="X42" s="97">
        <f>'Attribution Assumptions'!X16</f>
        <v>1</v>
      </c>
      <c r="Y42" s="97">
        <f>'Attribution Assumptions'!Y16</f>
        <v>1</v>
      </c>
      <c r="Z42" s="97">
        <f>'Attribution Assumptions'!Z16</f>
        <v>1</v>
      </c>
      <c r="AA42" s="97">
        <f>'Attribution Assumptions'!AA16</f>
        <v>1</v>
      </c>
      <c r="AB42" s="97">
        <f>'Attribution Assumptions'!AB16</f>
        <v>1</v>
      </c>
    </row>
    <row r="43" spans="1:28" s="171" customFormat="1" ht="15" customHeight="1">
      <c r="A43" s="464"/>
      <c r="B43" s="2" t="s">
        <v>26</v>
      </c>
      <c r="C43" s="13" t="s">
        <v>101</v>
      </c>
      <c r="D43" s="97">
        <f>'Attribution Assumptions'!D17</f>
        <v>1</v>
      </c>
      <c r="E43" s="97">
        <f>'Attribution Assumptions'!E17</f>
        <v>1</v>
      </c>
      <c r="F43" s="97">
        <f>'Attribution Assumptions'!F17</f>
        <v>1</v>
      </c>
      <c r="G43" s="97">
        <f>'Attribution Assumptions'!G17</f>
        <v>1</v>
      </c>
      <c r="H43" s="97">
        <f>'Attribution Assumptions'!H17</f>
        <v>1</v>
      </c>
      <c r="I43" s="97">
        <f>'Attribution Assumptions'!I17</f>
        <v>1</v>
      </c>
      <c r="J43" s="97">
        <f>'Attribution Assumptions'!J17</f>
        <v>1</v>
      </c>
      <c r="K43" s="97">
        <f>'Attribution Assumptions'!K17</f>
        <v>1</v>
      </c>
      <c r="L43" s="97">
        <f>'Attribution Assumptions'!L17</f>
        <v>1</v>
      </c>
      <c r="M43" s="97">
        <f>'Attribution Assumptions'!M17</f>
        <v>1</v>
      </c>
      <c r="N43" s="97">
        <f>'Attribution Assumptions'!N17</f>
        <v>1</v>
      </c>
      <c r="O43" s="97">
        <f>'Attribution Assumptions'!O17</f>
        <v>1</v>
      </c>
      <c r="P43" s="97">
        <f>'Attribution Assumptions'!P17</f>
        <v>1</v>
      </c>
      <c r="Q43" s="97">
        <f>'Attribution Assumptions'!Q17</f>
        <v>1</v>
      </c>
      <c r="R43" s="97">
        <f>'Attribution Assumptions'!R17</f>
        <v>1</v>
      </c>
      <c r="S43" s="97">
        <f>'Attribution Assumptions'!S17</f>
        <v>1</v>
      </c>
      <c r="T43" s="97">
        <f>'Attribution Assumptions'!T17</f>
        <v>1</v>
      </c>
      <c r="U43" s="97">
        <f>'Attribution Assumptions'!U17</f>
        <v>1</v>
      </c>
      <c r="V43" s="97">
        <f>'Attribution Assumptions'!V17</f>
        <v>1</v>
      </c>
      <c r="W43" s="97">
        <f>'Attribution Assumptions'!W17</f>
        <v>1</v>
      </c>
      <c r="X43" s="97">
        <f>'Attribution Assumptions'!X17</f>
        <v>1</v>
      </c>
      <c r="Y43" s="97">
        <f>'Attribution Assumptions'!Y17</f>
        <v>1</v>
      </c>
      <c r="Z43" s="97">
        <f>'Attribution Assumptions'!Z17</f>
        <v>1</v>
      </c>
      <c r="AA43" s="97">
        <f>'Attribution Assumptions'!AA17</f>
        <v>1</v>
      </c>
      <c r="AB43" s="97">
        <f>'Attribution Assumptions'!AB17</f>
        <v>1</v>
      </c>
    </row>
    <row r="44" spans="1:28" s="171" customFormat="1" ht="15" customHeight="1">
      <c r="A44" s="464"/>
      <c r="B44" s="208" t="s">
        <v>14</v>
      </c>
      <c r="C44" s="244" t="s">
        <v>101</v>
      </c>
      <c r="D44" s="270">
        <f>'Attribution Assumptions'!D18</f>
        <v>0</v>
      </c>
      <c r="E44" s="270">
        <f>'Attribution Assumptions'!E18</f>
        <v>0</v>
      </c>
      <c r="F44" s="270">
        <f>'Attribution Assumptions'!F18</f>
        <v>0</v>
      </c>
      <c r="G44" s="270">
        <f>'Attribution Assumptions'!G18</f>
        <v>0</v>
      </c>
      <c r="H44" s="270">
        <f>'Attribution Assumptions'!H18</f>
        <v>0</v>
      </c>
      <c r="I44" s="270">
        <f>'Attribution Assumptions'!I18</f>
        <v>0</v>
      </c>
      <c r="J44" s="270">
        <f>'Attribution Assumptions'!J18</f>
        <v>0</v>
      </c>
      <c r="K44" s="270">
        <f>'Attribution Assumptions'!K18</f>
        <v>0</v>
      </c>
      <c r="L44" s="270">
        <f>'Attribution Assumptions'!L18</f>
        <v>0</v>
      </c>
      <c r="M44" s="270">
        <f>'Attribution Assumptions'!M18</f>
        <v>0</v>
      </c>
      <c r="N44" s="270">
        <f>'Attribution Assumptions'!N18</f>
        <v>0</v>
      </c>
      <c r="O44" s="270">
        <f>'Attribution Assumptions'!O18</f>
        <v>0</v>
      </c>
      <c r="P44" s="270">
        <f>'Attribution Assumptions'!P18</f>
        <v>0</v>
      </c>
      <c r="Q44" s="270">
        <f>'Attribution Assumptions'!Q18</f>
        <v>0</v>
      </c>
      <c r="R44" s="270">
        <f>'Attribution Assumptions'!R18</f>
        <v>0</v>
      </c>
      <c r="S44" s="270">
        <f>'Attribution Assumptions'!S18</f>
        <v>0</v>
      </c>
      <c r="T44" s="270">
        <f>'Attribution Assumptions'!T18</f>
        <v>0</v>
      </c>
      <c r="U44" s="270">
        <f>'Attribution Assumptions'!U18</f>
        <v>0</v>
      </c>
      <c r="V44" s="270">
        <f>'Attribution Assumptions'!V18</f>
        <v>0</v>
      </c>
      <c r="W44" s="270">
        <f>'Attribution Assumptions'!W18</f>
        <v>0</v>
      </c>
      <c r="X44" s="270">
        <f>'Attribution Assumptions'!X18</f>
        <v>0</v>
      </c>
      <c r="Y44" s="270">
        <f>'Attribution Assumptions'!Y18</f>
        <v>0</v>
      </c>
      <c r="Z44" s="270">
        <f>'Attribution Assumptions'!Z18</f>
        <v>0</v>
      </c>
      <c r="AA44" s="270">
        <f>'Attribution Assumptions'!AA18</f>
        <v>0</v>
      </c>
      <c r="AB44" s="270">
        <f>'Attribution Assumptions'!AB18</f>
        <v>0</v>
      </c>
    </row>
    <row r="45" spans="1:28" s="171" customFormat="1" ht="15" customHeight="1">
      <c r="A45" s="464"/>
      <c r="B45" s="208" t="s">
        <v>108</v>
      </c>
      <c r="C45" s="244" t="s">
        <v>101</v>
      </c>
      <c r="D45" s="270">
        <f>'Attribution Assumptions'!D19</f>
        <v>0</v>
      </c>
      <c r="E45" s="270">
        <f>'Attribution Assumptions'!E19</f>
        <v>0</v>
      </c>
      <c r="F45" s="270">
        <f>'Attribution Assumptions'!F19</f>
        <v>0</v>
      </c>
      <c r="G45" s="270">
        <f>'Attribution Assumptions'!G19</f>
        <v>0</v>
      </c>
      <c r="H45" s="270">
        <f>'Attribution Assumptions'!H19</f>
        <v>0</v>
      </c>
      <c r="I45" s="270">
        <f>'Attribution Assumptions'!I19</f>
        <v>0</v>
      </c>
      <c r="J45" s="270">
        <f>'Attribution Assumptions'!J19</f>
        <v>0</v>
      </c>
      <c r="K45" s="270">
        <f>'Attribution Assumptions'!K19</f>
        <v>0</v>
      </c>
      <c r="L45" s="270">
        <f>'Attribution Assumptions'!L19</f>
        <v>0</v>
      </c>
      <c r="M45" s="270">
        <f>'Attribution Assumptions'!M19</f>
        <v>0</v>
      </c>
      <c r="N45" s="270">
        <f>'Attribution Assumptions'!N19</f>
        <v>0</v>
      </c>
      <c r="O45" s="270">
        <f>'Attribution Assumptions'!O19</f>
        <v>0</v>
      </c>
      <c r="P45" s="270">
        <f>'Attribution Assumptions'!P19</f>
        <v>0</v>
      </c>
      <c r="Q45" s="270">
        <f>'Attribution Assumptions'!Q19</f>
        <v>0</v>
      </c>
      <c r="R45" s="270">
        <f>'Attribution Assumptions'!R19</f>
        <v>0</v>
      </c>
      <c r="S45" s="270">
        <f>'Attribution Assumptions'!S19</f>
        <v>0</v>
      </c>
      <c r="T45" s="270">
        <f>'Attribution Assumptions'!T19</f>
        <v>0</v>
      </c>
      <c r="U45" s="270">
        <f>'Attribution Assumptions'!U19</f>
        <v>0</v>
      </c>
      <c r="V45" s="270">
        <f>'Attribution Assumptions'!V19</f>
        <v>0</v>
      </c>
      <c r="W45" s="270">
        <f>'Attribution Assumptions'!W19</f>
        <v>0</v>
      </c>
      <c r="X45" s="270">
        <f>'Attribution Assumptions'!X19</f>
        <v>0</v>
      </c>
      <c r="Y45" s="270">
        <f>'Attribution Assumptions'!Y19</f>
        <v>0</v>
      </c>
      <c r="Z45" s="270">
        <f>'Attribution Assumptions'!Z19</f>
        <v>0</v>
      </c>
      <c r="AA45" s="270">
        <f>'Attribution Assumptions'!AA19</f>
        <v>0</v>
      </c>
      <c r="AB45" s="270">
        <f>'Attribution Assumptions'!AB19</f>
        <v>0</v>
      </c>
    </row>
    <row r="46" spans="1:28" ht="15" customHeight="1">
      <c r="A46" s="464"/>
      <c r="B46" s="2" t="s">
        <v>122</v>
      </c>
      <c r="C46" s="13" t="s">
        <v>101</v>
      </c>
      <c r="D46" s="97">
        <f>'Attribution Assumptions'!D20</f>
        <v>1</v>
      </c>
      <c r="E46" s="97">
        <f>'Attribution Assumptions'!E20</f>
        <v>1</v>
      </c>
      <c r="F46" s="97">
        <f>'Attribution Assumptions'!F20</f>
        <v>1</v>
      </c>
      <c r="G46" s="97">
        <f>'Attribution Assumptions'!G20</f>
        <v>1</v>
      </c>
      <c r="H46" s="97">
        <f>'Attribution Assumptions'!H20</f>
        <v>1</v>
      </c>
      <c r="I46" s="97">
        <f>'Attribution Assumptions'!I20</f>
        <v>1</v>
      </c>
      <c r="J46" s="97">
        <f>'Attribution Assumptions'!J20</f>
        <v>1</v>
      </c>
      <c r="K46" s="97">
        <f>'Attribution Assumptions'!K20</f>
        <v>1</v>
      </c>
      <c r="L46" s="97">
        <f>'Attribution Assumptions'!L20</f>
        <v>1</v>
      </c>
      <c r="M46" s="97">
        <f>'Attribution Assumptions'!M20</f>
        <v>1</v>
      </c>
      <c r="N46" s="97">
        <f>'Attribution Assumptions'!N20</f>
        <v>1</v>
      </c>
      <c r="O46" s="97">
        <f>'Attribution Assumptions'!O20</f>
        <v>1</v>
      </c>
      <c r="P46" s="97">
        <f>'Attribution Assumptions'!P20</f>
        <v>1</v>
      </c>
      <c r="Q46" s="97">
        <f>'Attribution Assumptions'!Q20</f>
        <v>1</v>
      </c>
      <c r="R46" s="97">
        <f>'Attribution Assumptions'!R20</f>
        <v>1</v>
      </c>
      <c r="S46" s="97">
        <f>'Attribution Assumptions'!S20</f>
        <v>1</v>
      </c>
      <c r="T46" s="97">
        <f>'Attribution Assumptions'!T20</f>
        <v>1</v>
      </c>
      <c r="U46" s="97">
        <f>'Attribution Assumptions'!U20</f>
        <v>1</v>
      </c>
      <c r="V46" s="97">
        <f>'Attribution Assumptions'!V20</f>
        <v>1</v>
      </c>
      <c r="W46" s="97">
        <f>'Attribution Assumptions'!W20</f>
        <v>1</v>
      </c>
      <c r="X46" s="97">
        <f>'Attribution Assumptions'!X20</f>
        <v>1</v>
      </c>
      <c r="Y46" s="97">
        <f>'Attribution Assumptions'!Y20</f>
        <v>1</v>
      </c>
      <c r="Z46" s="97">
        <f>'Attribution Assumptions'!Z20</f>
        <v>1</v>
      </c>
      <c r="AA46" s="97">
        <f>'Attribution Assumptions'!AA20</f>
        <v>1</v>
      </c>
      <c r="AB46" s="97">
        <f>'Attribution Assumptions'!AB20</f>
        <v>1</v>
      </c>
    </row>
    <row r="47" spans="1:28" ht="15" customHeight="1">
      <c r="A47" s="464"/>
      <c r="B47" s="12" t="s">
        <v>123</v>
      </c>
      <c r="C47" s="13" t="s">
        <v>101</v>
      </c>
      <c r="D47" s="97">
        <f>'Attribution Assumptions'!D21</f>
        <v>1</v>
      </c>
      <c r="E47" s="97">
        <f>'Attribution Assumptions'!E21</f>
        <v>1</v>
      </c>
      <c r="F47" s="97">
        <f>'Attribution Assumptions'!F21</f>
        <v>1</v>
      </c>
      <c r="G47" s="97">
        <f>'Attribution Assumptions'!G21</f>
        <v>1</v>
      </c>
      <c r="H47" s="97">
        <f>'Attribution Assumptions'!H21</f>
        <v>1</v>
      </c>
      <c r="I47" s="97">
        <f>'Attribution Assumptions'!I21</f>
        <v>1</v>
      </c>
      <c r="J47" s="97">
        <f>'Attribution Assumptions'!J21</f>
        <v>1</v>
      </c>
      <c r="K47" s="97">
        <f>'Attribution Assumptions'!K21</f>
        <v>1</v>
      </c>
      <c r="L47" s="97">
        <f>'Attribution Assumptions'!L21</f>
        <v>1</v>
      </c>
      <c r="M47" s="97">
        <f>'Attribution Assumptions'!M21</f>
        <v>1</v>
      </c>
      <c r="N47" s="97">
        <f>'Attribution Assumptions'!N21</f>
        <v>1</v>
      </c>
      <c r="O47" s="97">
        <f>'Attribution Assumptions'!O21</f>
        <v>1</v>
      </c>
      <c r="P47" s="97">
        <f>'Attribution Assumptions'!P21</f>
        <v>1</v>
      </c>
      <c r="Q47" s="97">
        <f>'Attribution Assumptions'!Q21</f>
        <v>1</v>
      </c>
      <c r="R47" s="97">
        <f>'Attribution Assumptions'!R21</f>
        <v>1</v>
      </c>
      <c r="S47" s="97">
        <f>'Attribution Assumptions'!S21</f>
        <v>1</v>
      </c>
      <c r="T47" s="97">
        <f>'Attribution Assumptions'!T21</f>
        <v>1</v>
      </c>
      <c r="U47" s="97">
        <f>'Attribution Assumptions'!U21</f>
        <v>1</v>
      </c>
      <c r="V47" s="97">
        <f>'Attribution Assumptions'!V21</f>
        <v>1</v>
      </c>
      <c r="W47" s="97">
        <f>'Attribution Assumptions'!W21</f>
        <v>1</v>
      </c>
      <c r="X47" s="97">
        <f>'Attribution Assumptions'!X21</f>
        <v>1</v>
      </c>
      <c r="Y47" s="97">
        <f>'Attribution Assumptions'!Y21</f>
        <v>1</v>
      </c>
      <c r="Z47" s="97">
        <f>'Attribution Assumptions'!Z21</f>
        <v>1</v>
      </c>
      <c r="AA47" s="97">
        <f>'Attribution Assumptions'!AA21</f>
        <v>1</v>
      </c>
      <c r="AB47" s="97">
        <f>'Attribution Assumptions'!AB21</f>
        <v>1</v>
      </c>
    </row>
    <row r="48" spans="1:28" ht="15" customHeight="1">
      <c r="A48" s="464"/>
      <c r="B48" s="12" t="s">
        <v>124</v>
      </c>
      <c r="C48" s="13" t="s">
        <v>101</v>
      </c>
      <c r="D48" s="97">
        <f>'Attribution Assumptions'!D22</f>
        <v>1</v>
      </c>
      <c r="E48" s="97">
        <f>'Attribution Assumptions'!E22</f>
        <v>1</v>
      </c>
      <c r="F48" s="97">
        <f>'Attribution Assumptions'!F22</f>
        <v>1</v>
      </c>
      <c r="G48" s="97">
        <f>'Attribution Assumptions'!G22</f>
        <v>1</v>
      </c>
      <c r="H48" s="97">
        <f>'Attribution Assumptions'!H22</f>
        <v>1</v>
      </c>
      <c r="I48" s="97">
        <f>'Attribution Assumptions'!I22</f>
        <v>1</v>
      </c>
      <c r="J48" s="97">
        <f>'Attribution Assumptions'!J22</f>
        <v>1</v>
      </c>
      <c r="K48" s="97">
        <f>'Attribution Assumptions'!K22</f>
        <v>1</v>
      </c>
      <c r="L48" s="97">
        <f>'Attribution Assumptions'!L22</f>
        <v>1</v>
      </c>
      <c r="M48" s="97">
        <f>'Attribution Assumptions'!M22</f>
        <v>1</v>
      </c>
      <c r="N48" s="97">
        <f>'Attribution Assumptions'!N22</f>
        <v>1</v>
      </c>
      <c r="O48" s="97">
        <f>'Attribution Assumptions'!O22</f>
        <v>1</v>
      </c>
      <c r="P48" s="97">
        <f>'Attribution Assumptions'!P22</f>
        <v>1</v>
      </c>
      <c r="Q48" s="97">
        <f>'Attribution Assumptions'!Q22</f>
        <v>1</v>
      </c>
      <c r="R48" s="97">
        <f>'Attribution Assumptions'!R22</f>
        <v>1</v>
      </c>
      <c r="S48" s="97">
        <f>'Attribution Assumptions'!S22</f>
        <v>1</v>
      </c>
      <c r="T48" s="97">
        <f>'Attribution Assumptions'!T22</f>
        <v>1</v>
      </c>
      <c r="U48" s="97">
        <f>'Attribution Assumptions'!U22</f>
        <v>1</v>
      </c>
      <c r="V48" s="97">
        <f>'Attribution Assumptions'!V22</f>
        <v>1</v>
      </c>
      <c r="W48" s="97">
        <f>'Attribution Assumptions'!W22</f>
        <v>1</v>
      </c>
      <c r="X48" s="97">
        <f>'Attribution Assumptions'!X22</f>
        <v>1</v>
      </c>
      <c r="Y48" s="97">
        <f>'Attribution Assumptions'!Y22</f>
        <v>1</v>
      </c>
      <c r="Z48" s="97">
        <f>'Attribution Assumptions'!Z22</f>
        <v>1</v>
      </c>
      <c r="AA48" s="97">
        <f>'Attribution Assumptions'!AA22</f>
        <v>1</v>
      </c>
      <c r="AB48" s="97">
        <f>'Attribution Assumptions'!AB22</f>
        <v>1</v>
      </c>
    </row>
    <row r="49" spans="1:29" s="171" customFormat="1" ht="15" customHeight="1">
      <c r="A49" s="464"/>
      <c r="B49" s="212" t="s">
        <v>125</v>
      </c>
      <c r="C49" s="244" t="s">
        <v>101</v>
      </c>
      <c r="D49" s="270">
        <f>'Attribution Assumptions'!D23</f>
        <v>0</v>
      </c>
      <c r="E49" s="270">
        <f>'Attribution Assumptions'!E23</f>
        <v>0</v>
      </c>
      <c r="F49" s="270">
        <f>'Attribution Assumptions'!F23</f>
        <v>0</v>
      </c>
      <c r="G49" s="270">
        <f>'Attribution Assumptions'!G23</f>
        <v>0</v>
      </c>
      <c r="H49" s="270">
        <f>'Attribution Assumptions'!H23</f>
        <v>0</v>
      </c>
      <c r="I49" s="270">
        <f>'Attribution Assumptions'!I23</f>
        <v>0</v>
      </c>
      <c r="J49" s="270">
        <f>'Attribution Assumptions'!J23</f>
        <v>0</v>
      </c>
      <c r="K49" s="270">
        <f>'Attribution Assumptions'!K23</f>
        <v>0</v>
      </c>
      <c r="L49" s="270">
        <f>'Attribution Assumptions'!L23</f>
        <v>0</v>
      </c>
      <c r="M49" s="270">
        <f>'Attribution Assumptions'!M23</f>
        <v>0</v>
      </c>
      <c r="N49" s="270">
        <f>'Attribution Assumptions'!N23</f>
        <v>0</v>
      </c>
      <c r="O49" s="270">
        <f>'Attribution Assumptions'!O23</f>
        <v>0</v>
      </c>
      <c r="P49" s="270">
        <f>'Attribution Assumptions'!P23</f>
        <v>0</v>
      </c>
      <c r="Q49" s="270">
        <f>'Attribution Assumptions'!Q23</f>
        <v>0</v>
      </c>
      <c r="R49" s="270">
        <f>'Attribution Assumptions'!R23</f>
        <v>0</v>
      </c>
      <c r="S49" s="270">
        <f>'Attribution Assumptions'!S23</f>
        <v>0</v>
      </c>
      <c r="T49" s="270">
        <f>'Attribution Assumptions'!T23</f>
        <v>0</v>
      </c>
      <c r="U49" s="270">
        <f>'Attribution Assumptions'!U23</f>
        <v>0</v>
      </c>
      <c r="V49" s="270">
        <f>'Attribution Assumptions'!V23</f>
        <v>0</v>
      </c>
      <c r="W49" s="270">
        <f>'Attribution Assumptions'!W23</f>
        <v>0</v>
      </c>
      <c r="X49" s="270">
        <f>'Attribution Assumptions'!X23</f>
        <v>0</v>
      </c>
      <c r="Y49" s="270">
        <f>'Attribution Assumptions'!Y23</f>
        <v>0</v>
      </c>
      <c r="Z49" s="270">
        <f>'Attribution Assumptions'!Z23</f>
        <v>0</v>
      </c>
      <c r="AA49" s="270">
        <f>'Attribution Assumptions'!AA23</f>
        <v>0</v>
      </c>
      <c r="AB49" s="270">
        <f>'Attribution Assumptions'!AB23</f>
        <v>0</v>
      </c>
    </row>
    <row r="50" spans="1:29" s="171" customFormat="1" ht="15" customHeight="1">
      <c r="A50" s="464"/>
      <c r="B50" s="212" t="s">
        <v>218</v>
      </c>
      <c r="C50" s="244" t="s">
        <v>101</v>
      </c>
      <c r="D50" s="270">
        <f>'Attribution Assumptions'!D24</f>
        <v>0</v>
      </c>
      <c r="E50" s="270">
        <f>'Attribution Assumptions'!E24</f>
        <v>0</v>
      </c>
      <c r="F50" s="270">
        <f>'Attribution Assumptions'!F24</f>
        <v>0</v>
      </c>
      <c r="G50" s="270">
        <f>'Attribution Assumptions'!G24</f>
        <v>0</v>
      </c>
      <c r="H50" s="270">
        <f>'Attribution Assumptions'!H24</f>
        <v>0</v>
      </c>
      <c r="I50" s="270">
        <f>'Attribution Assumptions'!I24</f>
        <v>0</v>
      </c>
      <c r="J50" s="270">
        <f>'Attribution Assumptions'!J24</f>
        <v>0</v>
      </c>
      <c r="K50" s="270">
        <f>'Attribution Assumptions'!K24</f>
        <v>0</v>
      </c>
      <c r="L50" s="270">
        <f>'Attribution Assumptions'!L24</f>
        <v>0</v>
      </c>
      <c r="M50" s="270">
        <f>'Attribution Assumptions'!M24</f>
        <v>0</v>
      </c>
      <c r="N50" s="270">
        <f>'Attribution Assumptions'!N24</f>
        <v>0</v>
      </c>
      <c r="O50" s="270">
        <f>'Attribution Assumptions'!O24</f>
        <v>0</v>
      </c>
      <c r="P50" s="270">
        <f>'Attribution Assumptions'!P24</f>
        <v>0</v>
      </c>
      <c r="Q50" s="270">
        <f>'Attribution Assumptions'!Q24</f>
        <v>0</v>
      </c>
      <c r="R50" s="270">
        <f>'Attribution Assumptions'!R24</f>
        <v>0</v>
      </c>
      <c r="S50" s="270">
        <f>'Attribution Assumptions'!S24</f>
        <v>0</v>
      </c>
      <c r="T50" s="270">
        <f>'Attribution Assumptions'!T24</f>
        <v>0</v>
      </c>
      <c r="U50" s="270">
        <f>'Attribution Assumptions'!U24</f>
        <v>0</v>
      </c>
      <c r="V50" s="270">
        <f>'Attribution Assumptions'!V24</f>
        <v>0</v>
      </c>
      <c r="W50" s="270">
        <f>'Attribution Assumptions'!W24</f>
        <v>0</v>
      </c>
      <c r="X50" s="270">
        <f>'Attribution Assumptions'!X24</f>
        <v>0</v>
      </c>
      <c r="Y50" s="270">
        <f>'Attribution Assumptions'!Y24</f>
        <v>0</v>
      </c>
      <c r="Z50" s="270">
        <f>'Attribution Assumptions'!Z24</f>
        <v>0</v>
      </c>
      <c r="AA50" s="270">
        <f>'Attribution Assumptions'!AA24</f>
        <v>0</v>
      </c>
      <c r="AB50" s="270">
        <f>'Attribution Assumptions'!AB24</f>
        <v>0</v>
      </c>
    </row>
    <row r="51" spans="1:29" s="171" customFormat="1" ht="15" customHeight="1" thickBot="1">
      <c r="A51" s="465"/>
      <c r="B51" s="213" t="s">
        <v>219</v>
      </c>
      <c r="C51" s="250" t="s">
        <v>101</v>
      </c>
      <c r="D51" s="270">
        <f>'Attribution Assumptions'!D25</f>
        <v>0</v>
      </c>
      <c r="E51" s="270">
        <f>'Attribution Assumptions'!E25</f>
        <v>0</v>
      </c>
      <c r="F51" s="270">
        <f>'Attribution Assumptions'!F25</f>
        <v>0</v>
      </c>
      <c r="G51" s="270">
        <f>'Attribution Assumptions'!G25</f>
        <v>0</v>
      </c>
      <c r="H51" s="270">
        <f>'Attribution Assumptions'!H25</f>
        <v>0</v>
      </c>
      <c r="I51" s="270">
        <f>'Attribution Assumptions'!I25</f>
        <v>0</v>
      </c>
      <c r="J51" s="270">
        <f>'Attribution Assumptions'!J25</f>
        <v>0</v>
      </c>
      <c r="K51" s="270">
        <f>'Attribution Assumptions'!K25</f>
        <v>0</v>
      </c>
      <c r="L51" s="270">
        <f>'Attribution Assumptions'!L25</f>
        <v>0</v>
      </c>
      <c r="M51" s="270">
        <f>'Attribution Assumptions'!M25</f>
        <v>0</v>
      </c>
      <c r="N51" s="270">
        <f>'Attribution Assumptions'!N25</f>
        <v>0</v>
      </c>
      <c r="O51" s="270">
        <f>'Attribution Assumptions'!O25</f>
        <v>0</v>
      </c>
      <c r="P51" s="270">
        <f>'Attribution Assumptions'!P25</f>
        <v>0</v>
      </c>
      <c r="Q51" s="270">
        <f>'Attribution Assumptions'!Q25</f>
        <v>0</v>
      </c>
      <c r="R51" s="270">
        <f>'Attribution Assumptions'!R25</f>
        <v>0</v>
      </c>
      <c r="S51" s="270">
        <f>'Attribution Assumptions'!S25</f>
        <v>0</v>
      </c>
      <c r="T51" s="270">
        <f>'Attribution Assumptions'!T25</f>
        <v>0</v>
      </c>
      <c r="U51" s="270">
        <f>'Attribution Assumptions'!U25</f>
        <v>0</v>
      </c>
      <c r="V51" s="270">
        <f>'Attribution Assumptions'!V25</f>
        <v>0</v>
      </c>
      <c r="W51" s="270">
        <f>'Attribution Assumptions'!W25</f>
        <v>0</v>
      </c>
      <c r="X51" s="270">
        <f>'Attribution Assumptions'!X25</f>
        <v>0</v>
      </c>
      <c r="Y51" s="270">
        <f>'Attribution Assumptions'!Y25</f>
        <v>0</v>
      </c>
      <c r="Z51" s="270">
        <f>'Attribution Assumptions'!Z25</f>
        <v>0</v>
      </c>
      <c r="AA51" s="270">
        <f>'Attribution Assumptions'!AA25</f>
        <v>0</v>
      </c>
      <c r="AB51" s="270">
        <f>'Attribution Assumptions'!AB25</f>
        <v>0</v>
      </c>
    </row>
    <row r="52" spans="1:29" ht="16.5" customHeight="1">
      <c r="A52" s="102"/>
      <c r="B52" s="12"/>
      <c r="C52" s="2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29" ht="15.75" thickBot="1"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29" ht="15" customHeight="1">
      <c r="A54" s="466" t="s">
        <v>220</v>
      </c>
      <c r="B54" s="174" t="s">
        <v>3</v>
      </c>
      <c r="C54" s="11" t="s">
        <v>1</v>
      </c>
      <c r="D54" s="345">
        <v>2022</v>
      </c>
      <c r="E54" s="345">
        <v>2023</v>
      </c>
      <c r="F54" s="345">
        <v>2024</v>
      </c>
      <c r="G54" s="345">
        <v>2025</v>
      </c>
      <c r="H54" s="10">
        <v>2026</v>
      </c>
      <c r="I54" s="10">
        <v>2027</v>
      </c>
      <c r="J54" s="10">
        <v>2028</v>
      </c>
      <c r="K54" s="10">
        <v>2029</v>
      </c>
      <c r="L54" s="10">
        <v>2030</v>
      </c>
      <c r="M54" s="10">
        <v>2031</v>
      </c>
      <c r="N54" s="10">
        <v>2032</v>
      </c>
      <c r="O54" s="10">
        <v>2033</v>
      </c>
      <c r="P54" s="10">
        <v>2034</v>
      </c>
      <c r="Q54" s="10">
        <v>2035</v>
      </c>
      <c r="R54" s="10">
        <v>2036</v>
      </c>
      <c r="S54" s="10">
        <v>2037</v>
      </c>
      <c r="T54" s="10">
        <v>2038</v>
      </c>
      <c r="U54" s="10">
        <v>2039</v>
      </c>
      <c r="V54" s="10">
        <v>2040</v>
      </c>
      <c r="W54" s="10">
        <v>2041</v>
      </c>
      <c r="X54" s="10">
        <v>2042</v>
      </c>
      <c r="Y54" s="10">
        <v>2043</v>
      </c>
      <c r="Z54" s="10">
        <v>2044</v>
      </c>
      <c r="AA54" s="10">
        <v>2045</v>
      </c>
      <c r="AB54" s="10">
        <v>2046</v>
      </c>
    </row>
    <row r="55" spans="1:29" ht="15" customHeight="1">
      <c r="A55" s="467"/>
      <c r="B55" s="309" t="s">
        <v>115</v>
      </c>
      <c r="C55" s="309" t="s">
        <v>221</v>
      </c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</row>
    <row r="56" spans="1:29" s="171" customFormat="1" ht="15" customHeight="1">
      <c r="A56" s="467"/>
      <c r="B56" s="309" t="s">
        <v>19</v>
      </c>
      <c r="C56" s="309" t="s">
        <v>221</v>
      </c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311"/>
    </row>
    <row r="57" spans="1:29" ht="15" customHeight="1">
      <c r="A57" s="467"/>
      <c r="B57" s="10" t="s">
        <v>104</v>
      </c>
      <c r="C57" s="10" t="s">
        <v>221</v>
      </c>
      <c r="D57" s="303">
        <f>D66</f>
        <v>5.7989512473777434E-2</v>
      </c>
      <c r="E57" s="303">
        <f t="shared" ref="E57:L57" si="0">E66</f>
        <v>5.7989512473777434E-2</v>
      </c>
      <c r="F57" s="303">
        <f t="shared" si="0"/>
        <v>5.7989512473777434E-2</v>
      </c>
      <c r="G57" s="303">
        <f t="shared" si="0"/>
        <v>5.7989512473777434E-2</v>
      </c>
      <c r="H57" s="303">
        <f t="shared" si="0"/>
        <v>5.7989512473777434E-2</v>
      </c>
      <c r="I57" s="303">
        <f t="shared" si="0"/>
        <v>5.7989512473777434E-2</v>
      </c>
      <c r="J57" s="303">
        <f t="shared" si="0"/>
        <v>5.7989512473777434E-2</v>
      </c>
      <c r="K57" s="303">
        <f t="shared" si="0"/>
        <v>5.7989512473777434E-2</v>
      </c>
      <c r="L57" s="303">
        <f t="shared" si="0"/>
        <v>5.7989512473777434E-2</v>
      </c>
      <c r="M57" s="303">
        <f t="shared" ref="M57:AB57" si="1">M66</f>
        <v>5.7989512473777434E-2</v>
      </c>
      <c r="N57" s="303">
        <f t="shared" si="1"/>
        <v>5.7989512473777434E-2</v>
      </c>
      <c r="O57" s="303">
        <f t="shared" si="1"/>
        <v>5.7989512473777434E-2</v>
      </c>
      <c r="P57" s="303">
        <f t="shared" si="1"/>
        <v>5.7989512473777434E-2</v>
      </c>
      <c r="Q57" s="303">
        <f t="shared" si="1"/>
        <v>5.7989512473777434E-2</v>
      </c>
      <c r="R57" s="303">
        <f t="shared" si="1"/>
        <v>5.7989512473777434E-2</v>
      </c>
      <c r="S57" s="303">
        <f t="shared" si="1"/>
        <v>5.7989512473777434E-2</v>
      </c>
      <c r="T57" s="303">
        <f t="shared" si="1"/>
        <v>5.7989512473777434E-2</v>
      </c>
      <c r="U57" s="303">
        <f t="shared" si="1"/>
        <v>5.7989512473777434E-2</v>
      </c>
      <c r="V57" s="303">
        <f t="shared" si="1"/>
        <v>5.7989512473777434E-2</v>
      </c>
      <c r="W57" s="303">
        <f t="shared" si="1"/>
        <v>5.7989512473777434E-2</v>
      </c>
      <c r="X57" s="303">
        <f t="shared" si="1"/>
        <v>5.7989512473777434E-2</v>
      </c>
      <c r="Y57" s="303">
        <f t="shared" si="1"/>
        <v>5.7989512473777434E-2</v>
      </c>
      <c r="Z57" s="303">
        <f t="shared" si="1"/>
        <v>5.7989512473777434E-2</v>
      </c>
      <c r="AA57" s="303">
        <f t="shared" si="1"/>
        <v>5.7989512473777434E-2</v>
      </c>
      <c r="AB57" s="303">
        <f t="shared" si="1"/>
        <v>5.7989512473777434E-2</v>
      </c>
      <c r="AC57" s="4" t="s">
        <v>222</v>
      </c>
    </row>
    <row r="58" spans="1:29" ht="15" customHeight="1">
      <c r="A58" s="467"/>
      <c r="B58" s="10" t="s">
        <v>203</v>
      </c>
      <c r="C58" s="10" t="s">
        <v>223</v>
      </c>
      <c r="D58" s="303">
        <f>'Emission Factors - Dairy Gas'!$R$9</f>
        <v>0.1285687275477406</v>
      </c>
      <c r="E58" s="303">
        <f>'Emission Factors - Dairy Gas'!$R$9</f>
        <v>0.1285687275477406</v>
      </c>
      <c r="F58" s="303">
        <f>'Emission Factors - Dairy Gas'!$R$9</f>
        <v>0.1285687275477406</v>
      </c>
      <c r="G58" s="303">
        <f>'Emission Factors - Dairy Gas'!$R$9</f>
        <v>0.1285687275477406</v>
      </c>
      <c r="H58" s="303">
        <f>'Emission Factors - Dairy Gas'!$R$9</f>
        <v>0.1285687275477406</v>
      </c>
      <c r="I58" s="303">
        <f>'Emission Factors - Dairy Gas'!$R$9</f>
        <v>0.1285687275477406</v>
      </c>
      <c r="J58" s="303">
        <f>'Emission Factors - Dairy Gas'!$R$9</f>
        <v>0.1285687275477406</v>
      </c>
      <c r="K58" s="303">
        <f>'Emission Factors - Dairy Gas'!$R$9</f>
        <v>0.1285687275477406</v>
      </c>
      <c r="L58" s="303">
        <f>'Emission Factors - Dairy Gas'!$R$9</f>
        <v>0.1285687275477406</v>
      </c>
      <c r="M58" s="303">
        <f>'Emission Factors - Dairy Gas'!$R$9</f>
        <v>0.1285687275477406</v>
      </c>
      <c r="N58" s="303">
        <f>'Emission Factors - Dairy Gas'!$R$9</f>
        <v>0.1285687275477406</v>
      </c>
      <c r="O58" s="303">
        <f>'Emission Factors - Dairy Gas'!$R$9</f>
        <v>0.1285687275477406</v>
      </c>
      <c r="P58" s="303">
        <f>'Emission Factors - Dairy Gas'!$R$9</f>
        <v>0.1285687275477406</v>
      </c>
      <c r="Q58" s="303">
        <f>'Emission Factors - Dairy Gas'!$R$9</f>
        <v>0.1285687275477406</v>
      </c>
      <c r="R58" s="303">
        <f>'Emission Factors - Dairy Gas'!$R$9</f>
        <v>0.1285687275477406</v>
      </c>
      <c r="S58" s="303">
        <f>'Emission Factors - Dairy Gas'!$R$9</f>
        <v>0.1285687275477406</v>
      </c>
      <c r="T58" s="303">
        <f>'Emission Factors - Dairy Gas'!$R$9</f>
        <v>0.1285687275477406</v>
      </c>
      <c r="U58" s="303">
        <f>'Emission Factors - Dairy Gas'!$R$9</f>
        <v>0.1285687275477406</v>
      </c>
      <c r="V58" s="303">
        <f>'Emission Factors - Dairy Gas'!$R$9</f>
        <v>0.1285687275477406</v>
      </c>
      <c r="W58" s="303">
        <f>'Emission Factors - Dairy Gas'!$R$9</f>
        <v>0.1285687275477406</v>
      </c>
      <c r="X58" s="303">
        <f>'Emission Factors - Dairy Gas'!$R$9</f>
        <v>0.1285687275477406</v>
      </c>
      <c r="Y58" s="303">
        <f>'Emission Factors - Dairy Gas'!$R$9</f>
        <v>0.1285687275477406</v>
      </c>
      <c r="Z58" s="303">
        <f>'Emission Factors - Dairy Gas'!$R$9</f>
        <v>0.1285687275477406</v>
      </c>
      <c r="AA58" s="303">
        <f>'Emission Factors - Dairy Gas'!$R$9</f>
        <v>0.1285687275477406</v>
      </c>
      <c r="AB58" s="303">
        <f>'Emission Factors - Dairy Gas'!$R$9</f>
        <v>0.1285687275477406</v>
      </c>
      <c r="AC58" s="4"/>
    </row>
    <row r="59" spans="1:29" ht="15" customHeight="1">
      <c r="A59" s="467"/>
      <c r="B59" s="10" t="s">
        <v>205</v>
      </c>
      <c r="C59" s="10" t="s">
        <v>223</v>
      </c>
      <c r="D59" s="303">
        <f>'Emission Factors - Dairy Gas'!$D$7+'Emission Factors - Dairy Gas'!$R$9</f>
        <v>0.5441620163346238</v>
      </c>
      <c r="E59" s="303">
        <f>'Emission Factors - Dairy Gas'!$D$7+'Emission Factors - Dairy Gas'!$R$9</f>
        <v>0.5441620163346238</v>
      </c>
      <c r="F59" s="303">
        <f>'Emission Factors - Dairy Gas'!$D$7+'Emission Factors - Dairy Gas'!$R$9</f>
        <v>0.5441620163346238</v>
      </c>
      <c r="G59" s="303">
        <f>'Emission Factors - Dairy Gas'!$D$7+'Emission Factors - Dairy Gas'!$R$9</f>
        <v>0.5441620163346238</v>
      </c>
      <c r="H59" s="303">
        <f>'Emission Factors - Dairy Gas'!$D$7+'Emission Factors - Dairy Gas'!$R$9</f>
        <v>0.5441620163346238</v>
      </c>
      <c r="I59" s="303">
        <f>'Emission Factors - Dairy Gas'!$D$7+'Emission Factors - Dairy Gas'!$R$9</f>
        <v>0.5441620163346238</v>
      </c>
      <c r="J59" s="303">
        <f>'Emission Factors - Dairy Gas'!$D$7+'Emission Factors - Dairy Gas'!$R$9</f>
        <v>0.5441620163346238</v>
      </c>
      <c r="K59" s="303">
        <f>'Emission Factors - Dairy Gas'!$D$7+'Emission Factors - Dairy Gas'!$R$9</f>
        <v>0.5441620163346238</v>
      </c>
      <c r="L59" s="303">
        <f>'Emission Factors - Dairy Gas'!$D$7+'Emission Factors - Dairy Gas'!$R$9</f>
        <v>0.5441620163346238</v>
      </c>
      <c r="M59" s="303">
        <f>'Emission Factors - Dairy Gas'!$D$7+'Emission Factors - Dairy Gas'!$R$9</f>
        <v>0.5441620163346238</v>
      </c>
      <c r="N59" s="303">
        <f>'Emission Factors - Dairy Gas'!$D$7+'Emission Factors - Dairy Gas'!$R$9</f>
        <v>0.5441620163346238</v>
      </c>
      <c r="O59" s="303">
        <f>'Emission Factors - Dairy Gas'!$D$7+'Emission Factors - Dairy Gas'!$R$9</f>
        <v>0.5441620163346238</v>
      </c>
      <c r="P59" s="303">
        <f>'Emission Factors - Dairy Gas'!$D$7+'Emission Factors - Dairy Gas'!$R$9</f>
        <v>0.5441620163346238</v>
      </c>
      <c r="Q59" s="303">
        <f>'Emission Factors - Dairy Gas'!$D$7+'Emission Factors - Dairy Gas'!$R$9</f>
        <v>0.5441620163346238</v>
      </c>
      <c r="R59" s="303">
        <f>'Emission Factors - Dairy Gas'!$D$7+'Emission Factors - Dairy Gas'!$R$9</f>
        <v>0.5441620163346238</v>
      </c>
      <c r="S59" s="303">
        <f>'Emission Factors - Dairy Gas'!$D$7+'Emission Factors - Dairy Gas'!$R$9</f>
        <v>0.5441620163346238</v>
      </c>
      <c r="T59" s="303">
        <f>'Emission Factors - Dairy Gas'!$D$7+'Emission Factors - Dairy Gas'!$R$9</f>
        <v>0.5441620163346238</v>
      </c>
      <c r="U59" s="303">
        <f>'Emission Factors - Dairy Gas'!$D$7+'Emission Factors - Dairy Gas'!$R$9</f>
        <v>0.5441620163346238</v>
      </c>
      <c r="V59" s="303">
        <f>'Emission Factors - Dairy Gas'!$D$7+'Emission Factors - Dairy Gas'!$R$9</f>
        <v>0.5441620163346238</v>
      </c>
      <c r="W59" s="303">
        <f>'Emission Factors - Dairy Gas'!$D$7+'Emission Factors - Dairy Gas'!$R$9</f>
        <v>0.5441620163346238</v>
      </c>
      <c r="X59" s="303">
        <f>'Emission Factors - Dairy Gas'!$D$7+'Emission Factors - Dairy Gas'!$R$9</f>
        <v>0.5441620163346238</v>
      </c>
      <c r="Y59" s="303">
        <f>'Emission Factors - Dairy Gas'!$D$7+'Emission Factors - Dairy Gas'!$R$9</f>
        <v>0.5441620163346238</v>
      </c>
      <c r="Z59" s="303">
        <f>'Emission Factors - Dairy Gas'!$D$7+'Emission Factors - Dairy Gas'!$R$9</f>
        <v>0.5441620163346238</v>
      </c>
      <c r="AA59" s="303">
        <f>'Emission Factors - Dairy Gas'!$D$7+'Emission Factors - Dairy Gas'!$R$9</f>
        <v>0.5441620163346238</v>
      </c>
      <c r="AB59" s="303">
        <f>'Emission Factors - Dairy Gas'!$D$7+'Emission Factors - Dairy Gas'!$R$9</f>
        <v>0.5441620163346238</v>
      </c>
      <c r="AC59" s="4"/>
    </row>
    <row r="60" spans="1:29" s="171" customFormat="1" ht="15" customHeight="1">
      <c r="A60" s="467"/>
      <c r="B60" s="309" t="s">
        <v>204</v>
      </c>
      <c r="C60" s="309" t="s">
        <v>223</v>
      </c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210"/>
    </row>
    <row r="61" spans="1:29" s="171" customFormat="1" ht="15" customHeight="1">
      <c r="A61" s="467"/>
      <c r="B61" s="309" t="s">
        <v>206</v>
      </c>
      <c r="C61" s="309" t="s">
        <v>223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210"/>
    </row>
    <row r="62" spans="1:29" s="171" customFormat="1" ht="15" customHeight="1">
      <c r="A62" s="467"/>
      <c r="B62" s="309" t="s">
        <v>31</v>
      </c>
      <c r="C62" s="309" t="s">
        <v>223</v>
      </c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210"/>
    </row>
    <row r="63" spans="1:29" s="171" customFormat="1" ht="15" customHeight="1">
      <c r="A63" s="467"/>
      <c r="B63" s="309" t="s">
        <v>118</v>
      </c>
      <c r="C63" s="309" t="s">
        <v>224</v>
      </c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210"/>
    </row>
    <row r="64" spans="1:29" ht="15" customHeight="1">
      <c r="A64" s="467"/>
      <c r="B64" s="10" t="s">
        <v>208</v>
      </c>
      <c r="C64" s="10" t="s">
        <v>225</v>
      </c>
      <c r="D64" s="303">
        <f>'Emission Factors - Dairy Gas'!$E$7+'Emission Factors - Dairy Gas'!$N$7</f>
        <v>1.8786131410802324E-2</v>
      </c>
      <c r="E64" s="303">
        <f>'Emission Factors - Dairy Gas'!$E$7+'Emission Factors - Dairy Gas'!$N$7</f>
        <v>1.8786131410802324E-2</v>
      </c>
      <c r="F64" s="303">
        <f>'Emission Factors - Dairy Gas'!$E$7+'Emission Factors - Dairy Gas'!$N$7</f>
        <v>1.8786131410802324E-2</v>
      </c>
      <c r="G64" s="303">
        <f>'Emission Factors - Dairy Gas'!$E$7+'Emission Factors - Dairy Gas'!$N$7</f>
        <v>1.8786131410802324E-2</v>
      </c>
      <c r="H64" s="303">
        <f>'Emission Factors - Dairy Gas'!$E$7+'Emission Factors - Dairy Gas'!$N$7</f>
        <v>1.8786131410802324E-2</v>
      </c>
      <c r="I64" s="303">
        <f>'Emission Factors - Dairy Gas'!$E$7+'Emission Factors - Dairy Gas'!$N$7</f>
        <v>1.8786131410802324E-2</v>
      </c>
      <c r="J64" s="303">
        <f>'Emission Factors - Dairy Gas'!$E$7+'Emission Factors - Dairy Gas'!$N$7</f>
        <v>1.8786131410802324E-2</v>
      </c>
      <c r="K64" s="303">
        <f>'Emission Factors - Dairy Gas'!$E$7+'Emission Factors - Dairy Gas'!$N$7</f>
        <v>1.8786131410802324E-2</v>
      </c>
      <c r="L64" s="303">
        <f>'Emission Factors - Dairy Gas'!$E$7+'Emission Factors - Dairy Gas'!$N$7</f>
        <v>1.8786131410802324E-2</v>
      </c>
      <c r="M64" s="303">
        <f>'Emission Factors - Dairy Gas'!$E$7+'Emission Factors - Dairy Gas'!$N$7</f>
        <v>1.8786131410802324E-2</v>
      </c>
      <c r="N64" s="303">
        <f>'Emission Factors - Dairy Gas'!$E$7+'Emission Factors - Dairy Gas'!$N$7</f>
        <v>1.8786131410802324E-2</v>
      </c>
      <c r="O64" s="303">
        <f>'Emission Factors - Dairy Gas'!$E$7+'Emission Factors - Dairy Gas'!$N$7</f>
        <v>1.8786131410802324E-2</v>
      </c>
      <c r="P64" s="303">
        <f>'Emission Factors - Dairy Gas'!$E$7+'Emission Factors - Dairy Gas'!$N$7</f>
        <v>1.8786131410802324E-2</v>
      </c>
      <c r="Q64" s="303">
        <f>'Emission Factors - Dairy Gas'!$E$7+'Emission Factors - Dairy Gas'!$N$7</f>
        <v>1.8786131410802324E-2</v>
      </c>
      <c r="R64" s="303">
        <f>'Emission Factors - Dairy Gas'!$E$7+'Emission Factors - Dairy Gas'!$N$7</f>
        <v>1.8786131410802324E-2</v>
      </c>
      <c r="S64" s="303">
        <f>'Emission Factors - Dairy Gas'!$E$7+'Emission Factors - Dairy Gas'!$N$7</f>
        <v>1.8786131410802324E-2</v>
      </c>
      <c r="T64" s="303">
        <f>'Emission Factors - Dairy Gas'!$E$7+'Emission Factors - Dairy Gas'!$N$7</f>
        <v>1.8786131410802324E-2</v>
      </c>
      <c r="U64" s="303">
        <f>'Emission Factors - Dairy Gas'!$E$7+'Emission Factors - Dairy Gas'!$N$7</f>
        <v>1.8786131410802324E-2</v>
      </c>
      <c r="V64" s="303">
        <f>'Emission Factors - Dairy Gas'!$E$7+'Emission Factors - Dairy Gas'!$N$7</f>
        <v>1.8786131410802324E-2</v>
      </c>
      <c r="W64" s="303">
        <f>'Emission Factors - Dairy Gas'!$E$7+'Emission Factors - Dairy Gas'!$N$7</f>
        <v>1.8786131410802324E-2</v>
      </c>
      <c r="X64" s="303">
        <f>'Emission Factors - Dairy Gas'!$E$7+'Emission Factors - Dairy Gas'!$N$7</f>
        <v>1.8786131410802324E-2</v>
      </c>
      <c r="Y64" s="303">
        <f>'Emission Factors - Dairy Gas'!$E$7+'Emission Factors - Dairy Gas'!$N$7</f>
        <v>1.8786131410802324E-2</v>
      </c>
      <c r="Z64" s="303">
        <f>'Emission Factors - Dairy Gas'!$E$7+'Emission Factors - Dairy Gas'!$N$7</f>
        <v>1.8786131410802324E-2</v>
      </c>
      <c r="AA64" s="303">
        <f>'Emission Factors - Dairy Gas'!$E$7+'Emission Factors - Dairy Gas'!$N$7</f>
        <v>1.8786131410802324E-2</v>
      </c>
      <c r="AB64" s="303">
        <f>'Emission Factors - Dairy Gas'!$E$7+'Emission Factors - Dairy Gas'!$N$7</f>
        <v>1.8786131410802324E-2</v>
      </c>
      <c r="AC64" s="4"/>
    </row>
    <row r="65" spans="1:29" s="275" customFormat="1" ht="15" customHeight="1">
      <c r="A65" s="467"/>
      <c r="B65" s="299" t="s">
        <v>9</v>
      </c>
      <c r="C65" s="299" t="s">
        <v>221</v>
      </c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279"/>
    </row>
    <row r="66" spans="1:29" ht="15" customHeight="1">
      <c r="A66" s="467"/>
      <c r="B66" s="10" t="s">
        <v>34</v>
      </c>
      <c r="C66" s="10" t="s">
        <v>221</v>
      </c>
      <c r="D66" s="303">
        <f>'Emission Factors - Production'!$I$22</f>
        <v>5.7989512473777434E-2</v>
      </c>
      <c r="E66" s="303">
        <f>'Emission Factors - Production'!$I$22</f>
        <v>5.7989512473777434E-2</v>
      </c>
      <c r="F66" s="303">
        <f>'Emission Factors - Production'!$I$22</f>
        <v>5.7989512473777434E-2</v>
      </c>
      <c r="G66" s="303">
        <f>'Emission Factors - Production'!$I$22</f>
        <v>5.7989512473777434E-2</v>
      </c>
      <c r="H66" s="303">
        <f>'Emission Factors - Production'!$I$22</f>
        <v>5.7989512473777434E-2</v>
      </c>
      <c r="I66" s="303">
        <f>'Emission Factors - Production'!$I$22</f>
        <v>5.7989512473777434E-2</v>
      </c>
      <c r="J66" s="303">
        <f>'Emission Factors - Production'!$I$22</f>
        <v>5.7989512473777434E-2</v>
      </c>
      <c r="K66" s="303">
        <f>'Emission Factors - Production'!$I$22</f>
        <v>5.7989512473777434E-2</v>
      </c>
      <c r="L66" s="303">
        <f>'Emission Factors - Production'!$I$22</f>
        <v>5.7989512473777434E-2</v>
      </c>
      <c r="M66" s="303">
        <f>'Emission Factors - Production'!$I$22</f>
        <v>5.7989512473777434E-2</v>
      </c>
      <c r="N66" s="303">
        <f>'Emission Factors - Production'!$I$22</f>
        <v>5.7989512473777434E-2</v>
      </c>
      <c r="O66" s="303">
        <f>'Emission Factors - Production'!$I$22</f>
        <v>5.7989512473777434E-2</v>
      </c>
      <c r="P66" s="303">
        <f>'Emission Factors - Production'!$I$22</f>
        <v>5.7989512473777434E-2</v>
      </c>
      <c r="Q66" s="303">
        <f>'Emission Factors - Production'!$I$22</f>
        <v>5.7989512473777434E-2</v>
      </c>
      <c r="R66" s="303">
        <f>'Emission Factors - Production'!$I$22</f>
        <v>5.7989512473777434E-2</v>
      </c>
      <c r="S66" s="303">
        <f>'Emission Factors - Production'!$I$22</f>
        <v>5.7989512473777434E-2</v>
      </c>
      <c r="T66" s="303">
        <f>'Emission Factors - Production'!$I$22</f>
        <v>5.7989512473777434E-2</v>
      </c>
      <c r="U66" s="303">
        <f>'Emission Factors - Production'!$I$22</f>
        <v>5.7989512473777434E-2</v>
      </c>
      <c r="V66" s="303">
        <f>'Emission Factors - Production'!$I$22</f>
        <v>5.7989512473777434E-2</v>
      </c>
      <c r="W66" s="303">
        <f>'Emission Factors - Production'!$I$22</f>
        <v>5.7989512473777434E-2</v>
      </c>
      <c r="X66" s="303">
        <f>'Emission Factors - Production'!$I$22</f>
        <v>5.7989512473777434E-2</v>
      </c>
      <c r="Y66" s="303">
        <f>'Emission Factors - Production'!$I$22</f>
        <v>5.7989512473777434E-2</v>
      </c>
      <c r="Z66" s="303">
        <f>'Emission Factors - Production'!$I$22</f>
        <v>5.7989512473777434E-2</v>
      </c>
      <c r="AA66" s="303">
        <f>'Emission Factors - Production'!$I$22</f>
        <v>5.7989512473777434E-2</v>
      </c>
      <c r="AB66" s="303">
        <f>'Emission Factors - Production'!$I$22</f>
        <v>5.7989512473777434E-2</v>
      </c>
      <c r="AC66" s="4" t="s">
        <v>226</v>
      </c>
    </row>
    <row r="67" spans="1:29" s="275" customFormat="1" ht="15" customHeight="1">
      <c r="A67" s="467"/>
      <c r="B67" s="299" t="s">
        <v>33</v>
      </c>
      <c r="C67" s="273" t="s">
        <v>227</v>
      </c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279" t="s">
        <v>228</v>
      </c>
    </row>
    <row r="68" spans="1:29" ht="15" customHeight="1">
      <c r="A68" s="467"/>
      <c r="B68" s="10" t="s">
        <v>24</v>
      </c>
      <c r="C68" s="10" t="s">
        <v>223</v>
      </c>
      <c r="D68" s="303">
        <f>'Emission Factors - Dairy Gas'!$R$9</f>
        <v>0.1285687275477406</v>
      </c>
      <c r="E68" s="303">
        <f>'Emission Factors - Dairy Gas'!$R$9</f>
        <v>0.1285687275477406</v>
      </c>
      <c r="F68" s="303">
        <f>'Emission Factors - Dairy Gas'!$R$9</f>
        <v>0.1285687275477406</v>
      </c>
      <c r="G68" s="303">
        <f>'Emission Factors - Dairy Gas'!$R$9</f>
        <v>0.1285687275477406</v>
      </c>
      <c r="H68" s="303">
        <f>'Emission Factors - Dairy Gas'!$R$9</f>
        <v>0.1285687275477406</v>
      </c>
      <c r="I68" s="303">
        <f>'Emission Factors - Dairy Gas'!$R$9</f>
        <v>0.1285687275477406</v>
      </c>
      <c r="J68" s="303">
        <f>'Emission Factors - Dairy Gas'!$R$9</f>
        <v>0.1285687275477406</v>
      </c>
      <c r="K68" s="303">
        <f>'Emission Factors - Dairy Gas'!$R$9</f>
        <v>0.1285687275477406</v>
      </c>
      <c r="L68" s="303">
        <f>'Emission Factors - Dairy Gas'!$R$9</f>
        <v>0.1285687275477406</v>
      </c>
      <c r="M68" s="303">
        <f>'Emission Factors - Dairy Gas'!$R$9</f>
        <v>0.1285687275477406</v>
      </c>
      <c r="N68" s="303">
        <f>'Emission Factors - Dairy Gas'!$R$9</f>
        <v>0.1285687275477406</v>
      </c>
      <c r="O68" s="303">
        <f>'Emission Factors - Dairy Gas'!$R$9</f>
        <v>0.1285687275477406</v>
      </c>
      <c r="P68" s="303">
        <f>'Emission Factors - Dairy Gas'!$R$9</f>
        <v>0.1285687275477406</v>
      </c>
      <c r="Q68" s="303">
        <f>'Emission Factors - Dairy Gas'!$R$9</f>
        <v>0.1285687275477406</v>
      </c>
      <c r="R68" s="303">
        <f>'Emission Factors - Dairy Gas'!$R$9</f>
        <v>0.1285687275477406</v>
      </c>
      <c r="S68" s="303">
        <f>'Emission Factors - Dairy Gas'!$R$9</f>
        <v>0.1285687275477406</v>
      </c>
      <c r="T68" s="303">
        <f>'Emission Factors - Dairy Gas'!$R$9</f>
        <v>0.1285687275477406</v>
      </c>
      <c r="U68" s="303">
        <f>'Emission Factors - Dairy Gas'!$R$9</f>
        <v>0.1285687275477406</v>
      </c>
      <c r="V68" s="303">
        <f>'Emission Factors - Dairy Gas'!$R$9</f>
        <v>0.1285687275477406</v>
      </c>
      <c r="W68" s="303">
        <f>'Emission Factors - Dairy Gas'!$R$9</f>
        <v>0.1285687275477406</v>
      </c>
      <c r="X68" s="303">
        <f>'Emission Factors - Dairy Gas'!$R$9</f>
        <v>0.1285687275477406</v>
      </c>
      <c r="Y68" s="303">
        <f>'Emission Factors - Dairy Gas'!$R$9</f>
        <v>0.1285687275477406</v>
      </c>
      <c r="Z68" s="303">
        <f>'Emission Factors - Dairy Gas'!$R$9</f>
        <v>0.1285687275477406</v>
      </c>
      <c r="AA68" s="303">
        <f>'Emission Factors - Dairy Gas'!$R$9</f>
        <v>0.1285687275477406</v>
      </c>
      <c r="AB68" s="303">
        <f>'Emission Factors - Dairy Gas'!$R$9</f>
        <v>0.1285687275477406</v>
      </c>
      <c r="AC68" s="4"/>
    </row>
    <row r="69" spans="1:29" ht="15" customHeight="1">
      <c r="A69" s="467"/>
      <c r="B69" s="10" t="s">
        <v>23</v>
      </c>
      <c r="C69" s="10" t="s">
        <v>223</v>
      </c>
      <c r="D69" s="303">
        <f>'Emission Factors - Dairy Gas'!$D$7+'Emission Factors - Dairy Gas'!$R$9</f>
        <v>0.5441620163346238</v>
      </c>
      <c r="E69" s="303">
        <f>'Emission Factors - Dairy Gas'!$D$7+'Emission Factors - Dairy Gas'!$R$9</f>
        <v>0.5441620163346238</v>
      </c>
      <c r="F69" s="303">
        <f>'Emission Factors - Dairy Gas'!$D$7+'Emission Factors - Dairy Gas'!$R$9</f>
        <v>0.5441620163346238</v>
      </c>
      <c r="G69" s="303">
        <f>'Emission Factors - Dairy Gas'!$D$7+'Emission Factors - Dairy Gas'!$R$9</f>
        <v>0.5441620163346238</v>
      </c>
      <c r="H69" s="303">
        <f>'Emission Factors - Dairy Gas'!$D$7+'Emission Factors - Dairy Gas'!$R$9</f>
        <v>0.5441620163346238</v>
      </c>
      <c r="I69" s="303">
        <f>'Emission Factors - Dairy Gas'!$D$7+'Emission Factors - Dairy Gas'!$R$9</f>
        <v>0.5441620163346238</v>
      </c>
      <c r="J69" s="303">
        <f>'Emission Factors - Dairy Gas'!$D$7+'Emission Factors - Dairy Gas'!$R$9</f>
        <v>0.5441620163346238</v>
      </c>
      <c r="K69" s="303">
        <f>'Emission Factors - Dairy Gas'!$D$7+'Emission Factors - Dairy Gas'!$R$9</f>
        <v>0.5441620163346238</v>
      </c>
      <c r="L69" s="303">
        <f>'Emission Factors - Dairy Gas'!$D$7+'Emission Factors - Dairy Gas'!$R$9</f>
        <v>0.5441620163346238</v>
      </c>
      <c r="M69" s="303">
        <f>'Emission Factors - Dairy Gas'!$D$7+'Emission Factors - Dairy Gas'!$R$9</f>
        <v>0.5441620163346238</v>
      </c>
      <c r="N69" s="303">
        <f>'Emission Factors - Dairy Gas'!$D$7+'Emission Factors - Dairy Gas'!$R$9</f>
        <v>0.5441620163346238</v>
      </c>
      <c r="O69" s="303">
        <f>'Emission Factors - Dairy Gas'!$D$7+'Emission Factors - Dairy Gas'!$R$9</f>
        <v>0.5441620163346238</v>
      </c>
      <c r="P69" s="303">
        <f>'Emission Factors - Dairy Gas'!$D$7+'Emission Factors - Dairy Gas'!$R$9</f>
        <v>0.5441620163346238</v>
      </c>
      <c r="Q69" s="303">
        <f>'Emission Factors - Dairy Gas'!$D$7+'Emission Factors - Dairy Gas'!$R$9</f>
        <v>0.5441620163346238</v>
      </c>
      <c r="R69" s="303">
        <f>'Emission Factors - Dairy Gas'!$D$7+'Emission Factors - Dairy Gas'!$R$9</f>
        <v>0.5441620163346238</v>
      </c>
      <c r="S69" s="303">
        <f>'Emission Factors - Dairy Gas'!$D$7+'Emission Factors - Dairy Gas'!$R$9</f>
        <v>0.5441620163346238</v>
      </c>
      <c r="T69" s="303">
        <f>'Emission Factors - Dairy Gas'!$D$7+'Emission Factors - Dairy Gas'!$R$9</f>
        <v>0.5441620163346238</v>
      </c>
      <c r="U69" s="303">
        <f>'Emission Factors - Dairy Gas'!$D$7+'Emission Factors - Dairy Gas'!$R$9</f>
        <v>0.5441620163346238</v>
      </c>
      <c r="V69" s="303">
        <f>'Emission Factors - Dairy Gas'!$D$7+'Emission Factors - Dairy Gas'!$R$9</f>
        <v>0.5441620163346238</v>
      </c>
      <c r="W69" s="303">
        <f>'Emission Factors - Dairy Gas'!$D$7+'Emission Factors - Dairy Gas'!$R$9</f>
        <v>0.5441620163346238</v>
      </c>
      <c r="X69" s="303">
        <f>'Emission Factors - Dairy Gas'!$D$7+'Emission Factors - Dairy Gas'!$R$9</f>
        <v>0.5441620163346238</v>
      </c>
      <c r="Y69" s="303">
        <f>'Emission Factors - Dairy Gas'!$D$7+'Emission Factors - Dairy Gas'!$R$9</f>
        <v>0.5441620163346238</v>
      </c>
      <c r="Z69" s="303">
        <f>'Emission Factors - Dairy Gas'!$D$7+'Emission Factors - Dairy Gas'!$R$9</f>
        <v>0.5441620163346238</v>
      </c>
      <c r="AA69" s="303">
        <f>'Emission Factors - Dairy Gas'!$D$7+'Emission Factors - Dairy Gas'!$R$9</f>
        <v>0.5441620163346238</v>
      </c>
      <c r="AB69" s="303">
        <f>'Emission Factors - Dairy Gas'!$D$7+'Emission Factors - Dairy Gas'!$R$9</f>
        <v>0.5441620163346238</v>
      </c>
      <c r="AC69" s="4"/>
    </row>
    <row r="70" spans="1:29" s="171" customFormat="1" ht="15" customHeight="1">
      <c r="A70" s="467"/>
      <c r="B70" s="309" t="s">
        <v>21</v>
      </c>
      <c r="C70" s="309" t="s">
        <v>223</v>
      </c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210"/>
    </row>
    <row r="71" spans="1:29" s="171" customFormat="1" ht="15" customHeight="1">
      <c r="A71" s="467"/>
      <c r="B71" s="309" t="s">
        <v>25</v>
      </c>
      <c r="C71" s="309" t="s">
        <v>229</v>
      </c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210"/>
    </row>
    <row r="72" spans="1:29" s="171" customFormat="1" ht="15" customHeight="1">
      <c r="A72" s="467"/>
      <c r="B72" s="309" t="s">
        <v>26</v>
      </c>
      <c r="C72" s="309" t="s">
        <v>223</v>
      </c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210"/>
    </row>
    <row r="73" spans="1:29" s="171" customFormat="1" ht="15" customHeight="1">
      <c r="A73" s="467"/>
      <c r="B73" s="309" t="s">
        <v>14</v>
      </c>
      <c r="C73" s="309" t="s">
        <v>224</v>
      </c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210"/>
    </row>
    <row r="74" spans="1:29" ht="15" customHeight="1">
      <c r="A74" s="467"/>
      <c r="B74" s="10" t="s">
        <v>16</v>
      </c>
      <c r="C74" s="10" t="s">
        <v>225</v>
      </c>
      <c r="D74" s="303">
        <f>'Emission Factors - Dairy Gas'!$E$7+'Emission Factors - Dairy Gas'!$N$7</f>
        <v>1.8786131410802324E-2</v>
      </c>
      <c r="E74" s="303">
        <f>'Emission Factors - Dairy Gas'!$E$7+'Emission Factors - Dairy Gas'!$N$7</f>
        <v>1.8786131410802324E-2</v>
      </c>
      <c r="F74" s="303">
        <f>'Emission Factors - Dairy Gas'!$E$7+'Emission Factors - Dairy Gas'!$N$7</f>
        <v>1.8786131410802324E-2</v>
      </c>
      <c r="G74" s="303">
        <f>'Emission Factors - Dairy Gas'!$E$7+'Emission Factors - Dairy Gas'!$N$7</f>
        <v>1.8786131410802324E-2</v>
      </c>
      <c r="H74" s="303">
        <f>'Emission Factors - Dairy Gas'!$E$7+'Emission Factors - Dairy Gas'!$N$7</f>
        <v>1.8786131410802324E-2</v>
      </c>
      <c r="I74" s="303">
        <f>'Emission Factors - Dairy Gas'!$E$7+'Emission Factors - Dairy Gas'!$N$7</f>
        <v>1.8786131410802324E-2</v>
      </c>
      <c r="J74" s="303">
        <f>'Emission Factors - Dairy Gas'!$E$7+'Emission Factors - Dairy Gas'!$N$7</f>
        <v>1.8786131410802324E-2</v>
      </c>
      <c r="K74" s="303">
        <f>'Emission Factors - Dairy Gas'!$E$7+'Emission Factors - Dairy Gas'!$N$7</f>
        <v>1.8786131410802324E-2</v>
      </c>
      <c r="L74" s="303">
        <f>'Emission Factors - Dairy Gas'!$E$7+'Emission Factors - Dairy Gas'!$N$7</f>
        <v>1.8786131410802324E-2</v>
      </c>
      <c r="M74" s="303">
        <f>'Emission Factors - Dairy Gas'!$E$7+'Emission Factors - Dairy Gas'!$N$7</f>
        <v>1.8786131410802324E-2</v>
      </c>
      <c r="N74" s="303">
        <f>'Emission Factors - Dairy Gas'!$E$7+'Emission Factors - Dairy Gas'!$N$7</f>
        <v>1.8786131410802324E-2</v>
      </c>
      <c r="O74" s="303">
        <f>'Emission Factors - Dairy Gas'!$E$7+'Emission Factors - Dairy Gas'!$N$7</f>
        <v>1.8786131410802324E-2</v>
      </c>
      <c r="P74" s="303">
        <f>'Emission Factors - Dairy Gas'!$E$7+'Emission Factors - Dairy Gas'!$N$7</f>
        <v>1.8786131410802324E-2</v>
      </c>
      <c r="Q74" s="303">
        <f>'Emission Factors - Dairy Gas'!$E$7+'Emission Factors - Dairy Gas'!$N$7</f>
        <v>1.8786131410802324E-2</v>
      </c>
      <c r="R74" s="303">
        <f>'Emission Factors - Dairy Gas'!$E$7+'Emission Factors - Dairy Gas'!$N$7</f>
        <v>1.8786131410802324E-2</v>
      </c>
      <c r="S74" s="303">
        <f>'Emission Factors - Dairy Gas'!$E$7+'Emission Factors - Dairy Gas'!$N$7</f>
        <v>1.8786131410802324E-2</v>
      </c>
      <c r="T74" s="303">
        <f>'Emission Factors - Dairy Gas'!$E$7+'Emission Factors - Dairy Gas'!$N$7</f>
        <v>1.8786131410802324E-2</v>
      </c>
      <c r="U74" s="303">
        <f>'Emission Factors - Dairy Gas'!$E$7+'Emission Factors - Dairy Gas'!$N$7</f>
        <v>1.8786131410802324E-2</v>
      </c>
      <c r="V74" s="303">
        <f>'Emission Factors - Dairy Gas'!$E$7+'Emission Factors - Dairy Gas'!$N$7</f>
        <v>1.8786131410802324E-2</v>
      </c>
      <c r="W74" s="303">
        <f>'Emission Factors - Dairy Gas'!$E$7+'Emission Factors - Dairy Gas'!$N$7</f>
        <v>1.8786131410802324E-2</v>
      </c>
      <c r="X74" s="303">
        <f>'Emission Factors - Dairy Gas'!$E$7+'Emission Factors - Dairy Gas'!$N$7</f>
        <v>1.8786131410802324E-2</v>
      </c>
      <c r="Y74" s="303">
        <f>'Emission Factors - Dairy Gas'!$E$7+'Emission Factors - Dairy Gas'!$N$7</f>
        <v>1.8786131410802324E-2</v>
      </c>
      <c r="Z74" s="303">
        <f>'Emission Factors - Dairy Gas'!$E$7+'Emission Factors - Dairy Gas'!$N$7</f>
        <v>1.8786131410802324E-2</v>
      </c>
      <c r="AA74" s="303">
        <f>'Emission Factors - Dairy Gas'!$E$7+'Emission Factors - Dairy Gas'!$N$7</f>
        <v>1.8786131410802324E-2</v>
      </c>
      <c r="AB74" s="303">
        <f>'Emission Factors - Dairy Gas'!$E$7+'Emission Factors - Dairy Gas'!$N$7</f>
        <v>1.8786131410802324E-2</v>
      </c>
      <c r="AC74" s="4"/>
    </row>
    <row r="75" spans="1:29" s="171" customFormat="1" ht="15" customHeight="1">
      <c r="A75" s="467"/>
      <c r="B75" s="309" t="s">
        <v>108</v>
      </c>
      <c r="C75" s="309" t="s">
        <v>224</v>
      </c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210"/>
    </row>
    <row r="76" spans="1:29" ht="15" customHeight="1">
      <c r="A76" s="467"/>
      <c r="B76" s="10" t="s">
        <v>122</v>
      </c>
      <c r="C76" s="10" t="s">
        <v>221</v>
      </c>
      <c r="D76" s="305">
        <f>D66</f>
        <v>5.7989512473777434E-2</v>
      </c>
      <c r="E76" s="305">
        <f t="shared" ref="E76:L76" si="2">E66</f>
        <v>5.7989512473777434E-2</v>
      </c>
      <c r="F76" s="305">
        <f t="shared" si="2"/>
        <v>5.7989512473777434E-2</v>
      </c>
      <c r="G76" s="305">
        <f t="shared" si="2"/>
        <v>5.7989512473777434E-2</v>
      </c>
      <c r="H76" s="305">
        <f t="shared" si="2"/>
        <v>5.7989512473777434E-2</v>
      </c>
      <c r="I76" s="305">
        <f t="shared" si="2"/>
        <v>5.7989512473777434E-2</v>
      </c>
      <c r="J76" s="305">
        <f t="shared" si="2"/>
        <v>5.7989512473777434E-2</v>
      </c>
      <c r="K76" s="305">
        <f t="shared" si="2"/>
        <v>5.7989512473777434E-2</v>
      </c>
      <c r="L76" s="305">
        <f t="shared" si="2"/>
        <v>5.7989512473777434E-2</v>
      </c>
      <c r="M76" s="305">
        <f t="shared" ref="M76:AB76" si="3">M66</f>
        <v>5.7989512473777434E-2</v>
      </c>
      <c r="N76" s="305">
        <f t="shared" si="3"/>
        <v>5.7989512473777434E-2</v>
      </c>
      <c r="O76" s="305">
        <f t="shared" si="3"/>
        <v>5.7989512473777434E-2</v>
      </c>
      <c r="P76" s="305">
        <f t="shared" si="3"/>
        <v>5.7989512473777434E-2</v>
      </c>
      <c r="Q76" s="305">
        <f t="shared" si="3"/>
        <v>5.7989512473777434E-2</v>
      </c>
      <c r="R76" s="305">
        <f t="shared" si="3"/>
        <v>5.7989512473777434E-2</v>
      </c>
      <c r="S76" s="305">
        <f t="shared" si="3"/>
        <v>5.7989512473777434E-2</v>
      </c>
      <c r="T76" s="305">
        <f t="shared" si="3"/>
        <v>5.7989512473777434E-2</v>
      </c>
      <c r="U76" s="305">
        <f t="shared" si="3"/>
        <v>5.7989512473777434E-2</v>
      </c>
      <c r="V76" s="305">
        <f t="shared" si="3"/>
        <v>5.7989512473777434E-2</v>
      </c>
      <c r="W76" s="305">
        <f t="shared" si="3"/>
        <v>5.7989512473777434E-2</v>
      </c>
      <c r="X76" s="305">
        <f t="shared" si="3"/>
        <v>5.7989512473777434E-2</v>
      </c>
      <c r="Y76" s="305">
        <f t="shared" si="3"/>
        <v>5.7989512473777434E-2</v>
      </c>
      <c r="Z76" s="305">
        <f t="shared" si="3"/>
        <v>5.7989512473777434E-2</v>
      </c>
      <c r="AA76" s="305">
        <f t="shared" si="3"/>
        <v>5.7989512473777434E-2</v>
      </c>
      <c r="AB76" s="305">
        <f t="shared" si="3"/>
        <v>5.7989512473777434E-2</v>
      </c>
      <c r="AC76" s="4" t="s">
        <v>222</v>
      </c>
    </row>
    <row r="77" spans="1:29" s="171" customFormat="1" ht="15" customHeight="1">
      <c r="A77" s="467"/>
      <c r="B77" s="313" t="s">
        <v>123</v>
      </c>
      <c r="C77" s="309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</row>
    <row r="78" spans="1:29" ht="15" customHeight="1">
      <c r="A78" s="467"/>
      <c r="B78" s="147" t="s">
        <v>230</v>
      </c>
      <c r="C78" s="10" t="s">
        <v>231</v>
      </c>
      <c r="D78" s="303">
        <f>'Emission Factors - Dairy Gas'!$F$7</f>
        <v>0.46570691285976806</v>
      </c>
      <c r="E78" s="303">
        <f>'Emission Factors - Dairy Gas'!$F$7</f>
        <v>0.46570691285976806</v>
      </c>
      <c r="F78" s="303">
        <f>'Emission Factors - Dairy Gas'!$F$7</f>
        <v>0.46570691285976806</v>
      </c>
      <c r="G78" s="303">
        <f>'Emission Factors - Dairy Gas'!$F$7</f>
        <v>0.46570691285976806</v>
      </c>
      <c r="H78" s="303">
        <f>'Emission Factors - Dairy Gas'!$F$7</f>
        <v>0.46570691285976806</v>
      </c>
      <c r="I78" s="303">
        <f>'Emission Factors - Dairy Gas'!$F$7</f>
        <v>0.46570691285976806</v>
      </c>
      <c r="J78" s="303">
        <f>'Emission Factors - Dairy Gas'!$F$7</f>
        <v>0.46570691285976806</v>
      </c>
      <c r="K78" s="303">
        <f>'Emission Factors - Dairy Gas'!$F$7</f>
        <v>0.46570691285976806</v>
      </c>
      <c r="L78" s="303">
        <f>'Emission Factors - Dairy Gas'!$F$7</f>
        <v>0.46570691285976806</v>
      </c>
      <c r="M78" s="303">
        <f>'Emission Factors - Dairy Gas'!$F$7</f>
        <v>0.46570691285976806</v>
      </c>
      <c r="N78" s="303">
        <f>'Emission Factors - Dairy Gas'!$F$7</f>
        <v>0.46570691285976806</v>
      </c>
      <c r="O78" s="303">
        <f>'Emission Factors - Dairy Gas'!$F$7</f>
        <v>0.46570691285976806</v>
      </c>
      <c r="P78" s="303">
        <f>'Emission Factors - Dairy Gas'!$F$7</f>
        <v>0.46570691285976806</v>
      </c>
      <c r="Q78" s="303">
        <f>'Emission Factors - Dairy Gas'!$F$7</f>
        <v>0.46570691285976806</v>
      </c>
      <c r="R78" s="303">
        <f>'Emission Factors - Dairy Gas'!$F$7</f>
        <v>0.46570691285976806</v>
      </c>
      <c r="S78" s="303">
        <f>'Emission Factors - Dairy Gas'!$F$7</f>
        <v>0.46570691285976806</v>
      </c>
      <c r="T78" s="303">
        <f>'Emission Factors - Dairy Gas'!$F$7</f>
        <v>0.46570691285976806</v>
      </c>
      <c r="U78" s="303">
        <f>'Emission Factors - Dairy Gas'!$F$7</f>
        <v>0.46570691285976806</v>
      </c>
      <c r="V78" s="303">
        <f>'Emission Factors - Dairy Gas'!$F$7</f>
        <v>0.46570691285976806</v>
      </c>
      <c r="W78" s="303">
        <f>'Emission Factors - Dairy Gas'!$F$7</f>
        <v>0.46570691285976806</v>
      </c>
      <c r="X78" s="303">
        <f>'Emission Factors - Dairy Gas'!$F$7</f>
        <v>0.46570691285976806</v>
      </c>
      <c r="Y78" s="303">
        <f>'Emission Factors - Dairy Gas'!$F$7</f>
        <v>0.46570691285976806</v>
      </c>
      <c r="Z78" s="303">
        <f>'Emission Factors - Dairy Gas'!$F$7</f>
        <v>0.46570691285976806</v>
      </c>
      <c r="AA78" s="303">
        <f>'Emission Factors - Dairy Gas'!$F$7</f>
        <v>0.46570691285976806</v>
      </c>
      <c r="AB78" s="303">
        <f>'Emission Factors - Dairy Gas'!$F$7</f>
        <v>0.46570691285976806</v>
      </c>
    </row>
    <row r="79" spans="1:29" s="275" customFormat="1" ht="60">
      <c r="A79" s="467"/>
      <c r="B79" s="314" t="s">
        <v>232</v>
      </c>
      <c r="C79" s="299" t="s">
        <v>233</v>
      </c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279" t="s">
        <v>234</v>
      </c>
    </row>
    <row r="80" spans="1:29">
      <c r="A80" s="135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</row>
    <row r="81" spans="1:29" ht="15" customHeight="1">
      <c r="A81" s="460" t="s">
        <v>235</v>
      </c>
      <c r="B81" s="174" t="s">
        <v>3</v>
      </c>
      <c r="C81" s="11" t="s">
        <v>1</v>
      </c>
      <c r="D81" s="345">
        <v>2022</v>
      </c>
      <c r="E81" s="345">
        <v>2023</v>
      </c>
      <c r="F81" s="345">
        <v>2024</v>
      </c>
      <c r="G81" s="345">
        <v>2025</v>
      </c>
      <c r="H81" s="10">
        <v>2026</v>
      </c>
      <c r="I81" s="10">
        <v>2027</v>
      </c>
      <c r="J81" s="10">
        <v>2028</v>
      </c>
      <c r="K81" s="10">
        <v>2029</v>
      </c>
      <c r="L81" s="10">
        <v>2030</v>
      </c>
      <c r="M81" s="10">
        <v>2031</v>
      </c>
      <c r="N81" s="10">
        <v>2032</v>
      </c>
      <c r="O81" s="10">
        <v>2033</v>
      </c>
      <c r="P81" s="10">
        <v>2034</v>
      </c>
      <c r="Q81" s="10">
        <v>2035</v>
      </c>
      <c r="R81" s="10">
        <v>2036</v>
      </c>
      <c r="S81" s="10">
        <v>2037</v>
      </c>
      <c r="T81" s="10">
        <v>2038</v>
      </c>
      <c r="U81" s="10">
        <v>2039</v>
      </c>
      <c r="V81" s="10">
        <v>2040</v>
      </c>
      <c r="W81" s="10">
        <v>2041</v>
      </c>
      <c r="X81" s="10">
        <v>2042</v>
      </c>
      <c r="Y81" s="10">
        <v>2043</v>
      </c>
      <c r="Z81" s="10">
        <v>2044</v>
      </c>
      <c r="AA81" s="10">
        <v>2045</v>
      </c>
      <c r="AB81" s="10">
        <v>2046</v>
      </c>
    </row>
    <row r="82" spans="1:29" s="275" customFormat="1" ht="15" customHeight="1">
      <c r="A82" s="461"/>
      <c r="B82" s="299" t="s">
        <v>115</v>
      </c>
      <c r="C82" s="299" t="s">
        <v>221</v>
      </c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</row>
    <row r="83" spans="1:29" s="207" customFormat="1" ht="15" customHeight="1">
      <c r="A83" s="461"/>
      <c r="B83" s="301" t="s">
        <v>19</v>
      </c>
      <c r="C83" s="301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</row>
    <row r="84" spans="1:29" ht="15" customHeight="1">
      <c r="A84" s="461"/>
      <c r="B84" s="10" t="s">
        <v>104</v>
      </c>
      <c r="C84" s="10" t="s">
        <v>221</v>
      </c>
      <c r="D84" s="303">
        <f t="shared" ref="D84:L84" si="4">D93</f>
        <v>2.1506044361136002E-2</v>
      </c>
      <c r="E84" s="303">
        <f t="shared" si="4"/>
        <v>2.1506044361136002E-2</v>
      </c>
      <c r="F84" s="303">
        <f t="shared" si="4"/>
        <v>2.1506044361136002E-2</v>
      </c>
      <c r="G84" s="303">
        <f t="shared" si="4"/>
        <v>2.1506044361136002E-2</v>
      </c>
      <c r="H84" s="303">
        <f t="shared" si="4"/>
        <v>2.1506044361136002E-2</v>
      </c>
      <c r="I84" s="303">
        <f t="shared" si="4"/>
        <v>2.1506044361136002E-2</v>
      </c>
      <c r="J84" s="303">
        <f t="shared" si="4"/>
        <v>2.1506044361136002E-2</v>
      </c>
      <c r="K84" s="303">
        <f t="shared" si="4"/>
        <v>2.1506044361136002E-2</v>
      </c>
      <c r="L84" s="303">
        <f t="shared" si="4"/>
        <v>2.1506044361136002E-2</v>
      </c>
      <c r="M84" s="303">
        <f t="shared" ref="M84:AB84" si="5">M93</f>
        <v>2.1506044361136002E-2</v>
      </c>
      <c r="N84" s="303">
        <f t="shared" si="5"/>
        <v>2.1506044361136002E-2</v>
      </c>
      <c r="O84" s="303">
        <f t="shared" si="5"/>
        <v>2.1506044361136002E-2</v>
      </c>
      <c r="P84" s="303">
        <f t="shared" si="5"/>
        <v>2.1506044361136002E-2</v>
      </c>
      <c r="Q84" s="303">
        <f t="shared" si="5"/>
        <v>2.1506044361136002E-2</v>
      </c>
      <c r="R84" s="303">
        <f t="shared" si="5"/>
        <v>2.1506044361136002E-2</v>
      </c>
      <c r="S84" s="303">
        <f t="shared" si="5"/>
        <v>2.1506044361136002E-2</v>
      </c>
      <c r="T84" s="303">
        <f t="shared" si="5"/>
        <v>2.1506044361136002E-2</v>
      </c>
      <c r="U84" s="303">
        <f t="shared" si="5"/>
        <v>2.1506044361136002E-2</v>
      </c>
      <c r="V84" s="303">
        <f t="shared" si="5"/>
        <v>2.1506044361136002E-2</v>
      </c>
      <c r="W84" s="303">
        <f t="shared" si="5"/>
        <v>2.1506044361136002E-2</v>
      </c>
      <c r="X84" s="303">
        <f t="shared" si="5"/>
        <v>2.1506044361136002E-2</v>
      </c>
      <c r="Y84" s="303">
        <f t="shared" si="5"/>
        <v>2.1506044361136002E-2</v>
      </c>
      <c r="Z84" s="303">
        <f t="shared" si="5"/>
        <v>2.1506044361136002E-2</v>
      </c>
      <c r="AA84" s="303">
        <f t="shared" si="5"/>
        <v>2.1506044361136002E-2</v>
      </c>
      <c r="AB84" s="303">
        <f t="shared" si="5"/>
        <v>2.1506044361136002E-2</v>
      </c>
      <c r="AC84" s="4" t="s">
        <v>222</v>
      </c>
    </row>
    <row r="85" spans="1:29" s="207" customFormat="1" ht="15" customHeight="1">
      <c r="A85" s="461"/>
      <c r="B85" s="10" t="s">
        <v>203</v>
      </c>
      <c r="C85" s="10" t="s">
        <v>223</v>
      </c>
      <c r="D85" s="303">
        <f>'Emission Factors - Dairy Gas'!$S$9</f>
        <v>5.5539799584042357E-2</v>
      </c>
      <c r="E85" s="303">
        <f>'Emission Factors - Dairy Gas'!$S$9</f>
        <v>5.5539799584042357E-2</v>
      </c>
      <c r="F85" s="303">
        <f>'Emission Factors - Dairy Gas'!$S$9</f>
        <v>5.5539799584042357E-2</v>
      </c>
      <c r="G85" s="303">
        <f>'Emission Factors - Dairy Gas'!$S$9</f>
        <v>5.5539799584042357E-2</v>
      </c>
      <c r="H85" s="303">
        <f>'Emission Factors - Dairy Gas'!$S$9</f>
        <v>5.5539799584042357E-2</v>
      </c>
      <c r="I85" s="303">
        <f>'Emission Factors - Dairy Gas'!$S$9</f>
        <v>5.5539799584042357E-2</v>
      </c>
      <c r="J85" s="303">
        <f>'Emission Factors - Dairy Gas'!$S$9</f>
        <v>5.5539799584042357E-2</v>
      </c>
      <c r="K85" s="303">
        <f>'Emission Factors - Dairy Gas'!$S$9</f>
        <v>5.5539799584042357E-2</v>
      </c>
      <c r="L85" s="303">
        <f>'Emission Factors - Dairy Gas'!$S$9</f>
        <v>5.5539799584042357E-2</v>
      </c>
      <c r="M85" s="303">
        <f>'Emission Factors - Dairy Gas'!$S$9</f>
        <v>5.5539799584042357E-2</v>
      </c>
      <c r="N85" s="303">
        <f>'Emission Factors - Dairy Gas'!$S$9</f>
        <v>5.5539799584042357E-2</v>
      </c>
      <c r="O85" s="303">
        <f>'Emission Factors - Dairy Gas'!$S$9</f>
        <v>5.5539799584042357E-2</v>
      </c>
      <c r="P85" s="303">
        <f>'Emission Factors - Dairy Gas'!$S$9</f>
        <v>5.5539799584042357E-2</v>
      </c>
      <c r="Q85" s="303">
        <f>'Emission Factors - Dairy Gas'!$S$9</f>
        <v>5.5539799584042357E-2</v>
      </c>
      <c r="R85" s="303">
        <f>'Emission Factors - Dairy Gas'!$S$9</f>
        <v>5.5539799584042357E-2</v>
      </c>
      <c r="S85" s="303">
        <f>'Emission Factors - Dairy Gas'!$S$9</f>
        <v>5.5539799584042357E-2</v>
      </c>
      <c r="T85" s="303">
        <f>'Emission Factors - Dairy Gas'!$S$9</f>
        <v>5.5539799584042357E-2</v>
      </c>
      <c r="U85" s="303">
        <f>'Emission Factors - Dairy Gas'!$S$9</f>
        <v>5.5539799584042357E-2</v>
      </c>
      <c r="V85" s="303">
        <f>'Emission Factors - Dairy Gas'!$S$9</f>
        <v>5.5539799584042357E-2</v>
      </c>
      <c r="W85" s="303">
        <f>'Emission Factors - Dairy Gas'!$S$9</f>
        <v>5.5539799584042357E-2</v>
      </c>
      <c r="X85" s="303">
        <f>'Emission Factors - Dairy Gas'!$S$9</f>
        <v>5.5539799584042357E-2</v>
      </c>
      <c r="Y85" s="303">
        <f>'Emission Factors - Dairy Gas'!$S$9</f>
        <v>5.5539799584042357E-2</v>
      </c>
      <c r="Z85" s="303">
        <f>'Emission Factors - Dairy Gas'!$S$9</f>
        <v>5.5539799584042357E-2</v>
      </c>
      <c r="AA85" s="303">
        <f>'Emission Factors - Dairy Gas'!$S$9</f>
        <v>5.5539799584042357E-2</v>
      </c>
      <c r="AB85" s="303">
        <f>'Emission Factors - Dairy Gas'!$S$9</f>
        <v>5.5539799584042357E-2</v>
      </c>
      <c r="AC85" s="214"/>
    </row>
    <row r="86" spans="1:29" ht="15" customHeight="1">
      <c r="A86" s="461"/>
      <c r="B86" s="10" t="s">
        <v>205</v>
      </c>
      <c r="C86" s="10" t="s">
        <v>223</v>
      </c>
      <c r="D86" s="303">
        <f>'Emission Factors - Dairy Gas'!$D$8+'Emission Factors - Dairy Gas'!$S$9</f>
        <v>0.62128489469495762</v>
      </c>
      <c r="E86" s="303">
        <f>'Emission Factors - Dairy Gas'!$D$8+'Emission Factors - Dairy Gas'!$S$9</f>
        <v>0.62128489469495762</v>
      </c>
      <c r="F86" s="303">
        <f>'Emission Factors - Dairy Gas'!$D$8+'Emission Factors - Dairy Gas'!$S$9</f>
        <v>0.62128489469495762</v>
      </c>
      <c r="G86" s="303">
        <f>'Emission Factors - Dairy Gas'!$D$8+'Emission Factors - Dairy Gas'!$S$9</f>
        <v>0.62128489469495762</v>
      </c>
      <c r="H86" s="303">
        <f>'Emission Factors - Dairy Gas'!$D$8+'Emission Factors - Dairy Gas'!$S$9</f>
        <v>0.62128489469495762</v>
      </c>
      <c r="I86" s="303">
        <f>'Emission Factors - Dairy Gas'!$D$8+'Emission Factors - Dairy Gas'!$S$9</f>
        <v>0.62128489469495762</v>
      </c>
      <c r="J86" s="303">
        <f>'Emission Factors - Dairy Gas'!$D$8+'Emission Factors - Dairy Gas'!$S$9</f>
        <v>0.62128489469495762</v>
      </c>
      <c r="K86" s="303">
        <f>'Emission Factors - Dairy Gas'!$D$8+'Emission Factors - Dairy Gas'!$S$9</f>
        <v>0.62128489469495762</v>
      </c>
      <c r="L86" s="303">
        <f>'Emission Factors - Dairy Gas'!$D$8+'Emission Factors - Dairy Gas'!$S$9</f>
        <v>0.62128489469495762</v>
      </c>
      <c r="M86" s="303">
        <f>'Emission Factors - Dairy Gas'!$D$8+'Emission Factors - Dairy Gas'!$S$9</f>
        <v>0.62128489469495762</v>
      </c>
      <c r="N86" s="303">
        <f>'Emission Factors - Dairy Gas'!$D$8+'Emission Factors - Dairy Gas'!$S$9</f>
        <v>0.62128489469495762</v>
      </c>
      <c r="O86" s="303">
        <f>'Emission Factors - Dairy Gas'!$D$8+'Emission Factors - Dairy Gas'!$S$9</f>
        <v>0.62128489469495762</v>
      </c>
      <c r="P86" s="303">
        <f>'Emission Factors - Dairy Gas'!$D$8+'Emission Factors - Dairy Gas'!$S$9</f>
        <v>0.62128489469495762</v>
      </c>
      <c r="Q86" s="303">
        <f>'Emission Factors - Dairy Gas'!$D$8+'Emission Factors - Dairy Gas'!$S$9</f>
        <v>0.62128489469495762</v>
      </c>
      <c r="R86" s="303">
        <f>'Emission Factors - Dairy Gas'!$D$8+'Emission Factors - Dairy Gas'!$S$9</f>
        <v>0.62128489469495762</v>
      </c>
      <c r="S86" s="303">
        <f>'Emission Factors - Dairy Gas'!$D$8+'Emission Factors - Dairy Gas'!$S$9</f>
        <v>0.62128489469495762</v>
      </c>
      <c r="T86" s="303">
        <f>'Emission Factors - Dairy Gas'!$D$8+'Emission Factors - Dairy Gas'!$S$9</f>
        <v>0.62128489469495762</v>
      </c>
      <c r="U86" s="303">
        <f>'Emission Factors - Dairy Gas'!$D$8+'Emission Factors - Dairy Gas'!$S$9</f>
        <v>0.62128489469495762</v>
      </c>
      <c r="V86" s="303">
        <f>'Emission Factors - Dairy Gas'!$D$8+'Emission Factors - Dairy Gas'!$S$9</f>
        <v>0.62128489469495762</v>
      </c>
      <c r="W86" s="303">
        <f>'Emission Factors - Dairy Gas'!$D$8+'Emission Factors - Dairy Gas'!$S$9</f>
        <v>0.62128489469495762</v>
      </c>
      <c r="X86" s="303">
        <f>'Emission Factors - Dairy Gas'!$D$8+'Emission Factors - Dairy Gas'!$S$9</f>
        <v>0.62128489469495762</v>
      </c>
      <c r="Y86" s="303">
        <f>'Emission Factors - Dairy Gas'!$D$8+'Emission Factors - Dairy Gas'!$S$9</f>
        <v>0.62128489469495762</v>
      </c>
      <c r="Z86" s="303">
        <f>'Emission Factors - Dairy Gas'!$D$8+'Emission Factors - Dairy Gas'!$S$9</f>
        <v>0.62128489469495762</v>
      </c>
      <c r="AA86" s="303">
        <f>'Emission Factors - Dairy Gas'!$D$8+'Emission Factors - Dairy Gas'!$S$9</f>
        <v>0.62128489469495762</v>
      </c>
      <c r="AB86" s="303">
        <f>'Emission Factors - Dairy Gas'!$D$8+'Emission Factors - Dairy Gas'!$S$9</f>
        <v>0.62128489469495762</v>
      </c>
      <c r="AC86" s="4"/>
    </row>
    <row r="87" spans="1:29" ht="15" customHeight="1">
      <c r="A87" s="461"/>
      <c r="B87" s="309" t="s">
        <v>236</v>
      </c>
      <c r="C87" s="309" t="s">
        <v>223</v>
      </c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0"/>
      <c r="AC87" s="4"/>
    </row>
    <row r="88" spans="1:29" s="171" customFormat="1" ht="15" customHeight="1">
      <c r="A88" s="461"/>
      <c r="B88" s="309" t="s">
        <v>206</v>
      </c>
      <c r="C88" s="309" t="s">
        <v>223</v>
      </c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210"/>
    </row>
    <row r="89" spans="1:29" ht="15" customHeight="1">
      <c r="A89" s="461"/>
      <c r="B89" s="309" t="s">
        <v>31</v>
      </c>
      <c r="C89" s="309" t="s">
        <v>223</v>
      </c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4"/>
    </row>
    <row r="90" spans="1:29" s="207" customFormat="1" ht="15" customHeight="1">
      <c r="A90" s="461"/>
      <c r="B90" s="309" t="s">
        <v>118</v>
      </c>
      <c r="C90" s="309" t="s">
        <v>224</v>
      </c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  <c r="AB90" s="310"/>
      <c r="AC90" s="214"/>
    </row>
    <row r="91" spans="1:29" ht="15" customHeight="1">
      <c r="A91" s="461"/>
      <c r="B91" s="10" t="s">
        <v>208</v>
      </c>
      <c r="C91" s="10" t="s">
        <v>225</v>
      </c>
      <c r="D91" s="175">
        <f>'Emission Factors - Dairy Gas'!$E$8+'Emission Factors - Dairy Gas'!$M$9</f>
        <v>2.4416367262681603E-2</v>
      </c>
      <c r="E91" s="175">
        <f>'Emission Factors - Dairy Gas'!$E$8+'Emission Factors - Dairy Gas'!$M$9</f>
        <v>2.4416367262681603E-2</v>
      </c>
      <c r="F91" s="175">
        <f>'Emission Factors - Dairy Gas'!$E$8+'Emission Factors - Dairy Gas'!$M$9</f>
        <v>2.4416367262681603E-2</v>
      </c>
      <c r="G91" s="175">
        <f>'Emission Factors - Dairy Gas'!$E$8+'Emission Factors - Dairy Gas'!$M$9</f>
        <v>2.4416367262681603E-2</v>
      </c>
      <c r="H91" s="175">
        <f>'Emission Factors - Dairy Gas'!$E$8+'Emission Factors - Dairy Gas'!$M$9</f>
        <v>2.4416367262681603E-2</v>
      </c>
      <c r="I91" s="175">
        <f>'Emission Factors - Dairy Gas'!$E$8+'Emission Factors - Dairy Gas'!$M$9</f>
        <v>2.4416367262681603E-2</v>
      </c>
      <c r="J91" s="175">
        <f>'Emission Factors - Dairy Gas'!$E$8+'Emission Factors - Dairy Gas'!$M$9</f>
        <v>2.4416367262681603E-2</v>
      </c>
      <c r="K91" s="175">
        <f>'Emission Factors - Dairy Gas'!$E$8+'Emission Factors - Dairy Gas'!$M$9</f>
        <v>2.4416367262681603E-2</v>
      </c>
      <c r="L91" s="175">
        <f>'Emission Factors - Dairy Gas'!$E$8+'Emission Factors - Dairy Gas'!$M$9</f>
        <v>2.4416367262681603E-2</v>
      </c>
      <c r="M91" s="175">
        <f>'Emission Factors - Dairy Gas'!$E$8+'Emission Factors - Dairy Gas'!$M$9</f>
        <v>2.4416367262681603E-2</v>
      </c>
      <c r="N91" s="175">
        <f>'Emission Factors - Dairy Gas'!$E$8+'Emission Factors - Dairy Gas'!$M$9</f>
        <v>2.4416367262681603E-2</v>
      </c>
      <c r="O91" s="175">
        <f>'Emission Factors - Dairy Gas'!$E$8+'Emission Factors - Dairy Gas'!$M$9</f>
        <v>2.4416367262681603E-2</v>
      </c>
      <c r="P91" s="175">
        <f>'Emission Factors - Dairy Gas'!$E$8+'Emission Factors - Dairy Gas'!$M$9</f>
        <v>2.4416367262681603E-2</v>
      </c>
      <c r="Q91" s="175">
        <f>'Emission Factors - Dairy Gas'!$E$8+'Emission Factors - Dairy Gas'!$M$9</f>
        <v>2.4416367262681603E-2</v>
      </c>
      <c r="R91" s="175">
        <f>'Emission Factors - Dairy Gas'!$E$8+'Emission Factors - Dairy Gas'!$M$9</f>
        <v>2.4416367262681603E-2</v>
      </c>
      <c r="S91" s="175">
        <f>'Emission Factors - Dairy Gas'!$E$8+'Emission Factors - Dairy Gas'!$M$9</f>
        <v>2.4416367262681603E-2</v>
      </c>
      <c r="T91" s="175">
        <f>'Emission Factors - Dairy Gas'!$E$8+'Emission Factors - Dairy Gas'!$M$9</f>
        <v>2.4416367262681603E-2</v>
      </c>
      <c r="U91" s="175">
        <f>'Emission Factors - Dairy Gas'!$E$8+'Emission Factors - Dairy Gas'!$M$9</f>
        <v>2.4416367262681603E-2</v>
      </c>
      <c r="V91" s="175">
        <f>'Emission Factors - Dairy Gas'!$E$8+'Emission Factors - Dairy Gas'!$M$9</f>
        <v>2.4416367262681603E-2</v>
      </c>
      <c r="W91" s="175">
        <f>'Emission Factors - Dairy Gas'!$E$8+'Emission Factors - Dairy Gas'!$M$9</f>
        <v>2.4416367262681603E-2</v>
      </c>
      <c r="X91" s="175">
        <f>'Emission Factors - Dairy Gas'!$E$8+'Emission Factors - Dairy Gas'!$M$9</f>
        <v>2.4416367262681603E-2</v>
      </c>
      <c r="Y91" s="175">
        <f>'Emission Factors - Dairy Gas'!$E$8+'Emission Factors - Dairy Gas'!$M$9</f>
        <v>2.4416367262681603E-2</v>
      </c>
      <c r="Z91" s="175">
        <f>'Emission Factors - Dairy Gas'!$E$8+'Emission Factors - Dairy Gas'!$M$9</f>
        <v>2.4416367262681603E-2</v>
      </c>
      <c r="AA91" s="175">
        <f>'Emission Factors - Dairy Gas'!$E$8+'Emission Factors - Dairy Gas'!$M$9</f>
        <v>2.4416367262681603E-2</v>
      </c>
      <c r="AB91" s="175">
        <f>'Emission Factors - Dairy Gas'!$E$8+'Emission Factors - Dairy Gas'!$M$9</f>
        <v>2.4416367262681603E-2</v>
      </c>
      <c r="AC91" s="4"/>
    </row>
    <row r="92" spans="1:29" s="275" customFormat="1" ht="15" customHeight="1">
      <c r="A92" s="461"/>
      <c r="B92" s="299" t="s">
        <v>9</v>
      </c>
      <c r="C92" s="299" t="s">
        <v>221</v>
      </c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279"/>
    </row>
    <row r="93" spans="1:29" ht="15" customHeight="1">
      <c r="A93" s="461"/>
      <c r="B93" s="10" t="s">
        <v>34</v>
      </c>
      <c r="C93" s="10" t="s">
        <v>221</v>
      </c>
      <c r="D93" s="305">
        <f>'Emission Factors - Production'!$L$22</f>
        <v>2.1506044361136002E-2</v>
      </c>
      <c r="E93" s="305">
        <f>'Emission Factors - Production'!$L$22</f>
        <v>2.1506044361136002E-2</v>
      </c>
      <c r="F93" s="305">
        <f>'Emission Factors - Production'!$L$22</f>
        <v>2.1506044361136002E-2</v>
      </c>
      <c r="G93" s="305">
        <f>'Emission Factors - Production'!$L$22</f>
        <v>2.1506044361136002E-2</v>
      </c>
      <c r="H93" s="305">
        <f>'Emission Factors - Production'!$L$22</f>
        <v>2.1506044361136002E-2</v>
      </c>
      <c r="I93" s="305">
        <f>'Emission Factors - Production'!$L$22</f>
        <v>2.1506044361136002E-2</v>
      </c>
      <c r="J93" s="305">
        <f>'Emission Factors - Production'!$L$22</f>
        <v>2.1506044361136002E-2</v>
      </c>
      <c r="K93" s="305">
        <f>'Emission Factors - Production'!$L$22</f>
        <v>2.1506044361136002E-2</v>
      </c>
      <c r="L93" s="305">
        <f>'Emission Factors - Production'!$L$22</f>
        <v>2.1506044361136002E-2</v>
      </c>
      <c r="M93" s="305">
        <f>'Emission Factors - Production'!$L$22</f>
        <v>2.1506044361136002E-2</v>
      </c>
      <c r="N93" s="305">
        <f>'Emission Factors - Production'!$L$22</f>
        <v>2.1506044361136002E-2</v>
      </c>
      <c r="O93" s="305">
        <f>'Emission Factors - Production'!$L$22</f>
        <v>2.1506044361136002E-2</v>
      </c>
      <c r="P93" s="305">
        <f>'Emission Factors - Production'!$L$22</f>
        <v>2.1506044361136002E-2</v>
      </c>
      <c r="Q93" s="305">
        <f>'Emission Factors - Production'!$L$22</f>
        <v>2.1506044361136002E-2</v>
      </c>
      <c r="R93" s="305">
        <f>'Emission Factors - Production'!$L$22</f>
        <v>2.1506044361136002E-2</v>
      </c>
      <c r="S93" s="305">
        <f>'Emission Factors - Production'!$L$22</f>
        <v>2.1506044361136002E-2</v>
      </c>
      <c r="T93" s="305">
        <f>'Emission Factors - Production'!$L$22</f>
        <v>2.1506044361136002E-2</v>
      </c>
      <c r="U93" s="305">
        <f>'Emission Factors - Production'!$L$22</f>
        <v>2.1506044361136002E-2</v>
      </c>
      <c r="V93" s="305">
        <f>'Emission Factors - Production'!$L$22</f>
        <v>2.1506044361136002E-2</v>
      </c>
      <c r="W93" s="305">
        <f>'Emission Factors - Production'!$L$22</f>
        <v>2.1506044361136002E-2</v>
      </c>
      <c r="X93" s="305">
        <f>'Emission Factors - Production'!$L$22</f>
        <v>2.1506044361136002E-2</v>
      </c>
      <c r="Y93" s="305">
        <f>'Emission Factors - Production'!$L$22</f>
        <v>2.1506044361136002E-2</v>
      </c>
      <c r="Z93" s="305">
        <f>'Emission Factors - Production'!$L$22</f>
        <v>2.1506044361136002E-2</v>
      </c>
      <c r="AA93" s="305">
        <f>'Emission Factors - Production'!$L$22</f>
        <v>2.1506044361136002E-2</v>
      </c>
      <c r="AB93" s="305">
        <f>'Emission Factors - Production'!$L$22</f>
        <v>2.1506044361136002E-2</v>
      </c>
      <c r="AC93" s="4" t="s">
        <v>226</v>
      </c>
    </row>
    <row r="94" spans="1:29" s="275" customFormat="1" ht="15" customHeight="1">
      <c r="A94" s="461"/>
      <c r="B94" s="299" t="s">
        <v>33</v>
      </c>
      <c r="C94" s="299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</row>
    <row r="95" spans="1:29" s="207" customFormat="1" ht="15" customHeight="1">
      <c r="A95" s="461"/>
      <c r="B95" s="10" t="s">
        <v>24</v>
      </c>
      <c r="C95" s="10" t="s">
        <v>223</v>
      </c>
      <c r="D95" s="303">
        <f>'Emission Factors - Dairy Gas'!$S$9</f>
        <v>5.5539799584042357E-2</v>
      </c>
      <c r="E95" s="303">
        <f>'Emission Factors - Dairy Gas'!$S$9</f>
        <v>5.5539799584042357E-2</v>
      </c>
      <c r="F95" s="303">
        <f>'Emission Factors - Dairy Gas'!$S$9</f>
        <v>5.5539799584042357E-2</v>
      </c>
      <c r="G95" s="303">
        <f>'Emission Factors - Dairy Gas'!$S$9</f>
        <v>5.5539799584042357E-2</v>
      </c>
      <c r="H95" s="303">
        <f>'Emission Factors - Dairy Gas'!$S$9</f>
        <v>5.5539799584042357E-2</v>
      </c>
      <c r="I95" s="303">
        <f>'Emission Factors - Dairy Gas'!$S$9</f>
        <v>5.5539799584042357E-2</v>
      </c>
      <c r="J95" s="303">
        <f>'Emission Factors - Dairy Gas'!$S$9</f>
        <v>5.5539799584042357E-2</v>
      </c>
      <c r="K95" s="303">
        <f>'Emission Factors - Dairy Gas'!$S$9</f>
        <v>5.5539799584042357E-2</v>
      </c>
      <c r="L95" s="303">
        <f>'Emission Factors - Dairy Gas'!$S$9</f>
        <v>5.5539799584042357E-2</v>
      </c>
      <c r="M95" s="303">
        <f>'Emission Factors - Dairy Gas'!$S$9</f>
        <v>5.5539799584042357E-2</v>
      </c>
      <c r="N95" s="303">
        <f>'Emission Factors - Dairy Gas'!$S$9</f>
        <v>5.5539799584042357E-2</v>
      </c>
      <c r="O95" s="303">
        <f>'Emission Factors - Dairy Gas'!$S$9</f>
        <v>5.5539799584042357E-2</v>
      </c>
      <c r="P95" s="303">
        <f>'Emission Factors - Dairy Gas'!$S$9</f>
        <v>5.5539799584042357E-2</v>
      </c>
      <c r="Q95" s="303">
        <f>'Emission Factors - Dairy Gas'!$S$9</f>
        <v>5.5539799584042357E-2</v>
      </c>
      <c r="R95" s="303">
        <f>'Emission Factors - Dairy Gas'!$S$9</f>
        <v>5.5539799584042357E-2</v>
      </c>
      <c r="S95" s="303">
        <f>'Emission Factors - Dairy Gas'!$S$9</f>
        <v>5.5539799584042357E-2</v>
      </c>
      <c r="T95" s="303">
        <f>'Emission Factors - Dairy Gas'!$S$9</f>
        <v>5.5539799584042357E-2</v>
      </c>
      <c r="U95" s="303">
        <f>'Emission Factors - Dairy Gas'!$S$9</f>
        <v>5.5539799584042357E-2</v>
      </c>
      <c r="V95" s="303">
        <f>'Emission Factors - Dairy Gas'!$S$9</f>
        <v>5.5539799584042357E-2</v>
      </c>
      <c r="W95" s="303">
        <f>'Emission Factors - Dairy Gas'!$S$9</f>
        <v>5.5539799584042357E-2</v>
      </c>
      <c r="X95" s="303">
        <f>'Emission Factors - Dairy Gas'!$S$9</f>
        <v>5.5539799584042357E-2</v>
      </c>
      <c r="Y95" s="303">
        <f>'Emission Factors - Dairy Gas'!$S$9</f>
        <v>5.5539799584042357E-2</v>
      </c>
      <c r="Z95" s="303">
        <f>'Emission Factors - Dairy Gas'!$S$9</f>
        <v>5.5539799584042357E-2</v>
      </c>
      <c r="AA95" s="303">
        <f>'Emission Factors - Dairy Gas'!$S$9</f>
        <v>5.5539799584042357E-2</v>
      </c>
      <c r="AB95" s="303">
        <f>'Emission Factors - Dairy Gas'!$S$9</f>
        <v>5.5539799584042357E-2</v>
      </c>
    </row>
    <row r="96" spans="1:29" ht="15" customHeight="1">
      <c r="A96" s="461"/>
      <c r="B96" s="10" t="s">
        <v>23</v>
      </c>
      <c r="C96" s="10" t="s">
        <v>223</v>
      </c>
      <c r="D96" s="303">
        <f>'Emission Factors - Dairy Gas'!$D$8+'Emission Factors - Dairy Gas'!$S$9</f>
        <v>0.62128489469495762</v>
      </c>
      <c r="E96" s="303">
        <f>'Emission Factors - Dairy Gas'!$D$8+'Emission Factors - Dairy Gas'!$S$9</f>
        <v>0.62128489469495762</v>
      </c>
      <c r="F96" s="303">
        <f>'Emission Factors - Dairy Gas'!$D$8+'Emission Factors - Dairy Gas'!$S$9</f>
        <v>0.62128489469495762</v>
      </c>
      <c r="G96" s="303">
        <f>'Emission Factors - Dairy Gas'!$D$8+'Emission Factors - Dairy Gas'!$S$9</f>
        <v>0.62128489469495762</v>
      </c>
      <c r="H96" s="303">
        <f>'Emission Factors - Dairy Gas'!$D$8+'Emission Factors - Dairy Gas'!$S$9</f>
        <v>0.62128489469495762</v>
      </c>
      <c r="I96" s="303">
        <f>'Emission Factors - Dairy Gas'!$D$8+'Emission Factors - Dairy Gas'!$S$9</f>
        <v>0.62128489469495762</v>
      </c>
      <c r="J96" s="303">
        <f>'Emission Factors - Dairy Gas'!$D$8+'Emission Factors - Dairy Gas'!$S$9</f>
        <v>0.62128489469495762</v>
      </c>
      <c r="K96" s="303">
        <f>'Emission Factors - Dairy Gas'!$D$8+'Emission Factors - Dairy Gas'!$S$9</f>
        <v>0.62128489469495762</v>
      </c>
      <c r="L96" s="303">
        <f>'Emission Factors - Dairy Gas'!$D$8+'Emission Factors - Dairy Gas'!$S$9</f>
        <v>0.62128489469495762</v>
      </c>
      <c r="M96" s="303">
        <f>'Emission Factors - Dairy Gas'!$D$8+'Emission Factors - Dairy Gas'!$S$9</f>
        <v>0.62128489469495762</v>
      </c>
      <c r="N96" s="303">
        <f>'Emission Factors - Dairy Gas'!$D$8+'Emission Factors - Dairy Gas'!$S$9</f>
        <v>0.62128489469495762</v>
      </c>
      <c r="O96" s="303">
        <f>'Emission Factors - Dairy Gas'!$D$8+'Emission Factors - Dairy Gas'!$S$9</f>
        <v>0.62128489469495762</v>
      </c>
      <c r="P96" s="303">
        <f>'Emission Factors - Dairy Gas'!$D$8+'Emission Factors - Dairy Gas'!$S$9</f>
        <v>0.62128489469495762</v>
      </c>
      <c r="Q96" s="303">
        <f>'Emission Factors - Dairy Gas'!$D$8+'Emission Factors - Dairy Gas'!$S$9</f>
        <v>0.62128489469495762</v>
      </c>
      <c r="R96" s="303">
        <f>'Emission Factors - Dairy Gas'!$D$8+'Emission Factors - Dairy Gas'!$S$9</f>
        <v>0.62128489469495762</v>
      </c>
      <c r="S96" s="303">
        <f>'Emission Factors - Dairy Gas'!$D$8+'Emission Factors - Dairy Gas'!$S$9</f>
        <v>0.62128489469495762</v>
      </c>
      <c r="T96" s="303">
        <f>'Emission Factors - Dairy Gas'!$D$8+'Emission Factors - Dairy Gas'!$S$9</f>
        <v>0.62128489469495762</v>
      </c>
      <c r="U96" s="303">
        <f>'Emission Factors - Dairy Gas'!$D$8+'Emission Factors - Dairy Gas'!$S$9</f>
        <v>0.62128489469495762</v>
      </c>
      <c r="V96" s="303">
        <f>'Emission Factors - Dairy Gas'!$D$8+'Emission Factors - Dairy Gas'!$S$9</f>
        <v>0.62128489469495762</v>
      </c>
      <c r="W96" s="303">
        <f>'Emission Factors - Dairy Gas'!$D$8+'Emission Factors - Dairy Gas'!$S$9</f>
        <v>0.62128489469495762</v>
      </c>
      <c r="X96" s="303">
        <f>'Emission Factors - Dairy Gas'!$D$8+'Emission Factors - Dairy Gas'!$S$9</f>
        <v>0.62128489469495762</v>
      </c>
      <c r="Y96" s="303">
        <f>'Emission Factors - Dairy Gas'!$D$8+'Emission Factors - Dairy Gas'!$S$9</f>
        <v>0.62128489469495762</v>
      </c>
      <c r="Z96" s="303">
        <f>'Emission Factors - Dairy Gas'!$D$8+'Emission Factors - Dairy Gas'!$S$9</f>
        <v>0.62128489469495762</v>
      </c>
      <c r="AA96" s="303">
        <f>'Emission Factors - Dairy Gas'!$D$8+'Emission Factors - Dairy Gas'!$S$9</f>
        <v>0.62128489469495762</v>
      </c>
      <c r="AB96" s="303">
        <f>'Emission Factors - Dairy Gas'!$D$8+'Emission Factors - Dairy Gas'!$S$9</f>
        <v>0.62128489469495762</v>
      </c>
    </row>
    <row r="97" spans="1:29" ht="15" customHeight="1">
      <c r="A97" s="461"/>
      <c r="B97" s="309" t="s">
        <v>21</v>
      </c>
      <c r="C97" s="309" t="s">
        <v>223</v>
      </c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</row>
    <row r="98" spans="1:29" s="171" customFormat="1" ht="15" customHeight="1">
      <c r="A98" s="461"/>
      <c r="B98" s="309" t="s">
        <v>25</v>
      </c>
      <c r="C98" s="309" t="s">
        <v>229</v>
      </c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210"/>
    </row>
    <row r="99" spans="1:29" ht="15" customHeight="1">
      <c r="A99" s="461"/>
      <c r="B99" s="309" t="s">
        <v>26</v>
      </c>
      <c r="C99" s="309" t="s">
        <v>223</v>
      </c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</row>
    <row r="100" spans="1:29" s="207" customFormat="1" ht="15" customHeight="1">
      <c r="A100" s="461"/>
      <c r="B100" s="309" t="s">
        <v>14</v>
      </c>
      <c r="C100" s="309" t="s">
        <v>224</v>
      </c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</row>
    <row r="101" spans="1:29" ht="15" customHeight="1">
      <c r="A101" s="461"/>
      <c r="B101" s="10" t="s">
        <v>214</v>
      </c>
      <c r="C101" s="10" t="s">
        <v>225</v>
      </c>
      <c r="D101" s="175">
        <f>'Emission Factors - Dairy Gas'!$E$8+'Emission Factors - Dairy Gas'!$M$9</f>
        <v>2.4416367262681603E-2</v>
      </c>
      <c r="E101" s="175">
        <f>'Emission Factors - Dairy Gas'!$E$8+'Emission Factors - Dairy Gas'!$M$9</f>
        <v>2.4416367262681603E-2</v>
      </c>
      <c r="F101" s="175">
        <f>'Emission Factors - Dairy Gas'!$E$8+'Emission Factors - Dairy Gas'!$M$9</f>
        <v>2.4416367262681603E-2</v>
      </c>
      <c r="G101" s="175">
        <f>'Emission Factors - Dairy Gas'!$E$8+'Emission Factors - Dairy Gas'!$M$9</f>
        <v>2.4416367262681603E-2</v>
      </c>
      <c r="H101" s="175">
        <f>'Emission Factors - Dairy Gas'!$E$8+'Emission Factors - Dairy Gas'!$M$9</f>
        <v>2.4416367262681603E-2</v>
      </c>
      <c r="I101" s="175">
        <f>'Emission Factors - Dairy Gas'!$E$8+'Emission Factors - Dairy Gas'!$M$9</f>
        <v>2.4416367262681603E-2</v>
      </c>
      <c r="J101" s="175">
        <f>'Emission Factors - Dairy Gas'!$E$8+'Emission Factors - Dairy Gas'!$M$9</f>
        <v>2.4416367262681603E-2</v>
      </c>
      <c r="K101" s="175">
        <f>'Emission Factors - Dairy Gas'!$E$8+'Emission Factors - Dairy Gas'!$M$9</f>
        <v>2.4416367262681603E-2</v>
      </c>
      <c r="L101" s="175">
        <f>'Emission Factors - Dairy Gas'!$E$8+'Emission Factors - Dairy Gas'!$M$9</f>
        <v>2.4416367262681603E-2</v>
      </c>
      <c r="M101" s="175">
        <f>'Emission Factors - Dairy Gas'!$E$8+'Emission Factors - Dairy Gas'!$M$9</f>
        <v>2.4416367262681603E-2</v>
      </c>
      <c r="N101" s="175">
        <f>'Emission Factors - Dairy Gas'!$E$8+'Emission Factors - Dairy Gas'!$M$9</f>
        <v>2.4416367262681603E-2</v>
      </c>
      <c r="O101" s="175">
        <f>'Emission Factors - Dairy Gas'!$E$8+'Emission Factors - Dairy Gas'!$M$9</f>
        <v>2.4416367262681603E-2</v>
      </c>
      <c r="P101" s="175">
        <f>'Emission Factors - Dairy Gas'!$E$8+'Emission Factors - Dairy Gas'!$M$9</f>
        <v>2.4416367262681603E-2</v>
      </c>
      <c r="Q101" s="175">
        <f>'Emission Factors - Dairy Gas'!$E$8+'Emission Factors - Dairy Gas'!$M$9</f>
        <v>2.4416367262681603E-2</v>
      </c>
      <c r="R101" s="175">
        <f>'Emission Factors - Dairy Gas'!$E$8+'Emission Factors - Dairy Gas'!$M$9</f>
        <v>2.4416367262681603E-2</v>
      </c>
      <c r="S101" s="175">
        <f>'Emission Factors - Dairy Gas'!$E$8+'Emission Factors - Dairy Gas'!$M$9</f>
        <v>2.4416367262681603E-2</v>
      </c>
      <c r="T101" s="175">
        <f>'Emission Factors - Dairy Gas'!$E$8+'Emission Factors - Dairy Gas'!$M$9</f>
        <v>2.4416367262681603E-2</v>
      </c>
      <c r="U101" s="175">
        <f>'Emission Factors - Dairy Gas'!$E$8+'Emission Factors - Dairy Gas'!$M$9</f>
        <v>2.4416367262681603E-2</v>
      </c>
      <c r="V101" s="175">
        <f>'Emission Factors - Dairy Gas'!$E$8+'Emission Factors - Dairy Gas'!$M$9</f>
        <v>2.4416367262681603E-2</v>
      </c>
      <c r="W101" s="175">
        <f>'Emission Factors - Dairy Gas'!$E$8+'Emission Factors - Dairy Gas'!$M$9</f>
        <v>2.4416367262681603E-2</v>
      </c>
      <c r="X101" s="175">
        <f>'Emission Factors - Dairy Gas'!$E$8+'Emission Factors - Dairy Gas'!$M$9</f>
        <v>2.4416367262681603E-2</v>
      </c>
      <c r="Y101" s="175">
        <f>'Emission Factors - Dairy Gas'!$E$8+'Emission Factors - Dairy Gas'!$M$9</f>
        <v>2.4416367262681603E-2</v>
      </c>
      <c r="Z101" s="175">
        <f>'Emission Factors - Dairy Gas'!$E$8+'Emission Factors - Dairy Gas'!$M$9</f>
        <v>2.4416367262681603E-2</v>
      </c>
      <c r="AA101" s="175">
        <f>'Emission Factors - Dairy Gas'!$E$8+'Emission Factors - Dairy Gas'!$M$9</f>
        <v>2.4416367262681603E-2</v>
      </c>
      <c r="AB101" s="175">
        <f>'Emission Factors - Dairy Gas'!$E$8+'Emission Factors - Dairy Gas'!$M$9</f>
        <v>2.4416367262681603E-2</v>
      </c>
    </row>
    <row r="102" spans="1:29" s="207" customFormat="1" ht="15" customHeight="1">
      <c r="A102" s="461"/>
      <c r="B102" s="301" t="s">
        <v>108</v>
      </c>
      <c r="C102" s="301" t="s">
        <v>224</v>
      </c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</row>
    <row r="103" spans="1:29" ht="15" customHeight="1">
      <c r="A103" s="461"/>
      <c r="B103" s="10" t="s">
        <v>122</v>
      </c>
      <c r="C103" s="10" t="s">
        <v>221</v>
      </c>
      <c r="D103" s="305">
        <f>D93</f>
        <v>2.1506044361136002E-2</v>
      </c>
      <c r="E103" s="305">
        <f t="shared" ref="E103:L103" si="6">E93</f>
        <v>2.1506044361136002E-2</v>
      </c>
      <c r="F103" s="305">
        <f t="shared" si="6"/>
        <v>2.1506044361136002E-2</v>
      </c>
      <c r="G103" s="305">
        <f t="shared" si="6"/>
        <v>2.1506044361136002E-2</v>
      </c>
      <c r="H103" s="305">
        <f t="shared" si="6"/>
        <v>2.1506044361136002E-2</v>
      </c>
      <c r="I103" s="305">
        <f t="shared" si="6"/>
        <v>2.1506044361136002E-2</v>
      </c>
      <c r="J103" s="305">
        <f t="shared" si="6"/>
        <v>2.1506044361136002E-2</v>
      </c>
      <c r="K103" s="305">
        <f t="shared" si="6"/>
        <v>2.1506044361136002E-2</v>
      </c>
      <c r="L103" s="305">
        <f t="shared" si="6"/>
        <v>2.1506044361136002E-2</v>
      </c>
      <c r="M103" s="305">
        <f t="shared" ref="M103:AB103" si="7">M93</f>
        <v>2.1506044361136002E-2</v>
      </c>
      <c r="N103" s="305">
        <f t="shared" si="7"/>
        <v>2.1506044361136002E-2</v>
      </c>
      <c r="O103" s="305">
        <f t="shared" si="7"/>
        <v>2.1506044361136002E-2</v>
      </c>
      <c r="P103" s="305">
        <f t="shared" si="7"/>
        <v>2.1506044361136002E-2</v>
      </c>
      <c r="Q103" s="305">
        <f t="shared" si="7"/>
        <v>2.1506044361136002E-2</v>
      </c>
      <c r="R103" s="305">
        <f t="shared" si="7"/>
        <v>2.1506044361136002E-2</v>
      </c>
      <c r="S103" s="305">
        <f t="shared" si="7"/>
        <v>2.1506044361136002E-2</v>
      </c>
      <c r="T103" s="305">
        <f t="shared" si="7"/>
        <v>2.1506044361136002E-2</v>
      </c>
      <c r="U103" s="305">
        <f t="shared" si="7"/>
        <v>2.1506044361136002E-2</v>
      </c>
      <c r="V103" s="305">
        <f t="shared" si="7"/>
        <v>2.1506044361136002E-2</v>
      </c>
      <c r="W103" s="305">
        <f t="shared" si="7"/>
        <v>2.1506044361136002E-2</v>
      </c>
      <c r="X103" s="305">
        <f t="shared" si="7"/>
        <v>2.1506044361136002E-2</v>
      </c>
      <c r="Y103" s="305">
        <f t="shared" si="7"/>
        <v>2.1506044361136002E-2</v>
      </c>
      <c r="Z103" s="305">
        <f t="shared" si="7"/>
        <v>2.1506044361136002E-2</v>
      </c>
      <c r="AA103" s="305">
        <f t="shared" si="7"/>
        <v>2.1506044361136002E-2</v>
      </c>
      <c r="AB103" s="305">
        <f t="shared" si="7"/>
        <v>2.1506044361136002E-2</v>
      </c>
      <c r="AC103" s="4" t="s">
        <v>222</v>
      </c>
    </row>
    <row r="104" spans="1:29" s="275" customFormat="1" ht="15" customHeight="1">
      <c r="A104" s="461"/>
      <c r="B104" s="307" t="s">
        <v>123</v>
      </c>
      <c r="C104" s="299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</row>
    <row r="105" spans="1:29" ht="15" customHeight="1">
      <c r="A105" s="461"/>
      <c r="B105" s="147" t="s">
        <v>124</v>
      </c>
      <c r="C105" s="10" t="s">
        <v>237</v>
      </c>
      <c r="D105" s="175">
        <f>'Emission Factors - Dairy Gas'!$F$8</f>
        <v>0.63396452449637308</v>
      </c>
      <c r="E105" s="175">
        <f>'Emission Factors - Dairy Gas'!$F$8</f>
        <v>0.63396452449637308</v>
      </c>
      <c r="F105" s="175">
        <f>'Emission Factors - Dairy Gas'!$F$8</f>
        <v>0.63396452449637308</v>
      </c>
      <c r="G105" s="175">
        <f>'Emission Factors - Dairy Gas'!$F$8</f>
        <v>0.63396452449637308</v>
      </c>
      <c r="H105" s="175">
        <f>'Emission Factors - Dairy Gas'!$F$8</f>
        <v>0.63396452449637308</v>
      </c>
      <c r="I105" s="175">
        <f>'Emission Factors - Dairy Gas'!$F$8</f>
        <v>0.63396452449637308</v>
      </c>
      <c r="J105" s="175">
        <f>'Emission Factors - Dairy Gas'!$F$8</f>
        <v>0.63396452449637308</v>
      </c>
      <c r="K105" s="175">
        <f>'Emission Factors - Dairy Gas'!$F$8</f>
        <v>0.63396452449637308</v>
      </c>
      <c r="L105" s="175">
        <f>'Emission Factors - Dairy Gas'!$F$8</f>
        <v>0.63396452449637308</v>
      </c>
      <c r="M105" s="175">
        <f>'Emission Factors - Dairy Gas'!$F$8</f>
        <v>0.63396452449637308</v>
      </c>
      <c r="N105" s="175">
        <f>'Emission Factors - Dairy Gas'!$F$8</f>
        <v>0.63396452449637308</v>
      </c>
      <c r="O105" s="175">
        <f>'Emission Factors - Dairy Gas'!$F$8</f>
        <v>0.63396452449637308</v>
      </c>
      <c r="P105" s="175">
        <f>'Emission Factors - Dairy Gas'!$F$8</f>
        <v>0.63396452449637308</v>
      </c>
      <c r="Q105" s="175">
        <f>'Emission Factors - Dairy Gas'!$F$8</f>
        <v>0.63396452449637308</v>
      </c>
      <c r="R105" s="175">
        <f>'Emission Factors - Dairy Gas'!$F$8</f>
        <v>0.63396452449637308</v>
      </c>
      <c r="S105" s="175">
        <f>'Emission Factors - Dairy Gas'!$F$8</f>
        <v>0.63396452449637308</v>
      </c>
      <c r="T105" s="175">
        <f>'Emission Factors - Dairy Gas'!$F$8</f>
        <v>0.63396452449637308</v>
      </c>
      <c r="U105" s="175">
        <f>'Emission Factors - Dairy Gas'!$F$8</f>
        <v>0.63396452449637308</v>
      </c>
      <c r="V105" s="175">
        <f>'Emission Factors - Dairy Gas'!$F$8</f>
        <v>0.63396452449637308</v>
      </c>
      <c r="W105" s="175">
        <f>'Emission Factors - Dairy Gas'!$F$8</f>
        <v>0.63396452449637308</v>
      </c>
      <c r="X105" s="175">
        <f>'Emission Factors - Dairy Gas'!$F$8</f>
        <v>0.63396452449637308</v>
      </c>
      <c r="Y105" s="175">
        <f>'Emission Factors - Dairy Gas'!$F$8</f>
        <v>0.63396452449637308</v>
      </c>
      <c r="Z105" s="175">
        <f>'Emission Factors - Dairy Gas'!$F$8</f>
        <v>0.63396452449637308</v>
      </c>
      <c r="AA105" s="175">
        <f>'Emission Factors - Dairy Gas'!$F$8</f>
        <v>0.63396452449637308</v>
      </c>
      <c r="AB105" s="175">
        <f>'Emission Factors - Dairy Gas'!$F$8</f>
        <v>0.63396452449637308</v>
      </c>
    </row>
    <row r="106" spans="1:29" s="275" customFormat="1" ht="15.75" customHeight="1">
      <c r="A106" s="462"/>
      <c r="B106" s="307" t="s">
        <v>127</v>
      </c>
      <c r="C106" s="299" t="s">
        <v>233</v>
      </c>
      <c r="D106" s="308">
        <f>'Unused EFs - Solar Steam'!$C$61</f>
        <v>-1.3189239828693788</v>
      </c>
      <c r="E106" s="308">
        <f>'Unused EFs - Solar Steam'!$C$61</f>
        <v>-1.3189239828693788</v>
      </c>
      <c r="F106" s="308">
        <f>'Unused EFs - Solar Steam'!$C$61</f>
        <v>-1.3189239828693788</v>
      </c>
      <c r="G106" s="308">
        <f>'Unused EFs - Solar Steam'!$C$61</f>
        <v>-1.3189239828693788</v>
      </c>
      <c r="H106" s="308">
        <f>'Unused EFs - Solar Steam'!$C$61</f>
        <v>-1.3189239828693788</v>
      </c>
      <c r="I106" s="308">
        <f>'Unused EFs - Solar Steam'!$C$61</f>
        <v>-1.3189239828693788</v>
      </c>
      <c r="J106" s="308">
        <f>'Unused EFs - Solar Steam'!$C$61</f>
        <v>-1.3189239828693788</v>
      </c>
      <c r="K106" s="308">
        <f>'Unused EFs - Solar Steam'!$C$61</f>
        <v>-1.3189239828693788</v>
      </c>
      <c r="L106" s="308">
        <f>'Unused EFs - Solar Steam'!$C$61</f>
        <v>-1.3189239828693788</v>
      </c>
      <c r="M106" s="308">
        <f>'Unused EFs - Solar Steam'!$C$61</f>
        <v>-1.3189239828693788</v>
      </c>
      <c r="N106" s="308">
        <f>'Unused EFs - Solar Steam'!$C$61</f>
        <v>-1.3189239828693788</v>
      </c>
      <c r="O106" s="308">
        <f>'Unused EFs - Solar Steam'!$C$61</f>
        <v>-1.3189239828693788</v>
      </c>
      <c r="P106" s="308">
        <f>'Unused EFs - Solar Steam'!$C$61</f>
        <v>-1.3189239828693788</v>
      </c>
      <c r="Q106" s="308">
        <f>'Unused EFs - Solar Steam'!$C$61</f>
        <v>-1.3189239828693788</v>
      </c>
      <c r="R106" s="308">
        <f>'Unused EFs - Solar Steam'!$C$61</f>
        <v>-1.3189239828693788</v>
      </c>
      <c r="S106" s="308">
        <f>'Unused EFs - Solar Steam'!$C$61</f>
        <v>-1.3189239828693788</v>
      </c>
      <c r="T106" s="308">
        <f>'Unused EFs - Solar Steam'!$C$61</f>
        <v>-1.3189239828693788</v>
      </c>
      <c r="U106" s="308">
        <f>'Unused EFs - Solar Steam'!$C$61</f>
        <v>-1.3189239828693788</v>
      </c>
      <c r="V106" s="308">
        <f>'Unused EFs - Solar Steam'!$C$61</f>
        <v>-1.3189239828693788</v>
      </c>
      <c r="W106" s="308">
        <f>'Unused EFs - Solar Steam'!$C$61</f>
        <v>-1.3189239828693788</v>
      </c>
      <c r="X106" s="308">
        <f>'Unused EFs - Solar Steam'!$C$61</f>
        <v>-1.3189239828693788</v>
      </c>
      <c r="Y106" s="308">
        <f>'Unused EFs - Solar Steam'!$C$61</f>
        <v>-1.3189239828693788</v>
      </c>
      <c r="Z106" s="308">
        <f>'Unused EFs - Solar Steam'!$C$61</f>
        <v>-1.3189239828693788</v>
      </c>
      <c r="AA106" s="308">
        <f>'Unused EFs - Solar Steam'!$C$61</f>
        <v>-1.3189239828693788</v>
      </c>
      <c r="AB106" s="308">
        <f>'Unused EFs - Solar Steam'!$C$61</f>
        <v>-1.3189239828693788</v>
      </c>
      <c r="AC106" s="279" t="s">
        <v>238</v>
      </c>
    </row>
    <row r="107" spans="1:29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</row>
    <row r="108" spans="1:29" ht="19.5" thickBot="1">
      <c r="A108" s="102"/>
      <c r="B108" s="12"/>
      <c r="C108" s="2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29" ht="15" customHeight="1">
      <c r="A109" s="463" t="s">
        <v>239</v>
      </c>
      <c r="B109" s="78" t="s">
        <v>3</v>
      </c>
      <c r="C109" s="145" t="s">
        <v>1</v>
      </c>
      <c r="D109" s="146">
        <v>2022</v>
      </c>
      <c r="E109" s="146">
        <v>2023</v>
      </c>
      <c r="F109" s="146">
        <v>2024</v>
      </c>
      <c r="G109" s="146">
        <v>2025</v>
      </c>
      <c r="H109" s="72">
        <v>2026</v>
      </c>
      <c r="I109" s="72">
        <v>2027</v>
      </c>
      <c r="J109" s="72">
        <v>2028</v>
      </c>
      <c r="K109" s="72">
        <v>2029</v>
      </c>
      <c r="L109" s="73">
        <v>2030</v>
      </c>
      <c r="M109" s="72">
        <v>2031</v>
      </c>
      <c r="N109" s="72">
        <v>2032</v>
      </c>
      <c r="O109" s="72">
        <v>2033</v>
      </c>
      <c r="P109" s="73">
        <v>2034</v>
      </c>
      <c r="Q109" s="72">
        <v>2035</v>
      </c>
      <c r="R109" s="72">
        <v>2036</v>
      </c>
      <c r="S109" s="72">
        <v>2037</v>
      </c>
      <c r="T109" s="73">
        <v>2038</v>
      </c>
      <c r="U109" s="72">
        <v>2039</v>
      </c>
      <c r="V109" s="72">
        <v>2040</v>
      </c>
      <c r="W109" s="72">
        <v>2041</v>
      </c>
      <c r="X109" s="73">
        <v>2042</v>
      </c>
      <c r="Y109" s="72">
        <v>2043</v>
      </c>
      <c r="Z109" s="72">
        <v>2044</v>
      </c>
      <c r="AA109" s="72">
        <v>2045</v>
      </c>
      <c r="AB109" s="72">
        <v>2046</v>
      </c>
    </row>
    <row r="110" spans="1:29" s="171" customFormat="1" ht="15" customHeight="1">
      <c r="A110" s="464"/>
      <c r="B110" s="208" t="s">
        <v>115</v>
      </c>
      <c r="C110" s="245" t="s">
        <v>240</v>
      </c>
      <c r="D110" s="271">
        <f t="shared" ref="D110:AB110" si="8">D2*D55*D29</f>
        <v>0</v>
      </c>
      <c r="E110" s="271">
        <f t="shared" si="8"/>
        <v>0</v>
      </c>
      <c r="F110" s="271">
        <f t="shared" si="8"/>
        <v>0</v>
      </c>
      <c r="G110" s="271">
        <f t="shared" si="8"/>
        <v>0</v>
      </c>
      <c r="H110" s="271">
        <f t="shared" si="8"/>
        <v>0</v>
      </c>
      <c r="I110" s="271">
        <f t="shared" si="8"/>
        <v>0</v>
      </c>
      <c r="J110" s="271">
        <f t="shared" si="8"/>
        <v>0</v>
      </c>
      <c r="K110" s="271">
        <f t="shared" si="8"/>
        <v>0</v>
      </c>
      <c r="L110" s="272">
        <f t="shared" si="8"/>
        <v>0</v>
      </c>
      <c r="M110" s="271">
        <f t="shared" si="8"/>
        <v>0</v>
      </c>
      <c r="N110" s="271">
        <f t="shared" si="8"/>
        <v>0</v>
      </c>
      <c r="O110" s="271">
        <f t="shared" si="8"/>
        <v>0</v>
      </c>
      <c r="P110" s="271">
        <f t="shared" si="8"/>
        <v>0</v>
      </c>
      <c r="Q110" s="271">
        <f t="shared" si="8"/>
        <v>0</v>
      </c>
      <c r="R110" s="271">
        <f t="shared" si="8"/>
        <v>0</v>
      </c>
      <c r="S110" s="271">
        <f t="shared" si="8"/>
        <v>0</v>
      </c>
      <c r="T110" s="271">
        <f t="shared" si="8"/>
        <v>0</v>
      </c>
      <c r="U110" s="272">
        <f t="shared" si="8"/>
        <v>0</v>
      </c>
      <c r="V110" s="271">
        <f t="shared" si="8"/>
        <v>0</v>
      </c>
      <c r="W110" s="271">
        <f t="shared" si="8"/>
        <v>0</v>
      </c>
      <c r="X110" s="271">
        <f t="shared" si="8"/>
        <v>0</v>
      </c>
      <c r="Y110" s="271">
        <f t="shared" si="8"/>
        <v>0</v>
      </c>
      <c r="Z110" s="271">
        <f t="shared" si="8"/>
        <v>0</v>
      </c>
      <c r="AA110" s="271">
        <f t="shared" si="8"/>
        <v>0</v>
      </c>
      <c r="AB110" s="271">
        <f t="shared" si="8"/>
        <v>0</v>
      </c>
    </row>
    <row r="111" spans="1:29" s="171" customFormat="1" ht="15" customHeight="1">
      <c r="A111" s="464"/>
      <c r="B111" s="208" t="s">
        <v>19</v>
      </c>
      <c r="C111" s="245" t="s">
        <v>240</v>
      </c>
      <c r="D111" s="206">
        <f t="shared" ref="D111:AB111" si="9">D3*D56*D30</f>
        <v>0</v>
      </c>
      <c r="E111" s="206">
        <f t="shared" si="9"/>
        <v>0</v>
      </c>
      <c r="F111" s="206">
        <f t="shared" si="9"/>
        <v>0</v>
      </c>
      <c r="G111" s="206">
        <f t="shared" si="9"/>
        <v>0</v>
      </c>
      <c r="H111" s="206">
        <f t="shared" si="9"/>
        <v>0</v>
      </c>
      <c r="I111" s="206">
        <f t="shared" si="9"/>
        <v>0</v>
      </c>
      <c r="J111" s="206">
        <f t="shared" si="9"/>
        <v>0</v>
      </c>
      <c r="K111" s="206">
        <f t="shared" si="9"/>
        <v>0</v>
      </c>
      <c r="L111" s="211">
        <f t="shared" si="9"/>
        <v>0</v>
      </c>
      <c r="M111" s="206">
        <f t="shared" si="9"/>
        <v>0</v>
      </c>
      <c r="N111" s="206">
        <f t="shared" si="9"/>
        <v>0</v>
      </c>
      <c r="O111" s="206">
        <f t="shared" si="9"/>
        <v>0</v>
      </c>
      <c r="P111" s="206">
        <f t="shared" si="9"/>
        <v>0</v>
      </c>
      <c r="Q111" s="206">
        <f t="shared" si="9"/>
        <v>0</v>
      </c>
      <c r="R111" s="206">
        <f t="shared" si="9"/>
        <v>0</v>
      </c>
      <c r="S111" s="206">
        <f t="shared" si="9"/>
        <v>0</v>
      </c>
      <c r="T111" s="206">
        <f t="shared" si="9"/>
        <v>0</v>
      </c>
      <c r="U111" s="211">
        <f t="shared" si="9"/>
        <v>0</v>
      </c>
      <c r="V111" s="206">
        <f t="shared" si="9"/>
        <v>0</v>
      </c>
      <c r="W111" s="206">
        <f t="shared" si="9"/>
        <v>0</v>
      </c>
      <c r="X111" s="206">
        <f t="shared" si="9"/>
        <v>0</v>
      </c>
      <c r="Y111" s="206">
        <f t="shared" si="9"/>
        <v>0</v>
      </c>
      <c r="Z111" s="206">
        <f t="shared" si="9"/>
        <v>0</v>
      </c>
      <c r="AA111" s="206">
        <f t="shared" si="9"/>
        <v>0</v>
      </c>
      <c r="AB111" s="206">
        <f t="shared" si="9"/>
        <v>0</v>
      </c>
    </row>
    <row r="112" spans="1:29" ht="15" customHeight="1">
      <c r="A112" s="464"/>
      <c r="B112" s="2" t="s">
        <v>104</v>
      </c>
      <c r="C112" s="53" t="s">
        <v>65</v>
      </c>
      <c r="D112" s="60">
        <f t="shared" ref="D112:AB112" si="10">D4*D57*D31</f>
        <v>0</v>
      </c>
      <c r="E112" s="60">
        <f t="shared" si="10"/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0"/>
        <v>0</v>
      </c>
      <c r="J112" s="60">
        <f t="shared" si="10"/>
        <v>0</v>
      </c>
      <c r="K112" s="60">
        <f t="shared" si="10"/>
        <v>0</v>
      </c>
      <c r="L112" s="61">
        <f t="shared" si="10"/>
        <v>0</v>
      </c>
      <c r="M112" s="60">
        <f t="shared" si="10"/>
        <v>0</v>
      </c>
      <c r="N112" s="60">
        <f t="shared" si="10"/>
        <v>0</v>
      </c>
      <c r="O112" s="60">
        <f t="shared" si="10"/>
        <v>0</v>
      </c>
      <c r="P112" s="60">
        <f t="shared" si="10"/>
        <v>0</v>
      </c>
      <c r="Q112" s="60">
        <f t="shared" si="10"/>
        <v>0</v>
      </c>
      <c r="R112" s="60">
        <f t="shared" si="10"/>
        <v>0</v>
      </c>
      <c r="S112" s="60">
        <f t="shared" si="10"/>
        <v>0</v>
      </c>
      <c r="T112" s="60">
        <f t="shared" si="10"/>
        <v>0</v>
      </c>
      <c r="U112" s="61">
        <f t="shared" si="10"/>
        <v>0</v>
      </c>
      <c r="V112" s="60">
        <f t="shared" si="10"/>
        <v>0</v>
      </c>
      <c r="W112" s="60">
        <f t="shared" si="10"/>
        <v>0</v>
      </c>
      <c r="X112" s="60">
        <f t="shared" si="10"/>
        <v>0</v>
      </c>
      <c r="Y112" s="60">
        <f t="shared" si="10"/>
        <v>0</v>
      </c>
      <c r="Z112" s="60">
        <f t="shared" si="10"/>
        <v>0</v>
      </c>
      <c r="AA112" s="60">
        <f t="shared" si="10"/>
        <v>0</v>
      </c>
      <c r="AB112" s="60">
        <f t="shared" si="10"/>
        <v>0</v>
      </c>
    </row>
    <row r="113" spans="1:29" s="275" customFormat="1" ht="15" customHeight="1">
      <c r="A113" s="464"/>
      <c r="B113" s="2" t="s">
        <v>203</v>
      </c>
      <c r="C113" s="53" t="s">
        <v>65</v>
      </c>
      <c r="D113" s="60">
        <f t="shared" ref="D113:AB113" si="11">D5*D58*D32</f>
        <v>0</v>
      </c>
      <c r="E113" s="60">
        <f t="shared" si="11"/>
        <v>0</v>
      </c>
      <c r="F113" s="60">
        <f t="shared" si="11"/>
        <v>0</v>
      </c>
      <c r="G113" s="60">
        <f t="shared" si="11"/>
        <v>0</v>
      </c>
      <c r="H113" s="60">
        <f t="shared" si="11"/>
        <v>0</v>
      </c>
      <c r="I113" s="60">
        <f t="shared" si="11"/>
        <v>0</v>
      </c>
      <c r="J113" s="60">
        <f t="shared" si="11"/>
        <v>0</v>
      </c>
      <c r="K113" s="60">
        <f t="shared" si="11"/>
        <v>0</v>
      </c>
      <c r="L113" s="61">
        <f t="shared" si="11"/>
        <v>0</v>
      </c>
      <c r="M113" s="60">
        <f t="shared" si="11"/>
        <v>0</v>
      </c>
      <c r="N113" s="60">
        <f t="shared" si="11"/>
        <v>0</v>
      </c>
      <c r="O113" s="60">
        <f t="shared" si="11"/>
        <v>0</v>
      </c>
      <c r="P113" s="60">
        <f t="shared" si="11"/>
        <v>0</v>
      </c>
      <c r="Q113" s="60">
        <f t="shared" si="11"/>
        <v>0</v>
      </c>
      <c r="R113" s="60">
        <f t="shared" si="11"/>
        <v>-1.3290086172723163</v>
      </c>
      <c r="S113" s="60">
        <f t="shared" si="11"/>
        <v>-4.7277463254767671</v>
      </c>
      <c r="T113" s="60">
        <f t="shared" si="11"/>
        <v>-8.2034699217306297</v>
      </c>
      <c r="U113" s="61">
        <f t="shared" si="11"/>
        <v>-10.720704333333334</v>
      </c>
      <c r="V113" s="60">
        <f t="shared" si="11"/>
        <v>-11.568515956450495</v>
      </c>
      <c r="W113" s="60">
        <f t="shared" si="11"/>
        <v>-12.385075270057351</v>
      </c>
      <c r="X113" s="60">
        <f t="shared" si="11"/>
        <v>-13.160428028990992</v>
      </c>
      <c r="Y113" s="60">
        <f t="shared" si="11"/>
        <v>-13.89156517110985</v>
      </c>
      <c r="Z113" s="60">
        <f t="shared" si="11"/>
        <v>-14.573346911892608</v>
      </c>
      <c r="AA113" s="60">
        <f t="shared" si="11"/>
        <v>-15.20067783910002</v>
      </c>
      <c r="AB113" s="60">
        <f t="shared" si="11"/>
        <v>-15.860323758492465</v>
      </c>
    </row>
    <row r="114" spans="1:29" ht="15" customHeight="1">
      <c r="A114" s="464"/>
      <c r="B114" s="2" t="s">
        <v>205</v>
      </c>
      <c r="C114" s="53" t="s">
        <v>65</v>
      </c>
      <c r="D114" s="60">
        <f>D7*D$48*D59</f>
        <v>0</v>
      </c>
      <c r="E114" s="60">
        <f t="shared" ref="E114:AB114" si="12">E7*E$48*E59</f>
        <v>0</v>
      </c>
      <c r="F114" s="60">
        <f t="shared" si="12"/>
        <v>0</v>
      </c>
      <c r="G114" s="60">
        <f t="shared" si="12"/>
        <v>0.58719535923615551</v>
      </c>
      <c r="H114" s="60">
        <f t="shared" si="12"/>
        <v>1.6476869664779801</v>
      </c>
      <c r="I114" s="60">
        <f t="shared" si="12"/>
        <v>1.5331679231869799</v>
      </c>
      <c r="J114" s="60">
        <f t="shared" si="12"/>
        <v>4.5567435536954699</v>
      </c>
      <c r="K114" s="60">
        <f t="shared" si="12"/>
        <v>0</v>
      </c>
      <c r="L114" s="60">
        <f t="shared" si="12"/>
        <v>0</v>
      </c>
      <c r="M114" s="60">
        <f t="shared" si="12"/>
        <v>0</v>
      </c>
      <c r="N114" s="60">
        <f t="shared" si="12"/>
        <v>0</v>
      </c>
      <c r="O114" s="60">
        <f t="shared" si="12"/>
        <v>0.46884574232936965</v>
      </c>
      <c r="P114" s="60">
        <f t="shared" si="12"/>
        <v>0</v>
      </c>
      <c r="Q114" s="60">
        <f t="shared" si="12"/>
        <v>6.0564840639091528</v>
      </c>
      <c r="R114" s="60">
        <f t="shared" si="12"/>
        <v>8.4258669510974222</v>
      </c>
      <c r="S114" s="60">
        <f t="shared" si="12"/>
        <v>18.910366854518742</v>
      </c>
      <c r="T114" s="60">
        <f t="shared" si="12"/>
        <v>18.00874282363251</v>
      </c>
      <c r="U114" s="60">
        <f t="shared" si="12"/>
        <v>14.425840883935823</v>
      </c>
      <c r="V114" s="60">
        <f t="shared" si="12"/>
        <v>0</v>
      </c>
      <c r="W114" s="60">
        <f t="shared" si="12"/>
        <v>0</v>
      </c>
      <c r="X114" s="60">
        <f t="shared" si="12"/>
        <v>0</v>
      </c>
      <c r="Y114" s="60">
        <f t="shared" si="12"/>
        <v>10.494391474850062</v>
      </c>
      <c r="Z114" s="60">
        <f t="shared" si="12"/>
        <v>14.692148064790091</v>
      </c>
      <c r="AA114" s="60">
        <f t="shared" si="12"/>
        <v>18.599866595751877</v>
      </c>
      <c r="AB114" s="60">
        <f t="shared" si="12"/>
        <v>13.200850996678172</v>
      </c>
    </row>
    <row r="115" spans="1:29" ht="15" customHeight="1">
      <c r="A115" s="464"/>
      <c r="B115" s="309" t="s">
        <v>236</v>
      </c>
      <c r="C115" s="209" t="s">
        <v>65</v>
      </c>
      <c r="D115" s="206">
        <f>D6*D34*D60</f>
        <v>0</v>
      </c>
      <c r="E115" s="206">
        <f t="shared" ref="E115:AB115" si="13">E6*E34*E60</f>
        <v>0</v>
      </c>
      <c r="F115" s="206">
        <f t="shared" si="13"/>
        <v>0</v>
      </c>
      <c r="G115" s="206">
        <f t="shared" si="13"/>
        <v>0</v>
      </c>
      <c r="H115" s="206">
        <f t="shared" si="13"/>
        <v>0</v>
      </c>
      <c r="I115" s="206">
        <f t="shared" si="13"/>
        <v>0</v>
      </c>
      <c r="J115" s="206">
        <f t="shared" si="13"/>
        <v>0</v>
      </c>
      <c r="K115" s="206">
        <f t="shared" si="13"/>
        <v>0</v>
      </c>
      <c r="L115" s="206">
        <f t="shared" si="13"/>
        <v>0</v>
      </c>
      <c r="M115" s="206">
        <f t="shared" si="13"/>
        <v>0</v>
      </c>
      <c r="N115" s="206">
        <f t="shared" si="13"/>
        <v>0</v>
      </c>
      <c r="O115" s="206">
        <f t="shared" si="13"/>
        <v>0</v>
      </c>
      <c r="P115" s="206">
        <f t="shared" si="13"/>
        <v>0</v>
      </c>
      <c r="Q115" s="206">
        <f t="shared" si="13"/>
        <v>0</v>
      </c>
      <c r="R115" s="206">
        <f t="shared" si="13"/>
        <v>0</v>
      </c>
      <c r="S115" s="206">
        <f t="shared" si="13"/>
        <v>0</v>
      </c>
      <c r="T115" s="206">
        <f t="shared" si="13"/>
        <v>0</v>
      </c>
      <c r="U115" s="206">
        <f t="shared" si="13"/>
        <v>0</v>
      </c>
      <c r="V115" s="206">
        <f t="shared" si="13"/>
        <v>0</v>
      </c>
      <c r="W115" s="206">
        <f t="shared" si="13"/>
        <v>0</v>
      </c>
      <c r="X115" s="206">
        <f t="shared" si="13"/>
        <v>0</v>
      </c>
      <c r="Y115" s="206">
        <f t="shared" si="13"/>
        <v>0</v>
      </c>
      <c r="Z115" s="206">
        <f t="shared" si="13"/>
        <v>0</v>
      </c>
      <c r="AA115" s="206">
        <f t="shared" si="13"/>
        <v>0</v>
      </c>
      <c r="AB115" s="206">
        <f t="shared" si="13"/>
        <v>0</v>
      </c>
    </row>
    <row r="116" spans="1:29" ht="15" customHeight="1">
      <c r="A116" s="464"/>
      <c r="B116" s="309" t="s">
        <v>241</v>
      </c>
      <c r="C116" s="209" t="s">
        <v>65</v>
      </c>
      <c r="D116" s="206">
        <f>D8*D34*D61</f>
        <v>0</v>
      </c>
      <c r="E116" s="206">
        <f t="shared" ref="E116:AB116" si="14">E8*E34*E61</f>
        <v>0</v>
      </c>
      <c r="F116" s="206">
        <f t="shared" si="14"/>
        <v>0</v>
      </c>
      <c r="G116" s="206">
        <f t="shared" si="14"/>
        <v>0</v>
      </c>
      <c r="H116" s="206">
        <f t="shared" si="14"/>
        <v>0</v>
      </c>
      <c r="I116" s="206">
        <f t="shared" si="14"/>
        <v>0</v>
      </c>
      <c r="J116" s="206">
        <f t="shared" si="14"/>
        <v>0</v>
      </c>
      <c r="K116" s="206">
        <f t="shared" si="14"/>
        <v>0</v>
      </c>
      <c r="L116" s="206">
        <f t="shared" si="14"/>
        <v>0</v>
      </c>
      <c r="M116" s="206">
        <f t="shared" si="14"/>
        <v>0</v>
      </c>
      <c r="N116" s="206">
        <f t="shared" si="14"/>
        <v>0</v>
      </c>
      <c r="O116" s="206">
        <f t="shared" si="14"/>
        <v>0</v>
      </c>
      <c r="P116" s="206">
        <f t="shared" si="14"/>
        <v>0</v>
      </c>
      <c r="Q116" s="206">
        <f t="shared" si="14"/>
        <v>0</v>
      </c>
      <c r="R116" s="206">
        <f t="shared" si="14"/>
        <v>0</v>
      </c>
      <c r="S116" s="206">
        <f t="shared" si="14"/>
        <v>0</v>
      </c>
      <c r="T116" s="206">
        <f t="shared" si="14"/>
        <v>0</v>
      </c>
      <c r="U116" s="206">
        <f t="shared" si="14"/>
        <v>0</v>
      </c>
      <c r="V116" s="206">
        <f t="shared" si="14"/>
        <v>0</v>
      </c>
      <c r="W116" s="206">
        <f t="shared" si="14"/>
        <v>0</v>
      </c>
      <c r="X116" s="206">
        <f t="shared" si="14"/>
        <v>0</v>
      </c>
      <c r="Y116" s="206">
        <f t="shared" si="14"/>
        <v>0</v>
      </c>
      <c r="Z116" s="206">
        <f t="shared" si="14"/>
        <v>0</v>
      </c>
      <c r="AA116" s="206">
        <f t="shared" si="14"/>
        <v>0</v>
      </c>
      <c r="AB116" s="206">
        <f t="shared" si="14"/>
        <v>0</v>
      </c>
      <c r="AC116" t="s">
        <v>242</v>
      </c>
    </row>
    <row r="117" spans="1:29" ht="15" customHeight="1">
      <c r="A117" s="464"/>
      <c r="B117" s="309" t="s">
        <v>31</v>
      </c>
      <c r="C117" s="209" t="s">
        <v>65</v>
      </c>
      <c r="D117" s="206">
        <f t="shared" ref="D117:AB117" si="15">D9*D35*D62</f>
        <v>0</v>
      </c>
      <c r="E117" s="206">
        <f t="shared" si="15"/>
        <v>0</v>
      </c>
      <c r="F117" s="206">
        <f t="shared" si="15"/>
        <v>0</v>
      </c>
      <c r="G117" s="206">
        <f t="shared" si="15"/>
        <v>0</v>
      </c>
      <c r="H117" s="206">
        <f t="shared" si="15"/>
        <v>0</v>
      </c>
      <c r="I117" s="206">
        <f t="shared" si="15"/>
        <v>0</v>
      </c>
      <c r="J117" s="206">
        <f t="shared" si="15"/>
        <v>0</v>
      </c>
      <c r="K117" s="206">
        <f t="shared" si="15"/>
        <v>0</v>
      </c>
      <c r="L117" s="206">
        <f t="shared" si="15"/>
        <v>0</v>
      </c>
      <c r="M117" s="206">
        <f t="shared" si="15"/>
        <v>0</v>
      </c>
      <c r="N117" s="206">
        <f t="shared" si="15"/>
        <v>0</v>
      </c>
      <c r="O117" s="206">
        <f t="shared" si="15"/>
        <v>0</v>
      </c>
      <c r="P117" s="206">
        <f t="shared" si="15"/>
        <v>0</v>
      </c>
      <c r="Q117" s="206">
        <f t="shared" si="15"/>
        <v>0</v>
      </c>
      <c r="R117" s="206">
        <f t="shared" si="15"/>
        <v>0</v>
      </c>
      <c r="S117" s="206">
        <f t="shared" si="15"/>
        <v>0</v>
      </c>
      <c r="T117" s="206">
        <f t="shared" si="15"/>
        <v>0</v>
      </c>
      <c r="U117" s="206">
        <f t="shared" si="15"/>
        <v>0</v>
      </c>
      <c r="V117" s="206">
        <f t="shared" si="15"/>
        <v>0</v>
      </c>
      <c r="W117" s="206">
        <f t="shared" si="15"/>
        <v>0</v>
      </c>
      <c r="X117" s="206">
        <f t="shared" si="15"/>
        <v>0</v>
      </c>
      <c r="Y117" s="206">
        <f t="shared" si="15"/>
        <v>0</v>
      </c>
      <c r="Z117" s="206">
        <f t="shared" si="15"/>
        <v>0</v>
      </c>
      <c r="AA117" s="206">
        <f t="shared" si="15"/>
        <v>0</v>
      </c>
      <c r="AB117" s="206">
        <f t="shared" si="15"/>
        <v>0</v>
      </c>
    </row>
    <row r="118" spans="1:29" s="171" customFormat="1" ht="15" customHeight="1">
      <c r="A118" s="464"/>
      <c r="B118" s="208" t="s">
        <v>118</v>
      </c>
      <c r="C118" s="276" t="s">
        <v>65</v>
      </c>
      <c r="D118" s="206">
        <f t="shared" ref="D118:AB118" si="16">D10*D63*D36/1000</f>
        <v>0</v>
      </c>
      <c r="E118" s="206">
        <f t="shared" si="16"/>
        <v>0</v>
      </c>
      <c r="F118" s="206">
        <f t="shared" si="16"/>
        <v>0</v>
      </c>
      <c r="G118" s="206">
        <f t="shared" si="16"/>
        <v>0</v>
      </c>
      <c r="H118" s="206">
        <f t="shared" si="16"/>
        <v>0</v>
      </c>
      <c r="I118" s="206">
        <f t="shared" si="16"/>
        <v>0</v>
      </c>
      <c r="J118" s="206">
        <f t="shared" si="16"/>
        <v>0</v>
      </c>
      <c r="K118" s="206">
        <f t="shared" si="16"/>
        <v>0</v>
      </c>
      <c r="L118" s="211">
        <f t="shared" si="16"/>
        <v>0</v>
      </c>
      <c r="M118" s="206">
        <f t="shared" si="16"/>
        <v>0</v>
      </c>
      <c r="N118" s="206">
        <f t="shared" si="16"/>
        <v>0</v>
      </c>
      <c r="O118" s="206">
        <f t="shared" si="16"/>
        <v>0</v>
      </c>
      <c r="P118" s="206">
        <f t="shared" si="16"/>
        <v>0</v>
      </c>
      <c r="Q118" s="206">
        <f t="shared" si="16"/>
        <v>0</v>
      </c>
      <c r="R118" s="206">
        <f t="shared" si="16"/>
        <v>0</v>
      </c>
      <c r="S118" s="206">
        <f t="shared" si="16"/>
        <v>0</v>
      </c>
      <c r="T118" s="206">
        <f t="shared" si="16"/>
        <v>0</v>
      </c>
      <c r="U118" s="211">
        <f t="shared" si="16"/>
        <v>0</v>
      </c>
      <c r="V118" s="206">
        <f t="shared" si="16"/>
        <v>0</v>
      </c>
      <c r="W118" s="206">
        <f t="shared" si="16"/>
        <v>0</v>
      </c>
      <c r="X118" s="206">
        <f t="shared" si="16"/>
        <v>0</v>
      </c>
      <c r="Y118" s="206">
        <f t="shared" si="16"/>
        <v>0</v>
      </c>
      <c r="Z118" s="206">
        <f t="shared" si="16"/>
        <v>0</v>
      </c>
      <c r="AA118" s="206">
        <f t="shared" si="16"/>
        <v>0</v>
      </c>
      <c r="AB118" s="206">
        <f t="shared" si="16"/>
        <v>0</v>
      </c>
    </row>
    <row r="119" spans="1:29" ht="15" customHeight="1">
      <c r="A119" s="464"/>
      <c r="B119" s="2" t="s">
        <v>208</v>
      </c>
      <c r="C119" s="53" t="s">
        <v>65</v>
      </c>
      <c r="D119" s="60">
        <f t="shared" ref="D119:AB119" si="17">D11*D$48*D64</f>
        <v>0</v>
      </c>
      <c r="E119" s="60">
        <f t="shared" si="17"/>
        <v>0</v>
      </c>
      <c r="F119" s="60">
        <f t="shared" si="17"/>
        <v>0</v>
      </c>
      <c r="G119" s="60">
        <f t="shared" si="17"/>
        <v>20.410445326478232</v>
      </c>
      <c r="H119" s="60">
        <f t="shared" si="17"/>
        <v>13.006119834810356</v>
      </c>
      <c r="I119" s="60">
        <f t="shared" si="17"/>
        <v>4.1020250665048277</v>
      </c>
      <c r="J119" s="60">
        <f t="shared" si="17"/>
        <v>4.6105602772516612</v>
      </c>
      <c r="K119" s="60">
        <f t="shared" si="17"/>
        <v>0</v>
      </c>
      <c r="L119" s="60">
        <f t="shared" si="17"/>
        <v>0</v>
      </c>
      <c r="M119" s="60">
        <f t="shared" si="17"/>
        <v>0</v>
      </c>
      <c r="N119" s="60">
        <f t="shared" si="17"/>
        <v>0</v>
      </c>
      <c r="O119" s="60">
        <f t="shared" si="17"/>
        <v>0</v>
      </c>
      <c r="P119" s="60">
        <f t="shared" si="17"/>
        <v>0</v>
      </c>
      <c r="Q119" s="60">
        <f t="shared" si="17"/>
        <v>0</v>
      </c>
      <c r="R119" s="60">
        <f t="shared" si="17"/>
        <v>0</v>
      </c>
      <c r="S119" s="60">
        <f t="shared" si="17"/>
        <v>0</v>
      </c>
      <c r="T119" s="60">
        <f t="shared" si="17"/>
        <v>0</v>
      </c>
      <c r="U119" s="60">
        <f t="shared" si="17"/>
        <v>5.2548339104074859</v>
      </c>
      <c r="V119" s="60">
        <f t="shared" si="17"/>
        <v>3.1510473001503581</v>
      </c>
      <c r="W119" s="60">
        <f t="shared" si="17"/>
        <v>6.3829892804170854</v>
      </c>
      <c r="X119" s="60">
        <f t="shared" si="17"/>
        <v>8.981209061690496</v>
      </c>
      <c r="Y119" s="60">
        <f t="shared" si="17"/>
        <v>12.804623534323396</v>
      </c>
      <c r="Z119" s="60">
        <f t="shared" si="17"/>
        <v>7.6827741205940345</v>
      </c>
      <c r="AA119" s="60">
        <f t="shared" si="17"/>
        <v>5.0869228401419111</v>
      </c>
      <c r="AB119" s="60">
        <f t="shared" si="17"/>
        <v>3.0521537040851459</v>
      </c>
    </row>
    <row r="120" spans="1:29" s="275" customFormat="1" ht="15" customHeight="1">
      <c r="A120" s="464"/>
      <c r="B120" s="273" t="s">
        <v>9</v>
      </c>
      <c r="C120" s="276" t="s">
        <v>65</v>
      </c>
      <c r="D120" s="277">
        <f t="shared" ref="D120:AB120" si="18">D12*D65*D37</f>
        <v>0</v>
      </c>
      <c r="E120" s="277">
        <f t="shared" si="18"/>
        <v>0</v>
      </c>
      <c r="F120" s="277">
        <f t="shared" si="18"/>
        <v>0</v>
      </c>
      <c r="G120" s="277">
        <f t="shared" si="18"/>
        <v>0</v>
      </c>
      <c r="H120" s="277">
        <f t="shared" si="18"/>
        <v>0</v>
      </c>
      <c r="I120" s="277">
        <f t="shared" si="18"/>
        <v>0</v>
      </c>
      <c r="J120" s="277">
        <f t="shared" si="18"/>
        <v>0</v>
      </c>
      <c r="K120" s="277">
        <f t="shared" si="18"/>
        <v>0</v>
      </c>
      <c r="L120" s="278">
        <f t="shared" si="18"/>
        <v>0</v>
      </c>
      <c r="M120" s="277">
        <f t="shared" si="18"/>
        <v>0</v>
      </c>
      <c r="N120" s="277">
        <f t="shared" si="18"/>
        <v>0</v>
      </c>
      <c r="O120" s="277">
        <f t="shared" si="18"/>
        <v>0</v>
      </c>
      <c r="P120" s="277">
        <f t="shared" si="18"/>
        <v>0</v>
      </c>
      <c r="Q120" s="277">
        <f t="shared" si="18"/>
        <v>0</v>
      </c>
      <c r="R120" s="277">
        <f t="shared" si="18"/>
        <v>0</v>
      </c>
      <c r="S120" s="277">
        <f t="shared" si="18"/>
        <v>0</v>
      </c>
      <c r="T120" s="277">
        <f t="shared" si="18"/>
        <v>0</v>
      </c>
      <c r="U120" s="278">
        <f t="shared" si="18"/>
        <v>0</v>
      </c>
      <c r="V120" s="277">
        <f t="shared" si="18"/>
        <v>0</v>
      </c>
      <c r="W120" s="277">
        <f t="shared" si="18"/>
        <v>0</v>
      </c>
      <c r="X120" s="277">
        <f t="shared" si="18"/>
        <v>0</v>
      </c>
      <c r="Y120" s="277">
        <f t="shared" si="18"/>
        <v>0</v>
      </c>
      <c r="Z120" s="277">
        <f t="shared" si="18"/>
        <v>0</v>
      </c>
      <c r="AA120" s="277">
        <f t="shared" si="18"/>
        <v>0</v>
      </c>
      <c r="AB120" s="277">
        <f t="shared" si="18"/>
        <v>0</v>
      </c>
    </row>
    <row r="121" spans="1:29" ht="15" customHeight="1">
      <c r="A121" s="464"/>
      <c r="B121" s="2" t="s">
        <v>34</v>
      </c>
      <c r="C121" s="53" t="s">
        <v>65</v>
      </c>
      <c r="D121" s="60">
        <f t="shared" ref="D121:AB121" si="19">D13*D66*D38</f>
        <v>0</v>
      </c>
      <c r="E121" s="60">
        <f t="shared" si="19"/>
        <v>0</v>
      </c>
      <c r="F121" s="60">
        <f t="shared" si="19"/>
        <v>0</v>
      </c>
      <c r="G121" s="60">
        <f t="shared" si="19"/>
        <v>0</v>
      </c>
      <c r="H121" s="60">
        <f t="shared" si="19"/>
        <v>0.85873375104217642</v>
      </c>
      <c r="I121" s="60">
        <f t="shared" si="19"/>
        <v>7.3441206556659768</v>
      </c>
      <c r="J121" s="60">
        <f t="shared" si="19"/>
        <v>11.053645880725307</v>
      </c>
      <c r="K121" s="60">
        <f t="shared" si="19"/>
        <v>13.194468677298815</v>
      </c>
      <c r="L121" s="61">
        <f t="shared" si="19"/>
        <v>14.367826175077427</v>
      </c>
      <c r="M121" s="60">
        <f t="shared" si="19"/>
        <v>14.961796453448855</v>
      </c>
      <c r="N121" s="60">
        <f t="shared" si="19"/>
        <v>15.208442408575584</v>
      </c>
      <c r="O121" s="60">
        <f t="shared" si="19"/>
        <v>15.246354060191381</v>
      </c>
      <c r="P121" s="60">
        <f t="shared" si="19"/>
        <v>15.416305197718119</v>
      </c>
      <c r="Q121" s="60">
        <f t="shared" si="19"/>
        <v>15.146629991916965</v>
      </c>
      <c r="R121" s="60">
        <f t="shared" si="19"/>
        <v>14.872575931626676</v>
      </c>
      <c r="S121" s="60">
        <f t="shared" si="19"/>
        <v>14.594539049454575</v>
      </c>
      <c r="T121" s="60">
        <f t="shared" si="19"/>
        <v>14.312929619937011</v>
      </c>
      <c r="U121" s="61">
        <f t="shared" si="19"/>
        <v>14.231908482836284</v>
      </c>
      <c r="V121" s="60">
        <f t="shared" si="19"/>
        <v>14.132494492733676</v>
      </c>
      <c r="W121" s="60">
        <f t="shared" si="19"/>
        <v>13.919954327261689</v>
      </c>
      <c r="X121" s="60">
        <f t="shared" si="19"/>
        <v>13.615053282330948</v>
      </c>
      <c r="Y121" s="60">
        <f t="shared" si="19"/>
        <v>13.420262090595495</v>
      </c>
      <c r="Z121" s="60">
        <f t="shared" si="19"/>
        <v>13.197118137079052</v>
      </c>
      <c r="AA121" s="60">
        <f t="shared" si="19"/>
        <v>12.970017382399419</v>
      </c>
      <c r="AB121" s="60">
        <f t="shared" si="19"/>
        <v>12.667874050471967</v>
      </c>
    </row>
    <row r="122" spans="1:29" s="275" customFormat="1" ht="15" customHeight="1">
      <c r="A122" s="464"/>
      <c r="B122" s="273" t="s">
        <v>33</v>
      </c>
      <c r="C122" s="276" t="s">
        <v>65</v>
      </c>
      <c r="D122" s="277">
        <f t="shared" ref="D122:AB122" si="20">D14*D67*D39</f>
        <v>0</v>
      </c>
      <c r="E122" s="277">
        <f t="shared" si="20"/>
        <v>0</v>
      </c>
      <c r="F122" s="277">
        <f t="shared" si="20"/>
        <v>0</v>
      </c>
      <c r="G122" s="277">
        <f t="shared" si="20"/>
        <v>0</v>
      </c>
      <c r="H122" s="277">
        <f t="shared" si="20"/>
        <v>0</v>
      </c>
      <c r="I122" s="277">
        <f t="shared" si="20"/>
        <v>0</v>
      </c>
      <c r="J122" s="277">
        <f t="shared" si="20"/>
        <v>0</v>
      </c>
      <c r="K122" s="277">
        <f t="shared" si="20"/>
        <v>0</v>
      </c>
      <c r="L122" s="278">
        <f t="shared" si="20"/>
        <v>0</v>
      </c>
      <c r="M122" s="277">
        <f t="shared" si="20"/>
        <v>0</v>
      </c>
      <c r="N122" s="277">
        <f t="shared" si="20"/>
        <v>0</v>
      </c>
      <c r="O122" s="277">
        <f t="shared" si="20"/>
        <v>0</v>
      </c>
      <c r="P122" s="277">
        <f t="shared" si="20"/>
        <v>0</v>
      </c>
      <c r="Q122" s="277">
        <f t="shared" si="20"/>
        <v>0</v>
      </c>
      <c r="R122" s="277">
        <f t="shared" si="20"/>
        <v>0</v>
      </c>
      <c r="S122" s="277">
        <f t="shared" si="20"/>
        <v>0</v>
      </c>
      <c r="T122" s="277">
        <f t="shared" si="20"/>
        <v>0</v>
      </c>
      <c r="U122" s="278">
        <f t="shared" si="20"/>
        <v>0</v>
      </c>
      <c r="V122" s="277">
        <f t="shared" si="20"/>
        <v>0</v>
      </c>
      <c r="W122" s="277">
        <f t="shared" si="20"/>
        <v>0</v>
      </c>
      <c r="X122" s="277">
        <f t="shared" si="20"/>
        <v>0</v>
      </c>
      <c r="Y122" s="277">
        <f t="shared" si="20"/>
        <v>0</v>
      </c>
      <c r="Z122" s="277">
        <f t="shared" si="20"/>
        <v>0</v>
      </c>
      <c r="AA122" s="277">
        <f t="shared" si="20"/>
        <v>0</v>
      </c>
      <c r="AB122" s="277">
        <f t="shared" si="20"/>
        <v>0</v>
      </c>
    </row>
    <row r="123" spans="1:29" s="275" customFormat="1" ht="15" customHeight="1">
      <c r="A123" s="464"/>
      <c r="B123" s="10" t="s">
        <v>24</v>
      </c>
      <c r="C123" s="53" t="s">
        <v>65</v>
      </c>
      <c r="D123" s="60">
        <f t="shared" ref="D123:AB123" si="21">D15*D68*D40</f>
        <v>0</v>
      </c>
      <c r="E123" s="60">
        <f t="shared" si="21"/>
        <v>0</v>
      </c>
      <c r="F123" s="60">
        <f t="shared" si="21"/>
        <v>0</v>
      </c>
      <c r="G123" s="60">
        <f t="shared" si="21"/>
        <v>0</v>
      </c>
      <c r="H123" s="60">
        <f t="shared" si="21"/>
        <v>0</v>
      </c>
      <c r="I123" s="60">
        <f t="shared" si="21"/>
        <v>0</v>
      </c>
      <c r="J123" s="60">
        <f t="shared" si="21"/>
        <v>0</v>
      </c>
      <c r="K123" s="60">
        <f t="shared" si="21"/>
        <v>0</v>
      </c>
      <c r="L123" s="61">
        <f t="shared" si="21"/>
        <v>0</v>
      </c>
      <c r="M123" s="60">
        <f t="shared" si="21"/>
        <v>0</v>
      </c>
      <c r="N123" s="60">
        <f t="shared" si="21"/>
        <v>0</v>
      </c>
      <c r="O123" s="60">
        <f t="shared" si="21"/>
        <v>0</v>
      </c>
      <c r="P123" s="60">
        <f t="shared" si="21"/>
        <v>0</v>
      </c>
      <c r="Q123" s="60">
        <f t="shared" si="21"/>
        <v>0</v>
      </c>
      <c r="R123" s="60">
        <f t="shared" si="21"/>
        <v>0</v>
      </c>
      <c r="S123" s="60">
        <f t="shared" si="21"/>
        <v>0</v>
      </c>
      <c r="T123" s="60">
        <f t="shared" si="21"/>
        <v>0</v>
      </c>
      <c r="U123" s="61">
        <f t="shared" si="21"/>
        <v>-1.0301318295392887</v>
      </c>
      <c r="V123" s="60">
        <f t="shared" si="21"/>
        <v>-3.2651291763420867</v>
      </c>
      <c r="W123" s="60">
        <f t="shared" si="21"/>
        <v>-5.7473803155517702</v>
      </c>
      <c r="X123" s="60">
        <f t="shared" si="21"/>
        <v>-8.7224048039301643</v>
      </c>
      <c r="Y123" s="60">
        <f t="shared" si="21"/>
        <v>-9.9715823880607513</v>
      </c>
      <c r="Z123" s="60">
        <f t="shared" si="21"/>
        <v>-11.344419321284418</v>
      </c>
      <c r="AA123" s="60">
        <f t="shared" si="21"/>
        <v>-12.766537380854595</v>
      </c>
      <c r="AB123" s="60">
        <f t="shared" si="21"/>
        <v>-14.904962064344854</v>
      </c>
    </row>
    <row r="124" spans="1:29" ht="15" customHeight="1">
      <c r="A124" s="464"/>
      <c r="B124" s="10" t="s">
        <v>23</v>
      </c>
      <c r="C124" s="53" t="s">
        <v>65</v>
      </c>
      <c r="D124" s="60">
        <f t="shared" ref="D124:AB124" si="22">D17*D$48*D69</f>
        <v>0</v>
      </c>
      <c r="E124" s="60">
        <f t="shared" si="22"/>
        <v>0</v>
      </c>
      <c r="F124" s="60">
        <f t="shared" si="22"/>
        <v>0</v>
      </c>
      <c r="G124" s="60">
        <f t="shared" si="22"/>
        <v>0.81634419265523495</v>
      </c>
      <c r="H124" s="60">
        <f t="shared" si="22"/>
        <v>2.2012035661955767</v>
      </c>
      <c r="I124" s="60">
        <f t="shared" si="22"/>
        <v>2.3883429787476942</v>
      </c>
      <c r="J124" s="60">
        <f t="shared" si="22"/>
        <v>8.6472449226166841</v>
      </c>
      <c r="K124" s="60">
        <f t="shared" si="22"/>
        <v>3.4623116974084627</v>
      </c>
      <c r="L124" s="60">
        <f t="shared" si="22"/>
        <v>0</v>
      </c>
      <c r="M124" s="60">
        <f t="shared" si="22"/>
        <v>0</v>
      </c>
      <c r="N124" s="60">
        <f t="shared" si="22"/>
        <v>0</v>
      </c>
      <c r="O124" s="60">
        <f t="shared" si="22"/>
        <v>0</v>
      </c>
      <c r="P124" s="60">
        <f t="shared" si="22"/>
        <v>6.7334730736584527</v>
      </c>
      <c r="Q124" s="60">
        <f t="shared" si="22"/>
        <v>4.9325436315421358</v>
      </c>
      <c r="R124" s="60">
        <f t="shared" si="22"/>
        <v>2.5631607443538624</v>
      </c>
      <c r="S124" s="60">
        <f t="shared" si="22"/>
        <v>7.347204478668302</v>
      </c>
      <c r="T124" s="60">
        <f t="shared" si="22"/>
        <v>8.2488285095545208</v>
      </c>
      <c r="U124" s="60">
        <f t="shared" si="22"/>
        <v>11.831730449251205</v>
      </c>
      <c r="V124" s="60">
        <f t="shared" si="22"/>
        <v>26.25757133318702</v>
      </c>
      <c r="W124" s="60">
        <f t="shared" si="22"/>
        <v>26.25757133318702</v>
      </c>
      <c r="X124" s="60">
        <f t="shared" si="22"/>
        <v>26.257571333187034</v>
      </c>
      <c r="Y124" s="60">
        <f t="shared" si="22"/>
        <v>15.763179858336965</v>
      </c>
      <c r="Z124" s="60">
        <f t="shared" si="22"/>
        <v>11.565423268396934</v>
      </c>
      <c r="AA124" s="60">
        <f t="shared" si="22"/>
        <v>7.6577047374351483</v>
      </c>
      <c r="AB124" s="60">
        <f t="shared" si="22"/>
        <v>13.056720336508858</v>
      </c>
    </row>
    <row r="125" spans="1:29" ht="15" customHeight="1">
      <c r="A125" s="464"/>
      <c r="B125" s="309" t="s">
        <v>21</v>
      </c>
      <c r="C125" s="209" t="s">
        <v>65</v>
      </c>
      <c r="D125" s="206">
        <f>D16*D42*D70</f>
        <v>0</v>
      </c>
      <c r="E125" s="206">
        <f t="shared" ref="E125:AB125" si="23">E16*E42*E70</f>
        <v>0</v>
      </c>
      <c r="F125" s="206">
        <f t="shared" si="23"/>
        <v>0</v>
      </c>
      <c r="G125" s="206">
        <f t="shared" si="23"/>
        <v>0</v>
      </c>
      <c r="H125" s="206">
        <f t="shared" si="23"/>
        <v>0</v>
      </c>
      <c r="I125" s="206">
        <f t="shared" si="23"/>
        <v>0</v>
      </c>
      <c r="J125" s="206">
        <f t="shared" si="23"/>
        <v>0</v>
      </c>
      <c r="K125" s="206">
        <f t="shared" si="23"/>
        <v>0</v>
      </c>
      <c r="L125" s="206">
        <f t="shared" si="23"/>
        <v>0</v>
      </c>
      <c r="M125" s="206">
        <f t="shared" si="23"/>
        <v>0</v>
      </c>
      <c r="N125" s="206">
        <f t="shared" si="23"/>
        <v>0</v>
      </c>
      <c r="O125" s="206">
        <f t="shared" si="23"/>
        <v>0</v>
      </c>
      <c r="P125" s="206">
        <f t="shared" si="23"/>
        <v>0</v>
      </c>
      <c r="Q125" s="206">
        <f t="shared" si="23"/>
        <v>0</v>
      </c>
      <c r="R125" s="206">
        <f t="shared" si="23"/>
        <v>0</v>
      </c>
      <c r="S125" s="206">
        <f t="shared" si="23"/>
        <v>0</v>
      </c>
      <c r="T125" s="206">
        <f t="shared" si="23"/>
        <v>0</v>
      </c>
      <c r="U125" s="206">
        <f t="shared" si="23"/>
        <v>0</v>
      </c>
      <c r="V125" s="206">
        <f t="shared" si="23"/>
        <v>0</v>
      </c>
      <c r="W125" s="206">
        <f t="shared" si="23"/>
        <v>0</v>
      </c>
      <c r="X125" s="206">
        <f t="shared" si="23"/>
        <v>0</v>
      </c>
      <c r="Y125" s="206">
        <f t="shared" si="23"/>
        <v>0</v>
      </c>
      <c r="Z125" s="206">
        <f t="shared" si="23"/>
        <v>0</v>
      </c>
      <c r="AA125" s="206">
        <f t="shared" si="23"/>
        <v>0</v>
      </c>
      <c r="AB125" s="206">
        <f t="shared" si="23"/>
        <v>0</v>
      </c>
    </row>
    <row r="126" spans="1:29" ht="15" customHeight="1">
      <c r="A126" s="464"/>
      <c r="B126" s="309" t="s">
        <v>25</v>
      </c>
      <c r="C126" s="209" t="s">
        <v>65</v>
      </c>
      <c r="D126" s="206">
        <f>D18*D42*D71</f>
        <v>0</v>
      </c>
      <c r="E126" s="206">
        <f t="shared" ref="E126:AB126" si="24">E18*E42*E71</f>
        <v>0</v>
      </c>
      <c r="F126" s="206">
        <f t="shared" si="24"/>
        <v>0</v>
      </c>
      <c r="G126" s="206">
        <f t="shared" si="24"/>
        <v>0</v>
      </c>
      <c r="H126" s="206">
        <f t="shared" si="24"/>
        <v>0</v>
      </c>
      <c r="I126" s="206">
        <f t="shared" si="24"/>
        <v>0</v>
      </c>
      <c r="J126" s="206">
        <f t="shared" si="24"/>
        <v>0</v>
      </c>
      <c r="K126" s="206">
        <f t="shared" si="24"/>
        <v>0</v>
      </c>
      <c r="L126" s="206">
        <f t="shared" si="24"/>
        <v>0</v>
      </c>
      <c r="M126" s="206">
        <f t="shared" si="24"/>
        <v>0</v>
      </c>
      <c r="N126" s="206">
        <f t="shared" si="24"/>
        <v>0</v>
      </c>
      <c r="O126" s="206">
        <f t="shared" si="24"/>
        <v>0</v>
      </c>
      <c r="P126" s="206">
        <f t="shared" si="24"/>
        <v>0</v>
      </c>
      <c r="Q126" s="206">
        <f t="shared" si="24"/>
        <v>0</v>
      </c>
      <c r="R126" s="206">
        <f t="shared" si="24"/>
        <v>0</v>
      </c>
      <c r="S126" s="206">
        <f t="shared" si="24"/>
        <v>0</v>
      </c>
      <c r="T126" s="206">
        <f t="shared" si="24"/>
        <v>0</v>
      </c>
      <c r="U126" s="206">
        <f t="shared" si="24"/>
        <v>0</v>
      </c>
      <c r="V126" s="206">
        <f t="shared" si="24"/>
        <v>0</v>
      </c>
      <c r="W126" s="206">
        <f t="shared" si="24"/>
        <v>0</v>
      </c>
      <c r="X126" s="206">
        <f t="shared" si="24"/>
        <v>0</v>
      </c>
      <c r="Y126" s="206">
        <f t="shared" si="24"/>
        <v>0</v>
      </c>
      <c r="Z126" s="206">
        <f t="shared" si="24"/>
        <v>0</v>
      </c>
      <c r="AA126" s="206">
        <f t="shared" si="24"/>
        <v>0</v>
      </c>
      <c r="AB126" s="206">
        <f t="shared" si="24"/>
        <v>0</v>
      </c>
    </row>
    <row r="127" spans="1:29" ht="15" customHeight="1">
      <c r="A127" s="464"/>
      <c r="B127" s="309" t="s">
        <v>26</v>
      </c>
      <c r="C127" s="209" t="s">
        <v>65</v>
      </c>
      <c r="D127" s="206">
        <f t="shared" ref="D127:AB127" si="25">D19*D43*D72</f>
        <v>0</v>
      </c>
      <c r="E127" s="206">
        <f t="shared" si="25"/>
        <v>0</v>
      </c>
      <c r="F127" s="206">
        <f t="shared" si="25"/>
        <v>0</v>
      </c>
      <c r="G127" s="206">
        <f t="shared" si="25"/>
        <v>0</v>
      </c>
      <c r="H127" s="206">
        <f t="shared" si="25"/>
        <v>0</v>
      </c>
      <c r="I127" s="206">
        <f t="shared" si="25"/>
        <v>0</v>
      </c>
      <c r="J127" s="206">
        <f t="shared" si="25"/>
        <v>0</v>
      </c>
      <c r="K127" s="206">
        <f t="shared" si="25"/>
        <v>0</v>
      </c>
      <c r="L127" s="206">
        <f t="shared" si="25"/>
        <v>0</v>
      </c>
      <c r="M127" s="206">
        <f t="shared" si="25"/>
        <v>0</v>
      </c>
      <c r="N127" s="206">
        <f t="shared" si="25"/>
        <v>0</v>
      </c>
      <c r="O127" s="206">
        <f t="shared" si="25"/>
        <v>0</v>
      </c>
      <c r="P127" s="206">
        <f t="shared" si="25"/>
        <v>0</v>
      </c>
      <c r="Q127" s="206">
        <f t="shared" si="25"/>
        <v>0</v>
      </c>
      <c r="R127" s="206">
        <f t="shared" si="25"/>
        <v>0</v>
      </c>
      <c r="S127" s="206">
        <f t="shared" si="25"/>
        <v>0</v>
      </c>
      <c r="T127" s="206">
        <f t="shared" si="25"/>
        <v>0</v>
      </c>
      <c r="U127" s="206">
        <f t="shared" si="25"/>
        <v>0</v>
      </c>
      <c r="V127" s="206">
        <f t="shared" si="25"/>
        <v>0</v>
      </c>
      <c r="W127" s="206">
        <f t="shared" si="25"/>
        <v>0</v>
      </c>
      <c r="X127" s="206">
        <f t="shared" si="25"/>
        <v>0</v>
      </c>
      <c r="Y127" s="206">
        <f t="shared" si="25"/>
        <v>0</v>
      </c>
      <c r="Z127" s="206">
        <f t="shared" si="25"/>
        <v>0</v>
      </c>
      <c r="AA127" s="206">
        <f t="shared" si="25"/>
        <v>0</v>
      </c>
      <c r="AB127" s="206">
        <f t="shared" si="25"/>
        <v>0</v>
      </c>
    </row>
    <row r="128" spans="1:29" s="171" customFormat="1" ht="15" customHeight="1">
      <c r="A128" s="464"/>
      <c r="B128" s="208" t="s">
        <v>14</v>
      </c>
      <c r="C128" s="276" t="s">
        <v>65</v>
      </c>
      <c r="D128" s="206">
        <f t="shared" ref="D128:AB128" si="26">D20*D73*D44/1000</f>
        <v>0</v>
      </c>
      <c r="E128" s="206">
        <f t="shared" si="26"/>
        <v>0</v>
      </c>
      <c r="F128" s="206">
        <f t="shared" si="26"/>
        <v>0</v>
      </c>
      <c r="G128" s="206">
        <f t="shared" si="26"/>
        <v>0</v>
      </c>
      <c r="H128" s="206">
        <f t="shared" si="26"/>
        <v>0</v>
      </c>
      <c r="I128" s="206">
        <f t="shared" si="26"/>
        <v>0</v>
      </c>
      <c r="J128" s="206">
        <f t="shared" si="26"/>
        <v>0</v>
      </c>
      <c r="K128" s="206">
        <f t="shared" si="26"/>
        <v>0</v>
      </c>
      <c r="L128" s="206">
        <f t="shared" si="26"/>
        <v>0</v>
      </c>
      <c r="M128" s="206">
        <f t="shared" si="26"/>
        <v>0</v>
      </c>
      <c r="N128" s="206">
        <f t="shared" si="26"/>
        <v>0</v>
      </c>
      <c r="O128" s="206">
        <f t="shared" si="26"/>
        <v>0</v>
      </c>
      <c r="P128" s="206">
        <f t="shared" si="26"/>
        <v>0</v>
      </c>
      <c r="Q128" s="206">
        <f t="shared" si="26"/>
        <v>0</v>
      </c>
      <c r="R128" s="206">
        <f t="shared" si="26"/>
        <v>0</v>
      </c>
      <c r="S128" s="206">
        <f t="shared" si="26"/>
        <v>0</v>
      </c>
      <c r="T128" s="206">
        <f t="shared" si="26"/>
        <v>0</v>
      </c>
      <c r="U128" s="206">
        <f t="shared" si="26"/>
        <v>0</v>
      </c>
      <c r="V128" s="206">
        <f t="shared" si="26"/>
        <v>0</v>
      </c>
      <c r="W128" s="206">
        <f t="shared" si="26"/>
        <v>0</v>
      </c>
      <c r="X128" s="206">
        <f t="shared" si="26"/>
        <v>0</v>
      </c>
      <c r="Y128" s="206">
        <f t="shared" si="26"/>
        <v>0</v>
      </c>
      <c r="Z128" s="206">
        <f t="shared" si="26"/>
        <v>0</v>
      </c>
      <c r="AA128" s="206">
        <f t="shared" si="26"/>
        <v>0</v>
      </c>
      <c r="AB128" s="206">
        <f t="shared" si="26"/>
        <v>0</v>
      </c>
    </row>
    <row r="129" spans="1:29" ht="15" customHeight="1">
      <c r="A129" s="464"/>
      <c r="B129" s="2" t="s">
        <v>214</v>
      </c>
      <c r="C129" s="53" t="s">
        <v>65</v>
      </c>
      <c r="D129" s="60">
        <f t="shared" ref="D129:AB129" si="27">D21*D$48*D74</f>
        <v>0</v>
      </c>
      <c r="E129" s="60">
        <f t="shared" si="27"/>
        <v>0</v>
      </c>
      <c r="F129" s="60">
        <f t="shared" si="27"/>
        <v>0</v>
      </c>
      <c r="G129" s="60">
        <f t="shared" si="27"/>
        <v>7.8979570978464572E-16</v>
      </c>
      <c r="H129" s="60">
        <f t="shared" si="27"/>
        <v>0</v>
      </c>
      <c r="I129" s="60">
        <f t="shared" si="27"/>
        <v>0</v>
      </c>
      <c r="J129" s="60">
        <f t="shared" si="27"/>
        <v>0</v>
      </c>
      <c r="K129" s="60">
        <f t="shared" si="27"/>
        <v>0</v>
      </c>
      <c r="L129" s="60">
        <f t="shared" si="27"/>
        <v>0</v>
      </c>
      <c r="M129" s="60">
        <f t="shared" si="27"/>
        <v>0</v>
      </c>
      <c r="N129" s="60">
        <f t="shared" si="27"/>
        <v>0</v>
      </c>
      <c r="O129" s="60">
        <f t="shared" si="27"/>
        <v>0</v>
      </c>
      <c r="P129" s="60">
        <f t="shared" si="27"/>
        <v>0</v>
      </c>
      <c r="Q129" s="60">
        <f t="shared" si="27"/>
        <v>0</v>
      </c>
      <c r="R129" s="60">
        <f t="shared" si="27"/>
        <v>0</v>
      </c>
      <c r="S129" s="60">
        <f t="shared" si="27"/>
        <v>0</v>
      </c>
      <c r="T129" s="60">
        <f t="shared" si="27"/>
        <v>0</v>
      </c>
      <c r="U129" s="60">
        <f t="shared" si="27"/>
        <v>0</v>
      </c>
      <c r="V129" s="60">
        <f t="shared" si="27"/>
        <v>9.9256904095143152</v>
      </c>
      <c r="W129" s="60">
        <f t="shared" si="27"/>
        <v>5.9554142457085888</v>
      </c>
      <c r="X129" s="60">
        <f t="shared" si="27"/>
        <v>3.5733908510197021</v>
      </c>
      <c r="Y129" s="60">
        <f t="shared" si="27"/>
        <v>0</v>
      </c>
      <c r="Z129" s="60">
        <f t="shared" si="27"/>
        <v>0</v>
      </c>
      <c r="AA129" s="60">
        <f t="shared" si="27"/>
        <v>0</v>
      </c>
      <c r="AB129" s="60">
        <f t="shared" si="27"/>
        <v>0</v>
      </c>
    </row>
    <row r="130" spans="1:29" s="171" customFormat="1" ht="15" customHeight="1">
      <c r="A130" s="464"/>
      <c r="B130" s="208" t="s">
        <v>108</v>
      </c>
      <c r="C130" s="209" t="s">
        <v>65</v>
      </c>
      <c r="D130" s="206">
        <f t="shared" ref="D130:AB130" si="28">D22*D75*D45</f>
        <v>0</v>
      </c>
      <c r="E130" s="206">
        <f t="shared" si="28"/>
        <v>0</v>
      </c>
      <c r="F130" s="206">
        <f t="shared" si="28"/>
        <v>0</v>
      </c>
      <c r="G130" s="206">
        <f t="shared" si="28"/>
        <v>0</v>
      </c>
      <c r="H130" s="206">
        <f t="shared" si="28"/>
        <v>0</v>
      </c>
      <c r="I130" s="206">
        <f t="shared" si="28"/>
        <v>0</v>
      </c>
      <c r="J130" s="206">
        <f t="shared" si="28"/>
        <v>0</v>
      </c>
      <c r="K130" s="206">
        <f t="shared" si="28"/>
        <v>0</v>
      </c>
      <c r="L130" s="211">
        <f t="shared" si="28"/>
        <v>0</v>
      </c>
      <c r="M130" s="206">
        <f t="shared" si="28"/>
        <v>0</v>
      </c>
      <c r="N130" s="206">
        <f t="shared" si="28"/>
        <v>0</v>
      </c>
      <c r="O130" s="206">
        <f t="shared" si="28"/>
        <v>0</v>
      </c>
      <c r="P130" s="206">
        <f t="shared" si="28"/>
        <v>0</v>
      </c>
      <c r="Q130" s="206">
        <f t="shared" si="28"/>
        <v>0</v>
      </c>
      <c r="R130" s="206">
        <f t="shared" si="28"/>
        <v>0</v>
      </c>
      <c r="S130" s="206">
        <f t="shared" si="28"/>
        <v>0</v>
      </c>
      <c r="T130" s="206">
        <f t="shared" si="28"/>
        <v>0</v>
      </c>
      <c r="U130" s="211">
        <f t="shared" si="28"/>
        <v>0</v>
      </c>
      <c r="V130" s="206">
        <f t="shared" si="28"/>
        <v>0</v>
      </c>
      <c r="W130" s="206">
        <f t="shared" si="28"/>
        <v>0</v>
      </c>
      <c r="X130" s="206">
        <f t="shared" si="28"/>
        <v>0</v>
      </c>
      <c r="Y130" s="206">
        <f t="shared" si="28"/>
        <v>0</v>
      </c>
      <c r="Z130" s="206">
        <f t="shared" si="28"/>
        <v>0</v>
      </c>
      <c r="AA130" s="206">
        <f t="shared" si="28"/>
        <v>0</v>
      </c>
      <c r="AB130" s="206">
        <f t="shared" si="28"/>
        <v>0</v>
      </c>
    </row>
    <row r="131" spans="1:29" ht="15" customHeight="1">
      <c r="A131" s="464"/>
      <c r="B131" s="2" t="s">
        <v>122</v>
      </c>
      <c r="C131" s="53" t="s">
        <v>65</v>
      </c>
      <c r="D131" s="60">
        <f t="shared" ref="D131:AB131" si="29">D23*D76*D46</f>
        <v>0</v>
      </c>
      <c r="E131" s="60">
        <f t="shared" si="29"/>
        <v>0</v>
      </c>
      <c r="F131" s="60">
        <f t="shared" si="29"/>
        <v>0</v>
      </c>
      <c r="G131" s="60">
        <f t="shared" si="29"/>
        <v>0</v>
      </c>
      <c r="H131" s="60">
        <f t="shared" si="29"/>
        <v>5.2787958006297639E-2</v>
      </c>
      <c r="I131" s="60">
        <f t="shared" si="29"/>
        <v>0.52270482575761168</v>
      </c>
      <c r="J131" s="60">
        <f t="shared" si="29"/>
        <v>0.98636186412335447</v>
      </c>
      <c r="K131" s="60">
        <f t="shared" si="29"/>
        <v>1.349448425604888</v>
      </c>
      <c r="L131" s="61">
        <f t="shared" si="29"/>
        <v>1.6784365426593562</v>
      </c>
      <c r="M131" s="60">
        <f t="shared" si="29"/>
        <v>1.9858736331877338</v>
      </c>
      <c r="N131" s="60">
        <f t="shared" si="29"/>
        <v>2.2800720994008916</v>
      </c>
      <c r="O131" s="60">
        <f t="shared" si="29"/>
        <v>2.5666671005890143</v>
      </c>
      <c r="P131" s="60">
        <f t="shared" si="29"/>
        <v>2.8834759422682041</v>
      </c>
      <c r="Q131" s="60">
        <f t="shared" si="29"/>
        <v>3.1531511480693521</v>
      </c>
      <c r="R131" s="60">
        <f t="shared" si="29"/>
        <v>3.4272052083596463</v>
      </c>
      <c r="S131" s="60">
        <f t="shared" si="29"/>
        <v>3.7052420905317427</v>
      </c>
      <c r="T131" s="60">
        <f t="shared" si="29"/>
        <v>3.9868515200493082</v>
      </c>
      <c r="U131" s="61">
        <f t="shared" si="29"/>
        <v>4.0678726571500361</v>
      </c>
      <c r="V131" s="60">
        <f t="shared" si="29"/>
        <v>4.1672866472526442</v>
      </c>
      <c r="W131" s="60">
        <f t="shared" si="29"/>
        <v>4.3798268127246285</v>
      </c>
      <c r="X131" s="60">
        <f t="shared" si="29"/>
        <v>4.6847278576553713</v>
      </c>
      <c r="Y131" s="60">
        <f t="shared" si="29"/>
        <v>4.8795190493908249</v>
      </c>
      <c r="Z131" s="60">
        <f t="shared" si="29"/>
        <v>5.102663002907267</v>
      </c>
      <c r="AA131" s="60">
        <f t="shared" si="29"/>
        <v>5.3297637575869024</v>
      </c>
      <c r="AB131" s="60">
        <f t="shared" si="29"/>
        <v>5.6319070895143515</v>
      </c>
    </row>
    <row r="132" spans="1:29" s="171" customFormat="1" ht="15" customHeight="1">
      <c r="A132" s="464"/>
      <c r="B132" s="212" t="s">
        <v>123</v>
      </c>
      <c r="C132" s="209" t="s">
        <v>65</v>
      </c>
      <c r="D132" s="206">
        <f t="shared" ref="D132:AB132" si="30">D24*D77*D47</f>
        <v>0</v>
      </c>
      <c r="E132" s="206">
        <f t="shared" si="30"/>
        <v>0</v>
      </c>
      <c r="F132" s="206">
        <f t="shared" si="30"/>
        <v>0</v>
      </c>
      <c r="G132" s="206">
        <f t="shared" si="30"/>
        <v>0</v>
      </c>
      <c r="H132" s="206">
        <f t="shared" si="30"/>
        <v>0</v>
      </c>
      <c r="I132" s="206">
        <f t="shared" si="30"/>
        <v>0</v>
      </c>
      <c r="J132" s="206">
        <f t="shared" si="30"/>
        <v>0</v>
      </c>
      <c r="K132" s="206">
        <f t="shared" si="30"/>
        <v>0</v>
      </c>
      <c r="L132" s="211">
        <f t="shared" si="30"/>
        <v>0</v>
      </c>
      <c r="M132" s="206">
        <f t="shared" si="30"/>
        <v>0</v>
      </c>
      <c r="N132" s="206">
        <f t="shared" si="30"/>
        <v>0</v>
      </c>
      <c r="O132" s="206">
        <f t="shared" si="30"/>
        <v>0</v>
      </c>
      <c r="P132" s="206">
        <f t="shared" si="30"/>
        <v>0</v>
      </c>
      <c r="Q132" s="206">
        <f t="shared" si="30"/>
        <v>0</v>
      </c>
      <c r="R132" s="206">
        <f t="shared" si="30"/>
        <v>0</v>
      </c>
      <c r="S132" s="206">
        <f t="shared" si="30"/>
        <v>0</v>
      </c>
      <c r="T132" s="206">
        <f t="shared" si="30"/>
        <v>0</v>
      </c>
      <c r="U132" s="211">
        <f t="shared" si="30"/>
        <v>0</v>
      </c>
      <c r="V132" s="206">
        <f t="shared" si="30"/>
        <v>0</v>
      </c>
      <c r="W132" s="206">
        <f t="shared" si="30"/>
        <v>0</v>
      </c>
      <c r="X132" s="206">
        <f t="shared" si="30"/>
        <v>0</v>
      </c>
      <c r="Y132" s="206">
        <f t="shared" si="30"/>
        <v>0</v>
      </c>
      <c r="Z132" s="206">
        <f t="shared" si="30"/>
        <v>0</v>
      </c>
      <c r="AA132" s="206">
        <f t="shared" si="30"/>
        <v>0</v>
      </c>
      <c r="AB132" s="206">
        <f t="shared" si="30"/>
        <v>0</v>
      </c>
    </row>
    <row r="133" spans="1:29" ht="15" customHeight="1">
      <c r="A133" s="464"/>
      <c r="B133" s="12" t="s">
        <v>124</v>
      </c>
      <c r="C133" s="53" t="s">
        <v>65</v>
      </c>
      <c r="D133" s="159">
        <f t="shared" ref="D133:AB133" si="31">D25*D48*D78</f>
        <v>0</v>
      </c>
      <c r="E133" s="159">
        <f t="shared" si="31"/>
        <v>0</v>
      </c>
      <c r="F133" s="159">
        <f t="shared" si="31"/>
        <v>0</v>
      </c>
      <c r="G133" s="159">
        <f t="shared" si="31"/>
        <v>11.753612530272191</v>
      </c>
      <c r="H133" s="159">
        <f t="shared" si="31"/>
        <v>20.870975097235807</v>
      </c>
      <c r="I133" s="159">
        <f t="shared" si="31"/>
        <v>6.5825368440877252</v>
      </c>
      <c r="J133" s="159">
        <f t="shared" si="31"/>
        <v>7.3985854315502069</v>
      </c>
      <c r="K133" s="159">
        <f t="shared" si="31"/>
        <v>2.9623549596627567</v>
      </c>
      <c r="L133" s="159">
        <f t="shared" si="31"/>
        <v>0</v>
      </c>
      <c r="M133" s="159">
        <f t="shared" si="31"/>
        <v>0</v>
      </c>
      <c r="N133" s="159">
        <f t="shared" si="31"/>
        <v>0</v>
      </c>
      <c r="O133" s="159">
        <f t="shared" si="31"/>
        <v>0</v>
      </c>
      <c r="P133" s="159">
        <f t="shared" si="31"/>
        <v>0</v>
      </c>
      <c r="Q133" s="159">
        <f t="shared" si="31"/>
        <v>0</v>
      </c>
      <c r="R133" s="159">
        <f t="shared" si="31"/>
        <v>0</v>
      </c>
      <c r="S133" s="159">
        <f t="shared" si="31"/>
        <v>0</v>
      </c>
      <c r="T133" s="159">
        <f t="shared" si="31"/>
        <v>0</v>
      </c>
      <c r="U133" s="159">
        <f t="shared" si="31"/>
        <v>0</v>
      </c>
      <c r="V133" s="159">
        <f t="shared" si="31"/>
        <v>0</v>
      </c>
      <c r="W133" s="159">
        <f t="shared" si="31"/>
        <v>0</v>
      </c>
      <c r="X133" s="159">
        <f t="shared" si="31"/>
        <v>0</v>
      </c>
      <c r="Y133" s="159">
        <f t="shared" si="31"/>
        <v>0</v>
      </c>
      <c r="Z133" s="159">
        <f t="shared" si="31"/>
        <v>0</v>
      </c>
      <c r="AA133" s="159">
        <f t="shared" si="31"/>
        <v>0</v>
      </c>
      <c r="AB133" s="159">
        <f t="shared" si="31"/>
        <v>0</v>
      </c>
    </row>
    <row r="134" spans="1:29" s="275" customFormat="1" ht="15.75" customHeight="1">
      <c r="A134" s="464"/>
      <c r="B134" s="280" t="s">
        <v>127</v>
      </c>
      <c r="C134" s="276" t="s">
        <v>65</v>
      </c>
      <c r="D134" s="277">
        <f t="shared" ref="D134:L134" si="32">D26*D79*D50*1000000/907185</f>
        <v>0</v>
      </c>
      <c r="E134" s="277">
        <f t="shared" si="32"/>
        <v>0</v>
      </c>
      <c r="F134" s="277">
        <f t="shared" si="32"/>
        <v>0</v>
      </c>
      <c r="G134" s="277">
        <f t="shared" si="32"/>
        <v>0</v>
      </c>
      <c r="H134" s="277">
        <f t="shared" si="32"/>
        <v>0</v>
      </c>
      <c r="I134" s="277">
        <f t="shared" si="32"/>
        <v>0</v>
      </c>
      <c r="J134" s="277">
        <f t="shared" si="32"/>
        <v>0</v>
      </c>
      <c r="K134" s="277">
        <f t="shared" si="32"/>
        <v>0</v>
      </c>
      <c r="L134" s="278">
        <f t="shared" si="32"/>
        <v>0</v>
      </c>
      <c r="M134" s="277"/>
      <c r="N134" s="277"/>
      <c r="O134" s="277"/>
      <c r="P134" s="277"/>
      <c r="Q134" s="277"/>
      <c r="R134" s="277"/>
      <c r="S134" s="277"/>
      <c r="T134" s="277"/>
      <c r="U134" s="278"/>
      <c r="V134" s="277"/>
      <c r="W134" s="277"/>
      <c r="X134" s="277"/>
      <c r="Y134" s="277"/>
      <c r="Z134" s="277"/>
      <c r="AA134" s="277"/>
      <c r="AB134" s="277"/>
    </row>
    <row r="135" spans="1:29" ht="15.75" thickBot="1">
      <c r="A135" s="465"/>
      <c r="B135" s="148" t="s">
        <v>243</v>
      </c>
      <c r="C135" s="73" t="s">
        <v>65</v>
      </c>
      <c r="D135" s="81">
        <f t="shared" ref="D135:AB135" si="33">SUM(D110:D134)</f>
        <v>0</v>
      </c>
      <c r="E135" s="81">
        <f t="shared" si="33"/>
        <v>0</v>
      </c>
      <c r="F135" s="81">
        <f t="shared" si="33"/>
        <v>0</v>
      </c>
      <c r="G135" s="81">
        <f t="shared" si="33"/>
        <v>33.567597408641817</v>
      </c>
      <c r="H135" s="81">
        <f t="shared" si="33"/>
        <v>38.637507173768199</v>
      </c>
      <c r="I135" s="81">
        <f t="shared" si="33"/>
        <v>22.472898293950813</v>
      </c>
      <c r="J135" s="81">
        <f t="shared" si="33"/>
        <v>37.253141929962688</v>
      </c>
      <c r="K135" s="81">
        <f t="shared" si="33"/>
        <v>20.968583759974923</v>
      </c>
      <c r="L135" s="82">
        <f t="shared" si="33"/>
        <v>16.046262717736784</v>
      </c>
      <c r="M135" s="81">
        <f t="shared" si="33"/>
        <v>16.947670086636588</v>
      </c>
      <c r="N135" s="81">
        <f t="shared" si="33"/>
        <v>17.488514507976475</v>
      </c>
      <c r="O135" s="81">
        <f t="shared" si="33"/>
        <v>18.281866903109766</v>
      </c>
      <c r="P135" s="81">
        <f t="shared" si="33"/>
        <v>25.033254213644778</v>
      </c>
      <c r="Q135" s="81">
        <f t="shared" si="33"/>
        <v>29.288808835437607</v>
      </c>
      <c r="R135" s="81">
        <f t="shared" si="33"/>
        <v>27.959800218165288</v>
      </c>
      <c r="S135" s="81">
        <f t="shared" si="33"/>
        <v>39.829606147696595</v>
      </c>
      <c r="T135" s="81">
        <f t="shared" si="33"/>
        <v>36.353882551442716</v>
      </c>
      <c r="U135" s="82">
        <f t="shared" si="33"/>
        <v>38.061350220708206</v>
      </c>
      <c r="V135" s="81">
        <f t="shared" si="33"/>
        <v>42.800445050045433</v>
      </c>
      <c r="W135" s="81">
        <f t="shared" si="33"/>
        <v>38.76330041368989</v>
      </c>
      <c r="X135" s="81">
        <f t="shared" si="33"/>
        <v>35.229119552962395</v>
      </c>
      <c r="Y135" s="81">
        <f t="shared" si="33"/>
        <v>33.498828448326137</v>
      </c>
      <c r="Z135" s="81">
        <f t="shared" si="33"/>
        <v>26.322360360590348</v>
      </c>
      <c r="AA135" s="81">
        <f t="shared" si="33"/>
        <v>21.677060093360645</v>
      </c>
      <c r="AB135" s="81">
        <f t="shared" si="33"/>
        <v>16.844220354421175</v>
      </c>
      <c r="AC135" s="60">
        <f>SUM(D135:AB135)</f>
        <v>633.32607924224919</v>
      </c>
    </row>
    <row r="136" spans="1:29" ht="15.75" thickBot="1"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</row>
    <row r="137" spans="1:29" ht="15" customHeight="1">
      <c r="A137" s="463" t="s">
        <v>244</v>
      </c>
      <c r="B137" s="408" t="s">
        <v>3</v>
      </c>
      <c r="C137" s="117" t="s">
        <v>1</v>
      </c>
      <c r="D137" s="115">
        <v>2022</v>
      </c>
      <c r="E137" s="115">
        <v>2023</v>
      </c>
      <c r="F137" s="115">
        <v>2024</v>
      </c>
      <c r="G137" s="115">
        <v>2025</v>
      </c>
      <c r="H137" s="83">
        <v>2026</v>
      </c>
      <c r="I137" s="83">
        <v>2027</v>
      </c>
      <c r="J137" s="83">
        <v>2028</v>
      </c>
      <c r="K137" s="83">
        <v>2029</v>
      </c>
      <c r="L137" s="84">
        <v>2030</v>
      </c>
      <c r="M137" s="115">
        <v>2031</v>
      </c>
      <c r="N137" s="115">
        <v>2032</v>
      </c>
      <c r="O137" s="115">
        <v>2033</v>
      </c>
      <c r="P137" s="115">
        <v>2034</v>
      </c>
      <c r="Q137" s="83">
        <v>2035</v>
      </c>
      <c r="R137" s="83">
        <v>2036</v>
      </c>
      <c r="S137" s="83">
        <v>2037</v>
      </c>
      <c r="T137" s="83">
        <v>2038</v>
      </c>
      <c r="U137" s="84">
        <v>2039</v>
      </c>
      <c r="V137" s="115">
        <v>2040</v>
      </c>
      <c r="W137" s="115">
        <v>2041</v>
      </c>
      <c r="X137" s="115">
        <v>2042</v>
      </c>
      <c r="Y137" s="115">
        <v>2043</v>
      </c>
      <c r="Z137" s="83">
        <v>2044</v>
      </c>
      <c r="AA137" s="83">
        <v>2045</v>
      </c>
      <c r="AB137" s="83">
        <v>2046</v>
      </c>
    </row>
    <row r="138" spans="1:29" s="171" customFormat="1" ht="15" customHeight="1">
      <c r="A138" s="459"/>
      <c r="B138" s="309" t="s">
        <v>115</v>
      </c>
      <c r="C138" s="309" t="s">
        <v>65</v>
      </c>
      <c r="D138" s="271">
        <f t="shared" ref="D138:AB138" si="34">D2*D82*D29</f>
        <v>0</v>
      </c>
      <c r="E138" s="271">
        <f t="shared" si="34"/>
        <v>0</v>
      </c>
      <c r="F138" s="271">
        <f t="shared" si="34"/>
        <v>0</v>
      </c>
      <c r="G138" s="271">
        <f t="shared" si="34"/>
        <v>0</v>
      </c>
      <c r="H138" s="271">
        <f t="shared" si="34"/>
        <v>0</v>
      </c>
      <c r="I138" s="271">
        <f t="shared" si="34"/>
        <v>0</v>
      </c>
      <c r="J138" s="271">
        <f t="shared" si="34"/>
        <v>0</v>
      </c>
      <c r="K138" s="271">
        <f t="shared" si="34"/>
        <v>0</v>
      </c>
      <c r="L138" s="272">
        <f t="shared" si="34"/>
        <v>0</v>
      </c>
      <c r="M138" s="271">
        <f t="shared" si="34"/>
        <v>0</v>
      </c>
      <c r="N138" s="271">
        <f t="shared" si="34"/>
        <v>0</v>
      </c>
      <c r="O138" s="271">
        <f t="shared" si="34"/>
        <v>0</v>
      </c>
      <c r="P138" s="271">
        <f t="shared" si="34"/>
        <v>0</v>
      </c>
      <c r="Q138" s="271">
        <f t="shared" si="34"/>
        <v>0</v>
      </c>
      <c r="R138" s="271">
        <f t="shared" si="34"/>
        <v>0</v>
      </c>
      <c r="S138" s="271">
        <f t="shared" si="34"/>
        <v>0</v>
      </c>
      <c r="T138" s="271">
        <f t="shared" si="34"/>
        <v>0</v>
      </c>
      <c r="U138" s="272">
        <f t="shared" si="34"/>
        <v>0</v>
      </c>
      <c r="V138" s="271">
        <f t="shared" si="34"/>
        <v>0</v>
      </c>
      <c r="W138" s="271">
        <f t="shared" si="34"/>
        <v>0</v>
      </c>
      <c r="X138" s="271">
        <f t="shared" si="34"/>
        <v>0</v>
      </c>
      <c r="Y138" s="271">
        <f t="shared" si="34"/>
        <v>0</v>
      </c>
      <c r="Z138" s="271">
        <f t="shared" si="34"/>
        <v>0</v>
      </c>
      <c r="AA138" s="271">
        <f t="shared" si="34"/>
        <v>0</v>
      </c>
      <c r="AB138" s="271">
        <f t="shared" si="34"/>
        <v>0</v>
      </c>
    </row>
    <row r="139" spans="1:29" s="171" customFormat="1" ht="15" customHeight="1">
      <c r="A139" s="459"/>
      <c r="B139" s="309" t="s">
        <v>19</v>
      </c>
      <c r="C139" s="309" t="s">
        <v>65</v>
      </c>
      <c r="D139" s="206">
        <f t="shared" ref="D139:AB139" si="35">D3*D83*D30</f>
        <v>0</v>
      </c>
      <c r="E139" s="206">
        <f t="shared" si="35"/>
        <v>0</v>
      </c>
      <c r="F139" s="206">
        <f t="shared" si="35"/>
        <v>0</v>
      </c>
      <c r="G139" s="206">
        <f t="shared" si="35"/>
        <v>0</v>
      </c>
      <c r="H139" s="206">
        <f t="shared" si="35"/>
        <v>0</v>
      </c>
      <c r="I139" s="206">
        <f t="shared" si="35"/>
        <v>0</v>
      </c>
      <c r="J139" s="206">
        <f t="shared" si="35"/>
        <v>0</v>
      </c>
      <c r="K139" s="206">
        <f t="shared" si="35"/>
        <v>0</v>
      </c>
      <c r="L139" s="211">
        <f t="shared" si="35"/>
        <v>0</v>
      </c>
      <c r="M139" s="206">
        <f t="shared" si="35"/>
        <v>0</v>
      </c>
      <c r="N139" s="206">
        <f t="shared" si="35"/>
        <v>0</v>
      </c>
      <c r="O139" s="206">
        <f t="shared" si="35"/>
        <v>0</v>
      </c>
      <c r="P139" s="206">
        <f t="shared" si="35"/>
        <v>0</v>
      </c>
      <c r="Q139" s="206">
        <f t="shared" si="35"/>
        <v>0</v>
      </c>
      <c r="R139" s="206">
        <f t="shared" si="35"/>
        <v>0</v>
      </c>
      <c r="S139" s="206">
        <f t="shared" si="35"/>
        <v>0</v>
      </c>
      <c r="T139" s="206">
        <f t="shared" si="35"/>
        <v>0</v>
      </c>
      <c r="U139" s="211">
        <f t="shared" si="35"/>
        <v>0</v>
      </c>
      <c r="V139" s="206">
        <f t="shared" si="35"/>
        <v>0</v>
      </c>
      <c r="W139" s="206">
        <f t="shared" si="35"/>
        <v>0</v>
      </c>
      <c r="X139" s="206">
        <f t="shared" si="35"/>
        <v>0</v>
      </c>
      <c r="Y139" s="206">
        <f t="shared" si="35"/>
        <v>0</v>
      </c>
      <c r="Z139" s="206">
        <f t="shared" si="35"/>
        <v>0</v>
      </c>
      <c r="AA139" s="206">
        <f t="shared" si="35"/>
        <v>0</v>
      </c>
      <c r="AB139" s="206">
        <f t="shared" si="35"/>
        <v>0</v>
      </c>
    </row>
    <row r="140" spans="1:29" ht="15" customHeight="1">
      <c r="A140" s="459"/>
      <c r="B140" s="10" t="s">
        <v>104</v>
      </c>
      <c r="C140" s="10" t="s">
        <v>65</v>
      </c>
      <c r="D140" s="159">
        <f t="shared" ref="D140:AB140" si="36">D4*D84*D31</f>
        <v>0</v>
      </c>
      <c r="E140" s="159">
        <f t="shared" si="36"/>
        <v>0</v>
      </c>
      <c r="F140" s="159">
        <f t="shared" si="36"/>
        <v>0</v>
      </c>
      <c r="G140" s="159">
        <f t="shared" si="36"/>
        <v>0</v>
      </c>
      <c r="H140" s="159">
        <f t="shared" si="36"/>
        <v>0</v>
      </c>
      <c r="I140" s="159">
        <f t="shared" si="36"/>
        <v>0</v>
      </c>
      <c r="J140" s="159">
        <f t="shared" si="36"/>
        <v>0</v>
      </c>
      <c r="K140" s="159">
        <f t="shared" si="36"/>
        <v>0</v>
      </c>
      <c r="L140" s="160">
        <f t="shared" si="36"/>
        <v>0</v>
      </c>
      <c r="M140" s="159">
        <f t="shared" si="36"/>
        <v>0</v>
      </c>
      <c r="N140" s="159">
        <f t="shared" si="36"/>
        <v>0</v>
      </c>
      <c r="O140" s="159">
        <f t="shared" si="36"/>
        <v>0</v>
      </c>
      <c r="P140" s="159">
        <f t="shared" si="36"/>
        <v>0</v>
      </c>
      <c r="Q140" s="159">
        <f t="shared" si="36"/>
        <v>0</v>
      </c>
      <c r="R140" s="159">
        <f t="shared" si="36"/>
        <v>0</v>
      </c>
      <c r="S140" s="159">
        <f t="shared" si="36"/>
        <v>0</v>
      </c>
      <c r="T140" s="159">
        <f t="shared" si="36"/>
        <v>0</v>
      </c>
      <c r="U140" s="160">
        <f t="shared" si="36"/>
        <v>0</v>
      </c>
      <c r="V140" s="159">
        <f t="shared" si="36"/>
        <v>0</v>
      </c>
      <c r="W140" s="159">
        <f t="shared" si="36"/>
        <v>0</v>
      </c>
      <c r="X140" s="159">
        <f t="shared" si="36"/>
        <v>0</v>
      </c>
      <c r="Y140" s="159">
        <f t="shared" si="36"/>
        <v>0</v>
      </c>
      <c r="Z140" s="159">
        <f t="shared" si="36"/>
        <v>0</v>
      </c>
      <c r="AA140" s="159">
        <f t="shared" si="36"/>
        <v>0</v>
      </c>
      <c r="AB140" s="159">
        <f t="shared" si="36"/>
        <v>0</v>
      </c>
    </row>
    <row r="141" spans="1:29" s="275" customFormat="1" ht="15" customHeight="1">
      <c r="A141" s="459"/>
      <c r="B141" s="10" t="s">
        <v>203</v>
      </c>
      <c r="C141" s="10" t="s">
        <v>65</v>
      </c>
      <c r="D141" s="60">
        <f t="shared" ref="D141:AB141" si="37">D5*D85*D32</f>
        <v>0</v>
      </c>
      <c r="E141" s="60">
        <f t="shared" si="37"/>
        <v>0</v>
      </c>
      <c r="F141" s="60">
        <f t="shared" si="37"/>
        <v>0</v>
      </c>
      <c r="G141" s="60">
        <f t="shared" si="37"/>
        <v>0</v>
      </c>
      <c r="H141" s="60">
        <f t="shared" si="37"/>
        <v>0</v>
      </c>
      <c r="I141" s="60">
        <f t="shared" si="37"/>
        <v>0</v>
      </c>
      <c r="J141" s="60">
        <f t="shared" si="37"/>
        <v>0</v>
      </c>
      <c r="K141" s="60">
        <f t="shared" si="37"/>
        <v>0</v>
      </c>
      <c r="L141" s="61">
        <f t="shared" si="37"/>
        <v>0</v>
      </c>
      <c r="M141" s="60">
        <f t="shared" si="37"/>
        <v>0</v>
      </c>
      <c r="N141" s="60">
        <f t="shared" si="37"/>
        <v>0</v>
      </c>
      <c r="O141" s="60">
        <f t="shared" si="37"/>
        <v>0</v>
      </c>
      <c r="P141" s="60">
        <f t="shared" si="37"/>
        <v>0</v>
      </c>
      <c r="Q141" s="60">
        <f t="shared" si="37"/>
        <v>0</v>
      </c>
      <c r="R141" s="60">
        <f t="shared" si="37"/>
        <v>-0.57411217841726903</v>
      </c>
      <c r="S141" s="60">
        <f t="shared" si="37"/>
        <v>-2.0423168869247066</v>
      </c>
      <c r="T141" s="60">
        <f t="shared" si="37"/>
        <v>-3.5437783669240774</v>
      </c>
      <c r="U141" s="61">
        <f t="shared" si="37"/>
        <v>-4.6311866145833331</v>
      </c>
      <c r="V141" s="60">
        <f t="shared" si="37"/>
        <v>-4.9974287679519609</v>
      </c>
      <c r="W141" s="60">
        <f t="shared" si="37"/>
        <v>-5.3501703832049223</v>
      </c>
      <c r="X141" s="60">
        <f t="shared" si="37"/>
        <v>-5.6851113728178007</v>
      </c>
      <c r="Y141" s="60">
        <f t="shared" si="37"/>
        <v>-6.0009518661963517</v>
      </c>
      <c r="Z141" s="60">
        <f t="shared" si="37"/>
        <v>-6.2954715520124322</v>
      </c>
      <c r="AA141" s="60">
        <f t="shared" si="37"/>
        <v>-6.5664692871112225</v>
      </c>
      <c r="AB141" s="60">
        <f t="shared" si="37"/>
        <v>-6.8514266236134729</v>
      </c>
    </row>
    <row r="142" spans="1:29" ht="15" customHeight="1">
      <c r="A142" s="459"/>
      <c r="B142" s="10" t="s">
        <v>205</v>
      </c>
      <c r="C142" s="10" t="s">
        <v>65</v>
      </c>
      <c r="D142" s="60">
        <f t="shared" ref="D142:AB142" si="38">D7*D$48*D86</f>
        <v>0</v>
      </c>
      <c r="E142" s="60">
        <f t="shared" si="38"/>
        <v>0</v>
      </c>
      <c r="F142" s="60">
        <f t="shared" si="38"/>
        <v>0</v>
      </c>
      <c r="G142" s="60">
        <f t="shared" si="38"/>
        <v>0.67041725805438279</v>
      </c>
      <c r="H142" s="60">
        <f t="shared" si="38"/>
        <v>1.8812099939533973</v>
      </c>
      <c r="I142" s="60">
        <f t="shared" si="38"/>
        <v>1.7504604200840874</v>
      </c>
      <c r="J142" s="60">
        <f t="shared" si="38"/>
        <v>5.2025607336192978</v>
      </c>
      <c r="K142" s="60">
        <f t="shared" si="38"/>
        <v>0</v>
      </c>
      <c r="L142" s="60">
        <f t="shared" si="38"/>
        <v>0</v>
      </c>
      <c r="M142" s="60">
        <f t="shared" si="38"/>
        <v>0</v>
      </c>
      <c r="N142" s="60">
        <f t="shared" si="38"/>
        <v>0</v>
      </c>
      <c r="O142" s="60">
        <f t="shared" si="38"/>
        <v>0.53529421184767056</v>
      </c>
      <c r="P142" s="60">
        <f t="shared" si="38"/>
        <v>0</v>
      </c>
      <c r="Q142" s="60">
        <f t="shared" si="38"/>
        <v>6.9148561474632801</v>
      </c>
      <c r="R142" s="60">
        <f t="shared" si="38"/>
        <v>9.6200464278770763</v>
      </c>
      <c r="S142" s="60">
        <f t="shared" si="38"/>
        <v>21.590491300715854</v>
      </c>
      <c r="T142" s="60">
        <f t="shared" si="38"/>
        <v>20.561082091199967</v>
      </c>
      <c r="U142" s="60">
        <f t="shared" si="38"/>
        <v>16.47038338844823</v>
      </c>
      <c r="V142" s="60">
        <f t="shared" si="38"/>
        <v>0</v>
      </c>
      <c r="W142" s="60">
        <f t="shared" si="38"/>
        <v>0</v>
      </c>
      <c r="X142" s="60">
        <f t="shared" si="38"/>
        <v>0</v>
      </c>
      <c r="Y142" s="60">
        <f t="shared" si="38"/>
        <v>11.981738354796352</v>
      </c>
      <c r="Z142" s="60">
        <f t="shared" si="38"/>
        <v>16.774433696714901</v>
      </c>
      <c r="AA142" s="60">
        <f t="shared" si="38"/>
        <v>21.235984527402035</v>
      </c>
      <c r="AB142" s="60">
        <f t="shared" si="38"/>
        <v>15.071778395336672</v>
      </c>
    </row>
    <row r="143" spans="1:29" ht="15" customHeight="1">
      <c r="A143" s="459"/>
      <c r="B143" s="309" t="s">
        <v>236</v>
      </c>
      <c r="C143" s="309" t="s">
        <v>65</v>
      </c>
      <c r="D143" s="206">
        <f>D6*D$34*D87</f>
        <v>0</v>
      </c>
      <c r="E143" s="206">
        <f>E6*E$34*E87</f>
        <v>0</v>
      </c>
      <c r="F143" s="206">
        <f t="shared" ref="F143:AB143" si="39">F6*F$34*F87</f>
        <v>0</v>
      </c>
      <c r="G143" s="206">
        <f t="shared" si="39"/>
        <v>0</v>
      </c>
      <c r="H143" s="206">
        <f t="shared" si="39"/>
        <v>0</v>
      </c>
      <c r="I143" s="206">
        <f t="shared" si="39"/>
        <v>0</v>
      </c>
      <c r="J143" s="206">
        <f t="shared" si="39"/>
        <v>0</v>
      </c>
      <c r="K143" s="206">
        <f t="shared" si="39"/>
        <v>0</v>
      </c>
      <c r="L143" s="206">
        <f t="shared" si="39"/>
        <v>0</v>
      </c>
      <c r="M143" s="206">
        <f t="shared" si="39"/>
        <v>0</v>
      </c>
      <c r="N143" s="206">
        <f t="shared" si="39"/>
        <v>0</v>
      </c>
      <c r="O143" s="206">
        <f t="shared" si="39"/>
        <v>0</v>
      </c>
      <c r="P143" s="206">
        <f t="shared" si="39"/>
        <v>0</v>
      </c>
      <c r="Q143" s="206">
        <f t="shared" si="39"/>
        <v>0</v>
      </c>
      <c r="R143" s="206">
        <f t="shared" si="39"/>
        <v>0</v>
      </c>
      <c r="S143" s="206">
        <f t="shared" si="39"/>
        <v>0</v>
      </c>
      <c r="T143" s="206">
        <f t="shared" si="39"/>
        <v>0</v>
      </c>
      <c r="U143" s="206">
        <f t="shared" si="39"/>
        <v>0</v>
      </c>
      <c r="V143" s="206">
        <f t="shared" si="39"/>
        <v>0</v>
      </c>
      <c r="W143" s="206">
        <f t="shared" si="39"/>
        <v>0</v>
      </c>
      <c r="X143" s="206">
        <f t="shared" si="39"/>
        <v>0</v>
      </c>
      <c r="Y143" s="206">
        <f t="shared" si="39"/>
        <v>0</v>
      </c>
      <c r="Z143" s="206">
        <f t="shared" si="39"/>
        <v>0</v>
      </c>
      <c r="AA143" s="206">
        <f t="shared" si="39"/>
        <v>0</v>
      </c>
      <c r="AB143" s="206">
        <f t="shared" si="39"/>
        <v>0</v>
      </c>
    </row>
    <row r="144" spans="1:29" ht="15" customHeight="1">
      <c r="A144" s="459"/>
      <c r="B144" s="309" t="s">
        <v>241</v>
      </c>
      <c r="C144" s="309" t="s">
        <v>65</v>
      </c>
      <c r="D144" s="206">
        <f>D8*D$34*D88</f>
        <v>0</v>
      </c>
      <c r="E144" s="206">
        <f>E8*E$34*E88</f>
        <v>0</v>
      </c>
      <c r="F144" s="206">
        <f t="shared" ref="F144:AB144" si="40">F8*F$34*F88</f>
        <v>0</v>
      </c>
      <c r="G144" s="206">
        <f t="shared" si="40"/>
        <v>0</v>
      </c>
      <c r="H144" s="206">
        <f t="shared" si="40"/>
        <v>0</v>
      </c>
      <c r="I144" s="206">
        <f t="shared" si="40"/>
        <v>0</v>
      </c>
      <c r="J144" s="206">
        <f t="shared" si="40"/>
        <v>0</v>
      </c>
      <c r="K144" s="206">
        <f t="shared" si="40"/>
        <v>0</v>
      </c>
      <c r="L144" s="206">
        <f t="shared" si="40"/>
        <v>0</v>
      </c>
      <c r="M144" s="206">
        <f t="shared" si="40"/>
        <v>0</v>
      </c>
      <c r="N144" s="206">
        <f t="shared" si="40"/>
        <v>0</v>
      </c>
      <c r="O144" s="206">
        <f t="shared" si="40"/>
        <v>0</v>
      </c>
      <c r="P144" s="206">
        <f t="shared" si="40"/>
        <v>0</v>
      </c>
      <c r="Q144" s="206">
        <f t="shared" si="40"/>
        <v>0</v>
      </c>
      <c r="R144" s="206">
        <f t="shared" si="40"/>
        <v>0</v>
      </c>
      <c r="S144" s="206">
        <f t="shared" si="40"/>
        <v>0</v>
      </c>
      <c r="T144" s="206">
        <f t="shared" si="40"/>
        <v>0</v>
      </c>
      <c r="U144" s="206">
        <f t="shared" si="40"/>
        <v>0</v>
      </c>
      <c r="V144" s="206">
        <f t="shared" si="40"/>
        <v>0</v>
      </c>
      <c r="W144" s="206">
        <f t="shared" si="40"/>
        <v>0</v>
      </c>
      <c r="X144" s="206">
        <f t="shared" si="40"/>
        <v>0</v>
      </c>
      <c r="Y144" s="206">
        <f t="shared" si="40"/>
        <v>0</v>
      </c>
      <c r="Z144" s="206">
        <f t="shared" si="40"/>
        <v>0</v>
      </c>
      <c r="AA144" s="206">
        <f t="shared" si="40"/>
        <v>0</v>
      </c>
      <c r="AB144" s="206">
        <f t="shared" si="40"/>
        <v>0</v>
      </c>
    </row>
    <row r="145" spans="1:28" ht="15" customHeight="1">
      <c r="A145" s="459"/>
      <c r="B145" s="309" t="s">
        <v>31</v>
      </c>
      <c r="C145" s="309" t="s">
        <v>65</v>
      </c>
      <c r="D145" s="206">
        <f t="shared" ref="D145:AB145" si="41">D9*D$47*D89</f>
        <v>0</v>
      </c>
      <c r="E145" s="206">
        <f t="shared" si="41"/>
        <v>0</v>
      </c>
      <c r="F145" s="206">
        <f t="shared" si="41"/>
        <v>0</v>
      </c>
      <c r="G145" s="206">
        <f t="shared" si="41"/>
        <v>0</v>
      </c>
      <c r="H145" s="206">
        <f t="shared" si="41"/>
        <v>0</v>
      </c>
      <c r="I145" s="206">
        <f t="shared" si="41"/>
        <v>0</v>
      </c>
      <c r="J145" s="206">
        <f t="shared" si="41"/>
        <v>0</v>
      </c>
      <c r="K145" s="206">
        <f t="shared" si="41"/>
        <v>0</v>
      </c>
      <c r="L145" s="206">
        <f t="shared" si="41"/>
        <v>0</v>
      </c>
      <c r="M145" s="206">
        <f t="shared" si="41"/>
        <v>0</v>
      </c>
      <c r="N145" s="206">
        <f t="shared" si="41"/>
        <v>0</v>
      </c>
      <c r="O145" s="206">
        <f t="shared" si="41"/>
        <v>0</v>
      </c>
      <c r="P145" s="206">
        <f t="shared" si="41"/>
        <v>0</v>
      </c>
      <c r="Q145" s="206">
        <f t="shared" si="41"/>
        <v>0</v>
      </c>
      <c r="R145" s="206">
        <f t="shared" si="41"/>
        <v>0</v>
      </c>
      <c r="S145" s="206">
        <f t="shared" si="41"/>
        <v>0</v>
      </c>
      <c r="T145" s="206">
        <f t="shared" si="41"/>
        <v>0</v>
      </c>
      <c r="U145" s="206">
        <f t="shared" si="41"/>
        <v>0</v>
      </c>
      <c r="V145" s="206">
        <f t="shared" si="41"/>
        <v>0</v>
      </c>
      <c r="W145" s="206">
        <f t="shared" si="41"/>
        <v>0</v>
      </c>
      <c r="X145" s="206">
        <f t="shared" si="41"/>
        <v>0</v>
      </c>
      <c r="Y145" s="206">
        <f t="shared" si="41"/>
        <v>0</v>
      </c>
      <c r="Z145" s="206">
        <f t="shared" si="41"/>
        <v>0</v>
      </c>
      <c r="AA145" s="206">
        <f t="shared" si="41"/>
        <v>0</v>
      </c>
      <c r="AB145" s="206">
        <f t="shared" si="41"/>
        <v>0</v>
      </c>
    </row>
    <row r="146" spans="1:28" s="171" customFormat="1" ht="15" customHeight="1">
      <c r="A146" s="459"/>
      <c r="B146" s="309" t="s">
        <v>118</v>
      </c>
      <c r="C146" s="299" t="s">
        <v>65</v>
      </c>
      <c r="D146" s="206">
        <f t="shared" ref="D146:AB146" si="42">D10*D90/1000*D36</f>
        <v>0</v>
      </c>
      <c r="E146" s="206">
        <f t="shared" si="42"/>
        <v>0</v>
      </c>
      <c r="F146" s="206">
        <f t="shared" si="42"/>
        <v>0</v>
      </c>
      <c r="G146" s="206">
        <f t="shared" si="42"/>
        <v>0</v>
      </c>
      <c r="H146" s="206">
        <f t="shared" si="42"/>
        <v>0</v>
      </c>
      <c r="I146" s="206">
        <f t="shared" si="42"/>
        <v>0</v>
      </c>
      <c r="J146" s="206">
        <f t="shared" si="42"/>
        <v>0</v>
      </c>
      <c r="K146" s="206">
        <f t="shared" si="42"/>
        <v>0</v>
      </c>
      <c r="L146" s="211">
        <f t="shared" si="42"/>
        <v>0</v>
      </c>
      <c r="M146" s="206">
        <f t="shared" si="42"/>
        <v>0</v>
      </c>
      <c r="N146" s="206">
        <f t="shared" si="42"/>
        <v>0</v>
      </c>
      <c r="O146" s="206">
        <f t="shared" si="42"/>
        <v>0</v>
      </c>
      <c r="P146" s="206">
        <f t="shared" si="42"/>
        <v>0</v>
      </c>
      <c r="Q146" s="206">
        <f t="shared" si="42"/>
        <v>0</v>
      </c>
      <c r="R146" s="206">
        <f t="shared" si="42"/>
        <v>0</v>
      </c>
      <c r="S146" s="206">
        <f t="shared" si="42"/>
        <v>0</v>
      </c>
      <c r="T146" s="206">
        <f t="shared" si="42"/>
        <v>0</v>
      </c>
      <c r="U146" s="211">
        <f t="shared" si="42"/>
        <v>0</v>
      </c>
      <c r="V146" s="206">
        <f t="shared" si="42"/>
        <v>0</v>
      </c>
      <c r="W146" s="206">
        <f t="shared" si="42"/>
        <v>0</v>
      </c>
      <c r="X146" s="206">
        <f t="shared" si="42"/>
        <v>0</v>
      </c>
      <c r="Y146" s="206">
        <f t="shared" si="42"/>
        <v>0</v>
      </c>
      <c r="Z146" s="206">
        <f t="shared" si="42"/>
        <v>0</v>
      </c>
      <c r="AA146" s="206">
        <f t="shared" si="42"/>
        <v>0</v>
      </c>
      <c r="AB146" s="206">
        <f t="shared" si="42"/>
        <v>0</v>
      </c>
    </row>
    <row r="147" spans="1:28" ht="15" customHeight="1">
      <c r="A147" s="459"/>
      <c r="B147" s="10" t="s">
        <v>208</v>
      </c>
      <c r="C147" s="10" t="s">
        <v>65</v>
      </c>
      <c r="D147" s="60">
        <f t="shared" ref="D147:AB147" si="43">D11*D$48*D91</f>
        <v>0</v>
      </c>
      <c r="E147" s="60">
        <f t="shared" si="43"/>
        <v>0</v>
      </c>
      <c r="F147" s="60">
        <f t="shared" si="43"/>
        <v>0</v>
      </c>
      <c r="G147" s="60">
        <f t="shared" si="43"/>
        <v>26.527490848893848</v>
      </c>
      <c r="H147" s="60">
        <f t="shared" si="43"/>
        <v>16.904076289308513</v>
      </c>
      <c r="I147" s="60">
        <f t="shared" si="43"/>
        <v>5.3314090247934818</v>
      </c>
      <c r="J147" s="60">
        <f t="shared" si="43"/>
        <v>5.9923531116883568</v>
      </c>
      <c r="K147" s="60">
        <f t="shared" si="43"/>
        <v>0</v>
      </c>
      <c r="L147" s="60">
        <f t="shared" si="43"/>
        <v>0</v>
      </c>
      <c r="M147" s="60">
        <f t="shared" si="43"/>
        <v>0</v>
      </c>
      <c r="N147" s="60">
        <f t="shared" si="43"/>
        <v>0</v>
      </c>
      <c r="O147" s="60">
        <f t="shared" si="43"/>
        <v>0</v>
      </c>
      <c r="P147" s="60">
        <f t="shared" si="43"/>
        <v>0</v>
      </c>
      <c r="Q147" s="60">
        <f t="shared" si="43"/>
        <v>0</v>
      </c>
      <c r="R147" s="60">
        <f t="shared" si="43"/>
        <v>0</v>
      </c>
      <c r="S147" s="60">
        <f t="shared" si="43"/>
        <v>0</v>
      </c>
      <c r="T147" s="60">
        <f t="shared" si="43"/>
        <v>0</v>
      </c>
      <c r="U147" s="60">
        <f t="shared" si="43"/>
        <v>6.8297166593397556</v>
      </c>
      <c r="V147" s="60">
        <f t="shared" si="43"/>
        <v>4.0954215884124165</v>
      </c>
      <c r="W147" s="60">
        <f t="shared" si="43"/>
        <v>8.2959821315210984</v>
      </c>
      <c r="X147" s="60">
        <f t="shared" si="43"/>
        <v>11.672892844083099</v>
      </c>
      <c r="Y147" s="60">
        <f t="shared" si="43"/>
        <v>16.642191201464811</v>
      </c>
      <c r="Z147" s="60">
        <f t="shared" si="43"/>
        <v>9.9853147208788826</v>
      </c>
      <c r="AA147" s="60">
        <f t="shared" si="43"/>
        <v>6.6114823529025726</v>
      </c>
      <c r="AB147" s="60">
        <f t="shared" si="43"/>
        <v>3.9668894117415427</v>
      </c>
    </row>
    <row r="148" spans="1:28" s="275" customFormat="1" ht="15" customHeight="1">
      <c r="A148" s="459"/>
      <c r="B148" s="299" t="s">
        <v>9</v>
      </c>
      <c r="C148" s="299" t="s">
        <v>65</v>
      </c>
      <c r="D148" s="277">
        <f t="shared" ref="D148:AB148" si="44">D12*D92*D37</f>
        <v>0</v>
      </c>
      <c r="E148" s="277">
        <f t="shared" si="44"/>
        <v>0</v>
      </c>
      <c r="F148" s="277">
        <f t="shared" si="44"/>
        <v>0</v>
      </c>
      <c r="G148" s="277">
        <f t="shared" si="44"/>
        <v>0</v>
      </c>
      <c r="H148" s="277">
        <f t="shared" si="44"/>
        <v>0</v>
      </c>
      <c r="I148" s="277">
        <f t="shared" si="44"/>
        <v>0</v>
      </c>
      <c r="J148" s="277">
        <f t="shared" si="44"/>
        <v>0</v>
      </c>
      <c r="K148" s="277">
        <f t="shared" si="44"/>
        <v>0</v>
      </c>
      <c r="L148" s="278">
        <f t="shared" si="44"/>
        <v>0</v>
      </c>
      <c r="M148" s="277">
        <f t="shared" si="44"/>
        <v>0</v>
      </c>
      <c r="N148" s="277">
        <f t="shared" si="44"/>
        <v>0</v>
      </c>
      <c r="O148" s="277">
        <f t="shared" si="44"/>
        <v>0</v>
      </c>
      <c r="P148" s="277">
        <f t="shared" si="44"/>
        <v>0</v>
      </c>
      <c r="Q148" s="277">
        <f t="shared" si="44"/>
        <v>0</v>
      </c>
      <c r="R148" s="277">
        <f t="shared" si="44"/>
        <v>0</v>
      </c>
      <c r="S148" s="277">
        <f t="shared" si="44"/>
        <v>0</v>
      </c>
      <c r="T148" s="277">
        <f t="shared" si="44"/>
        <v>0</v>
      </c>
      <c r="U148" s="278">
        <f t="shared" si="44"/>
        <v>0</v>
      </c>
      <c r="V148" s="277">
        <f t="shared" si="44"/>
        <v>0</v>
      </c>
      <c r="W148" s="277">
        <f t="shared" si="44"/>
        <v>0</v>
      </c>
      <c r="X148" s="277">
        <f t="shared" si="44"/>
        <v>0</v>
      </c>
      <c r="Y148" s="277">
        <f t="shared" si="44"/>
        <v>0</v>
      </c>
      <c r="Z148" s="277">
        <f t="shared" si="44"/>
        <v>0</v>
      </c>
      <c r="AA148" s="277">
        <f t="shared" si="44"/>
        <v>0</v>
      </c>
      <c r="AB148" s="277">
        <f t="shared" si="44"/>
        <v>0</v>
      </c>
    </row>
    <row r="149" spans="1:28" ht="15" customHeight="1">
      <c r="A149" s="459"/>
      <c r="B149" s="10" t="s">
        <v>34</v>
      </c>
      <c r="C149" s="10" t="s">
        <v>65</v>
      </c>
      <c r="D149" s="159">
        <f t="shared" ref="D149:AB149" si="45">D13*D93*D38</f>
        <v>0</v>
      </c>
      <c r="E149" s="159">
        <f t="shared" si="45"/>
        <v>0</v>
      </c>
      <c r="F149" s="159">
        <f t="shared" si="45"/>
        <v>0</v>
      </c>
      <c r="G149" s="159">
        <f t="shared" si="45"/>
        <v>0</v>
      </c>
      <c r="H149" s="159">
        <f t="shared" si="45"/>
        <v>0.31847079508848924</v>
      </c>
      <c r="I149" s="159">
        <f t="shared" si="45"/>
        <v>2.7236473954787725</v>
      </c>
      <c r="J149" s="159">
        <f t="shared" si="45"/>
        <v>4.0993653597391866</v>
      </c>
      <c r="K149" s="159">
        <f t="shared" si="45"/>
        <v>4.8933128869452558</v>
      </c>
      <c r="L149" s="160">
        <f t="shared" si="45"/>
        <v>5.328465336452556</v>
      </c>
      <c r="M149" s="159">
        <f t="shared" si="45"/>
        <v>5.5487457045903037</v>
      </c>
      <c r="N149" s="159">
        <f t="shared" si="45"/>
        <v>5.6402170521869719</v>
      </c>
      <c r="O149" s="159">
        <f t="shared" si="45"/>
        <v>5.6542770024550819</v>
      </c>
      <c r="P149" s="159">
        <f t="shared" si="45"/>
        <v>5.7173052388888381</v>
      </c>
      <c r="Q149" s="159">
        <f t="shared" si="45"/>
        <v>5.6172932420354309</v>
      </c>
      <c r="R149" s="159">
        <f t="shared" si="45"/>
        <v>5.5156572991463166</v>
      </c>
      <c r="S149" s="159">
        <f t="shared" si="45"/>
        <v>5.4125442832414317</v>
      </c>
      <c r="T149" s="159">
        <f t="shared" si="45"/>
        <v>5.3081063491157119</v>
      </c>
      <c r="U149" s="160">
        <f t="shared" si="45"/>
        <v>5.2780587750916022</v>
      </c>
      <c r="V149" s="159">
        <f t="shared" si="45"/>
        <v>5.2411900105502376</v>
      </c>
      <c r="W149" s="159">
        <f t="shared" si="45"/>
        <v>5.1623671677261891</v>
      </c>
      <c r="X149" s="159">
        <f t="shared" si="45"/>
        <v>5.0492912835134636</v>
      </c>
      <c r="Y149" s="159">
        <f t="shared" si="45"/>
        <v>4.9770508415453492</v>
      </c>
      <c r="Z149" s="159">
        <f t="shared" si="45"/>
        <v>4.8942954680558071</v>
      </c>
      <c r="AA149" s="159">
        <f t="shared" si="45"/>
        <v>4.810072671618328</v>
      </c>
      <c r="AB149" s="159">
        <f t="shared" si="45"/>
        <v>4.6980195154068216</v>
      </c>
    </row>
    <row r="150" spans="1:28" s="275" customFormat="1" ht="15" customHeight="1">
      <c r="A150" s="459"/>
      <c r="B150" s="299" t="s">
        <v>33</v>
      </c>
      <c r="C150" s="299" t="s">
        <v>65</v>
      </c>
      <c r="D150" s="277">
        <f t="shared" ref="D150:AB150" si="46">D14*D94*D39</f>
        <v>0</v>
      </c>
      <c r="E150" s="277">
        <f t="shared" si="46"/>
        <v>0</v>
      </c>
      <c r="F150" s="277">
        <f t="shared" si="46"/>
        <v>0</v>
      </c>
      <c r="G150" s="277">
        <f t="shared" si="46"/>
        <v>0</v>
      </c>
      <c r="H150" s="277">
        <f t="shared" si="46"/>
        <v>0</v>
      </c>
      <c r="I150" s="277">
        <f t="shared" si="46"/>
        <v>0</v>
      </c>
      <c r="J150" s="277">
        <f t="shared" si="46"/>
        <v>0</v>
      </c>
      <c r="K150" s="277">
        <f t="shared" si="46"/>
        <v>0</v>
      </c>
      <c r="L150" s="278">
        <f t="shared" si="46"/>
        <v>0</v>
      </c>
      <c r="M150" s="277">
        <f t="shared" si="46"/>
        <v>0</v>
      </c>
      <c r="N150" s="277">
        <f t="shared" si="46"/>
        <v>0</v>
      </c>
      <c r="O150" s="277">
        <f t="shared" si="46"/>
        <v>0</v>
      </c>
      <c r="P150" s="277">
        <f t="shared" si="46"/>
        <v>0</v>
      </c>
      <c r="Q150" s="277">
        <f t="shared" si="46"/>
        <v>0</v>
      </c>
      <c r="R150" s="277">
        <f t="shared" si="46"/>
        <v>0</v>
      </c>
      <c r="S150" s="277">
        <f t="shared" si="46"/>
        <v>0</v>
      </c>
      <c r="T150" s="277">
        <f t="shared" si="46"/>
        <v>0</v>
      </c>
      <c r="U150" s="278">
        <f t="shared" si="46"/>
        <v>0</v>
      </c>
      <c r="V150" s="277">
        <f t="shared" si="46"/>
        <v>0</v>
      </c>
      <c r="W150" s="277">
        <f t="shared" si="46"/>
        <v>0</v>
      </c>
      <c r="X150" s="277">
        <f t="shared" si="46"/>
        <v>0</v>
      </c>
      <c r="Y150" s="277">
        <f t="shared" si="46"/>
        <v>0</v>
      </c>
      <c r="Z150" s="277">
        <f t="shared" si="46"/>
        <v>0</v>
      </c>
      <c r="AA150" s="277">
        <f t="shared" si="46"/>
        <v>0</v>
      </c>
      <c r="AB150" s="277">
        <f t="shared" si="46"/>
        <v>0</v>
      </c>
    </row>
    <row r="151" spans="1:28" s="275" customFormat="1" ht="15" customHeight="1">
      <c r="A151" s="459"/>
      <c r="B151" s="10" t="s">
        <v>24</v>
      </c>
      <c r="C151" s="10" t="s">
        <v>65</v>
      </c>
      <c r="D151" s="60">
        <f t="shared" ref="D151:AB151" si="47">D15*D95*D40</f>
        <v>0</v>
      </c>
      <c r="E151" s="60">
        <f t="shared" si="47"/>
        <v>0</v>
      </c>
      <c r="F151" s="60">
        <f t="shared" si="47"/>
        <v>0</v>
      </c>
      <c r="G151" s="60">
        <f t="shared" si="47"/>
        <v>0</v>
      </c>
      <c r="H151" s="60">
        <f t="shared" si="47"/>
        <v>0</v>
      </c>
      <c r="I151" s="60">
        <f t="shared" si="47"/>
        <v>0</v>
      </c>
      <c r="J151" s="60">
        <f t="shared" si="47"/>
        <v>0</v>
      </c>
      <c r="K151" s="60">
        <f t="shared" si="47"/>
        <v>0</v>
      </c>
      <c r="L151" s="61">
        <f t="shared" si="47"/>
        <v>0</v>
      </c>
      <c r="M151" s="60">
        <f t="shared" si="47"/>
        <v>0</v>
      </c>
      <c r="N151" s="60">
        <f t="shared" si="47"/>
        <v>0</v>
      </c>
      <c r="O151" s="60">
        <f t="shared" si="47"/>
        <v>0</v>
      </c>
      <c r="P151" s="60">
        <f t="shared" si="47"/>
        <v>0</v>
      </c>
      <c r="Q151" s="60">
        <f t="shared" si="47"/>
        <v>0</v>
      </c>
      <c r="R151" s="60">
        <f t="shared" si="47"/>
        <v>0</v>
      </c>
      <c r="S151" s="60">
        <f t="shared" si="47"/>
        <v>0</v>
      </c>
      <c r="T151" s="60">
        <f t="shared" si="47"/>
        <v>0</v>
      </c>
      <c r="U151" s="61">
        <f t="shared" si="47"/>
        <v>-0.4450018013634795</v>
      </c>
      <c r="V151" s="60">
        <f t="shared" si="47"/>
        <v>-1.410487787574247</v>
      </c>
      <c r="W151" s="60">
        <f t="shared" si="47"/>
        <v>-2.4827837760196068</v>
      </c>
      <c r="X151" s="60">
        <f t="shared" si="47"/>
        <v>-3.7679506046389495</v>
      </c>
      <c r="Y151" s="60">
        <f t="shared" si="47"/>
        <v>-4.3075769507247736</v>
      </c>
      <c r="Z151" s="60">
        <f t="shared" si="47"/>
        <v>-4.9006223170989678</v>
      </c>
      <c r="AA151" s="60">
        <f t="shared" si="47"/>
        <v>-5.5149564053324083</v>
      </c>
      <c r="AB151" s="60">
        <f t="shared" si="47"/>
        <v>-6.4387244211783834</v>
      </c>
    </row>
    <row r="152" spans="1:28" ht="15" customHeight="1">
      <c r="A152" s="459"/>
      <c r="B152" s="10" t="s">
        <v>211</v>
      </c>
      <c r="C152" s="10" t="s">
        <v>65</v>
      </c>
      <c r="D152" s="60">
        <f t="shared" ref="D152:AB152" si="48">D17*D$48*D96</f>
        <v>0</v>
      </c>
      <c r="E152" s="60">
        <f t="shared" si="48"/>
        <v>0</v>
      </c>
      <c r="F152" s="60">
        <f t="shared" si="48"/>
        <v>0</v>
      </c>
      <c r="G152" s="60">
        <f t="shared" si="48"/>
        <v>0.93204284853422059</v>
      </c>
      <c r="H152" s="60">
        <f t="shared" si="48"/>
        <v>2.5131752764327744</v>
      </c>
      <c r="I152" s="60">
        <f t="shared" si="48"/>
        <v>2.7268375437918069</v>
      </c>
      <c r="J152" s="60">
        <f t="shared" si="48"/>
        <v>9.872799809396728</v>
      </c>
      <c r="K152" s="60">
        <f t="shared" si="48"/>
        <v>3.9530174722867151</v>
      </c>
      <c r="L152" s="60">
        <f t="shared" si="48"/>
        <v>0</v>
      </c>
      <c r="M152" s="60">
        <f t="shared" si="48"/>
        <v>0</v>
      </c>
      <c r="N152" s="60">
        <f t="shared" si="48"/>
        <v>0</v>
      </c>
      <c r="O152" s="60">
        <f t="shared" si="48"/>
        <v>0</v>
      </c>
      <c r="P152" s="60">
        <f t="shared" si="48"/>
        <v>7.6877933114072885</v>
      </c>
      <c r="Q152" s="60">
        <f t="shared" si="48"/>
        <v>5.6316221248644904</v>
      </c>
      <c r="R152" s="60">
        <f t="shared" si="48"/>
        <v>2.926431844450688</v>
      </c>
      <c r="S152" s="60">
        <f t="shared" si="48"/>
        <v>8.3885075102793696</v>
      </c>
      <c r="T152" s="60">
        <f t="shared" si="48"/>
        <v>9.4179167197952403</v>
      </c>
      <c r="U152" s="60">
        <f t="shared" si="48"/>
        <v>13.508615422546976</v>
      </c>
      <c r="V152" s="60">
        <f t="shared" si="48"/>
        <v>29.978998810995193</v>
      </c>
      <c r="W152" s="60">
        <f t="shared" si="48"/>
        <v>29.978998810995193</v>
      </c>
      <c r="X152" s="60">
        <f t="shared" si="48"/>
        <v>29.978998810995211</v>
      </c>
      <c r="Y152" s="60">
        <f t="shared" si="48"/>
        <v>17.997260456198852</v>
      </c>
      <c r="Z152" s="60">
        <f t="shared" si="48"/>
        <v>13.204565114280303</v>
      </c>
      <c r="AA152" s="60">
        <f t="shared" si="48"/>
        <v>8.7430142835931672</v>
      </c>
      <c r="AB152" s="60">
        <f t="shared" si="48"/>
        <v>14.907220415658536</v>
      </c>
    </row>
    <row r="153" spans="1:28" ht="15" customHeight="1">
      <c r="A153" s="459"/>
      <c r="B153" s="309" t="s">
        <v>21</v>
      </c>
      <c r="C153" s="309" t="s">
        <v>65</v>
      </c>
      <c r="D153" s="206">
        <f>D15*D$42*D97</f>
        <v>0</v>
      </c>
      <c r="E153" s="206">
        <f t="shared" ref="E153:AB153" si="49">E15*E$42*E97</f>
        <v>0</v>
      </c>
      <c r="F153" s="206">
        <f t="shared" si="49"/>
        <v>0</v>
      </c>
      <c r="G153" s="206">
        <f t="shared" si="49"/>
        <v>0</v>
      </c>
      <c r="H153" s="206">
        <f t="shared" si="49"/>
        <v>0</v>
      </c>
      <c r="I153" s="206">
        <f t="shared" si="49"/>
        <v>0</v>
      </c>
      <c r="J153" s="206">
        <f t="shared" si="49"/>
        <v>0</v>
      </c>
      <c r="K153" s="206">
        <f t="shared" si="49"/>
        <v>0</v>
      </c>
      <c r="L153" s="206">
        <f t="shared" si="49"/>
        <v>0</v>
      </c>
      <c r="M153" s="206">
        <f t="shared" si="49"/>
        <v>0</v>
      </c>
      <c r="N153" s="206">
        <f t="shared" si="49"/>
        <v>0</v>
      </c>
      <c r="O153" s="206">
        <f t="shared" si="49"/>
        <v>0</v>
      </c>
      <c r="P153" s="206">
        <f t="shared" si="49"/>
        <v>0</v>
      </c>
      <c r="Q153" s="206">
        <f t="shared" si="49"/>
        <v>0</v>
      </c>
      <c r="R153" s="206">
        <f t="shared" si="49"/>
        <v>0</v>
      </c>
      <c r="S153" s="206">
        <f t="shared" si="49"/>
        <v>0</v>
      </c>
      <c r="T153" s="206">
        <f t="shared" si="49"/>
        <v>0</v>
      </c>
      <c r="U153" s="206">
        <f t="shared" si="49"/>
        <v>0</v>
      </c>
      <c r="V153" s="206">
        <f t="shared" si="49"/>
        <v>0</v>
      </c>
      <c r="W153" s="206">
        <f t="shared" si="49"/>
        <v>0</v>
      </c>
      <c r="X153" s="206">
        <f t="shared" si="49"/>
        <v>0</v>
      </c>
      <c r="Y153" s="206">
        <f t="shared" si="49"/>
        <v>0</v>
      </c>
      <c r="Z153" s="206">
        <f t="shared" si="49"/>
        <v>0</v>
      </c>
      <c r="AA153" s="206">
        <f t="shared" si="49"/>
        <v>0</v>
      </c>
      <c r="AB153" s="206">
        <f t="shared" si="49"/>
        <v>0</v>
      </c>
    </row>
    <row r="154" spans="1:28" ht="15" customHeight="1">
      <c r="A154" s="459"/>
      <c r="B154" s="309" t="s">
        <v>25</v>
      </c>
      <c r="C154" s="309" t="s">
        <v>65</v>
      </c>
      <c r="D154" s="206">
        <f>D18*D$42*D98</f>
        <v>0</v>
      </c>
      <c r="E154" s="206">
        <f t="shared" ref="E154:AB154" si="50">E18*E$42*E98</f>
        <v>0</v>
      </c>
      <c r="F154" s="206">
        <f t="shared" si="50"/>
        <v>0</v>
      </c>
      <c r="G154" s="206">
        <f t="shared" si="50"/>
        <v>0</v>
      </c>
      <c r="H154" s="206">
        <f t="shared" si="50"/>
        <v>0</v>
      </c>
      <c r="I154" s="206">
        <f t="shared" si="50"/>
        <v>0</v>
      </c>
      <c r="J154" s="206">
        <f t="shared" si="50"/>
        <v>0</v>
      </c>
      <c r="K154" s="206">
        <f t="shared" si="50"/>
        <v>0</v>
      </c>
      <c r="L154" s="206">
        <f t="shared" si="50"/>
        <v>0</v>
      </c>
      <c r="M154" s="206">
        <f t="shared" si="50"/>
        <v>0</v>
      </c>
      <c r="N154" s="206">
        <f t="shared" si="50"/>
        <v>0</v>
      </c>
      <c r="O154" s="206">
        <f t="shared" si="50"/>
        <v>0</v>
      </c>
      <c r="P154" s="206">
        <f t="shared" si="50"/>
        <v>0</v>
      </c>
      <c r="Q154" s="206">
        <f t="shared" si="50"/>
        <v>0</v>
      </c>
      <c r="R154" s="206">
        <f t="shared" si="50"/>
        <v>0</v>
      </c>
      <c r="S154" s="206">
        <f t="shared" si="50"/>
        <v>0</v>
      </c>
      <c r="T154" s="206">
        <f t="shared" si="50"/>
        <v>0</v>
      </c>
      <c r="U154" s="206">
        <f t="shared" si="50"/>
        <v>0</v>
      </c>
      <c r="V154" s="206">
        <f t="shared" si="50"/>
        <v>0</v>
      </c>
      <c r="W154" s="206">
        <f t="shared" si="50"/>
        <v>0</v>
      </c>
      <c r="X154" s="206">
        <f t="shared" si="50"/>
        <v>0</v>
      </c>
      <c r="Y154" s="206">
        <f t="shared" si="50"/>
        <v>0</v>
      </c>
      <c r="Z154" s="206">
        <f t="shared" si="50"/>
        <v>0</v>
      </c>
      <c r="AA154" s="206">
        <f t="shared" si="50"/>
        <v>0</v>
      </c>
      <c r="AB154" s="206">
        <f t="shared" si="50"/>
        <v>0</v>
      </c>
    </row>
    <row r="155" spans="1:28" ht="15" customHeight="1">
      <c r="A155" s="459"/>
      <c r="B155" s="309" t="s">
        <v>26</v>
      </c>
      <c r="C155" s="309" t="s">
        <v>65</v>
      </c>
      <c r="D155" s="206">
        <f t="shared" ref="D155:AB155" si="51">D19*D$47*D99</f>
        <v>0</v>
      </c>
      <c r="E155" s="206">
        <f t="shared" si="51"/>
        <v>0</v>
      </c>
      <c r="F155" s="206">
        <f t="shared" si="51"/>
        <v>0</v>
      </c>
      <c r="G155" s="206">
        <f t="shared" si="51"/>
        <v>0</v>
      </c>
      <c r="H155" s="206">
        <f t="shared" si="51"/>
        <v>0</v>
      </c>
      <c r="I155" s="206">
        <f t="shared" si="51"/>
        <v>0</v>
      </c>
      <c r="J155" s="206">
        <f t="shared" si="51"/>
        <v>0</v>
      </c>
      <c r="K155" s="206">
        <f t="shared" si="51"/>
        <v>0</v>
      </c>
      <c r="L155" s="206">
        <f t="shared" si="51"/>
        <v>0</v>
      </c>
      <c r="M155" s="206">
        <f t="shared" si="51"/>
        <v>0</v>
      </c>
      <c r="N155" s="206">
        <f t="shared" si="51"/>
        <v>0</v>
      </c>
      <c r="O155" s="206">
        <f t="shared" si="51"/>
        <v>0</v>
      </c>
      <c r="P155" s="206">
        <f t="shared" si="51"/>
        <v>0</v>
      </c>
      <c r="Q155" s="206">
        <f t="shared" si="51"/>
        <v>0</v>
      </c>
      <c r="R155" s="206">
        <f t="shared" si="51"/>
        <v>0</v>
      </c>
      <c r="S155" s="206">
        <f t="shared" si="51"/>
        <v>0</v>
      </c>
      <c r="T155" s="206">
        <f t="shared" si="51"/>
        <v>0</v>
      </c>
      <c r="U155" s="206">
        <f t="shared" si="51"/>
        <v>0</v>
      </c>
      <c r="V155" s="206">
        <f t="shared" si="51"/>
        <v>0</v>
      </c>
      <c r="W155" s="206">
        <f t="shared" si="51"/>
        <v>0</v>
      </c>
      <c r="X155" s="206">
        <f t="shared" si="51"/>
        <v>0</v>
      </c>
      <c r="Y155" s="206">
        <f t="shared" si="51"/>
        <v>0</v>
      </c>
      <c r="Z155" s="206">
        <f t="shared" si="51"/>
        <v>0</v>
      </c>
      <c r="AA155" s="206">
        <f t="shared" si="51"/>
        <v>0</v>
      </c>
      <c r="AB155" s="206">
        <f t="shared" si="51"/>
        <v>0</v>
      </c>
    </row>
    <row r="156" spans="1:28" s="171" customFormat="1" ht="15" customHeight="1">
      <c r="A156" s="459"/>
      <c r="B156" s="309" t="s">
        <v>14</v>
      </c>
      <c r="C156" s="299" t="s">
        <v>65</v>
      </c>
      <c r="D156" s="206">
        <f t="shared" ref="D156:AB156" si="52">D20*D100*D44</f>
        <v>0</v>
      </c>
      <c r="E156" s="206">
        <f t="shared" si="52"/>
        <v>0</v>
      </c>
      <c r="F156" s="206">
        <f t="shared" si="52"/>
        <v>0</v>
      </c>
      <c r="G156" s="206">
        <f t="shared" si="52"/>
        <v>0</v>
      </c>
      <c r="H156" s="206">
        <f t="shared" si="52"/>
        <v>0</v>
      </c>
      <c r="I156" s="206">
        <f t="shared" si="52"/>
        <v>0</v>
      </c>
      <c r="J156" s="206">
        <f t="shared" si="52"/>
        <v>0</v>
      </c>
      <c r="K156" s="206">
        <f t="shared" si="52"/>
        <v>0</v>
      </c>
      <c r="L156" s="211">
        <f t="shared" si="52"/>
        <v>0</v>
      </c>
      <c r="M156" s="206">
        <f t="shared" si="52"/>
        <v>0</v>
      </c>
      <c r="N156" s="206">
        <f t="shared" si="52"/>
        <v>0</v>
      </c>
      <c r="O156" s="206">
        <f t="shared" si="52"/>
        <v>0</v>
      </c>
      <c r="P156" s="206">
        <f t="shared" si="52"/>
        <v>0</v>
      </c>
      <c r="Q156" s="206">
        <f t="shared" si="52"/>
        <v>0</v>
      </c>
      <c r="R156" s="206">
        <f t="shared" si="52"/>
        <v>0</v>
      </c>
      <c r="S156" s="206">
        <f t="shared" si="52"/>
        <v>0</v>
      </c>
      <c r="T156" s="206">
        <f t="shared" si="52"/>
        <v>0</v>
      </c>
      <c r="U156" s="211">
        <f t="shared" si="52"/>
        <v>0</v>
      </c>
      <c r="V156" s="206">
        <f t="shared" si="52"/>
        <v>0</v>
      </c>
      <c r="W156" s="206">
        <f t="shared" si="52"/>
        <v>0</v>
      </c>
      <c r="X156" s="206">
        <f t="shared" si="52"/>
        <v>0</v>
      </c>
      <c r="Y156" s="206">
        <f t="shared" si="52"/>
        <v>0</v>
      </c>
      <c r="Z156" s="206">
        <f t="shared" si="52"/>
        <v>0</v>
      </c>
      <c r="AA156" s="206">
        <f t="shared" si="52"/>
        <v>0</v>
      </c>
      <c r="AB156" s="206">
        <f t="shared" si="52"/>
        <v>0</v>
      </c>
    </row>
    <row r="157" spans="1:28" ht="15" customHeight="1">
      <c r="A157" s="459"/>
      <c r="B157" s="10" t="s">
        <v>214</v>
      </c>
      <c r="C157" s="10" t="s">
        <v>65</v>
      </c>
      <c r="D157" s="60">
        <f t="shared" ref="D157:AB157" si="53">D21*D$48*D101</f>
        <v>0</v>
      </c>
      <c r="E157" s="60">
        <f t="shared" si="53"/>
        <v>0</v>
      </c>
      <c r="F157" s="60">
        <f t="shared" si="53"/>
        <v>0</v>
      </c>
      <c r="G157" s="60">
        <f t="shared" si="53"/>
        <v>1.0264988406023622E-15</v>
      </c>
      <c r="H157" s="60">
        <f t="shared" si="53"/>
        <v>0</v>
      </c>
      <c r="I157" s="60">
        <f t="shared" si="53"/>
        <v>0</v>
      </c>
      <c r="J157" s="60">
        <f t="shared" si="53"/>
        <v>0</v>
      </c>
      <c r="K157" s="60">
        <f t="shared" si="53"/>
        <v>0</v>
      </c>
      <c r="L157" s="60">
        <f t="shared" si="53"/>
        <v>0</v>
      </c>
      <c r="M157" s="60">
        <f t="shared" si="53"/>
        <v>0</v>
      </c>
      <c r="N157" s="60">
        <f t="shared" si="53"/>
        <v>0</v>
      </c>
      <c r="O157" s="60">
        <f t="shared" si="53"/>
        <v>0</v>
      </c>
      <c r="P157" s="60">
        <f t="shared" si="53"/>
        <v>0</v>
      </c>
      <c r="Q157" s="60">
        <f t="shared" si="53"/>
        <v>0</v>
      </c>
      <c r="R157" s="60">
        <f t="shared" si="53"/>
        <v>0</v>
      </c>
      <c r="S157" s="60">
        <f t="shared" si="53"/>
        <v>0</v>
      </c>
      <c r="T157" s="60">
        <f t="shared" si="53"/>
        <v>0</v>
      </c>
      <c r="U157" s="60">
        <f t="shared" si="53"/>
        <v>0</v>
      </c>
      <c r="V157" s="60">
        <f t="shared" si="53"/>
        <v>12.900436874141283</v>
      </c>
      <c r="W157" s="60">
        <f t="shared" si="53"/>
        <v>7.7402621244847687</v>
      </c>
      <c r="X157" s="60">
        <f t="shared" si="53"/>
        <v>4.6443422269171242</v>
      </c>
      <c r="Y157" s="60">
        <f t="shared" si="53"/>
        <v>0</v>
      </c>
      <c r="Z157" s="60">
        <f t="shared" si="53"/>
        <v>0</v>
      </c>
      <c r="AA157" s="60">
        <f t="shared" si="53"/>
        <v>0</v>
      </c>
      <c r="AB157" s="60">
        <f t="shared" si="53"/>
        <v>0</v>
      </c>
    </row>
    <row r="158" spans="1:28" s="171" customFormat="1" ht="15" customHeight="1">
      <c r="A158" s="459"/>
      <c r="B158" s="309" t="s">
        <v>108</v>
      </c>
      <c r="C158" s="299" t="s">
        <v>65</v>
      </c>
      <c r="D158" s="206">
        <f t="shared" ref="D158:AB158" si="54">D22*D102*D45</f>
        <v>0</v>
      </c>
      <c r="E158" s="206">
        <f t="shared" si="54"/>
        <v>0</v>
      </c>
      <c r="F158" s="206">
        <f t="shared" si="54"/>
        <v>0</v>
      </c>
      <c r="G158" s="206">
        <f t="shared" si="54"/>
        <v>0</v>
      </c>
      <c r="H158" s="206">
        <f t="shared" si="54"/>
        <v>0</v>
      </c>
      <c r="I158" s="206">
        <f t="shared" si="54"/>
        <v>0</v>
      </c>
      <c r="J158" s="206">
        <f t="shared" si="54"/>
        <v>0</v>
      </c>
      <c r="K158" s="206">
        <f t="shared" si="54"/>
        <v>0</v>
      </c>
      <c r="L158" s="211">
        <f t="shared" si="54"/>
        <v>0</v>
      </c>
      <c r="M158" s="206">
        <f t="shared" si="54"/>
        <v>0</v>
      </c>
      <c r="N158" s="206">
        <f t="shared" si="54"/>
        <v>0</v>
      </c>
      <c r="O158" s="206">
        <f t="shared" si="54"/>
        <v>0</v>
      </c>
      <c r="P158" s="206">
        <f t="shared" si="54"/>
        <v>0</v>
      </c>
      <c r="Q158" s="206">
        <f t="shared" si="54"/>
        <v>0</v>
      </c>
      <c r="R158" s="206">
        <f t="shared" si="54"/>
        <v>0</v>
      </c>
      <c r="S158" s="206">
        <f t="shared" si="54"/>
        <v>0</v>
      </c>
      <c r="T158" s="206">
        <f t="shared" si="54"/>
        <v>0</v>
      </c>
      <c r="U158" s="211">
        <f t="shared" si="54"/>
        <v>0</v>
      </c>
      <c r="V158" s="206">
        <f t="shared" si="54"/>
        <v>0</v>
      </c>
      <c r="W158" s="206">
        <f t="shared" si="54"/>
        <v>0</v>
      </c>
      <c r="X158" s="206">
        <f t="shared" si="54"/>
        <v>0</v>
      </c>
      <c r="Y158" s="206">
        <f t="shared" si="54"/>
        <v>0</v>
      </c>
      <c r="Z158" s="206">
        <f t="shared" si="54"/>
        <v>0</v>
      </c>
      <c r="AA158" s="206">
        <f t="shared" si="54"/>
        <v>0</v>
      </c>
      <c r="AB158" s="206">
        <f t="shared" si="54"/>
        <v>0</v>
      </c>
    </row>
    <row r="159" spans="1:28" ht="15" customHeight="1">
      <c r="A159" s="459"/>
      <c r="B159" s="10" t="s">
        <v>122</v>
      </c>
      <c r="C159" s="10" t="s">
        <v>65</v>
      </c>
      <c r="D159" s="159">
        <f t="shared" ref="D159:AB159" si="55">D23*D103*D46</f>
        <v>0</v>
      </c>
      <c r="E159" s="159">
        <f t="shared" si="55"/>
        <v>0</v>
      </c>
      <c r="F159" s="159">
        <f t="shared" si="55"/>
        <v>0</v>
      </c>
      <c r="G159" s="159">
        <f t="shared" si="55"/>
        <v>0</v>
      </c>
      <c r="H159" s="159">
        <f t="shared" si="55"/>
        <v>1.9576991048693163E-2</v>
      </c>
      <c r="I159" s="159">
        <f t="shared" si="55"/>
        <v>0.19385079630745863</v>
      </c>
      <c r="J159" s="159">
        <f t="shared" si="55"/>
        <v>0.36580307543647583</v>
      </c>
      <c r="K159" s="159">
        <f t="shared" si="55"/>
        <v>0.50045769426406439</v>
      </c>
      <c r="L159" s="160">
        <f t="shared" si="55"/>
        <v>0.62246653237697969</v>
      </c>
      <c r="M159" s="159">
        <f t="shared" si="55"/>
        <v>0.73648293681134491</v>
      </c>
      <c r="N159" s="159">
        <f t="shared" si="55"/>
        <v>0.84558965275794662</v>
      </c>
      <c r="O159" s="159">
        <f t="shared" si="55"/>
        <v>0.95187654061579341</v>
      </c>
      <c r="P159" s="159">
        <f t="shared" si="55"/>
        <v>1.0693685613709896</v>
      </c>
      <c r="Q159" s="159">
        <f t="shared" si="55"/>
        <v>1.1693805582243955</v>
      </c>
      <c r="R159" s="159">
        <f t="shared" si="55"/>
        <v>1.2710165011135111</v>
      </c>
      <c r="S159" s="159">
        <f t="shared" si="55"/>
        <v>1.3741295170183947</v>
      </c>
      <c r="T159" s="159">
        <f t="shared" si="55"/>
        <v>1.4785674511441143</v>
      </c>
      <c r="U159" s="160">
        <f t="shared" si="55"/>
        <v>1.5086150251682253</v>
      </c>
      <c r="V159" s="159">
        <f t="shared" si="55"/>
        <v>1.5454837897095901</v>
      </c>
      <c r="W159" s="159">
        <f t="shared" si="55"/>
        <v>1.6243066325336371</v>
      </c>
      <c r="X159" s="159">
        <f t="shared" si="55"/>
        <v>1.737382516746363</v>
      </c>
      <c r="Y159" s="159">
        <f t="shared" si="55"/>
        <v>1.8096229587144781</v>
      </c>
      <c r="Z159" s="159">
        <f t="shared" si="55"/>
        <v>1.8923783322040195</v>
      </c>
      <c r="AA159" s="159">
        <f t="shared" si="55"/>
        <v>1.9766011286415002</v>
      </c>
      <c r="AB159" s="159">
        <f t="shared" si="55"/>
        <v>2.0886542848530043</v>
      </c>
    </row>
    <row r="160" spans="1:28" s="171" customFormat="1" ht="15" customHeight="1">
      <c r="A160" s="459"/>
      <c r="B160" s="313" t="s">
        <v>123</v>
      </c>
      <c r="C160" s="309" t="s">
        <v>65</v>
      </c>
      <c r="D160" s="206">
        <f t="shared" ref="D160:AB160" si="56">D24*D104*D47</f>
        <v>0</v>
      </c>
      <c r="E160" s="206">
        <f t="shared" si="56"/>
        <v>0</v>
      </c>
      <c r="F160" s="206">
        <f t="shared" si="56"/>
        <v>0</v>
      </c>
      <c r="G160" s="206">
        <f t="shared" si="56"/>
        <v>0</v>
      </c>
      <c r="H160" s="206">
        <f t="shared" si="56"/>
        <v>0</v>
      </c>
      <c r="I160" s="206">
        <f t="shared" si="56"/>
        <v>0</v>
      </c>
      <c r="J160" s="206">
        <f t="shared" si="56"/>
        <v>0</v>
      </c>
      <c r="K160" s="206">
        <f t="shared" si="56"/>
        <v>0</v>
      </c>
      <c r="L160" s="211">
        <f t="shared" si="56"/>
        <v>0</v>
      </c>
      <c r="M160" s="206">
        <f t="shared" si="56"/>
        <v>0</v>
      </c>
      <c r="N160" s="206">
        <f t="shared" si="56"/>
        <v>0</v>
      </c>
      <c r="O160" s="206">
        <f t="shared" si="56"/>
        <v>0</v>
      </c>
      <c r="P160" s="206">
        <f t="shared" si="56"/>
        <v>0</v>
      </c>
      <c r="Q160" s="206">
        <f t="shared" si="56"/>
        <v>0</v>
      </c>
      <c r="R160" s="206">
        <f t="shared" si="56"/>
        <v>0</v>
      </c>
      <c r="S160" s="206">
        <f t="shared" si="56"/>
        <v>0</v>
      </c>
      <c r="T160" s="206">
        <f t="shared" si="56"/>
        <v>0</v>
      </c>
      <c r="U160" s="211">
        <f t="shared" si="56"/>
        <v>0</v>
      </c>
      <c r="V160" s="206">
        <f t="shared" si="56"/>
        <v>0</v>
      </c>
      <c r="W160" s="206">
        <f t="shared" si="56"/>
        <v>0</v>
      </c>
      <c r="X160" s="206">
        <f t="shared" si="56"/>
        <v>0</v>
      </c>
      <c r="Y160" s="206">
        <f t="shared" si="56"/>
        <v>0</v>
      </c>
      <c r="Z160" s="206">
        <f t="shared" si="56"/>
        <v>0</v>
      </c>
      <c r="AA160" s="206">
        <f t="shared" si="56"/>
        <v>0</v>
      </c>
      <c r="AB160" s="206">
        <f t="shared" si="56"/>
        <v>0</v>
      </c>
    </row>
    <row r="161" spans="1:56" ht="15" customHeight="1">
      <c r="A161" s="459"/>
      <c r="B161" s="147" t="s">
        <v>124</v>
      </c>
      <c r="C161" s="10" t="s">
        <v>65</v>
      </c>
      <c r="D161" s="159">
        <f t="shared" ref="D161:AB161" si="57">D25*D48*D105</f>
        <v>0</v>
      </c>
      <c r="E161" s="159">
        <f t="shared" si="57"/>
        <v>0</v>
      </c>
      <c r="F161" s="159">
        <f t="shared" si="57"/>
        <v>0</v>
      </c>
      <c r="G161" s="159">
        <f t="shared" si="57"/>
        <v>16.000134791025427</v>
      </c>
      <c r="H161" s="159">
        <f t="shared" si="57"/>
        <v>28.411555503963392</v>
      </c>
      <c r="I161" s="159">
        <f t="shared" si="57"/>
        <v>8.9607749533203052</v>
      </c>
      <c r="J161" s="159">
        <f t="shared" si="57"/>
        <v>10.071657872235383</v>
      </c>
      <c r="K161" s="159">
        <f t="shared" si="57"/>
        <v>4.0326392018955852</v>
      </c>
      <c r="L161" s="159">
        <f t="shared" si="57"/>
        <v>0</v>
      </c>
      <c r="M161" s="159">
        <f t="shared" si="57"/>
        <v>0</v>
      </c>
      <c r="N161" s="159">
        <f t="shared" si="57"/>
        <v>0</v>
      </c>
      <c r="O161" s="159">
        <f t="shared" si="57"/>
        <v>0</v>
      </c>
      <c r="P161" s="159">
        <f t="shared" si="57"/>
        <v>0</v>
      </c>
      <c r="Q161" s="159">
        <f t="shared" si="57"/>
        <v>0</v>
      </c>
      <c r="R161" s="159">
        <f t="shared" si="57"/>
        <v>0</v>
      </c>
      <c r="S161" s="159">
        <f t="shared" si="57"/>
        <v>0</v>
      </c>
      <c r="T161" s="159">
        <f t="shared" si="57"/>
        <v>0</v>
      </c>
      <c r="U161" s="159">
        <f t="shared" si="57"/>
        <v>0</v>
      </c>
      <c r="V161" s="159">
        <f t="shared" si="57"/>
        <v>0</v>
      </c>
      <c r="W161" s="159">
        <f t="shared" si="57"/>
        <v>0</v>
      </c>
      <c r="X161" s="159">
        <f t="shared" si="57"/>
        <v>0</v>
      </c>
      <c r="Y161" s="159">
        <f t="shared" si="57"/>
        <v>0</v>
      </c>
      <c r="Z161" s="159">
        <f t="shared" si="57"/>
        <v>0</v>
      </c>
      <c r="AA161" s="159">
        <f t="shared" si="57"/>
        <v>0</v>
      </c>
      <c r="AB161" s="159">
        <f t="shared" si="57"/>
        <v>0</v>
      </c>
    </row>
    <row r="162" spans="1:56" s="275" customFormat="1" ht="15.75" customHeight="1">
      <c r="A162" s="459"/>
      <c r="B162" s="307" t="s">
        <v>127</v>
      </c>
      <c r="C162" s="299" t="s">
        <v>65</v>
      </c>
      <c r="D162" s="277">
        <f t="shared" ref="D162:AB162" si="58">D26*D106*D50*1000000/907185</f>
        <v>0</v>
      </c>
      <c r="E162" s="277">
        <f t="shared" si="58"/>
        <v>0</v>
      </c>
      <c r="F162" s="277">
        <f t="shared" si="58"/>
        <v>0</v>
      </c>
      <c r="G162" s="277">
        <f t="shared" si="58"/>
        <v>0</v>
      </c>
      <c r="H162" s="277">
        <f t="shared" si="58"/>
        <v>0</v>
      </c>
      <c r="I162" s="277">
        <f t="shared" si="58"/>
        <v>0</v>
      </c>
      <c r="J162" s="277">
        <f t="shared" si="58"/>
        <v>0</v>
      </c>
      <c r="K162" s="277">
        <f t="shared" si="58"/>
        <v>0</v>
      </c>
      <c r="L162" s="278">
        <f t="shared" si="58"/>
        <v>0</v>
      </c>
      <c r="M162" s="277">
        <f t="shared" si="58"/>
        <v>0</v>
      </c>
      <c r="N162" s="277">
        <f t="shared" si="58"/>
        <v>0</v>
      </c>
      <c r="O162" s="277">
        <f t="shared" si="58"/>
        <v>0</v>
      </c>
      <c r="P162" s="277">
        <f t="shared" si="58"/>
        <v>0</v>
      </c>
      <c r="Q162" s="277">
        <f t="shared" si="58"/>
        <v>0</v>
      </c>
      <c r="R162" s="277">
        <f t="shared" si="58"/>
        <v>0</v>
      </c>
      <c r="S162" s="277">
        <f t="shared" si="58"/>
        <v>0</v>
      </c>
      <c r="T162" s="277">
        <f t="shared" si="58"/>
        <v>0</v>
      </c>
      <c r="U162" s="278">
        <f t="shared" si="58"/>
        <v>0</v>
      </c>
      <c r="V162" s="277">
        <f t="shared" si="58"/>
        <v>0</v>
      </c>
      <c r="W162" s="277">
        <f t="shared" si="58"/>
        <v>0</v>
      </c>
      <c r="X162" s="277">
        <f t="shared" si="58"/>
        <v>0</v>
      </c>
      <c r="Y162" s="277">
        <f t="shared" si="58"/>
        <v>0</v>
      </c>
      <c r="Z162" s="277">
        <f t="shared" si="58"/>
        <v>0</v>
      </c>
      <c r="AA162" s="277">
        <f t="shared" si="58"/>
        <v>0</v>
      </c>
      <c r="AB162" s="277">
        <f t="shared" si="58"/>
        <v>0</v>
      </c>
    </row>
    <row r="163" spans="1:56" ht="15.75" thickBot="1">
      <c r="A163" s="465"/>
      <c r="B163" s="54" t="s">
        <v>243</v>
      </c>
      <c r="C163" s="52" t="s">
        <v>65</v>
      </c>
      <c r="D163" s="93">
        <f t="shared" ref="D163:AB163" si="59">SUM(D138:D162)</f>
        <v>0</v>
      </c>
      <c r="E163" s="93">
        <f t="shared" si="59"/>
        <v>0</v>
      </c>
      <c r="F163" s="93">
        <f t="shared" si="59"/>
        <v>0</v>
      </c>
      <c r="G163" s="93">
        <f t="shared" si="59"/>
        <v>44.130085746507874</v>
      </c>
      <c r="H163" s="93">
        <f t="shared" si="59"/>
        <v>50.048064849795267</v>
      </c>
      <c r="I163" s="93">
        <f t="shared" si="59"/>
        <v>21.686980133775911</v>
      </c>
      <c r="J163" s="93">
        <f t="shared" si="59"/>
        <v>35.604539962115425</v>
      </c>
      <c r="K163" s="93">
        <f t="shared" si="59"/>
        <v>13.379427255391619</v>
      </c>
      <c r="L163" s="94">
        <f t="shared" si="59"/>
        <v>5.9509318688295361</v>
      </c>
      <c r="M163" s="93">
        <f t="shared" si="59"/>
        <v>6.2852286414016483</v>
      </c>
      <c r="N163" s="93">
        <f t="shared" si="59"/>
        <v>6.4858067049449186</v>
      </c>
      <c r="O163" s="93">
        <f t="shared" si="59"/>
        <v>7.1414477549185458</v>
      </c>
      <c r="P163" s="93">
        <f t="shared" si="59"/>
        <v>14.474467111667117</v>
      </c>
      <c r="Q163" s="93">
        <f t="shared" si="59"/>
        <v>19.333152072587598</v>
      </c>
      <c r="R163" s="93">
        <f t="shared" si="59"/>
        <v>18.759039894170325</v>
      </c>
      <c r="S163" s="93">
        <f t="shared" si="59"/>
        <v>34.723355724330347</v>
      </c>
      <c r="T163" s="93">
        <f t="shared" si="59"/>
        <v>33.221894244330954</v>
      </c>
      <c r="U163" s="94">
        <f t="shared" si="59"/>
        <v>38.519200854647977</v>
      </c>
      <c r="V163" s="93">
        <f t="shared" si="59"/>
        <v>47.353614518282519</v>
      </c>
      <c r="W163" s="93">
        <f t="shared" si="59"/>
        <v>44.968962708036365</v>
      </c>
      <c r="X163" s="93">
        <f t="shared" si="59"/>
        <v>43.629845704798512</v>
      </c>
      <c r="Y163" s="93">
        <f t="shared" si="59"/>
        <v>43.099334995798721</v>
      </c>
      <c r="Z163" s="93">
        <f t="shared" si="59"/>
        <v>35.554893463022509</v>
      </c>
      <c r="AA163" s="93">
        <f t="shared" si="59"/>
        <v>31.295729271713977</v>
      </c>
      <c r="AB163" s="93">
        <f t="shared" si="59"/>
        <v>27.442410978204716</v>
      </c>
      <c r="AC163" s="60">
        <f>SUM(D163:AB163)</f>
        <v>623.08841445927249</v>
      </c>
    </row>
    <row r="164" spans="1:56">
      <c r="H164" s="60"/>
      <c r="I164" s="60"/>
      <c r="J164" s="60"/>
      <c r="K164" s="60"/>
    </row>
    <row r="165" spans="1:56" ht="19.5" thickBot="1">
      <c r="D165" s="468" t="s">
        <v>245</v>
      </c>
      <c r="E165" s="468"/>
      <c r="F165" s="468"/>
      <c r="G165" s="468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  <c r="S165" s="468"/>
      <c r="T165" s="468"/>
      <c r="U165" s="468"/>
      <c r="V165" s="468"/>
      <c r="W165" s="468"/>
      <c r="X165" s="468"/>
      <c r="Y165" s="468"/>
      <c r="Z165" s="468"/>
      <c r="AA165" s="468"/>
      <c r="AB165" s="468"/>
      <c r="AC165" s="144"/>
      <c r="AD165" s="468" t="s">
        <v>246</v>
      </c>
      <c r="AE165" s="468"/>
      <c r="AF165" s="468"/>
      <c r="AG165" s="468"/>
      <c r="AH165" s="468"/>
      <c r="AI165" s="468"/>
      <c r="AJ165" s="468"/>
      <c r="AK165" s="468"/>
      <c r="AL165" s="468"/>
      <c r="AM165" s="468"/>
      <c r="AN165" s="468"/>
      <c r="AO165" s="468"/>
      <c r="AP165" s="468"/>
      <c r="AQ165" s="468"/>
      <c r="AR165" s="468"/>
      <c r="AS165" s="468"/>
      <c r="AT165" s="468"/>
      <c r="AU165" s="468"/>
      <c r="AV165" s="468"/>
      <c r="AW165" s="468"/>
      <c r="AX165" s="468"/>
      <c r="AY165" s="468"/>
      <c r="AZ165" s="468"/>
      <c r="BA165" s="468"/>
      <c r="BB165" s="468"/>
    </row>
    <row r="166" spans="1:56" ht="15" customHeight="1">
      <c r="A166" s="463" t="s">
        <v>247</v>
      </c>
      <c r="B166" s="78" t="s">
        <v>248</v>
      </c>
      <c r="C166" s="103" t="s">
        <v>1</v>
      </c>
      <c r="D166" s="83">
        <v>2022</v>
      </c>
      <c r="E166" s="83">
        <v>2023</v>
      </c>
      <c r="F166" s="83">
        <v>2024</v>
      </c>
      <c r="G166" s="83">
        <v>2025</v>
      </c>
      <c r="H166" s="83">
        <v>2026</v>
      </c>
      <c r="I166" s="83">
        <v>2027</v>
      </c>
      <c r="J166" s="83">
        <v>2028</v>
      </c>
      <c r="K166" s="83">
        <v>2029</v>
      </c>
      <c r="L166" s="84">
        <v>2030</v>
      </c>
      <c r="M166" s="217">
        <v>2031</v>
      </c>
      <c r="N166" s="217">
        <v>2032</v>
      </c>
      <c r="O166" s="217">
        <v>2033</v>
      </c>
      <c r="P166" s="217">
        <v>2034</v>
      </c>
      <c r="Q166" s="217">
        <v>2035</v>
      </c>
      <c r="R166" s="217">
        <v>2036</v>
      </c>
      <c r="S166" s="217">
        <v>2037</v>
      </c>
      <c r="T166" s="217">
        <v>2038</v>
      </c>
      <c r="U166" s="218">
        <v>2039</v>
      </c>
      <c r="V166" s="217">
        <v>2040</v>
      </c>
      <c r="W166" s="217">
        <v>2041</v>
      </c>
      <c r="X166" s="217">
        <v>2042</v>
      </c>
      <c r="Y166" s="217">
        <v>2043</v>
      </c>
      <c r="Z166" s="217">
        <v>2044</v>
      </c>
      <c r="AA166" s="217">
        <v>2045</v>
      </c>
      <c r="AB166" s="218">
        <v>2046</v>
      </c>
      <c r="AD166" s="83">
        <v>2022</v>
      </c>
      <c r="AE166" s="83">
        <v>2023</v>
      </c>
      <c r="AF166" s="83">
        <v>2024</v>
      </c>
      <c r="AG166" s="83">
        <v>2025</v>
      </c>
      <c r="AH166" s="83">
        <v>2026</v>
      </c>
      <c r="AI166" s="83">
        <v>2027</v>
      </c>
      <c r="AJ166" s="83">
        <v>2028</v>
      </c>
      <c r="AK166" s="83">
        <v>2029</v>
      </c>
      <c r="AL166" s="84">
        <v>2030</v>
      </c>
      <c r="AM166" s="83">
        <v>2031</v>
      </c>
      <c r="AN166" s="83">
        <v>2032</v>
      </c>
      <c r="AO166" s="83">
        <v>2033</v>
      </c>
      <c r="AP166" s="83">
        <v>2034</v>
      </c>
      <c r="AQ166" s="83">
        <v>2035</v>
      </c>
      <c r="AR166" s="83">
        <v>2036</v>
      </c>
      <c r="AS166" s="83">
        <v>2037</v>
      </c>
      <c r="AT166" s="83">
        <v>2038</v>
      </c>
      <c r="AU166" s="84">
        <v>2039</v>
      </c>
      <c r="AV166" s="83">
        <v>2040</v>
      </c>
      <c r="AW166" s="83">
        <v>2041</v>
      </c>
      <c r="AX166" s="83">
        <v>2042</v>
      </c>
      <c r="AY166" s="83">
        <v>2043</v>
      </c>
      <c r="AZ166" s="83">
        <v>2044</v>
      </c>
      <c r="BA166" s="83">
        <v>2045</v>
      </c>
      <c r="BB166" s="83">
        <v>2046</v>
      </c>
    </row>
    <row r="167" spans="1:56" ht="15" customHeight="1">
      <c r="A167" s="464"/>
      <c r="B167" s="2" t="s">
        <v>249</v>
      </c>
      <c r="C167" s="95" t="s">
        <v>65</v>
      </c>
      <c r="D167" s="104">
        <f>(D$133+D$114+D$119+D$124+D$129)*'Dairy NOx by AB'!$B2</f>
        <v>0</v>
      </c>
      <c r="E167" s="104">
        <f>(E$133+E$114+E$119+E$124+E$129)*'Dairy NOx by AB'!$B2</f>
        <v>0</v>
      </c>
      <c r="F167" s="104">
        <f>(F$133+F$114+F$119+F$124+F$129)*'Dairy NOx by AB'!$B2</f>
        <v>0</v>
      </c>
      <c r="G167" s="104">
        <f>(G$133+G$114+G$119+G$124+G$129)*'Dairy NOx by AB'!$B2</f>
        <v>0</v>
      </c>
      <c r="H167" s="104">
        <f>(H$133+H$114+H$119+H$124+H$129)*'Dairy NOx by AB'!$B2</f>
        <v>0</v>
      </c>
      <c r="I167" s="104">
        <f>(I$133+I$114+I$119+I$124+I$129)*'Dairy NOx by AB'!$B2</f>
        <v>0</v>
      </c>
      <c r="J167" s="104">
        <f>(J$133+J$114+J$119+J$124+J$129)*'Dairy NOx by AB'!$B2</f>
        <v>0</v>
      </c>
      <c r="K167" s="104">
        <f>(K$133+K$114+K$119+K$124+K$129)*'Dairy NOx by AB'!$B2</f>
        <v>0</v>
      </c>
      <c r="L167" s="104">
        <f>(L$133+L$114+L$119+L$124+L$129)*'Dairy NOx by AB'!$B2</f>
        <v>0</v>
      </c>
      <c r="M167" s="104">
        <f>(M$133+M$114+M$119+M$124+M$129)*'Dairy NOx by AB'!$B2</f>
        <v>0</v>
      </c>
      <c r="N167" s="104">
        <f>(N$133+N$114+N$119+N$124+N$129)*'Dairy NOx by AB'!$B2</f>
        <v>0</v>
      </c>
      <c r="O167" s="104">
        <f>(O$133+O$114+O$119+O$124+O$129)*'Dairy NOx by AB'!$B2</f>
        <v>0</v>
      </c>
      <c r="P167" s="104">
        <f>(P$133+P$114+P$119+P$124+P$129)*'Dairy NOx by AB'!$B2</f>
        <v>0</v>
      </c>
      <c r="Q167" s="104">
        <f>(Q$133+Q$114+Q$119+Q$124+Q$129)*'Dairy NOx by AB'!$B2</f>
        <v>0</v>
      </c>
      <c r="R167" s="104">
        <f>(R$133+R$114+R$119+R$124+R$129)*'Dairy NOx by AB'!$B2</f>
        <v>0</v>
      </c>
      <c r="S167" s="104">
        <f>(S$133+S$114+S$119+S$124+S$129)*'Dairy NOx by AB'!$B2</f>
        <v>0</v>
      </c>
      <c r="T167" s="104">
        <f>(T$133+T$114+T$119+T$124+T$129)*'Dairy NOx by AB'!$B2</f>
        <v>0</v>
      </c>
      <c r="U167" s="104">
        <f>(U$133+U$114+U$119+U$124+U$129)*'Dairy NOx by AB'!$B2</f>
        <v>0</v>
      </c>
      <c r="V167" s="104">
        <f>(V$133+V$114+V$119+V$124+V$129)*'Dairy NOx by AB'!$B2</f>
        <v>0</v>
      </c>
      <c r="W167" s="104">
        <f>(W$133+W$114+W$119+W$124+W$129)*'Dairy NOx by AB'!$B2</f>
        <v>0</v>
      </c>
      <c r="X167" s="104">
        <f>(X$133+X$114+X$119+X$124+X$129)*'Dairy NOx by AB'!$B2</f>
        <v>0</v>
      </c>
      <c r="Y167" s="104">
        <f>(Y$133+Y$114+Y$119+Y$124+Y$129)*'Dairy NOx by AB'!$B2</f>
        <v>0</v>
      </c>
      <c r="Z167" s="104">
        <f>(Z$133+Z$114+Z$119+Z$124+Z$129)*'Dairy NOx by AB'!$B2</f>
        <v>0</v>
      </c>
      <c r="AA167" s="104">
        <f>(AA$133+AA$114+AA$119+AA$124+AA$129)*'Dairy NOx by AB'!$B2</f>
        <v>0</v>
      </c>
      <c r="AB167" s="175">
        <f>(AB$133+AB$114+AB$119+AB$124+AB$129)*'Dairy NOx by AB'!$B2</f>
        <v>0</v>
      </c>
      <c r="AD167" s="232">
        <f>(D$142+D$161+D$147+D$152+D$157)*'Dairy NOx by AB'!$B2</f>
        <v>0</v>
      </c>
      <c r="AE167" s="232">
        <f>(E$142+E$161+E$147+E$152+E$157)*'Dairy NOx by AB'!$B2</f>
        <v>0</v>
      </c>
      <c r="AF167" s="232">
        <f>(F$142+F$161+F$147+F$152+F$157)*'Dairy NOx by AB'!$B2</f>
        <v>0</v>
      </c>
      <c r="AG167" s="232">
        <f>(G$142+G$161+G$147+G$152+G$157)*'Dairy NOx by AB'!$B2</f>
        <v>0</v>
      </c>
      <c r="AH167" s="232">
        <f>(H$142+H$161+H$147+H$152+H$157)*'Dairy NOx by AB'!$B2</f>
        <v>0</v>
      </c>
      <c r="AI167" s="232">
        <f>(I$142+I$161+I$147+I$152+I$157)*'Dairy NOx by AB'!$B2</f>
        <v>0</v>
      </c>
      <c r="AJ167" s="232">
        <f>(J$142+J$161+J$147+J$152+J$157)*'Dairy NOx by AB'!$B2</f>
        <v>0</v>
      </c>
      <c r="AK167" s="232">
        <f>(K$142+K$161+K$147+K$152+K$157)*'Dairy NOx by AB'!$B2</f>
        <v>0</v>
      </c>
      <c r="AL167" s="232">
        <f>(L$142+L$161+L$147+L$152+L$157)*'Dairy NOx by AB'!$B2</f>
        <v>0</v>
      </c>
      <c r="AM167" s="232">
        <f>(M$142+M$161+M$147+M$152+M$157)*'Dairy NOx by AB'!$B2</f>
        <v>0</v>
      </c>
      <c r="AN167" s="232">
        <f>(N$142+N$161+N$147+N$152+N$157)*'Dairy NOx by AB'!$B2</f>
        <v>0</v>
      </c>
      <c r="AO167" s="232">
        <f>(O$142+O$161+O$147+O$152+O$157)*'Dairy NOx by AB'!$B2</f>
        <v>0</v>
      </c>
      <c r="AP167" s="232">
        <f>(P$142+P$161+P$147+P$152+P$157)*'Dairy NOx by AB'!$B2</f>
        <v>0</v>
      </c>
      <c r="AQ167" s="232">
        <f>(Q$142+Q$161+Q$147+Q$152+Q$157)*'Dairy NOx by AB'!$B2</f>
        <v>0</v>
      </c>
      <c r="AR167" s="232">
        <f>(R$142+R$161+R$147+R$152+R$157)*'Dairy NOx by AB'!$B2</f>
        <v>0</v>
      </c>
      <c r="AS167" s="232">
        <f>(S$142+S$161+S$147+S$152+S$157)*'Dairy NOx by AB'!$B2</f>
        <v>0</v>
      </c>
      <c r="AT167" s="232">
        <f>(T$142+T$161+T$147+T$152+T$157)*'Dairy NOx by AB'!$B2</f>
        <v>0</v>
      </c>
      <c r="AU167" s="232">
        <f>(U$142+U$161+U$147+U$152+U$157)*'Dairy NOx by AB'!$B2</f>
        <v>0</v>
      </c>
      <c r="AV167" s="232">
        <f>(V$142+V$161+V$147+V$152+V$157)*'Dairy NOx by AB'!$B2</f>
        <v>0</v>
      </c>
      <c r="AW167" s="232">
        <f>(W$142+W$161+W$147+W$152+W$157)*'Dairy NOx by AB'!$B2</f>
        <v>0</v>
      </c>
      <c r="AX167" s="232">
        <f>(X$142+X$161+X$147+X$152+X$157)*'Dairy NOx by AB'!$B2</f>
        <v>0</v>
      </c>
      <c r="AY167" s="232">
        <f>(Y$142+Y$161+Y$147+Y$152+Y$157)*'Dairy NOx by AB'!$B2</f>
        <v>0</v>
      </c>
      <c r="AZ167" s="232">
        <f>(Z$142+Z$161+Z$147+Z$152+Z$157)*'Dairy NOx by AB'!$B2</f>
        <v>0</v>
      </c>
      <c r="BA167" s="232">
        <f>(AA$142+AA$161+AA$147+AA$152+AA$157)*'Dairy NOx by AB'!$B2</f>
        <v>0</v>
      </c>
      <c r="BB167" s="232">
        <f>(AB$142+AB$161+AB$147+AB$152+AB$157)*'Dairy NOx by AB'!$B2</f>
        <v>0</v>
      </c>
      <c r="BC167" s="105" t="s">
        <v>250</v>
      </c>
      <c r="BD167" s="105"/>
    </row>
    <row r="168" spans="1:56" ht="15" customHeight="1">
      <c r="A168" s="464"/>
      <c r="B168" s="2" t="s">
        <v>251</v>
      </c>
      <c r="C168" s="53" t="s">
        <v>65</v>
      </c>
      <c r="D168" s="104">
        <f>(D$133+D$114+D$119+D$124+D$129)*'Dairy NOx by AB'!$B3</f>
        <v>0</v>
      </c>
      <c r="E168" s="104">
        <f>(E$133+E$114+E$119+E$124+E$129)*'Dairy NOx by AB'!$B3</f>
        <v>0</v>
      </c>
      <c r="F168" s="104">
        <f>(F$133+F$114+F$119+F$124+F$129)*'Dairy NOx by AB'!$B3</f>
        <v>0</v>
      </c>
      <c r="G168" s="104">
        <f>(G$133+G$114+G$119+G$124+G$129)*'Dairy NOx by AB'!$B3</f>
        <v>0</v>
      </c>
      <c r="H168" s="104">
        <f>(H$133+H$114+H$119+H$124+H$129)*'Dairy NOx by AB'!$B3</f>
        <v>0</v>
      </c>
      <c r="I168" s="104">
        <f>(I$133+I$114+I$119+I$124+I$129)*'Dairy NOx by AB'!$B3</f>
        <v>0</v>
      </c>
      <c r="J168" s="104">
        <f>(J$133+J$114+J$119+J$124+J$129)*'Dairy NOx by AB'!$B3</f>
        <v>0</v>
      </c>
      <c r="K168" s="104">
        <f>(K$133+K$114+K$119+K$124+K$129)*'Dairy NOx by AB'!$B3</f>
        <v>0</v>
      </c>
      <c r="L168" s="104">
        <f>(L$133+L$114+L$119+L$124+L$129)*'Dairy NOx by AB'!$B3</f>
        <v>0</v>
      </c>
      <c r="M168" s="104">
        <f>(M$133+M$114+M$119+M$124+M$129)*'Dairy NOx by AB'!$B3</f>
        <v>0</v>
      </c>
      <c r="N168" s="104">
        <f>(N$133+N$114+N$119+N$124+N$129)*'Dairy NOx by AB'!$B3</f>
        <v>0</v>
      </c>
      <c r="O168" s="104">
        <f>(O$133+O$114+O$119+O$124+O$129)*'Dairy NOx by AB'!$B3</f>
        <v>0</v>
      </c>
      <c r="P168" s="104">
        <f>(P$133+P$114+P$119+P$124+P$129)*'Dairy NOx by AB'!$B3</f>
        <v>0</v>
      </c>
      <c r="Q168" s="104">
        <f>(Q$133+Q$114+Q$119+Q$124+Q$129)*'Dairy NOx by AB'!$B3</f>
        <v>0</v>
      </c>
      <c r="R168" s="104">
        <f>(R$133+R$114+R$119+R$124+R$129)*'Dairy NOx by AB'!$B3</f>
        <v>0</v>
      </c>
      <c r="S168" s="104">
        <f>(S$133+S$114+S$119+S$124+S$129)*'Dairy NOx by AB'!$B3</f>
        <v>0</v>
      </c>
      <c r="T168" s="104">
        <f>(T$133+T$114+T$119+T$124+T$129)*'Dairy NOx by AB'!$B3</f>
        <v>0</v>
      </c>
      <c r="U168" s="104">
        <f>(U$133+U$114+U$119+U$124+U$129)*'Dairy NOx by AB'!$B3</f>
        <v>0</v>
      </c>
      <c r="V168" s="104">
        <f>(V$133+V$114+V$119+V$124+V$129)*'Dairy NOx by AB'!$B3</f>
        <v>0</v>
      </c>
      <c r="W168" s="104">
        <f>(W$133+W$114+W$119+W$124+W$129)*'Dairy NOx by AB'!$B3</f>
        <v>0</v>
      </c>
      <c r="X168" s="104">
        <f>(X$133+X$114+X$119+X$124+X$129)*'Dairy NOx by AB'!$B3</f>
        <v>0</v>
      </c>
      <c r="Y168" s="104">
        <f>(Y$133+Y$114+Y$119+Y$124+Y$129)*'Dairy NOx by AB'!$B3</f>
        <v>0</v>
      </c>
      <c r="Z168" s="104">
        <f>(Z$133+Z$114+Z$119+Z$124+Z$129)*'Dairy NOx by AB'!$B3</f>
        <v>0</v>
      </c>
      <c r="AA168" s="104">
        <f>(AA$133+AA$114+AA$119+AA$124+AA$129)*'Dairy NOx by AB'!$B3</f>
        <v>0</v>
      </c>
      <c r="AB168" s="175">
        <f>(AB$133+AB$114+AB$119+AB$124+AB$129)*'Dairy NOx by AB'!$B3</f>
        <v>0</v>
      </c>
      <c r="AD168" s="232">
        <f>(D$142+D$161+D$147+D$152+D$157)*'Dairy NOx by AB'!$B3</f>
        <v>0</v>
      </c>
      <c r="AE168" s="232">
        <f>(E$142+E$161+E$147+E$152+E$157)*'Dairy NOx by AB'!$B3</f>
        <v>0</v>
      </c>
      <c r="AF168" s="232">
        <f>(F$142+F$161+F$147+F$152+F$157)*'Dairy NOx by AB'!$B3</f>
        <v>0</v>
      </c>
      <c r="AG168" s="232">
        <f>(G$142+G$161+G$147+G$152+G$157)*'Dairy NOx by AB'!$B3</f>
        <v>0</v>
      </c>
      <c r="AH168" s="232">
        <f>(H$142+H$161+H$147+H$152+H$157)*'Dairy NOx by AB'!$B3</f>
        <v>0</v>
      </c>
      <c r="AI168" s="232">
        <f>(I$142+I$161+I$147+I$152+I$157)*'Dairy NOx by AB'!$B3</f>
        <v>0</v>
      </c>
      <c r="AJ168" s="232">
        <f>(J$142+J$161+J$147+J$152+J$157)*'Dairy NOx by AB'!$B3</f>
        <v>0</v>
      </c>
      <c r="AK168" s="232">
        <f>(K$142+K$161+K$147+K$152+K$157)*'Dairy NOx by AB'!$B3</f>
        <v>0</v>
      </c>
      <c r="AL168" s="232">
        <f>(L$142+L$161+L$147+L$152+L$157)*'Dairy NOx by AB'!$B3</f>
        <v>0</v>
      </c>
      <c r="AM168" s="232">
        <f>(M$142+M$161+M$147+M$152+M$157)*'Dairy NOx by AB'!$B3</f>
        <v>0</v>
      </c>
      <c r="AN168" s="232">
        <f>(N$142+N$161+N$147+N$152+N$157)*'Dairy NOx by AB'!$B3</f>
        <v>0</v>
      </c>
      <c r="AO168" s="232">
        <f>(O$142+O$161+O$147+O$152+O$157)*'Dairy NOx by AB'!$B3</f>
        <v>0</v>
      </c>
      <c r="AP168" s="232">
        <f>(P$142+P$161+P$147+P$152+P$157)*'Dairy NOx by AB'!$B3</f>
        <v>0</v>
      </c>
      <c r="AQ168" s="232">
        <f>(Q$142+Q$161+Q$147+Q$152+Q$157)*'Dairy NOx by AB'!$B3</f>
        <v>0</v>
      </c>
      <c r="AR168" s="232">
        <f>(R$142+R$161+R$147+R$152+R$157)*'Dairy NOx by AB'!$B3</f>
        <v>0</v>
      </c>
      <c r="AS168" s="232">
        <f>(S$142+S$161+S$147+S$152+S$157)*'Dairy NOx by AB'!$B3</f>
        <v>0</v>
      </c>
      <c r="AT168" s="232">
        <f>(T$142+T$161+T$147+T$152+T$157)*'Dairy NOx by AB'!$B3</f>
        <v>0</v>
      </c>
      <c r="AU168" s="232">
        <f>(U$142+U$161+U$147+U$152+U$157)*'Dairy NOx by AB'!$B3</f>
        <v>0</v>
      </c>
      <c r="AV168" s="232">
        <f>(V$142+V$161+V$147+V$152+V$157)*'Dairy NOx by AB'!$B3</f>
        <v>0</v>
      </c>
      <c r="AW168" s="232">
        <f>(W$142+W$161+W$147+W$152+W$157)*'Dairy NOx by AB'!$B3</f>
        <v>0</v>
      </c>
      <c r="AX168" s="232">
        <f>(X$142+X$161+X$147+X$152+X$157)*'Dairy NOx by AB'!$B3</f>
        <v>0</v>
      </c>
      <c r="AY168" s="232">
        <f>(Y$142+Y$161+Y$147+Y$152+Y$157)*'Dairy NOx by AB'!$B3</f>
        <v>0</v>
      </c>
      <c r="AZ168" s="232">
        <f>(Z$142+Z$161+Z$147+Z$152+Z$157)*'Dairy NOx by AB'!$B3</f>
        <v>0</v>
      </c>
      <c r="BA168" s="232">
        <f>(AA$142+AA$161+AA$147+AA$152+AA$157)*'Dairy NOx by AB'!$B3</f>
        <v>0</v>
      </c>
      <c r="BB168" s="232">
        <f>(AB$142+AB$161+AB$147+AB$152+AB$157)*'Dairy NOx by AB'!$B3</f>
        <v>0</v>
      </c>
      <c r="BC168" s="105" t="s">
        <v>252</v>
      </c>
      <c r="BD168" s="105"/>
    </row>
    <row r="169" spans="1:56" ht="15" customHeight="1">
      <c r="A169" s="464"/>
      <c r="B169" s="2" t="s">
        <v>253</v>
      </c>
      <c r="C169" s="53" t="s">
        <v>65</v>
      </c>
      <c r="D169" s="104">
        <f>(D$133+D$114+D$119+D$124+D$129)*'Dairy NOx by AB'!$B4</f>
        <v>0</v>
      </c>
      <c r="E169" s="104">
        <f>(E$133+E$114+E$119+E$124+E$129)*'Dairy NOx by AB'!$B4</f>
        <v>0</v>
      </c>
      <c r="F169" s="104">
        <f>(F$133+F$114+F$119+F$124+F$129)*'Dairy NOx by AB'!$B4</f>
        <v>0</v>
      </c>
      <c r="G169" s="104">
        <f>(G$133+G$114+G$119+G$124+G$129)*'Dairy NOx by AB'!$B4</f>
        <v>0</v>
      </c>
      <c r="H169" s="104">
        <f>(H$133+H$114+H$119+H$124+H$129)*'Dairy NOx by AB'!$B4</f>
        <v>0</v>
      </c>
      <c r="I169" s="104">
        <f>(I$133+I$114+I$119+I$124+I$129)*'Dairy NOx by AB'!$B4</f>
        <v>0</v>
      </c>
      <c r="J169" s="104">
        <f>(J$133+J$114+J$119+J$124+J$129)*'Dairy NOx by AB'!$B4</f>
        <v>0</v>
      </c>
      <c r="K169" s="104">
        <f>(K$133+K$114+K$119+K$124+K$129)*'Dairy NOx by AB'!$B4</f>
        <v>0</v>
      </c>
      <c r="L169" s="104">
        <f>(L$133+L$114+L$119+L$124+L$129)*'Dairy NOx by AB'!$B4</f>
        <v>0</v>
      </c>
      <c r="M169" s="104">
        <f>(M$133+M$114+M$119+M$124+M$129)*'Dairy NOx by AB'!$B4</f>
        <v>0</v>
      </c>
      <c r="N169" s="104">
        <f>(N$133+N$114+N$119+N$124+N$129)*'Dairy NOx by AB'!$B4</f>
        <v>0</v>
      </c>
      <c r="O169" s="104">
        <f>(O$133+O$114+O$119+O$124+O$129)*'Dairy NOx by AB'!$B4</f>
        <v>0</v>
      </c>
      <c r="P169" s="104">
        <f>(P$133+P$114+P$119+P$124+P$129)*'Dairy NOx by AB'!$B4</f>
        <v>0</v>
      </c>
      <c r="Q169" s="104">
        <f>(Q$133+Q$114+Q$119+Q$124+Q$129)*'Dairy NOx by AB'!$B4</f>
        <v>0</v>
      </c>
      <c r="R169" s="104">
        <f>(R$133+R$114+R$119+R$124+R$129)*'Dairy NOx by AB'!$B4</f>
        <v>0</v>
      </c>
      <c r="S169" s="104">
        <f>(S$133+S$114+S$119+S$124+S$129)*'Dairy NOx by AB'!$B4</f>
        <v>0</v>
      </c>
      <c r="T169" s="104">
        <f>(T$133+T$114+T$119+T$124+T$129)*'Dairy NOx by AB'!$B4</f>
        <v>0</v>
      </c>
      <c r="U169" s="104">
        <f>(U$133+U$114+U$119+U$124+U$129)*'Dairy NOx by AB'!$B4</f>
        <v>0</v>
      </c>
      <c r="V169" s="104">
        <f>(V$133+V$114+V$119+V$124+V$129)*'Dairy NOx by AB'!$B4</f>
        <v>0</v>
      </c>
      <c r="W169" s="104">
        <f>(W$133+W$114+W$119+W$124+W$129)*'Dairy NOx by AB'!$B4</f>
        <v>0</v>
      </c>
      <c r="X169" s="104">
        <f>(X$133+X$114+X$119+X$124+X$129)*'Dairy NOx by AB'!$B4</f>
        <v>0</v>
      </c>
      <c r="Y169" s="104">
        <f>(Y$133+Y$114+Y$119+Y$124+Y$129)*'Dairy NOx by AB'!$B4</f>
        <v>0</v>
      </c>
      <c r="Z169" s="104">
        <f>(Z$133+Z$114+Z$119+Z$124+Z$129)*'Dairy NOx by AB'!$B4</f>
        <v>0</v>
      </c>
      <c r="AA169" s="104">
        <f>(AA$133+AA$114+AA$119+AA$124+AA$129)*'Dairy NOx by AB'!$B4</f>
        <v>0</v>
      </c>
      <c r="AB169" s="175">
        <f>(AB$133+AB$114+AB$119+AB$124+AB$129)*'Dairy NOx by AB'!$B4</f>
        <v>0</v>
      </c>
      <c r="AD169" s="232">
        <f>(D$142+D$161+D$147+D$152+D$157)*'Dairy NOx by AB'!$B4</f>
        <v>0</v>
      </c>
      <c r="AE169" s="232">
        <f>(E$142+E$161+E$147+E$152+E$157)*'Dairy NOx by AB'!$B4</f>
        <v>0</v>
      </c>
      <c r="AF169" s="232">
        <f>(F$142+F$161+F$147+F$152+F$157)*'Dairy NOx by AB'!$B4</f>
        <v>0</v>
      </c>
      <c r="AG169" s="232">
        <f>(G$142+G$161+G$147+G$152+G$157)*'Dairy NOx by AB'!$B4</f>
        <v>0</v>
      </c>
      <c r="AH169" s="232">
        <f>(H$142+H$161+H$147+H$152+H$157)*'Dairy NOx by AB'!$B4</f>
        <v>0</v>
      </c>
      <c r="AI169" s="232">
        <f>(I$142+I$161+I$147+I$152+I$157)*'Dairy NOx by AB'!$B4</f>
        <v>0</v>
      </c>
      <c r="AJ169" s="232">
        <f>(J$142+J$161+J$147+J$152+J$157)*'Dairy NOx by AB'!$B4</f>
        <v>0</v>
      </c>
      <c r="AK169" s="232">
        <f>(K$142+K$161+K$147+K$152+K$157)*'Dairy NOx by AB'!$B4</f>
        <v>0</v>
      </c>
      <c r="AL169" s="232">
        <f>(L$142+L$161+L$147+L$152+L$157)*'Dairy NOx by AB'!$B4</f>
        <v>0</v>
      </c>
      <c r="AM169" s="232">
        <f>(M$142+M$161+M$147+M$152+M$157)*'Dairy NOx by AB'!$B4</f>
        <v>0</v>
      </c>
      <c r="AN169" s="232">
        <f>(N$142+N$161+N$147+N$152+N$157)*'Dairy NOx by AB'!$B4</f>
        <v>0</v>
      </c>
      <c r="AO169" s="232">
        <f>(O$142+O$161+O$147+O$152+O$157)*'Dairy NOx by AB'!$B4</f>
        <v>0</v>
      </c>
      <c r="AP169" s="232">
        <f>(P$142+P$161+P$147+P$152+P$157)*'Dairy NOx by AB'!$B4</f>
        <v>0</v>
      </c>
      <c r="AQ169" s="232">
        <f>(Q$142+Q$161+Q$147+Q$152+Q$157)*'Dairy NOx by AB'!$B4</f>
        <v>0</v>
      </c>
      <c r="AR169" s="232">
        <f>(R$142+R$161+R$147+R$152+R$157)*'Dairy NOx by AB'!$B4</f>
        <v>0</v>
      </c>
      <c r="AS169" s="232">
        <f>(S$142+S$161+S$147+S$152+S$157)*'Dairy NOx by AB'!$B4</f>
        <v>0</v>
      </c>
      <c r="AT169" s="232">
        <f>(T$142+T$161+T$147+T$152+T$157)*'Dairy NOx by AB'!$B4</f>
        <v>0</v>
      </c>
      <c r="AU169" s="232">
        <f>(U$142+U$161+U$147+U$152+U$157)*'Dairy NOx by AB'!$B4</f>
        <v>0</v>
      </c>
      <c r="AV169" s="232">
        <f>(V$142+V$161+V$147+V$152+V$157)*'Dairy NOx by AB'!$B4</f>
        <v>0</v>
      </c>
      <c r="AW169" s="232">
        <f>(W$142+W$161+W$147+W$152+W$157)*'Dairy NOx by AB'!$B4</f>
        <v>0</v>
      </c>
      <c r="AX169" s="232">
        <f>(X$142+X$161+X$147+X$152+X$157)*'Dairy NOx by AB'!$B4</f>
        <v>0</v>
      </c>
      <c r="AY169" s="232">
        <f>(Y$142+Y$161+Y$147+Y$152+Y$157)*'Dairy NOx by AB'!$B4</f>
        <v>0</v>
      </c>
      <c r="AZ169" s="232">
        <f>(Z$142+Z$161+Z$147+Z$152+Z$157)*'Dairy NOx by AB'!$B4</f>
        <v>0</v>
      </c>
      <c r="BA169" s="232">
        <f>(AA$142+AA$161+AA$147+AA$152+AA$157)*'Dairy NOx by AB'!$B4</f>
        <v>0</v>
      </c>
      <c r="BB169" s="232">
        <f>(AB$142+AB$161+AB$147+AB$152+AB$157)*'Dairy NOx by AB'!$B4</f>
        <v>0</v>
      </c>
      <c r="BC169" s="105" t="s">
        <v>254</v>
      </c>
      <c r="BD169" s="105"/>
    </row>
    <row r="170" spans="1:56" ht="15" customHeight="1">
      <c r="A170" s="464"/>
      <c r="B170" s="2" t="s">
        <v>255</v>
      </c>
      <c r="C170" s="53" t="s">
        <v>65</v>
      </c>
      <c r="D170" s="104">
        <f>(D$133+D$114+D$119+D$124+D$129)*'Dairy NOx by AB'!$B5</f>
        <v>0</v>
      </c>
      <c r="E170" s="104">
        <f>(E$133+E$114+E$119+E$124+E$129)*'Dairy NOx by AB'!$B5</f>
        <v>0</v>
      </c>
      <c r="F170" s="104">
        <f>(F$133+F$114+F$119+F$124+F$129)*'Dairy NOx by AB'!$B5</f>
        <v>0</v>
      </c>
      <c r="G170" s="104">
        <f>(G$133+G$114+G$119+G$124+G$129)*'Dairy NOx by AB'!$B5</f>
        <v>0</v>
      </c>
      <c r="H170" s="104">
        <f>(H$133+H$114+H$119+H$124+H$129)*'Dairy NOx by AB'!$B5</f>
        <v>0</v>
      </c>
      <c r="I170" s="104">
        <f>(I$133+I$114+I$119+I$124+I$129)*'Dairy NOx by AB'!$B5</f>
        <v>0</v>
      </c>
      <c r="J170" s="104">
        <f>(J$133+J$114+J$119+J$124+J$129)*'Dairy NOx by AB'!$B5</f>
        <v>0</v>
      </c>
      <c r="K170" s="104">
        <f>(K$133+K$114+K$119+K$124+K$129)*'Dairy NOx by AB'!$B5</f>
        <v>0</v>
      </c>
      <c r="L170" s="104">
        <f>(L$133+L$114+L$119+L$124+L$129)*'Dairy NOx by AB'!$B5</f>
        <v>0</v>
      </c>
      <c r="M170" s="104">
        <f>(M$133+M$114+M$119+M$124+M$129)*'Dairy NOx by AB'!$B5</f>
        <v>0</v>
      </c>
      <c r="N170" s="104">
        <f>(N$133+N$114+N$119+N$124+N$129)*'Dairy NOx by AB'!$B5</f>
        <v>0</v>
      </c>
      <c r="O170" s="104">
        <f>(O$133+O$114+O$119+O$124+O$129)*'Dairy NOx by AB'!$B5</f>
        <v>0</v>
      </c>
      <c r="P170" s="104">
        <f>(P$133+P$114+P$119+P$124+P$129)*'Dairy NOx by AB'!$B5</f>
        <v>0</v>
      </c>
      <c r="Q170" s="104">
        <f>(Q$133+Q$114+Q$119+Q$124+Q$129)*'Dairy NOx by AB'!$B5</f>
        <v>0</v>
      </c>
      <c r="R170" s="104">
        <f>(R$133+R$114+R$119+R$124+R$129)*'Dairy NOx by AB'!$B5</f>
        <v>0</v>
      </c>
      <c r="S170" s="104">
        <f>(S$133+S$114+S$119+S$124+S$129)*'Dairy NOx by AB'!$B5</f>
        <v>0</v>
      </c>
      <c r="T170" s="104">
        <f>(T$133+T$114+T$119+T$124+T$129)*'Dairy NOx by AB'!$B5</f>
        <v>0</v>
      </c>
      <c r="U170" s="104">
        <f>(U$133+U$114+U$119+U$124+U$129)*'Dairy NOx by AB'!$B5</f>
        <v>0</v>
      </c>
      <c r="V170" s="104">
        <f>(V$133+V$114+V$119+V$124+V$129)*'Dairy NOx by AB'!$B5</f>
        <v>0</v>
      </c>
      <c r="W170" s="104">
        <f>(W$133+W$114+W$119+W$124+W$129)*'Dairy NOx by AB'!$B5</f>
        <v>0</v>
      </c>
      <c r="X170" s="104">
        <f>(X$133+X$114+X$119+X$124+X$129)*'Dairy NOx by AB'!$B5</f>
        <v>0</v>
      </c>
      <c r="Y170" s="104">
        <f>(Y$133+Y$114+Y$119+Y$124+Y$129)*'Dairy NOx by AB'!$B5</f>
        <v>0</v>
      </c>
      <c r="Z170" s="104">
        <f>(Z$133+Z$114+Z$119+Z$124+Z$129)*'Dairy NOx by AB'!$B5</f>
        <v>0</v>
      </c>
      <c r="AA170" s="104">
        <f>(AA$133+AA$114+AA$119+AA$124+AA$129)*'Dairy NOx by AB'!$B5</f>
        <v>0</v>
      </c>
      <c r="AB170" s="175">
        <f>(AB$133+AB$114+AB$119+AB$124+AB$129)*'Dairy NOx by AB'!$B5</f>
        <v>0</v>
      </c>
      <c r="AD170" s="232">
        <f>(D$142+D$161+D$147+D$152+D$157)*'Dairy NOx by AB'!$B5</f>
        <v>0</v>
      </c>
      <c r="AE170" s="232">
        <f>(E$142+E$161+E$147+E$152+E$157)*'Dairy NOx by AB'!$B5</f>
        <v>0</v>
      </c>
      <c r="AF170" s="232">
        <f>(F$142+F$161+F$147+F$152+F$157)*'Dairy NOx by AB'!$B5</f>
        <v>0</v>
      </c>
      <c r="AG170" s="232">
        <f>(G$142+G$161+G$147+G$152+G$157)*'Dairy NOx by AB'!$B5</f>
        <v>0</v>
      </c>
      <c r="AH170" s="232">
        <f>(H$142+H$161+H$147+H$152+H$157)*'Dairy NOx by AB'!$B5</f>
        <v>0</v>
      </c>
      <c r="AI170" s="232">
        <f>(I$142+I$161+I$147+I$152+I$157)*'Dairy NOx by AB'!$B5</f>
        <v>0</v>
      </c>
      <c r="AJ170" s="232">
        <f>(J$142+J$161+J$147+J$152+J$157)*'Dairy NOx by AB'!$B5</f>
        <v>0</v>
      </c>
      <c r="AK170" s="232">
        <f>(K$142+K$161+K$147+K$152+K$157)*'Dairy NOx by AB'!$B5</f>
        <v>0</v>
      </c>
      <c r="AL170" s="232">
        <f>(L$142+L$161+L$147+L$152+L$157)*'Dairy NOx by AB'!$B5</f>
        <v>0</v>
      </c>
      <c r="AM170" s="232">
        <f>(M$142+M$161+M$147+M$152+M$157)*'Dairy NOx by AB'!$B5</f>
        <v>0</v>
      </c>
      <c r="AN170" s="232">
        <f>(N$142+N$161+N$147+N$152+N$157)*'Dairy NOx by AB'!$B5</f>
        <v>0</v>
      </c>
      <c r="AO170" s="232">
        <f>(O$142+O$161+O$147+O$152+O$157)*'Dairy NOx by AB'!$B5</f>
        <v>0</v>
      </c>
      <c r="AP170" s="232">
        <f>(P$142+P$161+P$147+P$152+P$157)*'Dairy NOx by AB'!$B5</f>
        <v>0</v>
      </c>
      <c r="AQ170" s="232">
        <f>(Q$142+Q$161+Q$147+Q$152+Q$157)*'Dairy NOx by AB'!$B5</f>
        <v>0</v>
      </c>
      <c r="AR170" s="232">
        <f>(R$142+R$161+R$147+R$152+R$157)*'Dairy NOx by AB'!$B5</f>
        <v>0</v>
      </c>
      <c r="AS170" s="232">
        <f>(S$142+S$161+S$147+S$152+S$157)*'Dairy NOx by AB'!$B5</f>
        <v>0</v>
      </c>
      <c r="AT170" s="232">
        <f>(T$142+T$161+T$147+T$152+T$157)*'Dairy NOx by AB'!$B5</f>
        <v>0</v>
      </c>
      <c r="AU170" s="232">
        <f>(U$142+U$161+U$147+U$152+U$157)*'Dairy NOx by AB'!$B5</f>
        <v>0</v>
      </c>
      <c r="AV170" s="232">
        <f>(V$142+V$161+V$147+V$152+V$157)*'Dairy NOx by AB'!$B5</f>
        <v>0</v>
      </c>
      <c r="AW170" s="232">
        <f>(W$142+W$161+W$147+W$152+W$157)*'Dairy NOx by AB'!$B5</f>
        <v>0</v>
      </c>
      <c r="AX170" s="232">
        <f>(X$142+X$161+X$147+X$152+X$157)*'Dairy NOx by AB'!$B5</f>
        <v>0</v>
      </c>
      <c r="AY170" s="232">
        <f>(Y$142+Y$161+Y$147+Y$152+Y$157)*'Dairy NOx by AB'!$B5</f>
        <v>0</v>
      </c>
      <c r="AZ170" s="232">
        <f>(Z$142+Z$161+Z$147+Z$152+Z$157)*'Dairy NOx by AB'!$B5</f>
        <v>0</v>
      </c>
      <c r="BA170" s="232">
        <f>(AA$142+AA$161+AA$147+AA$152+AA$157)*'Dairy NOx by AB'!$B5</f>
        <v>0</v>
      </c>
      <c r="BB170" s="232">
        <f>(AB$142+AB$161+AB$147+AB$152+AB$157)*'Dairy NOx by AB'!$B5</f>
        <v>0</v>
      </c>
    </row>
    <row r="171" spans="1:56" ht="15" customHeight="1">
      <c r="A171" s="464"/>
      <c r="B171" s="2" t="s">
        <v>256</v>
      </c>
      <c r="C171" s="53" t="s">
        <v>65</v>
      </c>
      <c r="D171" s="104">
        <f>(D$133+D$114+D$119+D$124+D$129)*'Dairy NOx by AB'!$B6</f>
        <v>0</v>
      </c>
      <c r="E171" s="104">
        <f>(E$133+E$114+E$119+E$124+E$129)*'Dairy NOx by AB'!$B6</f>
        <v>0</v>
      </c>
      <c r="F171" s="104">
        <f>(F$133+F$114+F$119+F$124+F$129)*'Dairy NOx by AB'!$B6</f>
        <v>0</v>
      </c>
      <c r="G171" s="104">
        <f>(G$133+G$114+G$119+G$124+G$129)*'Dairy NOx by AB'!$B6</f>
        <v>0</v>
      </c>
      <c r="H171" s="104">
        <f>(H$133+H$114+H$119+H$124+H$129)*'Dairy NOx by AB'!$B6</f>
        <v>0</v>
      </c>
      <c r="I171" s="104">
        <f>(I$133+I$114+I$119+I$124+I$129)*'Dairy NOx by AB'!$B6</f>
        <v>0</v>
      </c>
      <c r="J171" s="104">
        <f>(J$133+J$114+J$119+J$124+J$129)*'Dairy NOx by AB'!$B6</f>
        <v>0</v>
      </c>
      <c r="K171" s="104">
        <f>(K$133+K$114+K$119+K$124+K$129)*'Dairy NOx by AB'!$B6</f>
        <v>0</v>
      </c>
      <c r="L171" s="104">
        <f>(L$133+L$114+L$119+L$124+L$129)*'Dairy NOx by AB'!$B6</f>
        <v>0</v>
      </c>
      <c r="M171" s="104">
        <f>(M$133+M$114+M$119+M$124+M$129)*'Dairy NOx by AB'!$B6</f>
        <v>0</v>
      </c>
      <c r="N171" s="104">
        <f>(N$133+N$114+N$119+N$124+N$129)*'Dairy NOx by AB'!$B6</f>
        <v>0</v>
      </c>
      <c r="O171" s="104">
        <f>(O$133+O$114+O$119+O$124+O$129)*'Dairy NOx by AB'!$B6</f>
        <v>0</v>
      </c>
      <c r="P171" s="104">
        <f>(P$133+P$114+P$119+P$124+P$129)*'Dairy NOx by AB'!$B6</f>
        <v>0</v>
      </c>
      <c r="Q171" s="104">
        <f>(Q$133+Q$114+Q$119+Q$124+Q$129)*'Dairy NOx by AB'!$B6</f>
        <v>0</v>
      </c>
      <c r="R171" s="104">
        <f>(R$133+R$114+R$119+R$124+R$129)*'Dairy NOx by AB'!$B6</f>
        <v>0</v>
      </c>
      <c r="S171" s="104">
        <f>(S$133+S$114+S$119+S$124+S$129)*'Dairy NOx by AB'!$B6</f>
        <v>0</v>
      </c>
      <c r="T171" s="104">
        <f>(T$133+T$114+T$119+T$124+T$129)*'Dairy NOx by AB'!$B6</f>
        <v>0</v>
      </c>
      <c r="U171" s="104">
        <f>(U$133+U$114+U$119+U$124+U$129)*'Dairy NOx by AB'!$B6</f>
        <v>0</v>
      </c>
      <c r="V171" s="104">
        <f>(V$133+V$114+V$119+V$124+V$129)*'Dairy NOx by AB'!$B6</f>
        <v>0</v>
      </c>
      <c r="W171" s="104">
        <f>(W$133+W$114+W$119+W$124+W$129)*'Dairy NOx by AB'!$B6</f>
        <v>0</v>
      </c>
      <c r="X171" s="104">
        <f>(X$133+X$114+X$119+X$124+X$129)*'Dairy NOx by AB'!$B6</f>
        <v>0</v>
      </c>
      <c r="Y171" s="104">
        <f>(Y$133+Y$114+Y$119+Y$124+Y$129)*'Dairy NOx by AB'!$B6</f>
        <v>0</v>
      </c>
      <c r="Z171" s="104">
        <f>(Z$133+Z$114+Z$119+Z$124+Z$129)*'Dairy NOx by AB'!$B6</f>
        <v>0</v>
      </c>
      <c r="AA171" s="104">
        <f>(AA$133+AA$114+AA$119+AA$124+AA$129)*'Dairy NOx by AB'!$B6</f>
        <v>0</v>
      </c>
      <c r="AB171" s="175">
        <f>(AB$133+AB$114+AB$119+AB$124+AB$129)*'Dairy NOx by AB'!$B6</f>
        <v>0</v>
      </c>
      <c r="AD171" s="232">
        <f>(D$142+D$161+D$147+D$152+D$157)*'Dairy NOx by AB'!$B6</f>
        <v>0</v>
      </c>
      <c r="AE171" s="232">
        <f>(E$142+E$161+E$147+E$152+E$157)*'Dairy NOx by AB'!$B6</f>
        <v>0</v>
      </c>
      <c r="AF171" s="232">
        <f>(F$142+F$161+F$147+F$152+F$157)*'Dairy NOx by AB'!$B6</f>
        <v>0</v>
      </c>
      <c r="AG171" s="232">
        <f>(G$142+G$161+G$147+G$152+G$157)*'Dairy NOx by AB'!$B6</f>
        <v>0</v>
      </c>
      <c r="AH171" s="232">
        <f>(H$142+H$161+H$147+H$152+H$157)*'Dairy NOx by AB'!$B6</f>
        <v>0</v>
      </c>
      <c r="AI171" s="232">
        <f>(I$142+I$161+I$147+I$152+I$157)*'Dairy NOx by AB'!$B6</f>
        <v>0</v>
      </c>
      <c r="AJ171" s="232">
        <f>(J$142+J$161+J$147+J$152+J$157)*'Dairy NOx by AB'!$B6</f>
        <v>0</v>
      </c>
      <c r="AK171" s="232">
        <f>(K$142+K$161+K$147+K$152+K$157)*'Dairy NOx by AB'!$B6</f>
        <v>0</v>
      </c>
      <c r="AL171" s="232">
        <f>(L$142+L$161+L$147+L$152+L$157)*'Dairy NOx by AB'!$B6</f>
        <v>0</v>
      </c>
      <c r="AM171" s="232">
        <f>(M$142+M$161+M$147+M$152+M$157)*'Dairy NOx by AB'!$B6</f>
        <v>0</v>
      </c>
      <c r="AN171" s="232">
        <f>(N$142+N$161+N$147+N$152+N$157)*'Dairy NOx by AB'!$B6</f>
        <v>0</v>
      </c>
      <c r="AO171" s="232">
        <f>(O$142+O$161+O$147+O$152+O$157)*'Dairy NOx by AB'!$B6</f>
        <v>0</v>
      </c>
      <c r="AP171" s="232">
        <f>(P$142+P$161+P$147+P$152+P$157)*'Dairy NOx by AB'!$B6</f>
        <v>0</v>
      </c>
      <c r="AQ171" s="232">
        <f>(Q$142+Q$161+Q$147+Q$152+Q$157)*'Dairy NOx by AB'!$B6</f>
        <v>0</v>
      </c>
      <c r="AR171" s="232">
        <f>(R$142+R$161+R$147+R$152+R$157)*'Dairy NOx by AB'!$B6</f>
        <v>0</v>
      </c>
      <c r="AS171" s="232">
        <f>(S$142+S$161+S$147+S$152+S$157)*'Dairy NOx by AB'!$B6</f>
        <v>0</v>
      </c>
      <c r="AT171" s="232">
        <f>(T$142+T$161+T$147+T$152+T$157)*'Dairy NOx by AB'!$B6</f>
        <v>0</v>
      </c>
      <c r="AU171" s="232">
        <f>(U$142+U$161+U$147+U$152+U$157)*'Dairy NOx by AB'!$B6</f>
        <v>0</v>
      </c>
      <c r="AV171" s="232">
        <f>(V$142+V$161+V$147+V$152+V$157)*'Dairy NOx by AB'!$B6</f>
        <v>0</v>
      </c>
      <c r="AW171" s="232">
        <f>(W$142+W$161+W$147+W$152+W$157)*'Dairy NOx by AB'!$B6</f>
        <v>0</v>
      </c>
      <c r="AX171" s="232">
        <f>(X$142+X$161+X$147+X$152+X$157)*'Dairy NOx by AB'!$B6</f>
        <v>0</v>
      </c>
      <c r="AY171" s="232">
        <f>(Y$142+Y$161+Y$147+Y$152+Y$157)*'Dairy NOx by AB'!$B6</f>
        <v>0</v>
      </c>
      <c r="AZ171" s="232">
        <f>(Z$142+Z$161+Z$147+Z$152+Z$157)*'Dairy NOx by AB'!$B6</f>
        <v>0</v>
      </c>
      <c r="BA171" s="232">
        <f>(AA$142+AA$161+AA$147+AA$152+AA$157)*'Dairy NOx by AB'!$B6</f>
        <v>0</v>
      </c>
      <c r="BB171" s="232">
        <f>(AB$142+AB$161+AB$147+AB$152+AB$157)*'Dairy NOx by AB'!$B6</f>
        <v>0</v>
      </c>
    </row>
    <row r="172" spans="1:56" ht="15" customHeight="1">
      <c r="A172" s="464"/>
      <c r="B172" s="2" t="s">
        <v>257</v>
      </c>
      <c r="C172" s="53" t="s">
        <v>65</v>
      </c>
      <c r="D172" s="104">
        <f>(D$133+D$114+D$119+D$124+D$129)*'Dairy NOx by AB'!$B7</f>
        <v>0</v>
      </c>
      <c r="E172" s="104">
        <f>(E$133+E$114+E$119+E$124+E$129)*'Dairy NOx by AB'!$B7</f>
        <v>0</v>
      </c>
      <c r="F172" s="104">
        <f>(F$133+F$114+F$119+F$124+F$129)*'Dairy NOx by AB'!$B7</f>
        <v>0</v>
      </c>
      <c r="G172" s="104">
        <f>(G$133+G$114+G$119+G$124+G$129)*'Dairy NOx by AB'!$B7</f>
        <v>0</v>
      </c>
      <c r="H172" s="104">
        <f>(H$133+H$114+H$119+H$124+H$129)*'Dairy NOx by AB'!$B7</f>
        <v>0</v>
      </c>
      <c r="I172" s="104">
        <f>(I$133+I$114+I$119+I$124+I$129)*'Dairy NOx by AB'!$B7</f>
        <v>0</v>
      </c>
      <c r="J172" s="104">
        <f>(J$133+J$114+J$119+J$124+J$129)*'Dairy NOx by AB'!$B7</f>
        <v>0</v>
      </c>
      <c r="K172" s="104">
        <f>(K$133+K$114+K$119+K$124+K$129)*'Dairy NOx by AB'!$B7</f>
        <v>0</v>
      </c>
      <c r="L172" s="104">
        <f>(L$133+L$114+L$119+L$124+L$129)*'Dairy NOx by AB'!$B7</f>
        <v>0</v>
      </c>
      <c r="M172" s="104">
        <f>(M$133+M$114+M$119+M$124+M$129)*'Dairy NOx by AB'!$B7</f>
        <v>0</v>
      </c>
      <c r="N172" s="104">
        <f>(N$133+N$114+N$119+N$124+N$129)*'Dairy NOx by AB'!$B7</f>
        <v>0</v>
      </c>
      <c r="O172" s="104">
        <f>(O$133+O$114+O$119+O$124+O$129)*'Dairy NOx by AB'!$B7</f>
        <v>0</v>
      </c>
      <c r="P172" s="104">
        <f>(P$133+P$114+P$119+P$124+P$129)*'Dairy NOx by AB'!$B7</f>
        <v>0</v>
      </c>
      <c r="Q172" s="104">
        <f>(Q$133+Q$114+Q$119+Q$124+Q$129)*'Dairy NOx by AB'!$B7</f>
        <v>0</v>
      </c>
      <c r="R172" s="104">
        <f>(R$133+R$114+R$119+R$124+R$129)*'Dairy NOx by AB'!$B7</f>
        <v>0</v>
      </c>
      <c r="S172" s="104">
        <f>(S$133+S$114+S$119+S$124+S$129)*'Dairy NOx by AB'!$B7</f>
        <v>0</v>
      </c>
      <c r="T172" s="104">
        <f>(T$133+T$114+T$119+T$124+T$129)*'Dairy NOx by AB'!$B7</f>
        <v>0</v>
      </c>
      <c r="U172" s="104">
        <f>(U$133+U$114+U$119+U$124+U$129)*'Dairy NOx by AB'!$B7</f>
        <v>0</v>
      </c>
      <c r="V172" s="104">
        <f>(V$133+V$114+V$119+V$124+V$129)*'Dairy NOx by AB'!$B7</f>
        <v>0</v>
      </c>
      <c r="W172" s="104">
        <f>(W$133+W$114+W$119+W$124+W$129)*'Dairy NOx by AB'!$B7</f>
        <v>0</v>
      </c>
      <c r="X172" s="104">
        <f>(X$133+X$114+X$119+X$124+X$129)*'Dairy NOx by AB'!$B7</f>
        <v>0</v>
      </c>
      <c r="Y172" s="104">
        <f>(Y$133+Y$114+Y$119+Y$124+Y$129)*'Dairy NOx by AB'!$B7</f>
        <v>0</v>
      </c>
      <c r="Z172" s="104">
        <f>(Z$133+Z$114+Z$119+Z$124+Z$129)*'Dairy NOx by AB'!$B7</f>
        <v>0</v>
      </c>
      <c r="AA172" s="104">
        <f>(AA$133+AA$114+AA$119+AA$124+AA$129)*'Dairy NOx by AB'!$B7</f>
        <v>0</v>
      </c>
      <c r="AB172" s="175">
        <f>(AB$133+AB$114+AB$119+AB$124+AB$129)*'Dairy NOx by AB'!$B7</f>
        <v>0</v>
      </c>
      <c r="AD172" s="232">
        <f>(D$142+D$161+D$147+D$152+D$157)*'Dairy NOx by AB'!$B7</f>
        <v>0</v>
      </c>
      <c r="AE172" s="232">
        <f>(E$142+E$161+E$147+E$152+E$157)*'Dairy NOx by AB'!$B7</f>
        <v>0</v>
      </c>
      <c r="AF172" s="232">
        <f>(F$142+F$161+F$147+F$152+F$157)*'Dairy NOx by AB'!$B7</f>
        <v>0</v>
      </c>
      <c r="AG172" s="232">
        <f>(G$142+G$161+G$147+G$152+G$157)*'Dairy NOx by AB'!$B7</f>
        <v>0</v>
      </c>
      <c r="AH172" s="232">
        <f>(H$142+H$161+H$147+H$152+H$157)*'Dairy NOx by AB'!$B7</f>
        <v>0</v>
      </c>
      <c r="AI172" s="232">
        <f>(I$142+I$161+I$147+I$152+I$157)*'Dairy NOx by AB'!$B7</f>
        <v>0</v>
      </c>
      <c r="AJ172" s="232">
        <f>(J$142+J$161+J$147+J$152+J$157)*'Dairy NOx by AB'!$B7</f>
        <v>0</v>
      </c>
      <c r="AK172" s="232">
        <f>(K$142+K$161+K$147+K$152+K$157)*'Dairy NOx by AB'!$B7</f>
        <v>0</v>
      </c>
      <c r="AL172" s="232">
        <f>(L$142+L$161+L$147+L$152+L$157)*'Dairy NOx by AB'!$B7</f>
        <v>0</v>
      </c>
      <c r="AM172" s="232">
        <f>(M$142+M$161+M$147+M$152+M$157)*'Dairy NOx by AB'!$B7</f>
        <v>0</v>
      </c>
      <c r="AN172" s="232">
        <f>(N$142+N$161+N$147+N$152+N$157)*'Dairy NOx by AB'!$B7</f>
        <v>0</v>
      </c>
      <c r="AO172" s="232">
        <f>(O$142+O$161+O$147+O$152+O$157)*'Dairy NOx by AB'!$B7</f>
        <v>0</v>
      </c>
      <c r="AP172" s="232">
        <f>(P$142+P$161+P$147+P$152+P$157)*'Dairy NOx by AB'!$B7</f>
        <v>0</v>
      </c>
      <c r="AQ172" s="232">
        <f>(Q$142+Q$161+Q$147+Q$152+Q$157)*'Dairy NOx by AB'!$B7</f>
        <v>0</v>
      </c>
      <c r="AR172" s="232">
        <f>(R$142+R$161+R$147+R$152+R$157)*'Dairy NOx by AB'!$B7</f>
        <v>0</v>
      </c>
      <c r="AS172" s="232">
        <f>(S$142+S$161+S$147+S$152+S$157)*'Dairy NOx by AB'!$B7</f>
        <v>0</v>
      </c>
      <c r="AT172" s="232">
        <f>(T$142+T$161+T$147+T$152+T$157)*'Dairy NOx by AB'!$B7</f>
        <v>0</v>
      </c>
      <c r="AU172" s="232">
        <f>(U$142+U$161+U$147+U$152+U$157)*'Dairy NOx by AB'!$B7</f>
        <v>0</v>
      </c>
      <c r="AV172" s="232">
        <f>(V$142+V$161+V$147+V$152+V$157)*'Dairy NOx by AB'!$B7</f>
        <v>0</v>
      </c>
      <c r="AW172" s="232">
        <f>(W$142+W$161+W$147+W$152+W$157)*'Dairy NOx by AB'!$B7</f>
        <v>0</v>
      </c>
      <c r="AX172" s="232">
        <f>(X$142+X$161+X$147+X$152+X$157)*'Dairy NOx by AB'!$B7</f>
        <v>0</v>
      </c>
      <c r="AY172" s="232">
        <f>(Y$142+Y$161+Y$147+Y$152+Y$157)*'Dairy NOx by AB'!$B7</f>
        <v>0</v>
      </c>
      <c r="AZ172" s="232">
        <f>(Z$142+Z$161+Z$147+Z$152+Z$157)*'Dairy NOx by AB'!$B7</f>
        <v>0</v>
      </c>
      <c r="BA172" s="232">
        <f>(AA$142+AA$161+AA$147+AA$152+AA$157)*'Dairy NOx by AB'!$B7</f>
        <v>0</v>
      </c>
      <c r="BB172" s="232">
        <f>(AB$142+AB$161+AB$147+AB$152+AB$157)*'Dairy NOx by AB'!$B7</f>
        <v>0</v>
      </c>
    </row>
    <row r="173" spans="1:56" ht="15" customHeight="1">
      <c r="A173" s="464"/>
      <c r="B173" s="2" t="s">
        <v>258</v>
      </c>
      <c r="C173" s="53" t="s">
        <v>65</v>
      </c>
      <c r="D173" s="104">
        <f>(D$133+D$114+D$119+D$124+D$129)*'Dairy NOx by AB'!$B8</f>
        <v>0</v>
      </c>
      <c r="E173" s="104">
        <f>(E$133+E$114+E$119+E$124+E$129)*'Dairy NOx by AB'!$B8</f>
        <v>0</v>
      </c>
      <c r="F173" s="104">
        <f>(F$133+F$114+F$119+F$124+F$129)*'Dairy NOx by AB'!$B8</f>
        <v>0</v>
      </c>
      <c r="G173" s="104">
        <f>(G$133+G$114+G$119+G$124+G$129)*'Dairy NOx by AB'!$B8</f>
        <v>0.10070279222592546</v>
      </c>
      <c r="H173" s="104">
        <f>(H$133+H$114+H$119+H$124+H$129)*'Dairy NOx by AB'!$B8</f>
        <v>0.11317795639415915</v>
      </c>
      <c r="I173" s="104">
        <f>(I$133+I$114+I$119+I$124+I$129)*'Dairy NOx by AB'!$B8</f>
        <v>4.3818218437581685E-2</v>
      </c>
      <c r="J173" s="104">
        <f>(J$133+J$114+J$119+J$124+J$129)*'Dairy NOx by AB'!$B8</f>
        <v>7.5639402555342072E-2</v>
      </c>
      <c r="K173" s="104">
        <f>(K$133+K$114+K$119+K$124+K$129)*'Dairy NOx by AB'!$B8</f>
        <v>1.9273999971213658E-2</v>
      </c>
      <c r="L173" s="104">
        <f>(L$133+L$114+L$119+L$124+L$129)*'Dairy NOx by AB'!$B8</f>
        <v>0</v>
      </c>
      <c r="M173" s="104">
        <f>(M$133+M$114+M$119+M$124+M$129)*'Dairy NOx by AB'!$B8</f>
        <v>0</v>
      </c>
      <c r="N173" s="104">
        <f>(N$133+N$114+N$119+N$124+N$129)*'Dairy NOx by AB'!$B8</f>
        <v>0</v>
      </c>
      <c r="O173" s="104">
        <f>(O$133+O$114+O$119+O$124+O$129)*'Dairy NOx by AB'!$B8</f>
        <v>1.4065372269881089E-3</v>
      </c>
      <c r="P173" s="104">
        <f>(P$133+P$114+P$119+P$124+P$129)*'Dairy NOx by AB'!$B8</f>
        <v>2.020041922097536E-2</v>
      </c>
      <c r="Q173" s="104">
        <f>(Q$133+Q$114+Q$119+Q$124+Q$129)*'Dairy NOx by AB'!$B8</f>
        <v>3.2967083086353863E-2</v>
      </c>
      <c r="R173" s="104">
        <f>(R$133+R$114+R$119+R$124+R$129)*'Dairy NOx by AB'!$B8</f>
        <v>3.2967083086353856E-2</v>
      </c>
      <c r="S173" s="104">
        <f>(S$133+S$114+S$119+S$124+S$129)*'Dairy NOx by AB'!$B8</f>
        <v>7.8772713999561136E-2</v>
      </c>
      <c r="T173" s="104">
        <f>(T$133+T$114+T$119+T$124+T$129)*'Dairy NOx by AB'!$B8</f>
        <v>7.8772713999561095E-2</v>
      </c>
      <c r="U173" s="104">
        <f>(U$133+U$114+U$119+U$124+U$129)*'Dairy NOx by AB'!$B8</f>
        <v>9.4537215730783553E-2</v>
      </c>
      <c r="V173" s="104">
        <f>(V$133+V$114+V$119+V$124+V$129)*'Dairy NOx by AB'!$B8</f>
        <v>0.11800292712855508</v>
      </c>
      <c r="W173" s="104">
        <f>(W$133+W$114+W$119+W$124+W$129)*'Dairy NOx by AB'!$B8</f>
        <v>0.1157879245779381</v>
      </c>
      <c r="X173" s="104">
        <f>(X$133+X$114+X$119+X$124+X$129)*'Dairy NOx by AB'!$B8</f>
        <v>0.1164365137376917</v>
      </c>
      <c r="Y173" s="104">
        <f>(Y$133+Y$114+Y$119+Y$124+Y$129)*'Dairy NOx by AB'!$B8</f>
        <v>0.11718658460253129</v>
      </c>
      <c r="Z173" s="104">
        <f>(Z$133+Z$114+Z$119+Z$124+Z$129)*'Dairy NOx by AB'!$B8</f>
        <v>0.1018210363613432</v>
      </c>
      <c r="AA173" s="104">
        <f>(AA$133+AA$114+AA$119+AA$124+AA$129)*'Dairy NOx by AB'!$B8</f>
        <v>9.4033482519986805E-2</v>
      </c>
      <c r="AB173" s="175">
        <f>(AB$133+AB$114+AB$119+AB$124+AB$129)*'Dairy NOx by AB'!$B8</f>
        <v>8.7929175111816527E-2</v>
      </c>
      <c r="AD173" s="232">
        <f>(D$142+D$161+D$147+D$152+D$157)*'Dairy NOx by AB'!$B8</f>
        <v>0</v>
      </c>
      <c r="AE173" s="232">
        <f>(E$142+E$161+E$147+E$152+E$157)*'Dairy NOx by AB'!$B8</f>
        <v>0</v>
      </c>
      <c r="AF173" s="232">
        <f>(F$142+F$161+F$147+F$152+F$157)*'Dairy NOx by AB'!$B8</f>
        <v>0</v>
      </c>
      <c r="AG173" s="232">
        <f>(G$142+G$161+G$147+G$152+G$157)*'Dairy NOx by AB'!$B8</f>
        <v>0.13239025723952363</v>
      </c>
      <c r="AH173" s="232">
        <f>(H$142+H$161+H$147+H$152+H$157)*'Dairy NOx by AB'!$B8</f>
        <v>0.14913005119097425</v>
      </c>
      <c r="AI173" s="232">
        <f>(I$142+I$161+I$147+I$152+I$157)*'Dairy NOx by AB'!$B8</f>
        <v>5.6308445825969035E-2</v>
      </c>
      <c r="AJ173" s="232">
        <f>(J$142+J$161+J$147+J$152+J$157)*'Dairy NOx by AB'!$B8</f>
        <v>9.3418114580819292E-2</v>
      </c>
      <c r="AK173" s="232">
        <f>(K$142+K$161+K$147+K$152+K$157)*'Dairy NOx by AB'!$B8</f>
        <v>2.3956970022546899E-2</v>
      </c>
      <c r="AL173" s="232">
        <f>(L$142+L$161+L$147+L$152+L$157)*'Dairy NOx by AB'!$B8</f>
        <v>0</v>
      </c>
      <c r="AM173" s="232">
        <f>(M$142+M$161+M$147+M$152+M$157)*'Dairy NOx by AB'!$B8</f>
        <v>0</v>
      </c>
      <c r="AN173" s="232">
        <f>(N$142+N$161+N$147+N$152+N$157)*'Dairy NOx by AB'!$B8</f>
        <v>0</v>
      </c>
      <c r="AO173" s="232">
        <f>(O$142+O$161+O$147+O$152+O$157)*'Dairy NOx by AB'!$B8</f>
        <v>1.6058826355430118E-3</v>
      </c>
      <c r="AP173" s="232">
        <f>(P$142+P$161+P$147+P$152+P$157)*'Dairy NOx by AB'!$B8</f>
        <v>2.3063379934221865E-2</v>
      </c>
      <c r="AQ173" s="232">
        <f>(Q$142+Q$161+Q$147+Q$152+Q$157)*'Dairy NOx by AB'!$B8</f>
        <v>3.7639434816983314E-2</v>
      </c>
      <c r="AR173" s="232">
        <f>(R$142+R$161+R$147+R$152+R$157)*'Dairy NOx by AB'!$B8</f>
        <v>3.7639434816983293E-2</v>
      </c>
      <c r="AS173" s="232">
        <f>(S$142+S$161+S$147+S$152+S$157)*'Dairy NOx by AB'!$B8</f>
        <v>8.9936996432985666E-2</v>
      </c>
      <c r="AT173" s="232">
        <f>(T$142+T$161+T$147+T$152+T$157)*'Dairy NOx by AB'!$B8</f>
        <v>8.9936996432985625E-2</v>
      </c>
      <c r="AU173" s="232">
        <f>(U$142+U$161+U$147+U$152+U$157)*'Dairy NOx by AB'!$B8</f>
        <v>0.11042614641100489</v>
      </c>
      <c r="AV173" s="232">
        <f>(V$142+V$161+V$147+V$152+V$157)*'Dairy NOx by AB'!$B8</f>
        <v>0.14092457182064669</v>
      </c>
      <c r="AW173" s="232">
        <f>(W$142+W$161+W$147+W$152+W$157)*'Dairy NOx by AB'!$B8</f>
        <v>0.13804572920100319</v>
      </c>
      <c r="AX173" s="232">
        <f>(X$142+X$161+X$147+X$152+X$157)*'Dairy NOx by AB'!$B8</f>
        <v>0.1388887016459863</v>
      </c>
      <c r="AY173" s="232">
        <f>(Y$142+Y$161+Y$147+Y$152+Y$157)*'Dairy NOx by AB'!$B8</f>
        <v>0.13986357003738006</v>
      </c>
      <c r="AZ173" s="232">
        <f>(Z$142+Z$161+Z$147+Z$152+Z$157)*'Dairy NOx by AB'!$B8</f>
        <v>0.11989294059562225</v>
      </c>
      <c r="BA173" s="232">
        <f>(AA$142+AA$161+AA$147+AA$152+AA$157)*'Dairy NOx by AB'!$B8</f>
        <v>0.10977144349169334</v>
      </c>
      <c r="BB173" s="232">
        <f>(AB$142+AB$161+AB$147+AB$152+AB$157)*'Dairy NOx by AB'!$B8</f>
        <v>0.10183766466821027</v>
      </c>
    </row>
    <row r="174" spans="1:56" ht="15" customHeight="1">
      <c r="A174" s="464"/>
      <c r="B174" s="2" t="s">
        <v>259</v>
      </c>
      <c r="C174" s="53" t="s">
        <v>65</v>
      </c>
      <c r="D174" s="104">
        <f>(D$133+D$114+D$119+D$124+D$129)*'Dairy NOx by AB'!$B9</f>
        <v>0</v>
      </c>
      <c r="E174" s="104">
        <f>(E$133+E$114+E$119+E$124+E$129)*'Dairy NOx by AB'!$B9</f>
        <v>0</v>
      </c>
      <c r="F174" s="104">
        <f>(F$133+F$114+F$119+F$124+F$129)*'Dairy NOx by AB'!$B9</f>
        <v>0</v>
      </c>
      <c r="G174" s="104">
        <f>(G$133+G$114+G$119+G$124+G$129)*'Dairy NOx by AB'!$B9</f>
        <v>0</v>
      </c>
      <c r="H174" s="104">
        <f>(H$133+H$114+H$119+H$124+H$129)*'Dairy NOx by AB'!$B9</f>
        <v>0</v>
      </c>
      <c r="I174" s="104">
        <f>(I$133+I$114+I$119+I$124+I$129)*'Dairy NOx by AB'!$B9</f>
        <v>0</v>
      </c>
      <c r="J174" s="104">
        <f>(J$133+J$114+J$119+J$124+J$129)*'Dairy NOx by AB'!$B9</f>
        <v>0</v>
      </c>
      <c r="K174" s="104">
        <f>(K$133+K$114+K$119+K$124+K$129)*'Dairy NOx by AB'!$B9</f>
        <v>0</v>
      </c>
      <c r="L174" s="104">
        <f>(L$133+L$114+L$119+L$124+L$129)*'Dairy NOx by AB'!$B9</f>
        <v>0</v>
      </c>
      <c r="M174" s="104">
        <f>(M$133+M$114+M$119+M$124+M$129)*'Dairy NOx by AB'!$B9</f>
        <v>0</v>
      </c>
      <c r="N174" s="104">
        <f>(N$133+N$114+N$119+N$124+N$129)*'Dairy NOx by AB'!$B9</f>
        <v>0</v>
      </c>
      <c r="O174" s="104">
        <f>(O$133+O$114+O$119+O$124+O$129)*'Dairy NOx by AB'!$B9</f>
        <v>0</v>
      </c>
      <c r="P174" s="104">
        <f>(P$133+P$114+P$119+P$124+P$129)*'Dairy NOx by AB'!$B9</f>
        <v>0</v>
      </c>
      <c r="Q174" s="104">
        <f>(Q$133+Q$114+Q$119+Q$124+Q$129)*'Dairy NOx by AB'!$B9</f>
        <v>0</v>
      </c>
      <c r="R174" s="104">
        <f>(R$133+R$114+R$119+R$124+R$129)*'Dairy NOx by AB'!$B9</f>
        <v>0</v>
      </c>
      <c r="S174" s="104">
        <f>(S$133+S$114+S$119+S$124+S$129)*'Dairy NOx by AB'!$B9</f>
        <v>0</v>
      </c>
      <c r="T174" s="104">
        <f>(T$133+T$114+T$119+T$124+T$129)*'Dairy NOx by AB'!$B9</f>
        <v>0</v>
      </c>
      <c r="U174" s="104">
        <f>(U$133+U$114+U$119+U$124+U$129)*'Dairy NOx by AB'!$B9</f>
        <v>0</v>
      </c>
      <c r="V174" s="104">
        <f>(V$133+V$114+V$119+V$124+V$129)*'Dairy NOx by AB'!$B9</f>
        <v>0</v>
      </c>
      <c r="W174" s="104">
        <f>(W$133+W$114+W$119+W$124+W$129)*'Dairy NOx by AB'!$B9</f>
        <v>0</v>
      </c>
      <c r="X174" s="104">
        <f>(X$133+X$114+X$119+X$124+X$129)*'Dairy NOx by AB'!$B9</f>
        <v>0</v>
      </c>
      <c r="Y174" s="104">
        <f>(Y$133+Y$114+Y$119+Y$124+Y$129)*'Dairy NOx by AB'!$B9</f>
        <v>0</v>
      </c>
      <c r="Z174" s="104">
        <f>(Z$133+Z$114+Z$119+Z$124+Z$129)*'Dairy NOx by AB'!$B9</f>
        <v>0</v>
      </c>
      <c r="AA174" s="104">
        <f>(AA$133+AA$114+AA$119+AA$124+AA$129)*'Dairy NOx by AB'!$B9</f>
        <v>0</v>
      </c>
      <c r="AB174" s="175">
        <f>(AB$133+AB$114+AB$119+AB$124+AB$129)*'Dairy NOx by AB'!$B9</f>
        <v>0</v>
      </c>
      <c r="AD174" s="232">
        <f>(D$142+D$161+D$147+D$152+D$157)*'Dairy NOx by AB'!$B9</f>
        <v>0</v>
      </c>
      <c r="AE174" s="232">
        <f>(E$142+E$161+E$147+E$152+E$157)*'Dairy NOx by AB'!$B9</f>
        <v>0</v>
      </c>
      <c r="AF174" s="232">
        <f>(F$142+F$161+F$147+F$152+F$157)*'Dairy NOx by AB'!$B9</f>
        <v>0</v>
      </c>
      <c r="AG174" s="232">
        <f>(G$142+G$161+G$147+G$152+G$157)*'Dairy NOx by AB'!$B9</f>
        <v>0</v>
      </c>
      <c r="AH174" s="232">
        <f>(H$142+H$161+H$147+H$152+H$157)*'Dairy NOx by AB'!$B9</f>
        <v>0</v>
      </c>
      <c r="AI174" s="232">
        <f>(I$142+I$161+I$147+I$152+I$157)*'Dairy NOx by AB'!$B9</f>
        <v>0</v>
      </c>
      <c r="AJ174" s="232">
        <f>(J$142+J$161+J$147+J$152+J$157)*'Dairy NOx by AB'!$B9</f>
        <v>0</v>
      </c>
      <c r="AK174" s="232">
        <f>(K$142+K$161+K$147+K$152+K$157)*'Dairy NOx by AB'!$B9</f>
        <v>0</v>
      </c>
      <c r="AL174" s="232">
        <f>(L$142+L$161+L$147+L$152+L$157)*'Dairy NOx by AB'!$B9</f>
        <v>0</v>
      </c>
      <c r="AM174" s="232">
        <f>(M$142+M$161+M$147+M$152+M$157)*'Dairy NOx by AB'!$B9</f>
        <v>0</v>
      </c>
      <c r="AN174" s="232">
        <f>(N$142+N$161+N$147+N$152+N$157)*'Dairy NOx by AB'!$B9</f>
        <v>0</v>
      </c>
      <c r="AO174" s="232">
        <f>(O$142+O$161+O$147+O$152+O$157)*'Dairy NOx by AB'!$B9</f>
        <v>0</v>
      </c>
      <c r="AP174" s="232">
        <f>(P$142+P$161+P$147+P$152+P$157)*'Dairy NOx by AB'!$B9</f>
        <v>0</v>
      </c>
      <c r="AQ174" s="232">
        <f>(Q$142+Q$161+Q$147+Q$152+Q$157)*'Dairy NOx by AB'!$B9</f>
        <v>0</v>
      </c>
      <c r="AR174" s="232">
        <f>(R$142+R$161+R$147+R$152+R$157)*'Dairy NOx by AB'!$B9</f>
        <v>0</v>
      </c>
      <c r="AS174" s="232">
        <f>(S$142+S$161+S$147+S$152+S$157)*'Dairy NOx by AB'!$B9</f>
        <v>0</v>
      </c>
      <c r="AT174" s="232">
        <f>(T$142+T$161+T$147+T$152+T$157)*'Dairy NOx by AB'!$B9</f>
        <v>0</v>
      </c>
      <c r="AU174" s="232">
        <f>(U$142+U$161+U$147+U$152+U$157)*'Dairy NOx by AB'!$B9</f>
        <v>0</v>
      </c>
      <c r="AV174" s="232">
        <f>(V$142+V$161+V$147+V$152+V$157)*'Dairy NOx by AB'!$B9</f>
        <v>0</v>
      </c>
      <c r="AW174" s="232">
        <f>(W$142+W$161+W$147+W$152+W$157)*'Dairy NOx by AB'!$B9</f>
        <v>0</v>
      </c>
      <c r="AX174" s="232">
        <f>(X$142+X$161+X$147+X$152+X$157)*'Dairy NOx by AB'!$B9</f>
        <v>0</v>
      </c>
      <c r="AY174" s="232">
        <f>(Y$142+Y$161+Y$147+Y$152+Y$157)*'Dairy NOx by AB'!$B9</f>
        <v>0</v>
      </c>
      <c r="AZ174" s="232">
        <f>(Z$142+Z$161+Z$147+Z$152+Z$157)*'Dairy NOx by AB'!$B9</f>
        <v>0</v>
      </c>
      <c r="BA174" s="232">
        <f>(AA$142+AA$161+AA$147+AA$152+AA$157)*'Dairy NOx by AB'!$B9</f>
        <v>0</v>
      </c>
      <c r="BB174" s="232">
        <f>(AB$142+AB$161+AB$147+AB$152+AB$157)*'Dairy NOx by AB'!$B9</f>
        <v>0</v>
      </c>
    </row>
    <row r="175" spans="1:56" ht="15" customHeight="1">
      <c r="A175" s="464"/>
      <c r="B175" s="2" t="s">
        <v>260</v>
      </c>
      <c r="C175" s="53" t="s">
        <v>65</v>
      </c>
      <c r="D175" s="104">
        <f>(D$133+D$114+D$119+D$124+D$129)*'Dairy NOx by AB'!$B10</f>
        <v>0</v>
      </c>
      <c r="E175" s="104">
        <f>(E$133+E$114+E$119+E$124+E$129)*'Dairy NOx by AB'!$B10</f>
        <v>0</v>
      </c>
      <c r="F175" s="104">
        <f>(F$133+F$114+F$119+F$124+F$129)*'Dairy NOx by AB'!$B10</f>
        <v>0</v>
      </c>
      <c r="G175" s="104">
        <f>(G$133+G$114+G$119+G$124+G$129)*'Dairy NOx by AB'!$B10</f>
        <v>0.43637876631234357</v>
      </c>
      <c r="H175" s="104">
        <f>(H$133+H$114+H$119+H$124+H$129)*'Dairy NOx by AB'!$B10</f>
        <v>0.49043781104135625</v>
      </c>
      <c r="I175" s="104">
        <f>(I$133+I$114+I$119+I$124+I$129)*'Dairy NOx by AB'!$B10</f>
        <v>0.18987894656285395</v>
      </c>
      <c r="J175" s="104">
        <f>(J$133+J$114+J$119+J$124+J$129)*'Dairy NOx by AB'!$B10</f>
        <v>0.3277707444064823</v>
      </c>
      <c r="K175" s="104">
        <f>(K$133+K$114+K$119+K$124+K$129)*'Dairy NOx by AB'!$B10</f>
        <v>8.3520666541925845E-2</v>
      </c>
      <c r="L175" s="104">
        <f>(L$133+L$114+L$119+L$124+L$129)*'Dairy NOx by AB'!$B10</f>
        <v>0</v>
      </c>
      <c r="M175" s="104">
        <f>(M$133+M$114+M$119+M$124+M$129)*'Dairy NOx by AB'!$B10</f>
        <v>0</v>
      </c>
      <c r="N175" s="104">
        <f>(N$133+N$114+N$119+N$124+N$129)*'Dairy NOx by AB'!$B10</f>
        <v>0</v>
      </c>
      <c r="O175" s="104">
        <f>(O$133+O$114+O$119+O$124+O$129)*'Dairy NOx by AB'!$B10</f>
        <v>6.0949946502818052E-3</v>
      </c>
      <c r="P175" s="104">
        <f>(P$133+P$114+P$119+P$124+P$129)*'Dairy NOx by AB'!$B10</f>
        <v>8.7535149957559885E-2</v>
      </c>
      <c r="Q175" s="104">
        <f>(Q$133+Q$114+Q$119+Q$124+Q$129)*'Dairy NOx by AB'!$B10</f>
        <v>0.14285736004086674</v>
      </c>
      <c r="R175" s="104">
        <f>(R$133+R$114+R$119+R$124+R$129)*'Dairy NOx by AB'!$B10</f>
        <v>0.14285736004086669</v>
      </c>
      <c r="S175" s="104">
        <f>(S$133+S$114+S$119+S$124+S$129)*'Dairy NOx by AB'!$B10</f>
        <v>0.34134842733143156</v>
      </c>
      <c r="T175" s="104">
        <f>(T$133+T$114+T$119+T$124+T$129)*'Dairy NOx by AB'!$B10</f>
        <v>0.34134842733143139</v>
      </c>
      <c r="U175" s="104">
        <f>(U$133+U$114+U$119+U$124+U$129)*'Dairy NOx by AB'!$B10</f>
        <v>0.40966126816672865</v>
      </c>
      <c r="V175" s="104">
        <f>(V$133+V$114+V$119+V$124+V$129)*'Dairy NOx by AB'!$B10</f>
        <v>0.51134601755707199</v>
      </c>
      <c r="W175" s="104">
        <f>(W$133+W$114+W$119+W$124+W$129)*'Dairy NOx by AB'!$B10</f>
        <v>0.50174767317106506</v>
      </c>
      <c r="X175" s="104">
        <f>(X$133+X$114+X$119+X$124+X$129)*'Dairy NOx by AB'!$B10</f>
        <v>0.50455822619666402</v>
      </c>
      <c r="Y175" s="104">
        <f>(Y$133+Y$114+Y$119+Y$124+Y$129)*'Dairy NOx by AB'!$B10</f>
        <v>0.50780853327763553</v>
      </c>
      <c r="Z175" s="104">
        <f>(Z$133+Z$114+Z$119+Z$124+Z$129)*'Dairy NOx by AB'!$B10</f>
        <v>0.44122449089915378</v>
      </c>
      <c r="AA175" s="104">
        <f>(AA$133+AA$114+AA$119+AA$124+AA$129)*'Dairy NOx by AB'!$B10</f>
        <v>0.40747842425327613</v>
      </c>
      <c r="AB175" s="175">
        <f>(AB$133+AB$114+AB$119+AB$124+AB$129)*'Dairy NOx by AB'!$B10</f>
        <v>0.38102642548453824</v>
      </c>
      <c r="AD175" s="232">
        <f>(D$142+D$161+D$147+D$152+D$157)*'Dairy NOx by AB'!$B10</f>
        <v>0</v>
      </c>
      <c r="AE175" s="232">
        <f>(E$142+E$161+E$147+E$152+E$157)*'Dairy NOx by AB'!$B10</f>
        <v>0</v>
      </c>
      <c r="AF175" s="232">
        <f>(F$142+F$161+F$147+F$152+F$157)*'Dairy NOx by AB'!$B10</f>
        <v>0</v>
      </c>
      <c r="AG175" s="232">
        <f>(G$142+G$161+G$147+G$152+G$157)*'Dairy NOx by AB'!$B10</f>
        <v>0.57369111470460243</v>
      </c>
      <c r="AH175" s="232">
        <f>(H$142+H$161+H$147+H$152+H$157)*'Dairy NOx by AB'!$B10</f>
        <v>0.64623022182755496</v>
      </c>
      <c r="AI175" s="232">
        <f>(I$142+I$161+I$147+I$152+I$157)*'Dairy NOx by AB'!$B10</f>
        <v>0.2440032652458658</v>
      </c>
      <c r="AJ175" s="232">
        <f>(J$142+J$161+J$147+J$152+J$157)*'Dairy NOx by AB'!$B10</f>
        <v>0.40481182985021691</v>
      </c>
      <c r="AK175" s="232">
        <f>(K$142+K$161+K$147+K$152+K$157)*'Dairy NOx by AB'!$B10</f>
        <v>0.1038135367643699</v>
      </c>
      <c r="AL175" s="232">
        <f>(L$142+L$161+L$147+L$152+L$157)*'Dairy NOx by AB'!$B10</f>
        <v>0</v>
      </c>
      <c r="AM175" s="232">
        <f>(M$142+M$161+M$147+M$152+M$157)*'Dairy NOx by AB'!$B10</f>
        <v>0</v>
      </c>
      <c r="AN175" s="232">
        <f>(N$142+N$161+N$147+N$152+N$157)*'Dairy NOx by AB'!$B10</f>
        <v>0</v>
      </c>
      <c r="AO175" s="232">
        <f>(O$142+O$161+O$147+O$152+O$157)*'Dairy NOx by AB'!$B10</f>
        <v>6.9588247540197171E-3</v>
      </c>
      <c r="AP175" s="232">
        <f>(P$142+P$161+P$147+P$152+P$157)*'Dairy NOx by AB'!$B10</f>
        <v>9.9941313048294747E-2</v>
      </c>
      <c r="AQ175" s="232">
        <f>(Q$142+Q$161+Q$147+Q$152+Q$157)*'Dairy NOx by AB'!$B10</f>
        <v>0.16310421754026103</v>
      </c>
      <c r="AR175" s="232">
        <f>(R$142+R$161+R$147+R$152+R$157)*'Dairy NOx by AB'!$B10</f>
        <v>0.16310421754026094</v>
      </c>
      <c r="AS175" s="232">
        <f>(S$142+S$161+S$147+S$152+S$157)*'Dairy NOx by AB'!$B10</f>
        <v>0.38972698454293786</v>
      </c>
      <c r="AT175" s="232">
        <f>(T$142+T$161+T$147+T$152+T$157)*'Dairy NOx by AB'!$B10</f>
        <v>0.38972698454293769</v>
      </c>
      <c r="AU175" s="232">
        <f>(U$142+U$161+U$147+U$152+U$157)*'Dairy NOx by AB'!$B10</f>
        <v>0.47851330111435447</v>
      </c>
      <c r="AV175" s="232">
        <f>(V$142+V$161+V$147+V$152+V$157)*'Dairy NOx by AB'!$B10</f>
        <v>0.61067314455613553</v>
      </c>
      <c r="AW175" s="232">
        <f>(W$142+W$161+W$147+W$152+W$157)*'Dairy NOx by AB'!$B10</f>
        <v>0.59819815987101388</v>
      </c>
      <c r="AX175" s="232">
        <f>(X$142+X$161+X$147+X$152+X$157)*'Dairy NOx by AB'!$B10</f>
        <v>0.60185104046594062</v>
      </c>
      <c r="AY175" s="232">
        <f>(Y$142+Y$161+Y$147+Y$152+Y$157)*'Dairy NOx by AB'!$B10</f>
        <v>0.60607547016198027</v>
      </c>
      <c r="AZ175" s="232">
        <f>(Z$142+Z$161+Z$147+Z$152+Z$157)*'Dairy NOx by AB'!$B10</f>
        <v>0.51953607591436302</v>
      </c>
      <c r="BA175" s="232">
        <f>(AA$142+AA$161+AA$147+AA$152+AA$157)*'Dairy NOx by AB'!$B10</f>
        <v>0.47567625513067108</v>
      </c>
      <c r="BB175" s="232">
        <f>(AB$142+AB$161+AB$147+AB$152+AB$157)*'Dairy NOx by AB'!$B10</f>
        <v>0.44129654689557779</v>
      </c>
    </row>
    <row r="176" spans="1:56" ht="15" customHeight="1">
      <c r="A176" s="464"/>
      <c r="B176" s="2" t="s">
        <v>261</v>
      </c>
      <c r="C176" s="53" t="s">
        <v>65</v>
      </c>
      <c r="D176" s="104">
        <f>(D$133+D$114+D$119+D$124+D$129)*'Dairy NOx by AB'!$B11</f>
        <v>0</v>
      </c>
      <c r="E176" s="104">
        <f>(E$133+E$114+E$119+E$124+E$129)*'Dairy NOx by AB'!$B11</f>
        <v>0</v>
      </c>
      <c r="F176" s="104">
        <f>(F$133+F$114+F$119+F$124+F$129)*'Dairy NOx by AB'!$B11</f>
        <v>0</v>
      </c>
      <c r="G176" s="104">
        <f>(G$133+G$114+G$119+G$124+G$129)*'Dairy NOx by AB'!$B11</f>
        <v>3.3567597408641819E-2</v>
      </c>
      <c r="H176" s="104">
        <f>(H$133+H$114+H$119+H$124+H$129)*'Dairy NOx by AB'!$B11</f>
        <v>3.7725985464719711E-2</v>
      </c>
      <c r="I176" s="104">
        <f>(I$133+I$114+I$119+I$124+I$129)*'Dairy NOx by AB'!$B11</f>
        <v>1.4606072812527227E-2</v>
      </c>
      <c r="J176" s="104">
        <f>(J$133+J$114+J$119+J$124+J$129)*'Dairy NOx by AB'!$B11</f>
        <v>2.5213134185114023E-2</v>
      </c>
      <c r="K176" s="104">
        <f>(K$133+K$114+K$119+K$124+K$129)*'Dairy NOx by AB'!$B11</f>
        <v>6.4246666570712194E-3</v>
      </c>
      <c r="L176" s="104">
        <f>(L$133+L$114+L$119+L$124+L$129)*'Dairy NOx by AB'!$B11</f>
        <v>0</v>
      </c>
      <c r="M176" s="104">
        <f>(M$133+M$114+M$119+M$124+M$129)*'Dairy NOx by AB'!$B11</f>
        <v>0</v>
      </c>
      <c r="N176" s="104">
        <f>(N$133+N$114+N$119+N$124+N$129)*'Dairy NOx by AB'!$B11</f>
        <v>0</v>
      </c>
      <c r="O176" s="104">
        <f>(O$133+O$114+O$119+O$124+O$129)*'Dairy NOx by AB'!$B11</f>
        <v>4.6884574232936965E-4</v>
      </c>
      <c r="P176" s="104">
        <f>(P$133+P$114+P$119+P$124+P$129)*'Dairy NOx by AB'!$B11</f>
        <v>6.7334730736584528E-3</v>
      </c>
      <c r="Q176" s="104">
        <f>(Q$133+Q$114+Q$119+Q$124+Q$129)*'Dairy NOx by AB'!$B11</f>
        <v>1.0989027695451289E-2</v>
      </c>
      <c r="R176" s="104">
        <f>(R$133+R$114+R$119+R$124+R$129)*'Dairy NOx by AB'!$B11</f>
        <v>1.0989027695451285E-2</v>
      </c>
      <c r="S176" s="104">
        <f>(S$133+S$114+S$119+S$124+S$129)*'Dairy NOx by AB'!$B11</f>
        <v>2.6257571333187044E-2</v>
      </c>
      <c r="T176" s="104">
        <f>(T$133+T$114+T$119+T$124+T$129)*'Dairy NOx by AB'!$B11</f>
        <v>2.625757133318703E-2</v>
      </c>
      <c r="U176" s="104">
        <f>(U$133+U$114+U$119+U$124+U$129)*'Dairy NOx by AB'!$B11</f>
        <v>3.1512405243594513E-2</v>
      </c>
      <c r="V176" s="104">
        <f>(V$133+V$114+V$119+V$124+V$129)*'Dairy NOx by AB'!$B11</f>
        <v>3.9334309042851692E-2</v>
      </c>
      <c r="W176" s="104">
        <f>(W$133+W$114+W$119+W$124+W$129)*'Dairy NOx by AB'!$B11</f>
        <v>3.8595974859312696E-2</v>
      </c>
      <c r="X176" s="104">
        <f>(X$133+X$114+X$119+X$124+X$129)*'Dairy NOx by AB'!$B11</f>
        <v>3.8812171245897233E-2</v>
      </c>
      <c r="Y176" s="104">
        <f>(Y$133+Y$114+Y$119+Y$124+Y$129)*'Dairy NOx by AB'!$B11</f>
        <v>3.9062194867510426E-2</v>
      </c>
      <c r="Z176" s="104">
        <f>(Z$133+Z$114+Z$119+Z$124+Z$129)*'Dairy NOx by AB'!$B11</f>
        <v>3.3940345453781065E-2</v>
      </c>
      <c r="AA176" s="104">
        <f>(AA$133+AA$114+AA$119+AA$124+AA$129)*'Dairy NOx by AB'!$B11</f>
        <v>3.1344494173328935E-2</v>
      </c>
      <c r="AB176" s="175">
        <f>(AB$133+AB$114+AB$119+AB$124+AB$129)*'Dairy NOx by AB'!$B11</f>
        <v>2.9309725037272173E-2</v>
      </c>
      <c r="AD176" s="232">
        <f>(D$142+D$161+D$147+D$152+D$157)*'Dairy NOx by AB'!$B11</f>
        <v>0</v>
      </c>
      <c r="AE176" s="232">
        <f>(E$142+E$161+E$147+E$152+E$157)*'Dairy NOx by AB'!$B11</f>
        <v>0</v>
      </c>
      <c r="AF176" s="232">
        <f>(F$142+F$161+F$147+F$152+F$157)*'Dairy NOx by AB'!$B11</f>
        <v>0</v>
      </c>
      <c r="AG176" s="232">
        <f>(G$142+G$161+G$147+G$152+G$157)*'Dairy NOx by AB'!$B11</f>
        <v>4.4130085746507883E-2</v>
      </c>
      <c r="AH176" s="232">
        <f>(H$142+H$161+H$147+H$152+H$157)*'Dairy NOx by AB'!$B11</f>
        <v>4.9710017063658081E-2</v>
      </c>
      <c r="AI176" s="232">
        <f>(I$142+I$161+I$147+I$152+I$157)*'Dairy NOx by AB'!$B11</f>
        <v>1.8769481941989678E-2</v>
      </c>
      <c r="AJ176" s="232">
        <f>(J$142+J$161+J$147+J$152+J$157)*'Dairy NOx by AB'!$B11</f>
        <v>3.1139371526939765E-2</v>
      </c>
      <c r="AK176" s="232">
        <f>(K$142+K$161+K$147+K$152+K$157)*'Dairy NOx by AB'!$B11</f>
        <v>7.9856566741822992E-3</v>
      </c>
      <c r="AL176" s="232">
        <f>(L$142+L$161+L$147+L$152+L$157)*'Dairy NOx by AB'!$B11</f>
        <v>0</v>
      </c>
      <c r="AM176" s="232">
        <f>(M$142+M$161+M$147+M$152+M$157)*'Dairy NOx by AB'!$B11</f>
        <v>0</v>
      </c>
      <c r="AN176" s="232">
        <f>(N$142+N$161+N$147+N$152+N$157)*'Dairy NOx by AB'!$B11</f>
        <v>0</v>
      </c>
      <c r="AO176" s="232">
        <f>(O$142+O$161+O$147+O$152+O$157)*'Dairy NOx by AB'!$B11</f>
        <v>5.3529421184767055E-4</v>
      </c>
      <c r="AP176" s="232">
        <f>(P$142+P$161+P$147+P$152+P$157)*'Dairy NOx by AB'!$B11</f>
        <v>7.6877933114072889E-3</v>
      </c>
      <c r="AQ176" s="232">
        <f>(Q$142+Q$161+Q$147+Q$152+Q$157)*'Dairy NOx by AB'!$B11</f>
        <v>1.2546478272327771E-2</v>
      </c>
      <c r="AR176" s="232">
        <f>(R$142+R$161+R$147+R$152+R$157)*'Dairy NOx by AB'!$B11</f>
        <v>1.2546478272327764E-2</v>
      </c>
      <c r="AS176" s="232">
        <f>(S$142+S$161+S$147+S$152+S$157)*'Dairy NOx by AB'!$B11</f>
        <v>2.9978998810995222E-2</v>
      </c>
      <c r="AT176" s="232">
        <f>(T$142+T$161+T$147+T$152+T$157)*'Dairy NOx by AB'!$B11</f>
        <v>2.9978998810995208E-2</v>
      </c>
      <c r="AU176" s="232">
        <f>(U$142+U$161+U$147+U$152+U$157)*'Dairy NOx by AB'!$B11</f>
        <v>3.6808715470334957E-2</v>
      </c>
      <c r="AV176" s="232">
        <f>(V$142+V$161+V$147+V$152+V$157)*'Dairy NOx by AB'!$B11</f>
        <v>4.6974857273548894E-2</v>
      </c>
      <c r="AW176" s="232">
        <f>(W$142+W$161+W$147+W$152+W$157)*'Dairy NOx by AB'!$B11</f>
        <v>4.6015243067001069E-2</v>
      </c>
      <c r="AX176" s="232">
        <f>(X$142+X$161+X$147+X$152+X$157)*'Dairy NOx by AB'!$B11</f>
        <v>4.6296233881995434E-2</v>
      </c>
      <c r="AY176" s="232">
        <f>(Y$142+Y$161+Y$147+Y$152+Y$157)*'Dairy NOx by AB'!$B11</f>
        <v>4.6621190012460019E-2</v>
      </c>
      <c r="AZ176" s="232">
        <f>(Z$142+Z$161+Z$147+Z$152+Z$157)*'Dairy NOx by AB'!$B11</f>
        <v>3.9964313531874081E-2</v>
      </c>
      <c r="BA176" s="232">
        <f>(AA$142+AA$161+AA$147+AA$152+AA$157)*'Dairy NOx by AB'!$B11</f>
        <v>3.6590481163897778E-2</v>
      </c>
      <c r="BB176" s="232">
        <f>(AB$142+AB$161+AB$147+AB$152+AB$157)*'Dairy NOx by AB'!$B11</f>
        <v>3.3945888222736753E-2</v>
      </c>
    </row>
    <row r="177" spans="1:56" ht="15" customHeight="1">
      <c r="A177" s="464"/>
      <c r="B177" s="2" t="s">
        <v>262</v>
      </c>
      <c r="C177" s="53" t="s">
        <v>65</v>
      </c>
      <c r="D177" s="104">
        <f>(D$133+D$114+D$119+D$124+D$129)*'Dairy NOx by AB'!$B12</f>
        <v>0</v>
      </c>
      <c r="E177" s="104">
        <f>(E$133+E$114+E$119+E$124+E$129)*'Dairy NOx by AB'!$B12</f>
        <v>0</v>
      </c>
      <c r="F177" s="104">
        <f>(F$133+F$114+F$119+F$124+F$129)*'Dairy NOx by AB'!$B12</f>
        <v>0</v>
      </c>
      <c r="G177" s="104">
        <f>(G$133+G$114+G$119+G$124+G$129)*'Dairy NOx by AB'!$B12</f>
        <v>0</v>
      </c>
      <c r="H177" s="104">
        <f>(H$133+H$114+H$119+H$124+H$129)*'Dairy NOx by AB'!$B12</f>
        <v>0</v>
      </c>
      <c r="I177" s="104">
        <f>(I$133+I$114+I$119+I$124+I$129)*'Dairy NOx by AB'!$B12</f>
        <v>0</v>
      </c>
      <c r="J177" s="104">
        <f>(J$133+J$114+J$119+J$124+J$129)*'Dairy NOx by AB'!$B12</f>
        <v>0</v>
      </c>
      <c r="K177" s="104">
        <f>(K$133+K$114+K$119+K$124+K$129)*'Dairy NOx by AB'!$B12</f>
        <v>0</v>
      </c>
      <c r="L177" s="104">
        <f>(L$133+L$114+L$119+L$124+L$129)*'Dairy NOx by AB'!$B12</f>
        <v>0</v>
      </c>
      <c r="M177" s="104">
        <f>(M$133+M$114+M$119+M$124+M$129)*'Dairy NOx by AB'!$B12</f>
        <v>0</v>
      </c>
      <c r="N177" s="104">
        <f>(N$133+N$114+N$119+N$124+N$129)*'Dairy NOx by AB'!$B12</f>
        <v>0</v>
      </c>
      <c r="O177" s="104">
        <f>(O$133+O$114+O$119+O$124+O$129)*'Dairy NOx by AB'!$B12</f>
        <v>0</v>
      </c>
      <c r="P177" s="104">
        <f>(P$133+P$114+P$119+P$124+P$129)*'Dairy NOx by AB'!$B12</f>
        <v>0</v>
      </c>
      <c r="Q177" s="104">
        <f>(Q$133+Q$114+Q$119+Q$124+Q$129)*'Dairy NOx by AB'!$B12</f>
        <v>0</v>
      </c>
      <c r="R177" s="104">
        <f>(R$133+R$114+R$119+R$124+R$129)*'Dairy NOx by AB'!$B12</f>
        <v>0</v>
      </c>
      <c r="S177" s="104">
        <f>(S$133+S$114+S$119+S$124+S$129)*'Dairy NOx by AB'!$B12</f>
        <v>0</v>
      </c>
      <c r="T177" s="104">
        <f>(T$133+T$114+T$119+T$124+T$129)*'Dairy NOx by AB'!$B12</f>
        <v>0</v>
      </c>
      <c r="U177" s="104">
        <f>(U$133+U$114+U$119+U$124+U$129)*'Dairy NOx by AB'!$B12</f>
        <v>0</v>
      </c>
      <c r="V177" s="104">
        <f>(V$133+V$114+V$119+V$124+V$129)*'Dairy NOx by AB'!$B12</f>
        <v>0</v>
      </c>
      <c r="W177" s="104">
        <f>(W$133+W$114+W$119+W$124+W$129)*'Dairy NOx by AB'!$B12</f>
        <v>0</v>
      </c>
      <c r="X177" s="104">
        <f>(X$133+X$114+X$119+X$124+X$129)*'Dairy NOx by AB'!$B12</f>
        <v>0</v>
      </c>
      <c r="Y177" s="104">
        <f>(Y$133+Y$114+Y$119+Y$124+Y$129)*'Dairy NOx by AB'!$B12</f>
        <v>0</v>
      </c>
      <c r="Z177" s="104">
        <f>(Z$133+Z$114+Z$119+Z$124+Z$129)*'Dairy NOx by AB'!$B12</f>
        <v>0</v>
      </c>
      <c r="AA177" s="104">
        <f>(AA$133+AA$114+AA$119+AA$124+AA$129)*'Dairy NOx by AB'!$B12</f>
        <v>0</v>
      </c>
      <c r="AB177" s="175">
        <f>(AB$133+AB$114+AB$119+AB$124+AB$129)*'Dairy NOx by AB'!$B12</f>
        <v>0</v>
      </c>
      <c r="AD177" s="232">
        <f>(D$142+D$161+D$147+D$152+D$157)*'Dairy NOx by AB'!$B12</f>
        <v>0</v>
      </c>
      <c r="AE177" s="232">
        <f>(E$142+E$161+E$147+E$152+E$157)*'Dairy NOx by AB'!$B12</f>
        <v>0</v>
      </c>
      <c r="AF177" s="232">
        <f>(F$142+F$161+F$147+F$152+F$157)*'Dairy NOx by AB'!$B12</f>
        <v>0</v>
      </c>
      <c r="AG177" s="232">
        <f>(G$142+G$161+G$147+G$152+G$157)*'Dairy NOx by AB'!$B12</f>
        <v>0</v>
      </c>
      <c r="AH177" s="232">
        <f>(H$142+H$161+H$147+H$152+H$157)*'Dairy NOx by AB'!$B12</f>
        <v>0</v>
      </c>
      <c r="AI177" s="232">
        <f>(I$142+I$161+I$147+I$152+I$157)*'Dairy NOx by AB'!$B12</f>
        <v>0</v>
      </c>
      <c r="AJ177" s="232">
        <f>(J$142+J$161+J$147+J$152+J$157)*'Dairy NOx by AB'!$B12</f>
        <v>0</v>
      </c>
      <c r="AK177" s="232">
        <f>(K$142+K$161+K$147+K$152+K$157)*'Dairy NOx by AB'!$B12</f>
        <v>0</v>
      </c>
      <c r="AL177" s="232">
        <f>(L$142+L$161+L$147+L$152+L$157)*'Dairy NOx by AB'!$B12</f>
        <v>0</v>
      </c>
      <c r="AM177" s="232">
        <f>(M$142+M$161+M$147+M$152+M$157)*'Dairy NOx by AB'!$B12</f>
        <v>0</v>
      </c>
      <c r="AN177" s="232">
        <f>(N$142+N$161+N$147+N$152+N$157)*'Dairy NOx by AB'!$B12</f>
        <v>0</v>
      </c>
      <c r="AO177" s="232">
        <f>(O$142+O$161+O$147+O$152+O$157)*'Dairy NOx by AB'!$B12</f>
        <v>0</v>
      </c>
      <c r="AP177" s="232">
        <f>(P$142+P$161+P$147+P$152+P$157)*'Dairy NOx by AB'!$B12</f>
        <v>0</v>
      </c>
      <c r="AQ177" s="232">
        <f>(Q$142+Q$161+Q$147+Q$152+Q$157)*'Dairy NOx by AB'!$B12</f>
        <v>0</v>
      </c>
      <c r="AR177" s="232">
        <f>(R$142+R$161+R$147+R$152+R$157)*'Dairy NOx by AB'!$B12</f>
        <v>0</v>
      </c>
      <c r="AS177" s="232">
        <f>(S$142+S$161+S$147+S$152+S$157)*'Dairy NOx by AB'!$B12</f>
        <v>0</v>
      </c>
      <c r="AT177" s="232">
        <f>(T$142+T$161+T$147+T$152+T$157)*'Dairy NOx by AB'!$B12</f>
        <v>0</v>
      </c>
      <c r="AU177" s="232">
        <f>(U$142+U$161+U$147+U$152+U$157)*'Dairy NOx by AB'!$B12</f>
        <v>0</v>
      </c>
      <c r="AV177" s="232">
        <f>(V$142+V$161+V$147+V$152+V$157)*'Dairy NOx by AB'!$B12</f>
        <v>0</v>
      </c>
      <c r="AW177" s="232">
        <f>(W$142+W$161+W$147+W$152+W$157)*'Dairy NOx by AB'!$B12</f>
        <v>0</v>
      </c>
      <c r="AX177" s="232">
        <f>(X$142+X$161+X$147+X$152+X$157)*'Dairy NOx by AB'!$B12</f>
        <v>0</v>
      </c>
      <c r="AY177" s="232">
        <f>(Y$142+Y$161+Y$147+Y$152+Y$157)*'Dairy NOx by AB'!$B12</f>
        <v>0</v>
      </c>
      <c r="AZ177" s="232">
        <f>(Z$142+Z$161+Z$147+Z$152+Z$157)*'Dairy NOx by AB'!$B12</f>
        <v>0</v>
      </c>
      <c r="BA177" s="232">
        <f>(AA$142+AA$161+AA$147+AA$152+AA$157)*'Dairy NOx by AB'!$B12</f>
        <v>0</v>
      </c>
      <c r="BB177" s="232">
        <f>(AB$142+AB$161+AB$147+AB$152+AB$157)*'Dairy NOx by AB'!$B12</f>
        <v>0</v>
      </c>
    </row>
    <row r="178" spans="1:56" ht="15" customHeight="1">
      <c r="A178" s="464"/>
      <c r="B178" s="2" t="s">
        <v>263</v>
      </c>
      <c r="C178" s="53" t="s">
        <v>65</v>
      </c>
      <c r="D178" s="104">
        <f>(D$133+D$114+D$119+D$124+D$129)*'Dairy NOx by AB'!$B13</f>
        <v>0</v>
      </c>
      <c r="E178" s="104">
        <f>(E$133+E$114+E$119+E$124+E$129)*'Dairy NOx by AB'!$B13</f>
        <v>0</v>
      </c>
      <c r="F178" s="104">
        <f>(F$133+F$114+F$119+F$124+F$129)*'Dairy NOx by AB'!$B13</f>
        <v>0</v>
      </c>
      <c r="G178" s="104">
        <f>(G$133+G$114+G$119+G$124+G$129)*'Dairy NOx by AB'!$B13</f>
        <v>0</v>
      </c>
      <c r="H178" s="104">
        <f>(H$133+H$114+H$119+H$124+H$129)*'Dairy NOx by AB'!$B13</f>
        <v>0</v>
      </c>
      <c r="I178" s="104">
        <f>(I$133+I$114+I$119+I$124+I$129)*'Dairy NOx by AB'!$B13</f>
        <v>0</v>
      </c>
      <c r="J178" s="104">
        <f>(J$133+J$114+J$119+J$124+J$129)*'Dairy NOx by AB'!$B13</f>
        <v>0</v>
      </c>
      <c r="K178" s="104">
        <f>(K$133+K$114+K$119+K$124+K$129)*'Dairy NOx by AB'!$B13</f>
        <v>0</v>
      </c>
      <c r="L178" s="104">
        <f>(L$133+L$114+L$119+L$124+L$129)*'Dairy NOx by AB'!$B13</f>
        <v>0</v>
      </c>
      <c r="M178" s="104">
        <f>(M$133+M$114+M$119+M$124+M$129)*'Dairy NOx by AB'!$B13</f>
        <v>0</v>
      </c>
      <c r="N178" s="104">
        <f>(N$133+N$114+N$119+N$124+N$129)*'Dairy NOx by AB'!$B13</f>
        <v>0</v>
      </c>
      <c r="O178" s="104">
        <f>(O$133+O$114+O$119+O$124+O$129)*'Dairy NOx by AB'!$B13</f>
        <v>0</v>
      </c>
      <c r="P178" s="104">
        <f>(P$133+P$114+P$119+P$124+P$129)*'Dairy NOx by AB'!$B13</f>
        <v>0</v>
      </c>
      <c r="Q178" s="104">
        <f>(Q$133+Q$114+Q$119+Q$124+Q$129)*'Dairy NOx by AB'!$B13</f>
        <v>0</v>
      </c>
      <c r="R178" s="104">
        <f>(R$133+R$114+R$119+R$124+R$129)*'Dairy NOx by AB'!$B13</f>
        <v>0</v>
      </c>
      <c r="S178" s="104">
        <f>(S$133+S$114+S$119+S$124+S$129)*'Dairy NOx by AB'!$B13</f>
        <v>0</v>
      </c>
      <c r="T178" s="104">
        <f>(T$133+T$114+T$119+T$124+T$129)*'Dairy NOx by AB'!$B13</f>
        <v>0</v>
      </c>
      <c r="U178" s="104">
        <f>(U$133+U$114+U$119+U$124+U$129)*'Dairy NOx by AB'!$B13</f>
        <v>0</v>
      </c>
      <c r="V178" s="104">
        <f>(V$133+V$114+V$119+V$124+V$129)*'Dairy NOx by AB'!$B13</f>
        <v>0</v>
      </c>
      <c r="W178" s="104">
        <f>(W$133+W$114+W$119+W$124+W$129)*'Dairy NOx by AB'!$B13</f>
        <v>0</v>
      </c>
      <c r="X178" s="104">
        <f>(X$133+X$114+X$119+X$124+X$129)*'Dairy NOx by AB'!$B13</f>
        <v>0</v>
      </c>
      <c r="Y178" s="104">
        <f>(Y$133+Y$114+Y$119+Y$124+Y$129)*'Dairy NOx by AB'!$B13</f>
        <v>0</v>
      </c>
      <c r="Z178" s="104">
        <f>(Z$133+Z$114+Z$119+Z$124+Z$129)*'Dairy NOx by AB'!$B13</f>
        <v>0</v>
      </c>
      <c r="AA178" s="104">
        <f>(AA$133+AA$114+AA$119+AA$124+AA$129)*'Dairy NOx by AB'!$B13</f>
        <v>0</v>
      </c>
      <c r="AB178" s="175">
        <f>(AB$133+AB$114+AB$119+AB$124+AB$129)*'Dairy NOx by AB'!$B13</f>
        <v>0</v>
      </c>
      <c r="AD178" s="232">
        <f>(D$142+D$161+D$147+D$152+D$157)*'Dairy NOx by AB'!$B13</f>
        <v>0</v>
      </c>
      <c r="AE178" s="232">
        <f>(E$142+E$161+E$147+E$152+E$157)*'Dairy NOx by AB'!$B13</f>
        <v>0</v>
      </c>
      <c r="AF178" s="232">
        <f>(F$142+F$161+F$147+F$152+F$157)*'Dairy NOx by AB'!$B13</f>
        <v>0</v>
      </c>
      <c r="AG178" s="232">
        <f>(G$142+G$161+G$147+G$152+G$157)*'Dairy NOx by AB'!$B13</f>
        <v>0</v>
      </c>
      <c r="AH178" s="232">
        <f>(H$142+H$161+H$147+H$152+H$157)*'Dairy NOx by AB'!$B13</f>
        <v>0</v>
      </c>
      <c r="AI178" s="232">
        <f>(I$142+I$161+I$147+I$152+I$157)*'Dairy NOx by AB'!$B13</f>
        <v>0</v>
      </c>
      <c r="AJ178" s="232">
        <f>(J$142+J$161+J$147+J$152+J$157)*'Dairy NOx by AB'!$B13</f>
        <v>0</v>
      </c>
      <c r="AK178" s="232">
        <f>(K$142+K$161+K$147+K$152+K$157)*'Dairy NOx by AB'!$B13</f>
        <v>0</v>
      </c>
      <c r="AL178" s="232">
        <f>(L$142+L$161+L$147+L$152+L$157)*'Dairy NOx by AB'!$B13</f>
        <v>0</v>
      </c>
      <c r="AM178" s="232">
        <f>(M$142+M$161+M$147+M$152+M$157)*'Dairy NOx by AB'!$B13</f>
        <v>0</v>
      </c>
      <c r="AN178" s="232">
        <f>(N$142+N$161+N$147+N$152+N$157)*'Dairy NOx by AB'!$B13</f>
        <v>0</v>
      </c>
      <c r="AO178" s="232">
        <f>(O$142+O$161+O$147+O$152+O$157)*'Dairy NOx by AB'!$B13</f>
        <v>0</v>
      </c>
      <c r="AP178" s="232">
        <f>(P$142+P$161+P$147+P$152+P$157)*'Dairy NOx by AB'!$B13</f>
        <v>0</v>
      </c>
      <c r="AQ178" s="232">
        <f>(Q$142+Q$161+Q$147+Q$152+Q$157)*'Dairy NOx by AB'!$B13</f>
        <v>0</v>
      </c>
      <c r="AR178" s="232">
        <f>(R$142+R$161+R$147+R$152+R$157)*'Dairy NOx by AB'!$B13</f>
        <v>0</v>
      </c>
      <c r="AS178" s="232">
        <f>(S$142+S$161+S$147+S$152+S$157)*'Dairy NOx by AB'!$B13</f>
        <v>0</v>
      </c>
      <c r="AT178" s="232">
        <f>(T$142+T$161+T$147+T$152+T$157)*'Dairy NOx by AB'!$B13</f>
        <v>0</v>
      </c>
      <c r="AU178" s="232">
        <f>(U$142+U$161+U$147+U$152+U$157)*'Dairy NOx by AB'!$B13</f>
        <v>0</v>
      </c>
      <c r="AV178" s="232">
        <f>(V$142+V$161+V$147+V$152+V$157)*'Dairy NOx by AB'!$B13</f>
        <v>0</v>
      </c>
      <c r="AW178" s="232">
        <f>(W$142+W$161+W$147+W$152+W$157)*'Dairy NOx by AB'!$B13</f>
        <v>0</v>
      </c>
      <c r="AX178" s="232">
        <f>(X$142+X$161+X$147+X$152+X$157)*'Dairy NOx by AB'!$B13</f>
        <v>0</v>
      </c>
      <c r="AY178" s="232">
        <f>(Y$142+Y$161+Y$147+Y$152+Y$157)*'Dairy NOx by AB'!$B13</f>
        <v>0</v>
      </c>
      <c r="AZ178" s="232">
        <f>(Z$142+Z$161+Z$147+Z$152+Z$157)*'Dairy NOx by AB'!$B13</f>
        <v>0</v>
      </c>
      <c r="BA178" s="232">
        <f>(AA$142+AA$161+AA$147+AA$152+AA$157)*'Dairy NOx by AB'!$B13</f>
        <v>0</v>
      </c>
      <c r="BB178" s="232">
        <f>(AB$142+AB$161+AB$147+AB$152+AB$157)*'Dairy NOx by AB'!$B13</f>
        <v>0</v>
      </c>
      <c r="BC178" s="4" t="s">
        <v>264</v>
      </c>
      <c r="BD178" s="4"/>
    </row>
    <row r="179" spans="1:56" ht="15" customHeight="1">
      <c r="A179" s="464"/>
      <c r="B179" s="2" t="s">
        <v>265</v>
      </c>
      <c r="C179" s="53" t="s">
        <v>65</v>
      </c>
      <c r="D179" s="104">
        <f>(D$133+D$114+D$119+D$124+D$129)*'Dairy NOx by AB'!$B14</f>
        <v>0</v>
      </c>
      <c r="E179" s="104">
        <f>(E$133+E$114+E$119+E$124+E$129)*'Dairy NOx by AB'!$B14</f>
        <v>0</v>
      </c>
      <c r="F179" s="104">
        <f>(F$133+F$114+F$119+F$124+F$129)*'Dairy NOx by AB'!$B14</f>
        <v>0</v>
      </c>
      <c r="G179" s="104">
        <f>(G$133+G$114+G$119+G$124+G$129)*'Dairy NOx by AB'!$B14</f>
        <v>31.486406369306021</v>
      </c>
      <c r="H179" s="104">
        <f>(H$133+H$114+H$119+H$124+H$129)*'Dairy NOx by AB'!$B14</f>
        <v>35.386974365907086</v>
      </c>
      <c r="I179" s="104">
        <f>(I$133+I$114+I$119+I$124+I$129)*'Dairy NOx by AB'!$B14</f>
        <v>13.700496298150538</v>
      </c>
      <c r="J179" s="104">
        <f>(J$133+J$114+J$119+J$124+J$129)*'Dairy NOx by AB'!$B14</f>
        <v>23.649919865636953</v>
      </c>
      <c r="K179" s="104">
        <f>(K$133+K$114+K$119+K$124+K$129)*'Dairy NOx by AB'!$B14</f>
        <v>6.0263373243328031</v>
      </c>
      <c r="L179" s="104">
        <f>(L$133+L$114+L$119+L$124+L$129)*'Dairy NOx by AB'!$B14</f>
        <v>0</v>
      </c>
      <c r="M179" s="104">
        <f>(M$133+M$114+M$119+M$124+M$129)*'Dairy NOx by AB'!$B14</f>
        <v>0</v>
      </c>
      <c r="N179" s="104">
        <f>(N$133+N$114+N$119+N$124+N$129)*'Dairy NOx by AB'!$B14</f>
        <v>0</v>
      </c>
      <c r="O179" s="104">
        <f>(O$133+O$114+O$119+O$124+O$129)*'Dairy NOx by AB'!$B14</f>
        <v>0.43977730630494871</v>
      </c>
      <c r="P179" s="104">
        <f>(P$133+P$114+P$119+P$124+P$129)*'Dairy NOx by AB'!$B14</f>
        <v>6.3159977430916285</v>
      </c>
      <c r="Q179" s="104">
        <f>(Q$133+Q$114+Q$119+Q$124+Q$129)*'Dairy NOx by AB'!$B14</f>
        <v>10.307707978333307</v>
      </c>
      <c r="R179" s="104">
        <f>(R$133+R$114+R$119+R$124+R$129)*'Dairy NOx by AB'!$B14</f>
        <v>10.307707978333305</v>
      </c>
      <c r="S179" s="104">
        <f>(S$133+S$114+S$119+S$124+S$129)*'Dairy NOx by AB'!$B14</f>
        <v>24.629601910529445</v>
      </c>
      <c r="T179" s="104">
        <f>(T$133+T$114+T$119+T$124+T$129)*'Dairy NOx by AB'!$B14</f>
        <v>24.629601910529434</v>
      </c>
      <c r="U179" s="104">
        <f>(U$133+U$114+U$119+U$124+U$129)*'Dairy NOx by AB'!$B14</f>
        <v>29.558636118491652</v>
      </c>
      <c r="V179" s="104">
        <f>(V$133+V$114+V$119+V$124+V$129)*'Dairy NOx by AB'!$B14</f>
        <v>36.895581882194882</v>
      </c>
      <c r="W179" s="104">
        <f>(W$133+W$114+W$119+W$124+W$129)*'Dairy NOx by AB'!$B14</f>
        <v>36.203024418035305</v>
      </c>
      <c r="X179" s="104">
        <f>(X$133+X$114+X$119+X$124+X$129)*'Dairy NOx by AB'!$B14</f>
        <v>36.4058166286516</v>
      </c>
      <c r="Y179" s="104">
        <f>(Y$133+Y$114+Y$119+Y$124+Y$129)*'Dairy NOx by AB'!$B14</f>
        <v>36.640338785724779</v>
      </c>
      <c r="Z179" s="104">
        <f>(Z$133+Z$114+Z$119+Z$124+Z$129)*'Dairy NOx by AB'!$B14</f>
        <v>31.836044035646637</v>
      </c>
      <c r="AA179" s="104">
        <f>(AA$133+AA$114+AA$119+AA$124+AA$129)*'Dairy NOx by AB'!$B14</f>
        <v>29.401135534582536</v>
      </c>
      <c r="AB179" s="175">
        <f>(AB$133+AB$114+AB$119+AB$124+AB$129)*'Dairy NOx by AB'!$B14</f>
        <v>27.492522084961298</v>
      </c>
      <c r="AD179" s="232">
        <f>(D$142+D$161+D$147+D$152+D$157)*'Dairy NOx by AB'!$B14</f>
        <v>0</v>
      </c>
      <c r="AE179" s="232">
        <f>(E$142+E$161+E$147+E$152+E$157)*'Dairy NOx by AB'!$B14</f>
        <v>0</v>
      </c>
      <c r="AF179" s="232">
        <f>(F$142+F$161+F$147+F$152+F$157)*'Dairy NOx by AB'!$B14</f>
        <v>0</v>
      </c>
      <c r="AG179" s="232">
        <f>(G$142+G$161+G$147+G$152+G$157)*'Dairy NOx by AB'!$B14</f>
        <v>41.394020430224387</v>
      </c>
      <c r="AH179" s="232">
        <f>(H$142+H$161+H$147+H$152+H$157)*'Dairy NOx by AB'!$B14</f>
        <v>46.627996005711275</v>
      </c>
      <c r="AI179" s="232">
        <f>(I$142+I$161+I$147+I$152+I$157)*'Dairy NOx by AB'!$B14</f>
        <v>17.605774061586317</v>
      </c>
      <c r="AJ179" s="232">
        <f>(J$142+J$161+J$147+J$152+J$157)*'Dairy NOx by AB'!$B14</f>
        <v>29.208730492269499</v>
      </c>
      <c r="AK179" s="232">
        <f>(K$142+K$161+K$147+K$152+K$157)*'Dairy NOx by AB'!$B14</f>
        <v>7.4905459603829971</v>
      </c>
      <c r="AL179" s="232">
        <f>(L$142+L$161+L$147+L$152+L$157)*'Dairy NOx by AB'!$B14</f>
        <v>0</v>
      </c>
      <c r="AM179" s="232">
        <f>(M$142+M$161+M$147+M$152+M$157)*'Dairy NOx by AB'!$B14</f>
        <v>0</v>
      </c>
      <c r="AN179" s="232">
        <f>(N$142+N$161+N$147+N$152+N$157)*'Dairy NOx by AB'!$B14</f>
        <v>0</v>
      </c>
      <c r="AO179" s="232">
        <f>(O$142+O$161+O$147+O$152+O$157)*'Dairy NOx by AB'!$B14</f>
        <v>0.50210597071311491</v>
      </c>
      <c r="AP179" s="232">
        <f>(P$142+P$161+P$147+P$152+P$157)*'Dairy NOx by AB'!$B14</f>
        <v>7.2111501261000361</v>
      </c>
      <c r="AQ179" s="232">
        <f>(Q$142+Q$161+Q$147+Q$152+Q$157)*'Dairy NOx by AB'!$B14</f>
        <v>11.768596619443448</v>
      </c>
      <c r="AR179" s="232">
        <f>(R$142+R$161+R$147+R$152+R$157)*'Dairy NOx by AB'!$B14</f>
        <v>11.768596619443443</v>
      </c>
      <c r="AS179" s="232">
        <f>(S$142+S$161+S$147+S$152+S$157)*'Dairy NOx by AB'!$B14</f>
        <v>28.120300884713515</v>
      </c>
      <c r="AT179" s="232">
        <f>(T$142+T$161+T$147+T$152+T$157)*'Dairy NOx by AB'!$B14</f>
        <v>28.120300884713505</v>
      </c>
      <c r="AU179" s="232">
        <f>(U$142+U$161+U$147+U$152+U$157)*'Dairy NOx by AB'!$B14</f>
        <v>34.526575111174189</v>
      </c>
      <c r="AV179" s="232">
        <f>(V$142+V$161+V$147+V$152+V$157)*'Dairy NOx by AB'!$B14</f>
        <v>44.062416122588857</v>
      </c>
      <c r="AW179" s="232">
        <f>(W$142+W$161+W$147+W$152+W$157)*'Dairy NOx by AB'!$B14</f>
        <v>43.162297996846995</v>
      </c>
      <c r="AX179" s="232">
        <f>(X$142+X$161+X$147+X$152+X$157)*'Dairy NOx by AB'!$B14</f>
        <v>43.425867381311711</v>
      </c>
      <c r="AY179" s="232">
        <f>(Y$142+Y$161+Y$147+Y$152+Y$157)*'Dairy NOx by AB'!$B14</f>
        <v>43.730676231687497</v>
      </c>
      <c r="AZ179" s="232">
        <f>(Z$142+Z$161+Z$147+Z$152+Z$157)*'Dairy NOx by AB'!$B14</f>
        <v>37.48652609289789</v>
      </c>
      <c r="BA179" s="232">
        <f>(AA$142+AA$161+AA$147+AA$152+AA$157)*'Dairy NOx by AB'!$B14</f>
        <v>34.321871331736112</v>
      </c>
      <c r="BB179" s="232">
        <f>(AB$142+AB$161+AB$147+AB$152+AB$157)*'Dairy NOx by AB'!$B14</f>
        <v>31.841243152927074</v>
      </c>
      <c r="BC179" s="4" t="s">
        <v>266</v>
      </c>
      <c r="BD179" s="4"/>
    </row>
    <row r="180" spans="1:56" ht="15" customHeight="1">
      <c r="A180" s="464"/>
      <c r="B180" s="2" t="s">
        <v>267</v>
      </c>
      <c r="C180" s="53" t="s">
        <v>65</v>
      </c>
      <c r="D180" s="104">
        <f>(D$133+D$114+D$119+D$124+D$129)*'Dairy NOx by AB'!$B15</f>
        <v>0</v>
      </c>
      <c r="E180" s="104">
        <f>(E$133+E$114+E$119+E$124+E$129)*'Dairy NOx by AB'!$B15</f>
        <v>0</v>
      </c>
      <c r="F180" s="104">
        <f>(F$133+F$114+F$119+F$124+F$129)*'Dairy NOx by AB'!$B15</f>
        <v>0</v>
      </c>
      <c r="G180" s="104">
        <f>(G$133+G$114+G$119+G$124+G$129)*'Dairy NOx by AB'!$B15</f>
        <v>0</v>
      </c>
      <c r="H180" s="104">
        <f>(H$133+H$114+H$119+H$124+H$129)*'Dairy NOx by AB'!$B15</f>
        <v>0</v>
      </c>
      <c r="I180" s="104">
        <f>(I$133+I$114+I$119+I$124+I$129)*'Dairy NOx by AB'!$B15</f>
        <v>0</v>
      </c>
      <c r="J180" s="104">
        <f>(J$133+J$114+J$119+J$124+J$129)*'Dairy NOx by AB'!$B15</f>
        <v>0</v>
      </c>
      <c r="K180" s="104">
        <f>(K$133+K$114+K$119+K$124+K$129)*'Dairy NOx by AB'!$B15</f>
        <v>0</v>
      </c>
      <c r="L180" s="104">
        <f>(L$133+L$114+L$119+L$124+L$129)*'Dairy NOx by AB'!$B15</f>
        <v>0</v>
      </c>
      <c r="M180" s="104">
        <f>(M$133+M$114+M$119+M$124+M$129)*'Dairy NOx by AB'!$B15</f>
        <v>0</v>
      </c>
      <c r="N180" s="104">
        <f>(N$133+N$114+N$119+N$124+N$129)*'Dairy NOx by AB'!$B15</f>
        <v>0</v>
      </c>
      <c r="O180" s="104">
        <f>(O$133+O$114+O$119+O$124+O$129)*'Dairy NOx by AB'!$B15</f>
        <v>0</v>
      </c>
      <c r="P180" s="104">
        <f>(P$133+P$114+P$119+P$124+P$129)*'Dairy NOx by AB'!$B15</f>
        <v>0</v>
      </c>
      <c r="Q180" s="104">
        <f>(Q$133+Q$114+Q$119+Q$124+Q$129)*'Dairy NOx by AB'!$B15</f>
        <v>0</v>
      </c>
      <c r="R180" s="104">
        <f>(R$133+R$114+R$119+R$124+R$129)*'Dairy NOx by AB'!$B15</f>
        <v>0</v>
      </c>
      <c r="S180" s="104">
        <f>(S$133+S$114+S$119+S$124+S$129)*'Dairy NOx by AB'!$B15</f>
        <v>0</v>
      </c>
      <c r="T180" s="104">
        <f>(T$133+T$114+T$119+T$124+T$129)*'Dairy NOx by AB'!$B15</f>
        <v>0</v>
      </c>
      <c r="U180" s="104">
        <f>(U$133+U$114+U$119+U$124+U$129)*'Dairy NOx by AB'!$B15</f>
        <v>0</v>
      </c>
      <c r="V180" s="104">
        <f>(V$133+V$114+V$119+V$124+V$129)*'Dairy NOx by AB'!$B15</f>
        <v>0</v>
      </c>
      <c r="W180" s="104">
        <f>(W$133+W$114+W$119+W$124+W$129)*'Dairy NOx by AB'!$B15</f>
        <v>0</v>
      </c>
      <c r="X180" s="104">
        <f>(X$133+X$114+X$119+X$124+X$129)*'Dairy NOx by AB'!$B15</f>
        <v>0</v>
      </c>
      <c r="Y180" s="104">
        <f>(Y$133+Y$114+Y$119+Y$124+Y$129)*'Dairy NOx by AB'!$B15</f>
        <v>0</v>
      </c>
      <c r="Z180" s="104">
        <f>(Z$133+Z$114+Z$119+Z$124+Z$129)*'Dairy NOx by AB'!$B15</f>
        <v>0</v>
      </c>
      <c r="AA180" s="104">
        <f>(AA$133+AA$114+AA$119+AA$124+AA$129)*'Dairy NOx by AB'!$B15</f>
        <v>0</v>
      </c>
      <c r="AB180" s="175">
        <f>(AB$133+AB$114+AB$119+AB$124+AB$129)*'Dairy NOx by AB'!$B15</f>
        <v>0</v>
      </c>
      <c r="AD180" s="232">
        <f>(D$142+D$161+D$147+D$152+D$157)*'Dairy NOx by AB'!$B15</f>
        <v>0</v>
      </c>
      <c r="AE180" s="232">
        <f>(E$142+E$161+E$147+E$152+E$157)*'Dairy NOx by AB'!$B15</f>
        <v>0</v>
      </c>
      <c r="AF180" s="232">
        <f>(F$142+F$161+F$147+F$152+F$157)*'Dairy NOx by AB'!$B15</f>
        <v>0</v>
      </c>
      <c r="AG180" s="232">
        <f>(G$142+G$161+G$147+G$152+G$157)*'Dairy NOx by AB'!$B15</f>
        <v>0</v>
      </c>
      <c r="AH180" s="232">
        <f>(H$142+H$161+H$147+H$152+H$157)*'Dairy NOx by AB'!$B15</f>
        <v>0</v>
      </c>
      <c r="AI180" s="232">
        <f>(I$142+I$161+I$147+I$152+I$157)*'Dairy NOx by AB'!$B15</f>
        <v>0</v>
      </c>
      <c r="AJ180" s="232">
        <f>(J$142+J$161+J$147+J$152+J$157)*'Dairy NOx by AB'!$B15</f>
        <v>0</v>
      </c>
      <c r="AK180" s="232">
        <f>(K$142+K$161+K$147+K$152+K$157)*'Dairy NOx by AB'!$B15</f>
        <v>0</v>
      </c>
      <c r="AL180" s="232">
        <f>(L$142+L$161+L$147+L$152+L$157)*'Dairy NOx by AB'!$B15</f>
        <v>0</v>
      </c>
      <c r="AM180" s="232">
        <f>(M$142+M$161+M$147+M$152+M$157)*'Dairy NOx by AB'!$B15</f>
        <v>0</v>
      </c>
      <c r="AN180" s="232">
        <f>(N$142+N$161+N$147+N$152+N$157)*'Dairy NOx by AB'!$B15</f>
        <v>0</v>
      </c>
      <c r="AO180" s="232">
        <f>(O$142+O$161+O$147+O$152+O$157)*'Dairy NOx by AB'!$B15</f>
        <v>0</v>
      </c>
      <c r="AP180" s="232">
        <f>(P$142+P$161+P$147+P$152+P$157)*'Dairy NOx by AB'!$B15</f>
        <v>0</v>
      </c>
      <c r="AQ180" s="232">
        <f>(Q$142+Q$161+Q$147+Q$152+Q$157)*'Dairy NOx by AB'!$B15</f>
        <v>0</v>
      </c>
      <c r="AR180" s="232">
        <f>(R$142+R$161+R$147+R$152+R$157)*'Dairy NOx by AB'!$B15</f>
        <v>0</v>
      </c>
      <c r="AS180" s="232">
        <f>(S$142+S$161+S$147+S$152+S$157)*'Dairy NOx by AB'!$B15</f>
        <v>0</v>
      </c>
      <c r="AT180" s="232">
        <f>(T$142+T$161+T$147+T$152+T$157)*'Dairy NOx by AB'!$B15</f>
        <v>0</v>
      </c>
      <c r="AU180" s="232">
        <f>(U$142+U$161+U$147+U$152+U$157)*'Dairy NOx by AB'!$B15</f>
        <v>0</v>
      </c>
      <c r="AV180" s="232">
        <f>(V$142+V$161+V$147+V$152+V$157)*'Dairy NOx by AB'!$B15</f>
        <v>0</v>
      </c>
      <c r="AW180" s="232">
        <f>(W$142+W$161+W$147+W$152+W$157)*'Dairy NOx by AB'!$B15</f>
        <v>0</v>
      </c>
      <c r="AX180" s="232">
        <f>(X$142+X$161+X$147+X$152+X$157)*'Dairy NOx by AB'!$B15</f>
        <v>0</v>
      </c>
      <c r="AY180" s="232">
        <f>(Y$142+Y$161+Y$147+Y$152+Y$157)*'Dairy NOx by AB'!$B15</f>
        <v>0</v>
      </c>
      <c r="AZ180" s="232">
        <f>(Z$142+Z$161+Z$147+Z$152+Z$157)*'Dairy NOx by AB'!$B15</f>
        <v>0</v>
      </c>
      <c r="BA180" s="232">
        <f>(AA$142+AA$161+AA$147+AA$152+AA$157)*'Dairy NOx by AB'!$B15</f>
        <v>0</v>
      </c>
      <c r="BB180" s="232">
        <f>(AB$142+AB$161+AB$147+AB$152+AB$157)*'Dairy NOx by AB'!$B15</f>
        <v>0</v>
      </c>
    </row>
    <row r="181" spans="1:56" ht="15" customHeight="1">
      <c r="A181" s="464"/>
      <c r="B181" s="2" t="s">
        <v>268</v>
      </c>
      <c r="C181" s="67" t="s">
        <v>65</v>
      </c>
      <c r="D181" s="175">
        <f>(D$133+D$114+D$119+D$124+D$129)*'Dairy NOx by AB'!$B16</f>
        <v>0</v>
      </c>
      <c r="E181" s="175">
        <f>(E$133+E$114+E$119+E$124+E$129)*'Dairy NOx by AB'!$B16</f>
        <v>0</v>
      </c>
      <c r="F181" s="175">
        <f>(F$133+F$114+F$119+F$124+F$129)*'Dairy NOx by AB'!$B16</f>
        <v>0</v>
      </c>
      <c r="G181" s="175">
        <f>(G$133+G$114+G$119+G$124+G$129)*'Dairy NOx by AB'!$B16</f>
        <v>1.5105418833888817</v>
      </c>
      <c r="H181" s="175">
        <f>(H$133+H$114+H$119+H$124+H$129)*'Dairy NOx by AB'!$B16</f>
        <v>1.6976693459123871</v>
      </c>
      <c r="I181" s="175">
        <f>(I$133+I$114+I$119+I$124+I$129)*'Dairy NOx by AB'!$B16</f>
        <v>0.65727327656372514</v>
      </c>
      <c r="J181" s="175">
        <f>(J$133+J$114+J$119+J$124+J$129)*'Dairy NOx by AB'!$B16</f>
        <v>1.134591038330131</v>
      </c>
      <c r="K181" s="175">
        <f>(K$133+K$114+K$119+K$124+K$129)*'Dairy NOx by AB'!$B16</f>
        <v>0.28910999956820482</v>
      </c>
      <c r="L181" s="175">
        <f>(L$133+L$114+L$119+L$124+L$129)*'Dairy NOx by AB'!$B16</f>
        <v>0</v>
      </c>
      <c r="M181" s="175">
        <f>(M$133+M$114+M$119+M$124+M$129)*'Dairy NOx by AB'!$B16</f>
        <v>0</v>
      </c>
      <c r="N181" s="175">
        <f>(N$133+N$114+N$119+N$124+N$129)*'Dairy NOx by AB'!$B16</f>
        <v>0</v>
      </c>
      <c r="O181" s="175">
        <f>(O$133+O$114+O$119+O$124+O$129)*'Dairy NOx by AB'!$B16</f>
        <v>2.1098058404821634E-2</v>
      </c>
      <c r="P181" s="175">
        <f>(P$133+P$114+P$119+P$124+P$129)*'Dairy NOx by AB'!$B16</f>
        <v>0.30300628831463033</v>
      </c>
      <c r="Q181" s="175">
        <f>(Q$133+Q$114+Q$119+Q$124+Q$129)*'Dairy NOx by AB'!$B16</f>
        <v>0.49450624629530793</v>
      </c>
      <c r="R181" s="175">
        <f>(R$133+R$114+R$119+R$124+R$129)*'Dairy NOx by AB'!$B16</f>
        <v>0.49450624629530776</v>
      </c>
      <c r="S181" s="175">
        <f>(S$133+S$114+S$119+S$124+S$129)*'Dairy NOx by AB'!$B16</f>
        <v>1.1815907099934169</v>
      </c>
      <c r="T181" s="175">
        <f>(T$133+T$114+T$119+T$124+T$129)*'Dairy NOx by AB'!$B16</f>
        <v>1.1815907099934164</v>
      </c>
      <c r="U181" s="175">
        <f>(U$133+U$114+U$119+U$124+U$129)*'Dairy NOx by AB'!$B16</f>
        <v>1.4180582359617531</v>
      </c>
      <c r="V181" s="175">
        <f>(V$133+V$114+V$119+V$124+V$129)*'Dairy NOx by AB'!$B16</f>
        <v>1.770043906928326</v>
      </c>
      <c r="W181" s="175">
        <f>(W$133+W$114+W$119+W$124+W$129)*'Dairy NOx by AB'!$B16</f>
        <v>1.7368188686690713</v>
      </c>
      <c r="X181" s="175">
        <f>(X$133+X$114+X$119+X$124+X$129)*'Dairy NOx by AB'!$B16</f>
        <v>1.7465477060653753</v>
      </c>
      <c r="Y181" s="175">
        <f>(Y$133+Y$114+Y$119+Y$124+Y$129)*'Dairy NOx by AB'!$B16</f>
        <v>1.7577987690379693</v>
      </c>
      <c r="Z181" s="175">
        <f>(Z$133+Z$114+Z$119+Z$124+Z$129)*'Dairy NOx by AB'!$B16</f>
        <v>1.5273155454201477</v>
      </c>
      <c r="AA181" s="175">
        <f>(AA$133+AA$114+AA$119+AA$124+AA$129)*'Dairy NOx by AB'!$B16</f>
        <v>1.410502237799802</v>
      </c>
      <c r="AB181" s="175">
        <f>(AB$133+AB$114+AB$119+AB$124+AB$129)*'Dairy NOx by AB'!$B16</f>
        <v>1.3189376266772477</v>
      </c>
      <c r="AD181" s="232">
        <f>(D$142+D$161+D$147+D$152+D$157)*'Dairy NOx by AB'!$B16</f>
        <v>0</v>
      </c>
      <c r="AE181" s="232">
        <f>(E$142+E$161+E$147+E$152+E$157)*'Dairy NOx by AB'!$B16</f>
        <v>0</v>
      </c>
      <c r="AF181" s="232">
        <f>(F$142+F$161+F$147+F$152+F$157)*'Dairy NOx by AB'!$B16</f>
        <v>0</v>
      </c>
      <c r="AG181" s="232">
        <f>(G$142+G$161+G$147+G$152+G$157)*'Dairy NOx by AB'!$B16</f>
        <v>1.9858538585928545</v>
      </c>
      <c r="AH181" s="232">
        <f>(H$142+H$161+H$147+H$152+H$157)*'Dairy NOx by AB'!$B16</f>
        <v>2.2369507678646134</v>
      </c>
      <c r="AI181" s="232">
        <f>(I$142+I$161+I$147+I$152+I$157)*'Dairy NOx by AB'!$B16</f>
        <v>0.8446266873895355</v>
      </c>
      <c r="AJ181" s="232">
        <f>(J$142+J$161+J$147+J$152+J$157)*'Dairy NOx by AB'!$B16</f>
        <v>1.4012717187122894</v>
      </c>
      <c r="AK181" s="232">
        <f>(K$142+K$161+K$147+K$152+K$157)*'Dairy NOx by AB'!$B16</f>
        <v>0.35935455033820346</v>
      </c>
      <c r="AL181" s="232">
        <f>(L$142+L$161+L$147+L$152+L$157)*'Dairy NOx by AB'!$B16</f>
        <v>0</v>
      </c>
      <c r="AM181" s="232">
        <f>(M$142+M$161+M$147+M$152+M$157)*'Dairy NOx by AB'!$B16</f>
        <v>0</v>
      </c>
      <c r="AN181" s="232">
        <f>(N$142+N$161+N$147+N$152+N$157)*'Dairy NOx by AB'!$B16</f>
        <v>0</v>
      </c>
      <c r="AO181" s="232">
        <f>(O$142+O$161+O$147+O$152+O$157)*'Dairy NOx by AB'!$B16</f>
        <v>2.4088239533145175E-2</v>
      </c>
      <c r="AP181" s="232">
        <f>(P$142+P$161+P$147+P$152+P$157)*'Dairy NOx by AB'!$B16</f>
        <v>0.34595069901332798</v>
      </c>
      <c r="AQ181" s="232">
        <f>(Q$142+Q$161+Q$147+Q$152+Q$157)*'Dairy NOx by AB'!$B16</f>
        <v>0.56459152225474973</v>
      </c>
      <c r="AR181" s="232">
        <f>(R$142+R$161+R$147+R$152+R$157)*'Dairy NOx by AB'!$B16</f>
        <v>0.5645915222547494</v>
      </c>
      <c r="AS181" s="232">
        <f>(S$142+S$161+S$147+S$152+S$157)*'Dairy NOx by AB'!$B16</f>
        <v>1.349054946494785</v>
      </c>
      <c r="AT181" s="232">
        <f>(T$142+T$161+T$147+T$152+T$157)*'Dairy NOx by AB'!$B16</f>
        <v>1.3490549464947843</v>
      </c>
      <c r="AU181" s="232">
        <f>(U$142+U$161+U$147+U$152+U$157)*'Dairy NOx by AB'!$B16</f>
        <v>1.6563921961650732</v>
      </c>
      <c r="AV181" s="232">
        <f>(V$142+V$161+V$147+V$152+V$157)*'Dairy NOx by AB'!$B16</f>
        <v>2.1138685773097001</v>
      </c>
      <c r="AW181" s="232">
        <f>(W$142+W$161+W$147+W$152+W$157)*'Dairy NOx by AB'!$B16</f>
        <v>2.070685938015048</v>
      </c>
      <c r="AX181" s="232">
        <f>(X$142+X$161+X$147+X$152+X$157)*'Dairy NOx by AB'!$B16</f>
        <v>2.0833305246897944</v>
      </c>
      <c r="AY181" s="232">
        <f>(Y$142+Y$161+Y$147+Y$152+Y$157)*'Dairy NOx by AB'!$B16</f>
        <v>2.097953550560701</v>
      </c>
      <c r="AZ181" s="232">
        <f>(Z$142+Z$161+Z$147+Z$152+Z$157)*'Dairy NOx by AB'!$B16</f>
        <v>1.7983941089343336</v>
      </c>
      <c r="BA181" s="232">
        <f>(AA$142+AA$161+AA$147+AA$152+AA$157)*'Dairy NOx by AB'!$B16</f>
        <v>1.6465716523753999</v>
      </c>
      <c r="BB181" s="232">
        <f>(AB$142+AB$161+AB$147+AB$152+AB$157)*'Dairy NOx by AB'!$B16</f>
        <v>1.5275649700231539</v>
      </c>
      <c r="BC181" s="4" t="s">
        <v>269</v>
      </c>
      <c r="BD181" s="4"/>
    </row>
    <row r="182" spans="1:56" ht="15" customHeight="1" thickBot="1">
      <c r="A182" s="465"/>
      <c r="B182" s="72" t="s">
        <v>270</v>
      </c>
      <c r="C182" s="73" t="s">
        <v>65</v>
      </c>
      <c r="D182" s="417">
        <f t="shared" ref="D182:AB182" si="60">SUM(D167:D181)</f>
        <v>0</v>
      </c>
      <c r="E182" s="417">
        <f>SUM(E167:E181)</f>
        <v>0</v>
      </c>
      <c r="F182" s="417">
        <f t="shared" si="60"/>
        <v>0</v>
      </c>
      <c r="G182" s="417">
        <f t="shared" si="60"/>
        <v>33.567597408641817</v>
      </c>
      <c r="H182" s="417">
        <f t="shared" si="60"/>
        <v>37.725985464719706</v>
      </c>
      <c r="I182" s="417">
        <f t="shared" si="60"/>
        <v>14.606072812527225</v>
      </c>
      <c r="J182" s="417">
        <f t="shared" si="60"/>
        <v>25.213134185114022</v>
      </c>
      <c r="K182" s="417">
        <f t="shared" si="60"/>
        <v>6.424666657071219</v>
      </c>
      <c r="L182" s="417">
        <f t="shared" si="60"/>
        <v>0</v>
      </c>
      <c r="M182" s="417">
        <f t="shared" si="60"/>
        <v>0</v>
      </c>
      <c r="N182" s="417">
        <f t="shared" si="60"/>
        <v>0</v>
      </c>
      <c r="O182" s="417">
        <f t="shared" si="60"/>
        <v>0.46884574232936965</v>
      </c>
      <c r="P182" s="417">
        <f t="shared" si="60"/>
        <v>6.7334730736584527</v>
      </c>
      <c r="Q182" s="417">
        <f t="shared" si="60"/>
        <v>10.989027695451286</v>
      </c>
      <c r="R182" s="417">
        <f t="shared" si="60"/>
        <v>10.989027695451284</v>
      </c>
      <c r="S182" s="417">
        <f t="shared" si="60"/>
        <v>26.257571333187045</v>
      </c>
      <c r="T182" s="417">
        <f t="shared" si="60"/>
        <v>26.25757133318703</v>
      </c>
      <c r="U182" s="417">
        <f t="shared" si="60"/>
        <v>31.512405243594511</v>
      </c>
      <c r="V182" s="417">
        <f t="shared" si="60"/>
        <v>39.334309042851693</v>
      </c>
      <c r="W182" s="417">
        <f t="shared" si="60"/>
        <v>38.59597485931269</v>
      </c>
      <c r="X182" s="417">
        <f t="shared" si="60"/>
        <v>38.812171245897233</v>
      </c>
      <c r="Y182" s="417">
        <f t="shared" si="60"/>
        <v>39.062194867510428</v>
      </c>
      <c r="Z182" s="417">
        <f t="shared" si="60"/>
        <v>33.940345453781056</v>
      </c>
      <c r="AA182" s="417">
        <f t="shared" si="60"/>
        <v>31.344494173328929</v>
      </c>
      <c r="AB182" s="417">
        <f t="shared" si="60"/>
        <v>29.309725037272173</v>
      </c>
      <c r="AD182" s="93">
        <f t="shared" ref="AD182:AL182" si="61">SUM(AD167:AD181)</f>
        <v>0</v>
      </c>
      <c r="AE182" s="93">
        <f t="shared" si="61"/>
        <v>0</v>
      </c>
      <c r="AF182" s="93">
        <f t="shared" si="61"/>
        <v>0</v>
      </c>
      <c r="AG182" s="93">
        <f t="shared" si="61"/>
        <v>44.130085746507874</v>
      </c>
      <c r="AH182" s="93">
        <f t="shared" si="61"/>
        <v>49.710017063658071</v>
      </c>
      <c r="AI182" s="93">
        <f t="shared" si="61"/>
        <v>18.769481941989678</v>
      </c>
      <c r="AJ182" s="93">
        <f t="shared" si="61"/>
        <v>31.139371526939765</v>
      </c>
      <c r="AK182" s="93">
        <f t="shared" si="61"/>
        <v>7.9856566741822999</v>
      </c>
      <c r="AL182" s="94">
        <f t="shared" si="61"/>
        <v>0</v>
      </c>
      <c r="AM182" s="93">
        <f t="shared" ref="AM182:BB182" si="62">SUM(AM167:AM181)</f>
        <v>0</v>
      </c>
      <c r="AN182" s="93">
        <f t="shared" si="62"/>
        <v>0</v>
      </c>
      <c r="AO182" s="93">
        <f t="shared" si="62"/>
        <v>0.53529421184767056</v>
      </c>
      <c r="AP182" s="93">
        <f t="shared" si="62"/>
        <v>7.6877933114072885</v>
      </c>
      <c r="AQ182" s="93">
        <f t="shared" si="62"/>
        <v>12.54647827232777</v>
      </c>
      <c r="AR182" s="93">
        <f t="shared" si="62"/>
        <v>12.546478272327764</v>
      </c>
      <c r="AS182" s="93">
        <f t="shared" si="62"/>
        <v>29.978998810995218</v>
      </c>
      <c r="AT182" s="93">
        <f t="shared" si="62"/>
        <v>29.978998810995208</v>
      </c>
      <c r="AU182" s="94">
        <f t="shared" si="62"/>
        <v>36.808715470334953</v>
      </c>
      <c r="AV182" s="93">
        <f t="shared" si="62"/>
        <v>46.974857273548892</v>
      </c>
      <c r="AW182" s="93">
        <f t="shared" si="62"/>
        <v>46.015243067001059</v>
      </c>
      <c r="AX182" s="93">
        <f t="shared" si="62"/>
        <v>46.296233881995427</v>
      </c>
      <c r="AY182" s="93">
        <f t="shared" si="62"/>
        <v>46.621190012460019</v>
      </c>
      <c r="AZ182" s="93">
        <f t="shared" si="62"/>
        <v>39.964313531874083</v>
      </c>
      <c r="BA182" s="93">
        <f t="shared" si="62"/>
        <v>36.590481163897778</v>
      </c>
      <c r="BB182" s="93">
        <f t="shared" si="62"/>
        <v>33.945888222736755</v>
      </c>
    </row>
    <row r="183" spans="1:56" ht="15" customHeight="1" thickBot="1">
      <c r="A183" s="10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</row>
    <row r="184" spans="1:56" ht="15.75" customHeight="1">
      <c r="A184" s="463" t="s">
        <v>271</v>
      </c>
      <c r="B184" s="78" t="s">
        <v>248</v>
      </c>
      <c r="C184" s="103" t="s">
        <v>1</v>
      </c>
      <c r="D184" s="83">
        <v>2022</v>
      </c>
      <c r="E184" s="83">
        <v>2023</v>
      </c>
      <c r="F184" s="83">
        <v>2024</v>
      </c>
      <c r="G184" s="83">
        <v>2025</v>
      </c>
      <c r="H184" s="83">
        <v>2026</v>
      </c>
      <c r="I184" s="83">
        <v>2027</v>
      </c>
      <c r="J184" s="83">
        <v>2028</v>
      </c>
      <c r="K184" s="83">
        <v>2029</v>
      </c>
      <c r="L184" s="84">
        <v>2030</v>
      </c>
      <c r="M184" s="217">
        <v>2031</v>
      </c>
      <c r="N184" s="217">
        <v>2032</v>
      </c>
      <c r="O184" s="217">
        <v>2033</v>
      </c>
      <c r="P184" s="217">
        <v>2034</v>
      </c>
      <c r="Q184" s="217">
        <v>2035</v>
      </c>
      <c r="R184" s="217">
        <v>2036</v>
      </c>
      <c r="S184" s="217">
        <v>2037</v>
      </c>
      <c r="T184" s="217">
        <v>2038</v>
      </c>
      <c r="U184" s="218">
        <v>2039</v>
      </c>
      <c r="V184" s="217">
        <v>2040</v>
      </c>
      <c r="W184" s="217">
        <v>2041</v>
      </c>
      <c r="X184" s="217">
        <v>2042</v>
      </c>
      <c r="Y184" s="217">
        <v>2043</v>
      </c>
      <c r="Z184" s="217">
        <v>2044</v>
      </c>
      <c r="AA184" s="217">
        <v>2045</v>
      </c>
      <c r="AB184" s="218">
        <v>2046</v>
      </c>
      <c r="AD184" s="83">
        <v>2022</v>
      </c>
      <c r="AE184" s="83">
        <v>2023</v>
      </c>
      <c r="AF184" s="83">
        <v>2024</v>
      </c>
      <c r="AG184" s="83">
        <v>2025</v>
      </c>
      <c r="AH184" s="83">
        <v>2026</v>
      </c>
      <c r="AI184" s="83">
        <v>2027</v>
      </c>
      <c r="AJ184" s="83">
        <v>2028</v>
      </c>
      <c r="AK184" s="83">
        <v>2029</v>
      </c>
      <c r="AL184" s="84">
        <v>2030</v>
      </c>
      <c r="AM184" s="83">
        <v>2031</v>
      </c>
      <c r="AN184" s="83">
        <v>2032</v>
      </c>
      <c r="AO184" s="83">
        <v>2033</v>
      </c>
      <c r="AP184" s="83">
        <v>2034</v>
      </c>
      <c r="AQ184" s="83">
        <v>2035</v>
      </c>
      <c r="AR184" s="83">
        <v>2036</v>
      </c>
      <c r="AS184" s="83">
        <v>2037</v>
      </c>
      <c r="AT184" s="83">
        <v>2038</v>
      </c>
      <c r="AU184" s="84">
        <v>2039</v>
      </c>
      <c r="AV184" s="83">
        <v>2040</v>
      </c>
      <c r="AW184" s="83">
        <v>2041</v>
      </c>
      <c r="AX184" s="83">
        <v>2042</v>
      </c>
      <c r="AY184" s="83">
        <v>2043</v>
      </c>
      <c r="AZ184" s="83">
        <v>2044</v>
      </c>
      <c r="BA184" s="83">
        <v>2045</v>
      </c>
      <c r="BB184" s="83">
        <v>2046</v>
      </c>
    </row>
    <row r="185" spans="1:56">
      <c r="A185" s="464"/>
      <c r="B185" s="2" t="s">
        <v>249</v>
      </c>
      <c r="C185" s="95" t="s">
        <v>65</v>
      </c>
      <c r="D185" s="104">
        <f>(D$112+D$121+D$122+D$131)*'Petrol Refining NOx by AB'!E323+D$120*'Biodiesel Facility by AB'!J17+(D$128+D$130)*'Electricity NOx by AB'!J3817</f>
        <v>0</v>
      </c>
      <c r="E185" s="104">
        <f>(E$112+E$121+E$122+E$131)*'Petrol Refining NOx by AB'!F323+E$120*'Biodiesel Facility by AB'!K17+(E$128+E$130)*'Electricity NOx by AB'!K3817</f>
        <v>0</v>
      </c>
      <c r="F185" s="104">
        <f>(F$112+F$121+F$122+F$131)*'Petrol Refining NOx by AB'!G323+F$120*'Biodiesel Facility by AB'!L17+(F$128+F$130)*'Electricity NOx by AB'!L3817</f>
        <v>0</v>
      </c>
      <c r="G185" s="104">
        <f>(G$112+G$121+G$122+G$131)*'Petrol Refining NOx by AB'!H323+G$120*'Biodiesel Facility by AB'!M17+(G$128+G$130)*'Electricity NOx by AB'!M3817</f>
        <v>0</v>
      </c>
      <c r="H185" s="104">
        <f>(H$112+H$121+H$122+H$131)*'Petrol Refining NOx by AB'!I323+H$120*'Biodiesel Facility by AB'!N17+(H$128+H$130)*'Electricity NOx by AB'!N3817</f>
        <v>0</v>
      </c>
      <c r="I185" s="104">
        <f>(I$112+I$121+I$122+I$131)*'Petrol Refining NOx by AB'!J323+I$120*'Biodiesel Facility by AB'!O17+(I$128+I$130)*'Electricity NOx by AB'!O3817</f>
        <v>0</v>
      </c>
      <c r="J185" s="104">
        <f>(J$112+J$121+J$122+J$131)*'Petrol Refining NOx by AB'!K323+J$120*'Biodiesel Facility by AB'!P17+(J$128+J$130)*'Electricity NOx by AB'!P3817</f>
        <v>0</v>
      </c>
      <c r="K185" s="104">
        <f>(K$112+K$121+K$122+K$131)*'Petrol Refining NOx by AB'!L323+K$120*'Biodiesel Facility by AB'!Q17+(K$128+K$130)*'Electricity NOx by AB'!Q3817</f>
        <v>0</v>
      </c>
      <c r="L185" s="104">
        <f>(L$112+L$121+L$122+L$131)*'Petrol Refining NOx by AB'!M323+L$120*'Biodiesel Facility by AB'!R17+(L$128+L$130)*'Electricity NOx by AB'!R3817</f>
        <v>0</v>
      </c>
      <c r="M185" s="104">
        <f>(M$112+M$121+M$122+M$131)*'Petrol Refining NOx by AB'!N323+M$120*'Biodiesel Facility by AB'!S17+(M$128+M$130)*'Electricity NOx by AB'!S3817</f>
        <v>0</v>
      </c>
      <c r="N185" s="104">
        <f>(N$112+N$121+N$122+N$131)*'Petrol Refining NOx by AB'!O323+N$120*'Biodiesel Facility by AB'!T17+(N$128+N$130)*'Electricity NOx by AB'!T3817</f>
        <v>0</v>
      </c>
      <c r="O185" s="104">
        <f>(O$112+O$121+O$122+O$131)*'Petrol Refining NOx by AB'!P323+O$120*'Biodiesel Facility by AB'!U17+(O$128+O$130)*'Electricity NOx by AB'!U3817</f>
        <v>0</v>
      </c>
      <c r="P185" s="104">
        <f>(P$112+P$121+P$122+P$131)*'Petrol Refining NOx by AB'!Q323+P$120*'Biodiesel Facility by AB'!V17+(P$128+P$130)*'Electricity NOx by AB'!V3817</f>
        <v>0</v>
      </c>
      <c r="Q185" s="104">
        <f>(Q$112+Q$121+Q$122+Q$131)*'Petrol Refining NOx by AB'!R323+Q$120*'Biodiesel Facility by AB'!W17+(Q$128+Q$130)*'Electricity NOx by AB'!W3817</f>
        <v>0</v>
      </c>
      <c r="R185" s="104">
        <f>(R$112+R$121+R$122+R$131)*'Petrol Refining NOx by AB'!S323+R$120*'Biodiesel Facility by AB'!X17+(R$128+R$130)*'Electricity NOx by AB'!X3817</f>
        <v>0</v>
      </c>
      <c r="S185" s="104">
        <f>(S$112+S$121+S$122+S$131)*'Petrol Refining NOx by AB'!T323+S$120*'Biodiesel Facility by AB'!Y17+(S$128+S$130)*'Electricity NOx by AB'!Y3817</f>
        <v>0</v>
      </c>
      <c r="T185" s="104">
        <f>(T$112+T$121+T$122+T$131)*'Petrol Refining NOx by AB'!U323+T$120*'Biodiesel Facility by AB'!Z17+(T$128+T$130)*'Electricity NOx by AB'!Z3817</f>
        <v>0</v>
      </c>
      <c r="U185" s="104">
        <f>(U$112+U$121+U$122+U$131)*'Petrol Refining NOx by AB'!V323+U$120*'Biodiesel Facility by AB'!AA17+(U$128+U$130)*'Electricity NOx by AB'!AA3817</f>
        <v>0</v>
      </c>
      <c r="V185" s="104">
        <f>(V$112+V$121+V$122+V$131)*'Petrol Refining NOx by AB'!W323+V$120*'Biodiesel Facility by AB'!AB17+(V$128+V$130)*'Electricity NOx by AB'!AB3817</f>
        <v>0</v>
      </c>
      <c r="W185" s="104">
        <f>(W$112+W$121+W$122+W$131)*'Petrol Refining NOx by AB'!X323+W$120*'Biodiesel Facility by AB'!AC17+(W$128+W$130)*'Electricity NOx by AB'!AC3817</f>
        <v>0</v>
      </c>
      <c r="X185" s="104">
        <f>(X$112+X$121+X$122+X$131)*'Petrol Refining NOx by AB'!Y323+X$120*'Biodiesel Facility by AB'!AD17+(X$128+X$130)*'Electricity NOx by AB'!AD3817</f>
        <v>0</v>
      </c>
      <c r="Y185" s="104">
        <f>(Y$112+Y$121+Y$122+Y$131)*'Petrol Refining NOx by AB'!Z323+Y$120*'Biodiesel Facility by AB'!AE17+(Y$128+Y$130)*'Electricity NOx by AB'!AE3817</f>
        <v>0</v>
      </c>
      <c r="Z185" s="104">
        <f>(Z$112+Z$121+Z$122+Z$131)*'Petrol Refining NOx by AB'!AA323+Z$120*'Biodiesel Facility by AB'!AF17+(Z$128+Z$130)*'Electricity NOx by AB'!AF3817</f>
        <v>0</v>
      </c>
      <c r="AA185" s="104">
        <f>(AA$112+AA$121+AA$122+AA$131)*'Petrol Refining NOx by AB'!AB323+AA$120*'Biodiesel Facility by AB'!AG17+(AA$128+AA$130)*'Electricity NOx by AB'!AG3817</f>
        <v>0</v>
      </c>
      <c r="AB185" s="175">
        <f>(AB$112+AB$121+AB$122+AB$131)*'Petrol Refining NOx by AB'!AC323+AB$120*'Biodiesel Facility by AB'!AH17+(AB$128+AB$130)*'Electricity NOx by AB'!AH3817</f>
        <v>0</v>
      </c>
      <c r="AD185" s="232">
        <f>(D$140+D$149+D$150+D$159)*'Petrol Refining PM2.5 by AB'!B26+D$148*'Biodiesel Facility by AB'!J17+(D$146+D$156+D$158)*'Electricity NOx by AB'!J3817</f>
        <v>0</v>
      </c>
      <c r="AE185" s="232">
        <f>(E$140+E$149+E$150+E$159)*'Petrol Refining PM2.5 by AB'!C26+E$148*'Biodiesel Facility by AB'!K17+(E$146+E$156+E$158)*'Electricity NOx by AB'!K3817</f>
        <v>0</v>
      </c>
      <c r="AF185" s="232">
        <f>(F$140+F$149+F$150+F$159)*'Petrol Refining PM2.5 by AB'!D26+F$148*'Biodiesel Facility by AB'!L17+(F$146+F$156+F$158)*'Electricity NOx by AB'!L3817</f>
        <v>0</v>
      </c>
      <c r="AG185" s="232">
        <f>(G$140+G$149+G$150+G$159)*'Petrol Refining PM2.5 by AB'!E26+G$148*'Biodiesel Facility by AB'!M17+(G$146+G$156+G$158)*'Electricity NOx by AB'!M3817</f>
        <v>0</v>
      </c>
      <c r="AH185" s="232">
        <f>(H$140+H$149+H$150+H$159)*'Petrol Refining PM2.5 by AB'!F26+H$148*'Biodiesel Facility by AB'!N17+(H$146+H$156+H$158)*'Electricity NOx by AB'!N3817</f>
        <v>0</v>
      </c>
      <c r="AI185" s="232">
        <f>(I$140+I$149+I$150+I$159)*'Petrol Refining PM2.5 by AB'!G26+I$148*'Biodiesel Facility by AB'!O17+(I$146+I$156+I$158)*'Electricity NOx by AB'!O3817</f>
        <v>0</v>
      </c>
      <c r="AJ185" s="232">
        <f>(J$140+J$149+J$150+J$159)*'Petrol Refining PM2.5 by AB'!H26+J$148*'Biodiesel Facility by AB'!P17+(J$146+J$156+J$158)*'Electricity NOx by AB'!P3817</f>
        <v>0</v>
      </c>
      <c r="AK185" s="232">
        <f>(K$140+K$149+K$150+K$159)*'Petrol Refining PM2.5 by AB'!I26+K$148*'Biodiesel Facility by AB'!Q17+(K$146+K$156+K$158)*'Electricity NOx by AB'!Q3817</f>
        <v>0</v>
      </c>
      <c r="AL185" s="232">
        <f>(L$140+L$149+L$150+L$159)*'Petrol Refining PM2.5 by AB'!J26+L$148*'Biodiesel Facility by AB'!R17+(L$146+L$156+L$158)*'Electricity NOx by AB'!R3817</f>
        <v>0</v>
      </c>
      <c r="AM185" s="232">
        <f>(M$140+M$149+M$150+M$159)*'Petrol Refining PM2.5 by AB'!K26+M$148*'Biodiesel Facility by AB'!S17+(M$146+M$156+M$158)*'Electricity NOx by AB'!S3817</f>
        <v>0</v>
      </c>
      <c r="AN185" s="232">
        <f>(N$140+N$149+N$150+N$159)*'Petrol Refining PM2.5 by AB'!L26+N$148*'Biodiesel Facility by AB'!T17+(N$146+N$156+N$158)*'Electricity NOx by AB'!T3817</f>
        <v>0</v>
      </c>
      <c r="AO185" s="232">
        <f>(O$140+O$149+O$150+O$159)*'Petrol Refining PM2.5 by AB'!M26+O$148*'Biodiesel Facility by AB'!U17+(O$146+O$156+O$158)*'Electricity NOx by AB'!U3817</f>
        <v>0</v>
      </c>
      <c r="AP185" s="232">
        <f>(P$140+P$149+P$150+P$159)*'Petrol Refining PM2.5 by AB'!N26+P$148*'Biodiesel Facility by AB'!V17+(P$146+P$156+P$158)*'Electricity NOx by AB'!V3817</f>
        <v>0</v>
      </c>
      <c r="AQ185" s="232">
        <f>(Q$140+Q$149+Q$150+Q$159)*'Petrol Refining PM2.5 by AB'!O26+Q$148*'Biodiesel Facility by AB'!W17+(Q$146+Q$156+Q$158)*'Electricity NOx by AB'!W3817</f>
        <v>0</v>
      </c>
      <c r="AR185" s="232">
        <f>(R$140+R$149+R$150+R$159)*'Petrol Refining PM2.5 by AB'!P26+R$148*'Biodiesel Facility by AB'!X17+(R$146+R$156+R$158)*'Electricity NOx by AB'!X3817</f>
        <v>0</v>
      </c>
      <c r="AS185" s="232">
        <f>(S$140+S$149+S$150+S$159)*'Petrol Refining PM2.5 by AB'!Q26+S$148*'Biodiesel Facility by AB'!Y17+(S$146+S$156+S$158)*'Electricity NOx by AB'!Y3817</f>
        <v>0</v>
      </c>
      <c r="AT185" s="232">
        <f>(T$140+T$149+T$150+T$159)*'Petrol Refining PM2.5 by AB'!R26+T$148*'Biodiesel Facility by AB'!Z17+(T$146+T$156+T$158)*'Electricity NOx by AB'!Z3817</f>
        <v>0</v>
      </c>
      <c r="AU185" s="232">
        <f>(U$140+U$149+U$150+U$159)*'Petrol Refining PM2.5 by AB'!S26+U$148*'Biodiesel Facility by AB'!AA17+(U$146+U$156+U$158)*'Electricity NOx by AB'!AA3817</f>
        <v>0</v>
      </c>
      <c r="AV185" s="232">
        <f>(V$140+V$149+V$150+V$159)*'Petrol Refining PM2.5 by AB'!T26+V$148*'Biodiesel Facility by AB'!AB17+(V$146+V$156+V$158)*'Electricity NOx by AB'!AB3817</f>
        <v>0</v>
      </c>
      <c r="AW185" s="232">
        <f>(W$140+W$149+W$150+W$159)*'Petrol Refining PM2.5 by AB'!U26+W$148*'Biodiesel Facility by AB'!AC17+(W$146+W$156+W$158)*'Electricity NOx by AB'!AC3817</f>
        <v>0</v>
      </c>
      <c r="AX185" s="232">
        <f>(X$140+X$149+X$150+X$159)*'Petrol Refining PM2.5 by AB'!V26+X$148*'Biodiesel Facility by AB'!AD17+(X$146+X$156+X$158)*'Electricity NOx by AB'!AD3817</f>
        <v>0</v>
      </c>
      <c r="AY185" s="232">
        <f>(Y$140+Y$149+Y$150+Y$159)*'Petrol Refining PM2.5 by AB'!W26+Y$148*'Biodiesel Facility by AB'!AE17+(Y$146+Y$156+Y$158)*'Electricity NOx by AB'!AE3817</f>
        <v>0</v>
      </c>
      <c r="AZ185" s="232">
        <f>(Z$140+Z$149+Z$150+Z$159)*'Petrol Refining PM2.5 by AB'!X26+Z$148*'Biodiesel Facility by AB'!AF17+(Z$146+Z$156+Z$158)*'Electricity NOx by AB'!AF3817</f>
        <v>0</v>
      </c>
      <c r="BA185" s="232">
        <f>(AA$140+AA$149+AA$150+AA$159)*'Petrol Refining PM2.5 by AB'!Y26+AA$148*'Biodiesel Facility by AB'!AG17+(AA$146+AA$156+AA$158)*'Electricity NOx by AB'!AG3817</f>
        <v>0</v>
      </c>
      <c r="BB185" s="232">
        <f>(AB$140+AB$149+AB$150+AB$159)*'Petrol Refining PM2.5 by AB'!Z26+AB$148*'Biodiesel Facility by AB'!AH17+(AB$146+AB$156+AB$158)*'Electricity NOx by AB'!AH3817</f>
        <v>0</v>
      </c>
      <c r="BC185" s="105" t="s">
        <v>250</v>
      </c>
    </row>
    <row r="186" spans="1:56">
      <c r="A186" s="464"/>
      <c r="B186" s="2" t="s">
        <v>251</v>
      </c>
      <c r="C186" s="53" t="s">
        <v>65</v>
      </c>
      <c r="D186" s="104">
        <f>(D$112+D$121+D$122+D$131)*'Petrol Refining NOx by AB'!E324+D$120*'Biodiesel Facility by AB'!J18+(D$128+D$130)*'Electricity NOx by AB'!J3818</f>
        <v>0</v>
      </c>
      <c r="E186" s="104">
        <f>(E$112+E$121+E$122+E$131)*'Petrol Refining NOx by AB'!F324+E$120*'Biodiesel Facility by AB'!K18+(E$128+E$130)*'Electricity NOx by AB'!K3818</f>
        <v>0</v>
      </c>
      <c r="F186" s="104">
        <f>(F$112+F$121+F$122+F$131)*'Petrol Refining NOx by AB'!G324+F$120*'Biodiesel Facility by AB'!L18+(F$128+F$130)*'Electricity NOx by AB'!L3818</f>
        <v>0</v>
      </c>
      <c r="G186" s="104">
        <f>(G$112+G$121+G$122+G$131)*'Petrol Refining NOx by AB'!H324+G$120*'Biodiesel Facility by AB'!M18+(G$128+G$130)*'Electricity NOx by AB'!M3818</f>
        <v>0</v>
      </c>
      <c r="H186" s="104">
        <f>(H$112+H$121+H$122+H$131)*'Petrol Refining NOx by AB'!I324+H$120*'Biodiesel Facility by AB'!N18+(H$128+H$130)*'Electricity NOx by AB'!N3818</f>
        <v>0</v>
      </c>
      <c r="I186" s="104">
        <f>(I$112+I$121+I$122+I$131)*'Petrol Refining NOx by AB'!J324+I$120*'Biodiesel Facility by AB'!O18+(I$128+I$130)*'Electricity NOx by AB'!O3818</f>
        <v>0</v>
      </c>
      <c r="J186" s="104">
        <f>(J$112+J$121+J$122+J$131)*'Petrol Refining NOx by AB'!K324+J$120*'Biodiesel Facility by AB'!P18+(J$128+J$130)*'Electricity NOx by AB'!P3818</f>
        <v>0</v>
      </c>
      <c r="K186" s="104">
        <f>(K$112+K$121+K$122+K$131)*'Petrol Refining NOx by AB'!L324+K$120*'Biodiesel Facility by AB'!Q18+(K$128+K$130)*'Electricity NOx by AB'!Q3818</f>
        <v>0</v>
      </c>
      <c r="L186" s="104">
        <f>(L$112+L$121+L$122+L$131)*'Petrol Refining NOx by AB'!M324+L$120*'Biodiesel Facility by AB'!R18+(L$128+L$130)*'Electricity NOx by AB'!R3818</f>
        <v>0</v>
      </c>
      <c r="M186" s="104">
        <f>(M$112+M$121+M$122+M$131)*'Petrol Refining NOx by AB'!N324+M$120*'Biodiesel Facility by AB'!S18+(M$128+M$130)*'Electricity NOx by AB'!S3818</f>
        <v>0</v>
      </c>
      <c r="N186" s="104">
        <f>(N$112+N$121+N$122+N$131)*'Petrol Refining NOx by AB'!O324+N$120*'Biodiesel Facility by AB'!T18+(N$128+N$130)*'Electricity NOx by AB'!T3818</f>
        <v>0</v>
      </c>
      <c r="O186" s="104">
        <f>(O$112+O$121+O$122+O$131)*'Petrol Refining NOx by AB'!P324+O$120*'Biodiesel Facility by AB'!U18+(O$128+O$130)*'Electricity NOx by AB'!U3818</f>
        <v>0</v>
      </c>
      <c r="P186" s="104">
        <f>(P$112+P$121+P$122+P$131)*'Petrol Refining NOx by AB'!Q324+P$120*'Biodiesel Facility by AB'!V18+(P$128+P$130)*'Electricity NOx by AB'!V3818</f>
        <v>0</v>
      </c>
      <c r="Q186" s="104">
        <f>(Q$112+Q$121+Q$122+Q$131)*'Petrol Refining NOx by AB'!R324+Q$120*'Biodiesel Facility by AB'!W18+(Q$128+Q$130)*'Electricity NOx by AB'!W3818</f>
        <v>0</v>
      </c>
      <c r="R186" s="104">
        <f>(R$112+R$121+R$122+R$131)*'Petrol Refining NOx by AB'!S324+R$120*'Biodiesel Facility by AB'!X18+(R$128+R$130)*'Electricity NOx by AB'!X3818</f>
        <v>0</v>
      </c>
      <c r="S186" s="104">
        <f>(S$112+S$121+S$122+S$131)*'Petrol Refining NOx by AB'!T324+S$120*'Biodiesel Facility by AB'!Y18+(S$128+S$130)*'Electricity NOx by AB'!Y3818</f>
        <v>0</v>
      </c>
      <c r="T186" s="104">
        <f>(T$112+T$121+T$122+T$131)*'Petrol Refining NOx by AB'!U324+T$120*'Biodiesel Facility by AB'!Z18+(T$128+T$130)*'Electricity NOx by AB'!Z3818</f>
        <v>0</v>
      </c>
      <c r="U186" s="104">
        <f>(U$112+U$121+U$122+U$131)*'Petrol Refining NOx by AB'!V324+U$120*'Biodiesel Facility by AB'!AA18+(U$128+U$130)*'Electricity NOx by AB'!AA3818</f>
        <v>0</v>
      </c>
      <c r="V186" s="104">
        <f>(V$112+V$121+V$122+V$131)*'Petrol Refining NOx by AB'!W324+V$120*'Biodiesel Facility by AB'!AB18+(V$128+V$130)*'Electricity NOx by AB'!AB3818</f>
        <v>0</v>
      </c>
      <c r="W186" s="104">
        <f>(W$112+W$121+W$122+W$131)*'Petrol Refining NOx by AB'!X324+W$120*'Biodiesel Facility by AB'!AC18+(W$128+W$130)*'Electricity NOx by AB'!AC3818</f>
        <v>0</v>
      </c>
      <c r="X186" s="104">
        <f>(X$112+X$121+X$122+X$131)*'Petrol Refining NOx by AB'!Y324+X$120*'Biodiesel Facility by AB'!AD18+(X$128+X$130)*'Electricity NOx by AB'!AD3818</f>
        <v>0</v>
      </c>
      <c r="Y186" s="104">
        <f>(Y$112+Y$121+Y$122+Y$131)*'Petrol Refining NOx by AB'!Z324+Y$120*'Biodiesel Facility by AB'!AE18+(Y$128+Y$130)*'Electricity NOx by AB'!AE3818</f>
        <v>0</v>
      </c>
      <c r="Z186" s="104">
        <f>(Z$112+Z$121+Z$122+Z$131)*'Petrol Refining NOx by AB'!AA324+Z$120*'Biodiesel Facility by AB'!AF18+(Z$128+Z$130)*'Electricity NOx by AB'!AF3818</f>
        <v>0</v>
      </c>
      <c r="AA186" s="104">
        <f>(AA$112+AA$121+AA$122+AA$131)*'Petrol Refining NOx by AB'!AB324+AA$120*'Biodiesel Facility by AB'!AG18+(AA$128+AA$130)*'Electricity NOx by AB'!AG3818</f>
        <v>0</v>
      </c>
      <c r="AB186" s="175">
        <f>(AB$112+AB$121+AB$122+AB$131)*'Petrol Refining NOx by AB'!AC324+AB$120*'Biodiesel Facility by AB'!AH18+(AB$128+AB$130)*'Electricity NOx by AB'!AH3818</f>
        <v>0</v>
      </c>
      <c r="AD186" s="232">
        <f>(D$140+D$149+D$150+D$159)*'Petrol Refining PM2.5 by AB'!B27+D$148*'Biodiesel Facility by AB'!J18+(D$146+D$156+D$158)*'Electricity NOx by AB'!J3818</f>
        <v>0</v>
      </c>
      <c r="AE186" s="232">
        <f>(E$140+E$149+E$150+E$159)*'Petrol Refining PM2.5 by AB'!C27+E$148*'Biodiesel Facility by AB'!K18+(E$146+E$156+E$158)*'Electricity NOx by AB'!K3818</f>
        <v>0</v>
      </c>
      <c r="AF186" s="232">
        <f>(F$140+F$149+F$150+F$159)*'Petrol Refining PM2.5 by AB'!D27+F$148*'Biodiesel Facility by AB'!L18+(F$146+F$156+F$158)*'Electricity NOx by AB'!L3818</f>
        <v>0</v>
      </c>
      <c r="AG186" s="232">
        <f>(G$140+G$149+G$150+G$159)*'Petrol Refining PM2.5 by AB'!E27+G$148*'Biodiesel Facility by AB'!M18+(G$146+G$156+G$158)*'Electricity NOx by AB'!M3818</f>
        <v>0</v>
      </c>
      <c r="AH186" s="232">
        <f>(H$140+H$149+H$150+H$159)*'Petrol Refining PM2.5 by AB'!F27+H$148*'Biodiesel Facility by AB'!N18+(H$146+H$156+H$158)*'Electricity NOx by AB'!N3818</f>
        <v>0</v>
      </c>
      <c r="AI186" s="232">
        <f>(I$140+I$149+I$150+I$159)*'Petrol Refining PM2.5 by AB'!G27+I$148*'Biodiesel Facility by AB'!O18+(I$146+I$156+I$158)*'Electricity NOx by AB'!O3818</f>
        <v>0</v>
      </c>
      <c r="AJ186" s="232">
        <f>(J$140+J$149+J$150+J$159)*'Petrol Refining PM2.5 by AB'!H27+J$148*'Biodiesel Facility by AB'!P18+(J$146+J$156+J$158)*'Electricity NOx by AB'!P3818</f>
        <v>0</v>
      </c>
      <c r="AK186" s="232">
        <f>(K$140+K$149+K$150+K$159)*'Petrol Refining PM2.5 by AB'!I27+K$148*'Biodiesel Facility by AB'!Q18+(K$146+K$156+K$158)*'Electricity NOx by AB'!Q3818</f>
        <v>0</v>
      </c>
      <c r="AL186" s="232">
        <f>(L$140+L$149+L$150+L$159)*'Petrol Refining PM2.5 by AB'!J27+L$148*'Biodiesel Facility by AB'!R18+(L$146+L$156+L$158)*'Electricity NOx by AB'!R3818</f>
        <v>0</v>
      </c>
      <c r="AM186" s="232">
        <f>(M$140+M$149+M$150+M$159)*'Petrol Refining PM2.5 by AB'!K27+M$148*'Biodiesel Facility by AB'!S18+(M$146+M$156+M$158)*'Electricity NOx by AB'!S3818</f>
        <v>0</v>
      </c>
      <c r="AN186" s="232">
        <f>(N$140+N$149+N$150+N$159)*'Petrol Refining PM2.5 by AB'!L27+N$148*'Biodiesel Facility by AB'!T18+(N$146+N$156+N$158)*'Electricity NOx by AB'!T3818</f>
        <v>0</v>
      </c>
      <c r="AO186" s="232">
        <f>(O$140+O$149+O$150+O$159)*'Petrol Refining PM2.5 by AB'!M27+O$148*'Biodiesel Facility by AB'!U18+(O$146+O$156+O$158)*'Electricity NOx by AB'!U3818</f>
        <v>0</v>
      </c>
      <c r="AP186" s="232">
        <f>(P$140+P$149+P$150+P$159)*'Petrol Refining PM2.5 by AB'!N27+P$148*'Biodiesel Facility by AB'!V18+(P$146+P$156+P$158)*'Electricity NOx by AB'!V3818</f>
        <v>0</v>
      </c>
      <c r="AQ186" s="232">
        <f>(Q$140+Q$149+Q$150+Q$159)*'Petrol Refining PM2.5 by AB'!O27+Q$148*'Biodiesel Facility by AB'!W18+(Q$146+Q$156+Q$158)*'Electricity NOx by AB'!W3818</f>
        <v>0</v>
      </c>
      <c r="AR186" s="232">
        <f>(R$140+R$149+R$150+R$159)*'Petrol Refining PM2.5 by AB'!P27+R$148*'Biodiesel Facility by AB'!X18+(R$146+R$156+R$158)*'Electricity NOx by AB'!X3818</f>
        <v>0</v>
      </c>
      <c r="AS186" s="232">
        <f>(S$140+S$149+S$150+S$159)*'Petrol Refining PM2.5 by AB'!Q27+S$148*'Biodiesel Facility by AB'!Y18+(S$146+S$156+S$158)*'Electricity NOx by AB'!Y3818</f>
        <v>0</v>
      </c>
      <c r="AT186" s="232">
        <f>(T$140+T$149+T$150+T$159)*'Petrol Refining PM2.5 by AB'!R27+T$148*'Biodiesel Facility by AB'!Z18+(T$146+T$156+T$158)*'Electricity NOx by AB'!Z3818</f>
        <v>0</v>
      </c>
      <c r="AU186" s="232">
        <f>(U$140+U$149+U$150+U$159)*'Petrol Refining PM2.5 by AB'!S27+U$148*'Biodiesel Facility by AB'!AA18+(U$146+U$156+U$158)*'Electricity NOx by AB'!AA3818</f>
        <v>0</v>
      </c>
      <c r="AV186" s="232">
        <f>(V$140+V$149+V$150+V$159)*'Petrol Refining PM2.5 by AB'!T27+V$148*'Biodiesel Facility by AB'!AB18+(V$146+V$156+V$158)*'Electricity NOx by AB'!AB3818</f>
        <v>0</v>
      </c>
      <c r="AW186" s="232">
        <f>(W$140+W$149+W$150+W$159)*'Petrol Refining PM2.5 by AB'!U27+W$148*'Biodiesel Facility by AB'!AC18+(W$146+W$156+W$158)*'Electricity NOx by AB'!AC3818</f>
        <v>0</v>
      </c>
      <c r="AX186" s="232">
        <f>(X$140+X$149+X$150+X$159)*'Petrol Refining PM2.5 by AB'!V27+X$148*'Biodiesel Facility by AB'!AD18+(X$146+X$156+X$158)*'Electricity NOx by AB'!AD3818</f>
        <v>0</v>
      </c>
      <c r="AY186" s="232">
        <f>(Y$140+Y$149+Y$150+Y$159)*'Petrol Refining PM2.5 by AB'!W27+Y$148*'Biodiesel Facility by AB'!AE18+(Y$146+Y$156+Y$158)*'Electricity NOx by AB'!AE3818</f>
        <v>0</v>
      </c>
      <c r="AZ186" s="232">
        <f>(Z$140+Z$149+Z$150+Z$159)*'Petrol Refining PM2.5 by AB'!X27+Z$148*'Biodiesel Facility by AB'!AF18+(Z$146+Z$156+Z$158)*'Electricity NOx by AB'!AF3818</f>
        <v>0</v>
      </c>
      <c r="BA186" s="232">
        <f>(AA$140+AA$149+AA$150+AA$159)*'Petrol Refining PM2.5 by AB'!Y27+AA$148*'Biodiesel Facility by AB'!AG18+(AA$146+AA$156+AA$158)*'Electricity NOx by AB'!AG3818</f>
        <v>0</v>
      </c>
      <c r="BB186" s="232">
        <f>(AB$140+AB$149+AB$150+AB$159)*'Petrol Refining PM2.5 by AB'!Z27+AB$148*'Biodiesel Facility by AB'!AH18+(AB$146+AB$156+AB$158)*'Electricity NOx by AB'!AH3818</f>
        <v>0</v>
      </c>
      <c r="BC186" s="105" t="s">
        <v>252</v>
      </c>
    </row>
    <row r="187" spans="1:56">
      <c r="A187" s="464"/>
      <c r="B187" s="2" t="s">
        <v>253</v>
      </c>
      <c r="C187" s="53" t="s">
        <v>65</v>
      </c>
      <c r="D187" s="104">
        <f>(D$112+D$121+D$122+D$131)*'Petrol Refining NOx by AB'!E325+D$120*'Biodiesel Facility by AB'!J19+(D$128+D$130)*'Electricity NOx by AB'!J3819</f>
        <v>0</v>
      </c>
      <c r="E187" s="104">
        <f>(E$112+E$121+E$122+E$131)*'Petrol Refining NOx by AB'!F325+E$120*'Biodiesel Facility by AB'!K19+(E$128+E$130)*'Electricity NOx by AB'!K3819</f>
        <v>0</v>
      </c>
      <c r="F187" s="104">
        <f>(F$112+F$121+F$122+F$131)*'Petrol Refining NOx by AB'!G325+F$120*'Biodiesel Facility by AB'!L19+(F$128+F$130)*'Electricity NOx by AB'!L3819</f>
        <v>0</v>
      </c>
      <c r="G187" s="104">
        <f>(G$112+G$121+G$122+G$131)*'Petrol Refining NOx by AB'!H325+G$120*'Biodiesel Facility by AB'!M19+(G$128+G$130)*'Electricity NOx by AB'!M3819</f>
        <v>0</v>
      </c>
      <c r="H187" s="104">
        <f>(H$112+H$121+H$122+H$131)*'Petrol Refining NOx by AB'!I325+H$120*'Biodiesel Facility by AB'!N19+(H$128+H$130)*'Electricity NOx by AB'!N3819</f>
        <v>0</v>
      </c>
      <c r="I187" s="104">
        <f>(I$112+I$121+I$122+I$131)*'Petrol Refining NOx by AB'!J325+I$120*'Biodiesel Facility by AB'!O19+(I$128+I$130)*'Electricity NOx by AB'!O3819</f>
        <v>0</v>
      </c>
      <c r="J187" s="104">
        <f>(J$112+J$121+J$122+J$131)*'Petrol Refining NOx by AB'!K325+J$120*'Biodiesel Facility by AB'!P19+(J$128+J$130)*'Electricity NOx by AB'!P3819</f>
        <v>0</v>
      </c>
      <c r="K187" s="104">
        <f>(K$112+K$121+K$122+K$131)*'Petrol Refining NOx by AB'!L325+K$120*'Biodiesel Facility by AB'!Q19+(K$128+K$130)*'Electricity NOx by AB'!Q3819</f>
        <v>0</v>
      </c>
      <c r="L187" s="104">
        <f>(L$112+L$121+L$122+L$131)*'Petrol Refining NOx by AB'!M325+L$120*'Biodiesel Facility by AB'!R19+(L$128+L$130)*'Electricity NOx by AB'!R3819</f>
        <v>0</v>
      </c>
      <c r="M187" s="104">
        <f>(M$112+M$121+M$122+M$131)*'Petrol Refining NOx by AB'!N325+M$120*'Biodiesel Facility by AB'!S19+(M$128+M$130)*'Electricity NOx by AB'!S3819</f>
        <v>0</v>
      </c>
      <c r="N187" s="104">
        <f>(N$112+N$121+N$122+N$131)*'Petrol Refining NOx by AB'!O325+N$120*'Biodiesel Facility by AB'!T19+(N$128+N$130)*'Electricity NOx by AB'!T3819</f>
        <v>0</v>
      </c>
      <c r="O187" s="104">
        <f>(O$112+O$121+O$122+O$131)*'Petrol Refining NOx by AB'!P325+O$120*'Biodiesel Facility by AB'!U19+(O$128+O$130)*'Electricity NOx by AB'!U3819</f>
        <v>0</v>
      </c>
      <c r="P187" s="104">
        <f>(P$112+P$121+P$122+P$131)*'Petrol Refining NOx by AB'!Q325+P$120*'Biodiesel Facility by AB'!V19+(P$128+P$130)*'Electricity NOx by AB'!V3819</f>
        <v>0</v>
      </c>
      <c r="Q187" s="104">
        <f>(Q$112+Q$121+Q$122+Q$131)*'Petrol Refining NOx by AB'!R325+Q$120*'Biodiesel Facility by AB'!W19+(Q$128+Q$130)*'Electricity NOx by AB'!W3819</f>
        <v>0</v>
      </c>
      <c r="R187" s="104">
        <f>(R$112+R$121+R$122+R$131)*'Petrol Refining NOx by AB'!S325+R$120*'Biodiesel Facility by AB'!X19+(R$128+R$130)*'Electricity NOx by AB'!X3819</f>
        <v>0</v>
      </c>
      <c r="S187" s="104">
        <f>(S$112+S$121+S$122+S$131)*'Petrol Refining NOx by AB'!T325+S$120*'Biodiesel Facility by AB'!Y19+(S$128+S$130)*'Electricity NOx by AB'!Y3819</f>
        <v>0</v>
      </c>
      <c r="T187" s="104">
        <f>(T$112+T$121+T$122+T$131)*'Petrol Refining NOx by AB'!U325+T$120*'Biodiesel Facility by AB'!Z19+(T$128+T$130)*'Electricity NOx by AB'!Z3819</f>
        <v>0</v>
      </c>
      <c r="U187" s="104">
        <f>(U$112+U$121+U$122+U$131)*'Petrol Refining NOx by AB'!V325+U$120*'Biodiesel Facility by AB'!AA19+(U$128+U$130)*'Electricity NOx by AB'!AA3819</f>
        <v>0</v>
      </c>
      <c r="V187" s="104">
        <f>(V$112+V$121+V$122+V$131)*'Petrol Refining NOx by AB'!W325+V$120*'Biodiesel Facility by AB'!AB19+(V$128+V$130)*'Electricity NOx by AB'!AB3819</f>
        <v>0</v>
      </c>
      <c r="W187" s="104">
        <f>(W$112+W$121+W$122+W$131)*'Petrol Refining NOx by AB'!X325+W$120*'Biodiesel Facility by AB'!AC19+(W$128+W$130)*'Electricity NOx by AB'!AC3819</f>
        <v>0</v>
      </c>
      <c r="X187" s="104">
        <f>(X$112+X$121+X$122+X$131)*'Petrol Refining NOx by AB'!Y325+X$120*'Biodiesel Facility by AB'!AD19+(X$128+X$130)*'Electricity NOx by AB'!AD3819</f>
        <v>0</v>
      </c>
      <c r="Y187" s="104">
        <f>(Y$112+Y$121+Y$122+Y$131)*'Petrol Refining NOx by AB'!Z325+Y$120*'Biodiesel Facility by AB'!AE19+(Y$128+Y$130)*'Electricity NOx by AB'!AE3819</f>
        <v>0</v>
      </c>
      <c r="Z187" s="104">
        <f>(Z$112+Z$121+Z$122+Z$131)*'Petrol Refining NOx by AB'!AA325+Z$120*'Biodiesel Facility by AB'!AF19+(Z$128+Z$130)*'Electricity NOx by AB'!AF3819</f>
        <v>0</v>
      </c>
      <c r="AA187" s="104">
        <f>(AA$112+AA$121+AA$122+AA$131)*'Petrol Refining NOx by AB'!AB325+AA$120*'Biodiesel Facility by AB'!AG19+(AA$128+AA$130)*'Electricity NOx by AB'!AG3819</f>
        <v>0</v>
      </c>
      <c r="AB187" s="175">
        <f>(AB$112+AB$121+AB$122+AB$131)*'Petrol Refining NOx by AB'!AC325+AB$120*'Biodiesel Facility by AB'!AH19+(AB$128+AB$130)*'Electricity NOx by AB'!AH3819</f>
        <v>0</v>
      </c>
      <c r="AD187" s="232">
        <f>(D$140+D$149+D$150+D$159)*'Petrol Refining PM2.5 by AB'!B28+D$148*'Biodiesel Facility by AB'!J19+(D$146+D$156+D$158)*'Electricity NOx by AB'!J3819</f>
        <v>0</v>
      </c>
      <c r="AE187" s="232">
        <f>(E$140+E$149+E$150+E$159)*'Petrol Refining PM2.5 by AB'!C28+E$148*'Biodiesel Facility by AB'!K19+(E$146+E$156+E$158)*'Electricity NOx by AB'!K3819</f>
        <v>0</v>
      </c>
      <c r="AF187" s="232">
        <f>(F$140+F$149+F$150+F$159)*'Petrol Refining PM2.5 by AB'!D28+F$148*'Biodiesel Facility by AB'!L19+(F$146+F$156+F$158)*'Electricity NOx by AB'!L3819</f>
        <v>0</v>
      </c>
      <c r="AG187" s="232">
        <f>(G$140+G$149+G$150+G$159)*'Petrol Refining PM2.5 by AB'!E28+G$148*'Biodiesel Facility by AB'!M19+(G$146+G$156+G$158)*'Electricity NOx by AB'!M3819</f>
        <v>0</v>
      </c>
      <c r="AH187" s="232">
        <f>(H$140+H$149+H$150+H$159)*'Petrol Refining PM2.5 by AB'!F28+H$148*'Biodiesel Facility by AB'!N19+(H$146+H$156+H$158)*'Electricity NOx by AB'!N3819</f>
        <v>0</v>
      </c>
      <c r="AI187" s="232">
        <f>(I$140+I$149+I$150+I$159)*'Petrol Refining PM2.5 by AB'!G28+I$148*'Biodiesel Facility by AB'!O19+(I$146+I$156+I$158)*'Electricity NOx by AB'!O3819</f>
        <v>0</v>
      </c>
      <c r="AJ187" s="232">
        <f>(J$140+J$149+J$150+J$159)*'Petrol Refining PM2.5 by AB'!H28+J$148*'Biodiesel Facility by AB'!P19+(J$146+J$156+J$158)*'Electricity NOx by AB'!P3819</f>
        <v>0</v>
      </c>
      <c r="AK187" s="232">
        <f>(K$140+K$149+K$150+K$159)*'Petrol Refining PM2.5 by AB'!I28+K$148*'Biodiesel Facility by AB'!Q19+(K$146+K$156+K$158)*'Electricity NOx by AB'!Q3819</f>
        <v>0</v>
      </c>
      <c r="AL187" s="232">
        <f>(L$140+L$149+L$150+L$159)*'Petrol Refining PM2.5 by AB'!J28+L$148*'Biodiesel Facility by AB'!R19+(L$146+L$156+L$158)*'Electricity NOx by AB'!R3819</f>
        <v>0</v>
      </c>
      <c r="AM187" s="232">
        <f>(M$140+M$149+M$150+M$159)*'Petrol Refining PM2.5 by AB'!K28+M$148*'Biodiesel Facility by AB'!S19+(M$146+M$156+M$158)*'Electricity NOx by AB'!S3819</f>
        <v>0</v>
      </c>
      <c r="AN187" s="232">
        <f>(N$140+N$149+N$150+N$159)*'Petrol Refining PM2.5 by AB'!L28+N$148*'Biodiesel Facility by AB'!T19+(N$146+N$156+N$158)*'Electricity NOx by AB'!T3819</f>
        <v>0</v>
      </c>
      <c r="AO187" s="232">
        <f>(O$140+O$149+O$150+O$159)*'Petrol Refining PM2.5 by AB'!M28+O$148*'Biodiesel Facility by AB'!U19+(O$146+O$156+O$158)*'Electricity NOx by AB'!U3819</f>
        <v>0</v>
      </c>
      <c r="AP187" s="232">
        <f>(P$140+P$149+P$150+P$159)*'Petrol Refining PM2.5 by AB'!N28+P$148*'Biodiesel Facility by AB'!V19+(P$146+P$156+P$158)*'Electricity NOx by AB'!V3819</f>
        <v>0</v>
      </c>
      <c r="AQ187" s="232">
        <f>(Q$140+Q$149+Q$150+Q$159)*'Petrol Refining PM2.5 by AB'!O28+Q$148*'Biodiesel Facility by AB'!W19+(Q$146+Q$156+Q$158)*'Electricity NOx by AB'!W3819</f>
        <v>0</v>
      </c>
      <c r="AR187" s="232">
        <f>(R$140+R$149+R$150+R$159)*'Petrol Refining PM2.5 by AB'!P28+R$148*'Biodiesel Facility by AB'!X19+(R$146+R$156+R$158)*'Electricity NOx by AB'!X3819</f>
        <v>0</v>
      </c>
      <c r="AS187" s="232">
        <f>(S$140+S$149+S$150+S$159)*'Petrol Refining PM2.5 by AB'!Q28+S$148*'Biodiesel Facility by AB'!Y19+(S$146+S$156+S$158)*'Electricity NOx by AB'!Y3819</f>
        <v>0</v>
      </c>
      <c r="AT187" s="232">
        <f>(T$140+T$149+T$150+T$159)*'Petrol Refining PM2.5 by AB'!R28+T$148*'Biodiesel Facility by AB'!Z19+(T$146+T$156+T$158)*'Electricity NOx by AB'!Z3819</f>
        <v>0</v>
      </c>
      <c r="AU187" s="232">
        <f>(U$140+U$149+U$150+U$159)*'Petrol Refining PM2.5 by AB'!S28+U$148*'Biodiesel Facility by AB'!AA19+(U$146+U$156+U$158)*'Electricity NOx by AB'!AA3819</f>
        <v>0</v>
      </c>
      <c r="AV187" s="232">
        <f>(V$140+V$149+V$150+V$159)*'Petrol Refining PM2.5 by AB'!T28+V$148*'Biodiesel Facility by AB'!AB19+(V$146+V$156+V$158)*'Electricity NOx by AB'!AB3819</f>
        <v>0</v>
      </c>
      <c r="AW187" s="232">
        <f>(W$140+W$149+W$150+W$159)*'Petrol Refining PM2.5 by AB'!U28+W$148*'Biodiesel Facility by AB'!AC19+(W$146+W$156+W$158)*'Electricity NOx by AB'!AC3819</f>
        <v>0</v>
      </c>
      <c r="AX187" s="232">
        <f>(X$140+X$149+X$150+X$159)*'Petrol Refining PM2.5 by AB'!V28+X$148*'Biodiesel Facility by AB'!AD19+(X$146+X$156+X$158)*'Electricity NOx by AB'!AD3819</f>
        <v>0</v>
      </c>
      <c r="AY187" s="232">
        <f>(Y$140+Y$149+Y$150+Y$159)*'Petrol Refining PM2.5 by AB'!W28+Y$148*'Biodiesel Facility by AB'!AE19+(Y$146+Y$156+Y$158)*'Electricity NOx by AB'!AE3819</f>
        <v>0</v>
      </c>
      <c r="AZ187" s="232">
        <f>(Z$140+Z$149+Z$150+Z$159)*'Petrol Refining PM2.5 by AB'!X28+Z$148*'Biodiesel Facility by AB'!AF19+(Z$146+Z$156+Z$158)*'Electricity NOx by AB'!AF3819</f>
        <v>0</v>
      </c>
      <c r="BA187" s="232">
        <f>(AA$140+AA$149+AA$150+AA$159)*'Petrol Refining PM2.5 by AB'!Y28+AA$148*'Biodiesel Facility by AB'!AG19+(AA$146+AA$156+AA$158)*'Electricity NOx by AB'!AG3819</f>
        <v>0</v>
      </c>
      <c r="BB187" s="232">
        <f>(AB$140+AB$149+AB$150+AB$159)*'Petrol Refining PM2.5 by AB'!Z28+AB$148*'Biodiesel Facility by AB'!AH19+(AB$146+AB$156+AB$158)*'Electricity NOx by AB'!AH3819</f>
        <v>0</v>
      </c>
      <c r="BC187" s="105" t="s">
        <v>254</v>
      </c>
    </row>
    <row r="188" spans="1:56">
      <c r="A188" s="464"/>
      <c r="B188" s="2" t="s">
        <v>255</v>
      </c>
      <c r="C188" s="53" t="s">
        <v>65</v>
      </c>
      <c r="D188" s="104">
        <f>(D$112+D$121+D$122+D$131)*'Petrol Refining NOx by AB'!E326+D$120*'Biodiesel Facility by AB'!J20+(D$128+D$130)*'Electricity NOx by AB'!J3820</f>
        <v>0</v>
      </c>
      <c r="E188" s="104">
        <f>(E$112+E$121+E$122+E$131)*'Petrol Refining NOx by AB'!F326+E$120*'Biodiesel Facility by AB'!K20+(E$128+E$130)*'Electricity NOx by AB'!K3820</f>
        <v>0</v>
      </c>
      <c r="F188" s="104">
        <f>(F$112+F$121+F$122+F$131)*'Petrol Refining NOx by AB'!G326+F$120*'Biodiesel Facility by AB'!L20+(F$128+F$130)*'Electricity NOx by AB'!L3820</f>
        <v>0</v>
      </c>
      <c r="G188" s="104">
        <f>(G$112+G$121+G$122+G$131)*'Petrol Refining NOx by AB'!H326+G$120*'Biodiesel Facility by AB'!M20+(G$128+G$130)*'Electricity NOx by AB'!M3820</f>
        <v>0</v>
      </c>
      <c r="H188" s="104">
        <f>(H$112+H$121+H$122+H$131)*'Petrol Refining NOx by AB'!I326+H$120*'Biodiesel Facility by AB'!N20+(H$128+H$130)*'Electricity NOx by AB'!N3820</f>
        <v>0</v>
      </c>
      <c r="I188" s="104">
        <f>(I$112+I$121+I$122+I$131)*'Petrol Refining NOx by AB'!J326+I$120*'Biodiesel Facility by AB'!O20+(I$128+I$130)*'Electricity NOx by AB'!O3820</f>
        <v>0</v>
      </c>
      <c r="J188" s="104">
        <f>(J$112+J$121+J$122+J$131)*'Petrol Refining NOx by AB'!K326+J$120*'Biodiesel Facility by AB'!P20+(J$128+J$130)*'Electricity NOx by AB'!P3820</f>
        <v>0</v>
      </c>
      <c r="K188" s="104">
        <f>(K$112+K$121+K$122+K$131)*'Petrol Refining NOx by AB'!L326+K$120*'Biodiesel Facility by AB'!Q20+(K$128+K$130)*'Electricity NOx by AB'!Q3820</f>
        <v>0</v>
      </c>
      <c r="L188" s="104">
        <f>(L$112+L$121+L$122+L$131)*'Petrol Refining NOx by AB'!M326+L$120*'Biodiesel Facility by AB'!R20+(L$128+L$130)*'Electricity NOx by AB'!R3820</f>
        <v>0</v>
      </c>
      <c r="M188" s="104">
        <f>(M$112+M$121+M$122+M$131)*'Petrol Refining NOx by AB'!N326+M$120*'Biodiesel Facility by AB'!S20+(M$128+M$130)*'Electricity NOx by AB'!S3820</f>
        <v>0</v>
      </c>
      <c r="N188" s="104">
        <f>(N$112+N$121+N$122+N$131)*'Petrol Refining NOx by AB'!O326+N$120*'Biodiesel Facility by AB'!T20+(N$128+N$130)*'Electricity NOx by AB'!T3820</f>
        <v>0</v>
      </c>
      <c r="O188" s="104">
        <f>(O$112+O$121+O$122+O$131)*'Petrol Refining NOx by AB'!P326+O$120*'Biodiesel Facility by AB'!U20+(O$128+O$130)*'Electricity NOx by AB'!U3820</f>
        <v>0</v>
      </c>
      <c r="P188" s="104">
        <f>(P$112+P$121+P$122+P$131)*'Petrol Refining NOx by AB'!Q326+P$120*'Biodiesel Facility by AB'!V20+(P$128+P$130)*'Electricity NOx by AB'!V3820</f>
        <v>0</v>
      </c>
      <c r="Q188" s="104">
        <f>(Q$112+Q$121+Q$122+Q$131)*'Petrol Refining NOx by AB'!R326+Q$120*'Biodiesel Facility by AB'!W20+(Q$128+Q$130)*'Electricity NOx by AB'!W3820</f>
        <v>0</v>
      </c>
      <c r="R188" s="104">
        <f>(R$112+R$121+R$122+R$131)*'Petrol Refining NOx by AB'!S326+R$120*'Biodiesel Facility by AB'!X20+(R$128+R$130)*'Electricity NOx by AB'!X3820</f>
        <v>0</v>
      </c>
      <c r="S188" s="104">
        <f>(S$112+S$121+S$122+S$131)*'Petrol Refining NOx by AB'!T326+S$120*'Biodiesel Facility by AB'!Y20+(S$128+S$130)*'Electricity NOx by AB'!Y3820</f>
        <v>0</v>
      </c>
      <c r="T188" s="104">
        <f>(T$112+T$121+T$122+T$131)*'Petrol Refining NOx by AB'!U326+T$120*'Biodiesel Facility by AB'!Z20+(T$128+T$130)*'Electricity NOx by AB'!Z3820</f>
        <v>0</v>
      </c>
      <c r="U188" s="104">
        <f>(U$112+U$121+U$122+U$131)*'Petrol Refining NOx by AB'!V326+U$120*'Biodiesel Facility by AB'!AA20+(U$128+U$130)*'Electricity NOx by AB'!AA3820</f>
        <v>0</v>
      </c>
      <c r="V188" s="104">
        <f>(V$112+V$121+V$122+V$131)*'Petrol Refining NOx by AB'!W326+V$120*'Biodiesel Facility by AB'!AB20+(V$128+V$130)*'Electricity NOx by AB'!AB3820</f>
        <v>0</v>
      </c>
      <c r="W188" s="104">
        <f>(W$112+W$121+W$122+W$131)*'Petrol Refining NOx by AB'!X326+W$120*'Biodiesel Facility by AB'!AC20+(W$128+W$130)*'Electricity NOx by AB'!AC3820</f>
        <v>0</v>
      </c>
      <c r="X188" s="104">
        <f>(X$112+X$121+X$122+X$131)*'Petrol Refining NOx by AB'!Y326+X$120*'Biodiesel Facility by AB'!AD20+(X$128+X$130)*'Electricity NOx by AB'!AD3820</f>
        <v>0</v>
      </c>
      <c r="Y188" s="104">
        <f>(Y$112+Y$121+Y$122+Y$131)*'Petrol Refining NOx by AB'!Z326+Y$120*'Biodiesel Facility by AB'!AE20+(Y$128+Y$130)*'Electricity NOx by AB'!AE3820</f>
        <v>0</v>
      </c>
      <c r="Z188" s="104">
        <f>(Z$112+Z$121+Z$122+Z$131)*'Petrol Refining NOx by AB'!AA326+Z$120*'Biodiesel Facility by AB'!AF20+(Z$128+Z$130)*'Electricity NOx by AB'!AF3820</f>
        <v>0</v>
      </c>
      <c r="AA188" s="104">
        <f>(AA$112+AA$121+AA$122+AA$131)*'Petrol Refining NOx by AB'!AB326+AA$120*'Biodiesel Facility by AB'!AG20+(AA$128+AA$130)*'Electricity NOx by AB'!AG3820</f>
        <v>0</v>
      </c>
      <c r="AB188" s="175">
        <f>(AB$112+AB$121+AB$122+AB$131)*'Petrol Refining NOx by AB'!AC326+AB$120*'Biodiesel Facility by AB'!AH20+(AB$128+AB$130)*'Electricity NOx by AB'!AH3820</f>
        <v>0</v>
      </c>
      <c r="AD188" s="232">
        <f>(D$140+D$149+D$150+D$159)*'Petrol Refining PM2.5 by AB'!B29+D$148*'Biodiesel Facility by AB'!J20+(D$146+D$156+D$158)*'Electricity NOx by AB'!J3820</f>
        <v>0</v>
      </c>
      <c r="AE188" s="232">
        <f>(E$140+E$149+E$150+E$159)*'Petrol Refining PM2.5 by AB'!C29+E$148*'Biodiesel Facility by AB'!K20+(E$146+E$156+E$158)*'Electricity NOx by AB'!K3820</f>
        <v>0</v>
      </c>
      <c r="AF188" s="232">
        <f>(F$140+F$149+F$150+F$159)*'Petrol Refining PM2.5 by AB'!D29+F$148*'Biodiesel Facility by AB'!L20+(F$146+F$156+F$158)*'Electricity NOx by AB'!L3820</f>
        <v>0</v>
      </c>
      <c r="AG188" s="232">
        <f>(G$140+G$149+G$150+G$159)*'Petrol Refining PM2.5 by AB'!E29+G$148*'Biodiesel Facility by AB'!M20+(G$146+G$156+G$158)*'Electricity NOx by AB'!M3820</f>
        <v>0</v>
      </c>
      <c r="AH188" s="232">
        <f>(H$140+H$149+H$150+H$159)*'Petrol Refining PM2.5 by AB'!F29+H$148*'Biodiesel Facility by AB'!N20+(H$146+H$156+H$158)*'Electricity NOx by AB'!N3820</f>
        <v>4.7985665403550743E-5</v>
      </c>
      <c r="AI188" s="232">
        <f>(I$140+I$149+I$150+I$159)*'Petrol Refining PM2.5 by AB'!G29+I$148*'Biodiesel Facility by AB'!O20+(I$146+I$156+I$158)*'Electricity NOx by AB'!O3820</f>
        <v>4.1155148737819105E-4</v>
      </c>
      <c r="AJ188" s="232">
        <f>(J$140+J$149+J$150+J$159)*'Petrol Refining PM2.5 by AB'!H29+J$148*'Biodiesel Facility by AB'!P20+(J$146+J$156+J$158)*'Electricity NOx by AB'!P3820</f>
        <v>6.2590311649086364E-4</v>
      </c>
      <c r="AK188" s="232">
        <f>(K$140+K$149+K$150+K$159)*'Petrol Refining PM2.5 by AB'!I29+K$148*'Biodiesel Facility by AB'!Q20+(K$146+K$156+K$158)*'Electricity NOx by AB'!Q3820</f>
        <v>7.5169677953411341E-4</v>
      </c>
      <c r="AL188" s="232">
        <f>(L$140+L$149+L$150+L$159)*'Petrol Refining PM2.5 by AB'!J29+L$148*'Biodiesel Facility by AB'!R20+(L$146+L$156+L$158)*'Electricity NOx by AB'!R3820</f>
        <v>8.2394095391040661E-4</v>
      </c>
      <c r="AM188" s="232">
        <f>(M$140+M$149+M$150+M$159)*'Petrol Refining PM2.5 by AB'!K29+M$148*'Biodiesel Facility by AB'!S20+(M$146+M$156+M$158)*'Electricity NOx by AB'!S3820</f>
        <v>8.7022578055212562E-4</v>
      </c>
      <c r="AN188" s="232">
        <f>(N$140+N$149+N$150+N$159)*'Petrol Refining PM2.5 by AB'!L29+N$148*'Biodiesel Facility by AB'!T20+(N$146+N$156+N$158)*'Electricity NOx by AB'!T3820</f>
        <v>8.9799693456778175E-4</v>
      </c>
      <c r="AO188" s="232">
        <f>(O$140+O$149+O$150+O$159)*'Petrol Refining PM2.5 by AB'!M29+O$148*'Biodiesel Facility by AB'!U20+(O$146+O$156+O$158)*'Electricity NOx by AB'!U3820</f>
        <v>9.1465961659506923E-4</v>
      </c>
      <c r="AP188" s="232">
        <f>(P$140+P$149+P$150+P$159)*'Petrol Refining PM2.5 by AB'!N29+P$148*'Biodiesel Facility by AB'!V20+(P$146+P$156+P$158)*'Electricity NOx by AB'!V3820</f>
        <v>9.3965365041002785E-4</v>
      </c>
      <c r="AQ188" s="232">
        <f>(Q$140+Q$149+Q$150+Q$159)*'Petrol Refining PM2.5 by AB'!O29+Q$148*'Biodiesel Facility by AB'!W20+(Q$146+Q$156+Q$158)*'Electricity NOx by AB'!W3820</f>
        <v>9.3965337702205999E-4</v>
      </c>
      <c r="AR188" s="232">
        <f>(R$140+R$149+R$150+R$159)*'Petrol Refining PM2.5 by AB'!P29+R$148*'Biodiesel Facility by AB'!X20+(R$146+R$156+R$158)*'Electricity NOx by AB'!X3820</f>
        <v>9.3965333725655063E-4</v>
      </c>
      <c r="AS188" s="232">
        <f>(S$140+S$149+S$150+S$159)*'Petrol Refining PM2.5 by AB'!Q29+S$148*'Biodiesel Facility by AB'!Y20+(S$146+S$156+S$158)*'Electricity NOx by AB'!Y3820</f>
        <v>9.3965293960164239E-4</v>
      </c>
      <c r="AT188" s="232">
        <f>(T$140+T$149+T$150+T$159)*'Petrol Refining PM2.5 by AB'!R29+T$148*'Biodiesel Facility by AB'!Z20+(T$146+T$156+T$158)*'Electricity NOx by AB'!Z3820</f>
        <v>9.3965291474822174E-4</v>
      </c>
      <c r="AU188" s="232">
        <f>(U$140+U$149+U$150+U$159)*'Petrol Refining PM2.5 by AB'!S29+U$148*'Biodiesel Facility by AB'!AA20+(U$146+U$156+U$158)*'Electricity NOx by AB'!AA3820</f>
        <v>9.3965263887534187E-4</v>
      </c>
      <c r="AV188" s="232">
        <f>(V$140+V$149+V$150+V$159)*'Petrol Refining PM2.5 by AB'!T29+V$148*'Biodiesel Facility by AB'!AB20+(V$146+V$156+V$158)*'Electricity NOx by AB'!AB3820</f>
        <v>9.3965248851226376E-4</v>
      </c>
      <c r="AW188" s="232">
        <f>(W$140+W$149+W$150+W$159)*'Petrol Refining PM2.5 by AB'!U29+W$148*'Biodiesel Facility by AB'!AC20+(W$146+W$156+W$158)*'Electricity NOx by AB'!AC3820</f>
        <v>9.3965245123216884E-4</v>
      </c>
      <c r="AX188" s="232">
        <f>(X$140+X$149+X$150+X$159)*'Petrol Refining PM2.5 by AB'!V29+X$148*'Biodiesel Facility by AB'!AD20+(X$146+X$156+X$158)*'Electricity NOx by AB'!AD3820</f>
        <v>9.3965255188843114E-4</v>
      </c>
      <c r="AY188" s="232">
        <f>(Y$140+Y$149+Y$150+Y$159)*'Petrol Refining PM2.5 by AB'!W29+Y$148*'Biodiesel Facility by AB'!AE20+(Y$146+Y$156+Y$158)*'Electricity NOx by AB'!AE3820</f>
        <v>9.3965265130204454E-4</v>
      </c>
      <c r="AZ188" s="232">
        <f>(Z$140+Z$149+Z$150+Z$159)*'Petrol Refining PM2.5 by AB'!X29+Z$148*'Biodiesel Facility by AB'!AF20+(Z$146+Z$156+Z$158)*'Electricity NOx by AB'!AF3820</f>
        <v>9.3965275071567888E-4</v>
      </c>
      <c r="BA188" s="232">
        <f>(AA$140+AA$149+AA$150+AA$159)*'Petrol Refining PM2.5 by AB'!Y29+AA$148*'Biodiesel Facility by AB'!AG20+(AA$146+AA$156+AA$158)*'Electricity NOx by AB'!AG3820</f>
        <v>9.3965271343556379E-4</v>
      </c>
      <c r="BB188" s="232">
        <f>(AB$140+AB$149+AB$150+AB$159)*'Petrol Refining PM2.5 by AB'!Z29+AB$148*'Biodiesel Facility by AB'!AH20+(AB$146+AB$156+AB$158)*'Electricity NOx by AB'!AH3820</f>
        <v>9.3965268858215486E-4</v>
      </c>
    </row>
    <row r="189" spans="1:56">
      <c r="A189" s="464"/>
      <c r="B189" s="2" t="s">
        <v>256</v>
      </c>
      <c r="C189" s="53" t="s">
        <v>65</v>
      </c>
      <c r="D189" s="104">
        <f>(D$112+D$121+D$122+D$131)*'Petrol Refining NOx by AB'!E327+D$120*'Biodiesel Facility by AB'!J21+(D$128+D$130)*'Electricity NOx by AB'!J3821</f>
        <v>0</v>
      </c>
      <c r="E189" s="104">
        <f>(E$112+E$121+E$122+E$131)*'Petrol Refining NOx by AB'!F327+E$120*'Biodiesel Facility by AB'!K21+(E$128+E$130)*'Electricity NOx by AB'!K3821</f>
        <v>0</v>
      </c>
      <c r="F189" s="104">
        <f>(F$112+F$121+F$122+F$131)*'Petrol Refining NOx by AB'!G327+F$120*'Biodiesel Facility by AB'!L21+(F$128+F$130)*'Electricity NOx by AB'!L3821</f>
        <v>0</v>
      </c>
      <c r="G189" s="104">
        <f>(G$112+G$121+G$122+G$131)*'Petrol Refining NOx by AB'!H327+G$120*'Biodiesel Facility by AB'!M21+(G$128+G$130)*'Electricity NOx by AB'!M3821</f>
        <v>0</v>
      </c>
      <c r="H189" s="104">
        <f>(H$112+H$121+H$122+H$131)*'Petrol Refining NOx by AB'!I327+H$120*'Biodiesel Facility by AB'!N21+(H$128+H$130)*'Electricity NOx by AB'!N3821</f>
        <v>0</v>
      </c>
      <c r="I189" s="104">
        <f>(I$112+I$121+I$122+I$131)*'Petrol Refining NOx by AB'!J327+I$120*'Biodiesel Facility by AB'!O21+(I$128+I$130)*'Electricity NOx by AB'!O3821</f>
        <v>0</v>
      </c>
      <c r="J189" s="104">
        <f>(J$112+J$121+J$122+J$131)*'Petrol Refining NOx by AB'!K327+J$120*'Biodiesel Facility by AB'!P21+(J$128+J$130)*'Electricity NOx by AB'!P3821</f>
        <v>0</v>
      </c>
      <c r="K189" s="104">
        <f>(K$112+K$121+K$122+K$131)*'Petrol Refining NOx by AB'!L327+K$120*'Biodiesel Facility by AB'!Q21+(K$128+K$130)*'Electricity NOx by AB'!Q3821</f>
        <v>0</v>
      </c>
      <c r="L189" s="104">
        <f>(L$112+L$121+L$122+L$131)*'Petrol Refining NOx by AB'!M327+L$120*'Biodiesel Facility by AB'!R21+(L$128+L$130)*'Electricity NOx by AB'!R3821</f>
        <v>0</v>
      </c>
      <c r="M189" s="104">
        <f>(M$112+M$121+M$122+M$131)*'Petrol Refining NOx by AB'!N327+M$120*'Biodiesel Facility by AB'!S21+(M$128+M$130)*'Electricity NOx by AB'!S3821</f>
        <v>0</v>
      </c>
      <c r="N189" s="104">
        <f>(N$112+N$121+N$122+N$131)*'Petrol Refining NOx by AB'!O327+N$120*'Biodiesel Facility by AB'!T21+(N$128+N$130)*'Electricity NOx by AB'!T3821</f>
        <v>0</v>
      </c>
      <c r="O189" s="104">
        <f>(O$112+O$121+O$122+O$131)*'Petrol Refining NOx by AB'!P327+O$120*'Biodiesel Facility by AB'!U21+(O$128+O$130)*'Electricity NOx by AB'!U3821</f>
        <v>0</v>
      </c>
      <c r="P189" s="104">
        <f>(P$112+P$121+P$122+P$131)*'Petrol Refining NOx by AB'!Q327+P$120*'Biodiesel Facility by AB'!V21+(P$128+P$130)*'Electricity NOx by AB'!V3821</f>
        <v>0</v>
      </c>
      <c r="Q189" s="104">
        <f>(Q$112+Q$121+Q$122+Q$131)*'Petrol Refining NOx by AB'!R327+Q$120*'Biodiesel Facility by AB'!W21+(Q$128+Q$130)*'Electricity NOx by AB'!W3821</f>
        <v>0</v>
      </c>
      <c r="R189" s="104">
        <f>(R$112+R$121+R$122+R$131)*'Petrol Refining NOx by AB'!S327+R$120*'Biodiesel Facility by AB'!X21+(R$128+R$130)*'Electricity NOx by AB'!X3821</f>
        <v>0</v>
      </c>
      <c r="S189" s="104">
        <f>(S$112+S$121+S$122+S$131)*'Petrol Refining NOx by AB'!T327+S$120*'Biodiesel Facility by AB'!Y21+(S$128+S$130)*'Electricity NOx by AB'!Y3821</f>
        <v>0</v>
      </c>
      <c r="T189" s="104">
        <f>(T$112+T$121+T$122+T$131)*'Petrol Refining NOx by AB'!U327+T$120*'Biodiesel Facility by AB'!Z21+(T$128+T$130)*'Electricity NOx by AB'!Z3821</f>
        <v>0</v>
      </c>
      <c r="U189" s="104">
        <f>(U$112+U$121+U$122+U$131)*'Petrol Refining NOx by AB'!V327+U$120*'Biodiesel Facility by AB'!AA21+(U$128+U$130)*'Electricity NOx by AB'!AA3821</f>
        <v>0</v>
      </c>
      <c r="V189" s="104">
        <f>(V$112+V$121+V$122+V$131)*'Petrol Refining NOx by AB'!W327+V$120*'Biodiesel Facility by AB'!AB21+(V$128+V$130)*'Electricity NOx by AB'!AB3821</f>
        <v>0</v>
      </c>
      <c r="W189" s="104">
        <f>(W$112+W$121+W$122+W$131)*'Petrol Refining NOx by AB'!X327+W$120*'Biodiesel Facility by AB'!AC21+(W$128+W$130)*'Electricity NOx by AB'!AC3821</f>
        <v>0</v>
      </c>
      <c r="X189" s="104">
        <f>(X$112+X$121+X$122+X$131)*'Petrol Refining NOx by AB'!Y327+X$120*'Biodiesel Facility by AB'!AD21+(X$128+X$130)*'Electricity NOx by AB'!AD3821</f>
        <v>0</v>
      </c>
      <c r="Y189" s="104">
        <f>(Y$112+Y$121+Y$122+Y$131)*'Petrol Refining NOx by AB'!Z327+Y$120*'Biodiesel Facility by AB'!AE21+(Y$128+Y$130)*'Electricity NOx by AB'!AE3821</f>
        <v>0</v>
      </c>
      <c r="Z189" s="104">
        <f>(Z$112+Z$121+Z$122+Z$131)*'Petrol Refining NOx by AB'!AA327+Z$120*'Biodiesel Facility by AB'!AF21+(Z$128+Z$130)*'Electricity NOx by AB'!AF3821</f>
        <v>0</v>
      </c>
      <c r="AA189" s="104">
        <f>(AA$112+AA$121+AA$122+AA$131)*'Petrol Refining NOx by AB'!AB327+AA$120*'Biodiesel Facility by AB'!AG21+(AA$128+AA$130)*'Electricity NOx by AB'!AG3821</f>
        <v>0</v>
      </c>
      <c r="AB189" s="175">
        <f>(AB$112+AB$121+AB$122+AB$131)*'Petrol Refining NOx by AB'!AC327+AB$120*'Biodiesel Facility by AB'!AH21+(AB$128+AB$130)*'Electricity NOx by AB'!AH3821</f>
        <v>0</v>
      </c>
      <c r="AD189" s="232">
        <f>(D$140+D$149+D$150+D$159)*'Petrol Refining PM2.5 by AB'!B30+D$148*'Biodiesel Facility by AB'!J21+(D$146+D$156+D$158)*'Electricity NOx by AB'!J3821</f>
        <v>0</v>
      </c>
      <c r="AE189" s="232">
        <f>(E$140+E$149+E$150+E$159)*'Petrol Refining PM2.5 by AB'!C30+E$148*'Biodiesel Facility by AB'!K21+(E$146+E$156+E$158)*'Electricity NOx by AB'!K3821</f>
        <v>0</v>
      </c>
      <c r="AF189" s="232">
        <f>(F$140+F$149+F$150+F$159)*'Petrol Refining PM2.5 by AB'!D30+F$148*'Biodiesel Facility by AB'!L21+(F$146+F$156+F$158)*'Electricity NOx by AB'!L3821</f>
        <v>0</v>
      </c>
      <c r="AG189" s="232">
        <f>(G$140+G$149+G$150+G$159)*'Petrol Refining PM2.5 by AB'!E30+G$148*'Biodiesel Facility by AB'!M21+(G$146+G$156+G$158)*'Electricity NOx by AB'!M3821</f>
        <v>0</v>
      </c>
      <c r="AH189" s="232">
        <f>(H$140+H$149+H$150+H$159)*'Petrol Refining PM2.5 by AB'!F30+H$148*'Biodiesel Facility by AB'!N21+(H$146+H$156+H$158)*'Electricity NOx by AB'!N3821</f>
        <v>0</v>
      </c>
      <c r="AI189" s="232">
        <f>(I$140+I$149+I$150+I$159)*'Petrol Refining PM2.5 by AB'!G30+I$148*'Biodiesel Facility by AB'!O21+(I$146+I$156+I$158)*'Electricity NOx by AB'!O3821</f>
        <v>0</v>
      </c>
      <c r="AJ189" s="232">
        <f>(J$140+J$149+J$150+J$159)*'Petrol Refining PM2.5 by AB'!H30+J$148*'Biodiesel Facility by AB'!P21+(J$146+J$156+J$158)*'Electricity NOx by AB'!P3821</f>
        <v>0</v>
      </c>
      <c r="AK189" s="232">
        <f>(K$140+K$149+K$150+K$159)*'Petrol Refining PM2.5 by AB'!I30+K$148*'Biodiesel Facility by AB'!Q21+(K$146+K$156+K$158)*'Electricity NOx by AB'!Q3821</f>
        <v>0</v>
      </c>
      <c r="AL189" s="232">
        <f>(L$140+L$149+L$150+L$159)*'Petrol Refining PM2.5 by AB'!J30+L$148*'Biodiesel Facility by AB'!R21+(L$146+L$156+L$158)*'Electricity NOx by AB'!R3821</f>
        <v>0</v>
      </c>
      <c r="AM189" s="232">
        <f>(M$140+M$149+M$150+M$159)*'Petrol Refining PM2.5 by AB'!K30+M$148*'Biodiesel Facility by AB'!S21+(M$146+M$156+M$158)*'Electricity NOx by AB'!S3821</f>
        <v>0</v>
      </c>
      <c r="AN189" s="232">
        <f>(N$140+N$149+N$150+N$159)*'Petrol Refining PM2.5 by AB'!L30+N$148*'Biodiesel Facility by AB'!T21+(N$146+N$156+N$158)*'Electricity NOx by AB'!T3821</f>
        <v>0</v>
      </c>
      <c r="AO189" s="232">
        <f>(O$140+O$149+O$150+O$159)*'Petrol Refining PM2.5 by AB'!M30+O$148*'Biodiesel Facility by AB'!U21+(O$146+O$156+O$158)*'Electricity NOx by AB'!U3821</f>
        <v>0</v>
      </c>
      <c r="AP189" s="232">
        <f>(P$140+P$149+P$150+P$159)*'Petrol Refining PM2.5 by AB'!N30+P$148*'Biodiesel Facility by AB'!V21+(P$146+P$156+P$158)*'Electricity NOx by AB'!V3821</f>
        <v>0</v>
      </c>
      <c r="AQ189" s="232">
        <f>(Q$140+Q$149+Q$150+Q$159)*'Petrol Refining PM2.5 by AB'!O30+Q$148*'Biodiesel Facility by AB'!W21+(Q$146+Q$156+Q$158)*'Electricity NOx by AB'!W3821</f>
        <v>0</v>
      </c>
      <c r="AR189" s="232">
        <f>(R$140+R$149+R$150+R$159)*'Petrol Refining PM2.5 by AB'!P30+R$148*'Biodiesel Facility by AB'!X21+(R$146+R$156+R$158)*'Electricity NOx by AB'!X3821</f>
        <v>0</v>
      </c>
      <c r="AS189" s="232">
        <f>(S$140+S$149+S$150+S$159)*'Petrol Refining PM2.5 by AB'!Q30+S$148*'Biodiesel Facility by AB'!Y21+(S$146+S$156+S$158)*'Electricity NOx by AB'!Y3821</f>
        <v>0</v>
      </c>
      <c r="AT189" s="232">
        <f>(T$140+T$149+T$150+T$159)*'Petrol Refining PM2.5 by AB'!R30+T$148*'Biodiesel Facility by AB'!Z21+(T$146+T$156+T$158)*'Electricity NOx by AB'!Z3821</f>
        <v>0</v>
      </c>
      <c r="AU189" s="232">
        <f>(U$140+U$149+U$150+U$159)*'Petrol Refining PM2.5 by AB'!S30+U$148*'Biodiesel Facility by AB'!AA21+(U$146+U$156+U$158)*'Electricity NOx by AB'!AA3821</f>
        <v>0</v>
      </c>
      <c r="AV189" s="232">
        <f>(V$140+V$149+V$150+V$159)*'Petrol Refining PM2.5 by AB'!T30+V$148*'Biodiesel Facility by AB'!AB21+(V$146+V$156+V$158)*'Electricity NOx by AB'!AB3821</f>
        <v>0</v>
      </c>
      <c r="AW189" s="232">
        <f>(W$140+W$149+W$150+W$159)*'Petrol Refining PM2.5 by AB'!U30+W$148*'Biodiesel Facility by AB'!AC21+(W$146+W$156+W$158)*'Electricity NOx by AB'!AC3821</f>
        <v>0</v>
      </c>
      <c r="AX189" s="232">
        <f>(X$140+X$149+X$150+X$159)*'Petrol Refining PM2.5 by AB'!V30+X$148*'Biodiesel Facility by AB'!AD21+(X$146+X$156+X$158)*'Electricity NOx by AB'!AD3821</f>
        <v>0</v>
      </c>
      <c r="AY189" s="232">
        <f>(Y$140+Y$149+Y$150+Y$159)*'Petrol Refining PM2.5 by AB'!W30+Y$148*'Biodiesel Facility by AB'!AE21+(Y$146+Y$156+Y$158)*'Electricity NOx by AB'!AE3821</f>
        <v>0</v>
      </c>
      <c r="AZ189" s="232">
        <f>(Z$140+Z$149+Z$150+Z$159)*'Petrol Refining PM2.5 by AB'!X30+Z$148*'Biodiesel Facility by AB'!AF21+(Z$146+Z$156+Z$158)*'Electricity NOx by AB'!AF3821</f>
        <v>0</v>
      </c>
      <c r="BA189" s="232">
        <f>(AA$140+AA$149+AA$150+AA$159)*'Petrol Refining PM2.5 by AB'!Y30+AA$148*'Biodiesel Facility by AB'!AG21+(AA$146+AA$156+AA$158)*'Electricity NOx by AB'!AG3821</f>
        <v>0</v>
      </c>
      <c r="BB189" s="232">
        <f>(AB$140+AB$149+AB$150+AB$159)*'Petrol Refining PM2.5 by AB'!Z30+AB$148*'Biodiesel Facility by AB'!AH21+(AB$146+AB$156+AB$158)*'Electricity NOx by AB'!AH3821</f>
        <v>0</v>
      </c>
    </row>
    <row r="190" spans="1:56">
      <c r="A190" s="464"/>
      <c r="B190" s="2" t="s">
        <v>257</v>
      </c>
      <c r="C190" s="53" t="s">
        <v>65</v>
      </c>
      <c r="D190" s="104">
        <f>(D$112+D$121+D$122+D$131)*'Petrol Refining NOx by AB'!E328+D$120*'Biodiesel Facility by AB'!J22+(D$128+D$130)*'Electricity NOx by AB'!J3822</f>
        <v>0</v>
      </c>
      <c r="E190" s="104">
        <f>(E$112+E$121+E$122+E$131)*'Petrol Refining NOx by AB'!F328+E$120*'Biodiesel Facility by AB'!K22+(E$128+E$130)*'Electricity NOx by AB'!K3822</f>
        <v>0</v>
      </c>
      <c r="F190" s="104">
        <f>(F$112+F$121+F$122+F$131)*'Petrol Refining NOx by AB'!G328+F$120*'Biodiesel Facility by AB'!L22+(F$128+F$130)*'Electricity NOx by AB'!L3822</f>
        <v>0</v>
      </c>
      <c r="G190" s="104">
        <f>(G$112+G$121+G$122+G$131)*'Petrol Refining NOx by AB'!H328+G$120*'Biodiesel Facility by AB'!M22+(G$128+G$130)*'Electricity NOx by AB'!M3822</f>
        <v>0</v>
      </c>
      <c r="H190" s="104">
        <f>(H$112+H$121+H$122+H$131)*'Petrol Refining NOx by AB'!I328+H$120*'Biodiesel Facility by AB'!N22+(H$128+H$130)*'Electricity NOx by AB'!N3822</f>
        <v>0</v>
      </c>
      <c r="I190" s="104">
        <f>(I$112+I$121+I$122+I$131)*'Petrol Refining NOx by AB'!J328+I$120*'Biodiesel Facility by AB'!O22+(I$128+I$130)*'Electricity NOx by AB'!O3822</f>
        <v>0</v>
      </c>
      <c r="J190" s="104">
        <f>(J$112+J$121+J$122+J$131)*'Petrol Refining NOx by AB'!K328+J$120*'Biodiesel Facility by AB'!P22+(J$128+J$130)*'Electricity NOx by AB'!P3822</f>
        <v>0</v>
      </c>
      <c r="K190" s="104">
        <f>(K$112+K$121+K$122+K$131)*'Petrol Refining NOx by AB'!L328+K$120*'Biodiesel Facility by AB'!Q22+(K$128+K$130)*'Electricity NOx by AB'!Q3822</f>
        <v>0</v>
      </c>
      <c r="L190" s="104">
        <f>(L$112+L$121+L$122+L$131)*'Petrol Refining NOx by AB'!M328+L$120*'Biodiesel Facility by AB'!R22+(L$128+L$130)*'Electricity NOx by AB'!R3822</f>
        <v>0</v>
      </c>
      <c r="M190" s="104">
        <f>(M$112+M$121+M$122+M$131)*'Petrol Refining NOx by AB'!N328+M$120*'Biodiesel Facility by AB'!S22+(M$128+M$130)*'Electricity NOx by AB'!S3822</f>
        <v>0</v>
      </c>
      <c r="N190" s="104">
        <f>(N$112+N$121+N$122+N$131)*'Petrol Refining NOx by AB'!O328+N$120*'Biodiesel Facility by AB'!T22+(N$128+N$130)*'Electricity NOx by AB'!T3822</f>
        <v>0</v>
      </c>
      <c r="O190" s="104">
        <f>(O$112+O$121+O$122+O$131)*'Petrol Refining NOx by AB'!P328+O$120*'Biodiesel Facility by AB'!U22+(O$128+O$130)*'Electricity NOx by AB'!U3822</f>
        <v>0</v>
      </c>
      <c r="P190" s="104">
        <f>(P$112+P$121+P$122+P$131)*'Petrol Refining NOx by AB'!Q328+P$120*'Biodiesel Facility by AB'!V22+(P$128+P$130)*'Electricity NOx by AB'!V3822</f>
        <v>0</v>
      </c>
      <c r="Q190" s="104">
        <f>(Q$112+Q$121+Q$122+Q$131)*'Petrol Refining NOx by AB'!R328+Q$120*'Biodiesel Facility by AB'!W22+(Q$128+Q$130)*'Electricity NOx by AB'!W3822</f>
        <v>0</v>
      </c>
      <c r="R190" s="104">
        <f>(R$112+R$121+R$122+R$131)*'Petrol Refining NOx by AB'!S328+R$120*'Biodiesel Facility by AB'!X22+(R$128+R$130)*'Electricity NOx by AB'!X3822</f>
        <v>0</v>
      </c>
      <c r="S190" s="104">
        <f>(S$112+S$121+S$122+S$131)*'Petrol Refining NOx by AB'!T328+S$120*'Biodiesel Facility by AB'!Y22+(S$128+S$130)*'Electricity NOx by AB'!Y3822</f>
        <v>0</v>
      </c>
      <c r="T190" s="104">
        <f>(T$112+T$121+T$122+T$131)*'Petrol Refining NOx by AB'!U328+T$120*'Biodiesel Facility by AB'!Z22+(T$128+T$130)*'Electricity NOx by AB'!Z3822</f>
        <v>0</v>
      </c>
      <c r="U190" s="104">
        <f>(U$112+U$121+U$122+U$131)*'Petrol Refining NOx by AB'!V328+U$120*'Biodiesel Facility by AB'!AA22+(U$128+U$130)*'Electricity NOx by AB'!AA3822</f>
        <v>0</v>
      </c>
      <c r="V190" s="104">
        <f>(V$112+V$121+V$122+V$131)*'Petrol Refining NOx by AB'!W328+V$120*'Biodiesel Facility by AB'!AB22+(V$128+V$130)*'Electricity NOx by AB'!AB3822</f>
        <v>0</v>
      </c>
      <c r="W190" s="104">
        <f>(W$112+W$121+W$122+W$131)*'Petrol Refining NOx by AB'!X328+W$120*'Biodiesel Facility by AB'!AC22+(W$128+W$130)*'Electricity NOx by AB'!AC3822</f>
        <v>0</v>
      </c>
      <c r="X190" s="104">
        <f>(X$112+X$121+X$122+X$131)*'Petrol Refining NOx by AB'!Y328+X$120*'Biodiesel Facility by AB'!AD22+(X$128+X$130)*'Electricity NOx by AB'!AD3822</f>
        <v>0</v>
      </c>
      <c r="Y190" s="104">
        <f>(Y$112+Y$121+Y$122+Y$131)*'Petrol Refining NOx by AB'!Z328+Y$120*'Biodiesel Facility by AB'!AE22+(Y$128+Y$130)*'Electricity NOx by AB'!AE3822</f>
        <v>0</v>
      </c>
      <c r="Z190" s="104">
        <f>(Z$112+Z$121+Z$122+Z$131)*'Petrol Refining NOx by AB'!AA328+Z$120*'Biodiesel Facility by AB'!AF22+(Z$128+Z$130)*'Electricity NOx by AB'!AF3822</f>
        <v>0</v>
      </c>
      <c r="AA190" s="104">
        <f>(AA$112+AA$121+AA$122+AA$131)*'Petrol Refining NOx by AB'!AB328+AA$120*'Biodiesel Facility by AB'!AG22+(AA$128+AA$130)*'Electricity NOx by AB'!AG3822</f>
        <v>0</v>
      </c>
      <c r="AB190" s="175">
        <f>(AB$112+AB$121+AB$122+AB$131)*'Petrol Refining NOx by AB'!AC328+AB$120*'Biodiesel Facility by AB'!AH22+(AB$128+AB$130)*'Electricity NOx by AB'!AH3822</f>
        <v>0</v>
      </c>
      <c r="AD190" s="232">
        <f>(D$140+D$149+D$150+D$159)*'Petrol Refining PM2.5 by AB'!B31+D$148*'Biodiesel Facility by AB'!J22+(D$146+D$156+D$158)*'Electricity NOx by AB'!J3822</f>
        <v>0</v>
      </c>
      <c r="AE190" s="232">
        <f>(E$140+E$149+E$150+E$159)*'Petrol Refining PM2.5 by AB'!C31+E$148*'Biodiesel Facility by AB'!K22+(E$146+E$156+E$158)*'Electricity NOx by AB'!K3822</f>
        <v>0</v>
      </c>
      <c r="AF190" s="232">
        <f>(F$140+F$149+F$150+F$159)*'Petrol Refining PM2.5 by AB'!D31+F$148*'Biodiesel Facility by AB'!L22+(F$146+F$156+F$158)*'Electricity NOx by AB'!L3822</f>
        <v>0</v>
      </c>
      <c r="AG190" s="232">
        <f>(G$140+G$149+G$150+G$159)*'Petrol Refining PM2.5 by AB'!E31+G$148*'Biodiesel Facility by AB'!M22+(G$146+G$156+G$158)*'Electricity NOx by AB'!M3822</f>
        <v>0</v>
      </c>
      <c r="AH190" s="232">
        <f>(H$140+H$149+H$150+H$159)*'Petrol Refining PM2.5 by AB'!F31+H$148*'Biodiesel Facility by AB'!N22+(H$146+H$156+H$158)*'Electricity NOx by AB'!N3822</f>
        <v>3.7675718724777653E-6</v>
      </c>
      <c r="AI190" s="232">
        <f>(I$140+I$149+I$150+I$159)*'Petrol Refining PM2.5 by AB'!G31+I$148*'Biodiesel Facility by AB'!O22+(I$146+I$156+I$158)*'Electricity NOx by AB'!O3822</f>
        <v>3.2312770801084403E-5</v>
      </c>
      <c r="AJ190" s="232">
        <f>(J$140+J$149+J$150+J$159)*'Petrol Refining PM2.5 by AB'!H31+J$148*'Biodiesel Facility by AB'!P22+(J$146+J$156+J$158)*'Electricity NOx by AB'!P3822</f>
        <v>4.9142487798296945E-5</v>
      </c>
      <c r="AK190" s="232">
        <f>(K$140+K$149+K$150+K$159)*'Petrol Refining PM2.5 by AB'!I31+K$148*'Biodiesel Facility by AB'!Q22+(K$146+K$156+K$158)*'Electricity NOx by AB'!Q3822</f>
        <v>5.9019117884218905E-5</v>
      </c>
      <c r="AL190" s="232">
        <f>(L$140+L$149+L$150+L$159)*'Petrol Refining PM2.5 by AB'!J31+L$148*'Biodiesel Facility by AB'!R22+(L$146+L$156+L$158)*'Electricity NOx by AB'!R3822</f>
        <v>6.4691335139965456E-5</v>
      </c>
      <c r="AM190" s="232">
        <f>(M$140+M$149+M$150+M$159)*'Petrol Refining PM2.5 by AB'!K31+M$148*'Biodiesel Facility by AB'!S22+(M$146+M$156+M$158)*'Electricity NOx by AB'!S3822</f>
        <v>6.8325366459763448E-5</v>
      </c>
      <c r="AN190" s="232">
        <f>(N$140+N$149+N$150+N$159)*'Petrol Refining PM2.5 by AB'!L31+N$148*'Biodiesel Facility by AB'!T22+(N$146+N$156+N$158)*'Electricity NOx by AB'!T3822</f>
        <v>7.0505805510794951E-5</v>
      </c>
      <c r="AO190" s="232">
        <f>(O$140+O$149+O$150+O$159)*'Petrol Refining PM2.5 by AB'!M31+O$148*'Biodiesel Facility by AB'!U22+(O$146+O$156+O$158)*'Electricity NOx by AB'!U3822</f>
        <v>7.1814068126267703E-5</v>
      </c>
      <c r="AP190" s="232">
        <f>(P$140+P$149+P$150+P$159)*'Petrol Refining PM2.5 by AB'!N31+P$148*'Biodiesel Facility by AB'!V22+(P$146+P$156+P$158)*'Electricity NOx by AB'!V3822</f>
        <v>7.377646289539448E-5</v>
      </c>
      <c r="AQ190" s="232">
        <f>(Q$140+Q$149+Q$150+Q$159)*'Petrol Refining PM2.5 by AB'!O31+Q$148*'Biodiesel Facility by AB'!W22+(Q$146+Q$156+Q$158)*'Electricity NOx by AB'!W3822</f>
        <v>7.3776441430467205E-5</v>
      </c>
      <c r="AR190" s="232">
        <f>(R$140+R$149+R$150+R$159)*'Petrol Refining PM2.5 by AB'!P31+R$148*'Biodiesel Facility by AB'!X22+(R$146+R$156+R$158)*'Electricity NOx by AB'!X3822</f>
        <v>7.3776438308297012E-5</v>
      </c>
      <c r="AS190" s="232">
        <f>(S$140+S$149+S$150+S$159)*'Petrol Refining PM2.5 by AB'!Q31+S$148*'Biodiesel Facility by AB'!Y22+(S$146+S$156+S$158)*'Electricity NOx by AB'!Y3822</f>
        <v>7.3776407086609573E-5</v>
      </c>
      <c r="AT190" s="232">
        <f>(T$140+T$149+T$150+T$159)*'Petrol Refining PM2.5 by AB'!R31+T$148*'Biodiesel Facility by AB'!Z22+(T$146+T$156+T$158)*'Electricity NOx by AB'!Z3822</f>
        <v>7.3776405135254967E-5</v>
      </c>
      <c r="AU190" s="232">
        <f>(U$140+U$149+U$150+U$159)*'Petrol Refining PM2.5 by AB'!S31+U$148*'Biodiesel Facility by AB'!AA22+(U$146+U$156+U$158)*'Electricity NOx by AB'!AA3822</f>
        <v>7.3776383475226013E-5</v>
      </c>
      <c r="AV190" s="232">
        <f>(V$140+V$149+V$150+V$159)*'Petrol Refining PM2.5 by AB'!T31+V$148*'Biodiesel Facility by AB'!AB22+(V$146+V$156+V$158)*'Electricity NOx by AB'!AB3822</f>
        <v>7.3776371669539878E-5</v>
      </c>
      <c r="AW190" s="232">
        <f>(W$140+W$149+W$150+W$159)*'Petrol Refining PM2.5 by AB'!U31+W$148*'Biodiesel Facility by AB'!AC22+(W$146+W$156+W$158)*'Electricity NOx by AB'!AC3822</f>
        <v>7.3776368742510843E-5</v>
      </c>
      <c r="AX190" s="232">
        <f>(X$140+X$149+X$150+X$159)*'Petrol Refining PM2.5 by AB'!V31+X$148*'Biodiesel Facility by AB'!AD22+(X$146+X$156+X$158)*'Electricity NOx by AB'!AD3822</f>
        <v>7.377637664548976E-5</v>
      </c>
      <c r="AY190" s="232">
        <f>(Y$140+Y$149+Y$150+Y$159)*'Petrol Refining PM2.5 by AB'!W31+Y$148*'Biodiesel Facility by AB'!AE22+(Y$146+Y$156+Y$158)*'Electricity NOx by AB'!AE3822</f>
        <v>7.3776384450902692E-5</v>
      </c>
      <c r="AZ190" s="232">
        <f>(Z$140+Z$149+Z$150+Z$159)*'Petrol Refining PM2.5 by AB'!X31+Z$148*'Biodiesel Facility by AB'!AF22+(Z$146+Z$156+Z$158)*'Electricity NOx by AB'!AF3822</f>
        <v>7.3776392256317291E-5</v>
      </c>
      <c r="BA190" s="232">
        <f>(AA$140+AA$149+AA$150+AA$159)*'Petrol Refining PM2.5 by AB'!Y31+AA$148*'Biodiesel Facility by AB'!AG22+(AA$146+AA$156+AA$158)*'Electricity NOx by AB'!AG3822</f>
        <v>7.3776389329286644E-5</v>
      </c>
      <c r="BB190" s="232">
        <f>(AB$140+AB$149+AB$150+AB$159)*'Petrol Refining PM2.5 by AB'!Z31+AB$148*'Biodiesel Facility by AB'!AH22+(AB$146+AB$156+AB$158)*'Electricity NOx by AB'!AH3822</f>
        <v>7.3776387377932974E-5</v>
      </c>
    </row>
    <row r="191" spans="1:56">
      <c r="A191" s="464"/>
      <c r="B191" s="2" t="s">
        <v>258</v>
      </c>
      <c r="C191" s="53" t="s">
        <v>65</v>
      </c>
      <c r="D191" s="104">
        <f>(D$112+D$121+D$122+D$131)*'Petrol Refining NOx by AB'!E329+D$120*'Biodiesel Facility by AB'!J23+(D$128+D$130)*'Electricity NOx by AB'!J3823</f>
        <v>0</v>
      </c>
      <c r="E191" s="104">
        <f>(E$112+E$121+E$122+E$131)*'Petrol Refining NOx by AB'!F329+E$120*'Biodiesel Facility by AB'!K23+(E$128+E$130)*'Electricity NOx by AB'!K3823</f>
        <v>0</v>
      </c>
      <c r="F191" s="104">
        <f>(F$112+F$121+F$122+F$131)*'Petrol Refining NOx by AB'!G329+F$120*'Biodiesel Facility by AB'!L23+(F$128+F$130)*'Electricity NOx by AB'!L3823</f>
        <v>0</v>
      </c>
      <c r="G191" s="104">
        <f>(G$112+G$121+G$122+G$131)*'Petrol Refining NOx by AB'!H329+G$120*'Biodiesel Facility by AB'!M23+(G$128+G$130)*'Electricity NOx by AB'!M3823</f>
        <v>0</v>
      </c>
      <c r="H191" s="104">
        <f>(H$112+H$121+H$122+H$131)*'Petrol Refining NOx by AB'!I329+H$120*'Biodiesel Facility by AB'!N23+(H$128+H$130)*'Electricity NOx by AB'!N3823</f>
        <v>0</v>
      </c>
      <c r="I191" s="104">
        <f>(I$112+I$121+I$122+I$131)*'Petrol Refining NOx by AB'!J329+I$120*'Biodiesel Facility by AB'!O23+(I$128+I$130)*'Electricity NOx by AB'!O3823</f>
        <v>0</v>
      </c>
      <c r="J191" s="104">
        <f>(J$112+J$121+J$122+J$131)*'Petrol Refining NOx by AB'!K329+J$120*'Biodiesel Facility by AB'!P23+(J$128+J$130)*'Electricity NOx by AB'!P3823</f>
        <v>0</v>
      </c>
      <c r="K191" s="104">
        <f>(K$112+K$121+K$122+K$131)*'Petrol Refining NOx by AB'!L329+K$120*'Biodiesel Facility by AB'!Q23+(K$128+K$130)*'Electricity NOx by AB'!Q3823</f>
        <v>0</v>
      </c>
      <c r="L191" s="104">
        <f>(L$112+L$121+L$122+L$131)*'Petrol Refining NOx by AB'!M329+L$120*'Biodiesel Facility by AB'!R23+(L$128+L$130)*'Electricity NOx by AB'!R3823</f>
        <v>0</v>
      </c>
      <c r="M191" s="104">
        <f>(M$112+M$121+M$122+M$131)*'Petrol Refining NOx by AB'!N329+M$120*'Biodiesel Facility by AB'!S23+(M$128+M$130)*'Electricity NOx by AB'!S3823</f>
        <v>0</v>
      </c>
      <c r="N191" s="104">
        <f>(N$112+N$121+N$122+N$131)*'Petrol Refining NOx by AB'!O329+N$120*'Biodiesel Facility by AB'!T23+(N$128+N$130)*'Electricity NOx by AB'!T3823</f>
        <v>0</v>
      </c>
      <c r="O191" s="104">
        <f>(O$112+O$121+O$122+O$131)*'Petrol Refining NOx by AB'!P329+O$120*'Biodiesel Facility by AB'!U23+(O$128+O$130)*'Electricity NOx by AB'!U3823</f>
        <v>0</v>
      </c>
      <c r="P191" s="104">
        <f>(P$112+P$121+P$122+P$131)*'Petrol Refining NOx by AB'!Q329+P$120*'Biodiesel Facility by AB'!V23+(P$128+P$130)*'Electricity NOx by AB'!V3823</f>
        <v>0</v>
      </c>
      <c r="Q191" s="104">
        <f>(Q$112+Q$121+Q$122+Q$131)*'Petrol Refining NOx by AB'!R329+Q$120*'Biodiesel Facility by AB'!W23+(Q$128+Q$130)*'Electricity NOx by AB'!W3823</f>
        <v>0</v>
      </c>
      <c r="R191" s="104">
        <f>(R$112+R$121+R$122+R$131)*'Petrol Refining NOx by AB'!S329+R$120*'Biodiesel Facility by AB'!X23+(R$128+R$130)*'Electricity NOx by AB'!X3823</f>
        <v>0</v>
      </c>
      <c r="S191" s="104">
        <f>(S$112+S$121+S$122+S$131)*'Petrol Refining NOx by AB'!T329+S$120*'Biodiesel Facility by AB'!Y23+(S$128+S$130)*'Electricity NOx by AB'!Y3823</f>
        <v>0</v>
      </c>
      <c r="T191" s="104">
        <f>(T$112+T$121+T$122+T$131)*'Petrol Refining NOx by AB'!U329+T$120*'Biodiesel Facility by AB'!Z23+(T$128+T$130)*'Electricity NOx by AB'!Z3823</f>
        <v>0</v>
      </c>
      <c r="U191" s="104">
        <f>(U$112+U$121+U$122+U$131)*'Petrol Refining NOx by AB'!V329+U$120*'Biodiesel Facility by AB'!AA23+(U$128+U$130)*'Electricity NOx by AB'!AA3823</f>
        <v>0</v>
      </c>
      <c r="V191" s="104">
        <f>(V$112+V$121+V$122+V$131)*'Petrol Refining NOx by AB'!W329+V$120*'Biodiesel Facility by AB'!AB23+(V$128+V$130)*'Electricity NOx by AB'!AB3823</f>
        <v>0</v>
      </c>
      <c r="W191" s="104">
        <f>(W$112+W$121+W$122+W$131)*'Petrol Refining NOx by AB'!X329+W$120*'Biodiesel Facility by AB'!AC23+(W$128+W$130)*'Electricity NOx by AB'!AC3823</f>
        <v>0</v>
      </c>
      <c r="X191" s="104">
        <f>(X$112+X$121+X$122+X$131)*'Petrol Refining NOx by AB'!Y329+X$120*'Biodiesel Facility by AB'!AD23+(X$128+X$130)*'Electricity NOx by AB'!AD3823</f>
        <v>0</v>
      </c>
      <c r="Y191" s="104">
        <f>(Y$112+Y$121+Y$122+Y$131)*'Petrol Refining NOx by AB'!Z329+Y$120*'Biodiesel Facility by AB'!AE23+(Y$128+Y$130)*'Electricity NOx by AB'!AE3823</f>
        <v>0</v>
      </c>
      <c r="Z191" s="104">
        <f>(Z$112+Z$121+Z$122+Z$131)*'Petrol Refining NOx by AB'!AA329+Z$120*'Biodiesel Facility by AB'!AF23+(Z$128+Z$130)*'Electricity NOx by AB'!AF3823</f>
        <v>0</v>
      </c>
      <c r="AA191" s="104">
        <f>(AA$112+AA$121+AA$122+AA$131)*'Petrol Refining NOx by AB'!AB329+AA$120*'Biodiesel Facility by AB'!AG23+(AA$128+AA$130)*'Electricity NOx by AB'!AG3823</f>
        <v>0</v>
      </c>
      <c r="AB191" s="175">
        <f>(AB$112+AB$121+AB$122+AB$131)*'Petrol Refining NOx by AB'!AC329+AB$120*'Biodiesel Facility by AB'!AH23+(AB$128+AB$130)*'Electricity NOx by AB'!AH3823</f>
        <v>0</v>
      </c>
      <c r="AD191" s="232">
        <f>(D$140+D$149+D$150+D$159)*'Petrol Refining PM2.5 by AB'!B32+D$148*'Biodiesel Facility by AB'!J23+(D$146+D$156+D$158)*'Electricity NOx by AB'!J3823</f>
        <v>0</v>
      </c>
      <c r="AE191" s="232">
        <f>(E$140+E$149+E$150+E$159)*'Petrol Refining PM2.5 by AB'!C32+E$148*'Biodiesel Facility by AB'!K23+(E$146+E$156+E$158)*'Electricity NOx by AB'!K3823</f>
        <v>0</v>
      </c>
      <c r="AF191" s="232">
        <f>(F$140+F$149+F$150+F$159)*'Petrol Refining PM2.5 by AB'!D32+F$148*'Biodiesel Facility by AB'!L23+(F$146+F$156+F$158)*'Electricity NOx by AB'!L3823</f>
        <v>0</v>
      </c>
      <c r="AG191" s="232">
        <f>(G$140+G$149+G$150+G$159)*'Petrol Refining PM2.5 by AB'!E32+G$148*'Biodiesel Facility by AB'!M23+(G$146+G$156+G$158)*'Electricity NOx by AB'!M3823</f>
        <v>0</v>
      </c>
      <c r="AH191" s="232">
        <f>(H$140+H$149+H$150+H$159)*'Petrol Refining PM2.5 by AB'!F32+H$148*'Biodiesel Facility by AB'!N23+(H$146+H$156+H$158)*'Electricity NOx by AB'!N3823</f>
        <v>0</v>
      </c>
      <c r="AI191" s="232">
        <f>(I$140+I$149+I$150+I$159)*'Petrol Refining PM2.5 by AB'!G32+I$148*'Biodiesel Facility by AB'!O23+(I$146+I$156+I$158)*'Electricity NOx by AB'!O3823</f>
        <v>0</v>
      </c>
      <c r="AJ191" s="232">
        <f>(J$140+J$149+J$150+J$159)*'Petrol Refining PM2.5 by AB'!H32+J$148*'Biodiesel Facility by AB'!P23+(J$146+J$156+J$158)*'Electricity NOx by AB'!P3823</f>
        <v>0</v>
      </c>
      <c r="AK191" s="232">
        <f>(K$140+K$149+K$150+K$159)*'Petrol Refining PM2.5 by AB'!I32+K$148*'Biodiesel Facility by AB'!Q23+(K$146+K$156+K$158)*'Electricity NOx by AB'!Q3823</f>
        <v>0</v>
      </c>
      <c r="AL191" s="232">
        <f>(L$140+L$149+L$150+L$159)*'Petrol Refining PM2.5 by AB'!J32+L$148*'Biodiesel Facility by AB'!R23+(L$146+L$156+L$158)*'Electricity NOx by AB'!R3823</f>
        <v>0</v>
      </c>
      <c r="AM191" s="232">
        <f>(M$140+M$149+M$150+M$159)*'Petrol Refining PM2.5 by AB'!K32+M$148*'Biodiesel Facility by AB'!S23+(M$146+M$156+M$158)*'Electricity NOx by AB'!S3823</f>
        <v>0</v>
      </c>
      <c r="AN191" s="232">
        <f>(N$140+N$149+N$150+N$159)*'Petrol Refining PM2.5 by AB'!L32+N$148*'Biodiesel Facility by AB'!T23+(N$146+N$156+N$158)*'Electricity NOx by AB'!T3823</f>
        <v>0</v>
      </c>
      <c r="AO191" s="232">
        <f>(O$140+O$149+O$150+O$159)*'Petrol Refining PM2.5 by AB'!M32+O$148*'Biodiesel Facility by AB'!U23+(O$146+O$156+O$158)*'Electricity NOx by AB'!U3823</f>
        <v>0</v>
      </c>
      <c r="AP191" s="232">
        <f>(P$140+P$149+P$150+P$159)*'Petrol Refining PM2.5 by AB'!N32+P$148*'Biodiesel Facility by AB'!V23+(P$146+P$156+P$158)*'Electricity NOx by AB'!V3823</f>
        <v>0</v>
      </c>
      <c r="AQ191" s="232">
        <f>(Q$140+Q$149+Q$150+Q$159)*'Petrol Refining PM2.5 by AB'!O32+Q$148*'Biodiesel Facility by AB'!W23+(Q$146+Q$156+Q$158)*'Electricity NOx by AB'!W3823</f>
        <v>0</v>
      </c>
      <c r="AR191" s="232">
        <f>(R$140+R$149+R$150+R$159)*'Petrol Refining PM2.5 by AB'!P32+R$148*'Biodiesel Facility by AB'!X23+(R$146+R$156+R$158)*'Electricity NOx by AB'!X3823</f>
        <v>0</v>
      </c>
      <c r="AS191" s="232">
        <f>(S$140+S$149+S$150+S$159)*'Petrol Refining PM2.5 by AB'!Q32+S$148*'Biodiesel Facility by AB'!Y23+(S$146+S$156+S$158)*'Electricity NOx by AB'!Y3823</f>
        <v>0</v>
      </c>
      <c r="AT191" s="232">
        <f>(T$140+T$149+T$150+T$159)*'Petrol Refining PM2.5 by AB'!R32+T$148*'Biodiesel Facility by AB'!Z23+(T$146+T$156+T$158)*'Electricity NOx by AB'!Z3823</f>
        <v>0</v>
      </c>
      <c r="AU191" s="232">
        <f>(U$140+U$149+U$150+U$159)*'Petrol Refining PM2.5 by AB'!S32+U$148*'Biodiesel Facility by AB'!AA23+(U$146+U$156+U$158)*'Electricity NOx by AB'!AA3823</f>
        <v>0</v>
      </c>
      <c r="AV191" s="232">
        <f>(V$140+V$149+V$150+V$159)*'Petrol Refining PM2.5 by AB'!T32+V$148*'Biodiesel Facility by AB'!AB23+(V$146+V$156+V$158)*'Electricity NOx by AB'!AB3823</f>
        <v>0</v>
      </c>
      <c r="AW191" s="232">
        <f>(W$140+W$149+W$150+W$159)*'Petrol Refining PM2.5 by AB'!U32+W$148*'Biodiesel Facility by AB'!AC23+(W$146+W$156+W$158)*'Electricity NOx by AB'!AC3823</f>
        <v>0</v>
      </c>
      <c r="AX191" s="232">
        <f>(X$140+X$149+X$150+X$159)*'Petrol Refining PM2.5 by AB'!V32+X$148*'Biodiesel Facility by AB'!AD23+(X$146+X$156+X$158)*'Electricity NOx by AB'!AD3823</f>
        <v>0</v>
      </c>
      <c r="AY191" s="232">
        <f>(Y$140+Y$149+Y$150+Y$159)*'Petrol Refining PM2.5 by AB'!W32+Y$148*'Biodiesel Facility by AB'!AE23+(Y$146+Y$156+Y$158)*'Electricity NOx by AB'!AE3823</f>
        <v>0</v>
      </c>
      <c r="AZ191" s="232">
        <f>(Z$140+Z$149+Z$150+Z$159)*'Petrol Refining PM2.5 by AB'!X32+Z$148*'Biodiesel Facility by AB'!AF23+(Z$146+Z$156+Z$158)*'Electricity NOx by AB'!AF3823</f>
        <v>0</v>
      </c>
      <c r="BA191" s="232">
        <f>(AA$140+AA$149+AA$150+AA$159)*'Petrol Refining PM2.5 by AB'!Y32+AA$148*'Biodiesel Facility by AB'!AG23+(AA$146+AA$156+AA$158)*'Electricity NOx by AB'!AG3823</f>
        <v>0</v>
      </c>
      <c r="BB191" s="232">
        <f>(AB$140+AB$149+AB$150+AB$159)*'Petrol Refining PM2.5 by AB'!Z32+AB$148*'Biodiesel Facility by AB'!AH23+(AB$146+AB$156+AB$158)*'Electricity NOx by AB'!AH3823</f>
        <v>0</v>
      </c>
    </row>
    <row r="192" spans="1:56">
      <c r="A192" s="464"/>
      <c r="B192" s="2" t="s">
        <v>259</v>
      </c>
      <c r="C192" s="53" t="s">
        <v>65</v>
      </c>
      <c r="D192" s="104">
        <f>(D$112+D$121+D$122+D$131)*'Petrol Refining NOx by AB'!E330+D$120*'Biodiesel Facility by AB'!J24+(D$128+D$130)*'Electricity NOx by AB'!J3824</f>
        <v>0</v>
      </c>
      <c r="E192" s="104">
        <f>(E$112+E$121+E$122+E$131)*'Petrol Refining NOx by AB'!F330+E$120*'Biodiesel Facility by AB'!K24+(E$128+E$130)*'Electricity NOx by AB'!K3824</f>
        <v>0</v>
      </c>
      <c r="F192" s="104">
        <f>(F$112+F$121+F$122+F$131)*'Petrol Refining NOx by AB'!G330+F$120*'Biodiesel Facility by AB'!L24+(F$128+F$130)*'Electricity NOx by AB'!L3824</f>
        <v>0</v>
      </c>
      <c r="G192" s="104">
        <f>(G$112+G$121+G$122+G$131)*'Petrol Refining NOx by AB'!H330+G$120*'Biodiesel Facility by AB'!M24+(G$128+G$130)*'Electricity NOx by AB'!M3824</f>
        <v>0</v>
      </c>
      <c r="H192" s="104">
        <f>(H$112+H$121+H$122+H$131)*'Petrol Refining NOx by AB'!I330+H$120*'Biodiesel Facility by AB'!N24+(H$128+H$130)*'Electricity NOx by AB'!N3824</f>
        <v>0</v>
      </c>
      <c r="I192" s="104">
        <f>(I$112+I$121+I$122+I$131)*'Petrol Refining NOx by AB'!J330+I$120*'Biodiesel Facility by AB'!O24+(I$128+I$130)*'Electricity NOx by AB'!O3824</f>
        <v>0</v>
      </c>
      <c r="J192" s="104">
        <f>(J$112+J$121+J$122+J$131)*'Petrol Refining NOx by AB'!K330+J$120*'Biodiesel Facility by AB'!P24+(J$128+J$130)*'Electricity NOx by AB'!P3824</f>
        <v>0</v>
      </c>
      <c r="K192" s="104">
        <f>(K$112+K$121+K$122+K$131)*'Petrol Refining NOx by AB'!L330+K$120*'Biodiesel Facility by AB'!Q24+(K$128+K$130)*'Electricity NOx by AB'!Q3824</f>
        <v>0</v>
      </c>
      <c r="L192" s="104">
        <f>(L$112+L$121+L$122+L$131)*'Petrol Refining NOx by AB'!M330+L$120*'Biodiesel Facility by AB'!R24+(L$128+L$130)*'Electricity NOx by AB'!R3824</f>
        <v>0</v>
      </c>
      <c r="M192" s="104">
        <f>(M$112+M$121+M$122+M$131)*'Petrol Refining NOx by AB'!N330+M$120*'Biodiesel Facility by AB'!S24+(M$128+M$130)*'Electricity NOx by AB'!S3824</f>
        <v>0</v>
      </c>
      <c r="N192" s="104">
        <f>(N$112+N$121+N$122+N$131)*'Petrol Refining NOx by AB'!O330+N$120*'Biodiesel Facility by AB'!T24+(N$128+N$130)*'Electricity NOx by AB'!T3824</f>
        <v>0</v>
      </c>
      <c r="O192" s="104">
        <f>(O$112+O$121+O$122+O$131)*'Petrol Refining NOx by AB'!P330+O$120*'Biodiesel Facility by AB'!U24+(O$128+O$130)*'Electricity NOx by AB'!U3824</f>
        <v>0</v>
      </c>
      <c r="P192" s="104">
        <f>(P$112+P$121+P$122+P$131)*'Petrol Refining NOx by AB'!Q330+P$120*'Biodiesel Facility by AB'!V24+(P$128+P$130)*'Electricity NOx by AB'!V3824</f>
        <v>0</v>
      </c>
      <c r="Q192" s="104">
        <f>(Q$112+Q$121+Q$122+Q$131)*'Petrol Refining NOx by AB'!R330+Q$120*'Biodiesel Facility by AB'!W24+(Q$128+Q$130)*'Electricity NOx by AB'!W3824</f>
        <v>0</v>
      </c>
      <c r="R192" s="104">
        <f>(R$112+R$121+R$122+R$131)*'Petrol Refining NOx by AB'!S330+R$120*'Biodiesel Facility by AB'!X24+(R$128+R$130)*'Electricity NOx by AB'!X3824</f>
        <v>0</v>
      </c>
      <c r="S192" s="104">
        <f>(S$112+S$121+S$122+S$131)*'Petrol Refining NOx by AB'!T330+S$120*'Biodiesel Facility by AB'!Y24+(S$128+S$130)*'Electricity NOx by AB'!Y3824</f>
        <v>0</v>
      </c>
      <c r="T192" s="104">
        <f>(T$112+T$121+T$122+T$131)*'Petrol Refining NOx by AB'!U330+T$120*'Biodiesel Facility by AB'!Z24+(T$128+T$130)*'Electricity NOx by AB'!Z3824</f>
        <v>0</v>
      </c>
      <c r="U192" s="104">
        <f>(U$112+U$121+U$122+U$131)*'Petrol Refining NOx by AB'!V330+U$120*'Biodiesel Facility by AB'!AA24+(U$128+U$130)*'Electricity NOx by AB'!AA3824</f>
        <v>0</v>
      </c>
      <c r="V192" s="104">
        <f>(V$112+V$121+V$122+V$131)*'Petrol Refining NOx by AB'!W330+V$120*'Biodiesel Facility by AB'!AB24+(V$128+V$130)*'Electricity NOx by AB'!AB3824</f>
        <v>0</v>
      </c>
      <c r="W192" s="104">
        <f>(W$112+W$121+W$122+W$131)*'Petrol Refining NOx by AB'!X330+W$120*'Biodiesel Facility by AB'!AC24+(W$128+W$130)*'Electricity NOx by AB'!AC3824</f>
        <v>0</v>
      </c>
      <c r="X192" s="104">
        <f>(X$112+X$121+X$122+X$131)*'Petrol Refining NOx by AB'!Y330+X$120*'Biodiesel Facility by AB'!AD24+(X$128+X$130)*'Electricity NOx by AB'!AD3824</f>
        <v>0</v>
      </c>
      <c r="Y192" s="104">
        <f>(Y$112+Y$121+Y$122+Y$131)*'Petrol Refining NOx by AB'!Z330+Y$120*'Biodiesel Facility by AB'!AE24+(Y$128+Y$130)*'Electricity NOx by AB'!AE3824</f>
        <v>0</v>
      </c>
      <c r="Z192" s="104">
        <f>(Z$112+Z$121+Z$122+Z$131)*'Petrol Refining NOx by AB'!AA330+Z$120*'Biodiesel Facility by AB'!AF24+(Z$128+Z$130)*'Electricity NOx by AB'!AF3824</f>
        <v>0</v>
      </c>
      <c r="AA192" s="104">
        <f>(AA$112+AA$121+AA$122+AA$131)*'Petrol Refining NOx by AB'!AB330+AA$120*'Biodiesel Facility by AB'!AG24+(AA$128+AA$130)*'Electricity NOx by AB'!AG3824</f>
        <v>0</v>
      </c>
      <c r="AB192" s="175">
        <f>(AB$112+AB$121+AB$122+AB$131)*'Petrol Refining NOx by AB'!AC330+AB$120*'Biodiesel Facility by AB'!AH24+(AB$128+AB$130)*'Electricity NOx by AB'!AH3824</f>
        <v>0</v>
      </c>
      <c r="AD192" s="232">
        <f>(D$140+D$149+D$150+D$159)*'Petrol Refining PM2.5 by AB'!B33+D$148*'Biodiesel Facility by AB'!J24+(D$146+D$156+D$158)*'Electricity NOx by AB'!J3824</f>
        <v>0</v>
      </c>
      <c r="AE192" s="232">
        <f>(E$140+E$149+E$150+E$159)*'Petrol Refining PM2.5 by AB'!C33+E$148*'Biodiesel Facility by AB'!K24+(E$146+E$156+E$158)*'Electricity NOx by AB'!K3824</f>
        <v>0</v>
      </c>
      <c r="AF192" s="232">
        <f>(F$140+F$149+F$150+F$159)*'Petrol Refining PM2.5 by AB'!D33+F$148*'Biodiesel Facility by AB'!L24+(F$146+F$156+F$158)*'Electricity NOx by AB'!L3824</f>
        <v>0</v>
      </c>
      <c r="AG192" s="232">
        <f>(G$140+G$149+G$150+G$159)*'Petrol Refining PM2.5 by AB'!E33+G$148*'Biodiesel Facility by AB'!M24+(G$146+G$156+G$158)*'Electricity NOx by AB'!M3824</f>
        <v>0</v>
      </c>
      <c r="AH192" s="232">
        <f>(H$140+H$149+H$150+H$159)*'Petrol Refining PM2.5 by AB'!F33+H$148*'Biodiesel Facility by AB'!N24+(H$146+H$156+H$158)*'Electricity NOx by AB'!N3824</f>
        <v>0</v>
      </c>
      <c r="AI192" s="232">
        <f>(I$140+I$149+I$150+I$159)*'Petrol Refining PM2.5 by AB'!G33+I$148*'Biodiesel Facility by AB'!O24+(I$146+I$156+I$158)*'Electricity NOx by AB'!O3824</f>
        <v>0</v>
      </c>
      <c r="AJ192" s="232">
        <f>(J$140+J$149+J$150+J$159)*'Petrol Refining PM2.5 by AB'!H33+J$148*'Biodiesel Facility by AB'!P24+(J$146+J$156+J$158)*'Electricity NOx by AB'!P3824</f>
        <v>0</v>
      </c>
      <c r="AK192" s="232">
        <f>(K$140+K$149+K$150+K$159)*'Petrol Refining PM2.5 by AB'!I33+K$148*'Biodiesel Facility by AB'!Q24+(K$146+K$156+K$158)*'Electricity NOx by AB'!Q3824</f>
        <v>0</v>
      </c>
      <c r="AL192" s="232">
        <f>(L$140+L$149+L$150+L$159)*'Petrol Refining PM2.5 by AB'!J33+L$148*'Biodiesel Facility by AB'!R24+(L$146+L$156+L$158)*'Electricity NOx by AB'!R3824</f>
        <v>0</v>
      </c>
      <c r="AM192" s="232">
        <f>(M$140+M$149+M$150+M$159)*'Petrol Refining PM2.5 by AB'!K33+M$148*'Biodiesel Facility by AB'!S24+(M$146+M$156+M$158)*'Electricity NOx by AB'!S3824</f>
        <v>0</v>
      </c>
      <c r="AN192" s="232">
        <f>(N$140+N$149+N$150+N$159)*'Petrol Refining PM2.5 by AB'!L33+N$148*'Biodiesel Facility by AB'!T24+(N$146+N$156+N$158)*'Electricity NOx by AB'!T3824</f>
        <v>0</v>
      </c>
      <c r="AO192" s="232">
        <f>(O$140+O$149+O$150+O$159)*'Petrol Refining PM2.5 by AB'!M33+O$148*'Biodiesel Facility by AB'!U24+(O$146+O$156+O$158)*'Electricity NOx by AB'!U3824</f>
        <v>0</v>
      </c>
      <c r="AP192" s="232">
        <f>(P$140+P$149+P$150+P$159)*'Petrol Refining PM2.5 by AB'!N33+P$148*'Biodiesel Facility by AB'!V24+(P$146+P$156+P$158)*'Electricity NOx by AB'!V3824</f>
        <v>0</v>
      </c>
      <c r="AQ192" s="232">
        <f>(Q$140+Q$149+Q$150+Q$159)*'Petrol Refining PM2.5 by AB'!O33+Q$148*'Biodiesel Facility by AB'!W24+(Q$146+Q$156+Q$158)*'Electricity NOx by AB'!W3824</f>
        <v>0</v>
      </c>
      <c r="AR192" s="232">
        <f>(R$140+R$149+R$150+R$159)*'Petrol Refining PM2.5 by AB'!P33+R$148*'Biodiesel Facility by AB'!X24+(R$146+R$156+R$158)*'Electricity NOx by AB'!X3824</f>
        <v>0</v>
      </c>
      <c r="AS192" s="232">
        <f>(S$140+S$149+S$150+S$159)*'Petrol Refining PM2.5 by AB'!Q33+S$148*'Biodiesel Facility by AB'!Y24+(S$146+S$156+S$158)*'Electricity NOx by AB'!Y3824</f>
        <v>0</v>
      </c>
      <c r="AT192" s="232">
        <f>(T$140+T$149+T$150+T$159)*'Petrol Refining PM2.5 by AB'!R33+T$148*'Biodiesel Facility by AB'!Z24+(T$146+T$156+T$158)*'Electricity NOx by AB'!Z3824</f>
        <v>0</v>
      </c>
      <c r="AU192" s="232">
        <f>(U$140+U$149+U$150+U$159)*'Petrol Refining PM2.5 by AB'!S33+U$148*'Biodiesel Facility by AB'!AA24+(U$146+U$156+U$158)*'Electricity NOx by AB'!AA3824</f>
        <v>0</v>
      </c>
      <c r="AV192" s="232">
        <f>(V$140+V$149+V$150+V$159)*'Petrol Refining PM2.5 by AB'!T33+V$148*'Biodiesel Facility by AB'!AB24+(V$146+V$156+V$158)*'Electricity NOx by AB'!AB3824</f>
        <v>0</v>
      </c>
      <c r="AW192" s="232">
        <f>(W$140+W$149+W$150+W$159)*'Petrol Refining PM2.5 by AB'!U33+W$148*'Biodiesel Facility by AB'!AC24+(W$146+W$156+W$158)*'Electricity NOx by AB'!AC3824</f>
        <v>0</v>
      </c>
      <c r="AX192" s="232">
        <f>(X$140+X$149+X$150+X$159)*'Petrol Refining PM2.5 by AB'!V33+X$148*'Biodiesel Facility by AB'!AD24+(X$146+X$156+X$158)*'Electricity NOx by AB'!AD3824</f>
        <v>0</v>
      </c>
      <c r="AY192" s="232">
        <f>(Y$140+Y$149+Y$150+Y$159)*'Petrol Refining PM2.5 by AB'!W33+Y$148*'Biodiesel Facility by AB'!AE24+(Y$146+Y$156+Y$158)*'Electricity NOx by AB'!AE3824</f>
        <v>0</v>
      </c>
      <c r="AZ192" s="232">
        <f>(Z$140+Z$149+Z$150+Z$159)*'Petrol Refining PM2.5 by AB'!X33+Z$148*'Biodiesel Facility by AB'!AF24+(Z$146+Z$156+Z$158)*'Electricity NOx by AB'!AF3824</f>
        <v>0</v>
      </c>
      <c r="BA192" s="232">
        <f>(AA$140+AA$149+AA$150+AA$159)*'Petrol Refining PM2.5 by AB'!Y33+AA$148*'Biodiesel Facility by AB'!AG24+(AA$146+AA$156+AA$158)*'Electricity NOx by AB'!AG3824</f>
        <v>0</v>
      </c>
      <c r="BB192" s="232">
        <f>(AB$140+AB$149+AB$150+AB$159)*'Petrol Refining PM2.5 by AB'!Z33+AB$148*'Biodiesel Facility by AB'!AH24+(AB$146+AB$156+AB$158)*'Electricity NOx by AB'!AH3824</f>
        <v>0</v>
      </c>
    </row>
    <row r="193" spans="1:55">
      <c r="A193" s="464"/>
      <c r="B193" s="2" t="s">
        <v>260</v>
      </c>
      <c r="C193" s="53" t="s">
        <v>65</v>
      </c>
      <c r="D193" s="104">
        <f>(D$112+D$121+D$122+D$131)*'Petrol Refining NOx by AB'!E331+D$120*'Biodiesel Facility by AB'!J25+(D$128+D$130)*'Electricity NOx by AB'!J3825</f>
        <v>0</v>
      </c>
      <c r="E193" s="104">
        <f>(E$112+E$121+E$122+E$131)*'Petrol Refining NOx by AB'!F331+E$120*'Biodiesel Facility by AB'!K25+(E$128+E$130)*'Electricity NOx by AB'!K3825</f>
        <v>0</v>
      </c>
      <c r="F193" s="104">
        <f>(F$112+F$121+F$122+F$131)*'Petrol Refining NOx by AB'!G331+F$120*'Biodiesel Facility by AB'!L25+(F$128+F$130)*'Electricity NOx by AB'!L3825</f>
        <v>0</v>
      </c>
      <c r="G193" s="104">
        <f>(G$112+G$121+G$122+G$131)*'Petrol Refining NOx by AB'!H331+G$120*'Biodiesel Facility by AB'!M25+(G$128+G$130)*'Electricity NOx by AB'!M3825</f>
        <v>0</v>
      </c>
      <c r="H193" s="104">
        <f>(H$112+H$121+H$122+H$131)*'Petrol Refining NOx by AB'!I331+H$120*'Biodiesel Facility by AB'!N25+(H$128+H$130)*'Electricity NOx by AB'!N3825</f>
        <v>0</v>
      </c>
      <c r="I193" s="104">
        <f>(I$112+I$121+I$122+I$131)*'Petrol Refining NOx by AB'!J331+I$120*'Biodiesel Facility by AB'!O25+(I$128+I$130)*'Electricity NOx by AB'!O3825</f>
        <v>0</v>
      </c>
      <c r="J193" s="104">
        <f>(J$112+J$121+J$122+J$131)*'Petrol Refining NOx by AB'!K331+J$120*'Biodiesel Facility by AB'!P25+(J$128+J$130)*'Electricity NOx by AB'!P3825</f>
        <v>0</v>
      </c>
      <c r="K193" s="104">
        <f>(K$112+K$121+K$122+K$131)*'Petrol Refining NOx by AB'!L331+K$120*'Biodiesel Facility by AB'!Q25+(K$128+K$130)*'Electricity NOx by AB'!Q3825</f>
        <v>0</v>
      </c>
      <c r="L193" s="104">
        <f>(L$112+L$121+L$122+L$131)*'Petrol Refining NOx by AB'!M331+L$120*'Biodiesel Facility by AB'!R25+(L$128+L$130)*'Electricity NOx by AB'!R3825</f>
        <v>0</v>
      </c>
      <c r="M193" s="104">
        <f>(M$112+M$121+M$122+M$131)*'Petrol Refining NOx by AB'!N331+M$120*'Biodiesel Facility by AB'!S25+(M$128+M$130)*'Electricity NOx by AB'!S3825</f>
        <v>0</v>
      </c>
      <c r="N193" s="104">
        <f>(N$112+N$121+N$122+N$131)*'Petrol Refining NOx by AB'!O331+N$120*'Biodiesel Facility by AB'!T25+(N$128+N$130)*'Electricity NOx by AB'!T3825</f>
        <v>0</v>
      </c>
      <c r="O193" s="104">
        <f>(O$112+O$121+O$122+O$131)*'Petrol Refining NOx by AB'!P331+O$120*'Biodiesel Facility by AB'!U25+(O$128+O$130)*'Electricity NOx by AB'!U3825</f>
        <v>0</v>
      </c>
      <c r="P193" s="104">
        <f>(P$112+P$121+P$122+P$131)*'Petrol Refining NOx by AB'!Q331+P$120*'Biodiesel Facility by AB'!V25+(P$128+P$130)*'Electricity NOx by AB'!V3825</f>
        <v>0</v>
      </c>
      <c r="Q193" s="104">
        <f>(Q$112+Q$121+Q$122+Q$131)*'Petrol Refining NOx by AB'!R331+Q$120*'Biodiesel Facility by AB'!W25+(Q$128+Q$130)*'Electricity NOx by AB'!W3825</f>
        <v>0</v>
      </c>
      <c r="R193" s="104">
        <f>(R$112+R$121+R$122+R$131)*'Petrol Refining NOx by AB'!S331+R$120*'Biodiesel Facility by AB'!X25+(R$128+R$130)*'Electricity NOx by AB'!X3825</f>
        <v>0</v>
      </c>
      <c r="S193" s="104">
        <f>(S$112+S$121+S$122+S$131)*'Petrol Refining NOx by AB'!T331+S$120*'Biodiesel Facility by AB'!Y25+(S$128+S$130)*'Electricity NOx by AB'!Y3825</f>
        <v>0</v>
      </c>
      <c r="T193" s="104">
        <f>(T$112+T$121+T$122+T$131)*'Petrol Refining NOx by AB'!U331+T$120*'Biodiesel Facility by AB'!Z25+(T$128+T$130)*'Electricity NOx by AB'!Z3825</f>
        <v>0</v>
      </c>
      <c r="U193" s="104">
        <f>(U$112+U$121+U$122+U$131)*'Petrol Refining NOx by AB'!V331+U$120*'Biodiesel Facility by AB'!AA25+(U$128+U$130)*'Electricity NOx by AB'!AA3825</f>
        <v>0</v>
      </c>
      <c r="V193" s="104">
        <f>(V$112+V$121+V$122+V$131)*'Petrol Refining NOx by AB'!W331+V$120*'Biodiesel Facility by AB'!AB25+(V$128+V$130)*'Electricity NOx by AB'!AB3825</f>
        <v>0</v>
      </c>
      <c r="W193" s="104">
        <f>(W$112+W$121+W$122+W$131)*'Petrol Refining NOx by AB'!X331+W$120*'Biodiesel Facility by AB'!AC25+(W$128+W$130)*'Electricity NOx by AB'!AC3825</f>
        <v>0</v>
      </c>
      <c r="X193" s="104">
        <f>(X$112+X$121+X$122+X$131)*'Petrol Refining NOx by AB'!Y331+X$120*'Biodiesel Facility by AB'!AD25+(X$128+X$130)*'Electricity NOx by AB'!AD3825</f>
        <v>0</v>
      </c>
      <c r="Y193" s="104">
        <f>(Y$112+Y$121+Y$122+Y$131)*'Petrol Refining NOx by AB'!Z331+Y$120*'Biodiesel Facility by AB'!AE25+(Y$128+Y$130)*'Electricity NOx by AB'!AE3825</f>
        <v>0</v>
      </c>
      <c r="Z193" s="104">
        <f>(Z$112+Z$121+Z$122+Z$131)*'Petrol Refining NOx by AB'!AA331+Z$120*'Biodiesel Facility by AB'!AF25+(Z$128+Z$130)*'Electricity NOx by AB'!AF3825</f>
        <v>0</v>
      </c>
      <c r="AA193" s="104">
        <f>(AA$112+AA$121+AA$122+AA$131)*'Petrol Refining NOx by AB'!AB331+AA$120*'Biodiesel Facility by AB'!AG25+(AA$128+AA$130)*'Electricity NOx by AB'!AG3825</f>
        <v>0</v>
      </c>
      <c r="AB193" s="175">
        <f>(AB$112+AB$121+AB$122+AB$131)*'Petrol Refining NOx by AB'!AC331+AB$120*'Biodiesel Facility by AB'!AH25+(AB$128+AB$130)*'Electricity NOx by AB'!AH3825</f>
        <v>0</v>
      </c>
      <c r="AD193" s="232">
        <f>(D$140+D$149+D$150+D$159)*'Petrol Refining PM2.5 by AB'!B34+D$148*'Biodiesel Facility by AB'!J25+(D$146+D$156+D$158)*'Electricity NOx by AB'!J3825</f>
        <v>0</v>
      </c>
      <c r="AE193" s="232">
        <f>(E$140+E$149+E$150+E$159)*'Petrol Refining PM2.5 by AB'!C34+E$148*'Biodiesel Facility by AB'!K25+(E$146+E$156+E$158)*'Electricity NOx by AB'!K3825</f>
        <v>0</v>
      </c>
      <c r="AF193" s="232">
        <f>(F$140+F$149+F$150+F$159)*'Petrol Refining PM2.5 by AB'!D34+F$148*'Biodiesel Facility by AB'!L25+(F$146+F$156+F$158)*'Electricity NOx by AB'!L3825</f>
        <v>0</v>
      </c>
      <c r="AG193" s="232">
        <f>(G$140+G$149+G$150+G$159)*'Petrol Refining PM2.5 by AB'!E34+G$148*'Biodiesel Facility by AB'!M25+(G$146+G$156+G$158)*'Electricity NOx by AB'!M3825</f>
        <v>0</v>
      </c>
      <c r="AH193" s="232">
        <f>(H$140+H$149+H$150+H$159)*'Petrol Refining PM2.5 by AB'!F34+H$148*'Biodiesel Facility by AB'!N25+(H$146+H$156+H$158)*'Electricity NOx by AB'!N3825</f>
        <v>0</v>
      </c>
      <c r="AI193" s="232">
        <f>(I$140+I$149+I$150+I$159)*'Petrol Refining PM2.5 by AB'!G34+I$148*'Biodiesel Facility by AB'!O25+(I$146+I$156+I$158)*'Electricity NOx by AB'!O3825</f>
        <v>0</v>
      </c>
      <c r="AJ193" s="232">
        <f>(J$140+J$149+J$150+J$159)*'Petrol Refining PM2.5 by AB'!H34+J$148*'Biodiesel Facility by AB'!P25+(J$146+J$156+J$158)*'Electricity NOx by AB'!P3825</f>
        <v>0</v>
      </c>
      <c r="AK193" s="232">
        <f>(K$140+K$149+K$150+K$159)*'Petrol Refining PM2.5 by AB'!I34+K$148*'Biodiesel Facility by AB'!Q25+(K$146+K$156+K$158)*'Electricity NOx by AB'!Q3825</f>
        <v>0</v>
      </c>
      <c r="AL193" s="232">
        <f>(L$140+L$149+L$150+L$159)*'Petrol Refining PM2.5 by AB'!J34+L$148*'Biodiesel Facility by AB'!R25+(L$146+L$156+L$158)*'Electricity NOx by AB'!R3825</f>
        <v>0</v>
      </c>
      <c r="AM193" s="232">
        <f>(M$140+M$149+M$150+M$159)*'Petrol Refining PM2.5 by AB'!K34+M$148*'Biodiesel Facility by AB'!S25+(M$146+M$156+M$158)*'Electricity NOx by AB'!S3825</f>
        <v>0</v>
      </c>
      <c r="AN193" s="232">
        <f>(N$140+N$149+N$150+N$159)*'Petrol Refining PM2.5 by AB'!L34+N$148*'Biodiesel Facility by AB'!T25+(N$146+N$156+N$158)*'Electricity NOx by AB'!T3825</f>
        <v>0</v>
      </c>
      <c r="AO193" s="232">
        <f>(O$140+O$149+O$150+O$159)*'Petrol Refining PM2.5 by AB'!M34+O$148*'Biodiesel Facility by AB'!U25+(O$146+O$156+O$158)*'Electricity NOx by AB'!U3825</f>
        <v>0</v>
      </c>
      <c r="AP193" s="232">
        <f>(P$140+P$149+P$150+P$159)*'Petrol Refining PM2.5 by AB'!N34+P$148*'Biodiesel Facility by AB'!V25+(P$146+P$156+P$158)*'Electricity NOx by AB'!V3825</f>
        <v>0</v>
      </c>
      <c r="AQ193" s="232">
        <f>(Q$140+Q$149+Q$150+Q$159)*'Petrol Refining PM2.5 by AB'!O34+Q$148*'Biodiesel Facility by AB'!W25+(Q$146+Q$156+Q$158)*'Electricity NOx by AB'!W3825</f>
        <v>0</v>
      </c>
      <c r="AR193" s="232">
        <f>(R$140+R$149+R$150+R$159)*'Petrol Refining PM2.5 by AB'!P34+R$148*'Biodiesel Facility by AB'!X25+(R$146+R$156+R$158)*'Electricity NOx by AB'!X3825</f>
        <v>0</v>
      </c>
      <c r="AS193" s="232">
        <f>(S$140+S$149+S$150+S$159)*'Petrol Refining PM2.5 by AB'!Q34+S$148*'Biodiesel Facility by AB'!Y25+(S$146+S$156+S$158)*'Electricity NOx by AB'!Y3825</f>
        <v>0</v>
      </c>
      <c r="AT193" s="232">
        <f>(T$140+T$149+T$150+T$159)*'Petrol Refining PM2.5 by AB'!R34+T$148*'Biodiesel Facility by AB'!Z25+(T$146+T$156+T$158)*'Electricity NOx by AB'!Z3825</f>
        <v>0</v>
      </c>
      <c r="AU193" s="232">
        <f>(U$140+U$149+U$150+U$159)*'Petrol Refining PM2.5 by AB'!S34+U$148*'Biodiesel Facility by AB'!AA25+(U$146+U$156+U$158)*'Electricity NOx by AB'!AA3825</f>
        <v>0</v>
      </c>
      <c r="AV193" s="232">
        <f>(V$140+V$149+V$150+V$159)*'Petrol Refining PM2.5 by AB'!T34+V$148*'Biodiesel Facility by AB'!AB25+(V$146+V$156+V$158)*'Electricity NOx by AB'!AB3825</f>
        <v>0</v>
      </c>
      <c r="AW193" s="232">
        <f>(W$140+W$149+W$150+W$159)*'Petrol Refining PM2.5 by AB'!U34+W$148*'Biodiesel Facility by AB'!AC25+(W$146+W$156+W$158)*'Electricity NOx by AB'!AC3825</f>
        <v>0</v>
      </c>
      <c r="AX193" s="232">
        <f>(X$140+X$149+X$150+X$159)*'Petrol Refining PM2.5 by AB'!V34+X$148*'Biodiesel Facility by AB'!AD25+(X$146+X$156+X$158)*'Electricity NOx by AB'!AD3825</f>
        <v>0</v>
      </c>
      <c r="AY193" s="232">
        <f>(Y$140+Y$149+Y$150+Y$159)*'Petrol Refining PM2.5 by AB'!W34+Y$148*'Biodiesel Facility by AB'!AE25+(Y$146+Y$156+Y$158)*'Electricity NOx by AB'!AE3825</f>
        <v>0</v>
      </c>
      <c r="AZ193" s="232">
        <f>(Z$140+Z$149+Z$150+Z$159)*'Petrol Refining PM2.5 by AB'!X34+Z$148*'Biodiesel Facility by AB'!AF25+(Z$146+Z$156+Z$158)*'Electricity NOx by AB'!AF3825</f>
        <v>0</v>
      </c>
      <c r="BA193" s="232">
        <f>(AA$140+AA$149+AA$150+AA$159)*'Petrol Refining PM2.5 by AB'!Y34+AA$148*'Biodiesel Facility by AB'!AG25+(AA$146+AA$156+AA$158)*'Electricity NOx by AB'!AG3825</f>
        <v>0</v>
      </c>
      <c r="BB193" s="232">
        <f>(AB$140+AB$149+AB$150+AB$159)*'Petrol Refining PM2.5 by AB'!Z34+AB$148*'Biodiesel Facility by AB'!AH25+(AB$146+AB$156+AB$158)*'Electricity NOx by AB'!AH3825</f>
        <v>0</v>
      </c>
    </row>
    <row r="194" spans="1:55">
      <c r="A194" s="464"/>
      <c r="B194" s="2" t="s">
        <v>261</v>
      </c>
      <c r="C194" s="53" t="s">
        <v>65</v>
      </c>
      <c r="D194" s="104">
        <f>(D$112+D$121+D$122+D$131)*'Petrol Refining NOx by AB'!E332+D$120*'Biodiesel Facility by AB'!J26+(D$128+D$130)*'Electricity NOx by AB'!J3826</f>
        <v>0</v>
      </c>
      <c r="E194" s="104">
        <f>(E$112+E$121+E$122+E$131)*'Petrol Refining NOx by AB'!F332+E$120*'Biodiesel Facility by AB'!K26+(E$128+E$130)*'Electricity NOx by AB'!K3826</f>
        <v>0</v>
      </c>
      <c r="F194" s="104">
        <f>(F$112+F$121+F$122+F$131)*'Petrol Refining NOx by AB'!G332+F$120*'Biodiesel Facility by AB'!L26+(F$128+F$130)*'Electricity NOx by AB'!L3826</f>
        <v>0</v>
      </c>
      <c r="G194" s="104">
        <f>(G$112+G$121+G$122+G$131)*'Petrol Refining NOx by AB'!H332+G$120*'Biodiesel Facility by AB'!M26+(G$128+G$130)*'Electricity NOx by AB'!M3826</f>
        <v>0</v>
      </c>
      <c r="H194" s="104">
        <f>(H$112+H$121+H$122+H$131)*'Petrol Refining NOx by AB'!I332+H$120*'Biodiesel Facility by AB'!N26+(H$128+H$130)*'Electricity NOx by AB'!N3826</f>
        <v>0</v>
      </c>
      <c r="I194" s="104">
        <f>(I$112+I$121+I$122+I$131)*'Petrol Refining NOx by AB'!J332+I$120*'Biodiesel Facility by AB'!O26+(I$128+I$130)*'Electricity NOx by AB'!O3826</f>
        <v>0</v>
      </c>
      <c r="J194" s="104">
        <f>(J$112+J$121+J$122+J$131)*'Petrol Refining NOx by AB'!K332+J$120*'Biodiesel Facility by AB'!P26+(J$128+J$130)*'Electricity NOx by AB'!P3826</f>
        <v>0</v>
      </c>
      <c r="K194" s="104">
        <f>(K$112+K$121+K$122+K$131)*'Petrol Refining NOx by AB'!L332+K$120*'Biodiesel Facility by AB'!Q26+(K$128+K$130)*'Electricity NOx by AB'!Q3826</f>
        <v>0</v>
      </c>
      <c r="L194" s="104">
        <f>(L$112+L$121+L$122+L$131)*'Petrol Refining NOx by AB'!M332+L$120*'Biodiesel Facility by AB'!R26+(L$128+L$130)*'Electricity NOx by AB'!R3826</f>
        <v>0</v>
      </c>
      <c r="M194" s="104">
        <f>(M$112+M$121+M$122+M$131)*'Petrol Refining NOx by AB'!N332+M$120*'Biodiesel Facility by AB'!S26+(M$128+M$130)*'Electricity NOx by AB'!S3826</f>
        <v>0</v>
      </c>
      <c r="N194" s="104">
        <f>(N$112+N$121+N$122+N$131)*'Petrol Refining NOx by AB'!O332+N$120*'Biodiesel Facility by AB'!T26+(N$128+N$130)*'Electricity NOx by AB'!T3826</f>
        <v>0</v>
      </c>
      <c r="O194" s="104">
        <f>(O$112+O$121+O$122+O$131)*'Petrol Refining NOx by AB'!P332+O$120*'Biodiesel Facility by AB'!U26+(O$128+O$130)*'Electricity NOx by AB'!U3826</f>
        <v>0</v>
      </c>
      <c r="P194" s="104">
        <f>(P$112+P$121+P$122+P$131)*'Petrol Refining NOx by AB'!Q332+P$120*'Biodiesel Facility by AB'!V26+(P$128+P$130)*'Electricity NOx by AB'!V3826</f>
        <v>0</v>
      </c>
      <c r="Q194" s="104">
        <f>(Q$112+Q$121+Q$122+Q$131)*'Petrol Refining NOx by AB'!R332+Q$120*'Biodiesel Facility by AB'!W26+(Q$128+Q$130)*'Electricity NOx by AB'!W3826</f>
        <v>0</v>
      </c>
      <c r="R194" s="104">
        <f>(R$112+R$121+R$122+R$131)*'Petrol Refining NOx by AB'!S332+R$120*'Biodiesel Facility by AB'!X26+(R$128+R$130)*'Electricity NOx by AB'!X3826</f>
        <v>0</v>
      </c>
      <c r="S194" s="104">
        <f>(S$112+S$121+S$122+S$131)*'Petrol Refining NOx by AB'!T332+S$120*'Biodiesel Facility by AB'!Y26+(S$128+S$130)*'Electricity NOx by AB'!Y3826</f>
        <v>0</v>
      </c>
      <c r="T194" s="104">
        <f>(T$112+T$121+T$122+T$131)*'Petrol Refining NOx by AB'!U332+T$120*'Biodiesel Facility by AB'!Z26+(T$128+T$130)*'Electricity NOx by AB'!Z3826</f>
        <v>0</v>
      </c>
      <c r="U194" s="104">
        <f>(U$112+U$121+U$122+U$131)*'Petrol Refining NOx by AB'!V332+U$120*'Biodiesel Facility by AB'!AA26+(U$128+U$130)*'Electricity NOx by AB'!AA3826</f>
        <v>0</v>
      </c>
      <c r="V194" s="104">
        <f>(V$112+V$121+V$122+V$131)*'Petrol Refining NOx by AB'!W332+V$120*'Biodiesel Facility by AB'!AB26+(V$128+V$130)*'Electricity NOx by AB'!AB3826</f>
        <v>0</v>
      </c>
      <c r="W194" s="104">
        <f>(W$112+W$121+W$122+W$131)*'Petrol Refining NOx by AB'!X332+W$120*'Biodiesel Facility by AB'!AC26+(W$128+W$130)*'Electricity NOx by AB'!AC3826</f>
        <v>0</v>
      </c>
      <c r="X194" s="104">
        <f>(X$112+X$121+X$122+X$131)*'Petrol Refining NOx by AB'!Y332+X$120*'Biodiesel Facility by AB'!AD26+(X$128+X$130)*'Electricity NOx by AB'!AD3826</f>
        <v>0</v>
      </c>
      <c r="Y194" s="104">
        <f>(Y$112+Y$121+Y$122+Y$131)*'Petrol Refining NOx by AB'!Z332+Y$120*'Biodiesel Facility by AB'!AE26+(Y$128+Y$130)*'Electricity NOx by AB'!AE3826</f>
        <v>0</v>
      </c>
      <c r="Z194" s="104">
        <f>(Z$112+Z$121+Z$122+Z$131)*'Petrol Refining NOx by AB'!AA332+Z$120*'Biodiesel Facility by AB'!AF26+(Z$128+Z$130)*'Electricity NOx by AB'!AF3826</f>
        <v>0</v>
      </c>
      <c r="AA194" s="104">
        <f>(AA$112+AA$121+AA$122+AA$131)*'Petrol Refining NOx by AB'!AB332+AA$120*'Biodiesel Facility by AB'!AG26+(AA$128+AA$130)*'Electricity NOx by AB'!AG3826</f>
        <v>0</v>
      </c>
      <c r="AB194" s="175">
        <f>(AB$112+AB$121+AB$122+AB$131)*'Petrol Refining NOx by AB'!AC332+AB$120*'Biodiesel Facility by AB'!AH26+(AB$128+AB$130)*'Electricity NOx by AB'!AH3826</f>
        <v>0</v>
      </c>
      <c r="AD194" s="232">
        <f>(D$140+D$149+D$150+D$159)*'Petrol Refining PM2.5 by AB'!B35+D$148*'Biodiesel Facility by AB'!J26+(D$146+D$156+D$158)*'Electricity NOx by AB'!J3826</f>
        <v>0</v>
      </c>
      <c r="AE194" s="232">
        <f>(E$140+E$149+E$150+E$159)*'Petrol Refining PM2.5 by AB'!C35+E$148*'Biodiesel Facility by AB'!K26+(E$146+E$156+E$158)*'Electricity NOx by AB'!K3826</f>
        <v>0</v>
      </c>
      <c r="AF194" s="232">
        <f>(F$140+F$149+F$150+F$159)*'Petrol Refining PM2.5 by AB'!D35+F$148*'Biodiesel Facility by AB'!L26+(F$146+F$156+F$158)*'Electricity NOx by AB'!L3826</f>
        <v>0</v>
      </c>
      <c r="AG194" s="232">
        <f>(G$140+G$149+G$150+G$159)*'Petrol Refining PM2.5 by AB'!E35+G$148*'Biodiesel Facility by AB'!M26+(G$146+G$156+G$158)*'Electricity NOx by AB'!M3826</f>
        <v>0</v>
      </c>
      <c r="AH194" s="232">
        <f>(H$140+H$149+H$150+H$159)*'Petrol Refining PM2.5 by AB'!F35+H$148*'Biodiesel Facility by AB'!N26+(H$146+H$156+H$158)*'Electricity NOx by AB'!N3826</f>
        <v>0</v>
      </c>
      <c r="AI194" s="232">
        <f>(I$140+I$149+I$150+I$159)*'Petrol Refining PM2.5 by AB'!G35+I$148*'Biodiesel Facility by AB'!O26+(I$146+I$156+I$158)*'Electricity NOx by AB'!O3826</f>
        <v>0</v>
      </c>
      <c r="AJ194" s="232">
        <f>(J$140+J$149+J$150+J$159)*'Petrol Refining PM2.5 by AB'!H35+J$148*'Biodiesel Facility by AB'!P26+(J$146+J$156+J$158)*'Electricity NOx by AB'!P3826</f>
        <v>0</v>
      </c>
      <c r="AK194" s="232">
        <f>(K$140+K$149+K$150+K$159)*'Petrol Refining PM2.5 by AB'!I35+K$148*'Biodiesel Facility by AB'!Q26+(K$146+K$156+K$158)*'Electricity NOx by AB'!Q3826</f>
        <v>0</v>
      </c>
      <c r="AL194" s="232">
        <f>(L$140+L$149+L$150+L$159)*'Petrol Refining PM2.5 by AB'!J35+L$148*'Biodiesel Facility by AB'!R26+(L$146+L$156+L$158)*'Electricity NOx by AB'!R3826</f>
        <v>0</v>
      </c>
      <c r="AM194" s="232">
        <f>(M$140+M$149+M$150+M$159)*'Petrol Refining PM2.5 by AB'!K35+M$148*'Biodiesel Facility by AB'!S26+(M$146+M$156+M$158)*'Electricity NOx by AB'!S3826</f>
        <v>0</v>
      </c>
      <c r="AN194" s="232">
        <f>(N$140+N$149+N$150+N$159)*'Petrol Refining PM2.5 by AB'!L35+N$148*'Biodiesel Facility by AB'!T26+(N$146+N$156+N$158)*'Electricity NOx by AB'!T3826</f>
        <v>0</v>
      </c>
      <c r="AO194" s="232">
        <f>(O$140+O$149+O$150+O$159)*'Petrol Refining PM2.5 by AB'!M35+O$148*'Biodiesel Facility by AB'!U26+(O$146+O$156+O$158)*'Electricity NOx by AB'!U3826</f>
        <v>0</v>
      </c>
      <c r="AP194" s="232">
        <f>(P$140+P$149+P$150+P$159)*'Petrol Refining PM2.5 by AB'!N35+P$148*'Biodiesel Facility by AB'!V26+(P$146+P$156+P$158)*'Electricity NOx by AB'!V3826</f>
        <v>0</v>
      </c>
      <c r="AQ194" s="232">
        <f>(Q$140+Q$149+Q$150+Q$159)*'Petrol Refining PM2.5 by AB'!O35+Q$148*'Biodiesel Facility by AB'!W26+(Q$146+Q$156+Q$158)*'Electricity NOx by AB'!W3826</f>
        <v>0</v>
      </c>
      <c r="AR194" s="232">
        <f>(R$140+R$149+R$150+R$159)*'Petrol Refining PM2.5 by AB'!P35+R$148*'Biodiesel Facility by AB'!X26+(R$146+R$156+R$158)*'Electricity NOx by AB'!X3826</f>
        <v>0</v>
      </c>
      <c r="AS194" s="232">
        <f>(S$140+S$149+S$150+S$159)*'Petrol Refining PM2.5 by AB'!Q35+S$148*'Biodiesel Facility by AB'!Y26+(S$146+S$156+S$158)*'Electricity NOx by AB'!Y3826</f>
        <v>0</v>
      </c>
      <c r="AT194" s="232">
        <f>(T$140+T$149+T$150+T$159)*'Petrol Refining PM2.5 by AB'!R35+T$148*'Biodiesel Facility by AB'!Z26+(T$146+T$156+T$158)*'Electricity NOx by AB'!Z3826</f>
        <v>0</v>
      </c>
      <c r="AU194" s="232">
        <f>(U$140+U$149+U$150+U$159)*'Petrol Refining PM2.5 by AB'!S35+U$148*'Biodiesel Facility by AB'!AA26+(U$146+U$156+U$158)*'Electricity NOx by AB'!AA3826</f>
        <v>0</v>
      </c>
      <c r="AV194" s="232">
        <f>(V$140+V$149+V$150+V$159)*'Petrol Refining PM2.5 by AB'!T35+V$148*'Biodiesel Facility by AB'!AB26+(V$146+V$156+V$158)*'Electricity NOx by AB'!AB3826</f>
        <v>0</v>
      </c>
      <c r="AW194" s="232">
        <f>(W$140+W$149+W$150+W$159)*'Petrol Refining PM2.5 by AB'!U35+W$148*'Biodiesel Facility by AB'!AC26+(W$146+W$156+W$158)*'Electricity NOx by AB'!AC3826</f>
        <v>0</v>
      </c>
      <c r="AX194" s="232">
        <f>(X$140+X$149+X$150+X$159)*'Petrol Refining PM2.5 by AB'!V35+X$148*'Biodiesel Facility by AB'!AD26+(X$146+X$156+X$158)*'Electricity NOx by AB'!AD3826</f>
        <v>0</v>
      </c>
      <c r="AY194" s="232">
        <f>(Y$140+Y$149+Y$150+Y$159)*'Petrol Refining PM2.5 by AB'!W35+Y$148*'Biodiesel Facility by AB'!AE26+(Y$146+Y$156+Y$158)*'Electricity NOx by AB'!AE3826</f>
        <v>0</v>
      </c>
      <c r="AZ194" s="232">
        <f>(Z$140+Z$149+Z$150+Z$159)*'Petrol Refining PM2.5 by AB'!X35+Z$148*'Biodiesel Facility by AB'!AF26+(Z$146+Z$156+Z$158)*'Electricity NOx by AB'!AF3826</f>
        <v>0</v>
      </c>
      <c r="BA194" s="232">
        <f>(AA$140+AA$149+AA$150+AA$159)*'Petrol Refining PM2.5 by AB'!Y35+AA$148*'Biodiesel Facility by AB'!AG26+(AA$146+AA$156+AA$158)*'Electricity NOx by AB'!AG3826</f>
        <v>0</v>
      </c>
      <c r="BB194" s="232">
        <f>(AB$140+AB$149+AB$150+AB$159)*'Petrol Refining PM2.5 by AB'!Z35+AB$148*'Biodiesel Facility by AB'!AH26+(AB$146+AB$156+AB$158)*'Electricity NOx by AB'!AH3826</f>
        <v>0</v>
      </c>
    </row>
    <row r="195" spans="1:55">
      <c r="A195" s="464"/>
      <c r="B195" s="2" t="s">
        <v>262</v>
      </c>
      <c r="C195" s="53" t="s">
        <v>65</v>
      </c>
      <c r="D195" s="104">
        <f>(D$112+D$121+D$122+D$131)*'Petrol Refining NOx by AB'!E333+D$120*'Biodiesel Facility by AB'!J27+(D$128+D$130)*'Electricity NOx by AB'!J3827</f>
        <v>0</v>
      </c>
      <c r="E195" s="104">
        <f>(E$112+E$121+E$122+E$131)*'Petrol Refining NOx by AB'!F333+E$120*'Biodiesel Facility by AB'!K27+(E$128+E$130)*'Electricity NOx by AB'!K3827</f>
        <v>0</v>
      </c>
      <c r="F195" s="104">
        <f>(F$112+F$121+F$122+F$131)*'Petrol Refining NOx by AB'!G333+F$120*'Biodiesel Facility by AB'!L27+(F$128+F$130)*'Electricity NOx by AB'!L3827</f>
        <v>0</v>
      </c>
      <c r="G195" s="104">
        <f>(G$112+G$121+G$122+G$131)*'Petrol Refining NOx by AB'!H333+G$120*'Biodiesel Facility by AB'!M27+(G$128+G$130)*'Electricity NOx by AB'!M3827</f>
        <v>0</v>
      </c>
      <c r="H195" s="104">
        <f>(H$112+H$121+H$122+H$131)*'Petrol Refining NOx by AB'!I333+H$120*'Biodiesel Facility by AB'!N27+(H$128+H$130)*'Electricity NOx by AB'!N3827</f>
        <v>0</v>
      </c>
      <c r="I195" s="104">
        <f>(I$112+I$121+I$122+I$131)*'Petrol Refining NOx by AB'!J333+I$120*'Biodiesel Facility by AB'!O27+(I$128+I$130)*'Electricity NOx by AB'!O3827</f>
        <v>0</v>
      </c>
      <c r="J195" s="104">
        <f>(J$112+J$121+J$122+J$131)*'Petrol Refining NOx by AB'!K333+J$120*'Biodiesel Facility by AB'!P27+(J$128+J$130)*'Electricity NOx by AB'!P3827</f>
        <v>0</v>
      </c>
      <c r="K195" s="104">
        <f>(K$112+K$121+K$122+K$131)*'Petrol Refining NOx by AB'!L333+K$120*'Biodiesel Facility by AB'!Q27+(K$128+K$130)*'Electricity NOx by AB'!Q3827</f>
        <v>0</v>
      </c>
      <c r="L195" s="104">
        <f>(L$112+L$121+L$122+L$131)*'Petrol Refining NOx by AB'!M333+L$120*'Biodiesel Facility by AB'!R27+(L$128+L$130)*'Electricity NOx by AB'!R3827</f>
        <v>0</v>
      </c>
      <c r="M195" s="104">
        <f>(M$112+M$121+M$122+M$131)*'Petrol Refining NOx by AB'!N333+M$120*'Biodiesel Facility by AB'!S27+(M$128+M$130)*'Electricity NOx by AB'!S3827</f>
        <v>0</v>
      </c>
      <c r="N195" s="104">
        <f>(N$112+N$121+N$122+N$131)*'Petrol Refining NOx by AB'!O333+N$120*'Biodiesel Facility by AB'!T27+(N$128+N$130)*'Electricity NOx by AB'!T3827</f>
        <v>0</v>
      </c>
      <c r="O195" s="104">
        <f>(O$112+O$121+O$122+O$131)*'Petrol Refining NOx by AB'!P333+O$120*'Biodiesel Facility by AB'!U27+(O$128+O$130)*'Electricity NOx by AB'!U3827</f>
        <v>0</v>
      </c>
      <c r="P195" s="104">
        <f>(P$112+P$121+P$122+P$131)*'Petrol Refining NOx by AB'!Q333+P$120*'Biodiesel Facility by AB'!V27+(P$128+P$130)*'Electricity NOx by AB'!V3827</f>
        <v>0</v>
      </c>
      <c r="Q195" s="104">
        <f>(Q$112+Q$121+Q$122+Q$131)*'Petrol Refining NOx by AB'!R333+Q$120*'Biodiesel Facility by AB'!W27+(Q$128+Q$130)*'Electricity NOx by AB'!W3827</f>
        <v>0</v>
      </c>
      <c r="R195" s="104">
        <f>(R$112+R$121+R$122+R$131)*'Petrol Refining NOx by AB'!S333+R$120*'Biodiesel Facility by AB'!X27+(R$128+R$130)*'Electricity NOx by AB'!X3827</f>
        <v>0</v>
      </c>
      <c r="S195" s="104">
        <f>(S$112+S$121+S$122+S$131)*'Petrol Refining NOx by AB'!T333+S$120*'Biodiesel Facility by AB'!Y27+(S$128+S$130)*'Electricity NOx by AB'!Y3827</f>
        <v>0</v>
      </c>
      <c r="T195" s="104">
        <f>(T$112+T$121+T$122+T$131)*'Petrol Refining NOx by AB'!U333+T$120*'Biodiesel Facility by AB'!Z27+(T$128+T$130)*'Electricity NOx by AB'!Z3827</f>
        <v>0</v>
      </c>
      <c r="U195" s="104">
        <f>(U$112+U$121+U$122+U$131)*'Petrol Refining NOx by AB'!V333+U$120*'Biodiesel Facility by AB'!AA27+(U$128+U$130)*'Electricity NOx by AB'!AA3827</f>
        <v>0</v>
      </c>
      <c r="V195" s="104">
        <f>(V$112+V$121+V$122+V$131)*'Petrol Refining NOx by AB'!W333+V$120*'Biodiesel Facility by AB'!AB27+(V$128+V$130)*'Electricity NOx by AB'!AB3827</f>
        <v>0</v>
      </c>
      <c r="W195" s="104">
        <f>(W$112+W$121+W$122+W$131)*'Petrol Refining NOx by AB'!X333+W$120*'Biodiesel Facility by AB'!AC27+(W$128+W$130)*'Electricity NOx by AB'!AC3827</f>
        <v>0</v>
      </c>
      <c r="X195" s="104">
        <f>(X$112+X$121+X$122+X$131)*'Petrol Refining NOx by AB'!Y333+X$120*'Biodiesel Facility by AB'!AD27+(X$128+X$130)*'Electricity NOx by AB'!AD3827</f>
        <v>0</v>
      </c>
      <c r="Y195" s="104">
        <f>(Y$112+Y$121+Y$122+Y$131)*'Petrol Refining NOx by AB'!Z333+Y$120*'Biodiesel Facility by AB'!AE27+(Y$128+Y$130)*'Electricity NOx by AB'!AE3827</f>
        <v>0</v>
      </c>
      <c r="Z195" s="104">
        <f>(Z$112+Z$121+Z$122+Z$131)*'Petrol Refining NOx by AB'!AA333+Z$120*'Biodiesel Facility by AB'!AF27+(Z$128+Z$130)*'Electricity NOx by AB'!AF3827</f>
        <v>0</v>
      </c>
      <c r="AA195" s="104">
        <f>(AA$112+AA$121+AA$122+AA$131)*'Petrol Refining NOx by AB'!AB333+AA$120*'Biodiesel Facility by AB'!AG27+(AA$128+AA$130)*'Electricity NOx by AB'!AG3827</f>
        <v>0</v>
      </c>
      <c r="AB195" s="175">
        <f>(AB$112+AB$121+AB$122+AB$131)*'Petrol Refining NOx by AB'!AC333+AB$120*'Biodiesel Facility by AB'!AH27+(AB$128+AB$130)*'Electricity NOx by AB'!AH3827</f>
        <v>0</v>
      </c>
      <c r="AD195" s="232">
        <f>(D$140+D$149+D$150+D$159)*'Petrol Refining PM2.5 by AB'!B36+D$148*'Biodiesel Facility by AB'!J27+(D$146+D$156+D$158)*'Electricity NOx by AB'!J3827</f>
        <v>0</v>
      </c>
      <c r="AE195" s="232">
        <f>(E$140+E$149+E$150+E$159)*'Petrol Refining PM2.5 by AB'!C36+E$148*'Biodiesel Facility by AB'!K27+(E$146+E$156+E$158)*'Electricity NOx by AB'!K3827</f>
        <v>0</v>
      </c>
      <c r="AF195" s="232">
        <f>(F$140+F$149+F$150+F$159)*'Petrol Refining PM2.5 by AB'!D36+F$148*'Biodiesel Facility by AB'!L27+(F$146+F$156+F$158)*'Electricity NOx by AB'!L3827</f>
        <v>0</v>
      </c>
      <c r="AG195" s="232">
        <f>(G$140+G$149+G$150+G$159)*'Petrol Refining PM2.5 by AB'!E36+G$148*'Biodiesel Facility by AB'!M27+(G$146+G$156+G$158)*'Electricity NOx by AB'!M3827</f>
        <v>0</v>
      </c>
      <c r="AH195" s="232">
        <f>(H$140+H$149+H$150+H$159)*'Petrol Refining PM2.5 by AB'!F36+H$148*'Biodiesel Facility by AB'!N27+(H$146+H$156+H$158)*'Electricity NOx by AB'!N3827</f>
        <v>0</v>
      </c>
      <c r="AI195" s="232">
        <f>(I$140+I$149+I$150+I$159)*'Petrol Refining PM2.5 by AB'!G36+I$148*'Biodiesel Facility by AB'!O27+(I$146+I$156+I$158)*'Electricity NOx by AB'!O3827</f>
        <v>0</v>
      </c>
      <c r="AJ195" s="232">
        <f>(J$140+J$149+J$150+J$159)*'Petrol Refining PM2.5 by AB'!H36+J$148*'Biodiesel Facility by AB'!P27+(J$146+J$156+J$158)*'Electricity NOx by AB'!P3827</f>
        <v>0</v>
      </c>
      <c r="AK195" s="232">
        <f>(K$140+K$149+K$150+K$159)*'Petrol Refining PM2.5 by AB'!I36+K$148*'Biodiesel Facility by AB'!Q27+(K$146+K$156+K$158)*'Electricity NOx by AB'!Q3827</f>
        <v>0</v>
      </c>
      <c r="AL195" s="232">
        <f>(L$140+L$149+L$150+L$159)*'Petrol Refining PM2.5 by AB'!J36+L$148*'Biodiesel Facility by AB'!R27+(L$146+L$156+L$158)*'Electricity NOx by AB'!R3827</f>
        <v>0</v>
      </c>
      <c r="AM195" s="232">
        <f>(M$140+M$149+M$150+M$159)*'Petrol Refining PM2.5 by AB'!K36+M$148*'Biodiesel Facility by AB'!S27+(M$146+M$156+M$158)*'Electricity NOx by AB'!S3827</f>
        <v>0</v>
      </c>
      <c r="AN195" s="232">
        <f>(N$140+N$149+N$150+N$159)*'Petrol Refining PM2.5 by AB'!L36+N$148*'Biodiesel Facility by AB'!T27+(N$146+N$156+N$158)*'Electricity NOx by AB'!T3827</f>
        <v>0</v>
      </c>
      <c r="AO195" s="232">
        <f>(O$140+O$149+O$150+O$159)*'Petrol Refining PM2.5 by AB'!M36+O$148*'Biodiesel Facility by AB'!U27+(O$146+O$156+O$158)*'Electricity NOx by AB'!U3827</f>
        <v>0</v>
      </c>
      <c r="AP195" s="232">
        <f>(P$140+P$149+P$150+P$159)*'Petrol Refining PM2.5 by AB'!N36+P$148*'Biodiesel Facility by AB'!V27+(P$146+P$156+P$158)*'Electricity NOx by AB'!V3827</f>
        <v>0</v>
      </c>
      <c r="AQ195" s="232">
        <f>(Q$140+Q$149+Q$150+Q$159)*'Petrol Refining PM2.5 by AB'!O36+Q$148*'Biodiesel Facility by AB'!W27+(Q$146+Q$156+Q$158)*'Electricity NOx by AB'!W3827</f>
        <v>0</v>
      </c>
      <c r="AR195" s="232">
        <f>(R$140+R$149+R$150+R$159)*'Petrol Refining PM2.5 by AB'!P36+R$148*'Biodiesel Facility by AB'!X27+(R$146+R$156+R$158)*'Electricity NOx by AB'!X3827</f>
        <v>0</v>
      </c>
      <c r="AS195" s="232">
        <f>(S$140+S$149+S$150+S$159)*'Petrol Refining PM2.5 by AB'!Q36+S$148*'Biodiesel Facility by AB'!Y27+(S$146+S$156+S$158)*'Electricity NOx by AB'!Y3827</f>
        <v>0</v>
      </c>
      <c r="AT195" s="232">
        <f>(T$140+T$149+T$150+T$159)*'Petrol Refining PM2.5 by AB'!R36+T$148*'Biodiesel Facility by AB'!Z27+(T$146+T$156+T$158)*'Electricity NOx by AB'!Z3827</f>
        <v>0</v>
      </c>
      <c r="AU195" s="232">
        <f>(U$140+U$149+U$150+U$159)*'Petrol Refining PM2.5 by AB'!S36+U$148*'Biodiesel Facility by AB'!AA27+(U$146+U$156+U$158)*'Electricity NOx by AB'!AA3827</f>
        <v>0</v>
      </c>
      <c r="AV195" s="232">
        <f>(V$140+V$149+V$150+V$159)*'Petrol Refining PM2.5 by AB'!T36+V$148*'Biodiesel Facility by AB'!AB27+(V$146+V$156+V$158)*'Electricity NOx by AB'!AB3827</f>
        <v>0</v>
      </c>
      <c r="AW195" s="232">
        <f>(W$140+W$149+W$150+W$159)*'Petrol Refining PM2.5 by AB'!U36+W$148*'Biodiesel Facility by AB'!AC27+(W$146+W$156+W$158)*'Electricity NOx by AB'!AC3827</f>
        <v>0</v>
      </c>
      <c r="AX195" s="232">
        <f>(X$140+X$149+X$150+X$159)*'Petrol Refining PM2.5 by AB'!V36+X$148*'Biodiesel Facility by AB'!AD27+(X$146+X$156+X$158)*'Electricity NOx by AB'!AD3827</f>
        <v>0</v>
      </c>
      <c r="AY195" s="232">
        <f>(Y$140+Y$149+Y$150+Y$159)*'Petrol Refining PM2.5 by AB'!W36+Y$148*'Biodiesel Facility by AB'!AE27+(Y$146+Y$156+Y$158)*'Electricity NOx by AB'!AE3827</f>
        <v>0</v>
      </c>
      <c r="AZ195" s="232">
        <f>(Z$140+Z$149+Z$150+Z$159)*'Petrol Refining PM2.5 by AB'!X36+Z$148*'Biodiesel Facility by AB'!AF27+(Z$146+Z$156+Z$158)*'Electricity NOx by AB'!AF3827</f>
        <v>0</v>
      </c>
      <c r="BA195" s="232">
        <f>(AA$140+AA$149+AA$150+AA$159)*'Petrol Refining PM2.5 by AB'!Y36+AA$148*'Biodiesel Facility by AB'!AG27+(AA$146+AA$156+AA$158)*'Electricity NOx by AB'!AG3827</f>
        <v>0</v>
      </c>
      <c r="BB195" s="232">
        <f>(AB$140+AB$149+AB$150+AB$159)*'Petrol Refining PM2.5 by AB'!Z36+AB$148*'Biodiesel Facility by AB'!AH27+(AB$146+AB$156+AB$158)*'Electricity NOx by AB'!AH3827</f>
        <v>0</v>
      </c>
    </row>
    <row r="196" spans="1:55">
      <c r="A196" s="464"/>
      <c r="B196" s="2" t="s">
        <v>263</v>
      </c>
      <c r="C196" s="53" t="s">
        <v>65</v>
      </c>
      <c r="D196" s="104">
        <f>(D$112+D$121+D$122+D$131)*'Petrol Refining NOx by AB'!E334+D$120*'Biodiesel Facility by AB'!J28+(D$128+D$130)*'Electricity NOx by AB'!J3828</f>
        <v>0</v>
      </c>
      <c r="E196" s="104">
        <f>(E$112+E$121+E$122+E$131)*'Petrol Refining NOx by AB'!F334+E$120*'Biodiesel Facility by AB'!K28+(E$128+E$130)*'Electricity NOx by AB'!K3828</f>
        <v>0</v>
      </c>
      <c r="F196" s="104">
        <f>(F$112+F$121+F$122+F$131)*'Petrol Refining NOx by AB'!G334+F$120*'Biodiesel Facility by AB'!L28+(F$128+F$130)*'Electricity NOx by AB'!L3828</f>
        <v>0</v>
      </c>
      <c r="G196" s="104">
        <f>(G$112+G$121+G$122+G$131)*'Petrol Refining NOx by AB'!H334+G$120*'Biodiesel Facility by AB'!M28+(G$128+G$130)*'Electricity NOx by AB'!M3828</f>
        <v>0</v>
      </c>
      <c r="H196" s="104">
        <f>(H$112+H$121+H$122+H$131)*'Petrol Refining NOx by AB'!I334+H$120*'Biodiesel Facility by AB'!N28+(H$128+H$130)*'Electricity NOx by AB'!N3828</f>
        <v>0.2526822585373652</v>
      </c>
      <c r="I196" s="104">
        <f>(I$112+I$121+I$122+I$131)*'Petrol Refining NOx by AB'!J334+I$120*'Biodiesel Facility by AB'!O28+(I$128+I$130)*'Electricity NOx by AB'!O3828</f>
        <v>2.2228977261834375</v>
      </c>
      <c r="J196" s="104">
        <f>(J$112+J$121+J$122+J$131)*'Petrol Refining NOx by AB'!K334+J$120*'Biodiesel Facility by AB'!P28+(J$128+J$130)*'Electricity NOx by AB'!P3828</f>
        <v>3.4574042390681821</v>
      </c>
      <c r="K196" s="104">
        <f>(K$112+K$121+K$122+K$131)*'Petrol Refining NOx by AB'!L334+K$120*'Biodiesel Facility by AB'!Q28+(K$128+K$130)*'Electricity NOx by AB'!Q3828</f>
        <v>4.2457864921133872</v>
      </c>
      <c r="L196" s="104">
        <f>(L$112+L$121+L$122+L$131)*'Petrol Refining NOx by AB'!M334+L$120*'Biodiesel Facility by AB'!R28+(L$128+L$130)*'Electricity NOx by AB'!R3828</f>
        <v>4.7585872401916225</v>
      </c>
      <c r="M196" s="104">
        <f>(M$112+M$121+M$122+M$131)*'Petrol Refining NOx by AB'!N334+M$120*'Biodiesel Facility by AB'!S28+(M$128+M$130)*'Electricity NOx by AB'!S3828</f>
        <v>5.0431716883513191</v>
      </c>
      <c r="N196" s="104">
        <f>(N$112+N$121+N$122+N$131)*'Petrol Refining NOx by AB'!O334+N$120*'Biodiesel Facility by AB'!T28+(N$128+N$130)*'Electricity NOx by AB'!T3828</f>
        <v>5.2127862297375271</v>
      </c>
      <c r="O196" s="104">
        <f>(O$112+O$121+O$122+O$131)*'Petrol Refining NOx by AB'!P334+O$120*'Biodiesel Facility by AB'!U28+(O$128+O$130)*'Electricity NOx by AB'!U3828</f>
        <v>5.3191501591400945</v>
      </c>
      <c r="P196" s="104">
        <f>(P$112+P$121+P$122+P$131)*'Petrol Refining NOx by AB'!Q334+P$120*'Biodiesel Facility by AB'!V28+(P$128+P$130)*'Electricity NOx by AB'!V3828</f>
        <v>5.4736615470123828</v>
      </c>
      <c r="Q196" s="104">
        <f>(Q$112+Q$121+Q$122+Q$131)*'Petrol Refining NOx by AB'!R334+Q$120*'Biodiesel Facility by AB'!W28+(Q$128+Q$130)*'Electricity NOx by AB'!W3828</f>
        <v>5.5033174449737183</v>
      </c>
      <c r="R196" s="104">
        <f>(R$112+R$121+R$122+R$131)*'Petrol Refining NOx by AB'!S334+R$120*'Biodiesel Facility by AB'!X28+(R$128+R$130)*'Electricity NOx by AB'!X3828</f>
        <v>5.5033043086293274</v>
      </c>
      <c r="S196" s="104">
        <f>(S$112+S$121+S$122+S$131)*'Petrol Refining NOx by AB'!T334+S$120*'Biodiesel Facility by AB'!Y28+(S$128+S$130)*'Electricity NOx by AB'!Y3828</f>
        <v>5.5032916021748619</v>
      </c>
      <c r="T196" s="104">
        <f>(T$112+T$121+T$122+T$131)*'Petrol Refining NOx by AB'!U334+T$120*'Biodiesel Facility by AB'!Z28+(T$128+T$130)*'Electricity NOx by AB'!Z3828</f>
        <v>5.5032793438948104</v>
      </c>
      <c r="U196" s="104">
        <f>(U$112+U$121+U$122+U$131)*'Petrol Refining NOx by AB'!V334+U$120*'Biodiesel Facility by AB'!AA28+(U$128+U$130)*'Electricity NOx by AB'!AA3828</f>
        <v>5.5032599414646892</v>
      </c>
      <c r="V196" s="104">
        <f>(V$112+V$121+V$122+V$131)*'Petrol Refining NOx by AB'!W334+V$120*'Biodiesel Facility by AB'!AB28+(V$128+V$130)*'Electricity NOx by AB'!AB3828</f>
        <v>5.5032476888127517</v>
      </c>
      <c r="W196" s="104">
        <f>(W$112+W$121+W$122+W$131)*'Petrol Refining NOx by AB'!X334+W$120*'Biodiesel Facility by AB'!AC28+(W$128+W$130)*'Electricity NOx by AB'!AC3828</f>
        <v>5.5032426224238788</v>
      </c>
      <c r="X196" s="104">
        <f>(X$112+X$121+X$122+X$131)*'Petrol Refining NOx by AB'!Y334+X$120*'Biodiesel Facility by AB'!AD28+(X$128+X$130)*'Electricity NOx by AB'!AD3828</f>
        <v>5.5032443965734341</v>
      </c>
      <c r="Y196" s="104">
        <f>(Y$112+Y$121+Y$122+Y$131)*'Petrol Refining NOx by AB'!Z334+Y$120*'Biodiesel Facility by AB'!AE28+(Y$128+Y$130)*'Electricity NOx by AB'!AE3828</f>
        <v>5.5032393320196409</v>
      </c>
      <c r="Z196" s="104">
        <f>(Z$112+Z$121+Z$122+Z$131)*'Petrol Refining NOx by AB'!AA334+Z$120*'Biodiesel Facility by AB'!AF28+(Z$128+Z$130)*'Electricity NOx by AB'!AF3828</f>
        <v>5.5032411098251108</v>
      </c>
      <c r="AA196" s="104">
        <f>(AA$112+AA$121+AA$122+AA$131)*'Petrol Refining NOx by AB'!AB334+AA$120*'Biodiesel Facility by AB'!AG28+(AA$128+AA$130)*'Electricity NOx by AB'!AG3828</f>
        <v>5.5032360452773688</v>
      </c>
      <c r="AB196" s="175">
        <f>(AB$112+AB$121+AB$122+AB$131)*'Petrol Refining NOx by AB'!AC334+AB$120*'Biodiesel Facility by AB'!AH28+(AB$128+AB$130)*'Electricity NOx by AB'!AH3828</f>
        <v>5.5032309807389455</v>
      </c>
      <c r="AD196" s="232">
        <f>(D$140+D$149+D$150+D$159)*'Petrol Refining PM2.5 by AB'!B37+D$148*'Biodiesel Facility by AB'!J28+(D$146+D$156+D$158)*'Electricity NOx by AB'!J3828</f>
        <v>0</v>
      </c>
      <c r="AE196" s="232">
        <f>(E$140+E$149+E$150+E$159)*'Petrol Refining PM2.5 by AB'!C37+E$148*'Biodiesel Facility by AB'!K28+(E$146+E$156+E$158)*'Electricity NOx by AB'!K3828</f>
        <v>0</v>
      </c>
      <c r="AF196" s="232">
        <f>(F$140+F$149+F$150+F$159)*'Petrol Refining PM2.5 by AB'!D37+F$148*'Biodiesel Facility by AB'!L28+(F$146+F$156+F$158)*'Electricity NOx by AB'!L3828</f>
        <v>0</v>
      </c>
      <c r="AG196" s="232">
        <f>(G$140+G$149+G$150+G$159)*'Petrol Refining PM2.5 by AB'!E37+G$148*'Biodiesel Facility by AB'!M28+(G$146+G$156+G$158)*'Electricity NOx by AB'!M3828</f>
        <v>0</v>
      </c>
      <c r="AH196" s="232">
        <f>(H$140+H$149+H$150+H$159)*'Petrol Refining PM2.5 by AB'!F37+H$148*'Biodiesel Facility by AB'!N28+(H$146+H$156+H$158)*'Electricity NOx by AB'!N3828</f>
        <v>0.20927302380199805</v>
      </c>
      <c r="AI196" s="232">
        <f>(I$140+I$149+I$150+I$159)*'Petrol Refining PM2.5 by AB'!G37+I$148*'Biodiesel Facility by AB'!O28+(I$146+I$156+I$158)*'Electricity NOx by AB'!O3828</f>
        <v>1.8130544156669191</v>
      </c>
      <c r="AJ196" s="232">
        <f>(J$140+J$149+J$150+J$159)*'Petrol Refining PM2.5 by AB'!H37+J$148*'Biodiesel Facility by AB'!P28+(J$146+J$156+J$158)*'Electricity NOx by AB'!P3828</f>
        <v>2.7854870562474439</v>
      </c>
      <c r="AK196" s="232">
        <f>(K$140+K$149+K$150+K$159)*'Petrol Refining PM2.5 by AB'!I37+K$148*'Biodiesel Facility by AB'!Q28+(K$146+K$156+K$158)*'Electricity NOx by AB'!Q3828</f>
        <v>3.3765076218210286</v>
      </c>
      <c r="AL196" s="232">
        <f>(L$140+L$149+L$150+L$159)*'Petrol Refining PM2.5 by AB'!J37+L$148*'Biodiesel Facility by AB'!R28+(L$146+L$156+L$158)*'Electricity NOx by AB'!R3828</f>
        <v>3.7397933744041452</v>
      </c>
      <c r="AM196" s="232">
        <f>(M$140+M$149+M$150+M$159)*'Petrol Refining PM2.5 by AB'!K37+M$148*'Biodiesel Facility by AB'!S28+(M$146+M$156+M$158)*'Electricity NOx by AB'!S3828</f>
        <v>3.9498760110161952</v>
      </c>
      <c r="AN196" s="232">
        <f>(N$140+N$149+N$150+N$159)*'Petrol Refining PM2.5 by AB'!L37+N$148*'Biodiesel Facility by AB'!T28+(N$146+N$156+N$158)*'Electricity NOx by AB'!T3828</f>
        <v>4.0759267641610633</v>
      </c>
      <c r="AO196" s="232">
        <f>(O$140+O$149+O$150+O$159)*'Petrol Refining PM2.5 by AB'!M37+O$148*'Biodiesel Facility by AB'!U28+(O$146+O$156+O$158)*'Electricity NOx by AB'!U3828</f>
        <v>4.1515571689245441</v>
      </c>
      <c r="AP196" s="232">
        <f>(P$140+P$149+P$150+P$159)*'Petrol Refining PM2.5 by AB'!N37+P$148*'Biodiesel Facility by AB'!V28+(P$146+P$156+P$158)*'Electricity NOx by AB'!V3828</f>
        <v>4.2650028249721004</v>
      </c>
      <c r="AQ196" s="232">
        <f>(Q$140+Q$149+Q$150+Q$159)*'Petrol Refining PM2.5 by AB'!O37+Q$148*'Biodiesel Facility by AB'!W28+(Q$146+Q$156+Q$158)*'Electricity NOx by AB'!W3828</f>
        <v>4.2650015840888713</v>
      </c>
      <c r="AR196" s="232">
        <f>(R$140+R$149+R$150+R$159)*'Petrol Refining PM2.5 by AB'!P37+R$148*'Biodiesel Facility by AB'!X28+(R$146+R$156+R$158)*'Electricity NOx by AB'!X3828</f>
        <v>4.2650014035968269</v>
      </c>
      <c r="AS196" s="232">
        <f>(S$140+S$149+S$150+S$159)*'Petrol Refining PM2.5 by AB'!Q37+S$148*'Biodiesel Facility by AB'!Y28+(S$146+S$156+S$158)*'Electricity NOx by AB'!Y3828</f>
        <v>4.2649995986772096</v>
      </c>
      <c r="AT196" s="232">
        <f>(T$140+T$149+T$150+T$159)*'Petrol Refining PM2.5 by AB'!R37+T$148*'Biodiesel Facility by AB'!Z28+(T$146+T$156+T$158)*'Electricity NOx by AB'!Z3828</f>
        <v>4.2649994858697831</v>
      </c>
      <c r="AU196" s="232">
        <f>(U$140+U$149+U$150+U$159)*'Petrol Refining PM2.5 by AB'!S37+U$148*'Biodiesel Facility by AB'!AA28+(U$146+U$156+U$158)*'Electricity NOx by AB'!AA3828</f>
        <v>4.2649982337077645</v>
      </c>
      <c r="AV196" s="232">
        <f>(V$140+V$149+V$150+V$159)*'Petrol Refining PM2.5 by AB'!T37+V$148*'Biodiesel Facility by AB'!AB28+(V$146+V$156+V$158)*'Electricity NOx by AB'!AB3828</f>
        <v>4.2649975512233693</v>
      </c>
      <c r="AW196" s="232">
        <f>(W$140+W$149+W$150+W$159)*'Petrol Refining PM2.5 by AB'!U37+W$148*'Biodiesel Facility by AB'!AC28+(W$146+W$156+W$158)*'Electricity NOx by AB'!AC3828</f>
        <v>4.2649973820123952</v>
      </c>
      <c r="AX196" s="232">
        <f>(X$140+X$149+X$150+X$159)*'Petrol Refining PM2.5 by AB'!V37+X$148*'Biodiesel Facility by AB'!AD28+(X$146+X$156+X$158)*'Electricity NOx by AB'!AD3828</f>
        <v>4.2649978388820537</v>
      </c>
      <c r="AY196" s="232">
        <f>(Y$140+Y$149+Y$150+Y$159)*'Petrol Refining PM2.5 by AB'!W37+Y$148*'Biodiesel Facility by AB'!AE28+(Y$146+Y$156+Y$158)*'Electricity NOx by AB'!AE3828</f>
        <v>4.2649982901114427</v>
      </c>
      <c r="AZ196" s="232">
        <f>(Z$140+Z$149+Z$150+Z$159)*'Petrol Refining PM2.5 by AB'!X37+Z$148*'Biodiesel Facility by AB'!AF28+(Z$146+Z$156+Z$158)*'Electricity NOx by AB'!AF3828</f>
        <v>4.2649987413409267</v>
      </c>
      <c r="BA196" s="232">
        <f>(AA$140+AA$149+AA$150+AA$159)*'Petrol Refining PM2.5 by AB'!Y37+AA$148*'Biodiesel Facility by AB'!AG28+(AA$146+AA$156+AA$158)*'Electricity NOx by AB'!AG3828</f>
        <v>4.2649985721298593</v>
      </c>
      <c r="BB196" s="232">
        <f>(AB$140+AB$149+AB$150+AB$159)*'Petrol Refining PM2.5 by AB'!Z37+AB$148*'Biodiesel Facility by AB'!AH28+(AB$146+AB$156+AB$158)*'Electricity NOx by AB'!AH3828</f>
        <v>4.264998459322487</v>
      </c>
      <c r="BC196" s="4" t="s">
        <v>264</v>
      </c>
    </row>
    <row r="197" spans="1:55">
      <c r="A197" s="464"/>
      <c r="B197" s="2" t="s">
        <v>265</v>
      </c>
      <c r="C197" s="53" t="s">
        <v>65</v>
      </c>
      <c r="D197" s="104">
        <f>(D$112+D$121+D$122+D$131)*'Petrol Refining NOx by AB'!E335+D$120*'Biodiesel Facility by AB'!J29+(D$128+D$130)*'Electricity NOx by AB'!J3829</f>
        <v>0</v>
      </c>
      <c r="E197" s="104">
        <f>(E$112+E$121+E$122+E$131)*'Petrol Refining NOx by AB'!F335+E$120*'Biodiesel Facility by AB'!K29+(E$128+E$130)*'Electricity NOx by AB'!K3829</f>
        <v>0</v>
      </c>
      <c r="F197" s="104">
        <f>(F$112+F$121+F$122+F$131)*'Petrol Refining NOx by AB'!G335+F$120*'Biodiesel Facility by AB'!L29+(F$128+F$130)*'Electricity NOx by AB'!L3829</f>
        <v>0</v>
      </c>
      <c r="G197" s="104">
        <f>(G$112+G$121+G$122+G$131)*'Petrol Refining NOx by AB'!H335+G$120*'Biodiesel Facility by AB'!M29+(G$128+G$130)*'Electricity NOx by AB'!M3829</f>
        <v>0</v>
      </c>
      <c r="H197" s="104">
        <f>(H$112+H$121+H$122+H$131)*'Petrol Refining NOx by AB'!I335+H$120*'Biodiesel Facility by AB'!N29+(H$128+H$130)*'Electricity NOx by AB'!N3829</f>
        <v>5.497650581333436E-3</v>
      </c>
      <c r="I197" s="104">
        <f>(I$112+I$121+I$122+I$131)*'Petrol Refining NOx by AB'!J335+I$120*'Biodiesel Facility by AB'!O29+(I$128+I$130)*'Electricity NOx by AB'!O3829</f>
        <v>4.6632289553981576E-2</v>
      </c>
      <c r="J197" s="104">
        <f>(J$112+J$121+J$122+J$131)*'Petrol Refining NOx by AB'!K335+J$120*'Biodiesel Facility by AB'!P29+(J$128+J$130)*'Electricity NOx by AB'!P3829</f>
        <v>7.0045713419834163E-2</v>
      </c>
      <c r="K197" s="104">
        <f>(K$112+K$121+K$122+K$131)*'Petrol Refining NOx by AB'!L335+K$120*'Biodiesel Facility by AB'!Q29+(K$128+K$130)*'Electricity NOx by AB'!Q3829</f>
        <v>8.288479809765173E-2</v>
      </c>
      <c r="L197" s="104">
        <f>(L$112+L$121+L$122+L$131)*'Petrol Refining NOx by AB'!M335+L$120*'Biodiesel Facility by AB'!R29+(L$128+L$130)*'Electricity NOx by AB'!R3829</f>
        <v>8.931736828396486E-2</v>
      </c>
      <c r="M197" s="104">
        <f>(M$112+M$121+M$122+M$131)*'Petrol Refining NOx by AB'!N335+M$120*'Biodiesel Facility by AB'!S29+(M$128+M$130)*'Electricity NOx by AB'!S3829</f>
        <v>9.1947443191174649E-2</v>
      </c>
      <c r="N197" s="104">
        <f>(N$112+N$121+N$122+N$131)*'Petrol Refining NOx by AB'!O335+N$120*'Biodiesel Facility by AB'!T29+(N$128+N$130)*'Electricity NOx by AB'!T3829</f>
        <v>9.5039866842847695E-2</v>
      </c>
      <c r="O197" s="104">
        <f>(O$112+O$121+O$122+O$131)*'Petrol Refining NOx by AB'!P335+O$120*'Biodiesel Facility by AB'!U29+(O$128+O$130)*'Electricity NOx by AB'!U3829</f>
        <v>9.6979101110624494E-2</v>
      </c>
      <c r="P197" s="104">
        <f>(P$112+P$121+P$122+P$131)*'Petrol Refining NOx by AB'!Q335+P$120*'Biodiesel Facility by AB'!V29+(P$128+P$130)*'Electricity NOx by AB'!V3829</f>
        <v>9.9796163058285703E-2</v>
      </c>
      <c r="Q197" s="104">
        <f>(Q$112+Q$121+Q$122+Q$131)*'Petrol Refining NOx by AB'!R335+Q$120*'Biodiesel Facility by AB'!W29+(Q$128+Q$130)*'Electricity NOx by AB'!W3829</f>
        <v>0.10033685137143225</v>
      </c>
      <c r="R197" s="104">
        <f>(R$112+R$121+R$122+R$131)*'Petrol Refining NOx by AB'!S335+R$120*'Biodiesel Facility by AB'!X29+(R$128+R$130)*'Electricity NOx by AB'!X3829</f>
        <v>0.10033661186872359</v>
      </c>
      <c r="S197" s="104">
        <f>(S$112+S$121+S$122+S$131)*'Petrol Refining NOx by AB'!T335+S$120*'Biodiesel Facility by AB'!Y29+(S$128+S$130)*'Electricity NOx by AB'!Y3829</f>
        <v>0.10033638020379677</v>
      </c>
      <c r="T197" s="104">
        <f>(T$112+T$121+T$122+T$131)*'Petrol Refining NOx by AB'!U335+T$120*'Biodiesel Facility by AB'!Z29+(T$128+T$130)*'Electricity NOx by AB'!Z3829</f>
        <v>0.10033615671001582</v>
      </c>
      <c r="U197" s="104">
        <f>(U$112+U$121+U$122+U$131)*'Petrol Refining NOx by AB'!V335+U$120*'Biodiesel Facility by AB'!AA29+(U$128+U$130)*'Electricity NOx by AB'!AA3829</f>
        <v>0.10033580296361344</v>
      </c>
      <c r="V197" s="104">
        <f>(V$112+V$121+V$122+V$131)*'Petrol Refining NOx by AB'!W335+V$120*'Biodiesel Facility by AB'!AB29+(V$128+V$130)*'Electricity NOx by AB'!AB3829</f>
        <v>0.10033557957244463</v>
      </c>
      <c r="W197" s="104">
        <f>(W$112+W$121+W$122+W$131)*'Petrol Refining NOx by AB'!X335+W$120*'Biodiesel Facility by AB'!AC29+(W$128+W$130)*'Electricity NOx by AB'!AC3829</f>
        <v>0.10033548720170417</v>
      </c>
      <c r="X197" s="104">
        <f>(X$112+X$121+X$122+X$131)*'Petrol Refining NOx by AB'!Y335+X$120*'Biodiesel Facility by AB'!AD29+(X$128+X$130)*'Electricity NOx by AB'!AD3829</f>
        <v>0.1003355195481174</v>
      </c>
      <c r="Y197" s="104">
        <f>(Y$112+Y$121+Y$122+Y$131)*'Petrol Refining NOx by AB'!Z335+Y$120*'Biodiesel Facility by AB'!AE29+(Y$128+Y$130)*'Electricity NOx by AB'!AE3829</f>
        <v>0.10033542721083427</v>
      </c>
      <c r="Z197" s="104">
        <f>(Z$112+Z$121+Z$122+Z$131)*'Petrol Refining NOx by AB'!AA335+Z$120*'Biodiesel Facility by AB'!AF29+(Z$128+Z$130)*'Electricity NOx by AB'!AF3829</f>
        <v>0.10033545962390238</v>
      </c>
      <c r="AA197" s="104">
        <f>(AA$112+AA$121+AA$122+AA$131)*'Petrol Refining NOx by AB'!AB335+AA$120*'Biodiesel Facility by AB'!AG29+(AA$128+AA$130)*'Electricity NOx by AB'!AG3829</f>
        <v>0.10033536728672952</v>
      </c>
      <c r="AB197" s="175">
        <f>(AB$112+AB$121+AB$122+AB$131)*'Petrol Refining NOx by AB'!AC335+AB$120*'Biodiesel Facility by AB'!AH29+(AB$128+AB$130)*'Electricity NOx by AB'!AH3829</f>
        <v>0.1003352749497266</v>
      </c>
      <c r="AD197" s="232">
        <f>(D$140+D$149+D$150+D$159)*'Petrol Refining PM2.5 by AB'!B38+D$148*'Biodiesel Facility by AB'!J29+(D$146+D$156+D$158)*'Electricity NOx by AB'!J3829</f>
        <v>0</v>
      </c>
      <c r="AE197" s="232">
        <f>(E$140+E$149+E$150+E$159)*'Petrol Refining PM2.5 by AB'!C38+E$148*'Biodiesel Facility by AB'!K29+(E$146+E$156+E$158)*'Electricity NOx by AB'!K3829</f>
        <v>0</v>
      </c>
      <c r="AF197" s="232">
        <f>(F$140+F$149+F$150+F$159)*'Petrol Refining PM2.5 by AB'!D38+F$148*'Biodiesel Facility by AB'!L29+(F$146+F$156+F$158)*'Electricity NOx by AB'!L3829</f>
        <v>0</v>
      </c>
      <c r="AG197" s="232">
        <f>(G$140+G$149+G$150+G$159)*'Petrol Refining PM2.5 by AB'!E38+G$148*'Biodiesel Facility by AB'!M29+(G$146+G$156+G$158)*'Electricity NOx by AB'!M3829</f>
        <v>0</v>
      </c>
      <c r="AH197" s="232">
        <f>(H$140+H$149+H$150+H$159)*'Petrol Refining PM2.5 by AB'!F38+H$148*'Biodiesel Facility by AB'!N29+(H$146+H$156+H$158)*'Electricity NOx by AB'!N3829</f>
        <v>3.808342775248144E-3</v>
      </c>
      <c r="AI197" s="232">
        <f>(I$140+I$149+I$150+I$159)*'Petrol Refining PM2.5 by AB'!G38+I$148*'Biodiesel Facility by AB'!O29+(I$146+I$156+I$158)*'Electricity NOx by AB'!O3829</f>
        <v>3.2662444511676714E-2</v>
      </c>
      <c r="AJ197" s="232">
        <f>(J$140+J$149+J$150+J$159)*'Petrol Refining PM2.5 by AB'!H38+J$148*'Biodiesel Facility by AB'!P29+(J$146+J$156+J$158)*'Electricity NOx by AB'!P3829</f>
        <v>4.9674284844175513E-2</v>
      </c>
      <c r="AK197" s="232">
        <f>(K$140+K$149+K$150+K$159)*'Petrol Refining PM2.5 by AB'!I38+K$148*'Biodiesel Facility by AB'!Q29+(K$146+K$156+K$158)*'Electricity NOx by AB'!Q3829</f>
        <v>5.9657795206987135E-2</v>
      </c>
      <c r="AL197" s="232">
        <f>(L$140+L$149+L$150+L$159)*'Petrol Refining PM2.5 by AB'!J38+L$148*'Biodiesel Facility by AB'!R29+(L$146+L$156+L$158)*'Electricity NOx by AB'!R3829</f>
        <v>6.5391394548080461E-2</v>
      </c>
      <c r="AM197" s="232">
        <f>(M$140+M$149+M$150+M$159)*'Petrol Refining PM2.5 by AB'!K38+M$148*'Biodiesel Facility by AB'!S29+(M$146+M$156+M$158)*'Electricity NOx by AB'!S3829</f>
        <v>6.9064751657171616E-2</v>
      </c>
      <c r="AN197" s="232">
        <f>(N$140+N$149+N$150+N$159)*'Petrol Refining PM2.5 by AB'!L38+N$148*'Biodiesel Facility by AB'!T29+(N$146+N$156+N$158)*'Electricity NOx by AB'!T3829</f>
        <v>7.1268786401014139E-2</v>
      </c>
      <c r="AO197" s="232">
        <f>(O$140+O$149+O$150+O$159)*'Petrol Refining PM2.5 by AB'!M38+O$148*'Biodiesel Facility by AB'!U29+(O$146+O$156+O$158)*'Electricity NOx by AB'!U3829</f>
        <v>7.2591206423352345E-2</v>
      </c>
      <c r="AP197" s="232">
        <f>(P$140+P$149+P$150+P$159)*'Petrol Refining PM2.5 by AB'!N38+P$148*'Biodiesel Facility by AB'!V29+(P$146+P$156+P$158)*'Electricity NOx by AB'!V3829</f>
        <v>7.4574837311931458E-2</v>
      </c>
      <c r="AQ197" s="232">
        <f>(Q$140+Q$149+Q$150+Q$159)*'Petrol Refining PM2.5 by AB'!O38+Q$148*'Biodiesel Facility by AB'!W29+(Q$146+Q$156+Q$158)*'Electricity NOx by AB'!W3829</f>
        <v>7.4574815614720763E-2</v>
      </c>
      <c r="AR197" s="232">
        <f>(R$140+R$149+R$150+R$159)*'Petrol Refining PM2.5 by AB'!P38+R$148*'Biodiesel Facility by AB'!X29+(R$146+R$156+R$158)*'Electricity NOx by AB'!X3829</f>
        <v>7.4574812458763906E-2</v>
      </c>
      <c r="AS197" s="232">
        <f>(S$140+S$149+S$150+S$159)*'Petrol Refining PM2.5 by AB'!Q38+S$148*'Biodiesel Facility by AB'!Y29+(S$146+S$156+S$158)*'Electricity NOx by AB'!Y3829</f>
        <v>7.457478089920995E-2</v>
      </c>
      <c r="AT197" s="232">
        <f>(T$140+T$149+T$150+T$159)*'Petrol Refining PM2.5 by AB'!R38+T$148*'Biodiesel Facility by AB'!Z29+(T$146+T$156+T$158)*'Electricity NOx by AB'!Z3829</f>
        <v>7.4574778926738694E-2</v>
      </c>
      <c r="AU197" s="232">
        <f>(U$140+U$149+U$150+U$159)*'Petrol Refining PM2.5 by AB'!S38+U$148*'Biodiesel Facility by AB'!AA29+(U$146+U$156+U$158)*'Electricity NOx by AB'!AA3829</f>
        <v>7.4574757032315017E-2</v>
      </c>
      <c r="AV197" s="232">
        <f>(V$140+V$149+V$150+V$159)*'Petrol Refining PM2.5 by AB'!T38+V$148*'Biodiesel Facility by AB'!AB29+(V$146+V$156+V$158)*'Electricity NOx by AB'!AB3829</f>
        <v>7.4574745098873282E-2</v>
      </c>
      <c r="AW197" s="232">
        <f>(W$140+W$149+W$150+W$159)*'Petrol Refining PM2.5 by AB'!U38+W$148*'Biodiesel Facility by AB'!AC29+(W$146+W$156+W$158)*'Electricity NOx by AB'!AC3829</f>
        <v>7.4574742140169278E-2</v>
      </c>
      <c r="AX197" s="232">
        <f>(X$140+X$149+X$150+X$159)*'Petrol Refining PM2.5 by AB'!V38+X$148*'Biodiesel Facility by AB'!AD29+(X$146+X$156+X$158)*'Electricity NOx by AB'!AD3829</f>
        <v>7.4574750128670556E-2</v>
      </c>
      <c r="AY197" s="232">
        <f>(Y$140+Y$149+Y$150+Y$159)*'Petrol Refining PM2.5 by AB'!W38+Y$148*'Biodiesel Facility by AB'!AE29+(Y$146+Y$156+Y$158)*'Electricity NOx by AB'!AE3829</f>
        <v>7.4574758018550028E-2</v>
      </c>
      <c r="AZ197" s="232">
        <f>(Z$140+Z$149+Z$150+Z$159)*'Petrol Refining PM2.5 by AB'!X38+Z$148*'Biodiesel Facility by AB'!AF29+(Z$146+Z$156+Z$158)*'Electricity NOx by AB'!AF3829</f>
        <v>7.4574765908431165E-2</v>
      </c>
      <c r="BA197" s="232">
        <f>(AA$140+AA$149+AA$150+AA$159)*'Petrol Refining PM2.5 by AB'!Y38+AA$148*'Biodiesel Facility by AB'!AG29+(AA$146+AA$156+AA$158)*'Electricity NOx by AB'!AG3829</f>
        <v>7.4574762949725565E-2</v>
      </c>
      <c r="BB197" s="232">
        <f>(AB$140+AB$149+AB$150+AB$159)*'Petrol Refining PM2.5 by AB'!Z38+AB$148*'Biodiesel Facility by AB'!AH29+(AB$146+AB$156+AB$158)*'Electricity NOx by AB'!AH3829</f>
        <v>7.4574760977255253E-2</v>
      </c>
      <c r="BC197" s="4" t="s">
        <v>266</v>
      </c>
    </row>
    <row r="198" spans="1:55">
      <c r="A198" s="464"/>
      <c r="B198" s="2" t="s">
        <v>267</v>
      </c>
      <c r="C198" s="53" t="s">
        <v>65</v>
      </c>
      <c r="D198" s="104">
        <f>(D$112+D$121+D$122+D$131)*'Petrol Refining NOx by AB'!E336+D$120*'Biodiesel Facility by AB'!J30+(D$128+D$130)*'Electricity NOx by AB'!J3830</f>
        <v>0</v>
      </c>
      <c r="E198" s="104">
        <f>(E$112+E$121+E$122+E$131)*'Petrol Refining NOx by AB'!F336+E$120*'Biodiesel Facility by AB'!K30+(E$128+E$130)*'Electricity NOx by AB'!K3830</f>
        <v>0</v>
      </c>
      <c r="F198" s="104">
        <f>(F$112+F$121+F$122+F$131)*'Petrol Refining NOx by AB'!G336+F$120*'Biodiesel Facility by AB'!L30+(F$128+F$130)*'Electricity NOx by AB'!L3830</f>
        <v>0</v>
      </c>
      <c r="G198" s="104">
        <f>(G$112+G$121+G$122+G$131)*'Petrol Refining NOx by AB'!H336+G$120*'Biodiesel Facility by AB'!M30+(G$128+G$130)*'Electricity NOx by AB'!M3830</f>
        <v>0</v>
      </c>
      <c r="H198" s="104">
        <f>(H$112+H$121+H$122+H$131)*'Petrol Refining NOx by AB'!I336+H$120*'Biodiesel Facility by AB'!N30+(H$128+H$130)*'Electricity NOx by AB'!N3830</f>
        <v>2.480880889851831E-2</v>
      </c>
      <c r="I198" s="104">
        <f>(I$112+I$121+I$122+I$131)*'Petrol Refining NOx by AB'!J336+I$120*'Biodiesel Facility by AB'!O30+(I$128+I$130)*'Electricity NOx by AB'!O3830</f>
        <v>0.21598993561410704</v>
      </c>
      <c r="J198" s="104">
        <f>(J$112+J$121+J$122+J$131)*'Petrol Refining NOx by AB'!K336+J$120*'Biodiesel Facility by AB'!P30+(J$128+J$130)*'Electricity NOx by AB'!P3830</f>
        <v>0.33241439555959101</v>
      </c>
      <c r="K198" s="104">
        <f>(K$112+K$121+K$122+K$131)*'Petrol Refining NOx by AB'!L336+K$120*'Biodiesel Facility by AB'!Q30+(K$128+K$130)*'Electricity NOx by AB'!Q3830</f>
        <v>0.40428139333307578</v>
      </c>
      <c r="L198" s="104">
        <f>(L$112+L$121+L$122+L$131)*'Petrol Refining NOx by AB'!M336+L$120*'Biodiesel Facility by AB'!R30+(L$128+L$130)*'Electricity NOx by AB'!R3830</f>
        <v>0.44827899476320127</v>
      </c>
      <c r="M198" s="104">
        <f>(M$112+M$121+M$122+M$131)*'Petrol Refining NOx by AB'!N336+M$120*'Biodiesel Facility by AB'!S30+(M$128+M$130)*'Electricity NOx by AB'!S3830</f>
        <v>0.47508805045703628</v>
      </c>
      <c r="N198" s="104">
        <f>(N$112+N$121+N$122+N$131)*'Petrol Refining NOx by AB'!O336+N$120*'Biodiesel Facility by AB'!T30+(N$128+N$130)*'Electricity NOx by AB'!T3830</f>
        <v>0.49106645586854841</v>
      </c>
      <c r="O198" s="104">
        <f>(O$112+O$121+O$122+O$131)*'Petrol Refining NOx by AB'!P336+O$120*'Biodiesel Facility by AB'!U30+(O$128+O$130)*'Electricity NOx by AB'!U3830</f>
        <v>0.50108638677344586</v>
      </c>
      <c r="P198" s="104">
        <f>(P$112+P$121+P$122+P$131)*'Petrol Refining NOx by AB'!Q336+P$120*'Biodiesel Facility by AB'!V30+(P$128+P$130)*'Electricity NOx by AB'!V3830</f>
        <v>0.51564201140292465</v>
      </c>
      <c r="Q198" s="104">
        <f>(Q$112+Q$121+Q$122+Q$131)*'Petrol Refining NOx by AB'!R336+Q$120*'Biodiesel Facility by AB'!W30+(Q$128+Q$130)*'Electricity NOx by AB'!W3830</f>
        <v>0.5184357221107212</v>
      </c>
      <c r="R198" s="104">
        <f>(R$112+R$121+R$122+R$131)*'Petrol Refining NOx by AB'!S336+R$120*'Biodiesel Facility by AB'!X30+(R$128+R$130)*'Electricity NOx by AB'!X3830</f>
        <v>0.51843448461165675</v>
      </c>
      <c r="S198" s="104">
        <f>(S$112+S$121+S$122+S$131)*'Petrol Refining NOx by AB'!T336+S$120*'Biodiesel Facility by AB'!Y30+(S$128+S$130)*'Electricity NOx by AB'!Y3830</f>
        <v>0.51843328761003682</v>
      </c>
      <c r="T198" s="104">
        <f>(T$112+T$121+T$122+T$131)*'Petrol Refining NOx by AB'!U336+T$120*'Biodiesel Facility by AB'!Z30+(T$128+T$130)*'Electricity NOx by AB'!Z3830</f>
        <v>0.51843213282833767</v>
      </c>
      <c r="U198" s="104">
        <f>(U$112+U$121+U$122+U$131)*'Petrol Refining NOx by AB'!V336+U$120*'Biodiesel Facility by AB'!AA30+(U$128+U$130)*'Electricity NOx by AB'!AA3830</f>
        <v>0.51843030503756038</v>
      </c>
      <c r="V198" s="104">
        <f>(V$112+V$121+V$122+V$131)*'Petrol Refining NOx by AB'!W336+V$120*'Biodiesel Facility by AB'!AB30+(V$128+V$130)*'Electricity NOx by AB'!AB3830</f>
        <v>0.51842915078605323</v>
      </c>
      <c r="W198" s="104">
        <f>(W$112+W$121+W$122+W$131)*'Petrol Refining NOx by AB'!X336+W$120*'Biodiesel Facility by AB'!AC30+(W$128+W$130)*'Electricity NOx by AB'!AC3830</f>
        <v>0.51842867351084598</v>
      </c>
      <c r="X198" s="104">
        <f>(X$112+X$121+X$122+X$131)*'Petrol Refining NOx by AB'!Y336+X$120*'Biodiesel Facility by AB'!AD30+(X$128+X$130)*'Electricity NOx by AB'!AD3830</f>
        <v>0.51842884064321937</v>
      </c>
      <c r="Y198" s="104">
        <f>(Y$112+Y$121+Y$122+Y$131)*'Petrol Refining NOx by AB'!Z336+Y$120*'Biodiesel Facility by AB'!AE30+(Y$128+Y$130)*'Electricity NOx by AB'!AE3830</f>
        <v>0.5184283635408844</v>
      </c>
      <c r="Z198" s="104">
        <f>(Z$112+Z$121+Z$122+Z$131)*'Petrol Refining NOx by AB'!AA336+Z$120*'Biodiesel Facility by AB'!AF30+(Z$128+Z$130)*'Electricity NOx by AB'!AF3830</f>
        <v>0.5184285310176604</v>
      </c>
      <c r="AA198" s="104">
        <f>(AA$112+AA$121+AA$122+AA$131)*'Petrol Refining NOx by AB'!AB336+AA$120*'Biodiesel Facility by AB'!AG30+(AA$128+AA$130)*'Electricity NOx by AB'!AG3830</f>
        <v>0.51842805391589541</v>
      </c>
      <c r="AB198" s="175">
        <f>(AB$112+AB$121+AB$122+AB$131)*'Petrol Refining NOx by AB'!AC336+AB$120*'Biodiesel Facility by AB'!AH30+(AB$128+AB$130)*'Electricity NOx by AB'!AH3830</f>
        <v>0.5184275768150084</v>
      </c>
      <c r="AD198" s="232">
        <f>(D$140+D$149+D$150+D$159)*'Petrol Refining PM2.5 by AB'!B39+D$148*'Biodiesel Facility by AB'!J30+(D$146+D$156+D$158)*'Electricity NOx by AB'!J3830</f>
        <v>0</v>
      </c>
      <c r="AE198" s="232">
        <f>(E$140+E$149+E$150+E$159)*'Petrol Refining PM2.5 by AB'!C39+E$148*'Biodiesel Facility by AB'!K30+(E$146+E$156+E$158)*'Electricity NOx by AB'!K3830</f>
        <v>0</v>
      </c>
      <c r="AF198" s="232">
        <f>(F$140+F$149+F$150+F$159)*'Petrol Refining PM2.5 by AB'!D39+F$148*'Biodiesel Facility by AB'!L30+(F$146+F$156+F$158)*'Electricity NOx by AB'!L3830</f>
        <v>0</v>
      </c>
      <c r="AG198" s="232">
        <f>(G$140+G$149+G$150+G$159)*'Petrol Refining PM2.5 by AB'!E39+G$148*'Biodiesel Facility by AB'!M30+(G$146+G$156+G$158)*'Electricity NOx by AB'!M3830</f>
        <v>0</v>
      </c>
      <c r="AH198" s="232">
        <f>(H$140+H$149+H$150+H$159)*'Petrol Refining PM2.5 by AB'!F39+H$148*'Biodiesel Facility by AB'!N30+(H$146+H$156+H$158)*'Electricity NOx by AB'!N3830</f>
        <v>4.6034961524078081E-3</v>
      </c>
      <c r="AI198" s="232">
        <f>(I$140+I$149+I$150+I$159)*'Petrol Refining PM2.5 by AB'!G39+I$148*'Biodiesel Facility by AB'!O30+(I$146+I$156+I$158)*'Electricity NOx by AB'!O3830</f>
        <v>3.9482117685149823E-2</v>
      </c>
      <c r="AJ198" s="232">
        <f>(J$140+J$149+J$150+J$159)*'Petrol Refining PM2.5 by AB'!H39+J$148*'Biodiesel Facility by AB'!P30+(J$146+J$156+J$158)*'Electricity NOx by AB'!P3830</f>
        <v>6.0045902548483555E-2</v>
      </c>
      <c r="AK198" s="232">
        <f>(K$140+K$149+K$150+K$159)*'Petrol Refining PM2.5 by AB'!I39+K$148*'Biodiesel Facility by AB'!Q30+(K$146+K$156+K$158)*'Electricity NOx by AB'!Q3830</f>
        <v>7.2113894915513121E-2</v>
      </c>
      <c r="AL198" s="232">
        <f>(L$140+L$149+L$150+L$159)*'Petrol Refining PM2.5 by AB'!J39+L$148*'Biodiesel Facility by AB'!R30+(L$146+L$156+L$158)*'Electricity NOx by AB'!R3830</f>
        <v>7.9044626749243924E-2</v>
      </c>
      <c r="AM198" s="232">
        <f>(M$140+M$149+M$150+M$159)*'Petrol Refining PM2.5 by AB'!K39+M$148*'Biodiesel Facility by AB'!S30+(M$146+M$156+M$158)*'Electricity NOx by AB'!S3830</f>
        <v>8.3484953241918736E-2</v>
      </c>
      <c r="AN198" s="232">
        <f>(N$140+N$149+N$150+N$159)*'Petrol Refining PM2.5 by AB'!L39+N$148*'Biodiesel Facility by AB'!T30+(N$146+N$156+N$158)*'Electricity NOx by AB'!T3830</f>
        <v>8.6149173891645059E-2</v>
      </c>
      <c r="AO198" s="232">
        <f>(O$140+O$149+O$150+O$159)*'Petrol Refining PM2.5 by AB'!M39+O$148*'Biodiesel Facility by AB'!U30+(O$146+O$156+O$158)*'Electricity NOx by AB'!U3830</f>
        <v>8.7747705285475375E-2</v>
      </c>
      <c r="AP198" s="232">
        <f>(P$140+P$149+P$150+P$159)*'Petrol Refining PM2.5 by AB'!N39+P$148*'Biodiesel Facility by AB'!V30+(P$146+P$156+P$158)*'Electricity NOx by AB'!V3830</f>
        <v>9.014550340982519E-2</v>
      </c>
      <c r="AQ198" s="232">
        <f>(Q$140+Q$149+Q$150+Q$159)*'Petrol Refining PM2.5 by AB'!O39+Q$148*'Biodiesel Facility by AB'!W30+(Q$146+Q$156+Q$158)*'Electricity NOx by AB'!W3830</f>
        <v>9.0145477182399833E-2</v>
      </c>
      <c r="AR198" s="232">
        <f>(R$140+R$149+R$150+R$159)*'Petrol Refining PM2.5 by AB'!P39+R$148*'Biodiesel Facility by AB'!X30+(R$146+R$156+R$158)*'Electricity NOx by AB'!X3830</f>
        <v>9.0145473367502865E-2</v>
      </c>
      <c r="AS198" s="232">
        <f>(S$140+S$149+S$150+S$159)*'Petrol Refining PM2.5 by AB'!Q39+S$148*'Biodiesel Facility by AB'!Y30+(S$146+S$156+S$158)*'Electricity NOx by AB'!Y3830</f>
        <v>9.0145435218551007E-2</v>
      </c>
      <c r="AT198" s="232">
        <f>(T$140+T$149+T$150+T$159)*'Petrol Refining PM2.5 by AB'!R39+T$148*'Biodiesel Facility by AB'!Z30+(T$146+T$156+T$158)*'Electricity NOx by AB'!Z3830</f>
        <v>9.0145432834242561E-2</v>
      </c>
      <c r="AU198" s="232">
        <f>(U$140+U$149+U$150+U$159)*'Petrol Refining PM2.5 by AB'!S39+U$148*'Biodiesel Facility by AB'!AA30+(U$146+U$156+U$158)*'Electricity NOx by AB'!AA3830</f>
        <v>9.0145406368427619E-2</v>
      </c>
      <c r="AV198" s="232">
        <f>(V$140+V$149+V$150+V$159)*'Petrol Refining PM2.5 by AB'!T39+V$148*'Biodiesel Facility by AB'!AB30+(V$146+V$156+V$158)*'Electricity NOx by AB'!AB3830</f>
        <v>9.014539194337283E-2</v>
      </c>
      <c r="AW198" s="232">
        <f>(W$140+W$149+W$150+W$159)*'Petrol Refining PM2.5 by AB'!U39+W$148*'Biodiesel Facility by AB'!AC30+(W$146+W$156+W$158)*'Electricity NOx by AB'!AC3830</f>
        <v>9.0145388366913659E-2</v>
      </c>
      <c r="AX198" s="232">
        <f>(X$140+X$149+X$150+X$159)*'Petrol Refining PM2.5 by AB'!V39+X$148*'Biodiesel Facility by AB'!AD30+(X$146+X$156+X$158)*'Electricity NOx by AB'!AD3830</f>
        <v>9.0145398023354015E-2</v>
      </c>
      <c r="AY198" s="232">
        <f>(Y$140+Y$149+Y$150+Y$159)*'Petrol Refining PM2.5 by AB'!W39+Y$148*'Biodiesel Facility by AB'!AE30+(Y$146+Y$156+Y$158)*'Electricity NOx by AB'!AE3830</f>
        <v>9.0145407560581092E-2</v>
      </c>
      <c r="AZ198" s="232">
        <f>(Z$140+Z$149+Z$150+Z$159)*'Petrol Refining PM2.5 by AB'!X39+Z$148*'Biodiesel Facility by AB'!AF30+(Z$146+Z$156+Z$158)*'Electricity NOx by AB'!AF3830</f>
        <v>9.0145417097810168E-2</v>
      </c>
      <c r="BA198" s="232">
        <f>(AA$140+AA$149+AA$150+AA$159)*'Petrol Refining PM2.5 by AB'!Y39+AA$148*'Biodiesel Facility by AB'!AG30+(AA$146+AA$156+AA$158)*'Electricity NOx by AB'!AG3830</f>
        <v>9.0145413521349069E-2</v>
      </c>
      <c r="BB198" s="232">
        <f>(AB$140+AB$149+AB$150+AB$159)*'Petrol Refining PM2.5 by AB'!Z39+AB$148*'Biodiesel Facility by AB'!AH30+(AB$146+AB$156+AB$158)*'Electricity NOx by AB'!AH3830</f>
        <v>9.0145411137041748E-2</v>
      </c>
    </row>
    <row r="199" spans="1:55">
      <c r="A199" s="464"/>
      <c r="B199" s="2" t="s">
        <v>268</v>
      </c>
      <c r="C199" s="67" t="s">
        <v>65</v>
      </c>
      <c r="D199" s="175">
        <f>(D$112+D$121+D$122+D$131)*'Petrol Refining NOx by AB'!E337+D$120*'Biodiesel Facility by AB'!J31+(D$128+D$130)*'Electricity NOx by AB'!J3831</f>
        <v>0</v>
      </c>
      <c r="E199" s="175">
        <f>(E$112+E$121+E$122+E$131)*'Petrol Refining NOx by AB'!F337+E$120*'Biodiesel Facility by AB'!K31+(E$128+E$130)*'Electricity NOx by AB'!K3831</f>
        <v>0</v>
      </c>
      <c r="F199" s="175">
        <f>(F$112+F$121+F$122+F$131)*'Petrol Refining NOx by AB'!G337+F$120*'Biodiesel Facility by AB'!L31+(F$128+F$130)*'Electricity NOx by AB'!L3831</f>
        <v>0</v>
      </c>
      <c r="G199" s="175">
        <f>(G$112+G$121+G$122+G$131)*'Petrol Refining NOx by AB'!H337+G$120*'Biodiesel Facility by AB'!M31+(G$128+G$130)*'Electricity NOx by AB'!M3831</f>
        <v>0</v>
      </c>
      <c r="H199" s="175">
        <f>(H$112+H$121+H$122+H$131)*'Petrol Refining NOx by AB'!I337+H$120*'Biodiesel Facility by AB'!N31+(H$128+H$130)*'Electricity NOx by AB'!N3831</f>
        <v>0.62853299103125715</v>
      </c>
      <c r="I199" s="175">
        <f>(I$112+I$121+I$122+I$131)*'Petrol Refining NOx by AB'!J337+I$120*'Biodiesel Facility by AB'!O31+(I$128+I$130)*'Electricity NOx by AB'!O3831</f>
        <v>5.381305530072062</v>
      </c>
      <c r="J199" s="175">
        <f>(J$112+J$121+J$122+J$131)*'Petrol Refining NOx by AB'!K337+J$120*'Biodiesel Facility by AB'!P31+(J$128+J$130)*'Electricity NOx by AB'!P3831</f>
        <v>8.1801433968010535</v>
      </c>
      <c r="K199" s="175">
        <f>(K$112+K$121+K$122+K$131)*'Petrol Refining NOx by AB'!L337+K$120*'Biodiesel Facility by AB'!Q31+(K$128+K$130)*'Electricity NOx by AB'!Q3831</f>
        <v>9.8109644193595855</v>
      </c>
      <c r="L199" s="175">
        <f>(L$112+L$121+L$122+L$131)*'Petrol Refining NOx by AB'!M337+L$120*'Biodiesel Facility by AB'!R31+(L$128+L$130)*'Electricity NOx by AB'!R3831</f>
        <v>10.750079114497996</v>
      </c>
      <c r="M199" s="175">
        <f>(M$112+M$121+M$122+M$131)*'Petrol Refining NOx by AB'!N337+M$120*'Biodiesel Facility by AB'!S31+(M$128+M$130)*'Electricity NOx by AB'!S3831</f>
        <v>11.337462904637059</v>
      </c>
      <c r="N199" s="175">
        <f>(N$112+N$121+N$122+N$131)*'Petrol Refining NOx by AB'!O337+N$120*'Biodiesel Facility by AB'!T31+(N$128+N$130)*'Electricity NOx by AB'!T3831</f>
        <v>11.689621955527551</v>
      </c>
      <c r="O199" s="175">
        <f>(O$112+O$121+O$122+O$131)*'Petrol Refining NOx by AB'!P337+O$120*'Biodiesel Facility by AB'!U31+(O$128+O$130)*'Electricity NOx by AB'!U3831</f>
        <v>11.89580551375623</v>
      </c>
      <c r="P199" s="175">
        <f>(P$112+P$121+P$122+P$131)*'Petrol Refining NOx by AB'!Q337+P$120*'Biodiesel Facility by AB'!V31+(P$128+P$130)*'Electricity NOx by AB'!V3831</f>
        <v>12.210681418512729</v>
      </c>
      <c r="Q199" s="175">
        <f>(Q$112+Q$121+Q$122+Q$131)*'Petrol Refining NOx by AB'!R337+Q$120*'Biodiesel Facility by AB'!W31+(Q$128+Q$130)*'Electricity NOx by AB'!W3831</f>
        <v>12.177691121530447</v>
      </c>
      <c r="R199" s="175">
        <f>(R$112+R$121+R$122+R$131)*'Petrol Refining NOx by AB'!S337+R$120*'Biodiesel Facility by AB'!X31+(R$128+R$130)*'Electricity NOx by AB'!X3831</f>
        <v>12.177705734876614</v>
      </c>
      <c r="S199" s="175">
        <f>(S$112+S$121+S$122+S$131)*'Petrol Refining NOx by AB'!T337+S$120*'Biodiesel Facility by AB'!Y31+(S$128+S$130)*'Electricity NOx by AB'!Y3831</f>
        <v>12.177719869997624</v>
      </c>
      <c r="T199" s="175">
        <f>(T$112+T$121+T$122+T$131)*'Petrol Refining NOx by AB'!U337+T$120*'Biodiesel Facility by AB'!Z31+(T$128+T$130)*'Electricity NOx by AB'!Z3831</f>
        <v>12.177733506553155</v>
      </c>
      <c r="U199" s="175">
        <f>(U$112+U$121+U$122+U$131)*'Petrol Refining NOx by AB'!V337+U$120*'Biodiesel Facility by AB'!AA31+(U$128+U$130)*'Electricity NOx by AB'!AA3831</f>
        <v>12.177755090520455</v>
      </c>
      <c r="V199" s="175">
        <f>(V$112+V$121+V$122+V$131)*'Petrol Refining NOx by AB'!W337+V$120*'Biodiesel Facility by AB'!AB31+(V$128+V$130)*'Electricity NOx by AB'!AB3831</f>
        <v>12.177768720815068</v>
      </c>
      <c r="W199" s="175">
        <f>(W$112+W$121+W$122+W$131)*'Petrol Refining NOx by AB'!X337+W$120*'Biodiesel Facility by AB'!AC31+(W$128+W$130)*'Electricity NOx by AB'!AC3831</f>
        <v>12.177774356849886</v>
      </c>
      <c r="X199" s="175">
        <f>(X$112+X$121+X$122+X$131)*'Petrol Refining NOx by AB'!Y337+X$120*'Biodiesel Facility by AB'!AD31+(X$128+X$130)*'Electricity NOx by AB'!AD3831</f>
        <v>12.177772383221548</v>
      </c>
      <c r="Y199" s="175">
        <f>(Y$112+Y$121+Y$122+Y$131)*'Petrol Refining NOx by AB'!Z337+Y$120*'Biodiesel Facility by AB'!AE31+(Y$128+Y$130)*'Electricity NOx by AB'!AE3831</f>
        <v>12.177778017214958</v>
      </c>
      <c r="Z199" s="175">
        <f>(Z$112+Z$121+Z$122+Z$131)*'Petrol Refining NOx by AB'!AA337+Z$120*'Biodiesel Facility by AB'!AF31+(Z$128+Z$130)*'Electricity NOx by AB'!AF3831</f>
        <v>12.177776039519646</v>
      </c>
      <c r="AA199" s="175">
        <f>(AA$112+AA$121+AA$122+AA$131)*'Petrol Refining NOx by AB'!AB337+AA$120*'Biodiesel Facility by AB'!AG31+(AA$128+AA$130)*'Electricity NOx by AB'!AG3831</f>
        <v>12.177781673506328</v>
      </c>
      <c r="AB199" s="175">
        <f>(AB$112+AB$121+AB$122+AB$131)*'Petrol Refining NOx by AB'!AC337+AB$120*'Biodiesel Facility by AB'!AH31+(AB$128+AB$130)*'Electricity NOx by AB'!AH3831</f>
        <v>12.177787307482639</v>
      </c>
      <c r="AD199" s="232">
        <f>(D$140+D$149+D$150+D$159)*'Petrol Refining PM2.5 by AB'!B40+D$148*'Biodiesel Facility by AB'!J31+(D$146+D$156+D$158)*'Electricity NOx by AB'!J3831</f>
        <v>0</v>
      </c>
      <c r="AE199" s="232">
        <f>(E$140+E$149+E$150+E$159)*'Petrol Refining PM2.5 by AB'!C40+E$148*'Biodiesel Facility by AB'!K31+(E$146+E$156+E$158)*'Electricity NOx by AB'!K3831</f>
        <v>0</v>
      </c>
      <c r="AF199" s="232">
        <f>(F$140+F$149+F$150+F$159)*'Petrol Refining PM2.5 by AB'!D40+F$148*'Biodiesel Facility by AB'!L31+(F$146+F$156+F$158)*'Electricity NOx by AB'!L3831</f>
        <v>0</v>
      </c>
      <c r="AG199" s="232">
        <f>(G$140+G$149+G$150+G$159)*'Petrol Refining PM2.5 by AB'!E40+G$148*'Biodiesel Facility by AB'!M31+(G$146+G$156+G$158)*'Electricity NOx by AB'!M3831</f>
        <v>0</v>
      </c>
      <c r="AH199" s="232">
        <f>(H$140+H$149+H$150+H$159)*'Petrol Refining PM2.5 by AB'!F40+H$148*'Biodiesel Facility by AB'!N31+(H$146+H$156+H$158)*'Electricity NOx by AB'!N3831</f>
        <v>0.12031117017025231</v>
      </c>
      <c r="AI199" s="232">
        <f>(I$140+I$149+I$150+I$159)*'Petrol Refining PM2.5 by AB'!G40+I$148*'Biodiesel Facility by AB'!O31+(I$146+I$156+I$158)*'Electricity NOx by AB'!O3831</f>
        <v>1.0318553496643059</v>
      </c>
      <c r="AJ199" s="232">
        <f>(J$140+J$149+J$150+J$159)*'Petrol Refining PM2.5 by AB'!H40+J$148*'Biodiesel Facility by AB'!P31+(J$146+J$156+J$158)*'Electricity NOx by AB'!P3831</f>
        <v>1.5692861459312706</v>
      </c>
      <c r="AK199" s="232">
        <f>(K$140+K$149+K$150+K$159)*'Petrol Refining PM2.5 by AB'!I40+K$148*'Biodiesel Facility by AB'!Q31+(K$146+K$156+K$158)*'Electricity NOx by AB'!Q3831</f>
        <v>1.8846805533683733</v>
      </c>
      <c r="AL199" s="232">
        <f>(L$140+L$149+L$150+L$159)*'Petrol Refining PM2.5 by AB'!J40+L$148*'Biodiesel Facility by AB'!R31+(L$146+L$156+L$158)*'Electricity NOx by AB'!R3831</f>
        <v>2.0658138408390148</v>
      </c>
      <c r="AM199" s="232">
        <f>(M$140+M$149+M$150+M$159)*'Petrol Refining PM2.5 by AB'!K40+M$148*'Biodiesel Facility by AB'!S31+(M$146+M$156+M$158)*'Electricity NOx by AB'!S3831</f>
        <v>2.1818643743393507</v>
      </c>
      <c r="AN199" s="232">
        <f>(N$140+N$149+N$150+N$159)*'Petrol Refining PM2.5 by AB'!L40+N$148*'Biodiesel Facility by AB'!T31+(N$146+N$156+N$158)*'Electricity NOx by AB'!T3831</f>
        <v>2.2514934777511173</v>
      </c>
      <c r="AO199" s="232">
        <f>(O$140+O$149+O$150+O$159)*'Petrol Refining PM2.5 by AB'!M40+O$148*'Biodiesel Facility by AB'!U31+(O$146+O$156+O$158)*'Electricity NOx by AB'!U3831</f>
        <v>2.2932709887527816</v>
      </c>
      <c r="AP199" s="232">
        <f>(P$140+P$149+P$150+P$159)*'Petrol Refining PM2.5 by AB'!N40+P$148*'Biodiesel Facility by AB'!V31+(P$146+P$156+P$158)*'Electricity NOx by AB'!V3831</f>
        <v>2.3559372044526654</v>
      </c>
      <c r="AQ199" s="232">
        <f>(Q$140+Q$149+Q$150+Q$159)*'Petrol Refining PM2.5 by AB'!O40+Q$148*'Biodiesel Facility by AB'!W31+(Q$146+Q$156+Q$158)*'Electricity NOx by AB'!W3831</f>
        <v>2.3559384935553815</v>
      </c>
      <c r="AR199" s="232">
        <f>(R$140+R$149+R$150+R$159)*'Petrol Refining PM2.5 by AB'!P40+R$148*'Biodiesel Facility by AB'!X31+(R$146+R$156+R$158)*'Electricity NOx by AB'!X3831</f>
        <v>2.3559386810611689</v>
      </c>
      <c r="AS199" s="232">
        <f>(S$140+S$149+S$150+S$159)*'Petrol Refining PM2.5 by AB'!Q40+S$148*'Biodiesel Facility by AB'!Y31+(S$146+S$156+S$158)*'Electricity NOx by AB'!Y3831</f>
        <v>2.3559405561181674</v>
      </c>
      <c r="AT199" s="232">
        <f>(T$140+T$149+T$150+T$159)*'Petrol Refining PM2.5 by AB'!R40+T$148*'Biodiesel Facility by AB'!Z31+(T$146+T$156+T$158)*'Electricity NOx by AB'!Z3831</f>
        <v>2.3559406733091768</v>
      </c>
      <c r="AU199" s="232">
        <f>(U$140+U$149+U$150+U$159)*'Petrol Refining PM2.5 by AB'!S40+U$148*'Biodiesel Facility by AB'!AA31+(U$146+U$156+U$158)*'Electricity NOx by AB'!AA3831</f>
        <v>2.3559419741289696</v>
      </c>
      <c r="AV199" s="232">
        <f>(V$140+V$149+V$150+V$159)*'Petrol Refining PM2.5 by AB'!T40+V$148*'Biodiesel Facility by AB'!AB31+(V$146+V$156+V$158)*'Electricity NOx by AB'!AB3831</f>
        <v>2.3559426831340295</v>
      </c>
      <c r="AW199" s="232">
        <f>(W$140+W$149+W$150+W$159)*'Petrol Refining PM2.5 by AB'!U40+W$148*'Biodiesel Facility by AB'!AC31+(W$146+W$156+W$158)*'Electricity NOx by AB'!AC3831</f>
        <v>2.3559428589203728</v>
      </c>
      <c r="AX199" s="232">
        <f>(X$140+X$149+X$150+X$159)*'Petrol Refining PM2.5 by AB'!V40+X$148*'Biodiesel Facility by AB'!AD31+(X$146+X$156+X$158)*'Electricity NOx by AB'!AD3831</f>
        <v>2.3559423842972134</v>
      </c>
      <c r="AY199" s="232">
        <f>(Y$140+Y$149+Y$150+Y$159)*'Petrol Refining PM2.5 by AB'!W40+Y$148*'Biodiesel Facility by AB'!AE31+(Y$146+Y$156+Y$158)*'Electricity NOx by AB'!AE3831</f>
        <v>2.3559419155334993</v>
      </c>
      <c r="AZ199" s="232">
        <f>(Z$140+Z$149+Z$150+Z$159)*'Petrol Refining PM2.5 by AB'!X40+Z$148*'Biodiesel Facility by AB'!AF31+(Z$146+Z$156+Z$158)*'Electricity NOx by AB'!AF3831</f>
        <v>2.3559414467696862</v>
      </c>
      <c r="BA199" s="232">
        <f>(AA$140+AA$149+AA$150+AA$159)*'Petrol Refining PM2.5 by AB'!Y40+AA$148*'Biodiesel Facility by AB'!AG31+(AA$146+AA$156+AA$158)*'Electricity NOx by AB'!AG3831</f>
        <v>2.3559416225561285</v>
      </c>
      <c r="BB199" s="232">
        <f>(AB$140+AB$149+AB$150+AB$159)*'Petrol Refining PM2.5 by AB'!Z40+AB$148*'Biodiesel Facility by AB'!AH31+(AB$146+AB$156+AB$158)*'Electricity NOx by AB'!AH3831</f>
        <v>2.355941739747081</v>
      </c>
      <c r="BC199" s="4" t="s">
        <v>269</v>
      </c>
    </row>
    <row r="200" spans="1:55" ht="15.75" thickBot="1">
      <c r="A200" s="465"/>
      <c r="B200" s="72" t="s">
        <v>270</v>
      </c>
      <c r="C200" s="73" t="s">
        <v>65</v>
      </c>
      <c r="D200" s="417">
        <f t="shared" ref="D200" si="63">SUM(D185:D199)</f>
        <v>0</v>
      </c>
      <c r="E200" s="417">
        <f>SUM(E185:E199)</f>
        <v>0</v>
      </c>
      <c r="F200" s="417">
        <f t="shared" ref="F200:AB200" si="64">SUM(F185:F199)</f>
        <v>0</v>
      </c>
      <c r="G200" s="417">
        <f t="shared" si="64"/>
        <v>0</v>
      </c>
      <c r="H200" s="417">
        <f t="shared" si="64"/>
        <v>0.91152170904847418</v>
      </c>
      <c r="I200" s="417">
        <f t="shared" si="64"/>
        <v>7.8668254814235876</v>
      </c>
      <c r="J200" s="417">
        <f t="shared" si="64"/>
        <v>12.04000774484866</v>
      </c>
      <c r="K200" s="417">
        <f t="shared" si="64"/>
        <v>14.5439171029037</v>
      </c>
      <c r="L200" s="417">
        <f>SUM(L185:L199)</f>
        <v>16.046262717736784</v>
      </c>
      <c r="M200" s="417">
        <f t="shared" si="64"/>
        <v>16.947670086636588</v>
      </c>
      <c r="N200" s="417">
        <f t="shared" si="64"/>
        <v>17.488514507976475</v>
      </c>
      <c r="O200" s="417">
        <f t="shared" si="64"/>
        <v>17.813021160780394</v>
      </c>
      <c r="P200" s="417">
        <f t="shared" si="64"/>
        <v>18.299781139986322</v>
      </c>
      <c r="Q200" s="417">
        <f t="shared" si="64"/>
        <v>18.299781139986319</v>
      </c>
      <c r="R200" s="417">
        <f t="shared" si="64"/>
        <v>18.299781139986322</v>
      </c>
      <c r="S200" s="417">
        <f t="shared" si="64"/>
        <v>18.299781139986319</v>
      </c>
      <c r="T200" s="417">
        <f t="shared" si="64"/>
        <v>18.299781139986319</v>
      </c>
      <c r="U200" s="417">
        <f t="shared" si="64"/>
        <v>18.299781139986315</v>
      </c>
      <c r="V200" s="417">
        <f t="shared" si="64"/>
        <v>18.299781139986319</v>
      </c>
      <c r="W200" s="417">
        <f t="shared" si="64"/>
        <v>18.299781139986315</v>
      </c>
      <c r="X200" s="417">
        <f t="shared" si="64"/>
        <v>18.299781139986319</v>
      </c>
      <c r="Y200" s="417">
        <f t="shared" si="64"/>
        <v>18.299781139986319</v>
      </c>
      <c r="Z200" s="417">
        <f t="shared" si="64"/>
        <v>18.299781139986319</v>
      </c>
      <c r="AA200" s="417">
        <f t="shared" si="64"/>
        <v>18.299781139986322</v>
      </c>
      <c r="AB200" s="417">
        <f t="shared" si="64"/>
        <v>18.299781139986319</v>
      </c>
      <c r="AD200" s="93">
        <f t="shared" ref="AD200:BB200" si="65">SUM(AD185:AD199)</f>
        <v>0</v>
      </c>
      <c r="AE200" s="93">
        <f t="shared" si="65"/>
        <v>0</v>
      </c>
      <c r="AF200" s="93">
        <f t="shared" si="65"/>
        <v>0</v>
      </c>
      <c r="AG200" s="93">
        <f t="shared" si="65"/>
        <v>0</v>
      </c>
      <c r="AH200" s="93">
        <f t="shared" si="65"/>
        <v>0.33804778613718234</v>
      </c>
      <c r="AI200" s="93">
        <f t="shared" si="65"/>
        <v>2.9174981917862306</v>
      </c>
      <c r="AJ200" s="93">
        <f t="shared" si="65"/>
        <v>4.4651684351756629</v>
      </c>
      <c r="AK200" s="93">
        <f t="shared" si="65"/>
        <v>5.3937705812093206</v>
      </c>
      <c r="AL200" s="94">
        <f t="shared" si="65"/>
        <v>5.9509318688295343</v>
      </c>
      <c r="AM200" s="93">
        <f t="shared" si="65"/>
        <v>6.2852286414016474</v>
      </c>
      <c r="AN200" s="93">
        <f t="shared" si="65"/>
        <v>6.4858067049449186</v>
      </c>
      <c r="AO200" s="93">
        <f t="shared" si="65"/>
        <v>6.6061535430708744</v>
      </c>
      <c r="AP200" s="93">
        <f t="shared" si="65"/>
        <v>6.7866738002598277</v>
      </c>
      <c r="AQ200" s="93">
        <f t="shared" si="65"/>
        <v>6.7866738002598259</v>
      </c>
      <c r="AR200" s="93">
        <f t="shared" si="65"/>
        <v>6.7866738002598268</v>
      </c>
      <c r="AS200" s="93">
        <f t="shared" si="65"/>
        <v>6.7866738002598268</v>
      </c>
      <c r="AT200" s="93">
        <f t="shared" si="65"/>
        <v>6.7866738002598241</v>
      </c>
      <c r="AU200" s="94">
        <f t="shared" si="65"/>
        <v>6.7866738002598268</v>
      </c>
      <c r="AV200" s="93">
        <f t="shared" si="65"/>
        <v>6.7866738002598268</v>
      </c>
      <c r="AW200" s="93">
        <f t="shared" si="65"/>
        <v>6.786673800259825</v>
      </c>
      <c r="AX200" s="93">
        <f t="shared" si="65"/>
        <v>6.7866738002598259</v>
      </c>
      <c r="AY200" s="93">
        <f t="shared" si="65"/>
        <v>6.7866738002598268</v>
      </c>
      <c r="AZ200" s="93">
        <f t="shared" si="65"/>
        <v>6.7866738002598268</v>
      </c>
      <c r="BA200" s="93">
        <f t="shared" si="65"/>
        <v>6.7866738002598286</v>
      </c>
      <c r="BB200" s="93">
        <f t="shared" si="65"/>
        <v>6.786673800259825</v>
      </c>
    </row>
    <row r="201" spans="1:55"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</row>
    <row r="202" spans="1:55">
      <c r="A202" s="2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</row>
    <row r="203" spans="1:55"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5" spans="1:55" ht="19.5" thickBot="1">
      <c r="D205" s="468" t="s">
        <v>245</v>
      </c>
      <c r="E205" s="468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  <c r="S205" s="468"/>
      <c r="T205" s="468"/>
      <c r="U205" s="468"/>
      <c r="V205" s="468"/>
      <c r="W205" s="468"/>
      <c r="X205" s="468"/>
      <c r="Y205" s="468"/>
      <c r="Z205" s="468"/>
      <c r="AA205" s="468"/>
      <c r="AB205" s="468"/>
      <c r="AC205" s="144"/>
      <c r="AD205" s="468" t="s">
        <v>246</v>
      </c>
      <c r="AE205" s="468"/>
      <c r="AF205" s="468"/>
      <c r="AG205" s="468"/>
      <c r="AH205" s="468"/>
      <c r="AI205" s="468"/>
      <c r="AJ205" s="468"/>
      <c r="AK205" s="468"/>
      <c r="AL205" s="468"/>
      <c r="AM205" s="468"/>
      <c r="AN205" s="468"/>
      <c r="AO205" s="468"/>
      <c r="AP205" s="468"/>
      <c r="AQ205" s="468"/>
      <c r="AR205" s="468"/>
      <c r="AS205" s="468"/>
      <c r="AT205" s="468"/>
      <c r="AU205" s="468"/>
      <c r="AV205" s="468"/>
      <c r="AW205" s="468"/>
      <c r="AX205" s="468"/>
      <c r="AY205" s="468"/>
      <c r="AZ205" s="468"/>
      <c r="BA205" s="468"/>
      <c r="BB205" s="468"/>
    </row>
    <row r="206" spans="1:55">
      <c r="A206" s="463" t="s">
        <v>272</v>
      </c>
      <c r="B206" s="78" t="s">
        <v>248</v>
      </c>
      <c r="C206" s="103" t="s">
        <v>1</v>
      </c>
      <c r="D206" s="83">
        <v>2022</v>
      </c>
      <c r="E206" s="83">
        <v>2023</v>
      </c>
      <c r="F206" s="83">
        <v>2024</v>
      </c>
      <c r="G206" s="83">
        <v>2025</v>
      </c>
      <c r="H206" s="83">
        <v>2026</v>
      </c>
      <c r="I206" s="83">
        <v>2027</v>
      </c>
      <c r="J206" s="83">
        <v>2028</v>
      </c>
      <c r="K206" s="83">
        <v>2029</v>
      </c>
      <c r="L206" s="84">
        <v>2030</v>
      </c>
      <c r="M206" s="217">
        <v>2031</v>
      </c>
      <c r="N206" s="217">
        <v>2032</v>
      </c>
      <c r="O206" s="217">
        <v>2033</v>
      </c>
      <c r="P206" s="217">
        <v>2034</v>
      </c>
      <c r="Q206" s="217">
        <v>2035</v>
      </c>
      <c r="R206" s="217">
        <v>2036</v>
      </c>
      <c r="S206" s="217">
        <v>2037</v>
      </c>
      <c r="T206" s="217">
        <v>2038</v>
      </c>
      <c r="U206" s="218">
        <v>2039</v>
      </c>
      <c r="V206" s="217">
        <v>2040</v>
      </c>
      <c r="W206" s="217">
        <v>2041</v>
      </c>
      <c r="X206" s="217">
        <v>2042</v>
      </c>
      <c r="Y206" s="217">
        <v>2043</v>
      </c>
      <c r="Z206" s="217">
        <v>2044</v>
      </c>
      <c r="AA206" s="217">
        <v>2045</v>
      </c>
      <c r="AB206" s="218">
        <v>2046</v>
      </c>
      <c r="AD206" s="10">
        <v>2022</v>
      </c>
      <c r="AE206" s="10">
        <v>2023</v>
      </c>
      <c r="AF206" s="10">
        <v>2024</v>
      </c>
      <c r="AG206" s="10">
        <v>2025</v>
      </c>
      <c r="AH206" s="10">
        <v>2026</v>
      </c>
      <c r="AI206" s="10">
        <v>2027</v>
      </c>
      <c r="AJ206" s="10">
        <v>2028</v>
      </c>
      <c r="AK206" s="10">
        <v>2029</v>
      </c>
      <c r="AL206" s="10">
        <v>2030</v>
      </c>
      <c r="AM206" s="10">
        <v>2031</v>
      </c>
      <c r="AN206" s="10">
        <v>2032</v>
      </c>
      <c r="AO206" s="10">
        <v>2033</v>
      </c>
      <c r="AP206" s="10">
        <v>2034</v>
      </c>
      <c r="AQ206" s="10">
        <v>2035</v>
      </c>
      <c r="AR206" s="10">
        <v>2036</v>
      </c>
      <c r="AS206" s="10">
        <v>2037</v>
      </c>
      <c r="AT206" s="10">
        <v>2038</v>
      </c>
      <c r="AU206" s="10">
        <v>2039</v>
      </c>
      <c r="AV206" s="10">
        <v>2040</v>
      </c>
      <c r="AW206" s="10">
        <v>2041</v>
      </c>
      <c r="AX206" s="10">
        <v>2042</v>
      </c>
      <c r="AY206" s="10">
        <v>2043</v>
      </c>
      <c r="AZ206" s="10">
        <v>2044</v>
      </c>
      <c r="BA206" s="10">
        <v>2045</v>
      </c>
      <c r="BB206" s="10">
        <v>2046</v>
      </c>
    </row>
    <row r="207" spans="1:55">
      <c r="A207" s="464"/>
      <c r="B207" s="2" t="s">
        <v>249</v>
      </c>
      <c r="C207" s="95" t="s">
        <v>65</v>
      </c>
      <c r="D207" s="175">
        <f>(D$113+D$122+D$123)*'Petrol Refining NOx by AB'!E323</f>
        <v>0</v>
      </c>
      <c r="E207" s="175">
        <f>(E$113+E$122+E$123)*'Petrol Refining NOx by AB'!F323</f>
        <v>0</v>
      </c>
      <c r="F207" s="175">
        <f>(F$113+F$122+F$123)*'Petrol Refining NOx by AB'!G323</f>
        <v>0</v>
      </c>
      <c r="G207" s="175">
        <f>(G$113+G$122+G$123)*'Petrol Refining NOx by AB'!H323</f>
        <v>0</v>
      </c>
      <c r="H207" s="175">
        <f>(H$113+H$122+H$123)*'Petrol Refining NOx by AB'!I323</f>
        <v>0</v>
      </c>
      <c r="I207" s="175">
        <f>(I$113+I$122+I$123)*'Petrol Refining NOx by AB'!J323</f>
        <v>0</v>
      </c>
      <c r="J207" s="175">
        <f>(J$113+J$122+J$123)*'Petrol Refining NOx by AB'!K323</f>
        <v>0</v>
      </c>
      <c r="K207" s="175">
        <f>(K$113+K$122+K$123)*'Petrol Refining NOx by AB'!L323</f>
        <v>0</v>
      </c>
      <c r="L207" s="175">
        <f>(L$113+L$122+L$123)*'Petrol Refining NOx by AB'!M323</f>
        <v>0</v>
      </c>
      <c r="M207" s="175">
        <f>(M$113+M$122+M$123)*'Petrol Refining NOx by AB'!N323</f>
        <v>0</v>
      </c>
      <c r="N207" s="175">
        <f>(N$113+N$122+N$123)*'Petrol Refining NOx by AB'!O323</f>
        <v>0</v>
      </c>
      <c r="O207" s="175">
        <f>(O$113+O$122+O$123)*'Petrol Refining NOx by AB'!P323</f>
        <v>0</v>
      </c>
      <c r="P207" s="175">
        <f>(P$113+P$122+P$123)*'Petrol Refining NOx by AB'!Q323</f>
        <v>0</v>
      </c>
      <c r="Q207" s="175">
        <f>(Q$113+Q$122+Q$123)*'Petrol Refining NOx by AB'!R323</f>
        <v>0</v>
      </c>
      <c r="R207" s="175">
        <f>(R$113+R$122+R$123)*'Petrol Refining NOx by AB'!S323</f>
        <v>0</v>
      </c>
      <c r="S207" s="175">
        <f>(S$113+S$122+S$123)*'Petrol Refining NOx by AB'!T323</f>
        <v>0</v>
      </c>
      <c r="T207" s="175">
        <f>(T$113+T$122+T$123)*'Petrol Refining NOx by AB'!U323</f>
        <v>0</v>
      </c>
      <c r="U207" s="175">
        <f>(U$113+U$122+U$123)*'Petrol Refining NOx by AB'!V323</f>
        <v>0</v>
      </c>
      <c r="V207" s="175">
        <f>(V$113+V$122+V$123)*'Petrol Refining NOx by AB'!W323</f>
        <v>0</v>
      </c>
      <c r="W207" s="175">
        <f>(W$113+W$122+W$123)*'Petrol Refining NOx by AB'!X323</f>
        <v>0</v>
      </c>
      <c r="X207" s="175">
        <f>(X$113+X$122+X$123)*'Petrol Refining NOx by AB'!Y323</f>
        <v>0</v>
      </c>
      <c r="Y207" s="175">
        <f>(Y$113+Y$122+Y$123)*'Petrol Refining NOx by AB'!Z323</f>
        <v>0</v>
      </c>
      <c r="Z207" s="175">
        <f>(Z$113+Z$122+Z$123)*'Petrol Refining NOx by AB'!AA323</f>
        <v>0</v>
      </c>
      <c r="AA207" s="175">
        <f>(AA$113+AA$122+AA$123)*'Petrol Refining NOx by AB'!AB323</f>
        <v>0</v>
      </c>
      <c r="AB207" s="175">
        <f>(AB$113+AB$122+AB$123)*'Petrol Refining NOx by AB'!AC323</f>
        <v>0</v>
      </c>
      <c r="AD207" s="418">
        <f>(D$141+D$151)*'Petrol Refining PM2.5 by AB'!B26</f>
        <v>0</v>
      </c>
      <c r="AE207" s="418">
        <f>(E$141+E$151)*'Petrol Refining PM2.5 by AB'!C26</f>
        <v>0</v>
      </c>
      <c r="AF207" s="418">
        <f>(F$141+F$151)*'Petrol Refining PM2.5 by AB'!D26</f>
        <v>0</v>
      </c>
      <c r="AG207" s="418">
        <f>(G$141+G$151)*'Petrol Refining PM2.5 by AB'!E26</f>
        <v>0</v>
      </c>
      <c r="AH207" s="418">
        <f>(H$141+H$151)*'Petrol Refining PM2.5 by AB'!F26</f>
        <v>0</v>
      </c>
      <c r="AI207" s="418">
        <f>(I$141+I$151)*'Petrol Refining PM2.5 by AB'!G26</f>
        <v>0</v>
      </c>
      <c r="AJ207" s="418">
        <f>(J$141+J$151)*'Petrol Refining PM2.5 by AB'!H26</f>
        <v>0</v>
      </c>
      <c r="AK207" s="418">
        <f>(K$141+K$151)*'Petrol Refining PM2.5 by AB'!I26</f>
        <v>0</v>
      </c>
      <c r="AL207" s="418">
        <f>(L$141+L$151)*'Petrol Refining PM2.5 by AB'!J26</f>
        <v>0</v>
      </c>
      <c r="AM207" s="418">
        <f>(M$141+M$151)*'Petrol Refining PM2.5 by AB'!K26</f>
        <v>0</v>
      </c>
      <c r="AN207" s="418">
        <f>(N$141+N$151)*'Petrol Refining PM2.5 by AB'!L26</f>
        <v>0</v>
      </c>
      <c r="AO207" s="418">
        <f>(O$141+O$151)*'Petrol Refining PM2.5 by AB'!M26</f>
        <v>0</v>
      </c>
      <c r="AP207" s="418">
        <f>(P$141+P$151)*'Petrol Refining PM2.5 by AB'!N26</f>
        <v>0</v>
      </c>
      <c r="AQ207" s="418">
        <f>(Q$141+Q$151)*'Petrol Refining PM2.5 by AB'!O26</f>
        <v>0</v>
      </c>
      <c r="AR207" s="418">
        <f>(R$141+R$151)*'Petrol Refining PM2.5 by AB'!P26</f>
        <v>0</v>
      </c>
      <c r="AS207" s="418">
        <f>(S$141+S$151)*'Petrol Refining PM2.5 by AB'!Q26</f>
        <v>0</v>
      </c>
      <c r="AT207" s="418">
        <f>(T$141+T$151)*'Petrol Refining PM2.5 by AB'!R26</f>
        <v>0</v>
      </c>
      <c r="AU207" s="418">
        <f>(U$141+U$151)*'Petrol Refining PM2.5 by AB'!S26</f>
        <v>0</v>
      </c>
      <c r="AV207" s="418">
        <f>(V$141+V$151)*'Petrol Refining PM2.5 by AB'!T26</f>
        <v>0</v>
      </c>
      <c r="AW207" s="418">
        <f>(W$141+W$151)*'Petrol Refining PM2.5 by AB'!U26</f>
        <v>0</v>
      </c>
      <c r="AX207" s="418">
        <f>(X$141+X$151)*'Petrol Refining PM2.5 by AB'!V26</f>
        <v>0</v>
      </c>
      <c r="AY207" s="418">
        <f>(Y$141+Y$151)*'Petrol Refining PM2.5 by AB'!W26</f>
        <v>0</v>
      </c>
      <c r="AZ207" s="418">
        <f>(Z$141+Z$151)*'Petrol Refining PM2.5 by AB'!X26</f>
        <v>0</v>
      </c>
      <c r="BA207" s="418">
        <f>(AA$141+AA$151)*'Petrol Refining PM2.5 by AB'!Y26</f>
        <v>0</v>
      </c>
      <c r="BB207" s="418">
        <f>(AB$141+AB$151)*'Petrol Refining PM2.5 by AB'!Z26</f>
        <v>0</v>
      </c>
      <c r="BC207" s="105" t="s">
        <v>273</v>
      </c>
    </row>
    <row r="208" spans="1:55">
      <c r="A208" s="464"/>
      <c r="B208" s="2" t="s">
        <v>251</v>
      </c>
      <c r="C208" s="53" t="s">
        <v>65</v>
      </c>
      <c r="D208" s="175">
        <f>(D$113+D$122+D$123)*'Petrol Refining NOx by AB'!E324</f>
        <v>0</v>
      </c>
      <c r="E208" s="175">
        <f>(E$113+E$122+E$123)*'Petrol Refining NOx by AB'!F324</f>
        <v>0</v>
      </c>
      <c r="F208" s="175">
        <f>(F$113+F$122+F$123)*'Petrol Refining NOx by AB'!G324</f>
        <v>0</v>
      </c>
      <c r="G208" s="175">
        <f>(G$113+G$122+G$123)*'Petrol Refining NOx by AB'!H324</f>
        <v>0</v>
      </c>
      <c r="H208" s="175">
        <f>(H$113+H$122+H$123)*'Petrol Refining NOx by AB'!I324</f>
        <v>0</v>
      </c>
      <c r="I208" s="175">
        <f>(I$113+I$122+I$123)*'Petrol Refining NOx by AB'!J324</f>
        <v>0</v>
      </c>
      <c r="J208" s="175">
        <f>(J$113+J$122+J$123)*'Petrol Refining NOx by AB'!K324</f>
        <v>0</v>
      </c>
      <c r="K208" s="175">
        <f>(K$113+K$122+K$123)*'Petrol Refining NOx by AB'!L324</f>
        <v>0</v>
      </c>
      <c r="L208" s="175">
        <f>(L$113+L$122+L$123)*'Petrol Refining NOx by AB'!M324</f>
        <v>0</v>
      </c>
      <c r="M208" s="175">
        <f>(M$113+M$122+M$123)*'Petrol Refining NOx by AB'!N324</f>
        <v>0</v>
      </c>
      <c r="N208" s="175">
        <f>(N$113+N$122+N$123)*'Petrol Refining NOx by AB'!O324</f>
        <v>0</v>
      </c>
      <c r="O208" s="175">
        <f>(O$113+O$122+O$123)*'Petrol Refining NOx by AB'!P324</f>
        <v>0</v>
      </c>
      <c r="P208" s="175">
        <f>(P$113+P$122+P$123)*'Petrol Refining NOx by AB'!Q324</f>
        <v>0</v>
      </c>
      <c r="Q208" s="175">
        <f>(Q$113+Q$122+Q$123)*'Petrol Refining NOx by AB'!R324</f>
        <v>0</v>
      </c>
      <c r="R208" s="175">
        <f>(R$113+R$122+R$123)*'Petrol Refining NOx by AB'!S324</f>
        <v>0</v>
      </c>
      <c r="S208" s="175">
        <f>(S$113+S$122+S$123)*'Petrol Refining NOx by AB'!T324</f>
        <v>0</v>
      </c>
      <c r="T208" s="175">
        <f>(T$113+T$122+T$123)*'Petrol Refining NOx by AB'!U324</f>
        <v>0</v>
      </c>
      <c r="U208" s="175">
        <f>(U$113+U$122+U$123)*'Petrol Refining NOx by AB'!V324</f>
        <v>0</v>
      </c>
      <c r="V208" s="175">
        <f>(V$113+V$122+V$123)*'Petrol Refining NOx by AB'!W324</f>
        <v>0</v>
      </c>
      <c r="W208" s="175">
        <f>(W$113+W$122+W$123)*'Petrol Refining NOx by AB'!X324</f>
        <v>0</v>
      </c>
      <c r="X208" s="175">
        <f>(X$113+X$122+X$123)*'Petrol Refining NOx by AB'!Y324</f>
        <v>0</v>
      </c>
      <c r="Y208" s="175">
        <f>(Y$113+Y$122+Y$123)*'Petrol Refining NOx by AB'!Z324</f>
        <v>0</v>
      </c>
      <c r="Z208" s="175">
        <f>(Z$113+Z$122+Z$123)*'Petrol Refining NOx by AB'!AA324</f>
        <v>0</v>
      </c>
      <c r="AA208" s="175">
        <f>(AA$113+AA$122+AA$123)*'Petrol Refining NOx by AB'!AB324</f>
        <v>0</v>
      </c>
      <c r="AB208" s="175">
        <f>(AB$113+AB$122+AB$123)*'Petrol Refining NOx by AB'!AC324</f>
        <v>0</v>
      </c>
      <c r="AD208" s="418">
        <f>(D$141+D$151)*'Petrol Refining PM2.5 by AB'!B27</f>
        <v>0</v>
      </c>
      <c r="AE208" s="418">
        <f>(E$141+E$151)*'Petrol Refining PM2.5 by AB'!C27</f>
        <v>0</v>
      </c>
      <c r="AF208" s="418">
        <f>(F$141+F$151)*'Petrol Refining PM2.5 by AB'!D27</f>
        <v>0</v>
      </c>
      <c r="AG208" s="418">
        <f>(G$141+G$151)*'Petrol Refining PM2.5 by AB'!E27</f>
        <v>0</v>
      </c>
      <c r="AH208" s="418">
        <f>(H$141+H$151)*'Petrol Refining PM2.5 by AB'!F27</f>
        <v>0</v>
      </c>
      <c r="AI208" s="418">
        <f>(I$141+I$151)*'Petrol Refining PM2.5 by AB'!G27</f>
        <v>0</v>
      </c>
      <c r="AJ208" s="418">
        <f>(J$141+J$151)*'Petrol Refining PM2.5 by AB'!H27</f>
        <v>0</v>
      </c>
      <c r="AK208" s="418">
        <f>(K$141+K$151)*'Petrol Refining PM2.5 by AB'!I27</f>
        <v>0</v>
      </c>
      <c r="AL208" s="418">
        <f>(L$141+L$151)*'Petrol Refining PM2.5 by AB'!J27</f>
        <v>0</v>
      </c>
      <c r="AM208" s="418">
        <f>(M$141+M$151)*'Petrol Refining PM2.5 by AB'!K27</f>
        <v>0</v>
      </c>
      <c r="AN208" s="418">
        <f>(N$141+N$151)*'Petrol Refining PM2.5 by AB'!L27</f>
        <v>0</v>
      </c>
      <c r="AO208" s="418">
        <f>(O$141+O$151)*'Petrol Refining PM2.5 by AB'!M27</f>
        <v>0</v>
      </c>
      <c r="AP208" s="418">
        <f>(P$141+P$151)*'Petrol Refining PM2.5 by AB'!N27</f>
        <v>0</v>
      </c>
      <c r="AQ208" s="418">
        <f>(Q$141+Q$151)*'Petrol Refining PM2.5 by AB'!O27</f>
        <v>0</v>
      </c>
      <c r="AR208" s="418">
        <f>(R$141+R$151)*'Petrol Refining PM2.5 by AB'!P27</f>
        <v>0</v>
      </c>
      <c r="AS208" s="418">
        <f>(S$141+S$151)*'Petrol Refining PM2.5 by AB'!Q27</f>
        <v>0</v>
      </c>
      <c r="AT208" s="418">
        <f>(T$141+T$151)*'Petrol Refining PM2.5 by AB'!R27</f>
        <v>0</v>
      </c>
      <c r="AU208" s="418">
        <f>(U$141+U$151)*'Petrol Refining PM2.5 by AB'!S27</f>
        <v>0</v>
      </c>
      <c r="AV208" s="418">
        <f>(V$141+V$151)*'Petrol Refining PM2.5 by AB'!T27</f>
        <v>0</v>
      </c>
      <c r="AW208" s="418">
        <f>(W$141+W$151)*'Petrol Refining PM2.5 by AB'!U27</f>
        <v>0</v>
      </c>
      <c r="AX208" s="418">
        <f>(X$141+X$151)*'Petrol Refining PM2.5 by AB'!V27</f>
        <v>0</v>
      </c>
      <c r="AY208" s="418">
        <f>(Y$141+Y$151)*'Petrol Refining PM2.5 by AB'!W27</f>
        <v>0</v>
      </c>
      <c r="AZ208" s="418">
        <f>(Z$141+Z$151)*'Petrol Refining PM2.5 by AB'!X27</f>
        <v>0</v>
      </c>
      <c r="BA208" s="418">
        <f>(AA$141+AA$151)*'Petrol Refining PM2.5 by AB'!Y27</f>
        <v>0</v>
      </c>
      <c r="BB208" s="418">
        <f>(AB$141+AB$151)*'Petrol Refining PM2.5 by AB'!Z27</f>
        <v>0</v>
      </c>
      <c r="BC208" s="105" t="s">
        <v>252</v>
      </c>
    </row>
    <row r="209" spans="1:55">
      <c r="A209" s="464"/>
      <c r="B209" s="2" t="s">
        <v>253</v>
      </c>
      <c r="C209" s="53" t="s">
        <v>65</v>
      </c>
      <c r="D209" s="175">
        <f>(D$113+D$122+D$123)*'Petrol Refining NOx by AB'!E325</f>
        <v>0</v>
      </c>
      <c r="E209" s="175">
        <f>(E$113+E$122+E$123)*'Petrol Refining NOx by AB'!F325</f>
        <v>0</v>
      </c>
      <c r="F209" s="175">
        <f>(F$113+F$122+F$123)*'Petrol Refining NOx by AB'!G325</f>
        <v>0</v>
      </c>
      <c r="G209" s="175">
        <f>(G$113+G$122+G$123)*'Petrol Refining NOx by AB'!H325</f>
        <v>0</v>
      </c>
      <c r="H209" s="175">
        <f>(H$113+H$122+H$123)*'Petrol Refining NOx by AB'!I325</f>
        <v>0</v>
      </c>
      <c r="I209" s="175">
        <f>(I$113+I$122+I$123)*'Petrol Refining NOx by AB'!J325</f>
        <v>0</v>
      </c>
      <c r="J209" s="175">
        <f>(J$113+J$122+J$123)*'Petrol Refining NOx by AB'!K325</f>
        <v>0</v>
      </c>
      <c r="K209" s="175">
        <f>(K$113+K$122+K$123)*'Petrol Refining NOx by AB'!L325</f>
        <v>0</v>
      </c>
      <c r="L209" s="175">
        <f>(L$113+L$122+L$123)*'Petrol Refining NOx by AB'!M325</f>
        <v>0</v>
      </c>
      <c r="M209" s="175">
        <f>(M$113+M$122+M$123)*'Petrol Refining NOx by AB'!N325</f>
        <v>0</v>
      </c>
      <c r="N209" s="175">
        <f>(N$113+N$122+N$123)*'Petrol Refining NOx by AB'!O325</f>
        <v>0</v>
      </c>
      <c r="O209" s="175">
        <f>(O$113+O$122+O$123)*'Petrol Refining NOx by AB'!P325</f>
        <v>0</v>
      </c>
      <c r="P209" s="175">
        <f>(P$113+P$122+P$123)*'Petrol Refining NOx by AB'!Q325</f>
        <v>0</v>
      </c>
      <c r="Q209" s="175">
        <f>(Q$113+Q$122+Q$123)*'Petrol Refining NOx by AB'!R325</f>
        <v>0</v>
      </c>
      <c r="R209" s="175">
        <f>(R$113+R$122+R$123)*'Petrol Refining NOx by AB'!S325</f>
        <v>0</v>
      </c>
      <c r="S209" s="175">
        <f>(S$113+S$122+S$123)*'Petrol Refining NOx by AB'!T325</f>
        <v>0</v>
      </c>
      <c r="T209" s="175">
        <f>(T$113+T$122+T$123)*'Petrol Refining NOx by AB'!U325</f>
        <v>0</v>
      </c>
      <c r="U209" s="175">
        <f>(U$113+U$122+U$123)*'Petrol Refining NOx by AB'!V325</f>
        <v>0</v>
      </c>
      <c r="V209" s="175">
        <f>(V$113+V$122+V$123)*'Petrol Refining NOx by AB'!W325</f>
        <v>0</v>
      </c>
      <c r="W209" s="175">
        <f>(W$113+W$122+W$123)*'Petrol Refining NOx by AB'!X325</f>
        <v>0</v>
      </c>
      <c r="X209" s="175">
        <f>(X$113+X$122+X$123)*'Petrol Refining NOx by AB'!Y325</f>
        <v>0</v>
      </c>
      <c r="Y209" s="175">
        <f>(Y$113+Y$122+Y$123)*'Petrol Refining NOx by AB'!Z325</f>
        <v>0</v>
      </c>
      <c r="Z209" s="175">
        <f>(Z$113+Z$122+Z$123)*'Petrol Refining NOx by AB'!AA325</f>
        <v>0</v>
      </c>
      <c r="AA209" s="175">
        <f>(AA$113+AA$122+AA$123)*'Petrol Refining NOx by AB'!AB325</f>
        <v>0</v>
      </c>
      <c r="AB209" s="175">
        <f>(AB$113+AB$122+AB$123)*'Petrol Refining NOx by AB'!AC325</f>
        <v>0</v>
      </c>
      <c r="AD209" s="418">
        <f>(D$141+D$151)*'Petrol Refining PM2.5 by AB'!B28</f>
        <v>0</v>
      </c>
      <c r="AE209" s="418">
        <f>(E$141+E$151)*'Petrol Refining PM2.5 by AB'!C28</f>
        <v>0</v>
      </c>
      <c r="AF209" s="418">
        <f>(F$141+F$151)*'Petrol Refining PM2.5 by AB'!D28</f>
        <v>0</v>
      </c>
      <c r="AG209" s="418">
        <f>(G$141+G$151)*'Petrol Refining PM2.5 by AB'!E28</f>
        <v>0</v>
      </c>
      <c r="AH209" s="418">
        <f>(H$141+H$151)*'Petrol Refining PM2.5 by AB'!F28</f>
        <v>0</v>
      </c>
      <c r="AI209" s="418">
        <f>(I$141+I$151)*'Petrol Refining PM2.5 by AB'!G28</f>
        <v>0</v>
      </c>
      <c r="AJ209" s="418">
        <f>(J$141+J$151)*'Petrol Refining PM2.5 by AB'!H28</f>
        <v>0</v>
      </c>
      <c r="AK209" s="418">
        <f>(K$141+K$151)*'Petrol Refining PM2.5 by AB'!I28</f>
        <v>0</v>
      </c>
      <c r="AL209" s="418">
        <f>(L$141+L$151)*'Petrol Refining PM2.5 by AB'!J28</f>
        <v>0</v>
      </c>
      <c r="AM209" s="418">
        <f>(M$141+M$151)*'Petrol Refining PM2.5 by AB'!K28</f>
        <v>0</v>
      </c>
      <c r="AN209" s="418">
        <f>(N$141+N$151)*'Petrol Refining PM2.5 by AB'!L28</f>
        <v>0</v>
      </c>
      <c r="AO209" s="418">
        <f>(O$141+O$151)*'Petrol Refining PM2.5 by AB'!M28</f>
        <v>0</v>
      </c>
      <c r="AP209" s="418">
        <f>(P$141+P$151)*'Petrol Refining PM2.5 by AB'!N28</f>
        <v>0</v>
      </c>
      <c r="AQ209" s="418">
        <f>(Q$141+Q$151)*'Petrol Refining PM2.5 by AB'!O28</f>
        <v>0</v>
      </c>
      <c r="AR209" s="418">
        <f>(R$141+R$151)*'Petrol Refining PM2.5 by AB'!P28</f>
        <v>0</v>
      </c>
      <c r="AS209" s="418">
        <f>(S$141+S$151)*'Petrol Refining PM2.5 by AB'!Q28</f>
        <v>0</v>
      </c>
      <c r="AT209" s="418">
        <f>(T$141+T$151)*'Petrol Refining PM2.5 by AB'!R28</f>
        <v>0</v>
      </c>
      <c r="AU209" s="418">
        <f>(U$141+U$151)*'Petrol Refining PM2.5 by AB'!S28</f>
        <v>0</v>
      </c>
      <c r="AV209" s="418">
        <f>(V$141+V$151)*'Petrol Refining PM2.5 by AB'!T28</f>
        <v>0</v>
      </c>
      <c r="AW209" s="418">
        <f>(W$141+W$151)*'Petrol Refining PM2.5 by AB'!U28</f>
        <v>0</v>
      </c>
      <c r="AX209" s="418">
        <f>(X$141+X$151)*'Petrol Refining PM2.5 by AB'!V28</f>
        <v>0</v>
      </c>
      <c r="AY209" s="418">
        <f>(Y$141+Y$151)*'Petrol Refining PM2.5 by AB'!W28</f>
        <v>0</v>
      </c>
      <c r="AZ209" s="418">
        <f>(Z$141+Z$151)*'Petrol Refining PM2.5 by AB'!X28</f>
        <v>0</v>
      </c>
      <c r="BA209" s="418">
        <f>(AA$141+AA$151)*'Petrol Refining PM2.5 by AB'!Y28</f>
        <v>0</v>
      </c>
      <c r="BB209" s="418">
        <f>(AB$141+AB$151)*'Petrol Refining PM2.5 by AB'!Z28</f>
        <v>0</v>
      </c>
      <c r="BC209" s="105" t="s">
        <v>254</v>
      </c>
    </row>
    <row r="210" spans="1:55">
      <c r="A210" s="464"/>
      <c r="B210" s="2" t="s">
        <v>255</v>
      </c>
      <c r="C210" s="53" t="s">
        <v>65</v>
      </c>
      <c r="D210" s="175">
        <f>(D$113+D$122+D$123)*'Petrol Refining NOx by AB'!E326</f>
        <v>0</v>
      </c>
      <c r="E210" s="175">
        <f>(E$113+E$122+E$123)*'Petrol Refining NOx by AB'!F326</f>
        <v>0</v>
      </c>
      <c r="F210" s="175">
        <f>(F$113+F$122+F$123)*'Petrol Refining NOx by AB'!G326</f>
        <v>0</v>
      </c>
      <c r="G210" s="175">
        <f>(G$113+G$122+G$123)*'Petrol Refining NOx by AB'!H326</f>
        <v>0</v>
      </c>
      <c r="H210" s="175">
        <f>(H$113+H$122+H$123)*'Petrol Refining NOx by AB'!I326</f>
        <v>0</v>
      </c>
      <c r="I210" s="175">
        <f>(I$113+I$122+I$123)*'Petrol Refining NOx by AB'!J326</f>
        <v>0</v>
      </c>
      <c r="J210" s="175">
        <f>(J$113+J$122+J$123)*'Petrol Refining NOx by AB'!K326</f>
        <v>0</v>
      </c>
      <c r="K210" s="175">
        <f>(K$113+K$122+K$123)*'Petrol Refining NOx by AB'!L326</f>
        <v>0</v>
      </c>
      <c r="L210" s="175">
        <f>(L$113+L$122+L$123)*'Petrol Refining NOx by AB'!M326</f>
        <v>0</v>
      </c>
      <c r="M210" s="175">
        <f>(M$113+M$122+M$123)*'Petrol Refining NOx by AB'!N326</f>
        <v>0</v>
      </c>
      <c r="N210" s="175">
        <f>(N$113+N$122+N$123)*'Petrol Refining NOx by AB'!O326</f>
        <v>0</v>
      </c>
      <c r="O210" s="175">
        <f>(O$113+O$122+O$123)*'Petrol Refining NOx by AB'!P326</f>
        <v>0</v>
      </c>
      <c r="P210" s="175">
        <f>(P$113+P$122+P$123)*'Petrol Refining NOx by AB'!Q326</f>
        <v>0</v>
      </c>
      <c r="Q210" s="175">
        <f>(Q$113+Q$122+Q$123)*'Petrol Refining NOx by AB'!R326</f>
        <v>0</v>
      </c>
      <c r="R210" s="175">
        <f>(R$113+R$122+R$123)*'Petrol Refining NOx by AB'!S326</f>
        <v>0</v>
      </c>
      <c r="S210" s="175">
        <f>(S$113+S$122+S$123)*'Petrol Refining NOx by AB'!T326</f>
        <v>0</v>
      </c>
      <c r="T210" s="175">
        <f>(T$113+T$122+T$123)*'Petrol Refining NOx by AB'!U326</f>
        <v>0</v>
      </c>
      <c r="U210" s="175">
        <f>(U$113+U$122+U$123)*'Petrol Refining NOx by AB'!V326</f>
        <v>0</v>
      </c>
      <c r="V210" s="175">
        <f>(V$113+V$122+V$123)*'Petrol Refining NOx by AB'!W326</f>
        <v>0</v>
      </c>
      <c r="W210" s="175">
        <f>(W$113+W$122+W$123)*'Petrol Refining NOx by AB'!X326</f>
        <v>0</v>
      </c>
      <c r="X210" s="175">
        <f>(X$113+X$122+X$123)*'Petrol Refining NOx by AB'!Y326</f>
        <v>0</v>
      </c>
      <c r="Y210" s="175">
        <f>(Y$113+Y$122+Y$123)*'Petrol Refining NOx by AB'!Z326</f>
        <v>0</v>
      </c>
      <c r="Z210" s="175">
        <f>(Z$113+Z$122+Z$123)*'Petrol Refining NOx by AB'!AA326</f>
        <v>0</v>
      </c>
      <c r="AA210" s="175">
        <f>(AA$113+AA$122+AA$123)*'Petrol Refining NOx by AB'!AB326</f>
        <v>0</v>
      </c>
      <c r="AB210" s="175">
        <f>(AB$113+AB$122+AB$123)*'Petrol Refining NOx by AB'!AC326</f>
        <v>0</v>
      </c>
      <c r="AD210" s="418">
        <f>(D$141+D$151)*'Petrol Refining PM2.5 by AB'!B29</f>
        <v>0</v>
      </c>
      <c r="AE210" s="418">
        <f>(E$141+E$151)*'Petrol Refining PM2.5 by AB'!C29</f>
        <v>0</v>
      </c>
      <c r="AF210" s="418">
        <f>(F$141+F$151)*'Petrol Refining PM2.5 by AB'!D29</f>
        <v>0</v>
      </c>
      <c r="AG210" s="418">
        <f>(G$141+G$151)*'Petrol Refining PM2.5 by AB'!E29</f>
        <v>0</v>
      </c>
      <c r="AH210" s="418">
        <f>(H$141+H$151)*'Petrol Refining PM2.5 by AB'!F29</f>
        <v>0</v>
      </c>
      <c r="AI210" s="418">
        <f>(I$141+I$151)*'Petrol Refining PM2.5 by AB'!G29</f>
        <v>0</v>
      </c>
      <c r="AJ210" s="418">
        <f>(J$141+J$151)*'Petrol Refining PM2.5 by AB'!H29</f>
        <v>0</v>
      </c>
      <c r="AK210" s="418">
        <f>(K$141+K$151)*'Petrol Refining PM2.5 by AB'!I29</f>
        <v>0</v>
      </c>
      <c r="AL210" s="418">
        <f>(L$141+L$151)*'Petrol Refining PM2.5 by AB'!J29</f>
        <v>0</v>
      </c>
      <c r="AM210" s="418">
        <f>(M$141+M$151)*'Petrol Refining PM2.5 by AB'!K29</f>
        <v>0</v>
      </c>
      <c r="AN210" s="418">
        <f>(N$141+N$151)*'Petrol Refining PM2.5 by AB'!L29</f>
        <v>0</v>
      </c>
      <c r="AO210" s="418">
        <f>(O$141+O$151)*'Petrol Refining PM2.5 by AB'!M29</f>
        <v>0</v>
      </c>
      <c r="AP210" s="418">
        <f>(P$141+P$151)*'Petrol Refining PM2.5 by AB'!N29</f>
        <v>0</v>
      </c>
      <c r="AQ210" s="418">
        <f>(Q$141+Q$151)*'Petrol Refining PM2.5 by AB'!O29</f>
        <v>0</v>
      </c>
      <c r="AR210" s="418">
        <f>(R$141+R$151)*'Petrol Refining PM2.5 by AB'!P29</f>
        <v>-7.9489075250494811E-5</v>
      </c>
      <c r="AS210" s="418">
        <f>(S$141+S$151)*'Petrol Refining PM2.5 by AB'!Q29</f>
        <v>-2.8277019389430567E-4</v>
      </c>
      <c r="AT210" s="418">
        <f>(T$141+T$151)*'Petrol Refining PM2.5 by AB'!R29</f>
        <v>-4.9065591918892842E-4</v>
      </c>
      <c r="AU210" s="418">
        <f>(U$141+U$151)*'Petrol Refining PM2.5 by AB'!S29</f>
        <v>-7.0282644795602962E-4</v>
      </c>
      <c r="AV210" s="418">
        <f>(V$141+V$151)*'Petrol Refining PM2.5 by AB'!T29</f>
        <v>-8.8721145509433694E-4</v>
      </c>
      <c r="AW210" s="418">
        <f>(W$141+W$151)*'Petrol Refining PM2.5 by AB'!U29</f>
        <v>-1.0845157425752149E-3</v>
      </c>
      <c r="AX210" s="418">
        <f>(X$141+X$151)*'Petrol Refining PM2.5 by AB'!V29</f>
        <v>-1.3088287534810741E-3</v>
      </c>
      <c r="AY210" s="418">
        <f>(Y$141+Y$151)*'Petrol Refining PM2.5 by AB'!W29</f>
        <v>-1.4272730234172475E-3</v>
      </c>
      <c r="AZ210" s="418">
        <f>(Z$141+Z$151)*'Petrol Refining PM2.5 by AB'!X29</f>
        <v>-1.5501614945717154E-3</v>
      </c>
      <c r="BA210" s="418">
        <f>(AA$141+AA$151)*'Petrol Refining PM2.5 by AB'!Y29</f>
        <v>-1.6727405453965045E-3</v>
      </c>
      <c r="BB210" s="418">
        <f>(AB$141+AB$151)*'Petrol Refining PM2.5 by AB'!Z29</f>
        <v>-1.8400952408267354E-3</v>
      </c>
    </row>
    <row r="211" spans="1:55">
      <c r="A211" s="464"/>
      <c r="B211" s="2" t="s">
        <v>256</v>
      </c>
      <c r="C211" s="53" t="s">
        <v>65</v>
      </c>
      <c r="D211" s="175">
        <f>(D$113+D$122+D$123)*'Petrol Refining NOx by AB'!E327</f>
        <v>0</v>
      </c>
      <c r="E211" s="175">
        <f>(E$113+E$122+E$123)*'Petrol Refining NOx by AB'!F327</f>
        <v>0</v>
      </c>
      <c r="F211" s="175">
        <f>(F$113+F$122+F$123)*'Petrol Refining NOx by AB'!G327</f>
        <v>0</v>
      </c>
      <c r="G211" s="175">
        <f>(G$113+G$122+G$123)*'Petrol Refining NOx by AB'!H327</f>
        <v>0</v>
      </c>
      <c r="H211" s="175">
        <f>(H$113+H$122+H$123)*'Petrol Refining NOx by AB'!I327</f>
        <v>0</v>
      </c>
      <c r="I211" s="175">
        <f>(I$113+I$122+I$123)*'Petrol Refining NOx by AB'!J327</f>
        <v>0</v>
      </c>
      <c r="J211" s="175">
        <f>(J$113+J$122+J$123)*'Petrol Refining NOx by AB'!K327</f>
        <v>0</v>
      </c>
      <c r="K211" s="175">
        <f>(K$113+K$122+K$123)*'Petrol Refining NOx by AB'!L327</f>
        <v>0</v>
      </c>
      <c r="L211" s="175">
        <f>(L$113+L$122+L$123)*'Petrol Refining NOx by AB'!M327</f>
        <v>0</v>
      </c>
      <c r="M211" s="175">
        <f>(M$113+M$122+M$123)*'Petrol Refining NOx by AB'!N327</f>
        <v>0</v>
      </c>
      <c r="N211" s="175">
        <f>(N$113+N$122+N$123)*'Petrol Refining NOx by AB'!O327</f>
        <v>0</v>
      </c>
      <c r="O211" s="175">
        <f>(O$113+O$122+O$123)*'Petrol Refining NOx by AB'!P327</f>
        <v>0</v>
      </c>
      <c r="P211" s="175">
        <f>(P$113+P$122+P$123)*'Petrol Refining NOx by AB'!Q327</f>
        <v>0</v>
      </c>
      <c r="Q211" s="175">
        <f>(Q$113+Q$122+Q$123)*'Petrol Refining NOx by AB'!R327</f>
        <v>0</v>
      </c>
      <c r="R211" s="175">
        <f>(R$113+R$122+R$123)*'Petrol Refining NOx by AB'!S327</f>
        <v>0</v>
      </c>
      <c r="S211" s="175">
        <f>(S$113+S$122+S$123)*'Petrol Refining NOx by AB'!T327</f>
        <v>0</v>
      </c>
      <c r="T211" s="175">
        <f>(T$113+T$122+T$123)*'Petrol Refining NOx by AB'!U327</f>
        <v>0</v>
      </c>
      <c r="U211" s="175">
        <f>(U$113+U$122+U$123)*'Petrol Refining NOx by AB'!V327</f>
        <v>0</v>
      </c>
      <c r="V211" s="175">
        <f>(V$113+V$122+V$123)*'Petrol Refining NOx by AB'!W327</f>
        <v>0</v>
      </c>
      <c r="W211" s="175">
        <f>(W$113+W$122+W$123)*'Petrol Refining NOx by AB'!X327</f>
        <v>0</v>
      </c>
      <c r="X211" s="175">
        <f>(X$113+X$122+X$123)*'Petrol Refining NOx by AB'!Y327</f>
        <v>0</v>
      </c>
      <c r="Y211" s="175">
        <f>(Y$113+Y$122+Y$123)*'Petrol Refining NOx by AB'!Z327</f>
        <v>0</v>
      </c>
      <c r="Z211" s="175">
        <f>(Z$113+Z$122+Z$123)*'Petrol Refining NOx by AB'!AA327</f>
        <v>0</v>
      </c>
      <c r="AA211" s="175">
        <f>(AA$113+AA$122+AA$123)*'Petrol Refining NOx by AB'!AB327</f>
        <v>0</v>
      </c>
      <c r="AB211" s="175">
        <f>(AB$113+AB$122+AB$123)*'Petrol Refining NOx by AB'!AC327</f>
        <v>0</v>
      </c>
      <c r="AD211" s="418">
        <f>(D$141+D$151)*'Petrol Refining PM2.5 by AB'!B30</f>
        <v>0</v>
      </c>
      <c r="AE211" s="418">
        <f>(E$141+E$151)*'Petrol Refining PM2.5 by AB'!C30</f>
        <v>0</v>
      </c>
      <c r="AF211" s="418">
        <f>(F$141+F$151)*'Petrol Refining PM2.5 by AB'!D30</f>
        <v>0</v>
      </c>
      <c r="AG211" s="418">
        <f>(G$141+G$151)*'Petrol Refining PM2.5 by AB'!E30</f>
        <v>0</v>
      </c>
      <c r="AH211" s="418">
        <f>(H$141+H$151)*'Petrol Refining PM2.5 by AB'!F30</f>
        <v>0</v>
      </c>
      <c r="AI211" s="418">
        <f>(I$141+I$151)*'Petrol Refining PM2.5 by AB'!G30</f>
        <v>0</v>
      </c>
      <c r="AJ211" s="418">
        <f>(J$141+J$151)*'Petrol Refining PM2.5 by AB'!H30</f>
        <v>0</v>
      </c>
      <c r="AK211" s="418">
        <f>(K$141+K$151)*'Petrol Refining PM2.5 by AB'!I30</f>
        <v>0</v>
      </c>
      <c r="AL211" s="418">
        <f>(L$141+L$151)*'Petrol Refining PM2.5 by AB'!J30</f>
        <v>0</v>
      </c>
      <c r="AM211" s="418">
        <f>(M$141+M$151)*'Petrol Refining PM2.5 by AB'!K30</f>
        <v>0</v>
      </c>
      <c r="AN211" s="418">
        <f>(N$141+N$151)*'Petrol Refining PM2.5 by AB'!L30</f>
        <v>0</v>
      </c>
      <c r="AO211" s="418">
        <f>(O$141+O$151)*'Petrol Refining PM2.5 by AB'!M30</f>
        <v>0</v>
      </c>
      <c r="AP211" s="418">
        <f>(P$141+P$151)*'Petrol Refining PM2.5 by AB'!N30</f>
        <v>0</v>
      </c>
      <c r="AQ211" s="418">
        <f>(Q$141+Q$151)*'Petrol Refining PM2.5 by AB'!O30</f>
        <v>0</v>
      </c>
      <c r="AR211" s="418">
        <f>(R$141+R$151)*'Petrol Refining PM2.5 by AB'!P30</f>
        <v>0</v>
      </c>
      <c r="AS211" s="418">
        <f>(S$141+S$151)*'Petrol Refining PM2.5 by AB'!Q30</f>
        <v>0</v>
      </c>
      <c r="AT211" s="418">
        <f>(T$141+T$151)*'Petrol Refining PM2.5 by AB'!R30</f>
        <v>0</v>
      </c>
      <c r="AU211" s="418">
        <f>(U$141+U$151)*'Petrol Refining PM2.5 by AB'!S30</f>
        <v>0</v>
      </c>
      <c r="AV211" s="418">
        <f>(V$141+V$151)*'Petrol Refining PM2.5 by AB'!T30</f>
        <v>0</v>
      </c>
      <c r="AW211" s="418">
        <f>(W$141+W$151)*'Petrol Refining PM2.5 by AB'!U30</f>
        <v>0</v>
      </c>
      <c r="AX211" s="418">
        <f>(X$141+X$151)*'Petrol Refining PM2.5 by AB'!V30</f>
        <v>0</v>
      </c>
      <c r="AY211" s="418">
        <f>(Y$141+Y$151)*'Petrol Refining PM2.5 by AB'!W30</f>
        <v>0</v>
      </c>
      <c r="AZ211" s="418">
        <f>(Z$141+Z$151)*'Petrol Refining PM2.5 by AB'!X30</f>
        <v>0</v>
      </c>
      <c r="BA211" s="418">
        <f>(AA$141+AA$151)*'Petrol Refining PM2.5 by AB'!Y30</f>
        <v>0</v>
      </c>
      <c r="BB211" s="418">
        <f>(AB$141+AB$151)*'Petrol Refining PM2.5 by AB'!Z30</f>
        <v>0</v>
      </c>
    </row>
    <row r="212" spans="1:55">
      <c r="A212" s="464"/>
      <c r="B212" s="2" t="s">
        <v>257</v>
      </c>
      <c r="C212" s="53" t="s">
        <v>65</v>
      </c>
      <c r="D212" s="175">
        <f>(D$113+D$122+D$123)*'Petrol Refining NOx by AB'!E328</f>
        <v>0</v>
      </c>
      <c r="E212" s="175">
        <f>(E$113+E$122+E$123)*'Petrol Refining NOx by AB'!F328</f>
        <v>0</v>
      </c>
      <c r="F212" s="175">
        <f>(F$113+F$122+F$123)*'Petrol Refining NOx by AB'!G328</f>
        <v>0</v>
      </c>
      <c r="G212" s="175">
        <f>(G$113+G$122+G$123)*'Petrol Refining NOx by AB'!H328</f>
        <v>0</v>
      </c>
      <c r="H212" s="175">
        <f>(H$113+H$122+H$123)*'Petrol Refining NOx by AB'!I328</f>
        <v>0</v>
      </c>
      <c r="I212" s="175">
        <f>(I$113+I$122+I$123)*'Petrol Refining NOx by AB'!J328</f>
        <v>0</v>
      </c>
      <c r="J212" s="175">
        <f>(J$113+J$122+J$123)*'Petrol Refining NOx by AB'!K328</f>
        <v>0</v>
      </c>
      <c r="K212" s="175">
        <f>(K$113+K$122+K$123)*'Petrol Refining NOx by AB'!L328</f>
        <v>0</v>
      </c>
      <c r="L212" s="175">
        <f>(L$113+L$122+L$123)*'Petrol Refining NOx by AB'!M328</f>
        <v>0</v>
      </c>
      <c r="M212" s="175">
        <f>(M$113+M$122+M$123)*'Petrol Refining NOx by AB'!N328</f>
        <v>0</v>
      </c>
      <c r="N212" s="175">
        <f>(N$113+N$122+N$123)*'Petrol Refining NOx by AB'!O328</f>
        <v>0</v>
      </c>
      <c r="O212" s="175">
        <f>(O$113+O$122+O$123)*'Petrol Refining NOx by AB'!P328</f>
        <v>0</v>
      </c>
      <c r="P212" s="175">
        <f>(P$113+P$122+P$123)*'Petrol Refining NOx by AB'!Q328</f>
        <v>0</v>
      </c>
      <c r="Q212" s="175">
        <f>(Q$113+Q$122+Q$123)*'Petrol Refining NOx by AB'!R328</f>
        <v>0</v>
      </c>
      <c r="R212" s="175">
        <f>(R$113+R$122+R$123)*'Petrol Refining NOx by AB'!S328</f>
        <v>0</v>
      </c>
      <c r="S212" s="175">
        <f>(S$113+S$122+S$123)*'Petrol Refining NOx by AB'!T328</f>
        <v>0</v>
      </c>
      <c r="T212" s="175">
        <f>(T$113+T$122+T$123)*'Petrol Refining NOx by AB'!U328</f>
        <v>0</v>
      </c>
      <c r="U212" s="175">
        <f>(U$113+U$122+U$123)*'Petrol Refining NOx by AB'!V328</f>
        <v>0</v>
      </c>
      <c r="V212" s="175">
        <f>(V$113+V$122+V$123)*'Petrol Refining NOx by AB'!W328</f>
        <v>0</v>
      </c>
      <c r="W212" s="175">
        <f>(W$113+W$122+W$123)*'Petrol Refining NOx by AB'!X328</f>
        <v>0</v>
      </c>
      <c r="X212" s="175">
        <f>(X$113+X$122+X$123)*'Petrol Refining NOx by AB'!Y328</f>
        <v>0</v>
      </c>
      <c r="Y212" s="175">
        <f>(Y$113+Y$122+Y$123)*'Petrol Refining NOx by AB'!Z328</f>
        <v>0</v>
      </c>
      <c r="Z212" s="175">
        <f>(Z$113+Z$122+Z$123)*'Petrol Refining NOx by AB'!AA328</f>
        <v>0</v>
      </c>
      <c r="AA212" s="175">
        <f>(AA$113+AA$122+AA$123)*'Petrol Refining NOx by AB'!AB328</f>
        <v>0</v>
      </c>
      <c r="AB212" s="175">
        <f>(AB$113+AB$122+AB$123)*'Petrol Refining NOx by AB'!AC328</f>
        <v>0</v>
      </c>
      <c r="AD212" s="418">
        <f>(D$141+D$151)*'Petrol Refining PM2.5 by AB'!B31</f>
        <v>0</v>
      </c>
      <c r="AE212" s="418">
        <f>(E$141+E$151)*'Petrol Refining PM2.5 by AB'!C31</f>
        <v>0</v>
      </c>
      <c r="AF212" s="418">
        <f>(F$141+F$151)*'Petrol Refining PM2.5 by AB'!D31</f>
        <v>0</v>
      </c>
      <c r="AG212" s="418">
        <f>(G$141+G$151)*'Petrol Refining PM2.5 by AB'!E31</f>
        <v>0</v>
      </c>
      <c r="AH212" s="418">
        <f>(H$141+H$151)*'Petrol Refining PM2.5 by AB'!F31</f>
        <v>0</v>
      </c>
      <c r="AI212" s="418">
        <f>(I$141+I$151)*'Petrol Refining PM2.5 by AB'!G31</f>
        <v>0</v>
      </c>
      <c r="AJ212" s="418">
        <f>(J$141+J$151)*'Petrol Refining PM2.5 by AB'!H31</f>
        <v>0</v>
      </c>
      <c r="AK212" s="418">
        <f>(K$141+K$151)*'Petrol Refining PM2.5 by AB'!I31</f>
        <v>0</v>
      </c>
      <c r="AL212" s="418">
        <f>(L$141+L$151)*'Petrol Refining PM2.5 by AB'!J31</f>
        <v>0</v>
      </c>
      <c r="AM212" s="418">
        <f>(M$141+M$151)*'Petrol Refining PM2.5 by AB'!K31</f>
        <v>0</v>
      </c>
      <c r="AN212" s="418">
        <f>(N$141+N$151)*'Petrol Refining PM2.5 by AB'!L31</f>
        <v>0</v>
      </c>
      <c r="AO212" s="418">
        <f>(O$141+O$151)*'Petrol Refining PM2.5 by AB'!M31</f>
        <v>0</v>
      </c>
      <c r="AP212" s="418">
        <f>(P$141+P$151)*'Petrol Refining PM2.5 by AB'!N31</f>
        <v>0</v>
      </c>
      <c r="AQ212" s="418">
        <f>(Q$141+Q$151)*'Petrol Refining PM2.5 by AB'!O31</f>
        <v>0</v>
      </c>
      <c r="AR212" s="418">
        <f>(R$141+R$151)*'Petrol Refining PM2.5 by AB'!P31</f>
        <v>-6.2410472286765962E-6</v>
      </c>
      <c r="AS212" s="418">
        <f>(S$141+S$151)*'Petrol Refining PM2.5 by AB'!Q31</f>
        <v>-2.2201568321118627E-5</v>
      </c>
      <c r="AT212" s="418">
        <f>(T$141+T$151)*'Petrol Refining PM2.5 by AB'!R31</f>
        <v>-3.8523617931619688E-5</v>
      </c>
      <c r="AU212" s="418">
        <f>(U$141+U$151)*'Petrol Refining PM2.5 by AB'!S31</f>
        <v>-5.5182086864563063E-5</v>
      </c>
      <c r="AV212" s="418">
        <f>(V$141+V$151)*'Petrol Refining PM2.5 by AB'!T31</f>
        <v>-6.9658988680110128E-5</v>
      </c>
      <c r="AW212" s="418">
        <f>(W$141+W$151)*'Petrol Refining PM2.5 by AB'!U31</f>
        <v>-8.5150241694540937E-5</v>
      </c>
      <c r="AX212" s="418">
        <f>(X$141+X$151)*'Petrol Refining PM2.5 by AB'!V31</f>
        <v>-1.0276207188200309E-4</v>
      </c>
      <c r="AY212" s="418">
        <f>(Y$141+Y$151)*'Petrol Refining PM2.5 by AB'!W31</f>
        <v>-1.1206166783664561E-4</v>
      </c>
      <c r="AZ212" s="418">
        <f>(Z$141+Z$151)*'Petrol Refining PM2.5 by AB'!X31</f>
        <v>-1.2171019815251593E-4</v>
      </c>
      <c r="BA212" s="418">
        <f>(AA$141+AA$151)*'Petrol Refining PM2.5 by AB'!Y31</f>
        <v>-1.3133443447723144E-4</v>
      </c>
      <c r="BB212" s="418">
        <f>(AB$141+AB$151)*'Petrol Refining PM2.5 by AB'!Z31</f>
        <v>-1.4447420940642033E-4</v>
      </c>
    </row>
    <row r="213" spans="1:55">
      <c r="A213" s="464"/>
      <c r="B213" s="2" t="s">
        <v>258</v>
      </c>
      <c r="C213" s="53" t="s">
        <v>65</v>
      </c>
      <c r="D213" s="175">
        <f>(D$113+D$122+D$123)*'Petrol Refining NOx by AB'!E329</f>
        <v>0</v>
      </c>
      <c r="E213" s="175">
        <f>(E$113+E$122+E$123)*'Petrol Refining NOx by AB'!F329</f>
        <v>0</v>
      </c>
      <c r="F213" s="175">
        <f>(F$113+F$122+F$123)*'Petrol Refining NOx by AB'!G329</f>
        <v>0</v>
      </c>
      <c r="G213" s="175">
        <f>(G$113+G$122+G$123)*'Petrol Refining NOx by AB'!H329</f>
        <v>0</v>
      </c>
      <c r="H213" s="175">
        <f>(H$113+H$122+H$123)*'Petrol Refining NOx by AB'!I329</f>
        <v>0</v>
      </c>
      <c r="I213" s="175">
        <f>(I$113+I$122+I$123)*'Petrol Refining NOx by AB'!J329</f>
        <v>0</v>
      </c>
      <c r="J213" s="175">
        <f>(J$113+J$122+J$123)*'Petrol Refining NOx by AB'!K329</f>
        <v>0</v>
      </c>
      <c r="K213" s="175">
        <f>(K$113+K$122+K$123)*'Petrol Refining NOx by AB'!L329</f>
        <v>0</v>
      </c>
      <c r="L213" s="175">
        <f>(L$113+L$122+L$123)*'Petrol Refining NOx by AB'!M329</f>
        <v>0</v>
      </c>
      <c r="M213" s="175">
        <f>(M$113+M$122+M$123)*'Petrol Refining NOx by AB'!N329</f>
        <v>0</v>
      </c>
      <c r="N213" s="175">
        <f>(N$113+N$122+N$123)*'Petrol Refining NOx by AB'!O329</f>
        <v>0</v>
      </c>
      <c r="O213" s="175">
        <f>(O$113+O$122+O$123)*'Petrol Refining NOx by AB'!P329</f>
        <v>0</v>
      </c>
      <c r="P213" s="175">
        <f>(P$113+P$122+P$123)*'Petrol Refining NOx by AB'!Q329</f>
        <v>0</v>
      </c>
      <c r="Q213" s="175">
        <f>(Q$113+Q$122+Q$123)*'Petrol Refining NOx by AB'!R329</f>
        <v>0</v>
      </c>
      <c r="R213" s="175">
        <f>(R$113+R$122+R$123)*'Petrol Refining NOx by AB'!S329</f>
        <v>0</v>
      </c>
      <c r="S213" s="175">
        <f>(S$113+S$122+S$123)*'Petrol Refining NOx by AB'!T329</f>
        <v>0</v>
      </c>
      <c r="T213" s="175">
        <f>(T$113+T$122+T$123)*'Petrol Refining NOx by AB'!U329</f>
        <v>0</v>
      </c>
      <c r="U213" s="175">
        <f>(U$113+U$122+U$123)*'Petrol Refining NOx by AB'!V329</f>
        <v>0</v>
      </c>
      <c r="V213" s="175">
        <f>(V$113+V$122+V$123)*'Petrol Refining NOx by AB'!W329</f>
        <v>0</v>
      </c>
      <c r="W213" s="175">
        <f>(W$113+W$122+W$123)*'Petrol Refining NOx by AB'!X329</f>
        <v>0</v>
      </c>
      <c r="X213" s="175">
        <f>(X$113+X$122+X$123)*'Petrol Refining NOx by AB'!Y329</f>
        <v>0</v>
      </c>
      <c r="Y213" s="175">
        <f>(Y$113+Y$122+Y$123)*'Petrol Refining NOx by AB'!Z329</f>
        <v>0</v>
      </c>
      <c r="Z213" s="175">
        <f>(Z$113+Z$122+Z$123)*'Petrol Refining NOx by AB'!AA329</f>
        <v>0</v>
      </c>
      <c r="AA213" s="175">
        <f>(AA$113+AA$122+AA$123)*'Petrol Refining NOx by AB'!AB329</f>
        <v>0</v>
      </c>
      <c r="AB213" s="175">
        <f>(AB$113+AB$122+AB$123)*'Petrol Refining NOx by AB'!AC329</f>
        <v>0</v>
      </c>
      <c r="AD213" s="418">
        <f>(D$141+D$151)*'Petrol Refining PM2.5 by AB'!B32</f>
        <v>0</v>
      </c>
      <c r="AE213" s="418">
        <f>(E$141+E$151)*'Petrol Refining PM2.5 by AB'!C32</f>
        <v>0</v>
      </c>
      <c r="AF213" s="418">
        <f>(F$141+F$151)*'Petrol Refining PM2.5 by AB'!D32</f>
        <v>0</v>
      </c>
      <c r="AG213" s="418">
        <f>(G$141+G$151)*'Petrol Refining PM2.5 by AB'!E32</f>
        <v>0</v>
      </c>
      <c r="AH213" s="418">
        <f>(H$141+H$151)*'Petrol Refining PM2.5 by AB'!F32</f>
        <v>0</v>
      </c>
      <c r="AI213" s="418">
        <f>(I$141+I$151)*'Petrol Refining PM2.5 by AB'!G32</f>
        <v>0</v>
      </c>
      <c r="AJ213" s="418">
        <f>(J$141+J$151)*'Petrol Refining PM2.5 by AB'!H32</f>
        <v>0</v>
      </c>
      <c r="AK213" s="418">
        <f>(K$141+K$151)*'Petrol Refining PM2.5 by AB'!I32</f>
        <v>0</v>
      </c>
      <c r="AL213" s="418">
        <f>(L$141+L$151)*'Petrol Refining PM2.5 by AB'!J32</f>
        <v>0</v>
      </c>
      <c r="AM213" s="418">
        <f>(M$141+M$151)*'Petrol Refining PM2.5 by AB'!K32</f>
        <v>0</v>
      </c>
      <c r="AN213" s="418">
        <f>(N$141+N$151)*'Petrol Refining PM2.5 by AB'!L32</f>
        <v>0</v>
      </c>
      <c r="AO213" s="418">
        <f>(O$141+O$151)*'Petrol Refining PM2.5 by AB'!M32</f>
        <v>0</v>
      </c>
      <c r="AP213" s="418">
        <f>(P$141+P$151)*'Petrol Refining PM2.5 by AB'!N32</f>
        <v>0</v>
      </c>
      <c r="AQ213" s="418">
        <f>(Q$141+Q$151)*'Petrol Refining PM2.5 by AB'!O32</f>
        <v>0</v>
      </c>
      <c r="AR213" s="418">
        <f>(R$141+R$151)*'Petrol Refining PM2.5 by AB'!P32</f>
        <v>0</v>
      </c>
      <c r="AS213" s="418">
        <f>(S$141+S$151)*'Petrol Refining PM2.5 by AB'!Q32</f>
        <v>0</v>
      </c>
      <c r="AT213" s="418">
        <f>(T$141+T$151)*'Petrol Refining PM2.5 by AB'!R32</f>
        <v>0</v>
      </c>
      <c r="AU213" s="418">
        <f>(U$141+U$151)*'Petrol Refining PM2.5 by AB'!S32</f>
        <v>0</v>
      </c>
      <c r="AV213" s="418">
        <f>(V$141+V$151)*'Petrol Refining PM2.5 by AB'!T32</f>
        <v>0</v>
      </c>
      <c r="AW213" s="418">
        <f>(W$141+W$151)*'Petrol Refining PM2.5 by AB'!U32</f>
        <v>0</v>
      </c>
      <c r="AX213" s="418">
        <f>(X$141+X$151)*'Petrol Refining PM2.5 by AB'!V32</f>
        <v>0</v>
      </c>
      <c r="AY213" s="418">
        <f>(Y$141+Y$151)*'Petrol Refining PM2.5 by AB'!W32</f>
        <v>0</v>
      </c>
      <c r="AZ213" s="418">
        <f>(Z$141+Z$151)*'Petrol Refining PM2.5 by AB'!X32</f>
        <v>0</v>
      </c>
      <c r="BA213" s="418">
        <f>(AA$141+AA$151)*'Petrol Refining PM2.5 by AB'!Y32</f>
        <v>0</v>
      </c>
      <c r="BB213" s="418">
        <f>(AB$141+AB$151)*'Petrol Refining PM2.5 by AB'!Z32</f>
        <v>0</v>
      </c>
    </row>
    <row r="214" spans="1:55">
      <c r="A214" s="464"/>
      <c r="B214" s="2" t="s">
        <v>259</v>
      </c>
      <c r="C214" s="53" t="s">
        <v>65</v>
      </c>
      <c r="D214" s="175">
        <f>(D$113+D$122+D$123)*'Petrol Refining NOx by AB'!E330</f>
        <v>0</v>
      </c>
      <c r="E214" s="175">
        <f>(E$113+E$122+E$123)*'Petrol Refining NOx by AB'!F330</f>
        <v>0</v>
      </c>
      <c r="F214" s="175">
        <f>(F$113+F$122+F$123)*'Petrol Refining NOx by AB'!G330</f>
        <v>0</v>
      </c>
      <c r="G214" s="175">
        <f>(G$113+G$122+G$123)*'Petrol Refining NOx by AB'!H330</f>
        <v>0</v>
      </c>
      <c r="H214" s="175">
        <f>(H$113+H$122+H$123)*'Petrol Refining NOx by AB'!I330</f>
        <v>0</v>
      </c>
      <c r="I214" s="175">
        <f>(I$113+I$122+I$123)*'Petrol Refining NOx by AB'!J330</f>
        <v>0</v>
      </c>
      <c r="J214" s="175">
        <f>(J$113+J$122+J$123)*'Petrol Refining NOx by AB'!K330</f>
        <v>0</v>
      </c>
      <c r="K214" s="175">
        <f>(K$113+K$122+K$123)*'Petrol Refining NOx by AB'!L330</f>
        <v>0</v>
      </c>
      <c r="L214" s="175">
        <f>(L$113+L$122+L$123)*'Petrol Refining NOx by AB'!M330</f>
        <v>0</v>
      </c>
      <c r="M214" s="175">
        <f>(M$113+M$122+M$123)*'Petrol Refining NOx by AB'!N330</f>
        <v>0</v>
      </c>
      <c r="N214" s="175">
        <f>(N$113+N$122+N$123)*'Petrol Refining NOx by AB'!O330</f>
        <v>0</v>
      </c>
      <c r="O214" s="175">
        <f>(O$113+O$122+O$123)*'Petrol Refining NOx by AB'!P330</f>
        <v>0</v>
      </c>
      <c r="P214" s="175">
        <f>(P$113+P$122+P$123)*'Petrol Refining NOx by AB'!Q330</f>
        <v>0</v>
      </c>
      <c r="Q214" s="175">
        <f>(Q$113+Q$122+Q$123)*'Petrol Refining NOx by AB'!R330</f>
        <v>0</v>
      </c>
      <c r="R214" s="175">
        <f>(R$113+R$122+R$123)*'Petrol Refining NOx by AB'!S330</f>
        <v>0</v>
      </c>
      <c r="S214" s="175">
        <f>(S$113+S$122+S$123)*'Petrol Refining NOx by AB'!T330</f>
        <v>0</v>
      </c>
      <c r="T214" s="175">
        <f>(T$113+T$122+T$123)*'Petrol Refining NOx by AB'!U330</f>
        <v>0</v>
      </c>
      <c r="U214" s="175">
        <f>(U$113+U$122+U$123)*'Petrol Refining NOx by AB'!V330</f>
        <v>0</v>
      </c>
      <c r="V214" s="175">
        <f>(V$113+V$122+V$123)*'Petrol Refining NOx by AB'!W330</f>
        <v>0</v>
      </c>
      <c r="W214" s="175">
        <f>(W$113+W$122+W$123)*'Petrol Refining NOx by AB'!X330</f>
        <v>0</v>
      </c>
      <c r="X214" s="175">
        <f>(X$113+X$122+X$123)*'Petrol Refining NOx by AB'!Y330</f>
        <v>0</v>
      </c>
      <c r="Y214" s="175">
        <f>(Y$113+Y$122+Y$123)*'Petrol Refining NOx by AB'!Z330</f>
        <v>0</v>
      </c>
      <c r="Z214" s="175">
        <f>(Z$113+Z$122+Z$123)*'Petrol Refining NOx by AB'!AA330</f>
        <v>0</v>
      </c>
      <c r="AA214" s="175">
        <f>(AA$113+AA$122+AA$123)*'Petrol Refining NOx by AB'!AB330</f>
        <v>0</v>
      </c>
      <c r="AB214" s="175">
        <f>(AB$113+AB$122+AB$123)*'Petrol Refining NOx by AB'!AC330</f>
        <v>0</v>
      </c>
      <c r="AD214" s="418">
        <f>(D$141+D$151)*'Petrol Refining PM2.5 by AB'!B33</f>
        <v>0</v>
      </c>
      <c r="AE214" s="418">
        <f>(E$141+E$151)*'Petrol Refining PM2.5 by AB'!C33</f>
        <v>0</v>
      </c>
      <c r="AF214" s="418">
        <f>(F$141+F$151)*'Petrol Refining PM2.5 by AB'!D33</f>
        <v>0</v>
      </c>
      <c r="AG214" s="418">
        <f>(G$141+G$151)*'Petrol Refining PM2.5 by AB'!E33</f>
        <v>0</v>
      </c>
      <c r="AH214" s="418">
        <f>(H$141+H$151)*'Petrol Refining PM2.5 by AB'!F33</f>
        <v>0</v>
      </c>
      <c r="AI214" s="418">
        <f>(I$141+I$151)*'Petrol Refining PM2.5 by AB'!G33</f>
        <v>0</v>
      </c>
      <c r="AJ214" s="418">
        <f>(J$141+J$151)*'Petrol Refining PM2.5 by AB'!H33</f>
        <v>0</v>
      </c>
      <c r="AK214" s="418">
        <f>(K$141+K$151)*'Petrol Refining PM2.5 by AB'!I33</f>
        <v>0</v>
      </c>
      <c r="AL214" s="418">
        <f>(L$141+L$151)*'Petrol Refining PM2.5 by AB'!J33</f>
        <v>0</v>
      </c>
      <c r="AM214" s="418">
        <f>(M$141+M$151)*'Petrol Refining PM2.5 by AB'!K33</f>
        <v>0</v>
      </c>
      <c r="AN214" s="418">
        <f>(N$141+N$151)*'Petrol Refining PM2.5 by AB'!L33</f>
        <v>0</v>
      </c>
      <c r="AO214" s="418">
        <f>(O$141+O$151)*'Petrol Refining PM2.5 by AB'!M33</f>
        <v>0</v>
      </c>
      <c r="AP214" s="418">
        <f>(P$141+P$151)*'Petrol Refining PM2.5 by AB'!N33</f>
        <v>0</v>
      </c>
      <c r="AQ214" s="418">
        <f>(Q$141+Q$151)*'Petrol Refining PM2.5 by AB'!O33</f>
        <v>0</v>
      </c>
      <c r="AR214" s="418">
        <f>(R$141+R$151)*'Petrol Refining PM2.5 by AB'!P33</f>
        <v>0</v>
      </c>
      <c r="AS214" s="418">
        <f>(S$141+S$151)*'Petrol Refining PM2.5 by AB'!Q33</f>
        <v>0</v>
      </c>
      <c r="AT214" s="418">
        <f>(T$141+T$151)*'Petrol Refining PM2.5 by AB'!R33</f>
        <v>0</v>
      </c>
      <c r="AU214" s="418">
        <f>(U$141+U$151)*'Petrol Refining PM2.5 by AB'!S33</f>
        <v>0</v>
      </c>
      <c r="AV214" s="418">
        <f>(V$141+V$151)*'Petrol Refining PM2.5 by AB'!T33</f>
        <v>0</v>
      </c>
      <c r="AW214" s="418">
        <f>(W$141+W$151)*'Petrol Refining PM2.5 by AB'!U33</f>
        <v>0</v>
      </c>
      <c r="AX214" s="418">
        <f>(X$141+X$151)*'Petrol Refining PM2.5 by AB'!V33</f>
        <v>0</v>
      </c>
      <c r="AY214" s="418">
        <f>(Y$141+Y$151)*'Petrol Refining PM2.5 by AB'!W33</f>
        <v>0</v>
      </c>
      <c r="AZ214" s="418">
        <f>(Z$141+Z$151)*'Petrol Refining PM2.5 by AB'!X33</f>
        <v>0</v>
      </c>
      <c r="BA214" s="418">
        <f>(AA$141+AA$151)*'Petrol Refining PM2.5 by AB'!Y33</f>
        <v>0</v>
      </c>
      <c r="BB214" s="418">
        <f>(AB$141+AB$151)*'Petrol Refining PM2.5 by AB'!Z33</f>
        <v>0</v>
      </c>
    </row>
    <row r="215" spans="1:55">
      <c r="A215" s="464"/>
      <c r="B215" s="2" t="s">
        <v>260</v>
      </c>
      <c r="C215" s="53" t="s">
        <v>65</v>
      </c>
      <c r="D215" s="175">
        <f>(D$113+D$122+D$123)*'Petrol Refining NOx by AB'!E331</f>
        <v>0</v>
      </c>
      <c r="E215" s="175">
        <f>(E$113+E$122+E$123)*'Petrol Refining NOx by AB'!F331</f>
        <v>0</v>
      </c>
      <c r="F215" s="175">
        <f>(F$113+F$122+F$123)*'Petrol Refining NOx by AB'!G331</f>
        <v>0</v>
      </c>
      <c r="G215" s="175">
        <f>(G$113+G$122+G$123)*'Petrol Refining NOx by AB'!H331</f>
        <v>0</v>
      </c>
      <c r="H215" s="175">
        <f>(H$113+H$122+H$123)*'Petrol Refining NOx by AB'!I331</f>
        <v>0</v>
      </c>
      <c r="I215" s="175">
        <f>(I$113+I$122+I$123)*'Petrol Refining NOx by AB'!J331</f>
        <v>0</v>
      </c>
      <c r="J215" s="175">
        <f>(J$113+J$122+J$123)*'Petrol Refining NOx by AB'!K331</f>
        <v>0</v>
      </c>
      <c r="K215" s="175">
        <f>(K$113+K$122+K$123)*'Petrol Refining NOx by AB'!L331</f>
        <v>0</v>
      </c>
      <c r="L215" s="175">
        <f>(L$113+L$122+L$123)*'Petrol Refining NOx by AB'!M331</f>
        <v>0</v>
      </c>
      <c r="M215" s="175">
        <f>(M$113+M$122+M$123)*'Petrol Refining NOx by AB'!N331</f>
        <v>0</v>
      </c>
      <c r="N215" s="175">
        <f>(N$113+N$122+N$123)*'Petrol Refining NOx by AB'!O331</f>
        <v>0</v>
      </c>
      <c r="O215" s="175">
        <f>(O$113+O$122+O$123)*'Petrol Refining NOx by AB'!P331</f>
        <v>0</v>
      </c>
      <c r="P215" s="175">
        <f>(P$113+P$122+P$123)*'Petrol Refining NOx by AB'!Q331</f>
        <v>0</v>
      </c>
      <c r="Q215" s="175">
        <f>(Q$113+Q$122+Q$123)*'Petrol Refining NOx by AB'!R331</f>
        <v>0</v>
      </c>
      <c r="R215" s="175">
        <f>(R$113+R$122+R$123)*'Petrol Refining NOx by AB'!S331</f>
        <v>0</v>
      </c>
      <c r="S215" s="175">
        <f>(S$113+S$122+S$123)*'Petrol Refining NOx by AB'!T331</f>
        <v>0</v>
      </c>
      <c r="T215" s="175">
        <f>(T$113+T$122+T$123)*'Petrol Refining NOx by AB'!U331</f>
        <v>0</v>
      </c>
      <c r="U215" s="175">
        <f>(U$113+U$122+U$123)*'Petrol Refining NOx by AB'!V331</f>
        <v>0</v>
      </c>
      <c r="V215" s="175">
        <f>(V$113+V$122+V$123)*'Petrol Refining NOx by AB'!W331</f>
        <v>0</v>
      </c>
      <c r="W215" s="175">
        <f>(W$113+W$122+W$123)*'Petrol Refining NOx by AB'!X331</f>
        <v>0</v>
      </c>
      <c r="X215" s="175">
        <f>(X$113+X$122+X$123)*'Petrol Refining NOx by AB'!Y331</f>
        <v>0</v>
      </c>
      <c r="Y215" s="175">
        <f>(Y$113+Y$122+Y$123)*'Petrol Refining NOx by AB'!Z331</f>
        <v>0</v>
      </c>
      <c r="Z215" s="175">
        <f>(Z$113+Z$122+Z$123)*'Petrol Refining NOx by AB'!AA331</f>
        <v>0</v>
      </c>
      <c r="AA215" s="175">
        <f>(AA$113+AA$122+AA$123)*'Petrol Refining NOx by AB'!AB331</f>
        <v>0</v>
      </c>
      <c r="AB215" s="175">
        <f>(AB$113+AB$122+AB$123)*'Petrol Refining NOx by AB'!AC331</f>
        <v>0</v>
      </c>
      <c r="AD215" s="418">
        <f>(D$141+D$151)*'Petrol Refining PM2.5 by AB'!B34</f>
        <v>0</v>
      </c>
      <c r="AE215" s="418">
        <f>(E$141+E$151)*'Petrol Refining PM2.5 by AB'!C34</f>
        <v>0</v>
      </c>
      <c r="AF215" s="418">
        <f>(F$141+F$151)*'Petrol Refining PM2.5 by AB'!D34</f>
        <v>0</v>
      </c>
      <c r="AG215" s="418">
        <f>(G$141+G$151)*'Petrol Refining PM2.5 by AB'!E34</f>
        <v>0</v>
      </c>
      <c r="AH215" s="418">
        <f>(H$141+H$151)*'Petrol Refining PM2.5 by AB'!F34</f>
        <v>0</v>
      </c>
      <c r="AI215" s="418">
        <f>(I$141+I$151)*'Petrol Refining PM2.5 by AB'!G34</f>
        <v>0</v>
      </c>
      <c r="AJ215" s="418">
        <f>(J$141+J$151)*'Petrol Refining PM2.5 by AB'!H34</f>
        <v>0</v>
      </c>
      <c r="AK215" s="418">
        <f>(K$141+K$151)*'Petrol Refining PM2.5 by AB'!I34</f>
        <v>0</v>
      </c>
      <c r="AL215" s="418">
        <f>(L$141+L$151)*'Petrol Refining PM2.5 by AB'!J34</f>
        <v>0</v>
      </c>
      <c r="AM215" s="418">
        <f>(M$141+M$151)*'Petrol Refining PM2.5 by AB'!K34</f>
        <v>0</v>
      </c>
      <c r="AN215" s="418">
        <f>(N$141+N$151)*'Petrol Refining PM2.5 by AB'!L34</f>
        <v>0</v>
      </c>
      <c r="AO215" s="418">
        <f>(O$141+O$151)*'Petrol Refining PM2.5 by AB'!M34</f>
        <v>0</v>
      </c>
      <c r="AP215" s="418">
        <f>(P$141+P$151)*'Petrol Refining PM2.5 by AB'!N34</f>
        <v>0</v>
      </c>
      <c r="AQ215" s="418">
        <f>(Q$141+Q$151)*'Petrol Refining PM2.5 by AB'!O34</f>
        <v>0</v>
      </c>
      <c r="AR215" s="418">
        <f>(R$141+R$151)*'Petrol Refining PM2.5 by AB'!P34</f>
        <v>0</v>
      </c>
      <c r="AS215" s="418">
        <f>(S$141+S$151)*'Petrol Refining PM2.5 by AB'!Q34</f>
        <v>0</v>
      </c>
      <c r="AT215" s="418">
        <f>(T$141+T$151)*'Petrol Refining PM2.5 by AB'!R34</f>
        <v>0</v>
      </c>
      <c r="AU215" s="418">
        <f>(U$141+U$151)*'Petrol Refining PM2.5 by AB'!S34</f>
        <v>0</v>
      </c>
      <c r="AV215" s="418">
        <f>(V$141+V$151)*'Petrol Refining PM2.5 by AB'!T34</f>
        <v>0</v>
      </c>
      <c r="AW215" s="418">
        <f>(W$141+W$151)*'Petrol Refining PM2.5 by AB'!U34</f>
        <v>0</v>
      </c>
      <c r="AX215" s="418">
        <f>(X$141+X$151)*'Petrol Refining PM2.5 by AB'!V34</f>
        <v>0</v>
      </c>
      <c r="AY215" s="418">
        <f>(Y$141+Y$151)*'Petrol Refining PM2.5 by AB'!W34</f>
        <v>0</v>
      </c>
      <c r="AZ215" s="418">
        <f>(Z$141+Z$151)*'Petrol Refining PM2.5 by AB'!X34</f>
        <v>0</v>
      </c>
      <c r="BA215" s="418">
        <f>(AA$141+AA$151)*'Petrol Refining PM2.5 by AB'!Y34</f>
        <v>0</v>
      </c>
      <c r="BB215" s="418">
        <f>(AB$141+AB$151)*'Petrol Refining PM2.5 by AB'!Z34</f>
        <v>0</v>
      </c>
    </row>
    <row r="216" spans="1:55">
      <c r="A216" s="464"/>
      <c r="B216" s="2" t="s">
        <v>261</v>
      </c>
      <c r="C216" s="53" t="s">
        <v>65</v>
      </c>
      <c r="D216" s="175">
        <f>(D$113+D$122+D$123)*'Petrol Refining NOx by AB'!E332</f>
        <v>0</v>
      </c>
      <c r="E216" s="175">
        <f>(E$113+E$122+E$123)*'Petrol Refining NOx by AB'!F332</f>
        <v>0</v>
      </c>
      <c r="F216" s="175">
        <f>(F$113+F$122+F$123)*'Petrol Refining NOx by AB'!G332</f>
        <v>0</v>
      </c>
      <c r="G216" s="175">
        <f>(G$113+G$122+G$123)*'Petrol Refining NOx by AB'!H332</f>
        <v>0</v>
      </c>
      <c r="H216" s="175">
        <f>(H$113+H$122+H$123)*'Petrol Refining NOx by AB'!I332</f>
        <v>0</v>
      </c>
      <c r="I216" s="175">
        <f>(I$113+I$122+I$123)*'Petrol Refining NOx by AB'!J332</f>
        <v>0</v>
      </c>
      <c r="J216" s="175">
        <f>(J$113+J$122+J$123)*'Petrol Refining NOx by AB'!K332</f>
        <v>0</v>
      </c>
      <c r="K216" s="175">
        <f>(K$113+K$122+K$123)*'Petrol Refining NOx by AB'!L332</f>
        <v>0</v>
      </c>
      <c r="L216" s="175">
        <f>(L$113+L$122+L$123)*'Petrol Refining NOx by AB'!M332</f>
        <v>0</v>
      </c>
      <c r="M216" s="175">
        <f>(M$113+M$122+M$123)*'Petrol Refining NOx by AB'!N332</f>
        <v>0</v>
      </c>
      <c r="N216" s="175">
        <f>(N$113+N$122+N$123)*'Petrol Refining NOx by AB'!O332</f>
        <v>0</v>
      </c>
      <c r="O216" s="175">
        <f>(O$113+O$122+O$123)*'Petrol Refining NOx by AB'!P332</f>
        <v>0</v>
      </c>
      <c r="P216" s="175">
        <f>(P$113+P$122+P$123)*'Petrol Refining NOx by AB'!Q332</f>
        <v>0</v>
      </c>
      <c r="Q216" s="175">
        <f>(Q$113+Q$122+Q$123)*'Petrol Refining NOx by AB'!R332</f>
        <v>0</v>
      </c>
      <c r="R216" s="175">
        <f>(R$113+R$122+R$123)*'Petrol Refining NOx by AB'!S332</f>
        <v>0</v>
      </c>
      <c r="S216" s="175">
        <f>(S$113+S$122+S$123)*'Petrol Refining NOx by AB'!T332</f>
        <v>0</v>
      </c>
      <c r="T216" s="175">
        <f>(T$113+T$122+T$123)*'Petrol Refining NOx by AB'!U332</f>
        <v>0</v>
      </c>
      <c r="U216" s="175">
        <f>(U$113+U$122+U$123)*'Petrol Refining NOx by AB'!V332</f>
        <v>0</v>
      </c>
      <c r="V216" s="175">
        <f>(V$113+V$122+V$123)*'Petrol Refining NOx by AB'!W332</f>
        <v>0</v>
      </c>
      <c r="W216" s="175">
        <f>(W$113+W$122+W$123)*'Petrol Refining NOx by AB'!X332</f>
        <v>0</v>
      </c>
      <c r="X216" s="175">
        <f>(X$113+X$122+X$123)*'Petrol Refining NOx by AB'!Y332</f>
        <v>0</v>
      </c>
      <c r="Y216" s="175">
        <f>(Y$113+Y$122+Y$123)*'Petrol Refining NOx by AB'!Z332</f>
        <v>0</v>
      </c>
      <c r="Z216" s="175">
        <f>(Z$113+Z$122+Z$123)*'Petrol Refining NOx by AB'!AA332</f>
        <v>0</v>
      </c>
      <c r="AA216" s="175">
        <f>(AA$113+AA$122+AA$123)*'Petrol Refining NOx by AB'!AB332</f>
        <v>0</v>
      </c>
      <c r="AB216" s="175">
        <f>(AB$113+AB$122+AB$123)*'Petrol Refining NOx by AB'!AC332</f>
        <v>0</v>
      </c>
      <c r="AD216" s="418">
        <f>(D$141+D$151)*'Petrol Refining PM2.5 by AB'!B35</f>
        <v>0</v>
      </c>
      <c r="AE216" s="418">
        <f>(E$141+E$151)*'Petrol Refining PM2.5 by AB'!C35</f>
        <v>0</v>
      </c>
      <c r="AF216" s="418">
        <f>(F$141+F$151)*'Petrol Refining PM2.5 by AB'!D35</f>
        <v>0</v>
      </c>
      <c r="AG216" s="418">
        <f>(G$141+G$151)*'Petrol Refining PM2.5 by AB'!E35</f>
        <v>0</v>
      </c>
      <c r="AH216" s="418">
        <f>(H$141+H$151)*'Petrol Refining PM2.5 by AB'!F35</f>
        <v>0</v>
      </c>
      <c r="AI216" s="418">
        <f>(I$141+I$151)*'Petrol Refining PM2.5 by AB'!G35</f>
        <v>0</v>
      </c>
      <c r="AJ216" s="418">
        <f>(J$141+J$151)*'Petrol Refining PM2.5 by AB'!H35</f>
        <v>0</v>
      </c>
      <c r="AK216" s="418">
        <f>(K$141+K$151)*'Petrol Refining PM2.5 by AB'!I35</f>
        <v>0</v>
      </c>
      <c r="AL216" s="418">
        <f>(L$141+L$151)*'Petrol Refining PM2.5 by AB'!J35</f>
        <v>0</v>
      </c>
      <c r="AM216" s="418">
        <f>(M$141+M$151)*'Petrol Refining PM2.5 by AB'!K35</f>
        <v>0</v>
      </c>
      <c r="AN216" s="418">
        <f>(N$141+N$151)*'Petrol Refining PM2.5 by AB'!L35</f>
        <v>0</v>
      </c>
      <c r="AO216" s="418">
        <f>(O$141+O$151)*'Petrol Refining PM2.5 by AB'!M35</f>
        <v>0</v>
      </c>
      <c r="AP216" s="418">
        <f>(P$141+P$151)*'Petrol Refining PM2.5 by AB'!N35</f>
        <v>0</v>
      </c>
      <c r="AQ216" s="418">
        <f>(Q$141+Q$151)*'Petrol Refining PM2.5 by AB'!O35</f>
        <v>0</v>
      </c>
      <c r="AR216" s="418">
        <f>(R$141+R$151)*'Petrol Refining PM2.5 by AB'!P35</f>
        <v>0</v>
      </c>
      <c r="AS216" s="418">
        <f>(S$141+S$151)*'Petrol Refining PM2.5 by AB'!Q35</f>
        <v>0</v>
      </c>
      <c r="AT216" s="418">
        <f>(T$141+T$151)*'Petrol Refining PM2.5 by AB'!R35</f>
        <v>0</v>
      </c>
      <c r="AU216" s="418">
        <f>(U$141+U$151)*'Petrol Refining PM2.5 by AB'!S35</f>
        <v>0</v>
      </c>
      <c r="AV216" s="418">
        <f>(V$141+V$151)*'Petrol Refining PM2.5 by AB'!T35</f>
        <v>0</v>
      </c>
      <c r="AW216" s="418">
        <f>(W$141+W$151)*'Petrol Refining PM2.5 by AB'!U35</f>
        <v>0</v>
      </c>
      <c r="AX216" s="418">
        <f>(X$141+X$151)*'Petrol Refining PM2.5 by AB'!V35</f>
        <v>0</v>
      </c>
      <c r="AY216" s="418">
        <f>(Y$141+Y$151)*'Petrol Refining PM2.5 by AB'!W35</f>
        <v>0</v>
      </c>
      <c r="AZ216" s="418">
        <f>(Z$141+Z$151)*'Petrol Refining PM2.5 by AB'!X35</f>
        <v>0</v>
      </c>
      <c r="BA216" s="418">
        <f>(AA$141+AA$151)*'Petrol Refining PM2.5 by AB'!Y35</f>
        <v>0</v>
      </c>
      <c r="BB216" s="418">
        <f>(AB$141+AB$151)*'Petrol Refining PM2.5 by AB'!Z35</f>
        <v>0</v>
      </c>
    </row>
    <row r="217" spans="1:55">
      <c r="A217" s="464"/>
      <c r="B217" s="2" t="s">
        <v>262</v>
      </c>
      <c r="C217" s="53" t="s">
        <v>65</v>
      </c>
      <c r="D217" s="175">
        <f>(D$113+D$122+D$123)*'Petrol Refining NOx by AB'!E333</f>
        <v>0</v>
      </c>
      <c r="E217" s="175">
        <f>(E$113+E$122+E$123)*'Petrol Refining NOx by AB'!F333</f>
        <v>0</v>
      </c>
      <c r="F217" s="175">
        <f>(F$113+F$122+F$123)*'Petrol Refining NOx by AB'!G333</f>
        <v>0</v>
      </c>
      <c r="G217" s="175">
        <f>(G$113+G$122+G$123)*'Petrol Refining NOx by AB'!H333</f>
        <v>0</v>
      </c>
      <c r="H217" s="175">
        <f>(H$113+H$122+H$123)*'Petrol Refining NOx by AB'!I333</f>
        <v>0</v>
      </c>
      <c r="I217" s="175">
        <f>(I$113+I$122+I$123)*'Petrol Refining NOx by AB'!J333</f>
        <v>0</v>
      </c>
      <c r="J217" s="175">
        <f>(J$113+J$122+J$123)*'Petrol Refining NOx by AB'!K333</f>
        <v>0</v>
      </c>
      <c r="K217" s="175">
        <f>(K$113+K$122+K$123)*'Petrol Refining NOx by AB'!L333</f>
        <v>0</v>
      </c>
      <c r="L217" s="175">
        <f>(L$113+L$122+L$123)*'Petrol Refining NOx by AB'!M333</f>
        <v>0</v>
      </c>
      <c r="M217" s="175">
        <f>(M$113+M$122+M$123)*'Petrol Refining NOx by AB'!N333</f>
        <v>0</v>
      </c>
      <c r="N217" s="175">
        <f>(N$113+N$122+N$123)*'Petrol Refining NOx by AB'!O333</f>
        <v>0</v>
      </c>
      <c r="O217" s="175">
        <f>(O$113+O$122+O$123)*'Petrol Refining NOx by AB'!P333</f>
        <v>0</v>
      </c>
      <c r="P217" s="175">
        <f>(P$113+P$122+P$123)*'Petrol Refining NOx by AB'!Q333</f>
        <v>0</v>
      </c>
      <c r="Q217" s="175">
        <f>(Q$113+Q$122+Q$123)*'Petrol Refining NOx by AB'!R333</f>
        <v>0</v>
      </c>
      <c r="R217" s="175">
        <f>(R$113+R$122+R$123)*'Petrol Refining NOx by AB'!S333</f>
        <v>0</v>
      </c>
      <c r="S217" s="175">
        <f>(S$113+S$122+S$123)*'Petrol Refining NOx by AB'!T333</f>
        <v>0</v>
      </c>
      <c r="T217" s="175">
        <f>(T$113+T$122+T$123)*'Petrol Refining NOx by AB'!U333</f>
        <v>0</v>
      </c>
      <c r="U217" s="175">
        <f>(U$113+U$122+U$123)*'Petrol Refining NOx by AB'!V333</f>
        <v>0</v>
      </c>
      <c r="V217" s="175">
        <f>(V$113+V$122+V$123)*'Petrol Refining NOx by AB'!W333</f>
        <v>0</v>
      </c>
      <c r="W217" s="175">
        <f>(W$113+W$122+W$123)*'Petrol Refining NOx by AB'!X333</f>
        <v>0</v>
      </c>
      <c r="X217" s="175">
        <f>(X$113+X$122+X$123)*'Petrol Refining NOx by AB'!Y333</f>
        <v>0</v>
      </c>
      <c r="Y217" s="175">
        <f>(Y$113+Y$122+Y$123)*'Petrol Refining NOx by AB'!Z333</f>
        <v>0</v>
      </c>
      <c r="Z217" s="175">
        <f>(Z$113+Z$122+Z$123)*'Petrol Refining NOx by AB'!AA333</f>
        <v>0</v>
      </c>
      <c r="AA217" s="175">
        <f>(AA$113+AA$122+AA$123)*'Petrol Refining NOx by AB'!AB333</f>
        <v>0</v>
      </c>
      <c r="AB217" s="175">
        <f>(AB$113+AB$122+AB$123)*'Petrol Refining NOx by AB'!AC333</f>
        <v>0</v>
      </c>
      <c r="AD217" s="418">
        <f>(D$141+D$151)*'Petrol Refining PM2.5 by AB'!B36</f>
        <v>0</v>
      </c>
      <c r="AE217" s="418">
        <f>(E$141+E$151)*'Petrol Refining PM2.5 by AB'!C36</f>
        <v>0</v>
      </c>
      <c r="AF217" s="418">
        <f>(F$141+F$151)*'Petrol Refining PM2.5 by AB'!D36</f>
        <v>0</v>
      </c>
      <c r="AG217" s="418">
        <f>(G$141+G$151)*'Petrol Refining PM2.5 by AB'!E36</f>
        <v>0</v>
      </c>
      <c r="AH217" s="418">
        <f>(H$141+H$151)*'Petrol Refining PM2.5 by AB'!F36</f>
        <v>0</v>
      </c>
      <c r="AI217" s="418">
        <f>(I$141+I$151)*'Petrol Refining PM2.5 by AB'!G36</f>
        <v>0</v>
      </c>
      <c r="AJ217" s="418">
        <f>(J$141+J$151)*'Petrol Refining PM2.5 by AB'!H36</f>
        <v>0</v>
      </c>
      <c r="AK217" s="418">
        <f>(K$141+K$151)*'Petrol Refining PM2.5 by AB'!I36</f>
        <v>0</v>
      </c>
      <c r="AL217" s="418">
        <f>(L$141+L$151)*'Petrol Refining PM2.5 by AB'!J36</f>
        <v>0</v>
      </c>
      <c r="AM217" s="418">
        <f>(M$141+M$151)*'Petrol Refining PM2.5 by AB'!K36</f>
        <v>0</v>
      </c>
      <c r="AN217" s="418">
        <f>(N$141+N$151)*'Petrol Refining PM2.5 by AB'!L36</f>
        <v>0</v>
      </c>
      <c r="AO217" s="418">
        <f>(O$141+O$151)*'Petrol Refining PM2.5 by AB'!M36</f>
        <v>0</v>
      </c>
      <c r="AP217" s="418">
        <f>(P$141+P$151)*'Petrol Refining PM2.5 by AB'!N36</f>
        <v>0</v>
      </c>
      <c r="AQ217" s="418">
        <f>(Q$141+Q$151)*'Petrol Refining PM2.5 by AB'!O36</f>
        <v>0</v>
      </c>
      <c r="AR217" s="418">
        <f>(R$141+R$151)*'Petrol Refining PM2.5 by AB'!P36</f>
        <v>0</v>
      </c>
      <c r="AS217" s="418">
        <f>(S$141+S$151)*'Petrol Refining PM2.5 by AB'!Q36</f>
        <v>0</v>
      </c>
      <c r="AT217" s="418">
        <f>(T$141+T$151)*'Petrol Refining PM2.5 by AB'!R36</f>
        <v>0</v>
      </c>
      <c r="AU217" s="418">
        <f>(U$141+U$151)*'Petrol Refining PM2.5 by AB'!S36</f>
        <v>0</v>
      </c>
      <c r="AV217" s="418">
        <f>(V$141+V$151)*'Petrol Refining PM2.5 by AB'!T36</f>
        <v>0</v>
      </c>
      <c r="AW217" s="418">
        <f>(W$141+W$151)*'Petrol Refining PM2.5 by AB'!U36</f>
        <v>0</v>
      </c>
      <c r="AX217" s="418">
        <f>(X$141+X$151)*'Petrol Refining PM2.5 by AB'!V36</f>
        <v>0</v>
      </c>
      <c r="AY217" s="418">
        <f>(Y$141+Y$151)*'Petrol Refining PM2.5 by AB'!W36</f>
        <v>0</v>
      </c>
      <c r="AZ217" s="418">
        <f>(Z$141+Z$151)*'Petrol Refining PM2.5 by AB'!X36</f>
        <v>0</v>
      </c>
      <c r="BA217" s="418">
        <f>(AA$141+AA$151)*'Petrol Refining PM2.5 by AB'!Y36</f>
        <v>0</v>
      </c>
      <c r="BB217" s="418">
        <f>(AB$141+AB$151)*'Petrol Refining PM2.5 by AB'!Z36</f>
        <v>0</v>
      </c>
    </row>
    <row r="218" spans="1:55">
      <c r="A218" s="464"/>
      <c r="B218" s="2" t="s">
        <v>263</v>
      </c>
      <c r="C218" s="53" t="s">
        <v>65</v>
      </c>
      <c r="D218" s="175">
        <f>(D$113+D$122+D$123)*'Petrol Refining NOx by AB'!E334</f>
        <v>0</v>
      </c>
      <c r="E218" s="175">
        <f>(E$113+E$122+E$123)*'Petrol Refining NOx by AB'!F334</f>
        <v>0</v>
      </c>
      <c r="F218" s="175">
        <f>(F$113+F$122+F$123)*'Petrol Refining NOx by AB'!G334</f>
        <v>0</v>
      </c>
      <c r="G218" s="175">
        <f>(G$113+G$122+G$123)*'Petrol Refining NOx by AB'!H334</f>
        <v>0</v>
      </c>
      <c r="H218" s="175">
        <f>(H$113+H$122+H$123)*'Petrol Refining NOx by AB'!I334</f>
        <v>0</v>
      </c>
      <c r="I218" s="175">
        <f>(I$113+I$122+I$123)*'Petrol Refining NOx by AB'!J334</f>
        <v>0</v>
      </c>
      <c r="J218" s="175">
        <f>(J$113+J$122+J$123)*'Petrol Refining NOx by AB'!K334</f>
        <v>0</v>
      </c>
      <c r="K218" s="175">
        <f>(K$113+K$122+K$123)*'Petrol Refining NOx by AB'!L334</f>
        <v>0</v>
      </c>
      <c r="L218" s="175">
        <f>(L$113+L$122+L$123)*'Petrol Refining NOx by AB'!M334</f>
        <v>0</v>
      </c>
      <c r="M218" s="175">
        <f>(M$113+M$122+M$123)*'Petrol Refining NOx by AB'!N334</f>
        <v>0</v>
      </c>
      <c r="N218" s="175">
        <f>(N$113+N$122+N$123)*'Petrol Refining NOx by AB'!O334</f>
        <v>0</v>
      </c>
      <c r="O218" s="175">
        <f>(O$113+O$122+O$123)*'Petrol Refining NOx by AB'!P334</f>
        <v>0</v>
      </c>
      <c r="P218" s="175">
        <f>(P$113+P$122+P$123)*'Petrol Refining NOx by AB'!Q334</f>
        <v>0</v>
      </c>
      <c r="Q218" s="175">
        <f>(Q$113+Q$122+Q$123)*'Petrol Refining NOx by AB'!R334</f>
        <v>0</v>
      </c>
      <c r="R218" s="175">
        <f>(R$113+R$122+R$123)*'Petrol Refining NOx by AB'!S334</f>
        <v>-0.399673569519297</v>
      </c>
      <c r="S218" s="175">
        <f>(S$113+S$122+S$123)*'Petrol Refining NOx by AB'!T334</f>
        <v>-1.4217747442540618</v>
      </c>
      <c r="T218" s="175">
        <f>(T$113+T$122+T$123)*'Petrol Refining NOx by AB'!U334</f>
        <v>-2.4670233060807143</v>
      </c>
      <c r="U218" s="175">
        <f>(U$113+U$122+U$123)*'Petrol Refining NOx by AB'!V334</f>
        <v>-3.5338076143734631</v>
      </c>
      <c r="V218" s="175">
        <f>(V$113+V$122+V$123)*'Petrol Refining NOx by AB'!W334</f>
        <v>-4.4608852242136896</v>
      </c>
      <c r="W218" s="175">
        <f>(W$113+W$122+W$123)*'Petrol Refining NOx by AB'!X334</f>
        <v>-5.4529232707537547</v>
      </c>
      <c r="X218" s="175">
        <f>(X$113+X$122+X$123)*'Petrol Refining NOx by AB'!Y334</f>
        <v>-6.5807659800797236</v>
      </c>
      <c r="Y218" s="175">
        <f>(Y$113+Y$122+Y$123)*'Petrol Refining NOx by AB'!Z334</f>
        <v>-7.1762941441120605</v>
      </c>
      <c r="Z218" s="175">
        <f>(Z$113+Z$122+Z$123)*'Petrol Refining NOx by AB'!AA334</f>
        <v>-7.7941760897673529</v>
      </c>
      <c r="AA218" s="175">
        <f>(AA$113+AA$122+AA$123)*'Petrol Refining NOx by AB'!AB334</f>
        <v>-8.4104933117576692</v>
      </c>
      <c r="AB218" s="175">
        <f>(AB$113+AB$122+AB$123)*'Petrol Refining NOx by AB'!AC334</f>
        <v>-9.2519398333992093</v>
      </c>
      <c r="AD218" s="418">
        <f>(D$141+D$151)*'Petrol Refining PM2.5 by AB'!B37</f>
        <v>0</v>
      </c>
      <c r="AE218" s="418">
        <f>(E$141+E$151)*'Petrol Refining PM2.5 by AB'!C37</f>
        <v>0</v>
      </c>
      <c r="AF218" s="418">
        <f>(F$141+F$151)*'Petrol Refining PM2.5 by AB'!D37</f>
        <v>0</v>
      </c>
      <c r="AG218" s="418">
        <f>(G$141+G$151)*'Petrol Refining PM2.5 by AB'!E37</f>
        <v>0</v>
      </c>
      <c r="AH218" s="418">
        <f>(H$141+H$151)*'Petrol Refining PM2.5 by AB'!F37</f>
        <v>0</v>
      </c>
      <c r="AI218" s="418">
        <f>(I$141+I$151)*'Petrol Refining PM2.5 by AB'!G37</f>
        <v>0</v>
      </c>
      <c r="AJ218" s="418">
        <f>(J$141+J$151)*'Petrol Refining PM2.5 by AB'!H37</f>
        <v>0</v>
      </c>
      <c r="AK218" s="418">
        <f>(K$141+K$151)*'Petrol Refining PM2.5 by AB'!I37</f>
        <v>0</v>
      </c>
      <c r="AL218" s="418">
        <f>(L$141+L$151)*'Petrol Refining PM2.5 by AB'!J37</f>
        <v>0</v>
      </c>
      <c r="AM218" s="418">
        <f>(M$141+M$151)*'Petrol Refining PM2.5 by AB'!K37</f>
        <v>0</v>
      </c>
      <c r="AN218" s="418">
        <f>(N$141+N$151)*'Petrol Refining PM2.5 by AB'!L37</f>
        <v>0</v>
      </c>
      <c r="AO218" s="418">
        <f>(O$141+O$151)*'Petrol Refining PM2.5 by AB'!M37</f>
        <v>0</v>
      </c>
      <c r="AP218" s="418">
        <f>(P$141+P$151)*'Petrol Refining PM2.5 by AB'!N37</f>
        <v>0</v>
      </c>
      <c r="AQ218" s="418">
        <f>(Q$141+Q$151)*'Petrol Refining PM2.5 by AB'!O37</f>
        <v>0</v>
      </c>
      <c r="AR218" s="418">
        <f>(R$141+R$151)*'Petrol Refining PM2.5 by AB'!P37</f>
        <v>-0.36079371409864136</v>
      </c>
      <c r="AS218" s="418">
        <f>(S$141+S$151)*'Petrol Refining PM2.5 by AB'!Q37</f>
        <v>-1.2834683026569043</v>
      </c>
      <c r="AT218" s="418">
        <f>(T$141+T$151)*'Petrol Refining PM2.5 by AB'!R37</f>
        <v>-2.2270427838139217</v>
      </c>
      <c r="AU218" s="418">
        <f>(U$141+U$151)*'Petrol Refining PM2.5 by AB'!S37</f>
        <v>-3.1900655999043455</v>
      </c>
      <c r="AV218" s="418">
        <f>(V$141+V$151)*'Petrol Refining PM2.5 by AB'!T37</f>
        <v>-4.0269724495549859</v>
      </c>
      <c r="AW218" s="418">
        <f>(W$141+W$151)*'Petrol Refining PM2.5 by AB'!U37</f>
        <v>-4.9225187427214667</v>
      </c>
      <c r="AX218" s="418">
        <f>(X$141+X$151)*'Petrol Refining PM2.5 by AB'!V37</f>
        <v>-5.9406551856268113</v>
      </c>
      <c r="AY218" s="418">
        <f>(Y$141+Y$151)*'Petrol Refining PM2.5 by AB'!W37</f>
        <v>-6.4782630006542972</v>
      </c>
      <c r="AZ218" s="418">
        <f>(Z$141+Z$151)*'Petrol Refining PM2.5 by AB'!X37</f>
        <v>-7.0360426425485247</v>
      </c>
      <c r="BA218" s="418">
        <f>(AA$141+AA$151)*'Petrol Refining PM2.5 by AB'!Y37</f>
        <v>-7.5924178535871816</v>
      </c>
      <c r="BB218" s="418">
        <f>(AB$141+AB$151)*'Petrol Refining PM2.5 by AB'!Z37</f>
        <v>-8.3520256606454755</v>
      </c>
      <c r="BC218" s="4" t="s">
        <v>274</v>
      </c>
    </row>
    <row r="219" spans="1:55">
      <c r="A219" s="464"/>
      <c r="B219" s="2" t="s">
        <v>265</v>
      </c>
      <c r="C219" s="53" t="s">
        <v>65</v>
      </c>
      <c r="D219" s="175">
        <f>(D$113+D$122+D$123)*'Petrol Refining NOx by AB'!E335</f>
        <v>0</v>
      </c>
      <c r="E219" s="175">
        <f>(E$113+E$122+E$123)*'Petrol Refining NOx by AB'!F335</f>
        <v>0</v>
      </c>
      <c r="F219" s="175">
        <f>(F$113+F$122+F$123)*'Petrol Refining NOx by AB'!G335</f>
        <v>0</v>
      </c>
      <c r="G219" s="175">
        <f>(G$113+G$122+G$123)*'Petrol Refining NOx by AB'!H335</f>
        <v>0</v>
      </c>
      <c r="H219" s="175">
        <f>(H$113+H$122+H$123)*'Petrol Refining NOx by AB'!I335</f>
        <v>0</v>
      </c>
      <c r="I219" s="175">
        <f>(I$113+I$122+I$123)*'Petrol Refining NOx by AB'!J335</f>
        <v>0</v>
      </c>
      <c r="J219" s="175">
        <f>(J$113+J$122+J$123)*'Petrol Refining NOx by AB'!K335</f>
        <v>0</v>
      </c>
      <c r="K219" s="175">
        <f>(K$113+K$122+K$123)*'Petrol Refining NOx by AB'!L335</f>
        <v>0</v>
      </c>
      <c r="L219" s="175">
        <f>(L$113+L$122+L$123)*'Petrol Refining NOx by AB'!M335</f>
        <v>0</v>
      </c>
      <c r="M219" s="175">
        <f>(M$113+M$122+M$123)*'Petrol Refining NOx by AB'!N335</f>
        <v>0</v>
      </c>
      <c r="N219" s="175">
        <f>(N$113+N$122+N$123)*'Petrol Refining NOx by AB'!O335</f>
        <v>0</v>
      </c>
      <c r="O219" s="175">
        <f>(O$113+O$122+O$123)*'Petrol Refining NOx by AB'!P335</f>
        <v>0</v>
      </c>
      <c r="P219" s="175">
        <f>(P$113+P$122+P$123)*'Petrol Refining NOx by AB'!Q335</f>
        <v>0</v>
      </c>
      <c r="Q219" s="175">
        <f>(Q$113+Q$122+Q$123)*'Petrol Refining NOx by AB'!R335</f>
        <v>0</v>
      </c>
      <c r="R219" s="175">
        <f>(R$113+R$122+R$123)*'Petrol Refining NOx by AB'!S335</f>
        <v>-7.2868752244291098E-3</v>
      </c>
      <c r="S219" s="175">
        <f>(S$113+S$122+S$123)*'Petrol Refining NOx by AB'!T335</f>
        <v>-2.5921892135836476E-2</v>
      </c>
      <c r="T219" s="175">
        <f>(T$113+T$122+T$123)*'Petrol Refining NOx by AB'!U335</f>
        <v>-4.4978933755340039E-2</v>
      </c>
      <c r="U219" s="175">
        <f>(U$113+U$122+U$123)*'Petrol Refining NOx by AB'!V335</f>
        <v>-6.4428616543365527E-2</v>
      </c>
      <c r="V219" s="175">
        <f>(V$113+V$122+V$123)*'Petrol Refining NOx by AB'!W335</f>
        <v>-8.1331157470434581E-2</v>
      </c>
      <c r="W219" s="175">
        <f>(W$113+W$122+W$123)*'Petrol Refining NOx by AB'!X335</f>
        <v>-9.9418061419870835E-2</v>
      </c>
      <c r="X219" s="175">
        <f>(X$113+X$122+X$123)*'Petrol Refining NOx by AB'!Y335</f>
        <v>-0.11998096505526773</v>
      </c>
      <c r="Y219" s="175">
        <f>(Y$113+Y$122+Y$123)*'Petrol Refining NOx by AB'!Z335</f>
        <v>-0.13083867433325758</v>
      </c>
      <c r="Z219" s="175">
        <f>(Z$113+Z$122+Z$123)*'Petrol Refining NOx by AB'!AA335</f>
        <v>-0.1421039392514078</v>
      </c>
      <c r="AA219" s="175">
        <f>(AA$113+AA$122+AA$123)*'Petrol Refining NOx by AB'!AB335</f>
        <v>-0.1533406760231481</v>
      </c>
      <c r="AB219" s="175">
        <f>(AB$113+AB$122+AB$123)*'Petrol Refining NOx by AB'!AC335</f>
        <v>-0.16868198522857397</v>
      </c>
      <c r="AD219" s="418">
        <f>(D$141+D$151)*'Petrol Refining PM2.5 by AB'!B38</f>
        <v>0</v>
      </c>
      <c r="AE219" s="418">
        <f>(E$141+E$151)*'Petrol Refining PM2.5 by AB'!C38</f>
        <v>0</v>
      </c>
      <c r="AF219" s="418">
        <f>(F$141+F$151)*'Petrol Refining PM2.5 by AB'!D38</f>
        <v>0</v>
      </c>
      <c r="AG219" s="418">
        <f>(G$141+G$151)*'Petrol Refining PM2.5 by AB'!E38</f>
        <v>0</v>
      </c>
      <c r="AH219" s="418">
        <f>(H$141+H$151)*'Petrol Refining PM2.5 by AB'!F38</f>
        <v>0</v>
      </c>
      <c r="AI219" s="418">
        <f>(I$141+I$151)*'Petrol Refining PM2.5 by AB'!G38</f>
        <v>0</v>
      </c>
      <c r="AJ219" s="418">
        <f>(J$141+J$151)*'Petrol Refining PM2.5 by AB'!H38</f>
        <v>0</v>
      </c>
      <c r="AK219" s="418">
        <f>(K$141+K$151)*'Petrol Refining PM2.5 by AB'!I38</f>
        <v>0</v>
      </c>
      <c r="AL219" s="418">
        <f>(L$141+L$151)*'Petrol Refining PM2.5 by AB'!J38</f>
        <v>0</v>
      </c>
      <c r="AM219" s="418">
        <f>(M$141+M$151)*'Petrol Refining PM2.5 by AB'!K38</f>
        <v>0</v>
      </c>
      <c r="AN219" s="418">
        <f>(N$141+N$151)*'Petrol Refining PM2.5 by AB'!L38</f>
        <v>0</v>
      </c>
      <c r="AO219" s="418">
        <f>(O$141+O$151)*'Petrol Refining PM2.5 by AB'!M38</f>
        <v>0</v>
      </c>
      <c r="AP219" s="418">
        <f>(P$141+P$151)*'Petrol Refining PM2.5 by AB'!N38</f>
        <v>0</v>
      </c>
      <c r="AQ219" s="418">
        <f>(Q$141+Q$151)*'Petrol Refining PM2.5 by AB'!O38</f>
        <v>0</v>
      </c>
      <c r="AR219" s="418">
        <f>(R$141+R$151)*'Petrol Refining PM2.5 by AB'!P38</f>
        <v>-6.3085849262596201E-3</v>
      </c>
      <c r="AS219" s="418">
        <f>(S$141+S$151)*'Petrol Refining PM2.5 by AB'!Q38</f>
        <v>-2.2441823321954203E-2</v>
      </c>
      <c r="AT219" s="418">
        <f>(T$141+T$151)*'Petrol Refining PM2.5 by AB'!R38</f>
        <v>-3.8940502528441015E-2</v>
      </c>
      <c r="AU219" s="418">
        <f>(U$141+U$151)*'Petrol Refining PM2.5 by AB'!S38</f>
        <v>-5.5779241630118222E-2</v>
      </c>
      <c r="AV219" s="418">
        <f>(V$141+V$151)*'Petrol Refining PM2.5 by AB'!T38</f>
        <v>-7.0412805714180904E-2</v>
      </c>
      <c r="AW219" s="418">
        <f>(W$141+W$151)*'Petrol Refining PM2.5 by AB'!U38</f>
        <v>-8.6071697831944141E-2</v>
      </c>
      <c r="AX219" s="418">
        <f>(X$141+X$151)*'Petrol Refining PM2.5 by AB'!V38</f>
        <v>-0.10387411501827069</v>
      </c>
      <c r="AY219" s="418">
        <f>(Y$141+Y$151)*'Petrol Refining PM2.5 by AB'!W38</f>
        <v>-0.11327434685599756</v>
      </c>
      <c r="AZ219" s="418">
        <f>(Z$141+Z$151)*'Petrol Refining PM2.5 by AB'!X38</f>
        <v>-0.12302728905960358</v>
      </c>
      <c r="BA219" s="418">
        <f>(AA$141+AA$151)*'Petrol Refining PM2.5 by AB'!Y38</f>
        <v>-0.13275567437383157</v>
      </c>
      <c r="BB219" s="418">
        <f>(AB$141+AB$151)*'Petrol Refining PM2.5 by AB'!Z38</f>
        <v>-0.1460376418090151</v>
      </c>
      <c r="BC219" s="4"/>
    </row>
    <row r="220" spans="1:55">
      <c r="A220" s="464"/>
      <c r="B220" s="2" t="s">
        <v>267</v>
      </c>
      <c r="C220" s="53" t="s">
        <v>65</v>
      </c>
      <c r="D220" s="175">
        <f>(D$113+D$122+D$123)*'Petrol Refining NOx by AB'!E336</f>
        <v>0</v>
      </c>
      <c r="E220" s="175">
        <f>(E$113+E$122+E$123)*'Petrol Refining NOx by AB'!F336</f>
        <v>0</v>
      </c>
      <c r="F220" s="175">
        <f>(F$113+F$122+F$123)*'Petrol Refining NOx by AB'!G336</f>
        <v>0</v>
      </c>
      <c r="G220" s="175">
        <f>(G$113+G$122+G$123)*'Petrol Refining NOx by AB'!H336</f>
        <v>0</v>
      </c>
      <c r="H220" s="175">
        <f>(H$113+H$122+H$123)*'Petrol Refining NOx by AB'!I336</f>
        <v>0</v>
      </c>
      <c r="I220" s="175">
        <f>(I$113+I$122+I$123)*'Petrol Refining NOx by AB'!J336</f>
        <v>0</v>
      </c>
      <c r="J220" s="175">
        <f>(J$113+J$122+J$123)*'Petrol Refining NOx by AB'!K336</f>
        <v>0</v>
      </c>
      <c r="K220" s="175">
        <f>(K$113+K$122+K$123)*'Petrol Refining NOx by AB'!L336</f>
        <v>0</v>
      </c>
      <c r="L220" s="175">
        <f>(L$113+L$122+L$123)*'Petrol Refining NOx by AB'!M336</f>
        <v>0</v>
      </c>
      <c r="M220" s="175">
        <f>(M$113+M$122+M$123)*'Petrol Refining NOx by AB'!N336</f>
        <v>0</v>
      </c>
      <c r="N220" s="175">
        <f>(N$113+N$122+N$123)*'Petrol Refining NOx by AB'!O336</f>
        <v>0</v>
      </c>
      <c r="O220" s="175">
        <f>(O$113+O$122+O$123)*'Petrol Refining NOx by AB'!P336</f>
        <v>0</v>
      </c>
      <c r="P220" s="175">
        <f>(P$113+P$122+P$123)*'Petrol Refining NOx by AB'!Q336</f>
        <v>0</v>
      </c>
      <c r="Q220" s="175">
        <f>(Q$113+Q$122+Q$123)*'Petrol Refining NOx by AB'!R336</f>
        <v>0</v>
      </c>
      <c r="R220" s="175">
        <f>(R$113+R$122+R$123)*'Petrol Refining NOx by AB'!S336</f>
        <v>-3.7650936493142058E-2</v>
      </c>
      <c r="S220" s="175">
        <f>(S$113+S$122+S$123)*'Petrol Refining NOx by AB'!T336</f>
        <v>-0.13393717945333983</v>
      </c>
      <c r="T220" s="175">
        <f>(T$113+T$122+T$123)*'Petrol Refining NOx by AB'!U336</f>
        <v>-0.23240400393767258</v>
      </c>
      <c r="U220" s="175">
        <f>(U$113+U$122+U$123)*'Petrol Refining NOx by AB'!V336</f>
        <v>-0.33289958659959162</v>
      </c>
      <c r="V220" s="175">
        <f>(V$113+V$122+V$123)*'Petrol Refining NOx by AB'!W336</f>
        <v>-0.42023420883715995</v>
      </c>
      <c r="W220" s="175">
        <f>(W$113+W$122+W$123)*'Petrol Refining NOx by AB'!X336</f>
        <v>-0.51368837828345182</v>
      </c>
      <c r="X220" s="175">
        <f>(X$113+X$122+X$123)*'Petrol Refining NOx by AB'!Y336</f>
        <v>-0.6199359199313994</v>
      </c>
      <c r="Y220" s="175">
        <f>(Y$113+Y$122+Y$123)*'Petrol Refining NOx by AB'!Z336</f>
        <v>-0.67603718554880554</v>
      </c>
      <c r="Z220" s="175">
        <f>(Z$113+Z$122+Z$123)*'Petrol Refining NOx by AB'!AA336</f>
        <v>-0.7342442717069092</v>
      </c>
      <c r="AA220" s="175">
        <f>(AA$113+AA$122+AA$123)*'Petrol Refining NOx by AB'!AB336</f>
        <v>-0.79230395429411793</v>
      </c>
      <c r="AB220" s="175">
        <f>(AB$113+AB$122+AB$123)*'Petrol Refining NOx by AB'!AC336</f>
        <v>-0.87157176674117365</v>
      </c>
      <c r="AD220" s="418">
        <f>(D$141+D$151)*'Petrol Refining PM2.5 by AB'!B39</f>
        <v>0</v>
      </c>
      <c r="AE220" s="418">
        <f>(E$141+E$151)*'Petrol Refining PM2.5 by AB'!C39</f>
        <v>0</v>
      </c>
      <c r="AF220" s="418">
        <f>(F$141+F$151)*'Petrol Refining PM2.5 by AB'!D39</f>
        <v>0</v>
      </c>
      <c r="AG220" s="418">
        <f>(G$141+G$151)*'Petrol Refining PM2.5 by AB'!E39</f>
        <v>0</v>
      </c>
      <c r="AH220" s="418">
        <f>(H$141+H$151)*'Petrol Refining PM2.5 by AB'!F39</f>
        <v>0</v>
      </c>
      <c r="AI220" s="418">
        <f>(I$141+I$151)*'Petrol Refining PM2.5 by AB'!G39</f>
        <v>0</v>
      </c>
      <c r="AJ220" s="418">
        <f>(J$141+J$151)*'Petrol Refining PM2.5 by AB'!H39</f>
        <v>0</v>
      </c>
      <c r="AK220" s="418">
        <f>(K$141+K$151)*'Petrol Refining PM2.5 by AB'!I39</f>
        <v>0</v>
      </c>
      <c r="AL220" s="418">
        <f>(L$141+L$151)*'Petrol Refining PM2.5 by AB'!J39</f>
        <v>0</v>
      </c>
      <c r="AM220" s="418">
        <f>(M$141+M$151)*'Petrol Refining PM2.5 by AB'!K39</f>
        <v>0</v>
      </c>
      <c r="AN220" s="418">
        <f>(N$141+N$151)*'Petrol Refining PM2.5 by AB'!L39</f>
        <v>0</v>
      </c>
      <c r="AO220" s="418">
        <f>(O$141+O$151)*'Petrol Refining PM2.5 by AB'!M39</f>
        <v>0</v>
      </c>
      <c r="AP220" s="418">
        <f>(P$141+P$151)*'Petrol Refining PM2.5 by AB'!N39</f>
        <v>0</v>
      </c>
      <c r="AQ220" s="418">
        <f>(Q$141+Q$151)*'Petrol Refining PM2.5 by AB'!O39</f>
        <v>0</v>
      </c>
      <c r="AR220" s="418">
        <f>(R$141+R$151)*'Petrol Refining PM2.5 by AB'!P39</f>
        <v>-7.6257700918956192E-3</v>
      </c>
      <c r="AS220" s="418">
        <f>(S$141+S$151)*'Petrol Refining PM2.5 by AB'!Q39</f>
        <v>-2.7127507530857818E-2</v>
      </c>
      <c r="AT220" s="418">
        <f>(T$141+T$151)*'Petrol Refining PM2.5 by AB'!R39</f>
        <v>-4.7070987078053753E-2</v>
      </c>
      <c r="AU220" s="418">
        <f>(U$141+U$151)*'Petrol Refining PM2.5 by AB'!S39</f>
        <v>-6.7425528473272323E-2</v>
      </c>
      <c r="AV220" s="418">
        <f>(V$141+V$151)*'Petrol Refining PM2.5 by AB'!T39</f>
        <v>-8.5114470864390529E-2</v>
      </c>
      <c r="AW220" s="418">
        <f>(W$141+W$151)*'Petrol Refining PM2.5 by AB'!U39</f>
        <v>-0.10404282208413994</v>
      </c>
      <c r="AX220" s="418">
        <f>(X$141+X$151)*'Petrol Refining PM2.5 by AB'!V39</f>
        <v>-0.12556225031246504</v>
      </c>
      <c r="AY220" s="418">
        <f>(Y$141+Y$151)*'Petrol Refining PM2.5 by AB'!W39</f>
        <v>-0.13692517997782255</v>
      </c>
      <c r="AZ220" s="418">
        <f>(Z$141+Z$151)*'Petrol Refining PM2.5 by AB'!X39</f>
        <v>-0.14871446328518728</v>
      </c>
      <c r="BA220" s="418">
        <f>(AA$141+AA$151)*'Petrol Refining PM2.5 by AB'!Y39</f>
        <v>-0.16047406240905321</v>
      </c>
      <c r="BB220" s="418">
        <f>(AB$141+AB$151)*'Petrol Refining PM2.5 by AB'!Z39</f>
        <v>-0.17652920491924629</v>
      </c>
    </row>
    <row r="221" spans="1:55">
      <c r="A221" s="464"/>
      <c r="B221" s="2" t="s">
        <v>268</v>
      </c>
      <c r="C221" s="67" t="s">
        <v>65</v>
      </c>
      <c r="D221" s="175">
        <f>(D$113+D$122+D$123)*'Petrol Refining NOx by AB'!E337</f>
        <v>0</v>
      </c>
      <c r="E221" s="175">
        <f>(E$113+E$122+E$123)*'Petrol Refining NOx by AB'!F337</f>
        <v>0</v>
      </c>
      <c r="F221" s="175">
        <f>(F$113+F$122+F$123)*'Petrol Refining NOx by AB'!G337</f>
        <v>0</v>
      </c>
      <c r="G221" s="175">
        <f>(G$113+G$122+G$123)*'Petrol Refining NOx by AB'!H337</f>
        <v>0</v>
      </c>
      <c r="H221" s="175">
        <f>(H$113+H$122+H$123)*'Petrol Refining NOx by AB'!I337</f>
        <v>0</v>
      </c>
      <c r="I221" s="175">
        <f>(I$113+I$122+I$123)*'Petrol Refining NOx by AB'!J337</f>
        <v>0</v>
      </c>
      <c r="J221" s="175">
        <f>(J$113+J$122+J$123)*'Petrol Refining NOx by AB'!K337</f>
        <v>0</v>
      </c>
      <c r="K221" s="175">
        <f>(K$113+K$122+K$123)*'Petrol Refining NOx by AB'!L337</f>
        <v>0</v>
      </c>
      <c r="L221" s="175">
        <f>(L$113+L$122+L$123)*'Petrol Refining NOx by AB'!M337</f>
        <v>0</v>
      </c>
      <c r="M221" s="175">
        <f>(M$113+M$122+M$123)*'Petrol Refining NOx by AB'!N337</f>
        <v>0</v>
      </c>
      <c r="N221" s="175">
        <f>(N$113+N$122+N$123)*'Petrol Refining NOx by AB'!O337</f>
        <v>0</v>
      </c>
      <c r="O221" s="175">
        <f>(O$113+O$122+O$123)*'Petrol Refining NOx by AB'!P337</f>
        <v>0</v>
      </c>
      <c r="P221" s="175">
        <f>(P$113+P$122+P$123)*'Petrol Refining NOx by AB'!Q337</f>
        <v>0</v>
      </c>
      <c r="Q221" s="175">
        <f>(Q$113+Q$122+Q$123)*'Petrol Refining NOx by AB'!R337</f>
        <v>0</v>
      </c>
      <c r="R221" s="175">
        <f>(R$113+R$122+R$123)*'Petrol Refining NOx by AB'!S337</f>
        <v>-0.88439723603544818</v>
      </c>
      <c r="S221" s="175">
        <f>(S$113+S$122+S$123)*'Petrol Refining NOx by AB'!T337</f>
        <v>-3.1461125096335287</v>
      </c>
      <c r="T221" s="175">
        <f>(T$113+T$122+T$123)*'Petrol Refining NOx by AB'!U337</f>
        <v>-5.4590636779569026</v>
      </c>
      <c r="U221" s="175">
        <f>(U$113+U$122+U$123)*'Petrol Refining NOx by AB'!V337</f>
        <v>-7.8197003453562033</v>
      </c>
      <c r="V221" s="175">
        <f>(V$113+V$122+V$123)*'Petrol Refining NOx by AB'!W337</f>
        <v>-9.871194542271299</v>
      </c>
      <c r="W221" s="175">
        <f>(W$113+W$122+W$123)*'Petrol Refining NOx by AB'!X337</f>
        <v>-12.066425875152046</v>
      </c>
      <c r="X221" s="175">
        <f>(X$113+X$122+X$123)*'Petrol Refining NOx by AB'!Y337</f>
        <v>-14.562149967854765</v>
      </c>
      <c r="Y221" s="175">
        <f>(Y$113+Y$122+Y$123)*'Petrol Refining NOx by AB'!Z337</f>
        <v>-15.879977555176476</v>
      </c>
      <c r="Z221" s="175">
        <f>(Z$113+Z$122+Z$123)*'Petrol Refining NOx by AB'!AA337</f>
        <v>-17.247241932451356</v>
      </c>
      <c r="AA221" s="175">
        <f>(AA$113+AA$122+AA$123)*'Petrol Refining NOx by AB'!AB337</f>
        <v>-18.611077277879684</v>
      </c>
      <c r="AB221" s="175">
        <f>(AB$113+AB$122+AB$123)*'Petrol Refining NOx by AB'!AC337</f>
        <v>-20.473092237468364</v>
      </c>
      <c r="AD221" s="418">
        <f>(D$141+D$151)*'Petrol Refining PM2.5 by AB'!B40</f>
        <v>0</v>
      </c>
      <c r="AE221" s="418">
        <f>(E$141+E$151)*'Petrol Refining PM2.5 by AB'!C40</f>
        <v>0</v>
      </c>
      <c r="AF221" s="418">
        <f>(F$141+F$151)*'Petrol Refining PM2.5 by AB'!D40</f>
        <v>0</v>
      </c>
      <c r="AG221" s="418">
        <f>(G$141+G$151)*'Petrol Refining PM2.5 by AB'!E40</f>
        <v>0</v>
      </c>
      <c r="AH221" s="418">
        <f>(H$141+H$151)*'Petrol Refining PM2.5 by AB'!F40</f>
        <v>0</v>
      </c>
      <c r="AI221" s="418">
        <f>(I$141+I$151)*'Petrol Refining PM2.5 by AB'!G40</f>
        <v>0</v>
      </c>
      <c r="AJ221" s="418">
        <f>(J$141+J$151)*'Petrol Refining PM2.5 by AB'!H40</f>
        <v>0</v>
      </c>
      <c r="AK221" s="418">
        <f>(K$141+K$151)*'Petrol Refining PM2.5 by AB'!I40</f>
        <v>0</v>
      </c>
      <c r="AL221" s="418">
        <f>(L$141+L$151)*'Petrol Refining PM2.5 by AB'!J40</f>
        <v>0</v>
      </c>
      <c r="AM221" s="418">
        <f>(M$141+M$151)*'Petrol Refining PM2.5 by AB'!K40</f>
        <v>0</v>
      </c>
      <c r="AN221" s="418">
        <f>(N$141+N$151)*'Petrol Refining PM2.5 by AB'!L40</f>
        <v>0</v>
      </c>
      <c r="AO221" s="418">
        <f>(O$141+O$151)*'Petrol Refining PM2.5 by AB'!M40</f>
        <v>0</v>
      </c>
      <c r="AP221" s="418">
        <f>(P$141+P$151)*'Petrol Refining PM2.5 by AB'!N40</f>
        <v>0</v>
      </c>
      <c r="AQ221" s="418">
        <f>(Q$141+Q$151)*'Petrol Refining PM2.5 by AB'!O40</f>
        <v>0</v>
      </c>
      <c r="AR221" s="418">
        <f>(R$141+R$151)*'Petrol Refining PM2.5 by AB'!P40</f>
        <v>-0.19929837917799323</v>
      </c>
      <c r="AS221" s="418">
        <f>(S$141+S$151)*'Petrol Refining PM2.5 by AB'!Q40</f>
        <v>-0.70897428165277487</v>
      </c>
      <c r="AT221" s="418">
        <f>(T$141+T$151)*'Petrol Refining PM2.5 by AB'!R40</f>
        <v>-1.2301949139665398</v>
      </c>
      <c r="AU221" s="418">
        <f>(U$141+U$151)*'Petrol Refining PM2.5 by AB'!S40</f>
        <v>-1.7621600374042554</v>
      </c>
      <c r="AV221" s="418">
        <f>(V$141+V$151)*'Petrol Refining PM2.5 by AB'!T40</f>
        <v>-2.2244599589488754</v>
      </c>
      <c r="AW221" s="418">
        <f>(W$141+W$151)*'Petrol Refining PM2.5 by AB'!U40</f>
        <v>-2.7191512306027077</v>
      </c>
      <c r="AX221" s="418">
        <f>(X$141+X$151)*'Petrol Refining PM2.5 by AB'!V40</f>
        <v>-3.281558835673839</v>
      </c>
      <c r="AY221" s="418">
        <f>(Y$141+Y$151)*'Petrol Refining PM2.5 by AB'!W40</f>
        <v>-3.5785269547417524</v>
      </c>
      <c r="AZ221" s="418">
        <f>(Z$141+Z$151)*'Petrol Refining PM2.5 by AB'!X40</f>
        <v>-3.8866376025253602</v>
      </c>
      <c r="BA221" s="418">
        <f>(AA$141+AA$151)*'Petrol Refining PM2.5 by AB'!Y40</f>
        <v>-4.1939740270936889</v>
      </c>
      <c r="BB221" s="418">
        <f>(AB$141+AB$151)*'Petrol Refining PM2.5 by AB'!Z40</f>
        <v>-4.6135739679678851</v>
      </c>
      <c r="BC221" s="4" t="s">
        <v>274</v>
      </c>
    </row>
    <row r="222" spans="1:55" ht="15.75" thickBot="1">
      <c r="A222" s="465"/>
      <c r="B222" s="72" t="s">
        <v>270</v>
      </c>
      <c r="C222" s="73" t="s">
        <v>65</v>
      </c>
      <c r="D222" s="417">
        <f t="shared" ref="D222" si="66">SUM(D207:D221)</f>
        <v>0</v>
      </c>
      <c r="E222" s="417">
        <f>SUM(E207:E221)</f>
        <v>0</v>
      </c>
      <c r="F222" s="417">
        <f t="shared" ref="F222:AB222" si="67">SUM(F207:F221)</f>
        <v>0</v>
      </c>
      <c r="G222" s="417">
        <f t="shared" si="67"/>
        <v>0</v>
      </c>
      <c r="H222" s="417">
        <f t="shared" si="67"/>
        <v>0</v>
      </c>
      <c r="I222" s="417">
        <f t="shared" si="67"/>
        <v>0</v>
      </c>
      <c r="J222" s="417">
        <f t="shared" si="67"/>
        <v>0</v>
      </c>
      <c r="K222" s="417">
        <f t="shared" si="67"/>
        <v>0</v>
      </c>
      <c r="L222" s="417">
        <f t="shared" si="67"/>
        <v>0</v>
      </c>
      <c r="M222" s="417">
        <f t="shared" si="67"/>
        <v>0</v>
      </c>
      <c r="N222" s="417">
        <f t="shared" si="67"/>
        <v>0</v>
      </c>
      <c r="O222" s="417">
        <f t="shared" si="67"/>
        <v>0</v>
      </c>
      <c r="P222" s="417">
        <f t="shared" si="67"/>
        <v>0</v>
      </c>
      <c r="Q222" s="417">
        <f t="shared" si="67"/>
        <v>0</v>
      </c>
      <c r="R222" s="417">
        <f t="shared" si="67"/>
        <v>-1.3290086172723163</v>
      </c>
      <c r="S222" s="417">
        <f t="shared" si="67"/>
        <v>-4.7277463254767671</v>
      </c>
      <c r="T222" s="417">
        <f t="shared" si="67"/>
        <v>-8.2034699217306297</v>
      </c>
      <c r="U222" s="417">
        <f t="shared" si="67"/>
        <v>-11.750836162872623</v>
      </c>
      <c r="V222" s="417">
        <f t="shared" si="67"/>
        <v>-14.833645132792583</v>
      </c>
      <c r="W222" s="417">
        <f t="shared" si="67"/>
        <v>-18.132455585609122</v>
      </c>
      <c r="X222" s="417">
        <f t="shared" si="67"/>
        <v>-21.882832832921157</v>
      </c>
      <c r="Y222" s="417">
        <f t="shared" si="67"/>
        <v>-23.863147559170599</v>
      </c>
      <c r="Z222" s="417">
        <f t="shared" si="67"/>
        <v>-25.917766233177026</v>
      </c>
      <c r="AA222" s="417">
        <f t="shared" si="67"/>
        <v>-27.967215219954618</v>
      </c>
      <c r="AB222" s="417">
        <f t="shared" si="67"/>
        <v>-30.76528582283732</v>
      </c>
      <c r="AD222" s="417">
        <f t="shared" ref="AD222:BB222" si="68">SUM(AD207:AD221)</f>
        <v>0</v>
      </c>
      <c r="AE222" s="417">
        <f t="shared" si="68"/>
        <v>0</v>
      </c>
      <c r="AF222" s="417">
        <f t="shared" si="68"/>
        <v>0</v>
      </c>
      <c r="AG222" s="417">
        <f t="shared" si="68"/>
        <v>0</v>
      </c>
      <c r="AH222" s="417">
        <f t="shared" si="68"/>
        <v>0</v>
      </c>
      <c r="AI222" s="417">
        <f t="shared" si="68"/>
        <v>0</v>
      </c>
      <c r="AJ222" s="417">
        <f t="shared" si="68"/>
        <v>0</v>
      </c>
      <c r="AK222" s="417">
        <f t="shared" si="68"/>
        <v>0</v>
      </c>
      <c r="AL222" s="417">
        <f t="shared" si="68"/>
        <v>0</v>
      </c>
      <c r="AM222" s="417">
        <f t="shared" si="68"/>
        <v>0</v>
      </c>
      <c r="AN222" s="417">
        <f t="shared" si="68"/>
        <v>0</v>
      </c>
      <c r="AO222" s="417">
        <f t="shared" si="68"/>
        <v>0</v>
      </c>
      <c r="AP222" s="417">
        <f t="shared" si="68"/>
        <v>0</v>
      </c>
      <c r="AQ222" s="417">
        <f t="shared" si="68"/>
        <v>0</v>
      </c>
      <c r="AR222" s="417">
        <f t="shared" si="68"/>
        <v>-0.57411217841726903</v>
      </c>
      <c r="AS222" s="417">
        <f t="shared" si="68"/>
        <v>-2.0423168869247066</v>
      </c>
      <c r="AT222" s="417">
        <f t="shared" si="68"/>
        <v>-3.5437783669240766</v>
      </c>
      <c r="AU222" s="417">
        <f t="shared" si="68"/>
        <v>-5.0761884159468122</v>
      </c>
      <c r="AV222" s="417">
        <f t="shared" si="68"/>
        <v>-6.4079165555262074</v>
      </c>
      <c r="AW222" s="417">
        <f t="shared" si="68"/>
        <v>-7.8329541592245278</v>
      </c>
      <c r="AX222" s="417">
        <f t="shared" si="68"/>
        <v>-9.4530619774567484</v>
      </c>
      <c r="AY222" s="417">
        <f t="shared" si="68"/>
        <v>-10.308528816921124</v>
      </c>
      <c r="AZ222" s="417">
        <f t="shared" si="68"/>
        <v>-11.196093869111399</v>
      </c>
      <c r="BA222" s="417">
        <f t="shared" si="68"/>
        <v>-12.081425692443629</v>
      </c>
      <c r="BB222" s="417">
        <f t="shared" si="68"/>
        <v>-13.290151044791855</v>
      </c>
    </row>
  </sheetData>
  <mergeCells count="13">
    <mergeCell ref="D205:AB205"/>
    <mergeCell ref="AD205:BB205"/>
    <mergeCell ref="A206:A222"/>
    <mergeCell ref="A184:A200"/>
    <mergeCell ref="AD165:BB165"/>
    <mergeCell ref="D165:AB165"/>
    <mergeCell ref="A166:A182"/>
    <mergeCell ref="A1:A26"/>
    <mergeCell ref="A81:A106"/>
    <mergeCell ref="A109:A135"/>
    <mergeCell ref="A137:A163"/>
    <mergeCell ref="A28:A51"/>
    <mergeCell ref="A54:A7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2">
    <tabColor rgb="FF00B0F0"/>
  </sheetPr>
  <dimension ref="A1:BB43"/>
  <sheetViews>
    <sheetView topLeftCell="Z1" workbookViewId="0">
      <selection activeCell="AE22" sqref="AE22"/>
    </sheetView>
  </sheetViews>
  <sheetFormatPr defaultRowHeight="15" customHeight="1"/>
  <cols>
    <col min="1" max="1" width="49.7109375" bestFit="1" customWidth="1"/>
    <col min="2" max="2" width="12.42578125" customWidth="1"/>
    <col min="3" max="3" width="8.7109375" bestFit="1" customWidth="1"/>
    <col min="4" max="4" width="9.28515625" customWidth="1"/>
    <col min="5" max="5" width="9.5703125" bestFit="1" customWidth="1"/>
    <col min="6" max="16" width="9.28515625" bestFit="1" customWidth="1"/>
    <col min="17" max="26" width="9.28515625" customWidth="1"/>
    <col min="27" max="27" width="13.42578125" bestFit="1" customWidth="1"/>
    <col min="28" max="28" width="13.42578125" customWidth="1"/>
    <col min="29" max="29" width="9" customWidth="1"/>
    <col min="30" max="30" width="8.7109375" customWidth="1"/>
    <col min="31" max="42" width="9" bestFit="1" customWidth="1"/>
  </cols>
  <sheetData>
    <row r="1" spans="1:53" ht="18.75">
      <c r="A1" s="1" t="s">
        <v>275</v>
      </c>
    </row>
    <row r="3" spans="1:53" ht="15" customHeight="1">
      <c r="A3" s="4" t="s">
        <v>276</v>
      </c>
      <c r="B3" s="4" t="s">
        <v>1</v>
      </c>
    </row>
    <row r="4" spans="1:53" ht="15" customHeight="1">
      <c r="A4" t="s">
        <v>277</v>
      </c>
      <c r="B4" t="s">
        <v>7</v>
      </c>
    </row>
    <row r="6" spans="1:53" ht="18.75">
      <c r="B6" s="469" t="s">
        <v>278</v>
      </c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AC6" s="468" t="s">
        <v>246</v>
      </c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</row>
    <row r="7" spans="1:53">
      <c r="A7" s="118" t="s">
        <v>131</v>
      </c>
      <c r="B7" s="119" t="s">
        <v>1</v>
      </c>
      <c r="C7" s="95">
        <v>2022</v>
      </c>
      <c r="D7" s="83">
        <v>2023</v>
      </c>
      <c r="E7" s="95">
        <v>2024</v>
      </c>
      <c r="F7" s="83">
        <v>2025</v>
      </c>
      <c r="G7" s="95">
        <v>2026</v>
      </c>
      <c r="H7" s="83">
        <v>2027</v>
      </c>
      <c r="I7" s="95">
        <v>2028</v>
      </c>
      <c r="J7" s="83">
        <v>2029</v>
      </c>
      <c r="K7" s="95">
        <v>2030</v>
      </c>
      <c r="L7" s="83">
        <v>2031</v>
      </c>
      <c r="M7" s="95">
        <v>2032</v>
      </c>
      <c r="N7" s="83">
        <v>2033</v>
      </c>
      <c r="O7" s="95">
        <v>2034</v>
      </c>
      <c r="P7" s="83">
        <v>2035</v>
      </c>
      <c r="Q7" s="95">
        <v>2036</v>
      </c>
      <c r="R7" s="83">
        <v>2037</v>
      </c>
      <c r="S7" s="95">
        <v>2038</v>
      </c>
      <c r="T7" s="83">
        <v>2039</v>
      </c>
      <c r="U7" s="95">
        <v>2040</v>
      </c>
      <c r="V7" s="83">
        <v>2041</v>
      </c>
      <c r="W7" s="95">
        <v>2042</v>
      </c>
      <c r="X7" s="83">
        <v>2043</v>
      </c>
      <c r="Y7" s="95">
        <v>2044</v>
      </c>
      <c r="Z7" s="83">
        <v>2045</v>
      </c>
      <c r="AA7" s="95">
        <v>2046</v>
      </c>
      <c r="AB7" s="95"/>
      <c r="AC7" s="83">
        <v>2022</v>
      </c>
      <c r="AD7" s="83">
        <v>2023</v>
      </c>
      <c r="AE7" s="83">
        <v>2024</v>
      </c>
      <c r="AF7" s="83">
        <v>2025</v>
      </c>
      <c r="AG7" s="83">
        <v>2026</v>
      </c>
      <c r="AH7" s="83">
        <v>2027</v>
      </c>
      <c r="AI7" s="83">
        <v>2028</v>
      </c>
      <c r="AJ7" s="83">
        <v>2029</v>
      </c>
      <c r="AK7" s="84">
        <v>2030</v>
      </c>
      <c r="AL7" s="83">
        <v>2031</v>
      </c>
      <c r="AM7" s="83">
        <v>2032</v>
      </c>
      <c r="AN7" s="83">
        <v>2033</v>
      </c>
      <c r="AO7" s="83">
        <v>2034</v>
      </c>
      <c r="AP7" s="84">
        <v>2035</v>
      </c>
      <c r="AQ7" s="83">
        <v>2036</v>
      </c>
      <c r="AR7" s="83">
        <v>2037</v>
      </c>
      <c r="AS7" s="83">
        <v>2038</v>
      </c>
      <c r="AT7" s="83">
        <v>2039</v>
      </c>
      <c r="AU7" s="83">
        <v>2040</v>
      </c>
      <c r="AV7" s="83">
        <v>2041</v>
      </c>
      <c r="AW7" s="83">
        <v>2042</v>
      </c>
      <c r="AX7" s="83">
        <v>2043</v>
      </c>
      <c r="AY7" s="83">
        <v>2044</v>
      </c>
      <c r="AZ7" s="83">
        <v>2045</v>
      </c>
      <c r="BA7" s="83">
        <v>2046</v>
      </c>
    </row>
    <row r="8" spans="1:53">
      <c r="A8" s="67" t="s">
        <v>140</v>
      </c>
      <c r="B8" s="52" t="s">
        <v>7</v>
      </c>
      <c r="C8" s="23">
        <f>'BAU Comparison - All Fuel'!D83</f>
        <v>0</v>
      </c>
      <c r="D8" s="23">
        <f>'BAU Comparison - All Fuel'!E83</f>
        <v>-3.1974423109204508E-14</v>
      </c>
      <c r="E8" s="23">
        <f>'BAU Comparison - All Fuel'!F83</f>
        <v>32.28297283363667</v>
      </c>
      <c r="F8" s="23">
        <f>'BAU Comparison - All Fuel'!G83</f>
        <v>51.566653435887297</v>
      </c>
      <c r="G8" s="23">
        <f>'BAU Comparison - All Fuel'!H83</f>
        <v>66.824950229768092</v>
      </c>
      <c r="H8" s="23">
        <f>'BAU Comparison - All Fuel'!I83</f>
        <v>81.829750474885955</v>
      </c>
      <c r="I8" s="23">
        <f>'BAU Comparison - All Fuel'!J83</f>
        <v>96.49564801396636</v>
      </c>
      <c r="J8" s="23">
        <f>'BAU Comparison - All Fuel'!K83</f>
        <v>111.3529973072324</v>
      </c>
      <c r="K8" s="23">
        <f>'BAU Comparison - All Fuel'!L83</f>
        <v>126.16616054941034</v>
      </c>
      <c r="L8" s="23">
        <f>'BAU Comparison - All Fuel'!M83</f>
        <v>140.95281216093531</v>
      </c>
      <c r="M8" s="23">
        <f>'BAU Comparison - All Fuel'!N83</f>
        <v>155.7235567940686</v>
      </c>
      <c r="N8" s="23">
        <f>'BAU Comparison - All Fuel'!O83</f>
        <v>170.48475724016677</v>
      </c>
      <c r="O8" s="23">
        <f>'BAU Comparison - All Fuel'!P83</f>
        <v>185.25311582654112</v>
      </c>
      <c r="P8" s="24">
        <f>'BAU Comparison - All Fuel'!Q83</f>
        <v>200</v>
      </c>
      <c r="Q8" s="23">
        <f>'BAU Comparison - All Fuel'!R83</f>
        <v>214.74688416554574</v>
      </c>
      <c r="R8" s="23">
        <f>'BAU Comparison - All Fuel'!S83</f>
        <v>229.49376833109133</v>
      </c>
      <c r="S8" s="24">
        <f>'BAU Comparison - All Fuel'!T83</f>
        <v>244.24065249663681</v>
      </c>
      <c r="T8" s="23">
        <f>'BAU Comparison - All Fuel'!U83</f>
        <v>259.1313576596188</v>
      </c>
      <c r="U8" s="23">
        <f>'BAU Comparison - All Fuel'!V83</f>
        <v>274.00170549226675</v>
      </c>
      <c r="V8" s="24">
        <f>'BAU Comparison - All Fuel'!W83</f>
        <v>288.78280204215866</v>
      </c>
      <c r="W8" s="23">
        <f>'BAU Comparison - All Fuel'!X83</f>
        <v>303.49954543170816</v>
      </c>
      <c r="X8" s="23">
        <f>'BAU Comparison - All Fuel'!Y83</f>
        <v>318.28910001028635</v>
      </c>
      <c r="Y8" s="24">
        <f>'BAU Comparison - All Fuel'!Z83</f>
        <v>333.05800391822078</v>
      </c>
      <c r="Z8" s="23">
        <f>'BAU Comparison - All Fuel'!AA83</f>
        <v>347.82270324346689</v>
      </c>
      <c r="AA8" s="23">
        <f>'BAU Comparison - All Fuel'!AB83</f>
        <v>362.54470392667287</v>
      </c>
      <c r="AC8" s="23">
        <f t="shared" ref="AC8:BA8" si="0">C8</f>
        <v>0</v>
      </c>
      <c r="AD8" s="23">
        <f t="shared" si="0"/>
        <v>-3.1974423109204508E-14</v>
      </c>
      <c r="AE8" s="23">
        <f>E8</f>
        <v>32.28297283363667</v>
      </c>
      <c r="AF8" s="23">
        <f t="shared" si="0"/>
        <v>51.566653435887297</v>
      </c>
      <c r="AG8" s="23">
        <f t="shared" si="0"/>
        <v>66.824950229768092</v>
      </c>
      <c r="AH8" s="23">
        <f t="shared" si="0"/>
        <v>81.829750474885955</v>
      </c>
      <c r="AI8" s="23">
        <f t="shared" si="0"/>
        <v>96.49564801396636</v>
      </c>
      <c r="AJ8" s="23">
        <f t="shared" si="0"/>
        <v>111.3529973072324</v>
      </c>
      <c r="AK8" s="23">
        <f t="shared" si="0"/>
        <v>126.16616054941034</v>
      </c>
      <c r="AL8" s="23">
        <f t="shared" si="0"/>
        <v>140.95281216093531</v>
      </c>
      <c r="AM8" s="23">
        <f t="shared" si="0"/>
        <v>155.7235567940686</v>
      </c>
      <c r="AN8" s="23">
        <f t="shared" si="0"/>
        <v>170.48475724016677</v>
      </c>
      <c r="AO8" s="23">
        <f t="shared" si="0"/>
        <v>185.25311582654112</v>
      </c>
      <c r="AP8" s="23">
        <f t="shared" si="0"/>
        <v>200</v>
      </c>
      <c r="AQ8" s="23">
        <f t="shared" si="0"/>
        <v>214.74688416554574</v>
      </c>
      <c r="AR8" s="23">
        <f t="shared" si="0"/>
        <v>229.49376833109133</v>
      </c>
      <c r="AS8" s="23">
        <f t="shared" si="0"/>
        <v>244.24065249663681</v>
      </c>
      <c r="AT8" s="23">
        <f t="shared" si="0"/>
        <v>259.1313576596188</v>
      </c>
      <c r="AU8" s="23">
        <f t="shared" si="0"/>
        <v>274.00170549226675</v>
      </c>
      <c r="AV8" s="23">
        <f t="shared" si="0"/>
        <v>288.78280204215866</v>
      </c>
      <c r="AW8" s="23">
        <f t="shared" si="0"/>
        <v>303.49954543170816</v>
      </c>
      <c r="AX8" s="23">
        <f t="shared" si="0"/>
        <v>318.28910001028635</v>
      </c>
      <c r="AY8" s="23">
        <f t="shared" si="0"/>
        <v>333.05800391822078</v>
      </c>
      <c r="AZ8" s="23">
        <f t="shared" si="0"/>
        <v>347.82270324346689</v>
      </c>
      <c r="BA8" s="23">
        <f t="shared" si="0"/>
        <v>362.54470392667287</v>
      </c>
    </row>
    <row r="9" spans="1:53">
      <c r="A9" s="4"/>
      <c r="B9" s="5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53">
      <c r="A10" s="25" t="s">
        <v>279</v>
      </c>
      <c r="B10" s="18" t="s">
        <v>1</v>
      </c>
      <c r="C10" s="95">
        <f>C7</f>
        <v>2022</v>
      </c>
      <c r="D10" s="95">
        <f t="shared" ref="D10:AA10" si="1">D7</f>
        <v>2023</v>
      </c>
      <c r="E10" s="95">
        <f t="shared" si="1"/>
        <v>2024</v>
      </c>
      <c r="F10" s="95">
        <f t="shared" si="1"/>
        <v>2025</v>
      </c>
      <c r="G10" s="95">
        <f t="shared" si="1"/>
        <v>2026</v>
      </c>
      <c r="H10" s="95">
        <f t="shared" si="1"/>
        <v>2027</v>
      </c>
      <c r="I10" s="95">
        <f t="shared" si="1"/>
        <v>2028</v>
      </c>
      <c r="J10" s="95">
        <f t="shared" si="1"/>
        <v>2029</v>
      </c>
      <c r="K10" s="95">
        <f t="shared" si="1"/>
        <v>2030</v>
      </c>
      <c r="L10" s="95">
        <f t="shared" si="1"/>
        <v>2031</v>
      </c>
      <c r="M10" s="95">
        <f t="shared" si="1"/>
        <v>2032</v>
      </c>
      <c r="N10" s="95">
        <f t="shared" si="1"/>
        <v>2033</v>
      </c>
      <c r="O10" s="95">
        <f t="shared" si="1"/>
        <v>2034</v>
      </c>
      <c r="P10" s="95">
        <f t="shared" si="1"/>
        <v>2035</v>
      </c>
      <c r="Q10" s="95">
        <f t="shared" si="1"/>
        <v>2036</v>
      </c>
      <c r="R10" s="95">
        <f t="shared" si="1"/>
        <v>2037</v>
      </c>
      <c r="S10" s="95">
        <f t="shared" si="1"/>
        <v>2038</v>
      </c>
      <c r="T10" s="95">
        <f t="shared" si="1"/>
        <v>2039</v>
      </c>
      <c r="U10" s="95">
        <f t="shared" si="1"/>
        <v>2040</v>
      </c>
      <c r="V10" s="95">
        <f t="shared" si="1"/>
        <v>2041</v>
      </c>
      <c r="W10" s="95">
        <f t="shared" si="1"/>
        <v>2042</v>
      </c>
      <c r="X10" s="95">
        <f t="shared" si="1"/>
        <v>2043</v>
      </c>
      <c r="Y10" s="95">
        <f t="shared" si="1"/>
        <v>2044</v>
      </c>
      <c r="Z10" s="95">
        <f t="shared" si="1"/>
        <v>2045</v>
      </c>
      <c r="AA10" s="95">
        <f t="shared" si="1"/>
        <v>2046</v>
      </c>
      <c r="AC10" s="83">
        <v>2022</v>
      </c>
      <c r="AD10" s="83">
        <v>2023</v>
      </c>
      <c r="AE10" s="83">
        <v>2024</v>
      </c>
      <c r="AF10" s="83">
        <v>2025</v>
      </c>
      <c r="AG10" s="83">
        <v>2026</v>
      </c>
      <c r="AH10" s="83">
        <v>2027</v>
      </c>
      <c r="AI10" s="83">
        <v>2028</v>
      </c>
      <c r="AJ10" s="83">
        <v>2029</v>
      </c>
      <c r="AK10" s="84">
        <v>2030</v>
      </c>
      <c r="AL10" s="83">
        <v>2031</v>
      </c>
      <c r="AM10" s="83">
        <v>2032</v>
      </c>
      <c r="AN10" s="83">
        <v>2033</v>
      </c>
      <c r="AO10" s="83">
        <v>2034</v>
      </c>
      <c r="AP10" s="83">
        <v>2035</v>
      </c>
      <c r="AQ10" s="83">
        <v>2036</v>
      </c>
      <c r="AR10" s="83">
        <v>2037</v>
      </c>
      <c r="AS10" s="83">
        <v>2038</v>
      </c>
      <c r="AT10" s="84">
        <v>2039</v>
      </c>
      <c r="AU10" s="83">
        <v>2040</v>
      </c>
      <c r="AV10" s="83">
        <v>2041</v>
      </c>
      <c r="AW10" s="83">
        <v>2042</v>
      </c>
      <c r="AX10" s="83">
        <v>2043</v>
      </c>
      <c r="AY10" s="83">
        <v>2044</v>
      </c>
      <c r="AZ10" s="83">
        <v>2045</v>
      </c>
      <c r="BA10" s="83">
        <v>2046</v>
      </c>
    </row>
    <row r="11" spans="1:53">
      <c r="A11" s="17" t="s">
        <v>140</v>
      </c>
      <c r="B11" s="13" t="s">
        <v>101</v>
      </c>
      <c r="C11" s="106">
        <f>'Attribution Assumptions'!D36</f>
        <v>1</v>
      </c>
      <c r="D11" s="106">
        <f>'Attribution Assumptions'!E36</f>
        <v>1</v>
      </c>
      <c r="E11" s="106">
        <f>'Attribution Assumptions'!F36</f>
        <v>1</v>
      </c>
      <c r="F11" s="106">
        <f>'Attribution Assumptions'!G36</f>
        <v>1</v>
      </c>
      <c r="G11" s="106">
        <f>'Attribution Assumptions'!H36</f>
        <v>1</v>
      </c>
      <c r="H11" s="106">
        <f>'Attribution Assumptions'!I36</f>
        <v>1</v>
      </c>
      <c r="I11" s="106">
        <f>'Attribution Assumptions'!J36</f>
        <v>1</v>
      </c>
      <c r="J11" s="106">
        <f>'Attribution Assumptions'!K36</f>
        <v>1</v>
      </c>
      <c r="K11" s="106">
        <f>'Attribution Assumptions'!L36</f>
        <v>1</v>
      </c>
      <c r="L11" s="106">
        <f>'Attribution Assumptions'!M36</f>
        <v>1</v>
      </c>
      <c r="M11" s="106">
        <f>'Attribution Assumptions'!N36</f>
        <v>1</v>
      </c>
      <c r="N11" s="106">
        <f>'Attribution Assumptions'!O36</f>
        <v>1</v>
      </c>
      <c r="O11" s="106">
        <f>'Attribution Assumptions'!P36</f>
        <v>1</v>
      </c>
      <c r="P11" s="107">
        <f>'Attribution Assumptions'!Q36</f>
        <v>1</v>
      </c>
      <c r="Q11" s="107">
        <f>'Attribution Assumptions'!R36</f>
        <v>1</v>
      </c>
      <c r="R11" s="107">
        <f>'Attribution Assumptions'!S36</f>
        <v>1</v>
      </c>
      <c r="S11" s="107">
        <f>'Attribution Assumptions'!T36</f>
        <v>1</v>
      </c>
      <c r="T11" s="107">
        <f>'Attribution Assumptions'!U36</f>
        <v>1</v>
      </c>
      <c r="U11" s="107">
        <f>'Attribution Assumptions'!V36</f>
        <v>1</v>
      </c>
      <c r="V11" s="107">
        <f>'Attribution Assumptions'!W36</f>
        <v>1</v>
      </c>
      <c r="W11" s="107">
        <f>'Attribution Assumptions'!X36</f>
        <v>1</v>
      </c>
      <c r="X11" s="107">
        <f>'Attribution Assumptions'!Y36</f>
        <v>1</v>
      </c>
      <c r="Y11" s="107">
        <f>'Attribution Assumptions'!Z36</f>
        <v>1</v>
      </c>
      <c r="Z11" s="107">
        <f>'Attribution Assumptions'!AA36</f>
        <v>1</v>
      </c>
      <c r="AA11" s="107">
        <f>'Attribution Assumptions'!AB36</f>
        <v>1</v>
      </c>
      <c r="AC11" s="106">
        <f>'Attribution Assumptions'!D36</f>
        <v>1</v>
      </c>
      <c r="AD11" s="106">
        <f>'Attribution Assumptions'!E36</f>
        <v>1</v>
      </c>
      <c r="AE11" s="106">
        <f>'Attribution Assumptions'!F36</f>
        <v>1</v>
      </c>
      <c r="AF11" s="106">
        <f>'Attribution Assumptions'!G36</f>
        <v>1</v>
      </c>
      <c r="AG11" s="106">
        <f>'Attribution Assumptions'!H36</f>
        <v>1</v>
      </c>
      <c r="AH11" s="106">
        <f>'Attribution Assumptions'!I36</f>
        <v>1</v>
      </c>
      <c r="AI11" s="106">
        <f>'Attribution Assumptions'!J36</f>
        <v>1</v>
      </c>
      <c r="AJ11" s="106">
        <f>'Attribution Assumptions'!K36</f>
        <v>1</v>
      </c>
      <c r="AK11" s="106">
        <f>'Attribution Assumptions'!L36</f>
        <v>1</v>
      </c>
      <c r="AL11" s="106">
        <f>'Attribution Assumptions'!M36</f>
        <v>1</v>
      </c>
      <c r="AM11" s="106">
        <f>'Attribution Assumptions'!N36</f>
        <v>1</v>
      </c>
      <c r="AN11" s="106">
        <f>'Attribution Assumptions'!O36</f>
        <v>1</v>
      </c>
      <c r="AO11" s="106">
        <f>'Attribution Assumptions'!P36</f>
        <v>1</v>
      </c>
      <c r="AP11" s="106">
        <f>'Attribution Assumptions'!Q36</f>
        <v>1</v>
      </c>
      <c r="AQ11" s="106">
        <f>'Attribution Assumptions'!R36</f>
        <v>1</v>
      </c>
      <c r="AR11" s="106">
        <f>'Attribution Assumptions'!S36</f>
        <v>1</v>
      </c>
      <c r="AS11" s="106">
        <f>'Attribution Assumptions'!T36</f>
        <v>1</v>
      </c>
      <c r="AT11" s="106">
        <f>'Attribution Assumptions'!U36</f>
        <v>1</v>
      </c>
      <c r="AU11" s="106">
        <f>'Attribution Assumptions'!V36</f>
        <v>1</v>
      </c>
      <c r="AV11" s="106">
        <f>'Attribution Assumptions'!W36</f>
        <v>1</v>
      </c>
      <c r="AW11" s="106">
        <f>'Attribution Assumptions'!X36</f>
        <v>1</v>
      </c>
      <c r="AX11" s="106">
        <f>'Attribution Assumptions'!Y36</f>
        <v>1</v>
      </c>
      <c r="AY11" s="106">
        <f>'Attribution Assumptions'!Z36</f>
        <v>1</v>
      </c>
      <c r="AZ11" s="106">
        <f>'Attribution Assumptions'!AA36</f>
        <v>1</v>
      </c>
      <c r="BA11" s="106">
        <f>'Attribution Assumptions'!AB36</f>
        <v>1</v>
      </c>
    </row>
    <row r="12" spans="1:53">
      <c r="A12" s="4"/>
      <c r="B12" s="55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53">
      <c r="A13" s="25" t="s">
        <v>280</v>
      </c>
      <c r="B13" s="119" t="s">
        <v>1</v>
      </c>
      <c r="C13" s="95">
        <f>C7</f>
        <v>2022</v>
      </c>
      <c r="D13" s="95">
        <f t="shared" ref="D13:AA13" si="2">D7</f>
        <v>2023</v>
      </c>
      <c r="E13" s="95">
        <f t="shared" si="2"/>
        <v>2024</v>
      </c>
      <c r="F13" s="95">
        <f t="shared" si="2"/>
        <v>2025</v>
      </c>
      <c r="G13" s="95">
        <f t="shared" si="2"/>
        <v>2026</v>
      </c>
      <c r="H13" s="95">
        <f t="shared" si="2"/>
        <v>2027</v>
      </c>
      <c r="I13" s="95">
        <f t="shared" si="2"/>
        <v>2028</v>
      </c>
      <c r="J13" s="95">
        <f t="shared" si="2"/>
        <v>2029</v>
      </c>
      <c r="K13" s="95">
        <f t="shared" si="2"/>
        <v>2030</v>
      </c>
      <c r="L13" s="95">
        <f t="shared" si="2"/>
        <v>2031</v>
      </c>
      <c r="M13" s="95">
        <f t="shared" si="2"/>
        <v>2032</v>
      </c>
      <c r="N13" s="95">
        <f t="shared" si="2"/>
        <v>2033</v>
      </c>
      <c r="O13" s="95">
        <f t="shared" si="2"/>
        <v>2034</v>
      </c>
      <c r="P13" s="95">
        <f t="shared" si="2"/>
        <v>2035</v>
      </c>
      <c r="Q13" s="95">
        <f t="shared" si="2"/>
        <v>2036</v>
      </c>
      <c r="R13" s="95">
        <f t="shared" si="2"/>
        <v>2037</v>
      </c>
      <c r="S13" s="95">
        <f t="shared" si="2"/>
        <v>2038</v>
      </c>
      <c r="T13" s="95">
        <f t="shared" si="2"/>
        <v>2039</v>
      </c>
      <c r="U13" s="95">
        <f t="shared" si="2"/>
        <v>2040</v>
      </c>
      <c r="V13" s="95">
        <f t="shared" si="2"/>
        <v>2041</v>
      </c>
      <c r="W13" s="95">
        <f t="shared" si="2"/>
        <v>2042</v>
      </c>
      <c r="X13" s="95">
        <f t="shared" si="2"/>
        <v>2043</v>
      </c>
      <c r="Y13" s="95">
        <f t="shared" si="2"/>
        <v>2044</v>
      </c>
      <c r="Z13" s="95">
        <f t="shared" si="2"/>
        <v>2045</v>
      </c>
      <c r="AA13" s="95">
        <f t="shared" si="2"/>
        <v>2046</v>
      </c>
      <c r="AC13" s="83">
        <v>2022</v>
      </c>
      <c r="AD13" s="83">
        <v>2023</v>
      </c>
      <c r="AE13" s="83">
        <v>2024</v>
      </c>
      <c r="AF13" s="83">
        <v>2025</v>
      </c>
      <c r="AG13" s="83">
        <v>2026</v>
      </c>
      <c r="AH13" s="83">
        <v>2027</v>
      </c>
      <c r="AI13" s="83">
        <v>2028</v>
      </c>
      <c r="AJ13" s="83">
        <v>2029</v>
      </c>
      <c r="AK13" s="84">
        <v>2030</v>
      </c>
      <c r="AL13" s="83">
        <v>2031</v>
      </c>
      <c r="AM13" s="83">
        <v>2032</v>
      </c>
      <c r="AN13" s="83">
        <v>2033</v>
      </c>
      <c r="AO13" s="83">
        <v>2034</v>
      </c>
      <c r="AP13" s="84">
        <v>2035</v>
      </c>
      <c r="AQ13" s="83">
        <v>2036</v>
      </c>
      <c r="AR13" s="83">
        <v>2037</v>
      </c>
      <c r="AS13" s="83">
        <v>2038</v>
      </c>
      <c r="AT13" s="83">
        <v>2039</v>
      </c>
      <c r="AU13" s="84">
        <v>2040</v>
      </c>
      <c r="AV13" s="83">
        <v>2041</v>
      </c>
      <c r="AW13" s="83">
        <v>2042</v>
      </c>
      <c r="AX13" s="83">
        <v>2043</v>
      </c>
      <c r="AY13" s="83">
        <v>2044</v>
      </c>
      <c r="AZ13" s="84">
        <v>2045</v>
      </c>
      <c r="BA13" s="83">
        <v>2046</v>
      </c>
    </row>
    <row r="14" spans="1:53">
      <c r="A14" s="67" t="s">
        <v>140</v>
      </c>
      <c r="B14" s="52" t="s">
        <v>7</v>
      </c>
      <c r="C14" s="23">
        <f>C8*C11</f>
        <v>0</v>
      </c>
      <c r="D14" s="23">
        <f t="shared" ref="D14:P14" si="3">D8*D11</f>
        <v>-3.1974423109204508E-14</v>
      </c>
      <c r="E14" s="23">
        <f t="shared" si="3"/>
        <v>32.28297283363667</v>
      </c>
      <c r="F14" s="23">
        <f>F8*F11</f>
        <v>51.566653435887297</v>
      </c>
      <c r="G14" s="23">
        <f t="shared" si="3"/>
        <v>66.824950229768092</v>
      </c>
      <c r="H14" s="23">
        <f t="shared" si="3"/>
        <v>81.829750474885955</v>
      </c>
      <c r="I14" s="23">
        <f t="shared" si="3"/>
        <v>96.49564801396636</v>
      </c>
      <c r="J14" s="23">
        <f t="shared" si="3"/>
        <v>111.3529973072324</v>
      </c>
      <c r="K14" s="23">
        <f t="shared" si="3"/>
        <v>126.16616054941034</v>
      </c>
      <c r="L14" s="23">
        <f t="shared" si="3"/>
        <v>140.95281216093531</v>
      </c>
      <c r="M14" s="23">
        <f>M8*M11</f>
        <v>155.7235567940686</v>
      </c>
      <c r="N14" s="23">
        <f t="shared" si="3"/>
        <v>170.48475724016677</v>
      </c>
      <c r="O14" s="23">
        <f t="shared" si="3"/>
        <v>185.25311582654112</v>
      </c>
      <c r="P14" s="24">
        <f t="shared" si="3"/>
        <v>200</v>
      </c>
      <c r="Q14" s="23">
        <f t="shared" ref="Q14:AA14" si="4">Q8*Q11</f>
        <v>214.74688416554574</v>
      </c>
      <c r="R14" s="23">
        <f t="shared" si="4"/>
        <v>229.49376833109133</v>
      </c>
      <c r="S14" s="24">
        <f t="shared" si="4"/>
        <v>244.24065249663681</v>
      </c>
      <c r="T14" s="23">
        <f t="shared" si="4"/>
        <v>259.1313576596188</v>
      </c>
      <c r="U14" s="23">
        <f t="shared" si="4"/>
        <v>274.00170549226675</v>
      </c>
      <c r="V14" s="24">
        <f t="shared" si="4"/>
        <v>288.78280204215866</v>
      </c>
      <c r="W14" s="23">
        <f t="shared" si="4"/>
        <v>303.49954543170816</v>
      </c>
      <c r="X14" s="23">
        <f t="shared" si="4"/>
        <v>318.28910001028635</v>
      </c>
      <c r="Y14" s="24">
        <f t="shared" si="4"/>
        <v>333.05800391822078</v>
      </c>
      <c r="Z14" s="23">
        <f t="shared" si="4"/>
        <v>347.82270324346689</v>
      </c>
      <c r="AA14" s="23">
        <f t="shared" si="4"/>
        <v>362.54470392667287</v>
      </c>
      <c r="AC14" s="23">
        <f t="shared" ref="AC14:BA14" si="5">C14</f>
        <v>0</v>
      </c>
      <c r="AD14" s="23">
        <f t="shared" si="5"/>
        <v>-3.1974423109204508E-14</v>
      </c>
      <c r="AE14" s="23">
        <f t="shared" si="5"/>
        <v>32.28297283363667</v>
      </c>
      <c r="AF14" s="23">
        <f t="shared" si="5"/>
        <v>51.566653435887297</v>
      </c>
      <c r="AG14" s="23">
        <f t="shared" si="5"/>
        <v>66.824950229768092</v>
      </c>
      <c r="AH14" s="23">
        <f>H14</f>
        <v>81.829750474885955</v>
      </c>
      <c r="AI14" s="23">
        <f t="shared" si="5"/>
        <v>96.49564801396636</v>
      </c>
      <c r="AJ14" s="23">
        <f t="shared" si="5"/>
        <v>111.3529973072324</v>
      </c>
      <c r="AK14" s="23">
        <f t="shared" si="5"/>
        <v>126.16616054941034</v>
      </c>
      <c r="AL14" s="23">
        <f t="shared" si="5"/>
        <v>140.95281216093531</v>
      </c>
      <c r="AM14" s="23">
        <f t="shared" si="5"/>
        <v>155.7235567940686</v>
      </c>
      <c r="AN14" s="23">
        <f t="shared" si="5"/>
        <v>170.48475724016677</v>
      </c>
      <c r="AO14" s="23">
        <f t="shared" si="5"/>
        <v>185.25311582654112</v>
      </c>
      <c r="AP14" s="23">
        <f t="shared" si="5"/>
        <v>200</v>
      </c>
      <c r="AQ14" s="23">
        <f t="shared" si="5"/>
        <v>214.74688416554574</v>
      </c>
      <c r="AR14" s="23">
        <f t="shared" si="5"/>
        <v>229.49376833109133</v>
      </c>
      <c r="AS14" s="23">
        <f t="shared" si="5"/>
        <v>244.24065249663681</v>
      </c>
      <c r="AT14" s="23">
        <f t="shared" si="5"/>
        <v>259.1313576596188</v>
      </c>
      <c r="AU14" s="23">
        <f t="shared" si="5"/>
        <v>274.00170549226675</v>
      </c>
      <c r="AV14" s="23">
        <f t="shared" si="5"/>
        <v>288.78280204215866</v>
      </c>
      <c r="AW14" s="23">
        <f t="shared" si="5"/>
        <v>303.49954543170816</v>
      </c>
      <c r="AX14" s="23">
        <f t="shared" si="5"/>
        <v>318.28910001028635</v>
      </c>
      <c r="AY14" s="23">
        <f t="shared" si="5"/>
        <v>333.05800391822078</v>
      </c>
      <c r="AZ14" s="23">
        <f t="shared" si="5"/>
        <v>347.82270324346689</v>
      </c>
      <c r="BA14" s="23">
        <f t="shared" si="5"/>
        <v>362.54470392667287</v>
      </c>
    </row>
    <row r="15" spans="1:53"/>
    <row r="16" spans="1:53">
      <c r="A16" s="25" t="s">
        <v>281</v>
      </c>
      <c r="B16" s="18" t="s">
        <v>1</v>
      </c>
      <c r="C16" s="95">
        <f>C7</f>
        <v>2022</v>
      </c>
      <c r="D16" s="95">
        <f t="shared" ref="D16:AA16" si="6">D7</f>
        <v>2023</v>
      </c>
      <c r="E16" s="95">
        <f t="shared" si="6"/>
        <v>2024</v>
      </c>
      <c r="F16" s="95">
        <f t="shared" si="6"/>
        <v>2025</v>
      </c>
      <c r="G16" s="95">
        <f t="shared" si="6"/>
        <v>2026</v>
      </c>
      <c r="H16" s="95">
        <f t="shared" si="6"/>
        <v>2027</v>
      </c>
      <c r="I16" s="95">
        <f t="shared" si="6"/>
        <v>2028</v>
      </c>
      <c r="J16" s="95">
        <f t="shared" si="6"/>
        <v>2029</v>
      </c>
      <c r="K16" s="95">
        <f t="shared" si="6"/>
        <v>2030</v>
      </c>
      <c r="L16" s="95">
        <f t="shared" si="6"/>
        <v>2031</v>
      </c>
      <c r="M16" s="95">
        <f t="shared" si="6"/>
        <v>2032</v>
      </c>
      <c r="N16" s="95">
        <f t="shared" si="6"/>
        <v>2033</v>
      </c>
      <c r="O16" s="95">
        <f t="shared" si="6"/>
        <v>2034</v>
      </c>
      <c r="P16" s="95">
        <f t="shared" si="6"/>
        <v>2035</v>
      </c>
      <c r="Q16" s="95">
        <f t="shared" si="6"/>
        <v>2036</v>
      </c>
      <c r="R16" s="95">
        <f t="shared" si="6"/>
        <v>2037</v>
      </c>
      <c r="S16" s="95">
        <f t="shared" si="6"/>
        <v>2038</v>
      </c>
      <c r="T16" s="95">
        <f t="shared" si="6"/>
        <v>2039</v>
      </c>
      <c r="U16" s="95">
        <f t="shared" si="6"/>
        <v>2040</v>
      </c>
      <c r="V16" s="95">
        <f t="shared" si="6"/>
        <v>2041</v>
      </c>
      <c r="W16" s="95">
        <f t="shared" si="6"/>
        <v>2042</v>
      </c>
      <c r="X16" s="95">
        <f t="shared" si="6"/>
        <v>2043</v>
      </c>
      <c r="Y16" s="95">
        <f t="shared" si="6"/>
        <v>2044</v>
      </c>
      <c r="Z16" s="95">
        <f t="shared" si="6"/>
        <v>2045</v>
      </c>
      <c r="AA16" s="95">
        <f t="shared" si="6"/>
        <v>2046</v>
      </c>
      <c r="AC16" s="83">
        <v>2022</v>
      </c>
      <c r="AD16" s="83">
        <v>2023</v>
      </c>
      <c r="AE16" s="83">
        <v>2024</v>
      </c>
      <c r="AF16" s="83">
        <v>2025</v>
      </c>
      <c r="AG16" s="83">
        <v>2026</v>
      </c>
      <c r="AH16" s="83">
        <v>2027</v>
      </c>
      <c r="AI16" s="83">
        <v>2028</v>
      </c>
      <c r="AJ16" s="83">
        <v>2029</v>
      </c>
      <c r="AK16" s="84">
        <v>2030</v>
      </c>
      <c r="AL16" s="83">
        <v>2031</v>
      </c>
      <c r="AM16" s="83">
        <v>2032</v>
      </c>
      <c r="AN16" s="83">
        <v>2033</v>
      </c>
      <c r="AO16" s="83">
        <v>2034</v>
      </c>
      <c r="AP16" s="83">
        <v>2035</v>
      </c>
      <c r="AQ16" s="83">
        <v>2036</v>
      </c>
      <c r="AR16" s="83">
        <v>2037</v>
      </c>
      <c r="AS16" s="83">
        <v>2038</v>
      </c>
      <c r="AT16" s="84">
        <v>2039</v>
      </c>
      <c r="AU16" s="83">
        <v>2040</v>
      </c>
      <c r="AV16" s="83">
        <v>2041</v>
      </c>
      <c r="AW16" s="83">
        <v>2042</v>
      </c>
      <c r="AX16" s="83">
        <v>2043</v>
      </c>
      <c r="AY16" s="83">
        <v>2044</v>
      </c>
      <c r="AZ16" s="83">
        <v>2045</v>
      </c>
      <c r="BA16" s="83">
        <v>2046</v>
      </c>
    </row>
    <row r="17" spans="1:54">
      <c r="A17" s="17" t="s">
        <v>140</v>
      </c>
      <c r="B17" s="17" t="s">
        <v>282</v>
      </c>
      <c r="C17" s="30">
        <f>'Emission Factors - AJF'!D5</f>
        <v>0</v>
      </c>
      <c r="D17" s="30">
        <f>'Emission Factors - AJF'!E5</f>
        <v>0</v>
      </c>
      <c r="E17" s="30">
        <f>'Emission Factors - AJF'!F5</f>
        <v>0</v>
      </c>
      <c r="F17" s="30">
        <f>'Emission Factors - AJF'!G5</f>
        <v>0</v>
      </c>
      <c r="G17" s="30">
        <f>'Emission Factors - AJF'!H5</f>
        <v>0</v>
      </c>
      <c r="H17" s="30">
        <f>'Emission Factors - AJF'!I5</f>
        <v>0</v>
      </c>
      <c r="I17" s="30">
        <f>'Emission Factors - AJF'!J5</f>
        <v>0</v>
      </c>
      <c r="J17" s="30">
        <f>'Emission Factors - AJF'!K5</f>
        <v>0</v>
      </c>
      <c r="K17" s="30">
        <f>'Emission Factors - AJF'!L5</f>
        <v>0</v>
      </c>
      <c r="L17" s="30">
        <f>'Emission Factors - AJF'!M5</f>
        <v>0</v>
      </c>
      <c r="M17" s="30">
        <f>'Emission Factors - AJF'!N5</f>
        <v>0</v>
      </c>
      <c r="N17" s="30">
        <f>'Emission Factors - AJF'!O5</f>
        <v>0</v>
      </c>
      <c r="O17" s="30">
        <f>'Emission Factors - AJF'!P5</f>
        <v>0</v>
      </c>
      <c r="P17" s="30">
        <f>'Emission Factors - AJF'!Q5</f>
        <v>0</v>
      </c>
      <c r="Q17" s="30">
        <f>'Emission Factors - AJF'!R5</f>
        <v>0</v>
      </c>
      <c r="R17" s="30">
        <f>'Emission Factors - AJF'!S5</f>
        <v>0</v>
      </c>
      <c r="S17" s="30">
        <f>'Emission Factors - AJF'!T5</f>
        <v>0</v>
      </c>
      <c r="T17" s="30">
        <f>'Emission Factors - AJF'!U5</f>
        <v>0</v>
      </c>
      <c r="U17" s="30">
        <f>'Emission Factors - AJF'!V5</f>
        <v>0</v>
      </c>
      <c r="V17" s="30">
        <f>'Emission Factors - AJF'!W5</f>
        <v>0</v>
      </c>
      <c r="W17" s="30">
        <f>'Emission Factors - AJF'!X5</f>
        <v>0</v>
      </c>
      <c r="X17" s="30">
        <f>'Emission Factors - AJF'!Y5</f>
        <v>0</v>
      </c>
      <c r="Y17" s="30">
        <f>'Emission Factors - AJF'!Z5</f>
        <v>0</v>
      </c>
      <c r="Z17" s="30">
        <f>'Emission Factors - AJF'!AA5</f>
        <v>0</v>
      </c>
      <c r="AA17" s="30">
        <f>'Emission Factors - AJF'!AB5</f>
        <v>0</v>
      </c>
      <c r="AC17" s="30">
        <f>'Emission Factors - AJF'!D6</f>
        <v>-4.4647650903955312E-3</v>
      </c>
      <c r="AD17" s="30">
        <f>'Emission Factors - AJF'!E6</f>
        <v>-4.4546034450566865E-3</v>
      </c>
      <c r="AE17" s="30">
        <f>'Emission Factors - AJF'!F6</f>
        <v>-4.4844388016682052E-3</v>
      </c>
      <c r="AF17" s="30">
        <f>'Emission Factors - AJF'!G6</f>
        <v>-4.4772952872224204E-3</v>
      </c>
      <c r="AG17" s="30">
        <f>'Emission Factors - AJF'!H6</f>
        <v>-4.4515795431879224E-3</v>
      </c>
      <c r="AH17" s="30">
        <f>'Emission Factors - AJF'!I6</f>
        <v>-4.4343912201009568E-3</v>
      </c>
      <c r="AI17" s="30">
        <f>'Emission Factors - AJF'!J6</f>
        <v>-4.4676360346676339E-3</v>
      </c>
      <c r="AJ17" s="30">
        <f>'Emission Factors - AJF'!K6</f>
        <v>-4.4502280308261078E-3</v>
      </c>
      <c r="AK17" s="30">
        <f>'Emission Factors - AJF'!L6</f>
        <v>-4.4332960392284154E-3</v>
      </c>
      <c r="AL17" s="30">
        <f>'Emission Factors - AJF'!M6</f>
        <v>-4.4332960392284137E-3</v>
      </c>
      <c r="AM17" s="30">
        <f>'Emission Factors - AJF'!N6</f>
        <v>-4.4332960392284154E-3</v>
      </c>
      <c r="AN17" s="30">
        <f>'Emission Factors - AJF'!O6</f>
        <v>-4.4332960392284137E-3</v>
      </c>
      <c r="AO17" s="30">
        <f>'Emission Factors - AJF'!P6</f>
        <v>-4.4332960392284137E-3</v>
      </c>
      <c r="AP17" s="30">
        <f>'Emission Factors - AJF'!Q6</f>
        <v>-4.4332960392284137E-3</v>
      </c>
      <c r="AQ17" s="30">
        <f>'Emission Factors - AJF'!R6</f>
        <v>-4.4332960392284137E-3</v>
      </c>
      <c r="AR17" s="30">
        <f>'Emission Factors - AJF'!S6</f>
        <v>-4.4332960392284137E-3</v>
      </c>
      <c r="AS17" s="30">
        <f>'Emission Factors - AJF'!T6</f>
        <v>-4.4332960392284137E-3</v>
      </c>
      <c r="AT17" s="30">
        <f>'Emission Factors - AJF'!U6</f>
        <v>-4.4332960392284137E-3</v>
      </c>
      <c r="AU17" s="30">
        <f>'Emission Factors - AJF'!V6</f>
        <v>-4.4332960392284137E-3</v>
      </c>
      <c r="AV17" s="30">
        <f>'Emission Factors - AJF'!W6</f>
        <v>-4.4332960392284137E-3</v>
      </c>
      <c r="AW17" s="30">
        <f>'Emission Factors - AJF'!X6</f>
        <v>-4.4332960392284137E-3</v>
      </c>
      <c r="AX17" s="30">
        <f>'Emission Factors - AJF'!Y6</f>
        <v>-4.4332960392284137E-3</v>
      </c>
      <c r="AY17" s="30">
        <f>'Emission Factors - AJF'!Z6</f>
        <v>-4.4332960392284137E-3</v>
      </c>
      <c r="AZ17" s="30">
        <f>'Emission Factors - AJF'!AA6</f>
        <v>-4.4332960392284137E-3</v>
      </c>
      <c r="BA17" s="30">
        <f>'Emission Factors - AJF'!AB6</f>
        <v>-4.4332960392284137E-3</v>
      </c>
    </row>
    <row r="18" spans="1:54">
      <c r="A18" s="448"/>
      <c r="B18" s="448"/>
      <c r="C18" s="448"/>
      <c r="D18" s="448"/>
      <c r="E18" s="448"/>
      <c r="F18" s="448"/>
      <c r="G18" s="448"/>
      <c r="H18" s="448"/>
      <c r="I18" s="448"/>
      <c r="J18" s="448"/>
      <c r="K18" s="448"/>
      <c r="L18" s="448"/>
      <c r="M18" s="448"/>
    </row>
    <row r="19" spans="1:54">
      <c r="A19" s="448"/>
      <c r="B19" s="448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</row>
    <row r="20" spans="1:54">
      <c r="A20" s="25" t="s">
        <v>283</v>
      </c>
      <c r="B20" s="18" t="s">
        <v>1</v>
      </c>
      <c r="C20" s="83">
        <v>2022</v>
      </c>
      <c r="D20" s="83">
        <v>2023</v>
      </c>
      <c r="E20" s="83">
        <v>2024</v>
      </c>
      <c r="F20" s="83">
        <v>2025</v>
      </c>
      <c r="G20" s="83">
        <v>2026</v>
      </c>
      <c r="H20" s="83">
        <v>2027</v>
      </c>
      <c r="I20" s="83">
        <v>2028</v>
      </c>
      <c r="J20" s="83">
        <v>2029</v>
      </c>
      <c r="K20" s="84">
        <v>2030</v>
      </c>
      <c r="L20" s="83">
        <v>2031</v>
      </c>
      <c r="M20" s="83">
        <v>2032</v>
      </c>
      <c r="N20" s="83">
        <v>2033</v>
      </c>
      <c r="O20" s="84">
        <v>2034</v>
      </c>
      <c r="P20" s="83">
        <v>2035</v>
      </c>
      <c r="Q20" s="83">
        <v>2036</v>
      </c>
      <c r="R20" s="83">
        <v>2037</v>
      </c>
      <c r="S20" s="84">
        <v>2038</v>
      </c>
      <c r="T20" s="83">
        <v>2039</v>
      </c>
      <c r="U20" s="83">
        <v>2040</v>
      </c>
      <c r="V20" s="83">
        <v>2041</v>
      </c>
      <c r="W20" s="84">
        <v>2042</v>
      </c>
      <c r="X20" s="83">
        <v>2043</v>
      </c>
      <c r="Y20" s="83">
        <v>2044</v>
      </c>
      <c r="Z20" s="83">
        <v>2045</v>
      </c>
      <c r="AA20" s="84">
        <v>2046</v>
      </c>
      <c r="AC20" s="83">
        <v>2022</v>
      </c>
      <c r="AD20" s="83">
        <v>2023</v>
      </c>
      <c r="AE20" s="83">
        <v>2024</v>
      </c>
      <c r="AF20" s="83">
        <v>2025</v>
      </c>
      <c r="AG20" s="83">
        <v>2026</v>
      </c>
      <c r="AH20" s="83">
        <v>2027</v>
      </c>
      <c r="AI20" s="83">
        <v>2028</v>
      </c>
      <c r="AJ20" s="83">
        <v>2029</v>
      </c>
      <c r="AK20" s="84">
        <v>2030</v>
      </c>
      <c r="AL20" s="83">
        <v>2031</v>
      </c>
      <c r="AM20" s="83">
        <v>2032</v>
      </c>
      <c r="AN20" s="83">
        <v>2033</v>
      </c>
      <c r="AO20" s="84">
        <v>2034</v>
      </c>
      <c r="AP20" s="83">
        <v>2035</v>
      </c>
      <c r="AQ20" s="83">
        <v>2036</v>
      </c>
      <c r="AR20" s="83">
        <v>2037</v>
      </c>
      <c r="AS20" s="84">
        <v>2038</v>
      </c>
      <c r="AT20" s="83">
        <v>2039</v>
      </c>
      <c r="AU20" s="83">
        <v>2040</v>
      </c>
      <c r="AV20" s="83">
        <v>2041</v>
      </c>
      <c r="AW20" s="84">
        <v>2042</v>
      </c>
      <c r="AX20" s="83">
        <v>2043</v>
      </c>
      <c r="AY20" s="83">
        <v>2044</v>
      </c>
      <c r="AZ20" s="83">
        <v>2045</v>
      </c>
      <c r="BA20" s="84">
        <v>2046</v>
      </c>
    </row>
    <row r="21" spans="1:54">
      <c r="A21" s="17" t="s">
        <v>140</v>
      </c>
      <c r="B21" s="17" t="s">
        <v>284</v>
      </c>
      <c r="C21" s="64">
        <f>C14*C17*126.37</f>
        <v>0</v>
      </c>
      <c r="D21" s="64">
        <f t="shared" ref="D21:AA21" si="7">D14*D17*126.37</f>
        <v>0</v>
      </c>
      <c r="E21" s="64">
        <f>E14*E17*126.37</f>
        <v>0</v>
      </c>
      <c r="F21" s="64">
        <f t="shared" si="7"/>
        <v>0</v>
      </c>
      <c r="G21" s="64">
        <f t="shared" si="7"/>
        <v>0</v>
      </c>
      <c r="H21" s="64">
        <f t="shared" si="7"/>
        <v>0</v>
      </c>
      <c r="I21" s="64">
        <f t="shared" si="7"/>
        <v>0</v>
      </c>
      <c r="J21" s="64">
        <f t="shared" si="7"/>
        <v>0</v>
      </c>
      <c r="K21" s="64">
        <f t="shared" si="7"/>
        <v>0</v>
      </c>
      <c r="L21" s="64">
        <f t="shared" si="7"/>
        <v>0</v>
      </c>
      <c r="M21" s="64">
        <f t="shared" si="7"/>
        <v>0</v>
      </c>
      <c r="N21" s="64">
        <f t="shared" si="7"/>
        <v>0</v>
      </c>
      <c r="O21" s="64">
        <f t="shared" si="7"/>
        <v>0</v>
      </c>
      <c r="P21" s="64">
        <f t="shared" si="7"/>
        <v>0</v>
      </c>
      <c r="Q21" s="64">
        <f t="shared" si="7"/>
        <v>0</v>
      </c>
      <c r="R21" s="64">
        <f t="shared" si="7"/>
        <v>0</v>
      </c>
      <c r="S21" s="64">
        <f t="shared" si="7"/>
        <v>0</v>
      </c>
      <c r="T21" s="64">
        <f t="shared" si="7"/>
        <v>0</v>
      </c>
      <c r="U21" s="64">
        <f t="shared" si="7"/>
        <v>0</v>
      </c>
      <c r="V21" s="64">
        <f t="shared" si="7"/>
        <v>0</v>
      </c>
      <c r="W21" s="64">
        <f t="shared" si="7"/>
        <v>0</v>
      </c>
      <c r="X21" s="64">
        <f t="shared" si="7"/>
        <v>0</v>
      </c>
      <c r="Y21" s="64">
        <f t="shared" si="7"/>
        <v>0</v>
      </c>
      <c r="Z21" s="64">
        <f t="shared" si="7"/>
        <v>0</v>
      </c>
      <c r="AA21" s="64">
        <f t="shared" si="7"/>
        <v>0</v>
      </c>
      <c r="AB21" s="60"/>
      <c r="AC21" s="64">
        <f>AC14*AC17*126.37</f>
        <v>0</v>
      </c>
      <c r="AD21" s="64">
        <f t="shared" ref="AD21:BA21" si="8">AD14*AD17*126.37</f>
        <v>1.7999305641205586E-14</v>
      </c>
      <c r="AE21" s="64">
        <f>AE14*AE17*126.37</f>
        <v>-18.29471329297656</v>
      </c>
      <c r="AF21" s="64">
        <f t="shared" si="8"/>
        <v>-29.176196214927923</v>
      </c>
      <c r="AG21" s="64">
        <f t="shared" si="8"/>
        <v>-37.592115593715157</v>
      </c>
      <c r="AH21" s="64">
        <f t="shared" si="8"/>
        <v>-45.855266105167772</v>
      </c>
      <c r="AI21" s="64">
        <f t="shared" si="8"/>
        <v>-54.479046466905494</v>
      </c>
      <c r="AJ21" s="64">
        <f t="shared" si="8"/>
        <v>-62.622177076652136</v>
      </c>
      <c r="AK21" s="64">
        <f t="shared" si="8"/>
        <v>-70.682777238636902</v>
      </c>
      <c r="AL21" s="64">
        <f t="shared" si="8"/>
        <v>-78.966786179001161</v>
      </c>
      <c r="AM21" s="64">
        <f t="shared" si="8"/>
        <v>-87.24188346345629</v>
      </c>
      <c r="AN21" s="64">
        <f t="shared" si="8"/>
        <v>-95.511633754365789</v>
      </c>
      <c r="AO21" s="64">
        <f t="shared" si="8"/>
        <v>-103.78539429043441</v>
      </c>
      <c r="AP21" s="64">
        <f t="shared" si="8"/>
        <v>-112.04712409545893</v>
      </c>
      <c r="AQ21" s="64">
        <f t="shared" si="8"/>
        <v>-120.30885389605024</v>
      </c>
      <c r="AR21" s="64">
        <f t="shared" si="8"/>
        <v>-128.57058369664148</v>
      </c>
      <c r="AS21" s="64">
        <f t="shared" si="8"/>
        <v>-136.83231349723263</v>
      </c>
      <c r="AT21" s="64">
        <f t="shared" si="8"/>
        <v>-145.1746169435603</v>
      </c>
      <c r="AU21" s="64">
        <f>AU14*AU17*126.37</f>
        <v>-153.50551548829699</v>
      </c>
      <c r="AV21" s="64">
        <f t="shared" si="8"/>
        <v>-161.7864122852605</v>
      </c>
      <c r="AW21" s="64">
        <f t="shared" si="8"/>
        <v>-170.03125614950991</v>
      </c>
      <c r="AX21" s="64">
        <f t="shared" si="8"/>
        <v>-178.31689143542246</v>
      </c>
      <c r="AY21" s="64">
        <f t="shared" si="8"/>
        <v>-186.59095748005367</v>
      </c>
      <c r="AZ21" s="64">
        <f t="shared" si="8"/>
        <v>-194.8626679676936</v>
      </c>
      <c r="BA21" s="64">
        <f t="shared" si="8"/>
        <v>-203.11045715511668</v>
      </c>
      <c r="BB21" s="4" t="s">
        <v>285</v>
      </c>
    </row>
    <row r="22" spans="1:54">
      <c r="A22" s="10" t="s">
        <v>286</v>
      </c>
      <c r="B22" s="10" t="s">
        <v>284</v>
      </c>
      <c r="C22" s="81">
        <f t="shared" ref="C22:AA22" si="9">SUM(C21:C21)</f>
        <v>0</v>
      </c>
      <c r="D22" s="81">
        <f t="shared" si="9"/>
        <v>0</v>
      </c>
      <c r="E22" s="81">
        <f>SUM(E21:E21)</f>
        <v>0</v>
      </c>
      <c r="F22" s="81">
        <f t="shared" si="9"/>
        <v>0</v>
      </c>
      <c r="G22" s="81">
        <f t="shared" si="9"/>
        <v>0</v>
      </c>
      <c r="H22" s="81">
        <f t="shared" si="9"/>
        <v>0</v>
      </c>
      <c r="I22" s="81">
        <f t="shared" si="9"/>
        <v>0</v>
      </c>
      <c r="J22" s="81">
        <f t="shared" si="9"/>
        <v>0</v>
      </c>
      <c r="K22" s="82">
        <f t="shared" si="9"/>
        <v>0</v>
      </c>
      <c r="L22" s="81">
        <f t="shared" si="9"/>
        <v>0</v>
      </c>
      <c r="M22" s="81">
        <f t="shared" si="9"/>
        <v>0</v>
      </c>
      <c r="N22" s="81">
        <f t="shared" si="9"/>
        <v>0</v>
      </c>
      <c r="O22" s="81">
        <f t="shared" si="9"/>
        <v>0</v>
      </c>
      <c r="P22" s="82">
        <f t="shared" si="9"/>
        <v>0</v>
      </c>
      <c r="Q22" s="81">
        <f t="shared" si="9"/>
        <v>0</v>
      </c>
      <c r="R22" s="81">
        <f t="shared" si="9"/>
        <v>0</v>
      </c>
      <c r="S22" s="81">
        <f t="shared" si="9"/>
        <v>0</v>
      </c>
      <c r="T22" s="81">
        <f t="shared" si="9"/>
        <v>0</v>
      </c>
      <c r="U22" s="82">
        <f t="shared" si="9"/>
        <v>0</v>
      </c>
      <c r="V22" s="81">
        <f t="shared" si="9"/>
        <v>0</v>
      </c>
      <c r="W22" s="81">
        <f t="shared" si="9"/>
        <v>0</v>
      </c>
      <c r="X22" s="81">
        <f t="shared" si="9"/>
        <v>0</v>
      </c>
      <c r="Y22" s="81">
        <f t="shared" si="9"/>
        <v>0</v>
      </c>
      <c r="Z22" s="82">
        <f t="shared" si="9"/>
        <v>0</v>
      </c>
      <c r="AA22" s="81">
        <f t="shared" si="9"/>
        <v>0</v>
      </c>
      <c r="AB22" s="63"/>
      <c r="AC22" s="81">
        <f t="shared" ref="AC22:AK22" si="10">SUM(AC21:AC21)</f>
        <v>0</v>
      </c>
      <c r="AD22" s="81">
        <f t="shared" si="10"/>
        <v>1.7999305641205586E-14</v>
      </c>
      <c r="AE22" s="81">
        <f t="shared" si="10"/>
        <v>-18.29471329297656</v>
      </c>
      <c r="AF22" s="81">
        <f t="shared" si="10"/>
        <v>-29.176196214927923</v>
      </c>
      <c r="AG22" s="81">
        <f t="shared" si="10"/>
        <v>-37.592115593715157</v>
      </c>
      <c r="AH22" s="81">
        <f t="shared" si="10"/>
        <v>-45.855266105167772</v>
      </c>
      <c r="AI22" s="81">
        <f t="shared" si="10"/>
        <v>-54.479046466905494</v>
      </c>
      <c r="AJ22" s="81">
        <f t="shared" si="10"/>
        <v>-62.622177076652136</v>
      </c>
      <c r="AK22" s="82">
        <f t="shared" si="10"/>
        <v>-70.682777238636902</v>
      </c>
      <c r="AL22" s="81">
        <f t="shared" ref="AL22:BA22" si="11">SUM(AL21:AL21)</f>
        <v>-78.966786179001161</v>
      </c>
      <c r="AM22" s="81">
        <f t="shared" si="11"/>
        <v>-87.24188346345629</v>
      </c>
      <c r="AN22" s="81">
        <f t="shared" si="11"/>
        <v>-95.511633754365789</v>
      </c>
      <c r="AO22" s="81">
        <f t="shared" si="11"/>
        <v>-103.78539429043441</v>
      </c>
      <c r="AP22" s="81">
        <f t="shared" si="11"/>
        <v>-112.04712409545893</v>
      </c>
      <c r="AQ22" s="81">
        <f t="shared" si="11"/>
        <v>-120.30885389605024</v>
      </c>
      <c r="AR22" s="81">
        <f t="shared" si="11"/>
        <v>-128.57058369664148</v>
      </c>
      <c r="AS22" s="81">
        <f t="shared" si="11"/>
        <v>-136.83231349723263</v>
      </c>
      <c r="AT22" s="82">
        <f t="shared" si="11"/>
        <v>-145.1746169435603</v>
      </c>
      <c r="AU22" s="81">
        <f t="shared" si="11"/>
        <v>-153.50551548829699</v>
      </c>
      <c r="AV22" s="81">
        <f t="shared" si="11"/>
        <v>-161.7864122852605</v>
      </c>
      <c r="AW22" s="81">
        <f t="shared" si="11"/>
        <v>-170.03125614950991</v>
      </c>
      <c r="AX22" s="81">
        <f t="shared" si="11"/>
        <v>-178.31689143542246</v>
      </c>
      <c r="AY22" s="81">
        <f t="shared" si="11"/>
        <v>-186.59095748005367</v>
      </c>
      <c r="AZ22" s="81">
        <f t="shared" si="11"/>
        <v>-194.8626679676936</v>
      </c>
      <c r="BA22" s="81">
        <f t="shared" si="11"/>
        <v>-203.11045715511668</v>
      </c>
    </row>
    <row r="23" spans="1:54"/>
    <row r="24" spans="1:54" ht="15" customHeight="1">
      <c r="A24" s="468" t="s">
        <v>278</v>
      </c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468"/>
      <c r="AA24" s="468"/>
      <c r="AC24" s="468" t="s">
        <v>287</v>
      </c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8"/>
      <c r="AW24" s="468"/>
      <c r="AX24" s="468"/>
      <c r="AY24" s="468"/>
      <c r="AZ24" s="468"/>
      <c r="BA24" s="468"/>
    </row>
    <row r="25" spans="1:54">
      <c r="A25" s="69" t="s">
        <v>288</v>
      </c>
      <c r="B25" s="85" t="s">
        <v>1</v>
      </c>
      <c r="C25" s="72">
        <v>2022</v>
      </c>
      <c r="D25" s="72">
        <v>2023</v>
      </c>
      <c r="E25" s="72">
        <v>2024</v>
      </c>
      <c r="F25" s="72">
        <v>2025</v>
      </c>
      <c r="G25" s="72">
        <v>2026</v>
      </c>
      <c r="H25" s="72">
        <v>2027</v>
      </c>
      <c r="I25" s="72">
        <v>2028</v>
      </c>
      <c r="J25" s="72">
        <v>2029</v>
      </c>
      <c r="K25" s="73">
        <v>2030</v>
      </c>
      <c r="L25" s="72">
        <v>2031</v>
      </c>
      <c r="M25" s="72">
        <v>2032</v>
      </c>
      <c r="N25" s="72">
        <v>2033</v>
      </c>
      <c r="O25" s="72">
        <v>2034</v>
      </c>
      <c r="P25" s="72">
        <v>2035</v>
      </c>
      <c r="Q25" s="72">
        <v>2036</v>
      </c>
      <c r="R25" s="72">
        <v>2037</v>
      </c>
      <c r="S25" s="72">
        <v>2038</v>
      </c>
      <c r="T25" s="72">
        <v>2039</v>
      </c>
      <c r="U25" s="72">
        <v>2040</v>
      </c>
      <c r="V25" s="72">
        <v>2041</v>
      </c>
      <c r="W25" s="72">
        <v>2042</v>
      </c>
      <c r="X25" s="72">
        <v>2043</v>
      </c>
      <c r="Y25" s="72">
        <v>2044</v>
      </c>
      <c r="Z25" s="72">
        <v>2045</v>
      </c>
      <c r="AA25" s="72">
        <v>2046</v>
      </c>
      <c r="AC25" s="72">
        <v>2022</v>
      </c>
      <c r="AD25" s="72">
        <v>2023</v>
      </c>
      <c r="AE25" s="72">
        <v>2024</v>
      </c>
      <c r="AF25" s="72">
        <v>2025</v>
      </c>
      <c r="AG25" s="72">
        <v>2026</v>
      </c>
      <c r="AH25" s="72">
        <v>2027</v>
      </c>
      <c r="AI25" s="72">
        <v>2028</v>
      </c>
      <c r="AJ25" s="72">
        <v>2029</v>
      </c>
      <c r="AK25" s="73">
        <v>2030</v>
      </c>
      <c r="AL25" s="72">
        <v>2031</v>
      </c>
      <c r="AM25" s="72">
        <v>2032</v>
      </c>
      <c r="AN25" s="72">
        <v>2033</v>
      </c>
      <c r="AO25" s="72">
        <v>2034</v>
      </c>
      <c r="AP25" s="72">
        <v>2035</v>
      </c>
      <c r="AQ25" s="72">
        <v>2036</v>
      </c>
      <c r="AR25" s="72">
        <v>2037</v>
      </c>
      <c r="AS25" s="72">
        <v>2038</v>
      </c>
      <c r="AT25" s="73">
        <v>2039</v>
      </c>
      <c r="AU25" s="72">
        <v>2040</v>
      </c>
      <c r="AV25" s="72">
        <v>2041</v>
      </c>
      <c r="AW25" s="72">
        <v>2042</v>
      </c>
      <c r="AX25" s="72">
        <v>2043</v>
      </c>
      <c r="AY25" s="72">
        <v>2044</v>
      </c>
      <c r="AZ25" s="72">
        <v>2045</v>
      </c>
      <c r="BA25" s="72">
        <v>2046</v>
      </c>
    </row>
    <row r="26" spans="1:54">
      <c r="A26" s="53" t="s">
        <v>249</v>
      </c>
      <c r="B26" s="5" t="s">
        <v>240</v>
      </c>
      <c r="C26" s="60"/>
      <c r="D26" s="60">
        <f>+D$21*'Jet Fuel NOx by AB'!C20</f>
        <v>0</v>
      </c>
      <c r="E26" s="60">
        <f>+E$21*'Jet Fuel NOx by AB'!D20</f>
        <v>0</v>
      </c>
      <c r="F26" s="60">
        <f>+F$21*'Jet Fuel NOx by AB'!E20</f>
        <v>0</v>
      </c>
      <c r="G26" s="60">
        <f>+G$21*'Jet Fuel NOx by AB'!F20</f>
        <v>0</v>
      </c>
      <c r="H26" s="60">
        <f>+H$21*'Jet Fuel NOx by AB'!G20</f>
        <v>0</v>
      </c>
      <c r="I26" s="60">
        <f>+I$21*'Jet Fuel NOx by AB'!H20</f>
        <v>0</v>
      </c>
      <c r="J26" s="60">
        <f>+J$21*'Jet Fuel NOx by AB'!I20</f>
        <v>0</v>
      </c>
      <c r="K26" s="60">
        <f>+K$21*'Jet Fuel NOx by AB'!J20</f>
        <v>0</v>
      </c>
      <c r="L26" s="60">
        <f>+L$21*'Jet Fuel NOx by AB'!K20</f>
        <v>0</v>
      </c>
      <c r="M26" s="60">
        <f>+M$21*'Jet Fuel NOx by AB'!L20</f>
        <v>0</v>
      </c>
      <c r="N26" s="60">
        <f>+N$21*'Jet Fuel NOx by AB'!M20</f>
        <v>0</v>
      </c>
      <c r="O26" s="60">
        <f>+O$21*'Jet Fuel NOx by AB'!N20</f>
        <v>0</v>
      </c>
      <c r="P26" s="60">
        <f>+P$21*'Jet Fuel NOx by AB'!O20</f>
        <v>0</v>
      </c>
      <c r="Q26" s="60">
        <f>+Q$21*'Jet Fuel NOx by AB'!P20</f>
        <v>0</v>
      </c>
      <c r="R26" s="60">
        <f>+R$21*'Jet Fuel NOx by AB'!Q20</f>
        <v>0</v>
      </c>
      <c r="S26" s="60">
        <f>+S$21*'Jet Fuel NOx by AB'!R20</f>
        <v>0</v>
      </c>
      <c r="T26" s="60">
        <f>+T$21*'Jet Fuel NOx by AB'!S20</f>
        <v>0</v>
      </c>
      <c r="U26" s="60">
        <f>+U$21*'Jet Fuel NOx by AB'!T20</f>
        <v>0</v>
      </c>
      <c r="V26" s="60">
        <f>+V$21*'Jet Fuel NOx by AB'!U20</f>
        <v>0</v>
      </c>
      <c r="W26" s="60">
        <f>+W$21*'Jet Fuel NOx by AB'!V20</f>
        <v>0</v>
      </c>
      <c r="X26" s="60">
        <f>+X$21*'Jet Fuel NOx by AB'!W20</f>
        <v>0</v>
      </c>
      <c r="Y26" s="60">
        <f>+Y$21*'Jet Fuel NOx by AB'!X20</f>
        <v>0</v>
      </c>
      <c r="Z26" s="60">
        <f>+Z$21*'Jet Fuel NOx by AB'!Y20</f>
        <v>0</v>
      </c>
      <c r="AA26" s="60">
        <f>+AA$21*'Jet Fuel NOx by AB'!Z20</f>
        <v>0</v>
      </c>
      <c r="AC26" s="60"/>
      <c r="AD26" s="60">
        <f>AD$21*'Jet Fuel PM2.5 by AB'!C20</f>
        <v>3.329545769001518E-17</v>
      </c>
      <c r="AE26" s="60">
        <f>AE$21*'Jet Fuel PM2.5 by AB'!D20</f>
        <v>-3.3635418325468271E-2</v>
      </c>
      <c r="AF26" s="60">
        <f>AF$21*'Jet Fuel PM2.5 by AB'!E20</f>
        <v>-5.3295226379393726E-2</v>
      </c>
      <c r="AG26" s="60">
        <f>AG$21*'Jet Fuel PM2.5 by AB'!F20</f>
        <v>-6.8461217647638364E-2</v>
      </c>
      <c r="AH26" s="60">
        <f>AH$21*'Jet Fuel PM2.5 by AB'!G20</f>
        <v>-8.3220772081139704E-2</v>
      </c>
      <c r="AI26" s="60">
        <f>AI$21*'Jet Fuel PM2.5 by AB'!H20</f>
        <v>-9.8191321942061691E-2</v>
      </c>
      <c r="AJ26" s="60">
        <f>AJ$21*'Jet Fuel PM2.5 by AB'!I20</f>
        <v>-0.11252374809866854</v>
      </c>
      <c r="AK26" s="60">
        <f>AK$21*'Jet Fuel PM2.5 by AB'!J20</f>
        <v>-0.12625400191689706</v>
      </c>
      <c r="AL26" s="60">
        <f>AL$21*'Jet Fuel PM2.5 by AB'!K20</f>
        <v>-0.14065449711414527</v>
      </c>
      <c r="AM26" s="60">
        <f>AM$21*'Jet Fuel PM2.5 by AB'!L20</f>
        <v>-0.15462898916555443</v>
      </c>
      <c r="AN26" s="60">
        <f>AN$21*'Jet Fuel PM2.5 by AB'!M20</f>
        <v>-0.16888591723148011</v>
      </c>
      <c r="AO26" s="60">
        <f>AO$21*'Jet Fuel PM2.5 by AB'!N20</f>
        <v>-0.18258505416054685</v>
      </c>
      <c r="AP26" s="60">
        <f>AP$21*'Jet Fuel PM2.5 by AB'!O20</f>
        <v>-0.19663595501823256</v>
      </c>
      <c r="AQ26" s="60">
        <f>AQ$21*'Jet Fuel PM2.5 by AB'!P20</f>
        <v>-0.21001648641584508</v>
      </c>
      <c r="AR26" s="60">
        <f>AR$21*'Jet Fuel PM2.5 by AB'!Q20</f>
        <v>-0.22381403601276573</v>
      </c>
      <c r="AS26" s="60">
        <f>AS$21*'Jet Fuel PM2.5 by AB'!R20</f>
        <v>-0.2369499846076174</v>
      </c>
      <c r="AT26" s="60">
        <f>AT$21*'Jet Fuel PM2.5 by AB'!S20</f>
        <v>-0.25070393122721629</v>
      </c>
      <c r="AU26" s="60">
        <f>AU$21*'Jet Fuel PM2.5 by AB'!T20</f>
        <v>-0.26368066122854938</v>
      </c>
      <c r="AV26" s="60">
        <f>AV$21*'Jet Fuel PM2.5 by AB'!U20</f>
        <v>-0.27710847300980279</v>
      </c>
      <c r="AW26" s="60">
        <f>AW$21*'Jet Fuel PM2.5 by AB'!V20</f>
        <v>-0.28965336012230197</v>
      </c>
      <c r="AX26" s="60">
        <f>AX$21*'Jet Fuel PM2.5 by AB'!W20</f>
        <v>-0.3028599963454176</v>
      </c>
      <c r="AY26" s="60">
        <f>AY$21*'Jet Fuel PM2.5 by AB'!X20</f>
        <v>-0.31516425680648374</v>
      </c>
      <c r="AZ26" s="60">
        <f>AZ$21*'Jet Fuel PM2.5 by AB'!Y20</f>
        <v>-0.32810928403964362</v>
      </c>
      <c r="BA26" s="60">
        <f>BA$21*'Jet Fuel PM2.5 by AB'!Z20</f>
        <v>-0.34009524327703389</v>
      </c>
    </row>
    <row r="27" spans="1:54">
      <c r="A27" s="53" t="s">
        <v>251</v>
      </c>
      <c r="B27" s="5" t="s">
        <v>240</v>
      </c>
      <c r="C27" s="60"/>
      <c r="D27" s="60">
        <f>+D$21*'Jet Fuel NOx by AB'!C21</f>
        <v>0</v>
      </c>
      <c r="E27" s="60">
        <f>+E$21*'Jet Fuel NOx by AB'!D21</f>
        <v>0</v>
      </c>
      <c r="F27" s="60">
        <f>+F$21*'Jet Fuel NOx by AB'!E21</f>
        <v>0</v>
      </c>
      <c r="G27" s="60">
        <f>+G$21*'Jet Fuel NOx by AB'!F21</f>
        <v>0</v>
      </c>
      <c r="H27" s="60">
        <f>+H$21*'Jet Fuel NOx by AB'!G21</f>
        <v>0</v>
      </c>
      <c r="I27" s="60">
        <f>+I$21*'Jet Fuel NOx by AB'!H21</f>
        <v>0</v>
      </c>
      <c r="J27" s="60">
        <f>+J$21*'Jet Fuel NOx by AB'!I21</f>
        <v>0</v>
      </c>
      <c r="K27" s="60">
        <f>+K$21*'Jet Fuel NOx by AB'!J21</f>
        <v>0</v>
      </c>
      <c r="L27" s="60">
        <f>+L$21*'Jet Fuel NOx by AB'!K21</f>
        <v>0</v>
      </c>
      <c r="M27" s="60">
        <f>+M$21*'Jet Fuel NOx by AB'!L21</f>
        <v>0</v>
      </c>
      <c r="N27" s="60">
        <f>+N$21*'Jet Fuel NOx by AB'!M21</f>
        <v>0</v>
      </c>
      <c r="O27" s="60">
        <f>+O$21*'Jet Fuel NOx by AB'!N21</f>
        <v>0</v>
      </c>
      <c r="P27" s="60">
        <f>+P$21*'Jet Fuel NOx by AB'!O21</f>
        <v>0</v>
      </c>
      <c r="Q27" s="60">
        <f>+Q$21*'Jet Fuel NOx by AB'!P21</f>
        <v>0</v>
      </c>
      <c r="R27" s="60">
        <f>+R$21*'Jet Fuel NOx by AB'!Q21</f>
        <v>0</v>
      </c>
      <c r="S27" s="60">
        <f>+S$21*'Jet Fuel NOx by AB'!R21</f>
        <v>0</v>
      </c>
      <c r="T27" s="60">
        <f>+T$21*'Jet Fuel NOx by AB'!S21</f>
        <v>0</v>
      </c>
      <c r="U27" s="60">
        <f>+U$21*'Jet Fuel NOx by AB'!T21</f>
        <v>0</v>
      </c>
      <c r="V27" s="60">
        <f>+V$21*'Jet Fuel NOx by AB'!U21</f>
        <v>0</v>
      </c>
      <c r="W27" s="60">
        <f>+W$21*'Jet Fuel NOx by AB'!V21</f>
        <v>0</v>
      </c>
      <c r="X27" s="60">
        <f>+X$21*'Jet Fuel NOx by AB'!W21</f>
        <v>0</v>
      </c>
      <c r="Y27" s="60">
        <f>+Y$21*'Jet Fuel NOx by AB'!X21</f>
        <v>0</v>
      </c>
      <c r="Z27" s="60">
        <f>+Z$21*'Jet Fuel NOx by AB'!Y21</f>
        <v>0</v>
      </c>
      <c r="AA27" s="60">
        <f>+AA$21*'Jet Fuel NOx by AB'!Z21</f>
        <v>0</v>
      </c>
      <c r="AC27" s="60"/>
      <c r="AD27" s="60">
        <f>AD$21*'Jet Fuel PM2.5 by AB'!C21</f>
        <v>5.1235679042181181E-19</v>
      </c>
      <c r="AE27" s="60">
        <f>AE$21*'Jet Fuel PM2.5 by AB'!D21</f>
        <v>-5.175881688780612E-4</v>
      </c>
      <c r="AF27" s="60">
        <f>AF$21*'Jet Fuel PM2.5 by AB'!E21</f>
        <v>-8.2011700775444724E-4</v>
      </c>
      <c r="AG27" s="60">
        <f>AG$21*'Jet Fuel PM2.5 by AB'!F21</f>
        <v>-1.0534941453239743E-3</v>
      </c>
      <c r="AH27" s="60">
        <f>AH$21*'Jet Fuel PM2.5 by AB'!G21</f>
        <v>-1.280616956129262E-3</v>
      </c>
      <c r="AI27" s="60">
        <f>AI$21*'Jet Fuel PM2.5 by AB'!H21</f>
        <v>-1.5109866044159079E-3</v>
      </c>
      <c r="AJ27" s="60">
        <f>AJ$21*'Jet Fuel PM2.5 by AB'!I21</f>
        <v>-1.7315366846377771E-3</v>
      </c>
      <c r="AK27" s="60">
        <f>AK$21*'Jet Fuel PM2.5 by AB'!J21</f>
        <v>-1.9428204232029335E-3</v>
      </c>
      <c r="AL27" s="60">
        <f>AL$21*'Jet Fuel PM2.5 by AB'!K21</f>
        <v>-2.164417962676296E-3</v>
      </c>
      <c r="AM27" s="60">
        <f>AM$21*'Jet Fuel PM2.5 by AB'!L21</f>
        <v>-2.3794600852953905E-3</v>
      </c>
      <c r="AN27" s="60">
        <f>AN$21*'Jet Fuel PM2.5 by AB'!M21</f>
        <v>-2.5988483866408586E-3</v>
      </c>
      <c r="AO27" s="60">
        <f>AO$21*'Jet Fuel PM2.5 by AB'!N21</f>
        <v>-2.8096532926395047E-3</v>
      </c>
      <c r="AP27" s="60">
        <f>AP$21*'Jet Fuel PM2.5 by AB'!O21</f>
        <v>-3.0258712083985613E-3</v>
      </c>
      <c r="AQ27" s="60">
        <f>AQ$21*'Jet Fuel PM2.5 by AB'!P21</f>
        <v>-3.2317733523139739E-3</v>
      </c>
      <c r="AR27" s="60">
        <f>AR$21*'Jet Fuel PM2.5 by AB'!Q21</f>
        <v>-3.4440926510297264E-3</v>
      </c>
      <c r="AS27" s="60">
        <f>AS$21*'Jet Fuel PM2.5 by AB'!R21</f>
        <v>-3.6462311085894319E-3</v>
      </c>
      <c r="AT27" s="60">
        <f>AT$21*'Jet Fuel PM2.5 by AB'!S21</f>
        <v>-3.8578794364562056E-3</v>
      </c>
      <c r="AU27" s="60">
        <f>AU$21*'Jet Fuel PM2.5 by AB'!T21</f>
        <v>-4.0575678082321346E-3</v>
      </c>
      <c r="AV27" s="60">
        <f>AV$21*'Jet Fuel PM2.5 by AB'!U21</f>
        <v>-4.264197511619403E-3</v>
      </c>
      <c r="AW27" s="60">
        <f>AW$21*'Jet Fuel PM2.5 by AB'!V21</f>
        <v>-4.4572406034730852E-3</v>
      </c>
      <c r="AX27" s="60">
        <f>AX$21*'Jet Fuel PM2.5 by AB'!W21</f>
        <v>-4.6604668156051141E-3</v>
      </c>
      <c r="AY27" s="60">
        <f>AY$21*'Jet Fuel PM2.5 by AB'!X21</f>
        <v>-4.8498070991067985E-3</v>
      </c>
      <c r="AZ27" s="60">
        <f>AZ$21*'Jet Fuel PM2.5 by AB'!Y21</f>
        <v>-5.0490076226993525E-3</v>
      </c>
      <c r="BA27" s="60">
        <f>BA$21*'Jet Fuel PM2.5 by AB'!Z21</f>
        <v>-5.2334498268633628E-3</v>
      </c>
    </row>
    <row r="28" spans="1:54">
      <c r="A28" s="53" t="s">
        <v>253</v>
      </c>
      <c r="B28" s="5" t="s">
        <v>240</v>
      </c>
      <c r="C28" s="60"/>
      <c r="D28" s="60">
        <f>+D$21*'Jet Fuel NOx by AB'!C22</f>
        <v>0</v>
      </c>
      <c r="E28" s="60">
        <f>+E$21*'Jet Fuel NOx by AB'!D22</f>
        <v>0</v>
      </c>
      <c r="F28" s="60">
        <f>+F$21*'Jet Fuel NOx by AB'!E22</f>
        <v>0</v>
      </c>
      <c r="G28" s="60">
        <f>+G$21*'Jet Fuel NOx by AB'!F22</f>
        <v>0</v>
      </c>
      <c r="H28" s="60">
        <f>+H$21*'Jet Fuel NOx by AB'!G22</f>
        <v>0</v>
      </c>
      <c r="I28" s="60">
        <f>+I$21*'Jet Fuel NOx by AB'!H22</f>
        <v>0</v>
      </c>
      <c r="J28" s="60">
        <f>+J$21*'Jet Fuel NOx by AB'!I22</f>
        <v>0</v>
      </c>
      <c r="K28" s="60">
        <f>+K$21*'Jet Fuel NOx by AB'!J22</f>
        <v>0</v>
      </c>
      <c r="L28" s="60">
        <f>+L$21*'Jet Fuel NOx by AB'!K22</f>
        <v>0</v>
      </c>
      <c r="M28" s="60">
        <f>+M$21*'Jet Fuel NOx by AB'!L22</f>
        <v>0</v>
      </c>
      <c r="N28" s="60">
        <f>+N$21*'Jet Fuel NOx by AB'!M22</f>
        <v>0</v>
      </c>
      <c r="O28" s="60">
        <f>+O$21*'Jet Fuel NOx by AB'!N22</f>
        <v>0</v>
      </c>
      <c r="P28" s="60">
        <f>+P$21*'Jet Fuel NOx by AB'!O22</f>
        <v>0</v>
      </c>
      <c r="Q28" s="60">
        <f>+Q$21*'Jet Fuel NOx by AB'!P22</f>
        <v>0</v>
      </c>
      <c r="R28" s="60">
        <f>+R$21*'Jet Fuel NOx by AB'!Q22</f>
        <v>0</v>
      </c>
      <c r="S28" s="60">
        <f>+S$21*'Jet Fuel NOx by AB'!R22</f>
        <v>0</v>
      </c>
      <c r="T28" s="60">
        <f>+T$21*'Jet Fuel NOx by AB'!S22</f>
        <v>0</v>
      </c>
      <c r="U28" s="60">
        <f>+U$21*'Jet Fuel NOx by AB'!T22</f>
        <v>0</v>
      </c>
      <c r="V28" s="60">
        <f>+V$21*'Jet Fuel NOx by AB'!U22</f>
        <v>0</v>
      </c>
      <c r="W28" s="60">
        <f>+W$21*'Jet Fuel NOx by AB'!V22</f>
        <v>0</v>
      </c>
      <c r="X28" s="60">
        <f>+X$21*'Jet Fuel NOx by AB'!W22</f>
        <v>0</v>
      </c>
      <c r="Y28" s="60">
        <f>+Y$21*'Jet Fuel NOx by AB'!X22</f>
        <v>0</v>
      </c>
      <c r="Z28" s="60">
        <f>+Z$21*'Jet Fuel NOx by AB'!Y22</f>
        <v>0</v>
      </c>
      <c r="AA28" s="60">
        <f>+AA$21*'Jet Fuel NOx by AB'!Z22</f>
        <v>0</v>
      </c>
      <c r="AC28" s="60"/>
      <c r="AD28" s="60">
        <f>AD$21*'Jet Fuel PM2.5 by AB'!C22</f>
        <v>2.0949592462700159E-16</v>
      </c>
      <c r="AE28" s="60">
        <f>AE$21*'Jet Fuel PM2.5 by AB'!D22</f>
        <v>-0.21444166127343431</v>
      </c>
      <c r="AF28" s="60">
        <f>AF$21*'Jet Fuel PM2.5 by AB'!E22</f>
        <v>-0.34423250857557425</v>
      </c>
      <c r="AG28" s="60">
        <f>AG$21*'Jet Fuel PM2.5 by AB'!F22</f>
        <v>-0.44790198064609898</v>
      </c>
      <c r="AH28" s="60">
        <f>AH$21*'Jet Fuel PM2.5 by AB'!G22</f>
        <v>-0.55141433124199779</v>
      </c>
      <c r="AI28" s="60">
        <f>AI$21*'Jet Fuel PM2.5 by AB'!H22</f>
        <v>-0.6588015631978219</v>
      </c>
      <c r="AJ28" s="60">
        <f>AJ$21*'Jet Fuel PM2.5 by AB'!I22</f>
        <v>-0.76435909950538561</v>
      </c>
      <c r="AK28" s="60">
        <f>AK$21*'Jet Fuel PM2.5 by AB'!J22</f>
        <v>-0.86816946745224521</v>
      </c>
      <c r="AL28" s="60">
        <f>AL$21*'Jet Fuel PM2.5 by AB'!K22</f>
        <v>-0.9789376578661515</v>
      </c>
      <c r="AM28" s="60">
        <f>AM$21*'Jet Fuel PM2.5 by AB'!L22</f>
        <v>-1.089101328776354</v>
      </c>
      <c r="AN28" s="60">
        <f>AN$21*'Jet Fuel PM2.5 by AB'!M22</f>
        <v>-1.203619854116299</v>
      </c>
      <c r="AO28" s="60">
        <f>AO$21*'Jet Fuel PM2.5 by AB'!N22</f>
        <v>-1.3164975082783197</v>
      </c>
      <c r="AP28" s="60">
        <f>AP$21*'Jet Fuel PM2.5 by AB'!O22</f>
        <v>-1.4342286976351626</v>
      </c>
      <c r="AQ28" s="60">
        <f>AQ$21*'Jet Fuel PM2.5 by AB'!P22</f>
        <v>-1.5493365358416007</v>
      </c>
      <c r="AR28" s="60">
        <f>AR$21*'Jet Fuel PM2.5 by AB'!Q22</f>
        <v>-1.6698130864035858</v>
      </c>
      <c r="AS28" s="60">
        <f>AS$21*'Jet Fuel PM2.5 by AB'!R22</f>
        <v>-1.7876026392333226</v>
      </c>
      <c r="AT28" s="60">
        <f>AT$21*'Jet Fuel PM2.5 by AB'!S22</f>
        <v>-1.9122998835267089</v>
      </c>
      <c r="AU28" s="60">
        <f>AU$21*'Jet Fuel PM2.5 by AB'!T22</f>
        <v>-2.0332855076467098</v>
      </c>
      <c r="AV28" s="60">
        <f>AV$21*'Jet Fuel PM2.5 by AB'!U22</f>
        <v>-2.1599689070931909</v>
      </c>
      <c r="AW28" s="60">
        <f>AW$21*'Jet Fuel PM2.5 by AB'!V22</f>
        <v>-2.2819389912195986</v>
      </c>
      <c r="AX28" s="60">
        <f>AX$21*'Jet Fuel PM2.5 by AB'!W22</f>
        <v>-2.4112727703924</v>
      </c>
      <c r="AY28" s="60">
        <f>AY$21*'Jet Fuel PM2.5 by AB'!X22</f>
        <v>-2.5355340548896281</v>
      </c>
      <c r="AZ28" s="60">
        <f>AZ$21*'Jet Fuel PM2.5 by AB'!Y22</f>
        <v>-2.6670763548993337</v>
      </c>
      <c r="BA28" s="60">
        <f>BA$21*'Jet Fuel PM2.5 by AB'!Z22</f>
        <v>-2.7928848094906291</v>
      </c>
    </row>
    <row r="29" spans="1:54">
      <c r="A29" s="53" t="s">
        <v>255</v>
      </c>
      <c r="B29" s="5" t="s">
        <v>240</v>
      </c>
      <c r="C29" s="60"/>
      <c r="D29" s="60">
        <f>+D$21*'Jet Fuel NOx by AB'!C23</f>
        <v>0</v>
      </c>
      <c r="E29" s="60">
        <f>+E$21*'Jet Fuel NOx by AB'!D23</f>
        <v>0</v>
      </c>
      <c r="F29" s="60">
        <f>+F$21*'Jet Fuel NOx by AB'!E23</f>
        <v>0</v>
      </c>
      <c r="G29" s="60">
        <f>+G$21*'Jet Fuel NOx by AB'!F23</f>
        <v>0</v>
      </c>
      <c r="H29" s="60">
        <f>+H$21*'Jet Fuel NOx by AB'!G23</f>
        <v>0</v>
      </c>
      <c r="I29" s="60">
        <f>+I$21*'Jet Fuel NOx by AB'!H23</f>
        <v>0</v>
      </c>
      <c r="J29" s="60">
        <f>+J$21*'Jet Fuel NOx by AB'!I23</f>
        <v>0</v>
      </c>
      <c r="K29" s="60">
        <f>+K$21*'Jet Fuel NOx by AB'!J23</f>
        <v>0</v>
      </c>
      <c r="L29" s="60">
        <f>+L$21*'Jet Fuel NOx by AB'!K23</f>
        <v>0</v>
      </c>
      <c r="M29" s="60">
        <f>+M$21*'Jet Fuel NOx by AB'!L23</f>
        <v>0</v>
      </c>
      <c r="N29" s="60">
        <f>+N$21*'Jet Fuel NOx by AB'!M23</f>
        <v>0</v>
      </c>
      <c r="O29" s="60">
        <f>+O$21*'Jet Fuel NOx by AB'!N23</f>
        <v>0</v>
      </c>
      <c r="P29" s="60">
        <f>+P$21*'Jet Fuel NOx by AB'!O23</f>
        <v>0</v>
      </c>
      <c r="Q29" s="60">
        <f>+Q$21*'Jet Fuel NOx by AB'!P23</f>
        <v>0</v>
      </c>
      <c r="R29" s="60">
        <f>+R$21*'Jet Fuel NOx by AB'!Q23</f>
        <v>0</v>
      </c>
      <c r="S29" s="60">
        <f>+S$21*'Jet Fuel NOx by AB'!R23</f>
        <v>0</v>
      </c>
      <c r="T29" s="60">
        <f>+T$21*'Jet Fuel NOx by AB'!S23</f>
        <v>0</v>
      </c>
      <c r="U29" s="60">
        <f>+U$21*'Jet Fuel NOx by AB'!T23</f>
        <v>0</v>
      </c>
      <c r="V29" s="60">
        <f>+V$21*'Jet Fuel NOx by AB'!U23</f>
        <v>0</v>
      </c>
      <c r="W29" s="60">
        <f>+W$21*'Jet Fuel NOx by AB'!V23</f>
        <v>0</v>
      </c>
      <c r="X29" s="60">
        <f>+X$21*'Jet Fuel NOx by AB'!W23</f>
        <v>0</v>
      </c>
      <c r="Y29" s="60">
        <f>+Y$21*'Jet Fuel NOx by AB'!X23</f>
        <v>0</v>
      </c>
      <c r="Z29" s="60">
        <f>+Z$21*'Jet Fuel NOx by AB'!Y23</f>
        <v>0</v>
      </c>
      <c r="AA29" s="60">
        <f>+AA$21*'Jet Fuel NOx by AB'!Z23</f>
        <v>0</v>
      </c>
      <c r="AC29" s="60"/>
      <c r="AD29" s="60">
        <f>AD$21*'Jet Fuel PM2.5 by AB'!C23</f>
        <v>5.8587476960834512E-15</v>
      </c>
      <c r="AE29" s="60">
        <f>AE$21*'Jet Fuel PM2.5 by AB'!D23</f>
        <v>-5.9212828721552748</v>
      </c>
      <c r="AF29" s="60">
        <f>AF$21*'Jet Fuel PM2.5 by AB'!E23</f>
        <v>-9.3864341249628147</v>
      </c>
      <c r="AG29" s="60">
        <f>AG$21*'Jet Fuel PM2.5 by AB'!F23</f>
        <v>-12.062448332215432</v>
      </c>
      <c r="AH29" s="60">
        <f>AH$21*'Jet Fuel PM2.5 by AB'!G23</f>
        <v>-14.669017808396847</v>
      </c>
      <c r="AI29" s="60">
        <f>AI$21*'Jet Fuel PM2.5 by AB'!H23</f>
        <v>-17.314823137720122</v>
      </c>
      <c r="AJ29" s="60">
        <f>AJ$21*'Jet Fuel PM2.5 by AB'!I23</f>
        <v>-19.849820358732433</v>
      </c>
      <c r="AK29" s="60">
        <f>AK$21*'Jet Fuel PM2.5 by AB'!J23</f>
        <v>-22.280235287699949</v>
      </c>
      <c r="AL29" s="60">
        <f>AL$21*'Jet Fuel PM2.5 by AB'!K23</f>
        <v>-24.830513237190701</v>
      </c>
      <c r="AM29" s="60">
        <f>AM$21*'Jet Fuel PM2.5 by AB'!L23</f>
        <v>-27.306674959755245</v>
      </c>
      <c r="AN29" s="60">
        <f>AN$21*'Jet Fuel PM2.5 by AB'!M23</f>
        <v>-29.834495076360788</v>
      </c>
      <c r="AO29" s="60">
        <f>AO$21*'Jet Fuel PM2.5 by AB'!N23</f>
        <v>-32.264976961216043</v>
      </c>
      <c r="AP29" s="60">
        <f>AP$21*'Jet Fuel PM2.5 by AB'!O23</f>
        <v>-34.758810581879793</v>
      </c>
      <c r="AQ29" s="60">
        <f>AQ$21*'Jet Fuel PM2.5 by AB'!P23</f>
        <v>-37.135478306202295</v>
      </c>
      <c r="AR29" s="60">
        <f>AR$21*'Jet Fuel PM2.5 by AB'!Q23</f>
        <v>-39.586881804249217</v>
      </c>
      <c r="AS29" s="60">
        <f>AS$21*'Jet Fuel PM2.5 by AB'!R23</f>
        <v>-41.922273863434853</v>
      </c>
      <c r="AT29" s="60">
        <f>AT$21*'Jet Fuel PM2.5 by AB'!S23</f>
        <v>-44.367491505839958</v>
      </c>
      <c r="AU29" s="60">
        <f>AU$21*'Jet Fuel PM2.5 by AB'!T23</f>
        <v>-46.676300184093215</v>
      </c>
      <c r="AV29" s="60">
        <f>AV$21*'Jet Fuel PM2.5 by AB'!U23</f>
        <v>-49.06501514311109</v>
      </c>
      <c r="AW29" s="60">
        <f>AW$21*'Jet Fuel PM2.5 by AB'!V23</f>
        <v>-51.298247547164848</v>
      </c>
      <c r="AX29" s="60">
        <f>AX$21*'Jet Fuel PM2.5 by AB'!W23</f>
        <v>-53.649306687849219</v>
      </c>
      <c r="AY29" s="60">
        <f>AY$21*'Jet Fuel PM2.5 by AB'!X23</f>
        <v>-55.840258012461796</v>
      </c>
      <c r="AZ29" s="60">
        <f>AZ$21*'Jet Fuel PM2.5 by AB'!Y23</f>
        <v>-58.145248214517608</v>
      </c>
      <c r="BA29" s="60">
        <f>BA$21*'Jet Fuel PM2.5 by AB'!Z23</f>
        <v>-60.27998104237939</v>
      </c>
    </row>
    <row r="30" spans="1:54">
      <c r="A30" s="53" t="s">
        <v>256</v>
      </c>
      <c r="B30" s="5" t="s">
        <v>240</v>
      </c>
      <c r="C30" s="60"/>
      <c r="D30" s="60">
        <f>+D$21*'Jet Fuel NOx by AB'!C24</f>
        <v>0</v>
      </c>
      <c r="E30" s="60">
        <f>+E$21*'Jet Fuel NOx by AB'!D24</f>
        <v>0</v>
      </c>
      <c r="F30" s="60">
        <f>+F$21*'Jet Fuel NOx by AB'!E24</f>
        <v>0</v>
      </c>
      <c r="G30" s="60">
        <f>+G$21*'Jet Fuel NOx by AB'!F24</f>
        <v>0</v>
      </c>
      <c r="H30" s="60">
        <f>+H$21*'Jet Fuel NOx by AB'!G24</f>
        <v>0</v>
      </c>
      <c r="I30" s="60">
        <f>+I$21*'Jet Fuel NOx by AB'!H24</f>
        <v>0</v>
      </c>
      <c r="J30" s="60">
        <f>+J$21*'Jet Fuel NOx by AB'!I24</f>
        <v>0</v>
      </c>
      <c r="K30" s="60">
        <f>+K$21*'Jet Fuel NOx by AB'!J24</f>
        <v>0</v>
      </c>
      <c r="L30" s="60">
        <f>+L$21*'Jet Fuel NOx by AB'!K24</f>
        <v>0</v>
      </c>
      <c r="M30" s="60">
        <f>+M$21*'Jet Fuel NOx by AB'!L24</f>
        <v>0</v>
      </c>
      <c r="N30" s="60">
        <f>+N$21*'Jet Fuel NOx by AB'!M24</f>
        <v>0</v>
      </c>
      <c r="O30" s="60">
        <f>+O$21*'Jet Fuel NOx by AB'!N24</f>
        <v>0</v>
      </c>
      <c r="P30" s="60">
        <f>+P$21*'Jet Fuel NOx by AB'!O24</f>
        <v>0</v>
      </c>
      <c r="Q30" s="60">
        <f>+Q$21*'Jet Fuel NOx by AB'!P24</f>
        <v>0</v>
      </c>
      <c r="R30" s="60">
        <f>+R$21*'Jet Fuel NOx by AB'!Q24</f>
        <v>0</v>
      </c>
      <c r="S30" s="60">
        <f>+S$21*'Jet Fuel NOx by AB'!R24</f>
        <v>0</v>
      </c>
      <c r="T30" s="60">
        <f>+T$21*'Jet Fuel NOx by AB'!S24</f>
        <v>0</v>
      </c>
      <c r="U30" s="60">
        <f>+U$21*'Jet Fuel NOx by AB'!T24</f>
        <v>0</v>
      </c>
      <c r="V30" s="60">
        <f>+V$21*'Jet Fuel NOx by AB'!U24</f>
        <v>0</v>
      </c>
      <c r="W30" s="60">
        <f>+W$21*'Jet Fuel NOx by AB'!V24</f>
        <v>0</v>
      </c>
      <c r="X30" s="60">
        <f>+X$21*'Jet Fuel NOx by AB'!W24</f>
        <v>0</v>
      </c>
      <c r="Y30" s="60">
        <f>+Y$21*'Jet Fuel NOx by AB'!X24</f>
        <v>0</v>
      </c>
      <c r="Z30" s="60">
        <f>+Z$21*'Jet Fuel NOx by AB'!Y24</f>
        <v>0</v>
      </c>
      <c r="AA30" s="60">
        <f>+AA$21*'Jet Fuel NOx by AB'!Z24</f>
        <v>0</v>
      </c>
      <c r="AC30" s="60"/>
      <c r="AD30" s="60">
        <f>AD$21*'Jet Fuel PM2.5 by AB'!C24</f>
        <v>1.2025883911032716E-17</v>
      </c>
      <c r="AE30" s="60">
        <f>AE$21*'Jet Fuel PM2.5 by AB'!D24</f>
        <v>-1.2158439061380871E-2</v>
      </c>
      <c r="AF30" s="60">
        <f>AF$21*'Jet Fuel PM2.5 by AB'!E24</f>
        <v>-1.9280486635132859E-2</v>
      </c>
      <c r="AG30" s="60">
        <f>AG$21*'Jet Fuel PM2.5 by AB'!F24</f>
        <v>-2.4786928287150872E-2</v>
      </c>
      <c r="AH30" s="60">
        <f>AH$21*'Jet Fuel PM2.5 by AB'!G24</f>
        <v>-3.0154904929232434E-2</v>
      </c>
      <c r="AI30" s="60">
        <f>AI$21*'Jet Fuel PM2.5 by AB'!H24</f>
        <v>-3.5613669174270793E-2</v>
      </c>
      <c r="AJ30" s="60">
        <f>AJ$21*'Jet Fuel PM2.5 by AB'!I24</f>
        <v>-4.0844663455361301E-2</v>
      </c>
      <c r="AK30" s="60">
        <f>AK$21*'Jet Fuel PM2.5 by AB'!J24</f>
        <v>-4.5865224783236049E-2</v>
      </c>
      <c r="AL30" s="60">
        <f>AL$21*'Jet Fuel PM2.5 by AB'!K24</f>
        <v>-5.1137437223835056E-2</v>
      </c>
      <c r="AM30" s="60">
        <f>AM$21*'Jet Fuel PM2.5 by AB'!L24</f>
        <v>-5.6263007148909132E-2</v>
      </c>
      <c r="AN30" s="60">
        <f>AN$21*'Jet Fuel PM2.5 by AB'!M24</f>
        <v>-6.150934747551496E-2</v>
      </c>
      <c r="AO30" s="60">
        <f>AO$21*'Jet Fuel PM2.5 by AB'!N24</f>
        <v>-6.6551674407162906E-2</v>
      </c>
      <c r="AP30" s="60">
        <f>AP$21*'Jet Fuel PM2.5 by AB'!O24</f>
        <v>-7.1730275211923641E-2</v>
      </c>
      <c r="AQ30" s="60">
        <f>AQ$21*'Jet Fuel PM2.5 by AB'!P24</f>
        <v>-7.6672298362256433E-2</v>
      </c>
      <c r="AR30" s="60">
        <f>AR$21*'Jet Fuel PM2.5 by AB'!Q24</f>
        <v>-8.1774456453883163E-2</v>
      </c>
      <c r="AS30" s="60">
        <f>AS$21*'Jet Fuel PM2.5 by AB'!R24</f>
        <v>-8.6656466120363179E-2</v>
      </c>
      <c r="AT30" s="60">
        <f>AT$21*'Jet Fuel PM2.5 by AB'!S24</f>
        <v>-9.1759298445220613E-2</v>
      </c>
      <c r="AU30" s="60">
        <f>AU$21*'Jet Fuel PM2.5 by AB'!T24</f>
        <v>-9.6585425412559642E-2</v>
      </c>
      <c r="AV30" s="60">
        <f>AV$21*'Jet Fuel PM2.5 by AB'!U24</f>
        <v>-0.1015844486447294</v>
      </c>
      <c r="AW30" s="60">
        <f>AW$21*'Jet Fuel PM2.5 by AB'!V24</f>
        <v>-0.10626734389714323</v>
      </c>
      <c r="AX30" s="60">
        <f>AX$21*'Jet Fuel PM2.5 by AB'!W24</f>
        <v>-0.11120049688706088</v>
      </c>
      <c r="AY30" s="60">
        <f>AY$21*'Jet Fuel PM2.5 by AB'!X24</f>
        <v>-0.11582803445376201</v>
      </c>
      <c r="AZ30" s="60">
        <f>AZ$21*'Jet Fuel PM2.5 by AB'!Y24</f>
        <v>-0.12068080861199133</v>
      </c>
      <c r="BA30" s="60">
        <f>BA$21*'Jet Fuel PM2.5 by AB'!Z24</f>
        <v>-0.12518806963202586</v>
      </c>
    </row>
    <row r="31" spans="1:54">
      <c r="A31" s="53" t="s">
        <v>257</v>
      </c>
      <c r="B31" s="5" t="s">
        <v>240</v>
      </c>
      <c r="C31" s="60"/>
      <c r="D31" s="60">
        <f>+D$21*'Jet Fuel NOx by AB'!C25</f>
        <v>0</v>
      </c>
      <c r="E31" s="60">
        <f>+E$21*'Jet Fuel NOx by AB'!D25</f>
        <v>0</v>
      </c>
      <c r="F31" s="60">
        <f>+F$21*'Jet Fuel NOx by AB'!E25</f>
        <v>0</v>
      </c>
      <c r="G31" s="60">
        <f>+G$21*'Jet Fuel NOx by AB'!F25</f>
        <v>0</v>
      </c>
      <c r="H31" s="60">
        <f>+H$21*'Jet Fuel NOx by AB'!G25</f>
        <v>0</v>
      </c>
      <c r="I31" s="60">
        <f>+I$21*'Jet Fuel NOx by AB'!H25</f>
        <v>0</v>
      </c>
      <c r="J31" s="60">
        <f>+J$21*'Jet Fuel NOx by AB'!I25</f>
        <v>0</v>
      </c>
      <c r="K31" s="60">
        <f>+K$21*'Jet Fuel NOx by AB'!J25</f>
        <v>0</v>
      </c>
      <c r="L31" s="60">
        <f>+L$21*'Jet Fuel NOx by AB'!K25</f>
        <v>0</v>
      </c>
      <c r="M31" s="60">
        <f>+M$21*'Jet Fuel NOx by AB'!L25</f>
        <v>0</v>
      </c>
      <c r="N31" s="60">
        <f>+N$21*'Jet Fuel NOx by AB'!M25</f>
        <v>0</v>
      </c>
      <c r="O31" s="60">
        <f>+O$21*'Jet Fuel NOx by AB'!N25</f>
        <v>0</v>
      </c>
      <c r="P31" s="60">
        <f>+P$21*'Jet Fuel NOx by AB'!O25</f>
        <v>0</v>
      </c>
      <c r="Q31" s="60">
        <f>+Q$21*'Jet Fuel NOx by AB'!P25</f>
        <v>0</v>
      </c>
      <c r="R31" s="60">
        <f>+R$21*'Jet Fuel NOx by AB'!Q25</f>
        <v>0</v>
      </c>
      <c r="S31" s="60">
        <f>+S$21*'Jet Fuel NOx by AB'!R25</f>
        <v>0</v>
      </c>
      <c r="T31" s="60">
        <f>+T$21*'Jet Fuel NOx by AB'!S25</f>
        <v>0</v>
      </c>
      <c r="U31" s="60">
        <f>+U$21*'Jet Fuel NOx by AB'!T25</f>
        <v>0</v>
      </c>
      <c r="V31" s="60">
        <f>+V$21*'Jet Fuel NOx by AB'!U25</f>
        <v>0</v>
      </c>
      <c r="W31" s="60">
        <f>+W$21*'Jet Fuel NOx by AB'!V25</f>
        <v>0</v>
      </c>
      <c r="X31" s="60">
        <f>+X$21*'Jet Fuel NOx by AB'!W25</f>
        <v>0</v>
      </c>
      <c r="Y31" s="60">
        <f>+Y$21*'Jet Fuel NOx by AB'!X25</f>
        <v>0</v>
      </c>
      <c r="Z31" s="60">
        <f>+Z$21*'Jet Fuel NOx by AB'!Y25</f>
        <v>0</v>
      </c>
      <c r="AA31" s="60">
        <f>+AA$21*'Jet Fuel NOx by AB'!Z25</f>
        <v>0</v>
      </c>
      <c r="AC31" s="60"/>
      <c r="AD31" s="60">
        <f>AD$21*'Jet Fuel PM2.5 by AB'!C25</f>
        <v>1.382067941498958E-16</v>
      </c>
      <c r="AE31" s="60">
        <f>AE$21*'Jet Fuel PM2.5 by AB'!D25</f>
        <v>-0.1406414010430285</v>
      </c>
      <c r="AF31" s="60">
        <f>AF$21*'Jet Fuel PM2.5 by AB'!E25</f>
        <v>-0.22447066719413422</v>
      </c>
      <c r="AG31" s="60">
        <f>AG$21*'Jet Fuel PM2.5 by AB'!F25</f>
        <v>-0.29043442179220225</v>
      </c>
      <c r="AH31" s="60">
        <f>AH$21*'Jet Fuel PM2.5 by AB'!G25</f>
        <v>-0.35558625232416358</v>
      </c>
      <c r="AI31" s="60">
        <f>AI$21*'Jet Fuel PM2.5 by AB'!H25</f>
        <v>-0.42255168030209089</v>
      </c>
      <c r="AJ31" s="60">
        <f>AJ$21*'Jet Fuel PM2.5 by AB'!I25</f>
        <v>-0.48765300319957205</v>
      </c>
      <c r="AK31" s="60">
        <f>AK$21*'Jet Fuel PM2.5 by AB'!J25</f>
        <v>-0.55101832959012198</v>
      </c>
      <c r="AL31" s="60">
        <f>AL$21*'Jet Fuel PM2.5 by AB'!K25</f>
        <v>-0.61816022042483632</v>
      </c>
      <c r="AM31" s="60">
        <f>AM$21*'Jet Fuel PM2.5 by AB'!L25</f>
        <v>-0.68430488533750367</v>
      </c>
      <c r="AN31" s="60">
        <f>AN$21*'Jet Fuel PM2.5 by AB'!M25</f>
        <v>-0.7525617667359028</v>
      </c>
      <c r="AO31" s="60">
        <f>AO$21*'Jet Fuel PM2.5 by AB'!N25</f>
        <v>-0.81918887548112718</v>
      </c>
      <c r="AP31" s="60">
        <f>AP$21*'Jet Fuel PM2.5 by AB'!O25</f>
        <v>-0.88823136208619158</v>
      </c>
      <c r="AQ31" s="60">
        <f>AQ$21*'Jet Fuel PM2.5 by AB'!P25</f>
        <v>-0.9551073207088453</v>
      </c>
      <c r="AR31" s="60">
        <f>AR$21*'Jet Fuel PM2.5 by AB'!Q25</f>
        <v>-1.0246994421104056</v>
      </c>
      <c r="AS31" s="60">
        <f>AS$21*'Jet Fuel PM2.5 by AB'!R25</f>
        <v>-1.0920861191742894</v>
      </c>
      <c r="AT31" s="60">
        <f>AT$21*'Jet Fuel PM2.5 by AB'!S25</f>
        <v>-1.1631433710737413</v>
      </c>
      <c r="AU31" s="60">
        <f>AU$21*'Jet Fuel PM2.5 by AB'!T25</f>
        <v>-1.2313968030729421</v>
      </c>
      <c r="AV31" s="60">
        <f>AV$21*'Jet Fuel PM2.5 by AB'!U25</f>
        <v>-1.3025932640956295</v>
      </c>
      <c r="AW31" s="60">
        <f>AW$21*'Jet Fuel PM2.5 by AB'!V25</f>
        <v>-1.3704030122128006</v>
      </c>
      <c r="AX31" s="60">
        <f>AX$21*'Jet Fuel PM2.5 by AB'!W25</f>
        <v>-1.442164748755135</v>
      </c>
      <c r="AY31" s="60">
        <f>AY$21*'Jet Fuel PM2.5 by AB'!X25</f>
        <v>-1.510374509816887</v>
      </c>
      <c r="AZ31" s="60">
        <f>AZ$21*'Jet Fuel PM2.5 by AB'!Y25</f>
        <v>-1.5824447268192683</v>
      </c>
      <c r="BA31" s="60">
        <f>BA$21*'Jet Fuel PM2.5 by AB'!Z25</f>
        <v>-1.6506517991467029</v>
      </c>
    </row>
    <row r="32" spans="1:54">
      <c r="A32" s="53" t="s">
        <v>258</v>
      </c>
      <c r="B32" s="5" t="s">
        <v>240</v>
      </c>
      <c r="C32" s="60"/>
      <c r="D32" s="60">
        <f>+D$21*'Jet Fuel NOx by AB'!C26</f>
        <v>0</v>
      </c>
      <c r="E32" s="60">
        <f>+E$21*'Jet Fuel NOx by AB'!D26</f>
        <v>0</v>
      </c>
      <c r="F32" s="60">
        <f>+F$21*'Jet Fuel NOx by AB'!E26</f>
        <v>0</v>
      </c>
      <c r="G32" s="60">
        <f>+G$21*'Jet Fuel NOx by AB'!F26</f>
        <v>0</v>
      </c>
      <c r="H32" s="60">
        <f>+H$21*'Jet Fuel NOx by AB'!G26</f>
        <v>0</v>
      </c>
      <c r="I32" s="60">
        <f>+I$21*'Jet Fuel NOx by AB'!H26</f>
        <v>0</v>
      </c>
      <c r="J32" s="60">
        <f>+J$21*'Jet Fuel NOx by AB'!I26</f>
        <v>0</v>
      </c>
      <c r="K32" s="60">
        <f>+K$21*'Jet Fuel NOx by AB'!J26</f>
        <v>0</v>
      </c>
      <c r="L32" s="60">
        <f>+L$21*'Jet Fuel NOx by AB'!K26</f>
        <v>0</v>
      </c>
      <c r="M32" s="60">
        <f>+M$21*'Jet Fuel NOx by AB'!L26</f>
        <v>0</v>
      </c>
      <c r="N32" s="60">
        <f>+N$21*'Jet Fuel NOx by AB'!M26</f>
        <v>0</v>
      </c>
      <c r="O32" s="60">
        <f>+O$21*'Jet Fuel NOx by AB'!N26</f>
        <v>0</v>
      </c>
      <c r="P32" s="60">
        <f>+P$21*'Jet Fuel NOx by AB'!O26</f>
        <v>0</v>
      </c>
      <c r="Q32" s="60">
        <f>+Q$21*'Jet Fuel NOx by AB'!P26</f>
        <v>0</v>
      </c>
      <c r="R32" s="60">
        <f>+R$21*'Jet Fuel NOx by AB'!Q26</f>
        <v>0</v>
      </c>
      <c r="S32" s="60">
        <f>+S$21*'Jet Fuel NOx by AB'!R26</f>
        <v>0</v>
      </c>
      <c r="T32" s="60">
        <f>+T$21*'Jet Fuel NOx by AB'!S26</f>
        <v>0</v>
      </c>
      <c r="U32" s="60">
        <f>+U$21*'Jet Fuel NOx by AB'!T26</f>
        <v>0</v>
      </c>
      <c r="V32" s="60">
        <f>+V$21*'Jet Fuel NOx by AB'!U26</f>
        <v>0</v>
      </c>
      <c r="W32" s="60">
        <f>+W$21*'Jet Fuel NOx by AB'!V26</f>
        <v>0</v>
      </c>
      <c r="X32" s="60">
        <f>+X$21*'Jet Fuel NOx by AB'!W26</f>
        <v>0</v>
      </c>
      <c r="Y32" s="60">
        <f>+Y$21*'Jet Fuel NOx by AB'!X26</f>
        <v>0</v>
      </c>
      <c r="Z32" s="60">
        <f>+Z$21*'Jet Fuel NOx by AB'!Y26</f>
        <v>0</v>
      </c>
      <c r="AA32" s="60">
        <f>+AA$21*'Jet Fuel NOx by AB'!Z26</f>
        <v>0</v>
      </c>
      <c r="AC32" s="60"/>
      <c r="AD32" s="60">
        <f>AD$21*'Jet Fuel PM2.5 by AB'!C26</f>
        <v>2.5617839521090593E-18</v>
      </c>
      <c r="AE32" s="60">
        <f>AE$21*'Jet Fuel PM2.5 by AB'!D26</f>
        <v>-2.5879408443903059E-3</v>
      </c>
      <c r="AF32" s="60">
        <f>AF$21*'Jet Fuel PM2.5 by AB'!E26</f>
        <v>-4.1005850387722366E-3</v>
      </c>
      <c r="AG32" s="60">
        <f>AG$21*'Jet Fuel PM2.5 by AB'!F26</f>
        <v>-5.2674707266198726E-3</v>
      </c>
      <c r="AH32" s="60">
        <f>AH$21*'Jet Fuel PM2.5 by AB'!G26</f>
        <v>-6.4030847806463105E-3</v>
      </c>
      <c r="AI32" s="60">
        <f>AI$21*'Jet Fuel PM2.5 by AB'!H26</f>
        <v>-7.5549330220795394E-3</v>
      </c>
      <c r="AJ32" s="60">
        <f>AJ$21*'Jet Fuel PM2.5 by AB'!I26</f>
        <v>-8.6576834231888861E-3</v>
      </c>
      <c r="AK32" s="60">
        <f>AK$21*'Jet Fuel PM2.5 by AB'!J26</f>
        <v>-9.7141021160146671E-3</v>
      </c>
      <c r="AL32" s="60">
        <f>AL$21*'Jet Fuel PM2.5 by AB'!K26</f>
        <v>-1.082208981338148E-2</v>
      </c>
      <c r="AM32" s="60">
        <f>AM$21*'Jet Fuel PM2.5 by AB'!L26</f>
        <v>-1.1897300426476954E-2</v>
      </c>
      <c r="AN32" s="60">
        <f>AN$21*'Jet Fuel PM2.5 by AB'!M26</f>
        <v>-1.2994241933204295E-2</v>
      </c>
      <c r="AO32" s="60">
        <f>AO$21*'Jet Fuel PM2.5 by AB'!N26</f>
        <v>-1.4048266463197526E-2</v>
      </c>
      <c r="AP32" s="60">
        <f>AP$21*'Jet Fuel PM2.5 by AB'!O26</f>
        <v>-1.5129356041992809E-2</v>
      </c>
      <c r="AQ32" s="60">
        <f>AQ$21*'Jet Fuel PM2.5 by AB'!P26</f>
        <v>-1.6158866761569871E-2</v>
      </c>
      <c r="AR32" s="60">
        <f>AR$21*'Jet Fuel PM2.5 by AB'!Q26</f>
        <v>-1.7220463255148633E-2</v>
      </c>
      <c r="AS32" s="60">
        <f>AS$21*'Jet Fuel PM2.5 by AB'!R26</f>
        <v>-1.8231155542947162E-2</v>
      </c>
      <c r="AT32" s="60">
        <f>AT$21*'Jet Fuel PM2.5 by AB'!S26</f>
        <v>-1.9289397182281027E-2</v>
      </c>
      <c r="AU32" s="60">
        <f>AU$21*'Jet Fuel PM2.5 by AB'!T26</f>
        <v>-2.0287839041160674E-2</v>
      </c>
      <c r="AV32" s="60">
        <f>AV$21*'Jet Fuel PM2.5 by AB'!U26</f>
        <v>-2.1320987558097016E-2</v>
      </c>
      <c r="AW32" s="60">
        <f>AW$21*'Jet Fuel PM2.5 by AB'!V26</f>
        <v>-2.2286203017365429E-2</v>
      </c>
      <c r="AX32" s="60">
        <f>AX$21*'Jet Fuel PM2.5 by AB'!W26</f>
        <v>-2.330233407802557E-2</v>
      </c>
      <c r="AY32" s="60">
        <f>AY$21*'Jet Fuel PM2.5 by AB'!X26</f>
        <v>-2.4249035495533994E-2</v>
      </c>
      <c r="AZ32" s="60">
        <f>AZ$21*'Jet Fuel PM2.5 by AB'!Y26</f>
        <v>-2.5245038113496765E-2</v>
      </c>
      <c r="BA32" s="60">
        <f>BA$21*'Jet Fuel PM2.5 by AB'!Z26</f>
        <v>-2.6167249134316815E-2</v>
      </c>
    </row>
    <row r="33" spans="1:53">
      <c r="A33" s="53" t="s">
        <v>259</v>
      </c>
      <c r="B33" s="5" t="s">
        <v>240</v>
      </c>
      <c r="C33" s="60"/>
      <c r="D33" s="60">
        <f>+D$21*'Jet Fuel NOx by AB'!C27</f>
        <v>0</v>
      </c>
      <c r="E33" s="60">
        <f>+E$21*'Jet Fuel NOx by AB'!D27</f>
        <v>0</v>
      </c>
      <c r="F33" s="60">
        <f>+F$21*'Jet Fuel NOx by AB'!E27</f>
        <v>0</v>
      </c>
      <c r="G33" s="60">
        <f>+G$21*'Jet Fuel NOx by AB'!F27</f>
        <v>0</v>
      </c>
      <c r="H33" s="60">
        <f>+H$21*'Jet Fuel NOx by AB'!G27</f>
        <v>0</v>
      </c>
      <c r="I33" s="60">
        <f>+I$21*'Jet Fuel NOx by AB'!H27</f>
        <v>0</v>
      </c>
      <c r="J33" s="60">
        <f>+J$21*'Jet Fuel NOx by AB'!I27</f>
        <v>0</v>
      </c>
      <c r="K33" s="60">
        <f>+K$21*'Jet Fuel NOx by AB'!J27</f>
        <v>0</v>
      </c>
      <c r="L33" s="60">
        <f>+L$21*'Jet Fuel NOx by AB'!K27</f>
        <v>0</v>
      </c>
      <c r="M33" s="60">
        <f>+M$21*'Jet Fuel NOx by AB'!L27</f>
        <v>0</v>
      </c>
      <c r="N33" s="60">
        <f>+N$21*'Jet Fuel NOx by AB'!M27</f>
        <v>0</v>
      </c>
      <c r="O33" s="60">
        <f>+O$21*'Jet Fuel NOx by AB'!N27</f>
        <v>0</v>
      </c>
      <c r="P33" s="60">
        <f>+P$21*'Jet Fuel NOx by AB'!O27</f>
        <v>0</v>
      </c>
      <c r="Q33" s="60">
        <f>+Q$21*'Jet Fuel NOx by AB'!P27</f>
        <v>0</v>
      </c>
      <c r="R33" s="60">
        <f>+R$21*'Jet Fuel NOx by AB'!Q27</f>
        <v>0</v>
      </c>
      <c r="S33" s="60">
        <f>+S$21*'Jet Fuel NOx by AB'!R27</f>
        <v>0</v>
      </c>
      <c r="T33" s="60">
        <f>+T$21*'Jet Fuel NOx by AB'!S27</f>
        <v>0</v>
      </c>
      <c r="U33" s="60">
        <f>+U$21*'Jet Fuel NOx by AB'!T27</f>
        <v>0</v>
      </c>
      <c r="V33" s="60">
        <f>+V$21*'Jet Fuel NOx by AB'!U27</f>
        <v>0</v>
      </c>
      <c r="W33" s="60">
        <f>+W$21*'Jet Fuel NOx by AB'!V27</f>
        <v>0</v>
      </c>
      <c r="X33" s="60">
        <f>+X$21*'Jet Fuel NOx by AB'!W27</f>
        <v>0</v>
      </c>
      <c r="Y33" s="60">
        <f>+Y$21*'Jet Fuel NOx by AB'!X27</f>
        <v>0</v>
      </c>
      <c r="Z33" s="60">
        <f>+Z$21*'Jet Fuel NOx by AB'!Y27</f>
        <v>0</v>
      </c>
      <c r="AA33" s="60">
        <f>+AA$21*'Jet Fuel NOx by AB'!Z27</f>
        <v>0</v>
      </c>
      <c r="AC33" s="60"/>
      <c r="AD33" s="60">
        <f>AD$21*'Jet Fuel PM2.5 by AB'!C27</f>
        <v>1.0247135808436236E-18</v>
      </c>
      <c r="AE33" s="60">
        <f>AE$21*'Jet Fuel PM2.5 by AB'!D27</f>
        <v>-1.0351763377561224E-3</v>
      </c>
      <c r="AF33" s="60">
        <f>AF$21*'Jet Fuel PM2.5 by AB'!E27</f>
        <v>-1.6402340155088945E-3</v>
      </c>
      <c r="AG33" s="60">
        <f>AG$21*'Jet Fuel PM2.5 by AB'!F27</f>
        <v>-2.1069882906479486E-3</v>
      </c>
      <c r="AH33" s="60">
        <f>AH$21*'Jet Fuel PM2.5 by AB'!G27</f>
        <v>-2.5612339122585239E-3</v>
      </c>
      <c r="AI33" s="60">
        <f>AI$21*'Jet Fuel PM2.5 by AB'!H27</f>
        <v>-3.0219732088318158E-3</v>
      </c>
      <c r="AJ33" s="60">
        <f>AJ$21*'Jet Fuel PM2.5 by AB'!I27</f>
        <v>-3.4630733692755543E-3</v>
      </c>
      <c r="AK33" s="60">
        <f>AK$21*'Jet Fuel PM2.5 by AB'!J27</f>
        <v>-3.8856408464058669E-3</v>
      </c>
      <c r="AL33" s="60">
        <f>AL$21*'Jet Fuel PM2.5 by AB'!K27</f>
        <v>-4.3288359253525919E-3</v>
      </c>
      <c r="AM33" s="60">
        <f>AM$21*'Jet Fuel PM2.5 by AB'!L27</f>
        <v>-4.7589201705907809E-3</v>
      </c>
      <c r="AN33" s="60">
        <f>AN$21*'Jet Fuel PM2.5 by AB'!M27</f>
        <v>-5.1976967732817172E-3</v>
      </c>
      <c r="AO33" s="60">
        <f>AO$21*'Jet Fuel PM2.5 by AB'!N27</f>
        <v>-5.6193065852790094E-3</v>
      </c>
      <c r="AP33" s="60">
        <f>AP$21*'Jet Fuel PM2.5 by AB'!O27</f>
        <v>-6.0517424167971226E-3</v>
      </c>
      <c r="AQ33" s="60">
        <f>AQ$21*'Jet Fuel PM2.5 by AB'!P27</f>
        <v>-6.4635467046279477E-3</v>
      </c>
      <c r="AR33" s="60">
        <f>AR$21*'Jet Fuel PM2.5 by AB'!Q27</f>
        <v>-6.8881853020594528E-3</v>
      </c>
      <c r="AS33" s="60">
        <f>AS$21*'Jet Fuel PM2.5 by AB'!R27</f>
        <v>-7.2924622171788639E-3</v>
      </c>
      <c r="AT33" s="60">
        <f>AT$21*'Jet Fuel PM2.5 by AB'!S27</f>
        <v>-7.7157588729124113E-3</v>
      </c>
      <c r="AU33" s="60">
        <f>AU$21*'Jet Fuel PM2.5 by AB'!T27</f>
        <v>-8.1151356164642693E-3</v>
      </c>
      <c r="AV33" s="60">
        <f>AV$21*'Jet Fuel PM2.5 by AB'!U27</f>
        <v>-8.5283950232388061E-3</v>
      </c>
      <c r="AW33" s="60">
        <f>AW$21*'Jet Fuel PM2.5 by AB'!V27</f>
        <v>-8.9144812069461704E-3</v>
      </c>
      <c r="AX33" s="60">
        <f>AX$21*'Jet Fuel PM2.5 by AB'!W27</f>
        <v>-9.3209336312102282E-3</v>
      </c>
      <c r="AY33" s="60">
        <f>AY$21*'Jet Fuel PM2.5 by AB'!X27</f>
        <v>-9.6996141982135971E-3</v>
      </c>
      <c r="AZ33" s="60">
        <f>AZ$21*'Jet Fuel PM2.5 by AB'!Y27</f>
        <v>-1.0098015245398705E-2</v>
      </c>
      <c r="BA33" s="60">
        <f>BA$21*'Jet Fuel PM2.5 by AB'!Z27</f>
        <v>-1.0466899653726726E-2</v>
      </c>
    </row>
    <row r="34" spans="1:53">
      <c r="A34" s="53" t="s">
        <v>260</v>
      </c>
      <c r="B34" s="5" t="s">
        <v>240</v>
      </c>
      <c r="C34" s="60"/>
      <c r="D34" s="60">
        <f>+D$21*'Jet Fuel NOx by AB'!C28</f>
        <v>0</v>
      </c>
      <c r="E34" s="60">
        <f>+E$21*'Jet Fuel NOx by AB'!D28</f>
        <v>0</v>
      </c>
      <c r="F34" s="60">
        <f>+F$21*'Jet Fuel NOx by AB'!E28</f>
        <v>0</v>
      </c>
      <c r="G34" s="60">
        <f>+G$21*'Jet Fuel NOx by AB'!F28</f>
        <v>0</v>
      </c>
      <c r="H34" s="60">
        <f>+H$21*'Jet Fuel NOx by AB'!G28</f>
        <v>0</v>
      </c>
      <c r="I34" s="60">
        <f>+I$21*'Jet Fuel NOx by AB'!H28</f>
        <v>0</v>
      </c>
      <c r="J34" s="60">
        <f>+J$21*'Jet Fuel NOx by AB'!I28</f>
        <v>0</v>
      </c>
      <c r="K34" s="60">
        <f>+K$21*'Jet Fuel NOx by AB'!J28</f>
        <v>0</v>
      </c>
      <c r="L34" s="60">
        <f>+L$21*'Jet Fuel NOx by AB'!K28</f>
        <v>0</v>
      </c>
      <c r="M34" s="60">
        <f>+M$21*'Jet Fuel NOx by AB'!L28</f>
        <v>0</v>
      </c>
      <c r="N34" s="60">
        <f>+N$21*'Jet Fuel NOx by AB'!M28</f>
        <v>0</v>
      </c>
      <c r="O34" s="60">
        <f>+O$21*'Jet Fuel NOx by AB'!N28</f>
        <v>0</v>
      </c>
      <c r="P34" s="60">
        <f>+P$21*'Jet Fuel NOx by AB'!O28</f>
        <v>0</v>
      </c>
      <c r="Q34" s="60">
        <f>+Q$21*'Jet Fuel NOx by AB'!P28</f>
        <v>0</v>
      </c>
      <c r="R34" s="60">
        <f>+R$21*'Jet Fuel NOx by AB'!Q28</f>
        <v>0</v>
      </c>
      <c r="S34" s="60">
        <f>+S$21*'Jet Fuel NOx by AB'!R28</f>
        <v>0</v>
      </c>
      <c r="T34" s="60">
        <f>+T$21*'Jet Fuel NOx by AB'!S28</f>
        <v>0</v>
      </c>
      <c r="U34" s="60">
        <f>+U$21*'Jet Fuel NOx by AB'!T28</f>
        <v>0</v>
      </c>
      <c r="V34" s="60">
        <f>+V$21*'Jet Fuel NOx by AB'!U28</f>
        <v>0</v>
      </c>
      <c r="W34" s="60">
        <f>+W$21*'Jet Fuel NOx by AB'!V28</f>
        <v>0</v>
      </c>
      <c r="X34" s="60">
        <f>+X$21*'Jet Fuel NOx by AB'!W28</f>
        <v>0</v>
      </c>
      <c r="Y34" s="60">
        <f>+Y$21*'Jet Fuel NOx by AB'!X28</f>
        <v>0</v>
      </c>
      <c r="Z34" s="60">
        <f>+Z$21*'Jet Fuel NOx by AB'!Y28</f>
        <v>0</v>
      </c>
      <c r="AA34" s="60">
        <f>+AA$21*'Jet Fuel NOx by AB'!Z28</f>
        <v>0</v>
      </c>
      <c r="AC34" s="60"/>
      <c r="AD34" s="60">
        <f>AD$21*'Jet Fuel PM2.5 by AB'!C28</f>
        <v>2.8491878835766765E-16</v>
      </c>
      <c r="AE34" s="60">
        <f>AE$21*'Jet Fuel PM2.5 by AB'!D28</f>
        <v>-0.28948616439856495</v>
      </c>
      <c r="AF34" s="60">
        <f>AF$21*'Jet Fuel PM2.5 by AB'!E28</f>
        <v>-0.46128963501325171</v>
      </c>
      <c r="AG34" s="60">
        <f>AG$21*'Jet Fuel PM2.5 by AB'!F28</f>
        <v>-0.59586439851243411</v>
      </c>
      <c r="AH34" s="60">
        <f>AH$21*'Jet Fuel PM2.5 by AB'!G28</f>
        <v>-0.72844411304789025</v>
      </c>
      <c r="AI34" s="60">
        <f>AI$21*'Jet Fuel PM2.5 by AB'!H28</f>
        <v>-0.86446132272288434</v>
      </c>
      <c r="AJ34" s="60">
        <f>AJ$21*'Jet Fuel PM2.5 by AB'!I28</f>
        <v>-0.99641794711435938</v>
      </c>
      <c r="AK34" s="60">
        <f>AK$21*'Jet Fuel PM2.5 by AB'!J28</f>
        <v>-1.1246367193665923</v>
      </c>
      <c r="AL34" s="60">
        <f>AL$21*'Jet Fuel PM2.5 by AB'!K28</f>
        <v>-1.2603123197186681</v>
      </c>
      <c r="AM34" s="60">
        <f>AM$21*'Jet Fuel PM2.5 by AB'!L28</f>
        <v>-1.3936187042899815</v>
      </c>
      <c r="AN34" s="60">
        <f>AN$21*'Jet Fuel PM2.5 by AB'!M28</f>
        <v>-1.5309574594115218</v>
      </c>
      <c r="AO34" s="60">
        <f>AO$21*'Jet Fuel PM2.5 by AB'!N28</f>
        <v>-1.6647677110811654</v>
      </c>
      <c r="AP34" s="60">
        <f>AP$21*'Jet Fuel PM2.5 by AB'!O28</f>
        <v>-1.8034196969408194</v>
      </c>
      <c r="AQ34" s="60">
        <f>AQ$21*'Jet Fuel PM2.5 by AB'!P28</f>
        <v>-1.9373815379857988</v>
      </c>
      <c r="AR34" s="60">
        <f>AR$21*'Jet Fuel PM2.5 by AB'!Q28</f>
        <v>-2.0766584226735505</v>
      </c>
      <c r="AS34" s="60">
        <f>AS$21*'Jet Fuel PM2.5 by AB'!R28</f>
        <v>-2.2112264476125518</v>
      </c>
      <c r="AT34" s="60">
        <f>AT$21*'Jet Fuel PM2.5 by AB'!S28</f>
        <v>-2.3530013198119151</v>
      </c>
      <c r="AU34" s="60">
        <f>AU$21*'Jet Fuel PM2.5 by AB'!T28</f>
        <v>-2.4889280176092918</v>
      </c>
      <c r="AV34" s="60">
        <f>AV$21*'Jet Fuel PM2.5 by AB'!U28</f>
        <v>-2.6305277689806874</v>
      </c>
      <c r="AW34" s="60">
        <f>AW$21*'Jet Fuel PM2.5 by AB'!V28</f>
        <v>-2.7651381849788392</v>
      </c>
      <c r="AX34" s="60">
        <f>AX$21*'Jet Fuel PM2.5 by AB'!W28</f>
        <v>-2.9074461163823608</v>
      </c>
      <c r="AY34" s="60">
        <f>AY$21*'Jet Fuel PM2.5 by AB'!X28</f>
        <v>-3.0424402851663981</v>
      </c>
      <c r="AZ34" s="60">
        <f>AZ$21*'Jet Fuel PM2.5 by AB'!Y28</f>
        <v>-3.1849719290899712</v>
      </c>
      <c r="BA34" s="60">
        <f>BA$21*'Jet Fuel PM2.5 by AB'!Z28</f>
        <v>-3.3195483918332149</v>
      </c>
    </row>
    <row r="35" spans="1:53">
      <c r="A35" s="53" t="s">
        <v>261</v>
      </c>
      <c r="B35" s="5" t="s">
        <v>240</v>
      </c>
      <c r="C35" s="60"/>
      <c r="D35" s="60">
        <f>+D$21*'Jet Fuel NOx by AB'!C29</f>
        <v>0</v>
      </c>
      <c r="E35" s="60">
        <f>+E$21*'Jet Fuel NOx by AB'!D29</f>
        <v>0</v>
      </c>
      <c r="F35" s="60">
        <f>+F$21*'Jet Fuel NOx by AB'!E29</f>
        <v>0</v>
      </c>
      <c r="G35" s="60">
        <f>+G$21*'Jet Fuel NOx by AB'!F29</f>
        <v>0</v>
      </c>
      <c r="H35" s="60">
        <f>+H$21*'Jet Fuel NOx by AB'!G29</f>
        <v>0</v>
      </c>
      <c r="I35" s="60">
        <f>+I$21*'Jet Fuel NOx by AB'!H29</f>
        <v>0</v>
      </c>
      <c r="J35" s="60">
        <f>+J$21*'Jet Fuel NOx by AB'!I29</f>
        <v>0</v>
      </c>
      <c r="K35" s="60">
        <f>+K$21*'Jet Fuel NOx by AB'!J29</f>
        <v>0</v>
      </c>
      <c r="L35" s="60">
        <f>+L$21*'Jet Fuel NOx by AB'!K29</f>
        <v>0</v>
      </c>
      <c r="M35" s="60">
        <f>+M$21*'Jet Fuel NOx by AB'!L29</f>
        <v>0</v>
      </c>
      <c r="N35" s="60">
        <f>+N$21*'Jet Fuel NOx by AB'!M29</f>
        <v>0</v>
      </c>
      <c r="O35" s="60">
        <f>+O$21*'Jet Fuel NOx by AB'!N29</f>
        <v>0</v>
      </c>
      <c r="P35" s="60">
        <f>+P$21*'Jet Fuel NOx by AB'!O29</f>
        <v>0</v>
      </c>
      <c r="Q35" s="60">
        <f>+Q$21*'Jet Fuel NOx by AB'!P29</f>
        <v>0</v>
      </c>
      <c r="R35" s="60">
        <f>+R$21*'Jet Fuel NOx by AB'!Q29</f>
        <v>0</v>
      </c>
      <c r="S35" s="60">
        <f>+S$21*'Jet Fuel NOx by AB'!R29</f>
        <v>0</v>
      </c>
      <c r="T35" s="60">
        <f>+T$21*'Jet Fuel NOx by AB'!S29</f>
        <v>0</v>
      </c>
      <c r="U35" s="60">
        <f>+U$21*'Jet Fuel NOx by AB'!T29</f>
        <v>0</v>
      </c>
      <c r="V35" s="60">
        <f>+V$21*'Jet Fuel NOx by AB'!U29</f>
        <v>0</v>
      </c>
      <c r="W35" s="60">
        <f>+W$21*'Jet Fuel NOx by AB'!V29</f>
        <v>0</v>
      </c>
      <c r="X35" s="60">
        <f>+X$21*'Jet Fuel NOx by AB'!W29</f>
        <v>0</v>
      </c>
      <c r="Y35" s="60">
        <f>+Y$21*'Jet Fuel NOx by AB'!X29</f>
        <v>0</v>
      </c>
      <c r="Z35" s="60">
        <f>+Z$21*'Jet Fuel NOx by AB'!Y29</f>
        <v>0</v>
      </c>
      <c r="AA35" s="60">
        <f>+AA$21*'Jet Fuel NOx by AB'!Z29</f>
        <v>0</v>
      </c>
      <c r="AC35" s="60"/>
      <c r="AD35" s="60">
        <f>AD$21*'Jet Fuel PM2.5 by AB'!C29</f>
        <v>2.6871392912176954E-15</v>
      </c>
      <c r="AE35" s="60">
        <f>AE$21*'Jet Fuel PM2.5 by AB'!D29</f>
        <v>-2.7448833430086408</v>
      </c>
      <c r="AF35" s="60">
        <f>AF$21*'Jet Fuel PM2.5 by AB'!E29</f>
        <v>-4.3949915706502765</v>
      </c>
      <c r="AG35" s="60">
        <f>AG$21*'Jet Fuel PM2.5 by AB'!F29</f>
        <v>-5.7015659707878195</v>
      </c>
      <c r="AH35" s="60">
        <f>AH$21*'Jet Fuel PM2.5 by AB'!G29</f>
        <v>-7.0021863878244721</v>
      </c>
      <c r="AI35" s="60">
        <f>AI$21*'Jet Fuel PM2.5 by AB'!H29</f>
        <v>-8.3418890566768003</v>
      </c>
      <c r="AJ35" s="60">
        <f>AJ$21*'Jet Fuel PM2.5 by AB'!I29</f>
        <v>-9.6512979797403133</v>
      </c>
      <c r="AK35" s="60">
        <f>AK$21*'Jet Fuel PM2.5 by AB'!J29</f>
        <v>-10.937433819624056</v>
      </c>
      <c r="AL35" s="60">
        <f>AL$21*'Jet Fuel PM2.5 by AB'!K29</f>
        <v>-12.299701202233296</v>
      </c>
      <c r="AM35" s="60">
        <f>AM$21*'Jet Fuel PM2.5 by AB'!L29</f>
        <v>-13.647209247771151</v>
      </c>
      <c r="AN35" s="60">
        <f>AN$21*'Jet Fuel PM2.5 by AB'!M29</f>
        <v>-15.042595389704353</v>
      </c>
      <c r="AO35" s="60">
        <f>AO$21*'Jet Fuel PM2.5 by AB'!N29</f>
        <v>-16.418977694269952</v>
      </c>
      <c r="AP35" s="60">
        <f>AP$21*'Jet Fuel PM2.5 by AB'!O29</f>
        <v>-17.842158054950339</v>
      </c>
      <c r="AQ35" s="60">
        <f>AQ$21*'Jet Fuel PM2.5 by AB'!P29</f>
        <v>-19.253673900601431</v>
      </c>
      <c r="AR35" s="60">
        <f>AR$21*'Jet Fuel PM2.5 by AB'!Q29</f>
        <v>-20.728966937040632</v>
      </c>
      <c r="AS35" s="60">
        <f>AS$21*'Jet Fuel PM2.5 by AB'!R29</f>
        <v>-22.16819078164994</v>
      </c>
      <c r="AT35" s="60">
        <f>AT$21*'Jet Fuel PM2.5 by AB'!S29</f>
        <v>-23.690509717497093</v>
      </c>
      <c r="AU35" s="60">
        <f>AU$21*'Jet Fuel PM2.5 by AB'!T29</f>
        <v>-25.16448432989684</v>
      </c>
      <c r="AV35" s="60">
        <f>AV$21*'Jet Fuel PM2.5 by AB'!U29</f>
        <v>-26.706315006422294</v>
      </c>
      <c r="AW35" s="60">
        <f>AW$21*'Jet Fuel PM2.5 by AB'!V29</f>
        <v>-28.187455018156896</v>
      </c>
      <c r="AX35" s="60">
        <f>AX$21*'Jet Fuel PM2.5 by AB'!W29</f>
        <v>-29.757186137642016</v>
      </c>
      <c r="AY35" s="60">
        <f>AY$21*'Jet Fuel PM2.5 by AB'!X29</f>
        <v>-31.262240885178578</v>
      </c>
      <c r="AZ35" s="60">
        <f>AZ$21*'Jet Fuel PM2.5 by AB'!Y29</f>
        <v>-32.854559450968054</v>
      </c>
      <c r="BA35" s="60">
        <f>BA$21*'Jet Fuel PM2.5 by AB'!Z29</f>
        <v>-34.359730991023262</v>
      </c>
    </row>
    <row r="36" spans="1:53">
      <c r="A36" s="53" t="s">
        <v>262</v>
      </c>
      <c r="B36" s="5" t="s">
        <v>240</v>
      </c>
      <c r="C36" s="60"/>
      <c r="D36" s="60">
        <f>+D$21*'Jet Fuel NOx by AB'!C30</f>
        <v>0</v>
      </c>
      <c r="E36" s="60">
        <f>+E$21*'Jet Fuel NOx by AB'!D30</f>
        <v>0</v>
      </c>
      <c r="F36" s="60">
        <f>+F$21*'Jet Fuel NOx by AB'!E30</f>
        <v>0</v>
      </c>
      <c r="G36" s="60">
        <f>+G$21*'Jet Fuel NOx by AB'!F30</f>
        <v>0</v>
      </c>
      <c r="H36" s="60">
        <f>+H$21*'Jet Fuel NOx by AB'!G30</f>
        <v>0</v>
      </c>
      <c r="I36" s="60">
        <f>+I$21*'Jet Fuel NOx by AB'!H30</f>
        <v>0</v>
      </c>
      <c r="J36" s="60">
        <f>+J$21*'Jet Fuel NOx by AB'!I30</f>
        <v>0</v>
      </c>
      <c r="K36" s="60">
        <f>+K$21*'Jet Fuel NOx by AB'!J30</f>
        <v>0</v>
      </c>
      <c r="L36" s="60">
        <f>+L$21*'Jet Fuel NOx by AB'!K30</f>
        <v>0</v>
      </c>
      <c r="M36" s="60">
        <f>+M$21*'Jet Fuel NOx by AB'!L30</f>
        <v>0</v>
      </c>
      <c r="N36" s="60">
        <f>+N$21*'Jet Fuel NOx by AB'!M30</f>
        <v>0</v>
      </c>
      <c r="O36" s="60">
        <f>+O$21*'Jet Fuel NOx by AB'!N30</f>
        <v>0</v>
      </c>
      <c r="P36" s="60">
        <f>+P$21*'Jet Fuel NOx by AB'!O30</f>
        <v>0</v>
      </c>
      <c r="Q36" s="60">
        <f>+Q$21*'Jet Fuel NOx by AB'!P30</f>
        <v>0</v>
      </c>
      <c r="R36" s="60">
        <f>+R$21*'Jet Fuel NOx by AB'!Q30</f>
        <v>0</v>
      </c>
      <c r="S36" s="60">
        <f>+S$21*'Jet Fuel NOx by AB'!R30</f>
        <v>0</v>
      </c>
      <c r="T36" s="60">
        <f>+T$21*'Jet Fuel NOx by AB'!S30</f>
        <v>0</v>
      </c>
      <c r="U36" s="60">
        <f>+U$21*'Jet Fuel NOx by AB'!T30</f>
        <v>0</v>
      </c>
      <c r="V36" s="60">
        <f>+V$21*'Jet Fuel NOx by AB'!U30</f>
        <v>0</v>
      </c>
      <c r="W36" s="60">
        <f>+W$21*'Jet Fuel NOx by AB'!V30</f>
        <v>0</v>
      </c>
      <c r="X36" s="60">
        <f>+X$21*'Jet Fuel NOx by AB'!W30</f>
        <v>0</v>
      </c>
      <c r="Y36" s="60">
        <f>+Y$21*'Jet Fuel NOx by AB'!X30</f>
        <v>0</v>
      </c>
      <c r="Z36" s="60">
        <f>+Z$21*'Jet Fuel NOx by AB'!Y30</f>
        <v>0</v>
      </c>
      <c r="AA36" s="60">
        <f>+AA$21*'Jet Fuel NOx by AB'!Z30</f>
        <v>0</v>
      </c>
      <c r="AC36" s="60"/>
      <c r="AD36" s="60">
        <f>AD$21*'Jet Fuel PM2.5 by AB'!C30</f>
        <v>3.324656145141228E-15</v>
      </c>
      <c r="AE36" s="60">
        <f>AE$21*'Jet Fuel PM2.5 by AB'!D30</f>
        <v>-3.3616218734147245</v>
      </c>
      <c r="AF36" s="60">
        <f>AF$21*'Jet Fuel PM2.5 by AB'!E30</f>
        <v>-5.3313609379492073</v>
      </c>
      <c r="AG36" s="60">
        <f>AG$21*'Jet Fuel PM2.5 by AB'!F30</f>
        <v>-6.8546292269185276</v>
      </c>
      <c r="AH36" s="60">
        <f>AH$21*'Jet Fuel PM2.5 by AB'!G30</f>
        <v>-8.3398850325793887</v>
      </c>
      <c r="AI36" s="60">
        <f>AI$21*'Jet Fuel PM2.5 by AB'!H30</f>
        <v>-9.8489584995937136</v>
      </c>
      <c r="AJ36" s="60">
        <f>AJ$21*'Jet Fuel PM2.5 by AB'!I30</f>
        <v>-11.296656410288701</v>
      </c>
      <c r="AK36" s="60">
        <f>AK$21*'Jet Fuel PM2.5 by AB'!J30</f>
        <v>-12.686419415773923</v>
      </c>
      <c r="AL36" s="60">
        <f>AL$21*'Jet Fuel PM2.5 by AB'!K30</f>
        <v>-14.144773587842872</v>
      </c>
      <c r="AM36" s="60">
        <f>AM$21*'Jet Fuel PM2.5 by AB'!L30</f>
        <v>-15.562584825487328</v>
      </c>
      <c r="AN36" s="60">
        <f>AN$21*'Jet Fuel PM2.5 by AB'!M30</f>
        <v>-17.011100455396754</v>
      </c>
      <c r="AO36" s="60">
        <f>AO$21*'Jet Fuel PM2.5 by AB'!N30</f>
        <v>-18.405688838727972</v>
      </c>
      <c r="AP36" s="60">
        <f>AP$21*'Jet Fuel PM2.5 by AB'!O30</f>
        <v>-19.837965612100444</v>
      </c>
      <c r="AQ36" s="60">
        <f>AQ$21*'Jet Fuel PM2.5 by AB'!P30</f>
        <v>-21.204445468284998</v>
      </c>
      <c r="AR36" s="60">
        <f>AR$21*'Jet Fuel PM2.5 by AB'!Q30</f>
        <v>-22.615588904970551</v>
      </c>
      <c r="AS36" s="60">
        <f>AS$21*'Jet Fuel PM2.5 by AB'!R30</f>
        <v>-23.962053930899899</v>
      </c>
      <c r="AT36" s="60">
        <f>AT$21*'Jet Fuel PM2.5 by AB'!S30</f>
        <v>-25.373171147323198</v>
      </c>
      <c r="AU36" s="60">
        <f>AU$21*'Jet Fuel PM2.5 by AB'!T30</f>
        <v>-26.707799385228725</v>
      </c>
      <c r="AV36" s="60">
        <f>AV$21*'Jet Fuel PM2.5 by AB'!U30</f>
        <v>-28.090248240334848</v>
      </c>
      <c r="AW36" s="60">
        <f>AW$21*'Jet Fuel PM2.5 by AB'!V30</f>
        <v>-29.38525853640494</v>
      </c>
      <c r="AX36" s="60">
        <f>AX$21*'Jet Fuel PM2.5 by AB'!W30</f>
        <v>-30.749513836021336</v>
      </c>
      <c r="AY36" s="60">
        <f>AY$21*'Jet Fuel PM2.5 by AB'!X30</f>
        <v>-32.024209634504281</v>
      </c>
      <c r="AZ36" s="60">
        <f>AZ$21*'Jet Fuel PM2.5 by AB'!Y30</f>
        <v>-33.366052502435942</v>
      </c>
      <c r="BA36" s="60">
        <f>BA$21*'Jet Fuel PM2.5 by AB'!Z30</f>
        <v>-34.61235850115623</v>
      </c>
    </row>
    <row r="37" spans="1:53">
      <c r="A37" s="53" t="s">
        <v>263</v>
      </c>
      <c r="B37" s="5" t="s">
        <v>240</v>
      </c>
      <c r="C37" s="60"/>
      <c r="D37" s="60">
        <f>+D$21*'Jet Fuel NOx by AB'!C31</f>
        <v>0</v>
      </c>
      <c r="E37" s="60">
        <f>+E$21*'Jet Fuel NOx by AB'!D31</f>
        <v>0</v>
      </c>
      <c r="F37" s="60">
        <f>+F$21*'Jet Fuel NOx by AB'!E31</f>
        <v>0</v>
      </c>
      <c r="G37" s="60">
        <f>+G$21*'Jet Fuel NOx by AB'!F31</f>
        <v>0</v>
      </c>
      <c r="H37" s="60">
        <f>+H$21*'Jet Fuel NOx by AB'!G31</f>
        <v>0</v>
      </c>
      <c r="I37" s="60">
        <f>+I$21*'Jet Fuel NOx by AB'!H31</f>
        <v>0</v>
      </c>
      <c r="J37" s="60">
        <f>+J$21*'Jet Fuel NOx by AB'!I31</f>
        <v>0</v>
      </c>
      <c r="K37" s="60">
        <f>+K$21*'Jet Fuel NOx by AB'!J31</f>
        <v>0</v>
      </c>
      <c r="L37" s="60">
        <f>+L$21*'Jet Fuel NOx by AB'!K31</f>
        <v>0</v>
      </c>
      <c r="M37" s="60">
        <f>+M$21*'Jet Fuel NOx by AB'!L31</f>
        <v>0</v>
      </c>
      <c r="N37" s="60">
        <f>+N$21*'Jet Fuel NOx by AB'!M31</f>
        <v>0</v>
      </c>
      <c r="O37" s="60">
        <f>+O$21*'Jet Fuel NOx by AB'!N31</f>
        <v>0</v>
      </c>
      <c r="P37" s="60">
        <f>+P$21*'Jet Fuel NOx by AB'!O31</f>
        <v>0</v>
      </c>
      <c r="Q37" s="60">
        <f>+Q$21*'Jet Fuel NOx by AB'!P31</f>
        <v>0</v>
      </c>
      <c r="R37" s="60">
        <f>+R$21*'Jet Fuel NOx by AB'!Q31</f>
        <v>0</v>
      </c>
      <c r="S37" s="60">
        <f>+S$21*'Jet Fuel NOx by AB'!R31</f>
        <v>0</v>
      </c>
      <c r="T37" s="60">
        <f>+T$21*'Jet Fuel NOx by AB'!S31</f>
        <v>0</v>
      </c>
      <c r="U37" s="60">
        <f>+U$21*'Jet Fuel NOx by AB'!T31</f>
        <v>0</v>
      </c>
      <c r="V37" s="60">
        <f>+V$21*'Jet Fuel NOx by AB'!U31</f>
        <v>0</v>
      </c>
      <c r="W37" s="60">
        <f>+W$21*'Jet Fuel NOx by AB'!V31</f>
        <v>0</v>
      </c>
      <c r="X37" s="60">
        <f>+X$21*'Jet Fuel NOx by AB'!W31</f>
        <v>0</v>
      </c>
      <c r="Y37" s="60">
        <f>+Y$21*'Jet Fuel NOx by AB'!X31</f>
        <v>0</v>
      </c>
      <c r="Z37" s="60">
        <f>+Z$21*'Jet Fuel NOx by AB'!Y31</f>
        <v>0</v>
      </c>
      <c r="AA37" s="60">
        <f>+AA$21*'Jet Fuel NOx by AB'!Z31</f>
        <v>0</v>
      </c>
      <c r="AC37" s="60"/>
      <c r="AD37" s="60">
        <f>AD$21*'Jet Fuel PM2.5 by AB'!C31</f>
        <v>6.7710946658110954E-16</v>
      </c>
      <c r="AE37" s="60">
        <f>AE$21*'Jet Fuel PM2.5 by AB'!D31</f>
        <v>-0.70593557378843552</v>
      </c>
      <c r="AF37" s="60">
        <f>AF$21*'Jet Fuel PM2.5 by AB'!E31</f>
        <v>-1.1297220099158158</v>
      </c>
      <c r="AG37" s="60">
        <f>AG$21*'Jet Fuel PM2.5 by AB'!F31</f>
        <v>-1.456660391565052</v>
      </c>
      <c r="AH37" s="60">
        <f>AH$21*'Jet Fuel PM2.5 by AB'!G31</f>
        <v>-1.7861320426568608</v>
      </c>
      <c r="AI37" s="60">
        <f>AI$21*'Jet Fuel PM2.5 by AB'!H31</f>
        <v>-2.1911415443440601</v>
      </c>
      <c r="AJ37" s="60">
        <f>AJ$21*'Jet Fuel PM2.5 by AB'!I31</f>
        <v>-2.5295986755369806</v>
      </c>
      <c r="AK37" s="60">
        <f>AK$21*'Jet Fuel PM2.5 by AB'!J31</f>
        <v>-2.8701542710900756</v>
      </c>
      <c r="AL37" s="60">
        <f>AL$21*'Jet Fuel PM2.5 by AB'!K31</f>
        <v>-3.1975232429140297</v>
      </c>
      <c r="AM37" s="60">
        <f>AM$21*'Jet Fuel PM2.5 by AB'!L31</f>
        <v>-3.5152078108381963</v>
      </c>
      <c r="AN37" s="60">
        <f>AN$21*'Jet Fuel PM2.5 by AB'!M31</f>
        <v>-3.8393130459971943</v>
      </c>
      <c r="AO37" s="60">
        <f>AO$21*'Jet Fuel PM2.5 by AB'!N31</f>
        <v>-4.1507379178447339</v>
      </c>
      <c r="AP37" s="60">
        <f>AP$21*'Jet Fuel PM2.5 by AB'!O31</f>
        <v>-4.4701595005039101</v>
      </c>
      <c r="AQ37" s="60">
        <f>AQ$21*'Jet Fuel PM2.5 by AB'!P31</f>
        <v>-4.7743414571724268</v>
      </c>
      <c r="AR37" s="60">
        <f>AR$21*'Jet Fuel PM2.5 by AB'!Q31</f>
        <v>-5.0880035613823607</v>
      </c>
      <c r="AS37" s="60">
        <f>AS$21*'Jet Fuel PM2.5 by AB'!R31</f>
        <v>-5.3866253744885269</v>
      </c>
      <c r="AT37" s="60">
        <f>AT$21*'Jet Fuel PM2.5 by AB'!S31</f>
        <v>-5.6992962446013848</v>
      </c>
      <c r="AU37" s="60">
        <f>AU$21*'Jet Fuel PM2.5 by AB'!T31</f>
        <v>-5.9942985136195546</v>
      </c>
      <c r="AV37" s="60">
        <f>AV$21*'Jet Fuel PM2.5 by AB'!U31</f>
        <v>-6.2995553035051204</v>
      </c>
      <c r="AW37" s="60">
        <f>AW$21*'Jet Fuel PM2.5 by AB'!V31</f>
        <v>-6.5847404127263074</v>
      </c>
      <c r="AX37" s="60">
        <f>AX$21*'Jet Fuel PM2.5 by AB'!W31</f>
        <v>-6.8849691800287349</v>
      </c>
      <c r="AY37" s="60">
        <f>AY$21*'Jet Fuel PM2.5 by AB'!X31</f>
        <v>-7.1646840815664996</v>
      </c>
      <c r="AZ37" s="60">
        <f>AZ$21*'Jet Fuel PM2.5 by AB'!Y31</f>
        <v>-7.4589656460200917</v>
      </c>
      <c r="BA37" s="60">
        <f>BA$21*'Jet Fuel PM2.5 by AB'!Z31</f>
        <v>-7.7314445502606945</v>
      </c>
    </row>
    <row r="38" spans="1:53">
      <c r="A38" s="53" t="s">
        <v>265</v>
      </c>
      <c r="B38" s="5" t="s">
        <v>240</v>
      </c>
      <c r="C38" s="60"/>
      <c r="D38" s="60">
        <f>+D$21*'Jet Fuel NOx by AB'!C32</f>
        <v>0</v>
      </c>
      <c r="E38" s="60">
        <f>+E$21*'Jet Fuel NOx by AB'!D32</f>
        <v>0</v>
      </c>
      <c r="F38" s="60">
        <f>+F$21*'Jet Fuel NOx by AB'!E32</f>
        <v>0</v>
      </c>
      <c r="G38" s="60">
        <f>+G$21*'Jet Fuel NOx by AB'!F32</f>
        <v>0</v>
      </c>
      <c r="H38" s="60">
        <f>+H$21*'Jet Fuel NOx by AB'!G32</f>
        <v>0</v>
      </c>
      <c r="I38" s="60">
        <f>+I$21*'Jet Fuel NOx by AB'!H32</f>
        <v>0</v>
      </c>
      <c r="J38" s="60">
        <f>+J$21*'Jet Fuel NOx by AB'!I32</f>
        <v>0</v>
      </c>
      <c r="K38" s="60">
        <f>+K$21*'Jet Fuel NOx by AB'!J32</f>
        <v>0</v>
      </c>
      <c r="L38" s="60">
        <f>+L$21*'Jet Fuel NOx by AB'!K32</f>
        <v>0</v>
      </c>
      <c r="M38" s="60">
        <f>+M$21*'Jet Fuel NOx by AB'!L32</f>
        <v>0</v>
      </c>
      <c r="N38" s="60">
        <f>+N$21*'Jet Fuel NOx by AB'!M32</f>
        <v>0</v>
      </c>
      <c r="O38" s="60">
        <f>+O$21*'Jet Fuel NOx by AB'!N32</f>
        <v>0</v>
      </c>
      <c r="P38" s="60">
        <f>+P$21*'Jet Fuel NOx by AB'!O32</f>
        <v>0</v>
      </c>
      <c r="Q38" s="60">
        <f>+Q$21*'Jet Fuel NOx by AB'!P32</f>
        <v>0</v>
      </c>
      <c r="R38" s="60">
        <f>+R$21*'Jet Fuel NOx by AB'!Q32</f>
        <v>0</v>
      </c>
      <c r="S38" s="60">
        <f>+S$21*'Jet Fuel NOx by AB'!R32</f>
        <v>0</v>
      </c>
      <c r="T38" s="60">
        <f>+T$21*'Jet Fuel NOx by AB'!S32</f>
        <v>0</v>
      </c>
      <c r="U38" s="60">
        <f>+U$21*'Jet Fuel NOx by AB'!T32</f>
        <v>0</v>
      </c>
      <c r="V38" s="60">
        <f>+V$21*'Jet Fuel NOx by AB'!U32</f>
        <v>0</v>
      </c>
      <c r="W38" s="60">
        <f>+W$21*'Jet Fuel NOx by AB'!V32</f>
        <v>0</v>
      </c>
      <c r="X38" s="60">
        <f>+X$21*'Jet Fuel NOx by AB'!W32</f>
        <v>0</v>
      </c>
      <c r="Y38" s="60">
        <f>+Y$21*'Jet Fuel NOx by AB'!X32</f>
        <v>0</v>
      </c>
      <c r="Z38" s="60">
        <f>+Z$21*'Jet Fuel NOx by AB'!Y32</f>
        <v>0</v>
      </c>
      <c r="AA38" s="60">
        <f>+AA$21*'Jet Fuel NOx by AB'!Z32</f>
        <v>0</v>
      </c>
      <c r="AC38" s="60"/>
      <c r="AD38" s="60">
        <f>AD$21*'Jet Fuel PM2.5 by AB'!C32</f>
        <v>3.252808255749285E-15</v>
      </c>
      <c r="AE38" s="60">
        <f>AE$21*'Jet Fuel PM2.5 by AB'!D32</f>
        <v>-3.2879837257051374</v>
      </c>
      <c r="AF38" s="60">
        <f>AF$21*'Jet Fuel PM2.5 by AB'!E32</f>
        <v>-5.2129205681236579</v>
      </c>
      <c r="AG38" s="60">
        <f>AG$21*'Jet Fuel PM2.5 by AB'!F32</f>
        <v>-6.7003420277486274</v>
      </c>
      <c r="AH38" s="60">
        <f>AH$21*'Jet Fuel PM2.5 by AB'!G32</f>
        <v>-8.1497303284030504</v>
      </c>
      <c r="AI38" s="60">
        <f>AI$21*'Jet Fuel PM2.5 by AB'!H32</f>
        <v>-9.6215236555297832</v>
      </c>
      <c r="AJ38" s="60">
        <f>AJ$21*'Jet Fuel PM2.5 by AB'!I32</f>
        <v>-11.03250232142134</v>
      </c>
      <c r="AK38" s="60">
        <f>AK$21*'Jet Fuel PM2.5 by AB'!J32</f>
        <v>-12.38608137254022</v>
      </c>
      <c r="AL38" s="60">
        <f>AL$21*'Jet Fuel PM2.5 by AB'!K32</f>
        <v>-13.807124385665372</v>
      </c>
      <c r="AM38" s="60">
        <f>AM$21*'Jet Fuel PM2.5 by AB'!L32</f>
        <v>-15.188021891683189</v>
      </c>
      <c r="AN38" s="60">
        <f>AN$21*'Jet Fuel PM2.5 by AB'!M32</f>
        <v>-16.598324875797839</v>
      </c>
      <c r="AO38" s="60">
        <f>AO$21*'Jet Fuel PM2.5 by AB'!N32</f>
        <v>-17.95547635659457</v>
      </c>
      <c r="AP38" s="60">
        <f>AP$21*'Jet Fuel PM2.5 by AB'!O32</f>
        <v>-19.348824967476379</v>
      </c>
      <c r="AQ38" s="60">
        <f>AQ$21*'Jet Fuel PM2.5 by AB'!P32</f>
        <v>-20.677849342424928</v>
      </c>
      <c r="AR38" s="60">
        <f>AR$21*'Jet Fuel PM2.5 by AB'!Q32</f>
        <v>-22.049523035477723</v>
      </c>
      <c r="AS38" s="60">
        <f>AS$21*'Jet Fuel PM2.5 by AB'!R32</f>
        <v>-23.357605128634493</v>
      </c>
      <c r="AT38" s="60">
        <f>AT$21*'Jet Fuel PM2.5 by AB'!S32</f>
        <v>-24.728221053761381</v>
      </c>
      <c r="AU38" s="60">
        <f>AU$21*'Jet Fuel PM2.5 by AB'!T32</f>
        <v>-26.023724075914068</v>
      </c>
      <c r="AV38" s="60">
        <f>AV$21*'Jet Fuel PM2.5 by AB'!U32</f>
        <v>-27.365302480736826</v>
      </c>
      <c r="AW38" s="60">
        <f>AW$21*'Jet Fuel PM2.5 by AB'!V32</f>
        <v>-28.621237037642071</v>
      </c>
      <c r="AX38" s="60">
        <f>AX$21*'Jet Fuel PM2.5 by AB'!W32</f>
        <v>-29.944044476946946</v>
      </c>
      <c r="AY38" s="60">
        <f>AY$21*'Jet Fuel PM2.5 by AB'!X32</f>
        <v>-31.179190226251237</v>
      </c>
      <c r="AZ38" s="60">
        <f>AZ$21*'Jet Fuel PM2.5 by AB'!Y32</f>
        <v>-32.479180023864586</v>
      </c>
      <c r="BA38" s="60">
        <f>BA$21*'Jet Fuel PM2.5 by AB'!Z32</f>
        <v>-33.685702151057804</v>
      </c>
    </row>
    <row r="39" spans="1:53">
      <c r="A39" s="53" t="s">
        <v>267</v>
      </c>
      <c r="B39" s="5" t="s">
        <v>240</v>
      </c>
      <c r="C39" s="60"/>
      <c r="D39" s="60">
        <f>+D$21*'Jet Fuel NOx by AB'!C33</f>
        <v>0</v>
      </c>
      <c r="E39" s="60">
        <f>+E$21*'Jet Fuel NOx by AB'!D33</f>
        <v>0</v>
      </c>
      <c r="F39" s="60">
        <f>+F$21*'Jet Fuel NOx by AB'!E33</f>
        <v>0</v>
      </c>
      <c r="G39" s="60">
        <f>+G$21*'Jet Fuel NOx by AB'!F33</f>
        <v>0</v>
      </c>
      <c r="H39" s="60">
        <f>+H$21*'Jet Fuel NOx by AB'!G33</f>
        <v>0</v>
      </c>
      <c r="I39" s="60">
        <f>+I$21*'Jet Fuel NOx by AB'!H33</f>
        <v>0</v>
      </c>
      <c r="J39" s="60">
        <f>+J$21*'Jet Fuel NOx by AB'!I33</f>
        <v>0</v>
      </c>
      <c r="K39" s="60">
        <f>+K$21*'Jet Fuel NOx by AB'!J33</f>
        <v>0</v>
      </c>
      <c r="L39" s="60">
        <f>+L$21*'Jet Fuel NOx by AB'!K33</f>
        <v>0</v>
      </c>
      <c r="M39" s="60">
        <f>+M$21*'Jet Fuel NOx by AB'!L33</f>
        <v>0</v>
      </c>
      <c r="N39" s="60">
        <f>+N$21*'Jet Fuel NOx by AB'!M33</f>
        <v>0</v>
      </c>
      <c r="O39" s="60">
        <f>+O$21*'Jet Fuel NOx by AB'!N33</f>
        <v>0</v>
      </c>
      <c r="P39" s="60">
        <f>+P$21*'Jet Fuel NOx by AB'!O33</f>
        <v>0</v>
      </c>
      <c r="Q39" s="60">
        <f>+Q$21*'Jet Fuel NOx by AB'!P33</f>
        <v>0</v>
      </c>
      <c r="R39" s="60">
        <f>+R$21*'Jet Fuel NOx by AB'!Q33</f>
        <v>0</v>
      </c>
      <c r="S39" s="60">
        <f>+S$21*'Jet Fuel NOx by AB'!R33</f>
        <v>0</v>
      </c>
      <c r="T39" s="60">
        <f>+T$21*'Jet Fuel NOx by AB'!S33</f>
        <v>0</v>
      </c>
      <c r="U39" s="60">
        <f>+U$21*'Jet Fuel NOx by AB'!T33</f>
        <v>0</v>
      </c>
      <c r="V39" s="60">
        <f>+V$21*'Jet Fuel NOx by AB'!U33</f>
        <v>0</v>
      </c>
      <c r="W39" s="60">
        <f>+W$21*'Jet Fuel NOx by AB'!V33</f>
        <v>0</v>
      </c>
      <c r="X39" s="60">
        <f>+X$21*'Jet Fuel NOx by AB'!W33</f>
        <v>0</v>
      </c>
      <c r="Y39" s="60">
        <f>+Y$21*'Jet Fuel NOx by AB'!X33</f>
        <v>0</v>
      </c>
      <c r="Z39" s="60">
        <f>+Z$21*'Jet Fuel NOx by AB'!Y33</f>
        <v>0</v>
      </c>
      <c r="AA39" s="60">
        <f>+AA$21*'Jet Fuel NOx by AB'!Z33</f>
        <v>0</v>
      </c>
      <c r="AC39" s="60"/>
      <c r="AD39" s="60">
        <f>AD$21*'Jet Fuel PM2.5 by AB'!C33</f>
        <v>5.1360848772792169E-16</v>
      </c>
      <c r="AE39" s="60">
        <f>AE$21*'Jet Fuel PM2.5 by AB'!D33</f>
        <v>-0.5527576013463098</v>
      </c>
      <c r="AF39" s="60">
        <f>AF$21*'Jet Fuel PM2.5 by AB'!E33</f>
        <v>-0.96680158837082697</v>
      </c>
      <c r="AG39" s="60">
        <f>AG$21*'Jet Fuel PM2.5 by AB'!F33</f>
        <v>-1.2423494689891574</v>
      </c>
      <c r="AH39" s="60">
        <f>AH$21*'Jet Fuel PM2.5 by AB'!G33</f>
        <v>-1.5192147418717241</v>
      </c>
      <c r="AI39" s="60">
        <f>AI$21*'Jet Fuel PM2.5 by AB'!H33</f>
        <v>-1.9303931518463164</v>
      </c>
      <c r="AJ39" s="60">
        <f>AJ$21*'Jet Fuel PM2.5 by AB'!I33</f>
        <v>-2.2086397288523827</v>
      </c>
      <c r="AK39" s="60">
        <f>AK$21*'Jet Fuel PM2.5 by AB'!J33</f>
        <v>-2.6623267381512554</v>
      </c>
      <c r="AL39" s="60">
        <f>AL$21*'Jet Fuel PM2.5 by AB'!K33</f>
        <v>-2.9695193709182317</v>
      </c>
      <c r="AM39" s="60">
        <f>AM$21*'Jet Fuel PM2.5 by AB'!L33</f>
        <v>-3.4992196348839428</v>
      </c>
      <c r="AN39" s="60">
        <f>AN$21*'Jet Fuel PM2.5 by AB'!M33</f>
        <v>-3.8363013239612043</v>
      </c>
      <c r="AO39" s="60">
        <f>AO$21*'Jet Fuel PM2.5 by AB'!N33</f>
        <v>-4.4362442829775057</v>
      </c>
      <c r="AP39" s="60">
        <f>AP$21*'Jet Fuel PM2.5 by AB'!O33</f>
        <v>-4.8073751481879556</v>
      </c>
      <c r="AQ39" s="60">
        <f>AQ$21*'Jet Fuel PM2.5 by AB'!P33</f>
        <v>-5.4809437001450387</v>
      </c>
      <c r="AR39" s="60">
        <f>AR$21*'Jet Fuel PM2.5 by AB'!Q33</f>
        <v>-5.8908878408752017</v>
      </c>
      <c r="AS39" s="60">
        <f>AS$21*'Jet Fuel PM2.5 by AB'!R33</f>
        <v>-6.644891572293381</v>
      </c>
      <c r="AT39" s="60">
        <f>AT$21*'Jet Fuel PM2.5 by AB'!S33</f>
        <v>-7.1058863661511227</v>
      </c>
      <c r="AU39" s="60">
        <f>AU$21*'Jet Fuel PM2.5 by AB'!T33</f>
        <v>-7.9490800367017842</v>
      </c>
      <c r="AV39" s="60">
        <f>AV$21*'Jet Fuel PM2.5 by AB'!U33</f>
        <v>-8.4602370556917634</v>
      </c>
      <c r="AW39" s="60">
        <f>AW$21*'Jet Fuel PM2.5 by AB'!V33</f>
        <v>-9.3906776552229623</v>
      </c>
      <c r="AX39" s="60">
        <f>AX$21*'Jet Fuel PM2.5 by AB'!W33</f>
        <v>-9.9621294490347925</v>
      </c>
      <c r="AY39" s="60">
        <f>AY$21*'Jet Fuel PM2.5 by AB'!X33</f>
        <v>-10.992053017923716</v>
      </c>
      <c r="AZ39" s="60">
        <f>AZ$21*'Jet Fuel PM2.5 by AB'!Y33</f>
        <v>-11.630646272483833</v>
      </c>
      <c r="BA39" s="60">
        <f>BA$21*'Jet Fuel PM2.5 by AB'!Z33</f>
        <v>-12.764670486295175</v>
      </c>
    </row>
    <row r="40" spans="1:53">
      <c r="A40" s="53" t="s">
        <v>268</v>
      </c>
      <c r="B40" s="5" t="s">
        <v>240</v>
      </c>
      <c r="C40" s="60"/>
      <c r="D40" s="60">
        <f>+D$21*'Jet Fuel NOx by AB'!C34</f>
        <v>0</v>
      </c>
      <c r="E40" s="60">
        <f>+E$21*'Jet Fuel NOx by AB'!D34</f>
        <v>0</v>
      </c>
      <c r="F40" s="60">
        <f>+F$21*'Jet Fuel NOx by AB'!E34</f>
        <v>0</v>
      </c>
      <c r="G40" s="60">
        <f>+G$21*'Jet Fuel NOx by AB'!F34</f>
        <v>0</v>
      </c>
      <c r="H40" s="60">
        <f>+H$21*'Jet Fuel NOx by AB'!G34</f>
        <v>0</v>
      </c>
      <c r="I40" s="60">
        <f>+I$21*'Jet Fuel NOx by AB'!H34</f>
        <v>0</v>
      </c>
      <c r="J40" s="60">
        <f>+J$21*'Jet Fuel NOx by AB'!I34</f>
        <v>0</v>
      </c>
      <c r="K40" s="60">
        <f>+K$21*'Jet Fuel NOx by AB'!J34</f>
        <v>0</v>
      </c>
      <c r="L40" s="60">
        <f>+L$21*'Jet Fuel NOx by AB'!K34</f>
        <v>0</v>
      </c>
      <c r="M40" s="60">
        <f>+M$21*'Jet Fuel NOx by AB'!L34</f>
        <v>0</v>
      </c>
      <c r="N40" s="60">
        <f>+N$21*'Jet Fuel NOx by AB'!M34</f>
        <v>0</v>
      </c>
      <c r="O40" s="60">
        <f>+O$21*'Jet Fuel NOx by AB'!N34</f>
        <v>0</v>
      </c>
      <c r="P40" s="60">
        <f>+P$21*'Jet Fuel NOx by AB'!O34</f>
        <v>0</v>
      </c>
      <c r="Q40" s="60">
        <f>+Q$21*'Jet Fuel NOx by AB'!P34</f>
        <v>0</v>
      </c>
      <c r="R40" s="60">
        <f>+R$21*'Jet Fuel NOx by AB'!Q34</f>
        <v>0</v>
      </c>
      <c r="S40" s="60">
        <f>+S$21*'Jet Fuel NOx by AB'!R34</f>
        <v>0</v>
      </c>
      <c r="T40" s="60">
        <f>+T$21*'Jet Fuel NOx by AB'!S34</f>
        <v>0</v>
      </c>
      <c r="U40" s="60">
        <f>+U$21*'Jet Fuel NOx by AB'!T34</f>
        <v>0</v>
      </c>
      <c r="V40" s="60">
        <f>+V$21*'Jet Fuel NOx by AB'!U34</f>
        <v>0</v>
      </c>
      <c r="W40" s="60">
        <f>+W$21*'Jet Fuel NOx by AB'!V34</f>
        <v>0</v>
      </c>
      <c r="X40" s="60">
        <f>+X$21*'Jet Fuel NOx by AB'!W34</f>
        <v>0</v>
      </c>
      <c r="Y40" s="60">
        <f>+Y$21*'Jet Fuel NOx by AB'!X34</f>
        <v>0</v>
      </c>
      <c r="Z40" s="60">
        <f>+Z$21*'Jet Fuel NOx by AB'!Y34</f>
        <v>0</v>
      </c>
      <c r="AA40" s="60">
        <f>+AA$21*'Jet Fuel NOx by AB'!Z34</f>
        <v>0</v>
      </c>
      <c r="AC40" s="60"/>
      <c r="AD40" s="60">
        <f>AD$21*'Jet Fuel PM2.5 by AB'!C34</f>
        <v>1.0031945956459079E-15</v>
      </c>
      <c r="AE40" s="60">
        <f>AE$21*'Jet Fuel PM2.5 by AB'!D34</f>
        <v>-1.0257445141051329</v>
      </c>
      <c r="AF40" s="60">
        <f>AF$21*'Jet Fuel PM2.5 by AB'!E34</f>
        <v>-1.6448359550958034</v>
      </c>
      <c r="AG40" s="60">
        <f>AG$21*'Jet Fuel PM2.5 by AB'!F34</f>
        <v>-2.1382432754424285</v>
      </c>
      <c r="AH40" s="60">
        <f>AH$21*'Jet Fuel PM2.5 by AB'!G34</f>
        <v>-2.6300344541619665</v>
      </c>
      <c r="AI40" s="60">
        <f>AI$21*'Jet Fuel PM2.5 by AB'!H34</f>
        <v>-3.1386099710202382</v>
      </c>
      <c r="AJ40" s="60">
        <f>AJ$21*'Jet Fuel PM2.5 by AB'!I34</f>
        <v>-3.6380108472295438</v>
      </c>
      <c r="AK40" s="60">
        <f>AK$21*'Jet Fuel PM2.5 by AB'!J34</f>
        <v>-4.1286400272627022</v>
      </c>
      <c r="AL40" s="60">
        <f>AL$21*'Jet Fuel PM2.5 by AB'!K34</f>
        <v>-4.6511136761876166</v>
      </c>
      <c r="AM40" s="60">
        <f>AM$21*'Jet Fuel PM2.5 by AB'!L34</f>
        <v>-5.1260124976365606</v>
      </c>
      <c r="AN40" s="60">
        <f>AN$21*'Jet Fuel PM2.5 by AB'!M34</f>
        <v>-5.6111784550837998</v>
      </c>
      <c r="AO40" s="60">
        <f>AO$21*'Jet Fuel PM2.5 by AB'!N34</f>
        <v>-6.0812241890541996</v>
      </c>
      <c r="AP40" s="60">
        <f>AP$21*'Jet Fuel PM2.5 by AB'!O34</f>
        <v>-6.5633772738006053</v>
      </c>
      <c r="AQ40" s="60">
        <f>AQ$21*'Jet Fuel PM2.5 by AB'!P34</f>
        <v>-7.0277533550862641</v>
      </c>
      <c r="AR40" s="60">
        <f>AR$21*'Jet Fuel PM2.5 by AB'!Q34</f>
        <v>-7.5064194277833511</v>
      </c>
      <c r="AS40" s="60">
        <f>AS$21*'Jet Fuel PM2.5 by AB'!R34</f>
        <v>-7.9469813402146778</v>
      </c>
      <c r="AT40" s="60">
        <f>AT$21*'Jet Fuel PM2.5 by AB'!S34</f>
        <v>-8.4082700688097134</v>
      </c>
      <c r="AU40" s="60">
        <f>AU$21*'Jet Fuel PM2.5 by AB'!T34</f>
        <v>-8.8434920054068886</v>
      </c>
      <c r="AV40" s="60">
        <f>AV$21*'Jet Fuel PM2.5 by AB'!U34</f>
        <v>-9.2938426135415355</v>
      </c>
      <c r="AW40" s="60">
        <f>AW$21*'Jet Fuel PM2.5 by AB'!V34</f>
        <v>-9.7145811249333835</v>
      </c>
      <c r="AX40" s="60">
        <f>AX$21*'Jet Fuel PM2.5 by AB'!W34</f>
        <v>-10.157513804612188</v>
      </c>
      <c r="AY40" s="60">
        <f>AY$21*'Jet Fuel PM2.5 by AB'!X34</f>
        <v>-10.570182024241564</v>
      </c>
      <c r="AZ40" s="60">
        <f>AZ$21*'Jet Fuel PM2.5 by AB'!Y34</f>
        <v>-11.004340692961671</v>
      </c>
      <c r="BA40" s="60">
        <f>BA$21*'Jet Fuel PM2.5 by AB'!Z34</f>
        <v>-11.406333520949605</v>
      </c>
    </row>
    <row r="41" spans="1:53">
      <c r="A41" s="15" t="s">
        <v>270</v>
      </c>
      <c r="B41" s="85"/>
      <c r="C41" s="81"/>
      <c r="D41" s="81">
        <f t="shared" ref="D41:K41" si="12">SUM(D26:D40)</f>
        <v>0</v>
      </c>
      <c r="E41" s="81">
        <f t="shared" si="12"/>
        <v>0</v>
      </c>
      <c r="F41" s="81">
        <f t="shared" si="12"/>
        <v>0</v>
      </c>
      <c r="G41" s="81">
        <f t="shared" si="12"/>
        <v>0</v>
      </c>
      <c r="H41" s="81">
        <f t="shared" si="12"/>
        <v>0</v>
      </c>
      <c r="I41" s="81">
        <f t="shared" si="12"/>
        <v>0</v>
      </c>
      <c r="J41" s="81">
        <f t="shared" si="12"/>
        <v>0</v>
      </c>
      <c r="K41" s="82">
        <f t="shared" si="12"/>
        <v>0</v>
      </c>
      <c r="L41" s="81">
        <f t="shared" ref="L41:AA41" si="13">SUM(L26:L40)</f>
        <v>0</v>
      </c>
      <c r="M41" s="81">
        <f t="shared" si="13"/>
        <v>0</v>
      </c>
      <c r="N41" s="81">
        <f t="shared" si="13"/>
        <v>0</v>
      </c>
      <c r="O41" s="81">
        <f t="shared" si="13"/>
        <v>0</v>
      </c>
      <c r="P41" s="81">
        <f t="shared" si="13"/>
        <v>0</v>
      </c>
      <c r="Q41" s="81">
        <f t="shared" si="13"/>
        <v>0</v>
      </c>
      <c r="R41" s="81">
        <f t="shared" si="13"/>
        <v>0</v>
      </c>
      <c r="S41" s="81">
        <f t="shared" si="13"/>
        <v>0</v>
      </c>
      <c r="T41" s="82">
        <f t="shared" si="13"/>
        <v>0</v>
      </c>
      <c r="U41" s="81">
        <f t="shared" si="13"/>
        <v>0</v>
      </c>
      <c r="V41" s="81">
        <f t="shared" si="13"/>
        <v>0</v>
      </c>
      <c r="W41" s="81">
        <f t="shared" si="13"/>
        <v>0</v>
      </c>
      <c r="X41" s="81">
        <f t="shared" si="13"/>
        <v>0</v>
      </c>
      <c r="Y41" s="81">
        <f t="shared" si="13"/>
        <v>0</v>
      </c>
      <c r="Z41" s="81">
        <f t="shared" si="13"/>
        <v>0</v>
      </c>
      <c r="AA41" s="81">
        <f t="shared" si="13"/>
        <v>0</v>
      </c>
      <c r="AC41" s="81"/>
      <c r="AD41" s="81">
        <f>AD$21*'Jet Fuel PM2.5 by AB'!C35</f>
        <v>1.7999305641205586E-14</v>
      </c>
      <c r="AE41" s="81">
        <f>AE$21*'Jet Fuel PM2.5 by AB'!D35</f>
        <v>-18.29471329297656</v>
      </c>
      <c r="AF41" s="81">
        <f>AF$21*'Jet Fuel PM2.5 by AB'!E35</f>
        <v>-29.176196214927923</v>
      </c>
      <c r="AG41" s="81">
        <f>AG$21*'Jet Fuel PM2.5 by AB'!F35</f>
        <v>-37.592115593715157</v>
      </c>
      <c r="AH41" s="81">
        <f>AH$21*'Jet Fuel PM2.5 by AB'!G35</f>
        <v>-45.855266105167772</v>
      </c>
      <c r="AI41" s="81">
        <f>AI$21*'Jet Fuel PM2.5 by AB'!H35</f>
        <v>-54.479046466905494</v>
      </c>
      <c r="AJ41" s="81">
        <f>AJ$21*'Jet Fuel PM2.5 by AB'!I35</f>
        <v>-62.622177076652136</v>
      </c>
      <c r="AK41" s="81">
        <f>AK$21*'Jet Fuel PM2.5 by AB'!J35</f>
        <v>-70.682777238636902</v>
      </c>
      <c r="AL41" s="81">
        <f>AL$21*'Jet Fuel PM2.5 by AB'!K35</f>
        <v>-78.966786179001161</v>
      </c>
      <c r="AM41" s="81">
        <f>AM$21*'Jet Fuel PM2.5 by AB'!L35</f>
        <v>-87.24188346345629</v>
      </c>
      <c r="AN41" s="81">
        <f>AN$21*'Jet Fuel PM2.5 by AB'!M35</f>
        <v>-95.511633754365789</v>
      </c>
      <c r="AO41" s="81">
        <f>AO$21*'Jet Fuel PM2.5 by AB'!N35</f>
        <v>-103.78539429043441</v>
      </c>
      <c r="AP41" s="81">
        <f>AP$21*'Jet Fuel PM2.5 by AB'!O35</f>
        <v>-112.04712409545893</v>
      </c>
      <c r="AQ41" s="81">
        <f>AQ$21*'Jet Fuel PM2.5 by AB'!P35</f>
        <v>-120.30885389605024</v>
      </c>
      <c r="AR41" s="81">
        <f>AR$21*'Jet Fuel PM2.5 by AB'!Q35</f>
        <v>-128.57058369664148</v>
      </c>
      <c r="AS41" s="81">
        <f>AS$21*'Jet Fuel PM2.5 by AB'!R35</f>
        <v>-136.83231349723263</v>
      </c>
      <c r="AT41" s="81">
        <f>AT$21*'Jet Fuel PM2.5 by AB'!S35</f>
        <v>-145.1746169435603</v>
      </c>
      <c r="AU41" s="81">
        <f>AU$21*'Jet Fuel PM2.5 by AB'!T35</f>
        <v>-153.50551548829699</v>
      </c>
      <c r="AV41" s="81">
        <f>AV$21*'Jet Fuel PM2.5 by AB'!U35</f>
        <v>-161.7864122852605</v>
      </c>
      <c r="AW41" s="81">
        <f>AW$21*'Jet Fuel PM2.5 by AB'!V35</f>
        <v>-170.03125614950991</v>
      </c>
      <c r="AX41" s="81">
        <f>AX$21*'Jet Fuel PM2.5 by AB'!W35</f>
        <v>-178.31689143542246</v>
      </c>
      <c r="AY41" s="81">
        <f>AY$21*'Jet Fuel PM2.5 by AB'!X35</f>
        <v>-186.59095748005367</v>
      </c>
      <c r="AZ41" s="81">
        <f>AZ$21*'Jet Fuel PM2.5 by AB'!Y35</f>
        <v>-194.8626679676936</v>
      </c>
      <c r="BA41" s="81">
        <f>BA$21*'Jet Fuel PM2.5 by AB'!Z35</f>
        <v>-203.11045715511668</v>
      </c>
    </row>
    <row r="43" spans="1:53" ht="15" customHeight="1">
      <c r="Q43" s="2"/>
      <c r="AN43" s="2"/>
    </row>
  </sheetData>
  <mergeCells count="4">
    <mergeCell ref="B6:M6"/>
    <mergeCell ref="AC6:AP6"/>
    <mergeCell ref="A24:AA24"/>
    <mergeCell ref="AC24:BA2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rgb="FF00B0F0"/>
  </sheetPr>
  <dimension ref="A1:CJ494"/>
  <sheetViews>
    <sheetView zoomScale="80" zoomScaleNormal="80" workbookViewId="0">
      <selection activeCell="F280" sqref="F280"/>
    </sheetView>
  </sheetViews>
  <sheetFormatPr defaultRowHeight="15"/>
  <cols>
    <col min="1" max="1" width="25.28515625" customWidth="1"/>
    <col min="2" max="2" width="22.5703125" customWidth="1"/>
    <col min="3" max="3" width="16.7109375" bestFit="1" customWidth="1"/>
    <col min="4" max="4" width="11.5703125" bestFit="1" customWidth="1"/>
    <col min="6" max="6" width="15.7109375" bestFit="1" customWidth="1"/>
    <col min="7" max="17" width="12" bestFit="1" customWidth="1"/>
    <col min="20" max="20" width="11.7109375" customWidth="1"/>
    <col min="21" max="21" width="35" customWidth="1"/>
    <col min="22" max="22" width="28.7109375" bestFit="1" customWidth="1"/>
    <col min="23" max="23" width="12.28515625" bestFit="1" customWidth="1"/>
    <col min="24" max="33" width="12.5703125" bestFit="1" customWidth="1"/>
    <col min="34" max="36" width="12" bestFit="1" customWidth="1"/>
    <col min="37" max="37" width="12.28515625" bestFit="1" customWidth="1"/>
    <col min="38" max="48" width="12.5703125" bestFit="1" customWidth="1"/>
  </cols>
  <sheetData>
    <row r="1" spans="1:29" ht="15" customHeight="1">
      <c r="A1" s="479" t="s">
        <v>199</v>
      </c>
      <c r="B1" s="219" t="s">
        <v>3</v>
      </c>
      <c r="C1" s="220" t="s">
        <v>1</v>
      </c>
      <c r="D1" s="115">
        <v>2022</v>
      </c>
      <c r="E1" s="115">
        <v>2023</v>
      </c>
      <c r="F1" s="115">
        <v>2024</v>
      </c>
      <c r="G1" s="115">
        <v>2025</v>
      </c>
      <c r="H1" s="115">
        <v>2026</v>
      </c>
      <c r="I1" s="115">
        <v>2027</v>
      </c>
      <c r="J1" s="115">
        <v>2028</v>
      </c>
      <c r="K1" s="115">
        <v>2029</v>
      </c>
      <c r="L1" s="116">
        <v>2030</v>
      </c>
      <c r="M1" s="115">
        <v>2031</v>
      </c>
      <c r="N1" s="115">
        <v>2032</v>
      </c>
      <c r="O1" s="115">
        <v>2033</v>
      </c>
      <c r="P1" s="115">
        <v>2034</v>
      </c>
      <c r="Q1" s="115">
        <v>2035</v>
      </c>
      <c r="R1" s="115">
        <v>2036</v>
      </c>
      <c r="S1" s="115">
        <v>2037</v>
      </c>
      <c r="T1" s="115">
        <v>2038</v>
      </c>
      <c r="U1" s="116">
        <v>2039</v>
      </c>
      <c r="V1" s="115">
        <v>2040</v>
      </c>
      <c r="W1" s="115">
        <v>2041</v>
      </c>
      <c r="X1" s="115">
        <v>2042</v>
      </c>
      <c r="Y1" s="115">
        <v>2043</v>
      </c>
      <c r="Z1" s="115">
        <v>2044</v>
      </c>
      <c r="AA1" s="115">
        <v>2045</v>
      </c>
      <c r="AB1" s="115">
        <v>2046</v>
      </c>
      <c r="AC1" s="2"/>
    </row>
    <row r="2" spans="1:29" ht="15" customHeight="1">
      <c r="A2" s="477"/>
      <c r="B2" s="221" t="s">
        <v>115</v>
      </c>
      <c r="C2" s="222" t="s">
        <v>7</v>
      </c>
      <c r="D2" s="109">
        <f>'BAU Comparison - All Fuel'!D116</f>
        <v>0</v>
      </c>
      <c r="E2" s="109">
        <f>'BAU Comparison - All Fuel'!E116</f>
        <v>0</v>
      </c>
      <c r="F2" s="109">
        <f>'BAU Comparison - All Fuel'!F116</f>
        <v>0</v>
      </c>
      <c r="G2" s="109">
        <f>'BAU Comparison - All Fuel'!G116</f>
        <v>0</v>
      </c>
      <c r="H2" s="109">
        <f>'BAU Comparison - All Fuel'!H116</f>
        <v>0</v>
      </c>
      <c r="I2" s="109">
        <f>'BAU Comparison - All Fuel'!I116</f>
        <v>0</v>
      </c>
      <c r="J2" s="109">
        <f>'BAU Comparison - All Fuel'!J116</f>
        <v>0</v>
      </c>
      <c r="K2" s="109">
        <f>'BAU Comparison - All Fuel'!K116</f>
        <v>0</v>
      </c>
      <c r="L2" s="109">
        <f>'BAU Comparison - All Fuel'!L116</f>
        <v>0</v>
      </c>
      <c r="M2" s="109">
        <f>'BAU Comparison - All Fuel'!M116</f>
        <v>0</v>
      </c>
      <c r="N2" s="109">
        <f>'BAU Comparison - All Fuel'!N116</f>
        <v>0</v>
      </c>
      <c r="O2" s="109">
        <f>'BAU Comparison - All Fuel'!O116</f>
        <v>0</v>
      </c>
      <c r="P2" s="109">
        <f>'BAU Comparison - All Fuel'!P116</f>
        <v>0</v>
      </c>
      <c r="Q2" s="109">
        <f>'BAU Comparison - All Fuel'!Q116</f>
        <v>0</v>
      </c>
      <c r="R2" s="109">
        <f>'BAU Comparison - All Fuel'!R116</f>
        <v>0</v>
      </c>
      <c r="S2" s="109">
        <f>'BAU Comparison - All Fuel'!S116</f>
        <v>0</v>
      </c>
      <c r="T2" s="109">
        <f>'BAU Comparison - All Fuel'!T116</f>
        <v>0</v>
      </c>
      <c r="U2" s="109">
        <f>'BAU Comparison - All Fuel'!U116</f>
        <v>0</v>
      </c>
      <c r="V2" s="109">
        <f>'BAU Comparison - All Fuel'!V116</f>
        <v>0</v>
      </c>
      <c r="W2" s="109">
        <f>'BAU Comparison - All Fuel'!W116</f>
        <v>0</v>
      </c>
      <c r="X2" s="109">
        <f>'BAU Comparison - All Fuel'!X116</f>
        <v>0</v>
      </c>
      <c r="Y2" s="109">
        <f>'BAU Comparison - All Fuel'!Y116</f>
        <v>0</v>
      </c>
      <c r="Z2" s="109">
        <f>'BAU Comparison - All Fuel'!Z116</f>
        <v>0</v>
      </c>
      <c r="AA2" s="109">
        <f>'BAU Comparison - All Fuel'!AA116</f>
        <v>0</v>
      </c>
      <c r="AB2" s="109">
        <f>'BAU Comparison - All Fuel'!AB116</f>
        <v>0</v>
      </c>
    </row>
    <row r="3" spans="1:29" ht="15" customHeight="1">
      <c r="A3" s="477"/>
      <c r="B3" s="221" t="s">
        <v>19</v>
      </c>
      <c r="C3" s="223" t="s">
        <v>7</v>
      </c>
      <c r="D3" s="8">
        <f>'BAU Comparison - All Fuel'!D117</f>
        <v>0</v>
      </c>
      <c r="E3" s="8">
        <f>'BAU Comparison - All Fuel'!E117</f>
        <v>0</v>
      </c>
      <c r="F3" s="8">
        <f>'BAU Comparison - All Fuel'!F117</f>
        <v>0</v>
      </c>
      <c r="G3" s="8">
        <f>'BAU Comparison - All Fuel'!G117</f>
        <v>0</v>
      </c>
      <c r="H3" s="8">
        <f>'BAU Comparison - All Fuel'!H117</f>
        <v>0</v>
      </c>
      <c r="I3" s="8">
        <f>'BAU Comparison - All Fuel'!I117</f>
        <v>0</v>
      </c>
      <c r="J3" s="8">
        <f>'BAU Comparison - All Fuel'!J117</f>
        <v>0</v>
      </c>
      <c r="K3" s="8">
        <f>'BAU Comparison - All Fuel'!K117</f>
        <v>0</v>
      </c>
      <c r="L3" s="8">
        <f>'BAU Comparison - All Fuel'!L117</f>
        <v>0</v>
      </c>
      <c r="M3" s="8">
        <f>'BAU Comparison - All Fuel'!M117</f>
        <v>0</v>
      </c>
      <c r="N3" s="8">
        <f>'BAU Comparison - All Fuel'!N117</f>
        <v>0</v>
      </c>
      <c r="O3" s="8">
        <f>'BAU Comparison - All Fuel'!O117</f>
        <v>0</v>
      </c>
      <c r="P3" s="8">
        <f>'BAU Comparison - All Fuel'!P117</f>
        <v>0</v>
      </c>
      <c r="Q3" s="8">
        <f>'BAU Comparison - All Fuel'!Q117</f>
        <v>0</v>
      </c>
      <c r="R3" s="8">
        <f>'BAU Comparison - All Fuel'!R117</f>
        <v>0</v>
      </c>
      <c r="S3" s="8">
        <f>'BAU Comparison - All Fuel'!S117</f>
        <v>0</v>
      </c>
      <c r="T3" s="8">
        <f>'BAU Comparison - All Fuel'!T117</f>
        <v>0</v>
      </c>
      <c r="U3" s="8">
        <f>'BAU Comparison - All Fuel'!U117</f>
        <v>0</v>
      </c>
      <c r="V3" s="8">
        <f>'BAU Comparison - All Fuel'!V117</f>
        <v>0</v>
      </c>
      <c r="W3" s="8">
        <f>'BAU Comparison - All Fuel'!W117</f>
        <v>0</v>
      </c>
      <c r="X3" s="8">
        <f>'BAU Comparison - All Fuel'!X117</f>
        <v>0</v>
      </c>
      <c r="Y3" s="8">
        <f>'BAU Comparison - All Fuel'!Y117</f>
        <v>0</v>
      </c>
      <c r="Z3" s="8">
        <f>'BAU Comparison - All Fuel'!Z117</f>
        <v>0</v>
      </c>
      <c r="AA3" s="8">
        <f>'BAU Comparison - All Fuel'!AA117</f>
        <v>0</v>
      </c>
      <c r="AB3" s="8">
        <f>'BAU Comparison - All Fuel'!AB117</f>
        <v>0</v>
      </c>
    </row>
    <row r="4" spans="1:29" ht="15" customHeight="1">
      <c r="A4" s="477"/>
      <c r="B4" s="221" t="s">
        <v>104</v>
      </c>
      <c r="C4" s="223" t="s">
        <v>7</v>
      </c>
      <c r="D4" s="8">
        <f>'BAU Comparison - All Fuel'!D118</f>
        <v>0</v>
      </c>
      <c r="E4" s="8">
        <f>'BAU Comparison - All Fuel'!E118</f>
        <v>0</v>
      </c>
      <c r="F4" s="8">
        <f>'BAU Comparison - All Fuel'!F118</f>
        <v>0</v>
      </c>
      <c r="G4" s="8">
        <f>'BAU Comparison - All Fuel'!G118</f>
        <v>0</v>
      </c>
      <c r="H4" s="8">
        <f>'BAU Comparison - All Fuel'!H118</f>
        <v>0</v>
      </c>
      <c r="I4" s="8">
        <f>'BAU Comparison - All Fuel'!I118</f>
        <v>0</v>
      </c>
      <c r="J4" s="8">
        <f>'BAU Comparison - All Fuel'!J118</f>
        <v>0</v>
      </c>
      <c r="K4" s="8">
        <f>'BAU Comparison - All Fuel'!K118</f>
        <v>0</v>
      </c>
      <c r="L4" s="8">
        <f>'BAU Comparison - All Fuel'!L118</f>
        <v>0</v>
      </c>
      <c r="M4" s="8">
        <f>'BAU Comparison - All Fuel'!M118</f>
        <v>0</v>
      </c>
      <c r="N4" s="8">
        <f>'BAU Comparison - All Fuel'!N118</f>
        <v>0</v>
      </c>
      <c r="O4" s="8">
        <f>'BAU Comparison - All Fuel'!O118</f>
        <v>0</v>
      </c>
      <c r="P4" s="8">
        <f>'BAU Comparison - All Fuel'!P118</f>
        <v>0</v>
      </c>
      <c r="Q4" s="8">
        <f>'BAU Comparison - All Fuel'!Q118</f>
        <v>0</v>
      </c>
      <c r="R4" s="8">
        <f>'BAU Comparison - All Fuel'!R118</f>
        <v>0</v>
      </c>
      <c r="S4" s="8">
        <f>'BAU Comparison - All Fuel'!S118</f>
        <v>0</v>
      </c>
      <c r="T4" s="8">
        <f>'BAU Comparison - All Fuel'!T118</f>
        <v>0</v>
      </c>
      <c r="U4" s="8">
        <f>'BAU Comparison - All Fuel'!U118</f>
        <v>0</v>
      </c>
      <c r="V4" s="8">
        <f>'BAU Comparison - All Fuel'!V118</f>
        <v>0</v>
      </c>
      <c r="W4" s="8">
        <f>'BAU Comparison - All Fuel'!W118</f>
        <v>0</v>
      </c>
      <c r="X4" s="8">
        <f>'BAU Comparison - All Fuel'!X118</f>
        <v>0</v>
      </c>
      <c r="Y4" s="8">
        <f>'BAU Comparison - All Fuel'!Y118</f>
        <v>0</v>
      </c>
      <c r="Z4" s="8">
        <f>'BAU Comparison - All Fuel'!Z118</f>
        <v>0</v>
      </c>
      <c r="AA4" s="8">
        <f>'BAU Comparison - All Fuel'!AA118</f>
        <v>0</v>
      </c>
      <c r="AB4" s="8">
        <f>'BAU Comparison - All Fuel'!AB118</f>
        <v>0</v>
      </c>
    </row>
    <row r="5" spans="1:29" ht="15" customHeight="1">
      <c r="A5" s="477"/>
      <c r="B5" s="221" t="s">
        <v>289</v>
      </c>
      <c r="C5" s="223" t="s">
        <v>22</v>
      </c>
      <c r="D5" s="8">
        <f>'BAU Comparison - All Fuel'!D119</f>
        <v>0</v>
      </c>
      <c r="E5" s="8">
        <f>'BAU Comparison - All Fuel'!E119</f>
        <v>0</v>
      </c>
      <c r="F5" s="8">
        <f>'BAU Comparison - All Fuel'!F119</f>
        <v>0</v>
      </c>
      <c r="G5" s="8">
        <f>'BAU Comparison - All Fuel'!G119</f>
        <v>0</v>
      </c>
      <c r="H5" s="8">
        <f>'BAU Comparison - All Fuel'!H119</f>
        <v>0</v>
      </c>
      <c r="I5" s="8">
        <f>'BAU Comparison - All Fuel'!I119</f>
        <v>0</v>
      </c>
      <c r="J5" s="8">
        <f>'BAU Comparison - All Fuel'!J119</f>
        <v>0</v>
      </c>
      <c r="K5" s="8">
        <f>'BAU Comparison - All Fuel'!K119</f>
        <v>0</v>
      </c>
      <c r="L5" s="8">
        <f>'BAU Comparison - All Fuel'!L119</f>
        <v>0</v>
      </c>
      <c r="M5" s="8">
        <f>'BAU Comparison - All Fuel'!M119</f>
        <v>0</v>
      </c>
      <c r="N5" s="8">
        <f>'BAU Comparison - All Fuel'!N119</f>
        <v>0</v>
      </c>
      <c r="O5" s="8">
        <f>'BAU Comparison - All Fuel'!O119</f>
        <v>0</v>
      </c>
      <c r="P5" s="8">
        <f>'BAU Comparison - All Fuel'!P119</f>
        <v>0</v>
      </c>
      <c r="Q5" s="8">
        <f>'BAU Comparison - All Fuel'!Q119</f>
        <v>0</v>
      </c>
      <c r="R5" s="8">
        <f>'BAU Comparison - All Fuel'!R119</f>
        <v>-10.336950848166589</v>
      </c>
      <c r="S5" s="8">
        <f>'BAU Comparison - All Fuel'!S119</f>
        <v>-36.772132816833263</v>
      </c>
      <c r="T5" s="8">
        <f>'BAU Comparison - All Fuel'!T119</f>
        <v>-63.80610649416662</v>
      </c>
      <c r="U5" s="8">
        <f>'BAU Comparison - All Fuel'!U119</f>
        <v>-83.385007674999997</v>
      </c>
      <c r="V5" s="8">
        <f>'BAU Comparison - All Fuel'!V119</f>
        <v>-89.979236608333338</v>
      </c>
      <c r="W5" s="8">
        <f>'BAU Comparison - All Fuel'!W119</f>
        <v>-96.330386916666654</v>
      </c>
      <c r="X5" s="8">
        <f>'BAU Comparison - All Fuel'!X119</f>
        <v>-102.3610350666667</v>
      </c>
      <c r="Y5" s="8">
        <f>'BAU Comparison - All Fuel'!Y119</f>
        <v>-108.04777675</v>
      </c>
      <c r="Z5" s="8">
        <f>'BAU Comparison - All Fuel'!Z119</f>
        <v>-113.350635025</v>
      </c>
      <c r="AA5" s="8">
        <f>'BAU Comparison - All Fuel'!AA119</f>
        <v>-118.22997807500001</v>
      </c>
      <c r="AB5" s="8">
        <f>'BAU Comparison - All Fuel'!AB119</f>
        <v>-123.36066523333329</v>
      </c>
    </row>
    <row r="6" spans="1:29" ht="15.75" customHeight="1">
      <c r="A6" s="477"/>
      <c r="B6" s="221" t="s">
        <v>118</v>
      </c>
      <c r="C6" s="223" t="s">
        <v>103</v>
      </c>
      <c r="D6" s="8">
        <f>'BAU Comparison - All Fuel'!D124</f>
        <v>0</v>
      </c>
      <c r="E6" s="8">
        <f>'BAU Comparison - All Fuel'!E124</f>
        <v>0</v>
      </c>
      <c r="F6" s="8">
        <f>'BAU Comparison - All Fuel'!F124</f>
        <v>0</v>
      </c>
      <c r="G6" s="8">
        <f>'BAU Comparison - All Fuel'!G124</f>
        <v>0</v>
      </c>
      <c r="H6" s="8">
        <f>'BAU Comparison - All Fuel'!H124</f>
        <v>0</v>
      </c>
      <c r="I6" s="8">
        <f>'BAU Comparison - All Fuel'!I124</f>
        <v>0</v>
      </c>
      <c r="J6" s="8">
        <f>'BAU Comparison - All Fuel'!J124</f>
        <v>0</v>
      </c>
      <c r="K6" s="8">
        <f>'BAU Comparison - All Fuel'!K124</f>
        <v>0</v>
      </c>
      <c r="L6" s="8">
        <f>'BAU Comparison - All Fuel'!L124</f>
        <v>0</v>
      </c>
      <c r="M6" s="8">
        <f>'BAU Comparison - All Fuel'!M124</f>
        <v>0</v>
      </c>
      <c r="N6" s="8">
        <f>'BAU Comparison - All Fuel'!N124</f>
        <v>0</v>
      </c>
      <c r="O6" s="8">
        <f>'BAU Comparison - All Fuel'!O124</f>
        <v>0</v>
      </c>
      <c r="P6" s="8">
        <f>'BAU Comparison - All Fuel'!P124</f>
        <v>0</v>
      </c>
      <c r="Q6" s="8">
        <f>'BAU Comparison - All Fuel'!Q124</f>
        <v>0</v>
      </c>
      <c r="R6" s="8">
        <f>'BAU Comparison - All Fuel'!R124</f>
        <v>0</v>
      </c>
      <c r="S6" s="8">
        <f>'BAU Comparison - All Fuel'!S124</f>
        <v>0</v>
      </c>
      <c r="T6" s="8">
        <f>'BAU Comparison - All Fuel'!T124</f>
        <v>0</v>
      </c>
      <c r="U6" s="8">
        <f>'BAU Comparison - All Fuel'!U124</f>
        <v>0</v>
      </c>
      <c r="V6" s="8">
        <f>'BAU Comparison - All Fuel'!V124</f>
        <v>0</v>
      </c>
      <c r="W6" s="8">
        <f>'BAU Comparison - All Fuel'!W124</f>
        <v>0</v>
      </c>
      <c r="X6" s="8">
        <f>'BAU Comparison - All Fuel'!X124</f>
        <v>0</v>
      </c>
      <c r="Y6" s="8">
        <f>'BAU Comparison - All Fuel'!Y124</f>
        <v>0</v>
      </c>
      <c r="Z6" s="8">
        <f>'BAU Comparison - All Fuel'!Z124</f>
        <v>0</v>
      </c>
      <c r="AA6" s="8">
        <f>'BAU Comparison - All Fuel'!AA124</f>
        <v>0</v>
      </c>
      <c r="AB6" s="8">
        <f>'BAU Comparison - All Fuel'!AB124</f>
        <v>0</v>
      </c>
    </row>
    <row r="7" spans="1:29" ht="15" customHeight="1">
      <c r="A7" s="477"/>
      <c r="B7" s="221" t="s">
        <v>9</v>
      </c>
      <c r="C7" s="223" t="s">
        <v>7</v>
      </c>
      <c r="D7" s="8">
        <f>'BAU Comparison - All Fuel'!D126</f>
        <v>0</v>
      </c>
      <c r="E7" s="8">
        <f>'BAU Comparison - All Fuel'!E126</f>
        <v>0</v>
      </c>
      <c r="F7" s="8">
        <f>'BAU Comparison - All Fuel'!F126</f>
        <v>0</v>
      </c>
      <c r="G7" s="8">
        <f>'BAU Comparison - All Fuel'!G126</f>
        <v>0</v>
      </c>
      <c r="H7" s="8">
        <f>'BAU Comparison - All Fuel'!H126</f>
        <v>0</v>
      </c>
      <c r="I7" s="8">
        <f>'BAU Comparison - All Fuel'!I126</f>
        <v>0</v>
      </c>
      <c r="J7" s="8">
        <f>'BAU Comparison - All Fuel'!J126</f>
        <v>0</v>
      </c>
      <c r="K7" s="8">
        <f>'BAU Comparison - All Fuel'!K126</f>
        <v>0</v>
      </c>
      <c r="L7" s="8">
        <f>'BAU Comparison - All Fuel'!L126</f>
        <v>0</v>
      </c>
      <c r="M7" s="8">
        <f>'BAU Comparison - All Fuel'!M126</f>
        <v>0</v>
      </c>
      <c r="N7" s="8">
        <f>'BAU Comparison - All Fuel'!N126</f>
        <v>0</v>
      </c>
      <c r="O7" s="8">
        <f>'BAU Comparison - All Fuel'!O126</f>
        <v>0</v>
      </c>
      <c r="P7" s="8">
        <f>'BAU Comparison - All Fuel'!P126</f>
        <v>0</v>
      </c>
      <c r="Q7" s="8">
        <f>'BAU Comparison - All Fuel'!Q126</f>
        <v>0</v>
      </c>
      <c r="R7" s="8">
        <f>'BAU Comparison - All Fuel'!R126</f>
        <v>0</v>
      </c>
      <c r="S7" s="8">
        <f>'BAU Comparison - All Fuel'!S126</f>
        <v>0</v>
      </c>
      <c r="T7" s="8">
        <f>'BAU Comparison - All Fuel'!T126</f>
        <v>0</v>
      </c>
      <c r="U7" s="8">
        <f>'BAU Comparison - All Fuel'!U126</f>
        <v>0</v>
      </c>
      <c r="V7" s="8">
        <f>'BAU Comparison - All Fuel'!V126</f>
        <v>0</v>
      </c>
      <c r="W7" s="8">
        <f>'BAU Comparison - All Fuel'!W126</f>
        <v>0</v>
      </c>
      <c r="X7" s="8">
        <f>'BAU Comparison - All Fuel'!X126</f>
        <v>0</v>
      </c>
      <c r="Y7" s="8">
        <f>'BAU Comparison - All Fuel'!Y126</f>
        <v>0</v>
      </c>
      <c r="Z7" s="8">
        <f>'BAU Comparison - All Fuel'!Z126</f>
        <v>0</v>
      </c>
      <c r="AA7" s="8">
        <f>'BAU Comparison - All Fuel'!AA126</f>
        <v>0</v>
      </c>
      <c r="AB7" s="8">
        <f>'BAU Comparison - All Fuel'!AB126</f>
        <v>0</v>
      </c>
    </row>
    <row r="8" spans="1:29" ht="15" customHeight="1">
      <c r="A8" s="477"/>
      <c r="B8" s="221" t="s">
        <v>34</v>
      </c>
      <c r="C8" s="223" t="s">
        <v>7</v>
      </c>
      <c r="D8" s="8">
        <f>'BAU Comparison - All Fuel'!D127</f>
        <v>0</v>
      </c>
      <c r="E8" s="8">
        <f>'BAU Comparison - All Fuel'!E127</f>
        <v>0</v>
      </c>
      <c r="F8" s="8">
        <f>'BAU Comparison - All Fuel'!F127</f>
        <v>0</v>
      </c>
      <c r="G8" s="8">
        <f>'BAU Comparison - All Fuel'!G127</f>
        <v>0</v>
      </c>
      <c r="H8" s="8">
        <f>'BAU Comparison - All Fuel'!H127</f>
        <v>14.808431980360096</v>
      </c>
      <c r="I8" s="8">
        <f>'BAU Comparison - All Fuel'!I127</f>
        <v>126.64566992155609</v>
      </c>
      <c r="J8" s="8">
        <f>'BAU Comparison - All Fuel'!J127</f>
        <v>190.61456820703071</v>
      </c>
      <c r="K8" s="8">
        <f>'BAU Comparison - All Fuel'!K127</f>
        <v>227.53198146415332</v>
      </c>
      <c r="L8" s="8">
        <f>'BAU Comparison - All Fuel'!L127</f>
        <v>247.76594184292352</v>
      </c>
      <c r="M8" s="8">
        <f>'BAU Comparison - All Fuel'!M127</f>
        <v>258.00866079387208</v>
      </c>
      <c r="N8" s="8">
        <f>'BAU Comparison - All Fuel'!N127</f>
        <v>262.26194633818943</v>
      </c>
      <c r="O8" s="8">
        <f>'BAU Comparison - All Fuel'!O127</f>
        <v>262.91571371781589</v>
      </c>
      <c r="P8" s="8">
        <f>'BAU Comparison - All Fuel'!P127</f>
        <v>265.84643567557657</v>
      </c>
      <c r="Q8" s="8">
        <f>'BAU Comparison - All Fuel'!Q127</f>
        <v>261.19602227672107</v>
      </c>
      <c r="R8" s="8">
        <f>'BAU Comparison - All Fuel'!R127</f>
        <v>256.47009773279228</v>
      </c>
      <c r="S8" s="8">
        <f>'BAU Comparison - All Fuel'!S127</f>
        <v>251.67549142707747</v>
      </c>
      <c r="T8" s="8">
        <f>'BAU Comparison - All Fuel'!T127</f>
        <v>246.81927833777263</v>
      </c>
      <c r="U8" s="8">
        <f>'BAU Comparison - All Fuel'!U127</f>
        <v>245.42210954561622</v>
      </c>
      <c r="V8" s="8">
        <f>'BAU Comparison - All Fuel'!V127</f>
        <v>243.70776524676455</v>
      </c>
      <c r="W8" s="8">
        <f>'BAU Comparison - All Fuel'!W127</f>
        <v>240.04261690518993</v>
      </c>
      <c r="X8" s="8">
        <f>'BAU Comparison - All Fuel'!X127</f>
        <v>234.78475161327844</v>
      </c>
      <c r="Y8" s="8">
        <f>'BAU Comparison - All Fuel'!Y127</f>
        <v>231.42567540404949</v>
      </c>
      <c r="Z8" s="8">
        <f>'BAU Comparison - All Fuel'!Z127</f>
        <v>227.57767006657838</v>
      </c>
      <c r="AA8" s="8">
        <f>'BAU Comparison - All Fuel'!AA127</f>
        <v>223.66143168153718</v>
      </c>
      <c r="AB8" s="8">
        <f>'BAU Comparison - All Fuel'!AB127</f>
        <v>218.45112176447967</v>
      </c>
    </row>
    <row r="9" spans="1:29" ht="15" customHeight="1">
      <c r="A9" s="477"/>
      <c r="B9" s="221" t="s">
        <v>33</v>
      </c>
      <c r="C9" s="223" t="s">
        <v>13</v>
      </c>
      <c r="D9" s="8">
        <f>'BAU Comparison - All Fuel'!D128</f>
        <v>0</v>
      </c>
      <c r="E9" s="8">
        <f>'BAU Comparison - All Fuel'!E128</f>
        <v>0</v>
      </c>
      <c r="F9" s="8">
        <f>'BAU Comparison - All Fuel'!F128</f>
        <v>0</v>
      </c>
      <c r="G9" s="8">
        <f>'BAU Comparison - All Fuel'!G128</f>
        <v>0</v>
      </c>
      <c r="H9" s="8">
        <f>'BAU Comparison - All Fuel'!H128</f>
        <v>0</v>
      </c>
      <c r="I9" s="8">
        <f>'BAU Comparison - All Fuel'!I128</f>
        <v>0</v>
      </c>
      <c r="J9" s="8">
        <f>'BAU Comparison - All Fuel'!J128</f>
        <v>0</v>
      </c>
      <c r="K9" s="8">
        <f>'BAU Comparison - All Fuel'!K128</f>
        <v>0</v>
      </c>
      <c r="L9" s="8">
        <f>'BAU Comparison - All Fuel'!L128</f>
        <v>0</v>
      </c>
      <c r="M9" s="8">
        <f>'BAU Comparison - All Fuel'!M128</f>
        <v>0</v>
      </c>
      <c r="N9" s="8">
        <f>'BAU Comparison - All Fuel'!N128</f>
        <v>0</v>
      </c>
      <c r="O9" s="8">
        <f>'BAU Comparison - All Fuel'!O128</f>
        <v>0</v>
      </c>
      <c r="P9" s="8">
        <f>'BAU Comparison - All Fuel'!P128</f>
        <v>0</v>
      </c>
      <c r="Q9" s="8">
        <f>'BAU Comparison - All Fuel'!Q128</f>
        <v>0</v>
      </c>
      <c r="R9" s="8">
        <f>'BAU Comparison - All Fuel'!R128</f>
        <v>0</v>
      </c>
      <c r="S9" s="8">
        <f>'BAU Comparison - All Fuel'!S128</f>
        <v>0</v>
      </c>
      <c r="T9" s="8">
        <f>'BAU Comparison - All Fuel'!T128</f>
        <v>0</v>
      </c>
      <c r="U9" s="8">
        <f>'BAU Comparison - All Fuel'!U128</f>
        <v>0</v>
      </c>
      <c r="V9" s="8">
        <f>'BAU Comparison - All Fuel'!V128</f>
        <v>0</v>
      </c>
      <c r="W9" s="8">
        <f>'BAU Comparison - All Fuel'!W128</f>
        <v>0</v>
      </c>
      <c r="X9" s="8">
        <f>'BAU Comparison - All Fuel'!X128</f>
        <v>0</v>
      </c>
      <c r="Y9" s="8">
        <f>'BAU Comparison - All Fuel'!Y128</f>
        <v>0</v>
      </c>
      <c r="Z9" s="8">
        <f>'BAU Comparison - All Fuel'!Z128</f>
        <v>0</v>
      </c>
      <c r="AA9" s="8">
        <f>'BAU Comparison - All Fuel'!AA128</f>
        <v>0</v>
      </c>
      <c r="AB9" s="8">
        <f>'BAU Comparison - All Fuel'!AB128</f>
        <v>0</v>
      </c>
    </row>
    <row r="10" spans="1:29" ht="15" customHeight="1">
      <c r="A10" s="477"/>
      <c r="B10" s="221" t="s">
        <v>290</v>
      </c>
      <c r="C10" s="223" t="s">
        <v>22</v>
      </c>
      <c r="D10" s="8">
        <f>'BAU Comparison - All Fuel'!D129</f>
        <v>0</v>
      </c>
      <c r="E10" s="8">
        <f>'BAU Comparison - All Fuel'!E129</f>
        <v>0</v>
      </c>
      <c r="F10" s="8">
        <f>'BAU Comparison - All Fuel'!F129</f>
        <v>0</v>
      </c>
      <c r="G10" s="8">
        <f>'BAU Comparison - All Fuel'!G129</f>
        <v>0</v>
      </c>
      <c r="H10" s="8">
        <f>'BAU Comparison - All Fuel'!H129</f>
        <v>0</v>
      </c>
      <c r="I10" s="8">
        <f>'BAU Comparison - All Fuel'!I129</f>
        <v>0</v>
      </c>
      <c r="J10" s="8">
        <f>'BAU Comparison - All Fuel'!J129</f>
        <v>0</v>
      </c>
      <c r="K10" s="8">
        <f>'BAU Comparison - All Fuel'!K129</f>
        <v>0</v>
      </c>
      <c r="L10" s="8">
        <f>'BAU Comparison - All Fuel'!L129</f>
        <v>0</v>
      </c>
      <c r="M10" s="8">
        <f>'BAU Comparison - All Fuel'!M129</f>
        <v>0</v>
      </c>
      <c r="N10" s="8">
        <f>'BAU Comparison - All Fuel'!N129</f>
        <v>0</v>
      </c>
      <c r="O10" s="8">
        <f>'BAU Comparison - All Fuel'!O129</f>
        <v>0</v>
      </c>
      <c r="P10" s="8">
        <f>'BAU Comparison - All Fuel'!P129</f>
        <v>0</v>
      </c>
      <c r="Q10" s="8">
        <f>'BAU Comparison - All Fuel'!Q129</f>
        <v>0</v>
      </c>
      <c r="R10" s="8">
        <f>'BAU Comparison - All Fuel'!R129</f>
        <v>0</v>
      </c>
      <c r="S10" s="8">
        <f>'BAU Comparison - All Fuel'!S129</f>
        <v>0</v>
      </c>
      <c r="T10" s="8">
        <f>'BAU Comparison - All Fuel'!T129</f>
        <v>0</v>
      </c>
      <c r="U10" s="8">
        <f>'BAU Comparison - All Fuel'!U129</f>
        <v>-8.0123047741666138</v>
      </c>
      <c r="V10" s="8">
        <f>'BAU Comparison - All Fuel'!V129</f>
        <v>-25.39598266716661</v>
      </c>
      <c r="W10" s="8">
        <f>'BAU Comparison - All Fuel'!W129</f>
        <v>-44.702786013166637</v>
      </c>
      <c r="X10" s="8">
        <f>'BAU Comparison - All Fuel'!X129</f>
        <v>-67.842351482333285</v>
      </c>
      <c r="Y10" s="8">
        <f>'BAU Comparison - All Fuel'!Y129</f>
        <v>-77.558381250666642</v>
      </c>
      <c r="Z10" s="8">
        <f>'BAU Comparison - All Fuel'!Z129</f>
        <v>-88.236226162166602</v>
      </c>
      <c r="AA10" s="8">
        <f>'BAU Comparison - All Fuel'!AA129</f>
        <v>-99.297376775499927</v>
      </c>
      <c r="AB10" s="8">
        <f>'BAU Comparison - All Fuel'!AB129</f>
        <v>-115.92991817399989</v>
      </c>
    </row>
    <row r="11" spans="1:29" ht="15" customHeight="1">
      <c r="A11" s="477"/>
      <c r="B11" s="221" t="s">
        <v>14</v>
      </c>
      <c r="C11" s="223" t="s">
        <v>103</v>
      </c>
      <c r="D11" s="8">
        <f>'BAU Comparison - All Fuel'!D131</f>
        <v>0</v>
      </c>
      <c r="E11" s="8">
        <f>'BAU Comparison - All Fuel'!E134</f>
        <v>0</v>
      </c>
      <c r="F11" s="8">
        <f>'BAU Comparison - All Fuel'!F134</f>
        <v>0</v>
      </c>
      <c r="G11" s="8">
        <f>'BAU Comparison - All Fuel'!G134</f>
        <v>0</v>
      </c>
      <c r="H11" s="8">
        <f>'BAU Comparison - All Fuel'!H134</f>
        <v>0</v>
      </c>
      <c r="I11" s="8">
        <f>'BAU Comparison - All Fuel'!I134</f>
        <v>0</v>
      </c>
      <c r="J11" s="8">
        <f>'BAU Comparison - All Fuel'!J134</f>
        <v>0</v>
      </c>
      <c r="K11" s="8">
        <f>'BAU Comparison - All Fuel'!K134</f>
        <v>0</v>
      </c>
      <c r="L11" s="8">
        <f>'BAU Comparison - All Fuel'!L134</f>
        <v>0</v>
      </c>
      <c r="M11" s="8">
        <f>'BAU Comparison - All Fuel'!M134</f>
        <v>0</v>
      </c>
      <c r="N11" s="8">
        <f>'BAU Comparison - All Fuel'!N134</f>
        <v>0</v>
      </c>
      <c r="O11" s="8">
        <f>'BAU Comparison - All Fuel'!O134</f>
        <v>0</v>
      </c>
      <c r="P11" s="8">
        <f>'BAU Comparison - All Fuel'!P134</f>
        <v>0</v>
      </c>
      <c r="Q11" s="8">
        <f>'BAU Comparison - All Fuel'!Q134</f>
        <v>0</v>
      </c>
      <c r="R11" s="8">
        <f>'BAU Comparison - All Fuel'!R134</f>
        <v>0</v>
      </c>
      <c r="S11" s="8">
        <f>'BAU Comparison - All Fuel'!S134</f>
        <v>0</v>
      </c>
      <c r="T11" s="8">
        <f>'BAU Comparison - All Fuel'!T134</f>
        <v>0</v>
      </c>
      <c r="U11" s="8">
        <f>'BAU Comparison - All Fuel'!U134</f>
        <v>0</v>
      </c>
      <c r="V11" s="8">
        <f>'BAU Comparison - All Fuel'!V134</f>
        <v>0</v>
      </c>
      <c r="W11" s="8">
        <f>'BAU Comparison - All Fuel'!W134</f>
        <v>0</v>
      </c>
      <c r="X11" s="8">
        <f>'BAU Comparison - All Fuel'!X134</f>
        <v>0</v>
      </c>
      <c r="Y11" s="8">
        <f>'BAU Comparison - All Fuel'!Y134</f>
        <v>0</v>
      </c>
      <c r="Z11" s="8">
        <f>'BAU Comparison - All Fuel'!Z134</f>
        <v>0</v>
      </c>
      <c r="AA11" s="8">
        <f>'BAU Comparison - All Fuel'!AA134</f>
        <v>0</v>
      </c>
      <c r="AB11" s="8">
        <f>'BAU Comparison - All Fuel'!AB134</f>
        <v>0</v>
      </c>
    </row>
    <row r="12" spans="1:29" ht="15" customHeight="1">
      <c r="A12" s="477"/>
      <c r="B12" s="221" t="s">
        <v>108</v>
      </c>
      <c r="C12" s="223" t="s">
        <v>103</v>
      </c>
      <c r="D12" s="8">
        <f>'BAU Comparison - All Fuel'!D136</f>
        <v>0</v>
      </c>
      <c r="E12" s="8">
        <f>'BAU Comparison - All Fuel'!E136</f>
        <v>0</v>
      </c>
      <c r="F12" s="8">
        <f>'BAU Comparison - All Fuel'!F136</f>
        <v>0</v>
      </c>
      <c r="G12" s="8">
        <f>'BAU Comparison - All Fuel'!G136</f>
        <v>0</v>
      </c>
      <c r="H12" s="8">
        <f>'BAU Comparison - All Fuel'!H136</f>
        <v>0</v>
      </c>
      <c r="I12" s="8">
        <f>'BAU Comparison - All Fuel'!I136</f>
        <v>0</v>
      </c>
      <c r="J12" s="8">
        <f>'BAU Comparison - All Fuel'!J136</f>
        <v>0</v>
      </c>
      <c r="K12" s="8">
        <f>'BAU Comparison - All Fuel'!K136</f>
        <v>0</v>
      </c>
      <c r="L12" s="8">
        <f>'BAU Comparison - All Fuel'!L136</f>
        <v>0</v>
      </c>
      <c r="M12" s="8">
        <f>'BAU Comparison - All Fuel'!M136</f>
        <v>0</v>
      </c>
      <c r="N12" s="8">
        <f>'BAU Comparison - All Fuel'!N136</f>
        <v>0</v>
      </c>
      <c r="O12" s="8">
        <f>'BAU Comparison - All Fuel'!O136</f>
        <v>0</v>
      </c>
      <c r="P12" s="8">
        <f>'BAU Comparison - All Fuel'!P136</f>
        <v>0</v>
      </c>
      <c r="Q12" s="8">
        <f>'BAU Comparison - All Fuel'!Q136</f>
        <v>0</v>
      </c>
      <c r="R12" s="8">
        <f>'BAU Comparison - All Fuel'!R136</f>
        <v>0</v>
      </c>
      <c r="S12" s="8">
        <f>'BAU Comparison - All Fuel'!S136</f>
        <v>0</v>
      </c>
      <c r="T12" s="8">
        <f>'BAU Comparison - All Fuel'!T136</f>
        <v>0</v>
      </c>
      <c r="U12" s="8">
        <f>'BAU Comparison - All Fuel'!U136</f>
        <v>0</v>
      </c>
      <c r="V12" s="8">
        <f>'BAU Comparison - All Fuel'!V136</f>
        <v>0</v>
      </c>
      <c r="W12" s="8">
        <f>'BAU Comparison - All Fuel'!W136</f>
        <v>0</v>
      </c>
      <c r="X12" s="8">
        <f>'BAU Comparison - All Fuel'!X136</f>
        <v>0</v>
      </c>
      <c r="Y12" s="8">
        <f>'BAU Comparison - All Fuel'!Y136</f>
        <v>0</v>
      </c>
      <c r="Z12" s="8">
        <f>'BAU Comparison - All Fuel'!Z136</f>
        <v>0</v>
      </c>
      <c r="AA12" s="8">
        <f>'BAU Comparison - All Fuel'!AA136</f>
        <v>0</v>
      </c>
      <c r="AB12" s="8">
        <f>'BAU Comparison - All Fuel'!AB136</f>
        <v>0</v>
      </c>
    </row>
    <row r="13" spans="1:29" ht="15" customHeight="1">
      <c r="A13" s="477"/>
      <c r="B13" s="221" t="s">
        <v>122</v>
      </c>
      <c r="C13" s="223" t="s">
        <v>7</v>
      </c>
      <c r="D13" s="8">
        <f>'BAU Comparison - All Fuel'!D137</f>
        <v>0</v>
      </c>
      <c r="E13" s="8">
        <f>'BAU Comparison - All Fuel'!E137</f>
        <v>0</v>
      </c>
      <c r="F13" s="8">
        <f>'BAU Comparison - All Fuel'!F137</f>
        <v>0</v>
      </c>
      <c r="G13" s="8">
        <f>'BAU Comparison - All Fuel'!G137</f>
        <v>0</v>
      </c>
      <c r="H13" s="8">
        <f>'BAU Comparison - All Fuel'!H137</f>
        <v>0.9103018072477862</v>
      </c>
      <c r="I13" s="8">
        <f>'BAU Comparison - All Fuel'!I137</f>
        <v>9.0137820350529108</v>
      </c>
      <c r="J13" s="8">
        <f>'BAU Comparison - All Fuel'!J137</f>
        <v>17.009314650979043</v>
      </c>
      <c r="K13" s="8">
        <f>'BAU Comparison - All Fuel'!K137</f>
        <v>23.270559934696845</v>
      </c>
      <c r="L13" s="8">
        <f>'BAU Comparison - All Fuel'!L137</f>
        <v>28.943794680431857</v>
      </c>
      <c r="M13" s="8">
        <f>'BAU Comparison - All Fuel'!M137</f>
        <v>34.245392804185684</v>
      </c>
      <c r="N13" s="8">
        <f>'BAU Comparison - All Fuel'!N137</f>
        <v>39.318697504689816</v>
      </c>
      <c r="O13" s="8">
        <f>'BAU Comparison - All Fuel'!O137</f>
        <v>44.260884271956044</v>
      </c>
      <c r="P13" s="8">
        <f>'BAU Comparison - All Fuel'!P137</f>
        <v>49.724093534535186</v>
      </c>
      <c r="Q13" s="8">
        <f>'BAU Comparison - All Fuel'!Q137</f>
        <v>54.374506933390606</v>
      </c>
      <c r="R13" s="8">
        <f>'BAU Comparison - All Fuel'!R137</f>
        <v>59.100431477319475</v>
      </c>
      <c r="S13" s="8">
        <f>'BAU Comparison - All Fuel'!S137</f>
        <v>63.895037783034212</v>
      </c>
      <c r="T13" s="8">
        <f>'BAU Comparison - All Fuel'!T137</f>
        <v>68.751250872339071</v>
      </c>
      <c r="U13" s="8">
        <f>'BAU Comparison - All Fuel'!U137</f>
        <v>70.148419664495506</v>
      </c>
      <c r="V13" s="8">
        <f>'BAU Comparison - All Fuel'!V137</f>
        <v>71.862763963347177</v>
      </c>
      <c r="W13" s="8">
        <f>'BAU Comparison - All Fuel'!W137</f>
        <v>75.527912304921756</v>
      </c>
      <c r="X13" s="8">
        <f>'BAU Comparison - All Fuel'!X137</f>
        <v>80.785777596833256</v>
      </c>
      <c r="Y13" s="8">
        <f>'BAU Comparison - All Fuel'!Y137</f>
        <v>84.144853806062244</v>
      </c>
      <c r="Z13" s="8">
        <f>'BAU Comparison - All Fuel'!Z137</f>
        <v>87.992859143533337</v>
      </c>
      <c r="AA13" s="8">
        <f>'BAU Comparison - All Fuel'!AA137</f>
        <v>91.909097528574577</v>
      </c>
      <c r="AB13" s="8">
        <f>'BAU Comparison - All Fuel'!AB137</f>
        <v>97.119407445632021</v>
      </c>
    </row>
    <row r="14" spans="1:29" ht="15" customHeight="1">
      <c r="A14" s="477"/>
      <c r="B14" s="224" t="s">
        <v>123</v>
      </c>
      <c r="C14" s="223" t="s">
        <v>13</v>
      </c>
      <c r="D14" s="8">
        <f>'BAU Comparison - All Fuel'!D138</f>
        <v>0</v>
      </c>
      <c r="E14" s="8">
        <f>'BAU Comparison - All Fuel'!E138</f>
        <v>0</v>
      </c>
      <c r="F14" s="8">
        <f>'BAU Comparison - All Fuel'!F138</f>
        <v>0</v>
      </c>
      <c r="G14" s="8">
        <f>'BAU Comparison - All Fuel'!G138</f>
        <v>0</v>
      </c>
      <c r="H14" s="8">
        <f>'BAU Comparison - All Fuel'!H138</f>
        <v>0</v>
      </c>
      <c r="I14" s="8">
        <f>'BAU Comparison - All Fuel'!I138</f>
        <v>0</v>
      </c>
      <c r="J14" s="8">
        <f>'BAU Comparison - All Fuel'!J138</f>
        <v>0</v>
      </c>
      <c r="K14" s="8">
        <f>'BAU Comparison - All Fuel'!K138</f>
        <v>0</v>
      </c>
      <c r="L14" s="8">
        <f>'BAU Comparison - All Fuel'!L138</f>
        <v>0</v>
      </c>
      <c r="M14" s="8">
        <f>'BAU Comparison - All Fuel'!M138</f>
        <v>0</v>
      </c>
      <c r="N14" s="8">
        <f>'BAU Comparison - All Fuel'!N138</f>
        <v>0</v>
      </c>
      <c r="O14" s="8">
        <f>'BAU Comparison - All Fuel'!O138</f>
        <v>0</v>
      </c>
      <c r="P14" s="8">
        <f>'BAU Comparison - All Fuel'!P138</f>
        <v>0</v>
      </c>
      <c r="Q14" s="8">
        <f>'BAU Comparison - All Fuel'!Q138</f>
        <v>0</v>
      </c>
      <c r="R14" s="8">
        <f>'BAU Comparison - All Fuel'!R138</f>
        <v>0</v>
      </c>
      <c r="S14" s="8">
        <f>'BAU Comparison - All Fuel'!S138</f>
        <v>0</v>
      </c>
      <c r="T14" s="8">
        <f>'BAU Comparison - All Fuel'!T138</f>
        <v>0</v>
      </c>
      <c r="U14" s="8">
        <f>'BAU Comparison - All Fuel'!U138</f>
        <v>0</v>
      </c>
      <c r="V14" s="8">
        <f>'BAU Comparison - All Fuel'!V138</f>
        <v>0</v>
      </c>
      <c r="W14" s="8">
        <f>'BAU Comparison - All Fuel'!W138</f>
        <v>0</v>
      </c>
      <c r="X14" s="8">
        <f>'BAU Comparison - All Fuel'!X138</f>
        <v>0</v>
      </c>
      <c r="Y14" s="8">
        <f>'BAU Comparison - All Fuel'!Y138</f>
        <v>0</v>
      </c>
      <c r="Z14" s="8">
        <f>'BAU Comparison - All Fuel'!Z138</f>
        <v>0</v>
      </c>
      <c r="AA14" s="8">
        <f>'BAU Comparison - All Fuel'!AA138</f>
        <v>0</v>
      </c>
      <c r="AB14" s="8">
        <f>'BAU Comparison - All Fuel'!AB138</f>
        <v>0</v>
      </c>
    </row>
    <row r="15" spans="1:29" ht="15" customHeight="1">
      <c r="A15" s="477"/>
      <c r="B15" s="224" t="s">
        <v>124</v>
      </c>
      <c r="C15" s="223" t="s">
        <v>13</v>
      </c>
      <c r="D15" s="8">
        <f>'BAU Comparison - All Fuel'!D139</f>
        <v>0</v>
      </c>
      <c r="E15" s="8">
        <f>'BAU Comparison - All Fuel'!E139</f>
        <v>0</v>
      </c>
      <c r="F15" s="8">
        <f>'BAU Comparison - All Fuel'!F139</f>
        <v>0</v>
      </c>
      <c r="G15" s="8">
        <f>'BAU Comparison - All Fuel'!G139</f>
        <v>25.23821786989749</v>
      </c>
      <c r="H15" s="8">
        <f>'BAU Comparison - All Fuel'!H139</f>
        <v>44.815686692459295</v>
      </c>
      <c r="I15" s="8">
        <f>'BAU Comparison - All Fuel'!I139</f>
        <v>14.1345053344094</v>
      </c>
      <c r="J15" s="8">
        <f>'BAU Comparison - All Fuel'!J139</f>
        <v>15.886784643409495</v>
      </c>
      <c r="K15" s="8">
        <f>'BAU Comparison - All Fuel'!K139</f>
        <v>6.3609855852725339</v>
      </c>
      <c r="L15" s="8">
        <f>'BAU Comparison - All Fuel'!L139</f>
        <v>0</v>
      </c>
      <c r="M15" s="8">
        <f>'BAU Comparison - All Fuel'!M139</f>
        <v>0</v>
      </c>
      <c r="N15" s="8">
        <f>'BAU Comparison - All Fuel'!N139</f>
        <v>0</v>
      </c>
      <c r="O15" s="8">
        <f>'BAU Comparison - All Fuel'!O139</f>
        <v>0</v>
      </c>
      <c r="P15" s="8">
        <f>'BAU Comparison - All Fuel'!P139</f>
        <v>0</v>
      </c>
      <c r="Q15" s="8">
        <f>'BAU Comparison - All Fuel'!Q139</f>
        <v>0</v>
      </c>
      <c r="R15" s="8">
        <f>'BAU Comparison - All Fuel'!R139</f>
        <v>0</v>
      </c>
      <c r="S15" s="8">
        <f>'BAU Comparison - All Fuel'!S139</f>
        <v>0</v>
      </c>
      <c r="T15" s="8">
        <f>'BAU Comparison - All Fuel'!T139</f>
        <v>0</v>
      </c>
      <c r="U15" s="8">
        <f>'BAU Comparison - All Fuel'!U139</f>
        <v>0</v>
      </c>
      <c r="V15" s="8">
        <f>'BAU Comparison - All Fuel'!V139</f>
        <v>0</v>
      </c>
      <c r="W15" s="8">
        <f>'BAU Comparison - All Fuel'!W139</f>
        <v>0</v>
      </c>
      <c r="X15" s="8">
        <f>'BAU Comparison - All Fuel'!X139</f>
        <v>0</v>
      </c>
      <c r="Y15" s="8">
        <f>'BAU Comparison - All Fuel'!Y139</f>
        <v>0</v>
      </c>
      <c r="Z15" s="8">
        <f>'BAU Comparison - All Fuel'!Z139</f>
        <v>0</v>
      </c>
      <c r="AA15" s="8">
        <f>'BAU Comparison - All Fuel'!AA139</f>
        <v>0</v>
      </c>
      <c r="AB15" s="8">
        <f>'BAU Comparison - All Fuel'!AB139</f>
        <v>0</v>
      </c>
    </row>
    <row r="16" spans="1:29" ht="15" customHeight="1">
      <c r="A16" s="477"/>
      <c r="B16" s="224" t="s">
        <v>218</v>
      </c>
      <c r="C16" s="225" t="s">
        <v>7</v>
      </c>
      <c r="D16" s="60">
        <f>'BAU Comparison - Production'!D26</f>
        <v>0</v>
      </c>
      <c r="E16" s="60">
        <f>'BAU Comparison - Production'!E26</f>
        <v>0</v>
      </c>
      <c r="F16" s="60">
        <f>'BAU Comparison - Production'!F26</f>
        <v>0</v>
      </c>
      <c r="G16" s="60">
        <f>'BAU Comparison - Production'!G26</f>
        <v>0</v>
      </c>
      <c r="H16" s="60">
        <f>'BAU Comparison - Production'!H26</f>
        <v>0</v>
      </c>
      <c r="I16" s="60">
        <f>'BAU Comparison - Production'!I26</f>
        <v>0</v>
      </c>
      <c r="J16" s="60">
        <f>'BAU Comparison - Production'!J26</f>
        <v>0</v>
      </c>
      <c r="K16" s="60">
        <f>'BAU Comparison - Production'!K26</f>
        <v>0</v>
      </c>
      <c r="L16" s="61">
        <f>'BAU Comparison - Production'!L26</f>
        <v>0</v>
      </c>
      <c r="M16" s="60">
        <f>'BAU Comparison - Production'!M26</f>
        <v>0</v>
      </c>
      <c r="N16" s="60">
        <f>'BAU Comparison - Production'!N26</f>
        <v>0</v>
      </c>
      <c r="O16" s="60">
        <f>'BAU Comparison - Production'!O26</f>
        <v>0</v>
      </c>
      <c r="P16" s="60">
        <f>'BAU Comparison - Production'!P26</f>
        <v>0</v>
      </c>
      <c r="Q16" s="60">
        <f>'BAU Comparison - Production'!Q26</f>
        <v>0</v>
      </c>
      <c r="R16" s="60">
        <f>'BAU Comparison - Production'!R26</f>
        <v>0</v>
      </c>
      <c r="S16" s="60">
        <f>'BAU Comparison - Production'!S26</f>
        <v>0</v>
      </c>
      <c r="T16" s="60">
        <f>'BAU Comparison - Production'!T26</f>
        <v>0</v>
      </c>
      <c r="U16" s="61">
        <f>'BAU Comparison - Production'!U26</f>
        <v>0</v>
      </c>
      <c r="V16" s="60">
        <f>'BAU Comparison - Production'!V26</f>
        <v>0</v>
      </c>
      <c r="W16" s="60">
        <f>'BAU Comparison - Production'!W26</f>
        <v>0</v>
      </c>
      <c r="X16" s="60">
        <f>'BAU Comparison - Production'!X26</f>
        <v>0</v>
      </c>
      <c r="Y16" s="60">
        <f>'BAU Comparison - Production'!Y26</f>
        <v>0</v>
      </c>
      <c r="Z16" s="60">
        <f>'BAU Comparison - Production'!Z26</f>
        <v>0</v>
      </c>
      <c r="AA16" s="60">
        <f>'BAU Comparison - Production'!AA26</f>
        <v>0</v>
      </c>
      <c r="AB16" s="60">
        <f>'BAU Comparison - Production'!AB26</f>
        <v>0</v>
      </c>
      <c r="AC16" t="s">
        <v>238</v>
      </c>
    </row>
    <row r="18" spans="1:28" ht="15" customHeight="1">
      <c r="A18" s="475" t="s">
        <v>217</v>
      </c>
      <c r="B18" s="78" t="s">
        <v>3</v>
      </c>
      <c r="C18" s="145" t="s">
        <v>1</v>
      </c>
      <c r="D18" s="115">
        <v>2022</v>
      </c>
      <c r="E18" s="115">
        <v>2023</v>
      </c>
      <c r="F18" s="115">
        <v>2024</v>
      </c>
      <c r="G18" s="115">
        <v>2025</v>
      </c>
      <c r="H18" s="83">
        <v>2026</v>
      </c>
      <c r="I18" s="83">
        <v>2027</v>
      </c>
      <c r="J18" s="83">
        <v>2028</v>
      </c>
      <c r="K18" s="83">
        <v>2029</v>
      </c>
      <c r="L18" s="84">
        <v>2030</v>
      </c>
      <c r="M18" s="115">
        <v>2031</v>
      </c>
      <c r="N18" s="115">
        <v>2032</v>
      </c>
      <c r="O18" s="115">
        <v>2033</v>
      </c>
      <c r="P18" s="115">
        <v>2034</v>
      </c>
      <c r="Q18" s="83">
        <v>2035</v>
      </c>
      <c r="R18" s="83">
        <v>2036</v>
      </c>
      <c r="S18" s="83">
        <v>2037</v>
      </c>
      <c r="T18" s="83">
        <v>2038</v>
      </c>
      <c r="U18" s="84">
        <v>2039</v>
      </c>
      <c r="V18" s="115">
        <v>2040</v>
      </c>
      <c r="W18" s="115">
        <v>2041</v>
      </c>
      <c r="X18" s="115">
        <v>2042</v>
      </c>
      <c r="Y18" s="115">
        <v>2043</v>
      </c>
      <c r="Z18" s="83">
        <v>2044</v>
      </c>
      <c r="AA18" s="83">
        <v>2045</v>
      </c>
      <c r="AB18" s="83">
        <v>2046</v>
      </c>
    </row>
    <row r="19" spans="1:28" ht="15" customHeight="1">
      <c r="A19" s="477"/>
      <c r="B19" s="226" t="s">
        <v>115</v>
      </c>
      <c r="C19" s="227" t="s">
        <v>101</v>
      </c>
      <c r="D19" s="97">
        <f>'Attribution Assumptions'!D3</f>
        <v>1</v>
      </c>
      <c r="E19" s="97">
        <f>'Attribution Assumptions'!E3</f>
        <v>1</v>
      </c>
      <c r="F19" s="97">
        <f>'Attribution Assumptions'!F3</f>
        <v>1</v>
      </c>
      <c r="G19" s="97">
        <f>'Attribution Assumptions'!G3</f>
        <v>1</v>
      </c>
      <c r="H19" s="97">
        <f>'Attribution Assumptions'!H3</f>
        <v>1</v>
      </c>
      <c r="I19" s="97">
        <f>'Attribution Assumptions'!I3</f>
        <v>1</v>
      </c>
      <c r="J19" s="97">
        <f>'Attribution Assumptions'!J3</f>
        <v>1</v>
      </c>
      <c r="K19" s="97">
        <f>'Attribution Assumptions'!K3</f>
        <v>1</v>
      </c>
      <c r="L19" s="205">
        <f>'Attribution Assumptions'!L3</f>
        <v>1</v>
      </c>
      <c r="M19" s="205">
        <f>'Attribution Assumptions'!M3</f>
        <v>1</v>
      </c>
      <c r="N19" s="205">
        <f>'Attribution Assumptions'!N3</f>
        <v>1</v>
      </c>
      <c r="O19" s="205">
        <f>'Attribution Assumptions'!O3</f>
        <v>1</v>
      </c>
      <c r="P19" s="205">
        <f>'Attribution Assumptions'!P3</f>
        <v>1</v>
      </c>
      <c r="Q19" s="205">
        <f>'Attribution Assumptions'!Q3</f>
        <v>1</v>
      </c>
      <c r="R19" s="205">
        <f>'Attribution Assumptions'!R3</f>
        <v>1</v>
      </c>
      <c r="S19" s="205">
        <f>'Attribution Assumptions'!S3</f>
        <v>1</v>
      </c>
      <c r="T19" s="205">
        <f>'Attribution Assumptions'!T3</f>
        <v>1</v>
      </c>
      <c r="U19" s="205">
        <f>'Attribution Assumptions'!U3</f>
        <v>1</v>
      </c>
      <c r="V19" s="205">
        <f>'Attribution Assumptions'!V3</f>
        <v>1</v>
      </c>
      <c r="W19" s="205">
        <f>'Attribution Assumptions'!W3</f>
        <v>1</v>
      </c>
      <c r="X19" s="205">
        <f>'Attribution Assumptions'!X3</f>
        <v>1</v>
      </c>
      <c r="Y19" s="205">
        <f>'Attribution Assumptions'!Y3</f>
        <v>1</v>
      </c>
      <c r="Z19" s="205">
        <f>'Attribution Assumptions'!Z3</f>
        <v>1</v>
      </c>
      <c r="AA19" s="205">
        <f>'Attribution Assumptions'!AA3</f>
        <v>1</v>
      </c>
      <c r="AB19" s="205">
        <f>'Attribution Assumptions'!AB3</f>
        <v>1</v>
      </c>
    </row>
    <row r="20" spans="1:28" ht="15" customHeight="1">
      <c r="A20" s="477"/>
      <c r="B20" s="228" t="s">
        <v>19</v>
      </c>
      <c r="C20" s="223" t="s">
        <v>101</v>
      </c>
      <c r="D20" s="97">
        <f>'Attribution Assumptions'!D4</f>
        <v>1</v>
      </c>
      <c r="E20" s="97">
        <f>'Attribution Assumptions'!E4</f>
        <v>1</v>
      </c>
      <c r="F20" s="97">
        <f>'Attribution Assumptions'!F4</f>
        <v>1</v>
      </c>
      <c r="G20" s="97">
        <f>'Attribution Assumptions'!G4</f>
        <v>1</v>
      </c>
      <c r="H20" s="97">
        <f>'Attribution Assumptions'!H4</f>
        <v>1</v>
      </c>
      <c r="I20" s="97">
        <f>'Attribution Assumptions'!I4</f>
        <v>1</v>
      </c>
      <c r="J20" s="97">
        <f>'Attribution Assumptions'!J4</f>
        <v>1</v>
      </c>
      <c r="K20" s="97">
        <f>'Attribution Assumptions'!K4</f>
        <v>1</v>
      </c>
      <c r="L20" s="97">
        <f>'Attribution Assumptions'!L4</f>
        <v>1</v>
      </c>
      <c r="M20" s="97">
        <f>'Attribution Assumptions'!M4</f>
        <v>1</v>
      </c>
      <c r="N20" s="97">
        <f>'Attribution Assumptions'!N4</f>
        <v>1</v>
      </c>
      <c r="O20" s="97">
        <f>'Attribution Assumptions'!O4</f>
        <v>1</v>
      </c>
      <c r="P20" s="97">
        <f>'Attribution Assumptions'!P4</f>
        <v>1</v>
      </c>
      <c r="Q20" s="97">
        <f>'Attribution Assumptions'!Q4</f>
        <v>1</v>
      </c>
      <c r="R20" s="97">
        <f>'Attribution Assumptions'!R4</f>
        <v>1</v>
      </c>
      <c r="S20" s="97">
        <f>'Attribution Assumptions'!S4</f>
        <v>1</v>
      </c>
      <c r="T20" s="97">
        <f>'Attribution Assumptions'!T4</f>
        <v>1</v>
      </c>
      <c r="U20" s="97">
        <f>'Attribution Assumptions'!U4</f>
        <v>1</v>
      </c>
      <c r="V20" s="97">
        <f>'Attribution Assumptions'!V4</f>
        <v>1</v>
      </c>
      <c r="W20" s="97">
        <f>'Attribution Assumptions'!W4</f>
        <v>1</v>
      </c>
      <c r="X20" s="97">
        <f>'Attribution Assumptions'!X4</f>
        <v>1</v>
      </c>
      <c r="Y20" s="97">
        <f>'Attribution Assumptions'!Y4</f>
        <v>1</v>
      </c>
      <c r="Z20" s="97">
        <f>'Attribution Assumptions'!Z4</f>
        <v>1</v>
      </c>
      <c r="AA20" s="97">
        <f>'Attribution Assumptions'!AA4</f>
        <v>1</v>
      </c>
      <c r="AB20" s="97">
        <f>'Attribution Assumptions'!AB4</f>
        <v>1</v>
      </c>
    </row>
    <row r="21" spans="1:28" ht="15" customHeight="1">
      <c r="A21" s="477"/>
      <c r="B21" s="228" t="s">
        <v>104</v>
      </c>
      <c r="C21" s="223" t="s">
        <v>101</v>
      </c>
      <c r="D21" s="49">
        <f>'Attribution Assumptions'!D5</f>
        <v>1</v>
      </c>
      <c r="E21" s="49">
        <f>'Attribution Assumptions'!E5</f>
        <v>1</v>
      </c>
      <c r="F21" s="49">
        <f>'Attribution Assumptions'!F5</f>
        <v>1</v>
      </c>
      <c r="G21" s="49">
        <f>'Attribution Assumptions'!G5</f>
        <v>1</v>
      </c>
      <c r="H21" s="49">
        <f>'Attribution Assumptions'!H5</f>
        <v>1</v>
      </c>
      <c r="I21" s="49">
        <f>'Attribution Assumptions'!I5</f>
        <v>1</v>
      </c>
      <c r="J21" s="49">
        <f>'Attribution Assumptions'!J5</f>
        <v>1</v>
      </c>
      <c r="K21" s="49">
        <f>'Attribution Assumptions'!K5</f>
        <v>1</v>
      </c>
      <c r="L21" s="14">
        <f>'Attribution Assumptions'!L5</f>
        <v>1</v>
      </c>
      <c r="M21" s="14">
        <f>'Attribution Assumptions'!M5</f>
        <v>1</v>
      </c>
      <c r="N21" s="14">
        <f>'Attribution Assumptions'!N5</f>
        <v>1</v>
      </c>
      <c r="O21" s="14">
        <f>'Attribution Assumptions'!O5</f>
        <v>1</v>
      </c>
      <c r="P21" s="14">
        <f>'Attribution Assumptions'!P5</f>
        <v>1</v>
      </c>
      <c r="Q21" s="14">
        <f>'Attribution Assumptions'!Q5</f>
        <v>1</v>
      </c>
      <c r="R21" s="14">
        <f>'Attribution Assumptions'!R5</f>
        <v>1</v>
      </c>
      <c r="S21" s="14">
        <f>'Attribution Assumptions'!S5</f>
        <v>1</v>
      </c>
      <c r="T21" s="14">
        <f>'Attribution Assumptions'!T5</f>
        <v>1</v>
      </c>
      <c r="U21" s="14">
        <f>'Attribution Assumptions'!U5</f>
        <v>1</v>
      </c>
      <c r="V21" s="14">
        <f>'Attribution Assumptions'!V5</f>
        <v>1</v>
      </c>
      <c r="W21" s="14">
        <f>'Attribution Assumptions'!W5</f>
        <v>1</v>
      </c>
      <c r="X21" s="14">
        <f>'Attribution Assumptions'!X5</f>
        <v>1</v>
      </c>
      <c r="Y21" s="14">
        <f>'Attribution Assumptions'!Y5</f>
        <v>1</v>
      </c>
      <c r="Z21" s="14">
        <f>'Attribution Assumptions'!Z5</f>
        <v>1</v>
      </c>
      <c r="AA21" s="14">
        <f>'Attribution Assumptions'!AA5</f>
        <v>1</v>
      </c>
      <c r="AB21" s="14">
        <f>'Attribution Assumptions'!AB5</f>
        <v>1</v>
      </c>
    </row>
    <row r="22" spans="1:28" ht="15" customHeight="1">
      <c r="A22" s="477"/>
      <c r="B22" s="228" t="s">
        <v>289</v>
      </c>
      <c r="C22" s="223" t="s">
        <v>101</v>
      </c>
      <c r="D22" s="49">
        <f>'Attribution Assumptions'!D6</f>
        <v>1</v>
      </c>
      <c r="E22" s="49">
        <f>'Attribution Assumptions'!E6</f>
        <v>1</v>
      </c>
      <c r="F22" s="49">
        <f>'Attribution Assumptions'!F6</f>
        <v>1</v>
      </c>
      <c r="G22" s="49">
        <f>'Attribution Assumptions'!G6</f>
        <v>1</v>
      </c>
      <c r="H22" s="49">
        <f>'Attribution Assumptions'!H6</f>
        <v>1</v>
      </c>
      <c r="I22" s="49">
        <f>'Attribution Assumptions'!I6</f>
        <v>1</v>
      </c>
      <c r="J22" s="49">
        <f>'Attribution Assumptions'!J6</f>
        <v>1</v>
      </c>
      <c r="K22" s="49">
        <f>'Attribution Assumptions'!K6</f>
        <v>1</v>
      </c>
      <c r="L22" s="14">
        <f>'Attribution Assumptions'!L6</f>
        <v>1</v>
      </c>
      <c r="M22" s="14">
        <f>'Attribution Assumptions'!M6</f>
        <v>1</v>
      </c>
      <c r="N22" s="14">
        <f>'Attribution Assumptions'!N6</f>
        <v>1</v>
      </c>
      <c r="O22" s="14">
        <f>'Attribution Assumptions'!O6</f>
        <v>1</v>
      </c>
      <c r="P22" s="14">
        <f>'Attribution Assumptions'!P6</f>
        <v>1</v>
      </c>
      <c r="Q22" s="14">
        <f>'Attribution Assumptions'!Q6</f>
        <v>1</v>
      </c>
      <c r="R22" s="14">
        <f>'Attribution Assumptions'!R6</f>
        <v>1</v>
      </c>
      <c r="S22" s="14">
        <f>'Attribution Assumptions'!S6</f>
        <v>1</v>
      </c>
      <c r="T22" s="14">
        <f>'Attribution Assumptions'!T6</f>
        <v>1</v>
      </c>
      <c r="U22" s="14">
        <f>'Attribution Assumptions'!U6</f>
        <v>1</v>
      </c>
      <c r="V22" s="14">
        <f>'Attribution Assumptions'!V6</f>
        <v>1</v>
      </c>
      <c r="W22" s="14">
        <f>'Attribution Assumptions'!W6</f>
        <v>1</v>
      </c>
      <c r="X22" s="14">
        <f>'Attribution Assumptions'!X6</f>
        <v>1</v>
      </c>
      <c r="Y22" s="14">
        <f>'Attribution Assumptions'!Y6</f>
        <v>1</v>
      </c>
      <c r="Z22" s="14">
        <f>'Attribution Assumptions'!Z6</f>
        <v>1</v>
      </c>
      <c r="AA22" s="14">
        <f>'Attribution Assumptions'!AA6</f>
        <v>1</v>
      </c>
      <c r="AB22" s="14">
        <f>'Attribution Assumptions'!AB6</f>
        <v>1</v>
      </c>
    </row>
    <row r="23" spans="1:28" ht="15" customHeight="1">
      <c r="A23" s="477"/>
      <c r="B23" s="228" t="s">
        <v>118</v>
      </c>
      <c r="C23" s="223" t="s">
        <v>101</v>
      </c>
      <c r="D23" s="49">
        <f>'Attribution Assumptions'!D10</f>
        <v>0</v>
      </c>
      <c r="E23" s="49">
        <f>'Attribution Assumptions'!E10</f>
        <v>0</v>
      </c>
      <c r="F23" s="49">
        <f>'Attribution Assumptions'!F10</f>
        <v>0</v>
      </c>
      <c r="G23" s="49">
        <f>'Attribution Assumptions'!G10</f>
        <v>0</v>
      </c>
      <c r="H23" s="49">
        <f>'Attribution Assumptions'!H10</f>
        <v>0</v>
      </c>
      <c r="I23" s="49">
        <f>'Attribution Assumptions'!I10</f>
        <v>0</v>
      </c>
      <c r="J23" s="49">
        <f>'Attribution Assumptions'!J10</f>
        <v>0</v>
      </c>
      <c r="K23" s="49">
        <f>'Attribution Assumptions'!K10</f>
        <v>0</v>
      </c>
      <c r="L23" s="14">
        <f>'Attribution Assumptions'!L10</f>
        <v>0</v>
      </c>
      <c r="M23" s="14">
        <f>'Attribution Assumptions'!M10</f>
        <v>0</v>
      </c>
      <c r="N23" s="14">
        <f>'Attribution Assumptions'!N10</f>
        <v>0</v>
      </c>
      <c r="O23" s="14">
        <f>'Attribution Assumptions'!O10</f>
        <v>0</v>
      </c>
      <c r="P23" s="14">
        <f>'Attribution Assumptions'!P10</f>
        <v>0</v>
      </c>
      <c r="Q23" s="14">
        <f>'Attribution Assumptions'!Q10</f>
        <v>0</v>
      </c>
      <c r="R23" s="14">
        <f>'Attribution Assumptions'!R10</f>
        <v>0</v>
      </c>
      <c r="S23" s="14">
        <f>'Attribution Assumptions'!S10</f>
        <v>0</v>
      </c>
      <c r="T23" s="14">
        <f>'Attribution Assumptions'!T10</f>
        <v>0</v>
      </c>
      <c r="U23" s="14">
        <f>'Attribution Assumptions'!U10</f>
        <v>0</v>
      </c>
      <c r="V23" s="14">
        <f>'Attribution Assumptions'!V10</f>
        <v>0</v>
      </c>
      <c r="W23" s="14">
        <f>'Attribution Assumptions'!W10</f>
        <v>0</v>
      </c>
      <c r="X23" s="14">
        <f>'Attribution Assumptions'!X10</f>
        <v>0</v>
      </c>
      <c r="Y23" s="14">
        <f>'Attribution Assumptions'!Y10</f>
        <v>0</v>
      </c>
      <c r="Z23" s="14">
        <f>'Attribution Assumptions'!Z10</f>
        <v>0</v>
      </c>
      <c r="AA23" s="14">
        <f>'Attribution Assumptions'!AA10</f>
        <v>0</v>
      </c>
      <c r="AB23" s="14">
        <f>'Attribution Assumptions'!AB10</f>
        <v>0</v>
      </c>
    </row>
    <row r="24" spans="1:28" ht="15" customHeight="1">
      <c r="A24" s="477"/>
      <c r="B24" s="228" t="s">
        <v>9</v>
      </c>
      <c r="C24" s="223" t="s">
        <v>101</v>
      </c>
      <c r="D24" s="49">
        <f>'Attribution Assumptions'!D11</f>
        <v>1</v>
      </c>
      <c r="E24" s="49">
        <f>'Attribution Assumptions'!E11</f>
        <v>1</v>
      </c>
      <c r="F24" s="49">
        <f>'Attribution Assumptions'!F11</f>
        <v>1</v>
      </c>
      <c r="G24" s="49">
        <f>'Attribution Assumptions'!G11</f>
        <v>1</v>
      </c>
      <c r="H24" s="49">
        <f>'Attribution Assumptions'!H11</f>
        <v>1</v>
      </c>
      <c r="I24" s="49">
        <f>'Attribution Assumptions'!I11</f>
        <v>1</v>
      </c>
      <c r="J24" s="49">
        <f>'Attribution Assumptions'!J11</f>
        <v>1</v>
      </c>
      <c r="K24" s="49">
        <f>'Attribution Assumptions'!K11</f>
        <v>1</v>
      </c>
      <c r="L24" s="14">
        <f>'Attribution Assumptions'!L11</f>
        <v>1</v>
      </c>
      <c r="M24" s="14">
        <f>'Attribution Assumptions'!M11</f>
        <v>1</v>
      </c>
      <c r="N24" s="14">
        <f>'Attribution Assumptions'!N11</f>
        <v>1</v>
      </c>
      <c r="O24" s="14">
        <f>'Attribution Assumptions'!O11</f>
        <v>1</v>
      </c>
      <c r="P24" s="14">
        <f>'Attribution Assumptions'!P11</f>
        <v>1</v>
      </c>
      <c r="Q24" s="14">
        <f>'Attribution Assumptions'!Q11</f>
        <v>1</v>
      </c>
      <c r="R24" s="14">
        <f>'Attribution Assumptions'!R11</f>
        <v>1</v>
      </c>
      <c r="S24" s="14">
        <f>'Attribution Assumptions'!S11</f>
        <v>1</v>
      </c>
      <c r="T24" s="14">
        <f>'Attribution Assumptions'!T11</f>
        <v>1</v>
      </c>
      <c r="U24" s="14">
        <f>'Attribution Assumptions'!U11</f>
        <v>1</v>
      </c>
      <c r="V24" s="14">
        <f>'Attribution Assumptions'!V11</f>
        <v>1</v>
      </c>
      <c r="W24" s="14">
        <f>'Attribution Assumptions'!W11</f>
        <v>1</v>
      </c>
      <c r="X24" s="14">
        <f>'Attribution Assumptions'!X11</f>
        <v>1</v>
      </c>
      <c r="Y24" s="14">
        <f>'Attribution Assumptions'!Y11</f>
        <v>1</v>
      </c>
      <c r="Z24" s="14">
        <f>'Attribution Assumptions'!Z11</f>
        <v>1</v>
      </c>
      <c r="AA24" s="14">
        <f>'Attribution Assumptions'!AA11</f>
        <v>1</v>
      </c>
      <c r="AB24" s="14">
        <f>'Attribution Assumptions'!AB11</f>
        <v>1</v>
      </c>
    </row>
    <row r="25" spans="1:28" ht="15" customHeight="1">
      <c r="A25" s="477"/>
      <c r="B25" s="228" t="s">
        <v>34</v>
      </c>
      <c r="C25" s="223" t="s">
        <v>101</v>
      </c>
      <c r="D25" s="49">
        <f>'Attribution Assumptions'!D12</f>
        <v>1</v>
      </c>
      <c r="E25" s="49">
        <f>'Attribution Assumptions'!E12</f>
        <v>1</v>
      </c>
      <c r="F25" s="49">
        <f>'Attribution Assumptions'!F12</f>
        <v>1</v>
      </c>
      <c r="G25" s="49">
        <f>'Attribution Assumptions'!G12</f>
        <v>1</v>
      </c>
      <c r="H25" s="49">
        <f>'Attribution Assumptions'!H12</f>
        <v>1</v>
      </c>
      <c r="I25" s="49">
        <f>'Attribution Assumptions'!I12</f>
        <v>1</v>
      </c>
      <c r="J25" s="49">
        <f>'Attribution Assumptions'!J12</f>
        <v>1</v>
      </c>
      <c r="K25" s="49">
        <f>'Attribution Assumptions'!K12</f>
        <v>1</v>
      </c>
      <c r="L25" s="14">
        <f>'Attribution Assumptions'!L12</f>
        <v>1</v>
      </c>
      <c r="M25" s="14">
        <f>'Attribution Assumptions'!M12</f>
        <v>1</v>
      </c>
      <c r="N25" s="14">
        <f>'Attribution Assumptions'!N12</f>
        <v>1</v>
      </c>
      <c r="O25" s="14">
        <f>'Attribution Assumptions'!O12</f>
        <v>1</v>
      </c>
      <c r="P25" s="14">
        <f>'Attribution Assumptions'!P12</f>
        <v>1</v>
      </c>
      <c r="Q25" s="14">
        <f>'Attribution Assumptions'!Q12</f>
        <v>1</v>
      </c>
      <c r="R25" s="14">
        <f>'Attribution Assumptions'!R12</f>
        <v>1</v>
      </c>
      <c r="S25" s="14">
        <f>'Attribution Assumptions'!S12</f>
        <v>1</v>
      </c>
      <c r="T25" s="14">
        <f>'Attribution Assumptions'!T12</f>
        <v>1</v>
      </c>
      <c r="U25" s="14">
        <f>'Attribution Assumptions'!U12</f>
        <v>1</v>
      </c>
      <c r="V25" s="14">
        <f>'Attribution Assumptions'!V12</f>
        <v>1</v>
      </c>
      <c r="W25" s="14">
        <f>'Attribution Assumptions'!W12</f>
        <v>1</v>
      </c>
      <c r="X25" s="14">
        <f>'Attribution Assumptions'!X12</f>
        <v>1</v>
      </c>
      <c r="Y25" s="14">
        <f>'Attribution Assumptions'!Y12</f>
        <v>1</v>
      </c>
      <c r="Z25" s="14">
        <f>'Attribution Assumptions'!Z12</f>
        <v>1</v>
      </c>
      <c r="AA25" s="14">
        <f>'Attribution Assumptions'!AA12</f>
        <v>1</v>
      </c>
      <c r="AB25" s="14">
        <f>'Attribution Assumptions'!AB12</f>
        <v>1</v>
      </c>
    </row>
    <row r="26" spans="1:28" ht="15" customHeight="1">
      <c r="A26" s="477"/>
      <c r="B26" s="228" t="s">
        <v>33</v>
      </c>
      <c r="C26" s="223" t="s">
        <v>101</v>
      </c>
      <c r="D26" s="49">
        <f>'Attribution Assumptions'!D13</f>
        <v>1</v>
      </c>
      <c r="E26" s="49">
        <f>'Attribution Assumptions'!E13</f>
        <v>1</v>
      </c>
      <c r="F26" s="49">
        <f>'Attribution Assumptions'!F13</f>
        <v>1</v>
      </c>
      <c r="G26" s="49">
        <f>'Attribution Assumptions'!G13</f>
        <v>1</v>
      </c>
      <c r="H26" s="49">
        <f>'Attribution Assumptions'!H13</f>
        <v>1</v>
      </c>
      <c r="I26" s="49">
        <f>'Attribution Assumptions'!I13</f>
        <v>1</v>
      </c>
      <c r="J26" s="49">
        <f>'Attribution Assumptions'!J13</f>
        <v>1</v>
      </c>
      <c r="K26" s="49">
        <f>'Attribution Assumptions'!K13</f>
        <v>1</v>
      </c>
      <c r="L26" s="14">
        <f>'Attribution Assumptions'!L13</f>
        <v>1</v>
      </c>
      <c r="M26" s="14">
        <f>'Attribution Assumptions'!M13</f>
        <v>1</v>
      </c>
      <c r="N26" s="14">
        <f>'Attribution Assumptions'!N13</f>
        <v>1</v>
      </c>
      <c r="O26" s="14">
        <f>'Attribution Assumptions'!O13</f>
        <v>1</v>
      </c>
      <c r="P26" s="14">
        <f>'Attribution Assumptions'!P13</f>
        <v>1</v>
      </c>
      <c r="Q26" s="14">
        <f>'Attribution Assumptions'!Q13</f>
        <v>1</v>
      </c>
      <c r="R26" s="14">
        <f>'Attribution Assumptions'!R13</f>
        <v>1</v>
      </c>
      <c r="S26" s="14">
        <f>'Attribution Assumptions'!S13</f>
        <v>1</v>
      </c>
      <c r="T26" s="14">
        <f>'Attribution Assumptions'!T13</f>
        <v>1</v>
      </c>
      <c r="U26" s="14">
        <f>'Attribution Assumptions'!U13</f>
        <v>1</v>
      </c>
      <c r="V26" s="14">
        <f>'Attribution Assumptions'!V13</f>
        <v>1</v>
      </c>
      <c r="W26" s="14">
        <f>'Attribution Assumptions'!W13</f>
        <v>1</v>
      </c>
      <c r="X26" s="14">
        <f>'Attribution Assumptions'!X13</f>
        <v>1</v>
      </c>
      <c r="Y26" s="14">
        <f>'Attribution Assumptions'!Y13</f>
        <v>1</v>
      </c>
      <c r="Z26" s="14">
        <f>'Attribution Assumptions'!Z13</f>
        <v>1</v>
      </c>
      <c r="AA26" s="14">
        <f>'Attribution Assumptions'!AA13</f>
        <v>1</v>
      </c>
      <c r="AB26" s="14">
        <f>'Attribution Assumptions'!AB13</f>
        <v>1</v>
      </c>
    </row>
    <row r="27" spans="1:28" ht="15" customHeight="1">
      <c r="A27" s="477"/>
      <c r="B27" s="228" t="s">
        <v>290</v>
      </c>
      <c r="C27" s="223" t="s">
        <v>101</v>
      </c>
      <c r="D27" s="49">
        <f>'Attribution Assumptions'!D14</f>
        <v>1</v>
      </c>
      <c r="E27" s="49">
        <f>'Attribution Assumptions'!E14</f>
        <v>1</v>
      </c>
      <c r="F27" s="49">
        <f>'Attribution Assumptions'!F14</f>
        <v>1</v>
      </c>
      <c r="G27" s="49">
        <f>'Attribution Assumptions'!G14</f>
        <v>1</v>
      </c>
      <c r="H27" s="49">
        <f>'Attribution Assumptions'!H14</f>
        <v>1</v>
      </c>
      <c r="I27" s="49">
        <f>'Attribution Assumptions'!I14</f>
        <v>1</v>
      </c>
      <c r="J27" s="49">
        <f>'Attribution Assumptions'!J14</f>
        <v>1</v>
      </c>
      <c r="K27" s="49">
        <f>'Attribution Assumptions'!K14</f>
        <v>1</v>
      </c>
      <c r="L27" s="49">
        <f>'Attribution Assumptions'!L14</f>
        <v>1</v>
      </c>
      <c r="M27" s="49">
        <f>'Attribution Assumptions'!M14</f>
        <v>1</v>
      </c>
      <c r="N27" s="49">
        <f>'Attribution Assumptions'!N14</f>
        <v>1</v>
      </c>
      <c r="O27" s="49">
        <f>'Attribution Assumptions'!O14</f>
        <v>1</v>
      </c>
      <c r="P27" s="49">
        <f>'Attribution Assumptions'!P14</f>
        <v>1</v>
      </c>
      <c r="Q27" s="49">
        <f>'Attribution Assumptions'!Q14</f>
        <v>1</v>
      </c>
      <c r="R27" s="49">
        <f>'Attribution Assumptions'!R14</f>
        <v>1</v>
      </c>
      <c r="S27" s="49">
        <f>'Attribution Assumptions'!S14</f>
        <v>1</v>
      </c>
      <c r="T27" s="49">
        <f>'Attribution Assumptions'!T14</f>
        <v>1</v>
      </c>
      <c r="U27" s="49">
        <f>'Attribution Assumptions'!U14</f>
        <v>1</v>
      </c>
      <c r="V27" s="49">
        <f>'Attribution Assumptions'!V14</f>
        <v>1</v>
      </c>
      <c r="W27" s="49">
        <f>'Attribution Assumptions'!W14</f>
        <v>1</v>
      </c>
      <c r="X27" s="49">
        <f>'Attribution Assumptions'!X14</f>
        <v>1</v>
      </c>
      <c r="Y27" s="49">
        <f>'Attribution Assumptions'!Y14</f>
        <v>1</v>
      </c>
      <c r="Z27" s="49">
        <f>'Attribution Assumptions'!Z14</f>
        <v>1</v>
      </c>
      <c r="AA27" s="49">
        <f>'Attribution Assumptions'!AA14</f>
        <v>1</v>
      </c>
      <c r="AB27" s="49">
        <f>'Attribution Assumptions'!AB14</f>
        <v>1</v>
      </c>
    </row>
    <row r="28" spans="1:28" ht="15" customHeight="1">
      <c r="A28" s="477"/>
      <c r="B28" s="228" t="s">
        <v>14</v>
      </c>
      <c r="C28" s="223" t="s">
        <v>101</v>
      </c>
      <c r="D28" s="49">
        <f>'Attribution Assumptions'!D18</f>
        <v>0</v>
      </c>
      <c r="E28" s="49">
        <f>'Attribution Assumptions'!E18</f>
        <v>0</v>
      </c>
      <c r="F28" s="49">
        <f>'Attribution Assumptions'!F18</f>
        <v>0</v>
      </c>
      <c r="G28" s="49">
        <f>'Attribution Assumptions'!G18</f>
        <v>0</v>
      </c>
      <c r="H28" s="49">
        <f>'Attribution Assumptions'!H18</f>
        <v>0</v>
      </c>
      <c r="I28" s="49">
        <f>'Attribution Assumptions'!I18</f>
        <v>0</v>
      </c>
      <c r="J28" s="49">
        <f>'Attribution Assumptions'!J18</f>
        <v>0</v>
      </c>
      <c r="K28" s="49">
        <f>'Attribution Assumptions'!K18</f>
        <v>0</v>
      </c>
      <c r="L28" s="14">
        <f>'Attribution Assumptions'!L18</f>
        <v>0</v>
      </c>
      <c r="M28" s="14">
        <f>'Attribution Assumptions'!M18</f>
        <v>0</v>
      </c>
      <c r="N28" s="14">
        <f>'Attribution Assumptions'!N18</f>
        <v>0</v>
      </c>
      <c r="O28" s="14">
        <f>'Attribution Assumptions'!O18</f>
        <v>0</v>
      </c>
      <c r="P28" s="14">
        <f>'Attribution Assumptions'!P18</f>
        <v>0</v>
      </c>
      <c r="Q28" s="14">
        <f>'Attribution Assumptions'!Q18</f>
        <v>0</v>
      </c>
      <c r="R28" s="14">
        <f>'Attribution Assumptions'!R18</f>
        <v>0</v>
      </c>
      <c r="S28" s="14">
        <f>'Attribution Assumptions'!S18</f>
        <v>0</v>
      </c>
      <c r="T28" s="14">
        <f>'Attribution Assumptions'!T18</f>
        <v>0</v>
      </c>
      <c r="U28" s="14">
        <f>'Attribution Assumptions'!U18</f>
        <v>0</v>
      </c>
      <c r="V28" s="14">
        <f>'Attribution Assumptions'!V18</f>
        <v>0</v>
      </c>
      <c r="W28" s="14">
        <f>'Attribution Assumptions'!W18</f>
        <v>0</v>
      </c>
      <c r="X28" s="14">
        <f>'Attribution Assumptions'!X18</f>
        <v>0</v>
      </c>
      <c r="Y28" s="14">
        <f>'Attribution Assumptions'!Y18</f>
        <v>0</v>
      </c>
      <c r="Z28" s="14">
        <f>'Attribution Assumptions'!Z18</f>
        <v>0</v>
      </c>
      <c r="AA28" s="14">
        <f>'Attribution Assumptions'!AA18</f>
        <v>0</v>
      </c>
      <c r="AB28" s="14">
        <f>'Attribution Assumptions'!AB18</f>
        <v>0</v>
      </c>
    </row>
    <row r="29" spans="1:28" ht="15" customHeight="1">
      <c r="A29" s="477"/>
      <c r="B29" s="228" t="s">
        <v>108</v>
      </c>
      <c r="C29" s="223" t="s">
        <v>101</v>
      </c>
      <c r="D29" s="49">
        <f>'Attribution Assumptions'!D19</f>
        <v>0</v>
      </c>
      <c r="E29" s="49">
        <f>'Attribution Assumptions'!E19</f>
        <v>0</v>
      </c>
      <c r="F29" s="49">
        <f>'Attribution Assumptions'!F19</f>
        <v>0</v>
      </c>
      <c r="G29" s="49">
        <f>'Attribution Assumptions'!G19</f>
        <v>0</v>
      </c>
      <c r="H29" s="49">
        <f>'Attribution Assumptions'!H19</f>
        <v>0</v>
      </c>
      <c r="I29" s="49">
        <f>'Attribution Assumptions'!I19</f>
        <v>0</v>
      </c>
      <c r="J29" s="49">
        <f>'Attribution Assumptions'!J19</f>
        <v>0</v>
      </c>
      <c r="K29" s="49">
        <f>'Attribution Assumptions'!K19</f>
        <v>0</v>
      </c>
      <c r="L29" s="14">
        <f>'Attribution Assumptions'!L19</f>
        <v>0</v>
      </c>
      <c r="M29" s="14">
        <f>'Attribution Assumptions'!M19</f>
        <v>0</v>
      </c>
      <c r="N29" s="14">
        <f>'Attribution Assumptions'!N19</f>
        <v>0</v>
      </c>
      <c r="O29" s="14">
        <f>'Attribution Assumptions'!O19</f>
        <v>0</v>
      </c>
      <c r="P29" s="14">
        <f>'Attribution Assumptions'!P19</f>
        <v>0</v>
      </c>
      <c r="Q29" s="14">
        <f>'Attribution Assumptions'!Q19</f>
        <v>0</v>
      </c>
      <c r="R29" s="14">
        <f>'Attribution Assumptions'!R19</f>
        <v>0</v>
      </c>
      <c r="S29" s="14">
        <f>'Attribution Assumptions'!S19</f>
        <v>0</v>
      </c>
      <c r="T29" s="14">
        <f>'Attribution Assumptions'!T19</f>
        <v>0</v>
      </c>
      <c r="U29" s="14">
        <f>'Attribution Assumptions'!U19</f>
        <v>0</v>
      </c>
      <c r="V29" s="14">
        <f>'Attribution Assumptions'!V19</f>
        <v>0</v>
      </c>
      <c r="W29" s="14">
        <f>'Attribution Assumptions'!W19</f>
        <v>0</v>
      </c>
      <c r="X29" s="14">
        <f>'Attribution Assumptions'!X19</f>
        <v>0</v>
      </c>
      <c r="Y29" s="14">
        <f>'Attribution Assumptions'!Y19</f>
        <v>0</v>
      </c>
      <c r="Z29" s="14">
        <f>'Attribution Assumptions'!Z19</f>
        <v>0</v>
      </c>
      <c r="AA29" s="14">
        <f>'Attribution Assumptions'!AA19</f>
        <v>0</v>
      </c>
      <c r="AB29" s="14">
        <f>'Attribution Assumptions'!AB19</f>
        <v>0</v>
      </c>
    </row>
    <row r="30" spans="1:28" ht="15" customHeight="1">
      <c r="A30" s="477"/>
      <c r="B30" s="228" t="s">
        <v>122</v>
      </c>
      <c r="C30" s="223" t="s">
        <v>101</v>
      </c>
      <c r="D30" s="49">
        <f>'Attribution Assumptions'!D20</f>
        <v>1</v>
      </c>
      <c r="E30" s="49">
        <f>'Attribution Assumptions'!E20</f>
        <v>1</v>
      </c>
      <c r="F30" s="49">
        <f>'Attribution Assumptions'!F20</f>
        <v>1</v>
      </c>
      <c r="G30" s="49">
        <f>'Attribution Assumptions'!G20</f>
        <v>1</v>
      </c>
      <c r="H30" s="49">
        <f>'Attribution Assumptions'!H20</f>
        <v>1</v>
      </c>
      <c r="I30" s="49">
        <f>'Attribution Assumptions'!I20</f>
        <v>1</v>
      </c>
      <c r="J30" s="49">
        <f>'Attribution Assumptions'!J20</f>
        <v>1</v>
      </c>
      <c r="K30" s="49">
        <f>'Attribution Assumptions'!K20</f>
        <v>1</v>
      </c>
      <c r="L30" s="14">
        <f>'Attribution Assumptions'!L20</f>
        <v>1</v>
      </c>
      <c r="M30" s="14">
        <f>'Attribution Assumptions'!M20</f>
        <v>1</v>
      </c>
      <c r="N30" s="14">
        <f>'Attribution Assumptions'!N20</f>
        <v>1</v>
      </c>
      <c r="O30" s="14">
        <f>'Attribution Assumptions'!O20</f>
        <v>1</v>
      </c>
      <c r="P30" s="14">
        <f>'Attribution Assumptions'!P20</f>
        <v>1</v>
      </c>
      <c r="Q30" s="14">
        <f>'Attribution Assumptions'!Q20</f>
        <v>1</v>
      </c>
      <c r="R30" s="14">
        <f>'Attribution Assumptions'!R20</f>
        <v>1</v>
      </c>
      <c r="S30" s="14">
        <f>'Attribution Assumptions'!S20</f>
        <v>1</v>
      </c>
      <c r="T30" s="14">
        <f>'Attribution Assumptions'!T20</f>
        <v>1</v>
      </c>
      <c r="U30" s="14">
        <f>'Attribution Assumptions'!U20</f>
        <v>1</v>
      </c>
      <c r="V30" s="14">
        <f>'Attribution Assumptions'!V20</f>
        <v>1</v>
      </c>
      <c r="W30" s="14">
        <f>'Attribution Assumptions'!W20</f>
        <v>1</v>
      </c>
      <c r="X30" s="14">
        <f>'Attribution Assumptions'!X20</f>
        <v>1</v>
      </c>
      <c r="Y30" s="14">
        <f>'Attribution Assumptions'!Y20</f>
        <v>1</v>
      </c>
      <c r="Z30" s="14">
        <f>'Attribution Assumptions'!Z20</f>
        <v>1</v>
      </c>
      <c r="AA30" s="14">
        <f>'Attribution Assumptions'!AA20</f>
        <v>1</v>
      </c>
      <c r="AB30" s="14">
        <f>'Attribution Assumptions'!AB20</f>
        <v>1</v>
      </c>
    </row>
    <row r="31" spans="1:28" ht="15" customHeight="1">
      <c r="A31" s="477"/>
      <c r="B31" s="229" t="s">
        <v>123</v>
      </c>
      <c r="C31" s="223" t="s">
        <v>101</v>
      </c>
      <c r="D31" s="49">
        <f>'Attribution Assumptions'!D21</f>
        <v>1</v>
      </c>
      <c r="E31" s="49">
        <f>'Attribution Assumptions'!E21</f>
        <v>1</v>
      </c>
      <c r="F31" s="49">
        <f>'Attribution Assumptions'!F21</f>
        <v>1</v>
      </c>
      <c r="G31" s="49">
        <f>'Attribution Assumptions'!G21</f>
        <v>1</v>
      </c>
      <c r="H31" s="49">
        <f>'Attribution Assumptions'!H21</f>
        <v>1</v>
      </c>
      <c r="I31" s="49">
        <f>'Attribution Assumptions'!I21</f>
        <v>1</v>
      </c>
      <c r="J31" s="49">
        <f>'Attribution Assumptions'!J21</f>
        <v>1</v>
      </c>
      <c r="K31" s="49">
        <f>'Attribution Assumptions'!K21</f>
        <v>1</v>
      </c>
      <c r="L31" s="14">
        <f>'Attribution Assumptions'!L21</f>
        <v>1</v>
      </c>
      <c r="M31" s="14">
        <f>'Attribution Assumptions'!M21</f>
        <v>1</v>
      </c>
      <c r="N31" s="14">
        <f>'Attribution Assumptions'!N21</f>
        <v>1</v>
      </c>
      <c r="O31" s="14">
        <f>'Attribution Assumptions'!O21</f>
        <v>1</v>
      </c>
      <c r="P31" s="14">
        <f>'Attribution Assumptions'!P21</f>
        <v>1</v>
      </c>
      <c r="Q31" s="14">
        <f>'Attribution Assumptions'!Q21</f>
        <v>1</v>
      </c>
      <c r="R31" s="14">
        <f>'Attribution Assumptions'!R21</f>
        <v>1</v>
      </c>
      <c r="S31" s="14">
        <f>'Attribution Assumptions'!S21</f>
        <v>1</v>
      </c>
      <c r="T31" s="14">
        <f>'Attribution Assumptions'!T21</f>
        <v>1</v>
      </c>
      <c r="U31" s="14">
        <f>'Attribution Assumptions'!U21</f>
        <v>1</v>
      </c>
      <c r="V31" s="14">
        <f>'Attribution Assumptions'!V21</f>
        <v>1</v>
      </c>
      <c r="W31" s="14">
        <f>'Attribution Assumptions'!W21</f>
        <v>1</v>
      </c>
      <c r="X31" s="14">
        <f>'Attribution Assumptions'!X21</f>
        <v>1</v>
      </c>
      <c r="Y31" s="14">
        <f>'Attribution Assumptions'!Y21</f>
        <v>1</v>
      </c>
      <c r="Z31" s="14">
        <f>'Attribution Assumptions'!Z21</f>
        <v>1</v>
      </c>
      <c r="AA31" s="14">
        <f>'Attribution Assumptions'!AA21</f>
        <v>1</v>
      </c>
      <c r="AB31" s="14">
        <f>'Attribution Assumptions'!AB21</f>
        <v>1</v>
      </c>
    </row>
    <row r="32" spans="1:28" ht="15" customHeight="1">
      <c r="A32" s="477"/>
      <c r="B32" s="229" t="s">
        <v>124</v>
      </c>
      <c r="C32" s="223" t="s">
        <v>101</v>
      </c>
      <c r="D32" s="49">
        <f>'Attribution Assumptions'!D22</f>
        <v>1</v>
      </c>
      <c r="E32" s="49">
        <f>'Attribution Assumptions'!E22</f>
        <v>1</v>
      </c>
      <c r="F32" s="49">
        <f>'Attribution Assumptions'!F22</f>
        <v>1</v>
      </c>
      <c r="G32" s="49">
        <f>'Attribution Assumptions'!G22</f>
        <v>1</v>
      </c>
      <c r="H32" s="49">
        <f>'Attribution Assumptions'!H22</f>
        <v>1</v>
      </c>
      <c r="I32" s="49">
        <f>'Attribution Assumptions'!I22</f>
        <v>1</v>
      </c>
      <c r="J32" s="49">
        <f>'Attribution Assumptions'!J22</f>
        <v>1</v>
      </c>
      <c r="K32" s="49">
        <f>'Attribution Assumptions'!K22</f>
        <v>1</v>
      </c>
      <c r="L32" s="14">
        <f>'Attribution Assumptions'!L22</f>
        <v>1</v>
      </c>
      <c r="M32" s="14">
        <f>'Attribution Assumptions'!M22</f>
        <v>1</v>
      </c>
      <c r="N32" s="14">
        <f>'Attribution Assumptions'!N22</f>
        <v>1</v>
      </c>
      <c r="O32" s="14">
        <f>'Attribution Assumptions'!O22</f>
        <v>1</v>
      </c>
      <c r="P32" s="14">
        <f>'Attribution Assumptions'!P22</f>
        <v>1</v>
      </c>
      <c r="Q32" s="14">
        <f>'Attribution Assumptions'!Q22</f>
        <v>1</v>
      </c>
      <c r="R32" s="14">
        <f>'Attribution Assumptions'!R22</f>
        <v>1</v>
      </c>
      <c r="S32" s="14">
        <f>'Attribution Assumptions'!S22</f>
        <v>1</v>
      </c>
      <c r="T32" s="14">
        <f>'Attribution Assumptions'!T22</f>
        <v>1</v>
      </c>
      <c r="U32" s="14">
        <f>'Attribution Assumptions'!U22</f>
        <v>1</v>
      </c>
      <c r="V32" s="14">
        <f>'Attribution Assumptions'!V22</f>
        <v>1</v>
      </c>
      <c r="W32" s="14">
        <f>'Attribution Assumptions'!W22</f>
        <v>1</v>
      </c>
      <c r="X32" s="14">
        <f>'Attribution Assumptions'!X22</f>
        <v>1</v>
      </c>
      <c r="Y32" s="14">
        <f>'Attribution Assumptions'!Y22</f>
        <v>1</v>
      </c>
      <c r="Z32" s="14">
        <f>'Attribution Assumptions'!Z22</f>
        <v>1</v>
      </c>
      <c r="AA32" s="14">
        <f>'Attribution Assumptions'!AA22</f>
        <v>1</v>
      </c>
      <c r="AB32" s="14">
        <f>'Attribution Assumptions'!AB22</f>
        <v>1</v>
      </c>
    </row>
    <row r="33" spans="1:59" ht="15" customHeight="1">
      <c r="A33" s="477"/>
      <c r="B33" s="230" t="s">
        <v>218</v>
      </c>
      <c r="C33" s="225" t="s">
        <v>101</v>
      </c>
      <c r="D33" s="49">
        <f>'Attribution Assumptions'!D24</f>
        <v>0</v>
      </c>
      <c r="E33" s="49">
        <f>'Attribution Assumptions'!E24</f>
        <v>0</v>
      </c>
      <c r="F33" s="49">
        <f>'Attribution Assumptions'!F24</f>
        <v>0</v>
      </c>
      <c r="G33" s="49">
        <f>'Attribution Assumptions'!G24</f>
        <v>0</v>
      </c>
      <c r="H33" s="49">
        <f>'Attribution Assumptions'!H24</f>
        <v>0</v>
      </c>
      <c r="I33" s="49">
        <f>'Attribution Assumptions'!I24</f>
        <v>0</v>
      </c>
      <c r="J33" s="49">
        <f>'Attribution Assumptions'!J24</f>
        <v>0</v>
      </c>
      <c r="K33" s="49">
        <f>'Attribution Assumptions'!K24</f>
        <v>0</v>
      </c>
      <c r="L33" s="14">
        <f>'Attribution Assumptions'!L24</f>
        <v>0</v>
      </c>
      <c r="M33" s="14">
        <f>'Attribution Assumptions'!M24</f>
        <v>0</v>
      </c>
      <c r="N33" s="14">
        <f>'Attribution Assumptions'!N24</f>
        <v>0</v>
      </c>
      <c r="O33" s="14">
        <f>'Attribution Assumptions'!O24</f>
        <v>0</v>
      </c>
      <c r="P33" s="14">
        <f>'Attribution Assumptions'!P24</f>
        <v>0</v>
      </c>
      <c r="Q33" s="14">
        <f>'Attribution Assumptions'!Q24</f>
        <v>0</v>
      </c>
      <c r="R33" s="14">
        <f>'Attribution Assumptions'!R24</f>
        <v>0</v>
      </c>
      <c r="S33" s="14">
        <f>'Attribution Assumptions'!S24</f>
        <v>0</v>
      </c>
      <c r="T33" s="14">
        <f>'Attribution Assumptions'!T24</f>
        <v>0</v>
      </c>
      <c r="U33" s="14">
        <f>'Attribution Assumptions'!U24</f>
        <v>0</v>
      </c>
      <c r="V33" s="14">
        <f>'Attribution Assumptions'!V24</f>
        <v>0</v>
      </c>
      <c r="W33" s="14">
        <f>'Attribution Assumptions'!W24</f>
        <v>0</v>
      </c>
      <c r="X33" s="14">
        <f>'Attribution Assumptions'!X24</f>
        <v>0</v>
      </c>
      <c r="Y33" s="14">
        <f>'Attribution Assumptions'!Y24</f>
        <v>0</v>
      </c>
      <c r="Z33" s="14">
        <f>'Attribution Assumptions'!Z24</f>
        <v>0</v>
      </c>
      <c r="AA33" s="14">
        <f>'Attribution Assumptions'!AA24</f>
        <v>0</v>
      </c>
      <c r="AB33" s="14">
        <f>'Attribution Assumptions'!AB24</f>
        <v>0</v>
      </c>
    </row>
    <row r="34" spans="1:59" ht="15.75" thickBot="1"/>
    <row r="35" spans="1:59" ht="15" customHeight="1">
      <c r="A35" s="475" t="s">
        <v>291</v>
      </c>
      <c r="B35" s="78" t="s">
        <v>3</v>
      </c>
      <c r="C35" s="117" t="s">
        <v>1</v>
      </c>
      <c r="D35" s="115">
        <v>2022</v>
      </c>
      <c r="E35" s="115">
        <v>2023</v>
      </c>
      <c r="F35" s="115">
        <v>2024</v>
      </c>
      <c r="G35" s="115">
        <v>2025</v>
      </c>
      <c r="H35" s="115">
        <v>2026</v>
      </c>
      <c r="I35" s="115">
        <v>2027</v>
      </c>
      <c r="J35" s="115">
        <v>2028</v>
      </c>
      <c r="K35" s="115">
        <v>2029</v>
      </c>
      <c r="L35" s="116">
        <v>2030</v>
      </c>
      <c r="M35" s="115">
        <v>2031</v>
      </c>
      <c r="N35" s="115">
        <v>2032</v>
      </c>
      <c r="O35" s="116">
        <v>2033</v>
      </c>
      <c r="P35" s="115">
        <v>2034</v>
      </c>
      <c r="Q35" s="115">
        <v>2035</v>
      </c>
      <c r="R35" s="116">
        <v>2036</v>
      </c>
      <c r="S35" s="115">
        <v>2037</v>
      </c>
      <c r="T35" s="115">
        <v>2038</v>
      </c>
      <c r="U35" s="116">
        <v>2039</v>
      </c>
      <c r="V35" s="115">
        <v>2040</v>
      </c>
      <c r="W35" s="115">
        <v>2041</v>
      </c>
      <c r="X35" s="116">
        <v>2042</v>
      </c>
      <c r="Y35" s="115">
        <v>2043</v>
      </c>
      <c r="Z35" s="115">
        <v>2044</v>
      </c>
      <c r="AA35" s="116">
        <v>2045</v>
      </c>
      <c r="AB35" s="115">
        <v>2046</v>
      </c>
      <c r="AF35" s="463" t="s">
        <v>292</v>
      </c>
      <c r="AG35" s="78" t="s">
        <v>3</v>
      </c>
      <c r="AH35" s="117" t="s">
        <v>1</v>
      </c>
      <c r="AI35" s="115">
        <v>2022</v>
      </c>
      <c r="AJ35" s="115">
        <v>2023</v>
      </c>
      <c r="AK35" s="115">
        <v>2024</v>
      </c>
      <c r="AL35" s="115">
        <v>2025</v>
      </c>
      <c r="AM35" s="115">
        <v>2026</v>
      </c>
      <c r="AN35" s="115">
        <v>2027</v>
      </c>
      <c r="AO35" s="115">
        <v>2028</v>
      </c>
      <c r="AP35" s="115">
        <v>2029</v>
      </c>
      <c r="AQ35" s="116">
        <v>2030</v>
      </c>
      <c r="AR35" s="115">
        <v>2031</v>
      </c>
      <c r="AS35" s="115">
        <v>2032</v>
      </c>
      <c r="AT35" s="115">
        <v>2033</v>
      </c>
      <c r="AU35" s="115">
        <v>2034</v>
      </c>
      <c r="AV35" s="115">
        <v>2035</v>
      </c>
      <c r="AW35" s="115">
        <v>2036</v>
      </c>
      <c r="AX35" s="115">
        <v>2037</v>
      </c>
      <c r="AY35" s="116">
        <v>2038</v>
      </c>
      <c r="AZ35" s="115">
        <v>2039</v>
      </c>
      <c r="BA35" s="115">
        <v>2040</v>
      </c>
      <c r="BB35" s="115">
        <v>2041</v>
      </c>
      <c r="BC35" s="115">
        <v>2042</v>
      </c>
      <c r="BD35" s="115">
        <v>2043</v>
      </c>
      <c r="BE35" s="115">
        <v>2044</v>
      </c>
      <c r="BF35" s="115">
        <v>2045</v>
      </c>
      <c r="BG35" s="116">
        <v>2046</v>
      </c>
    </row>
    <row r="36" spans="1:59" ht="15" customHeight="1">
      <c r="A36" s="476"/>
      <c r="B36" s="2" t="s">
        <v>115</v>
      </c>
      <c r="C36" s="95" t="s">
        <v>7</v>
      </c>
      <c r="D36" s="109">
        <f t="shared" ref="D36:AB36" si="0">D2*D19</f>
        <v>0</v>
      </c>
      <c r="E36" s="109">
        <f t="shared" si="0"/>
        <v>0</v>
      </c>
      <c r="F36" s="109">
        <f t="shared" si="0"/>
        <v>0</v>
      </c>
      <c r="G36" s="109">
        <f t="shared" si="0"/>
        <v>0</v>
      </c>
      <c r="H36" s="109">
        <f t="shared" si="0"/>
        <v>0</v>
      </c>
      <c r="I36" s="109">
        <f t="shared" si="0"/>
        <v>0</v>
      </c>
      <c r="J36" s="109">
        <f t="shared" si="0"/>
        <v>0</v>
      </c>
      <c r="K36" s="109">
        <f t="shared" si="0"/>
        <v>0</v>
      </c>
      <c r="L36" s="110">
        <f t="shared" si="0"/>
        <v>0</v>
      </c>
      <c r="M36" s="109">
        <f t="shared" si="0"/>
        <v>0</v>
      </c>
      <c r="N36" s="109">
        <f t="shared" si="0"/>
        <v>0</v>
      </c>
      <c r="O36" s="109">
        <f t="shared" si="0"/>
        <v>0</v>
      </c>
      <c r="P36" s="109">
        <f t="shared" si="0"/>
        <v>0</v>
      </c>
      <c r="Q36" s="109">
        <f t="shared" si="0"/>
        <v>0</v>
      </c>
      <c r="R36" s="109">
        <f t="shared" si="0"/>
        <v>0</v>
      </c>
      <c r="S36" s="109">
        <f t="shared" si="0"/>
        <v>0</v>
      </c>
      <c r="T36" s="109">
        <f t="shared" si="0"/>
        <v>0</v>
      </c>
      <c r="U36" s="110">
        <f t="shared" si="0"/>
        <v>0</v>
      </c>
      <c r="V36" s="109">
        <f t="shared" si="0"/>
        <v>0</v>
      </c>
      <c r="W36" s="109">
        <f t="shared" si="0"/>
        <v>0</v>
      </c>
      <c r="X36" s="109">
        <f t="shared" si="0"/>
        <v>0</v>
      </c>
      <c r="Y36" s="109">
        <f t="shared" si="0"/>
        <v>0</v>
      </c>
      <c r="Z36" s="109">
        <f t="shared" si="0"/>
        <v>0</v>
      </c>
      <c r="AA36" s="109">
        <f t="shared" si="0"/>
        <v>0</v>
      </c>
      <c r="AB36" s="109">
        <f t="shared" si="0"/>
        <v>0</v>
      </c>
      <c r="AF36" s="464"/>
      <c r="AG36" s="2" t="s">
        <v>115</v>
      </c>
      <c r="AH36" s="95" t="s">
        <v>7</v>
      </c>
      <c r="AI36" s="108">
        <f>('BAU Comparison - All Fuel'!D61-'BAU Comparison - All Fuel'!D116)*D19</f>
        <v>0</v>
      </c>
      <c r="AJ36" s="109">
        <f>('BAU Comparison - All Fuel'!E61-'BAU Comparison - All Fuel'!E116)*E19</f>
        <v>0</v>
      </c>
      <c r="AK36" s="109">
        <f>('BAU Comparison - All Fuel'!F61-'BAU Comparison - All Fuel'!F116)*F19</f>
        <v>0</v>
      </c>
      <c r="AL36" s="109">
        <f>('BAU Comparison - All Fuel'!G61-'BAU Comparison - All Fuel'!G116)*G19</f>
        <v>0</v>
      </c>
      <c r="AM36" s="109">
        <f>('BAU Comparison - All Fuel'!H61-'BAU Comparison - All Fuel'!H116)*H19</f>
        <v>0</v>
      </c>
      <c r="AN36" s="109">
        <f>('BAU Comparison - All Fuel'!I61-'BAU Comparison - All Fuel'!I116)*I19</f>
        <v>0</v>
      </c>
      <c r="AO36" s="109">
        <f>('BAU Comparison - All Fuel'!J61-'BAU Comparison - All Fuel'!J116)*J19</f>
        <v>0</v>
      </c>
      <c r="AP36" s="109">
        <f>('BAU Comparison - All Fuel'!K61-'BAU Comparison - All Fuel'!K116)*K19</f>
        <v>0</v>
      </c>
      <c r="AQ36" s="109">
        <f>('BAU Comparison - All Fuel'!L61-'BAU Comparison - All Fuel'!L116)*L19</f>
        <v>0</v>
      </c>
      <c r="AR36" s="109">
        <f>('BAU Comparison - All Fuel'!M61-'BAU Comparison - All Fuel'!M116)*M19</f>
        <v>0</v>
      </c>
      <c r="AS36" s="109">
        <f>('BAU Comparison - All Fuel'!N61-'BAU Comparison - All Fuel'!N116)*N19</f>
        <v>0</v>
      </c>
      <c r="AT36" s="109">
        <f>('BAU Comparison - All Fuel'!O61-'BAU Comparison - All Fuel'!O116)*O19</f>
        <v>0</v>
      </c>
      <c r="AU36" s="109">
        <f>('BAU Comparison - All Fuel'!P61-'BAU Comparison - All Fuel'!P116)*P19</f>
        <v>0</v>
      </c>
      <c r="AV36" s="109">
        <f>('BAU Comparison - All Fuel'!Q61-'BAU Comparison - All Fuel'!Q116)*Q19</f>
        <v>0</v>
      </c>
      <c r="AW36" s="109">
        <f>('BAU Comparison - All Fuel'!R61-'BAU Comparison - All Fuel'!R116)*R19</f>
        <v>0</v>
      </c>
      <c r="AX36" s="109">
        <f>('BAU Comparison - All Fuel'!S61-'BAU Comparison - All Fuel'!S116)*S19</f>
        <v>0</v>
      </c>
      <c r="AY36" s="109">
        <f>('BAU Comparison - All Fuel'!T61-'BAU Comparison - All Fuel'!T116)*T19</f>
        <v>0</v>
      </c>
      <c r="AZ36" s="109">
        <f>('BAU Comparison - All Fuel'!U61-'BAU Comparison - All Fuel'!U116)*U19</f>
        <v>0</v>
      </c>
      <c r="BA36" s="109">
        <f>('BAU Comparison - All Fuel'!V61-'BAU Comparison - All Fuel'!V116)*V19</f>
        <v>0</v>
      </c>
      <c r="BB36" s="109">
        <f>('BAU Comparison - All Fuel'!W61-'BAU Comparison - All Fuel'!W116)*W19</f>
        <v>0</v>
      </c>
      <c r="BC36" s="109">
        <f>('BAU Comparison - All Fuel'!X61-'BAU Comparison - All Fuel'!X116)*X19</f>
        <v>0</v>
      </c>
      <c r="BD36" s="109">
        <f>('BAU Comparison - All Fuel'!Y61-'BAU Comparison - All Fuel'!Y116)*Y19</f>
        <v>0</v>
      </c>
      <c r="BE36" s="109">
        <f>('BAU Comparison - All Fuel'!Z61-'BAU Comparison - All Fuel'!Z116)*Z19</f>
        <v>0</v>
      </c>
      <c r="BF36" s="109">
        <f>('BAU Comparison - All Fuel'!AA61-'BAU Comparison - All Fuel'!AA116)*AA19</f>
        <v>0</v>
      </c>
      <c r="BG36" s="110">
        <f>('BAU Comparison - All Fuel'!AB61-'BAU Comparison - All Fuel'!AB116)*AB19</f>
        <v>0</v>
      </c>
    </row>
    <row r="37" spans="1:59" ht="15" customHeight="1">
      <c r="A37" s="476"/>
      <c r="B37" s="2" t="s">
        <v>19</v>
      </c>
      <c r="C37" s="53" t="s">
        <v>7</v>
      </c>
      <c r="D37" s="8">
        <f t="shared" ref="D37:AB37" si="1">D3*D20</f>
        <v>0</v>
      </c>
      <c r="E37" s="8">
        <f t="shared" si="1"/>
        <v>0</v>
      </c>
      <c r="F37" s="8">
        <f t="shared" si="1"/>
        <v>0</v>
      </c>
      <c r="G37" s="8">
        <f t="shared" si="1"/>
        <v>0</v>
      </c>
      <c r="H37" s="8">
        <f t="shared" si="1"/>
        <v>0</v>
      </c>
      <c r="I37" s="8">
        <f t="shared" si="1"/>
        <v>0</v>
      </c>
      <c r="J37" s="8">
        <f t="shared" si="1"/>
        <v>0</v>
      </c>
      <c r="K37" s="8">
        <f t="shared" si="1"/>
        <v>0</v>
      </c>
      <c r="L37" s="9">
        <f t="shared" si="1"/>
        <v>0</v>
      </c>
      <c r="M37" s="8">
        <f t="shared" si="1"/>
        <v>0</v>
      </c>
      <c r="N37" s="8">
        <f t="shared" si="1"/>
        <v>0</v>
      </c>
      <c r="O37" s="8">
        <f t="shared" si="1"/>
        <v>0</v>
      </c>
      <c r="P37" s="8">
        <f t="shared" si="1"/>
        <v>0</v>
      </c>
      <c r="Q37" s="8">
        <f t="shared" si="1"/>
        <v>0</v>
      </c>
      <c r="R37" s="8">
        <f t="shared" si="1"/>
        <v>0</v>
      </c>
      <c r="S37" s="8">
        <f t="shared" si="1"/>
        <v>0</v>
      </c>
      <c r="T37" s="8">
        <f t="shared" si="1"/>
        <v>0</v>
      </c>
      <c r="U37" s="9">
        <f t="shared" si="1"/>
        <v>0</v>
      </c>
      <c r="V37" s="8">
        <f t="shared" si="1"/>
        <v>0</v>
      </c>
      <c r="W37" s="8">
        <f t="shared" si="1"/>
        <v>0</v>
      </c>
      <c r="X37" s="8">
        <f t="shared" si="1"/>
        <v>0</v>
      </c>
      <c r="Y37" s="8">
        <f t="shared" si="1"/>
        <v>0</v>
      </c>
      <c r="Z37" s="8">
        <f t="shared" si="1"/>
        <v>0</v>
      </c>
      <c r="AA37" s="8">
        <f t="shared" si="1"/>
        <v>0</v>
      </c>
      <c r="AB37" s="8">
        <f t="shared" si="1"/>
        <v>0</v>
      </c>
      <c r="AF37" s="464"/>
      <c r="AG37" s="2" t="s">
        <v>19</v>
      </c>
      <c r="AH37" s="53" t="s">
        <v>7</v>
      </c>
      <c r="AI37" s="21">
        <f>('BAU Comparison - All Fuel'!D62-'BAU Comparison - All Fuel'!D117)*D20</f>
        <v>0</v>
      </c>
      <c r="AJ37" s="8">
        <f>('BAU Comparison - All Fuel'!E62-'BAU Comparison - All Fuel'!E117)*E20</f>
        <v>0</v>
      </c>
      <c r="AK37" s="8">
        <f>('BAU Comparison - All Fuel'!F62-'BAU Comparison - All Fuel'!F117)*F20</f>
        <v>0</v>
      </c>
      <c r="AL37" s="8">
        <f>('BAU Comparison - All Fuel'!G62-'BAU Comparison - All Fuel'!G117)*G20</f>
        <v>0</v>
      </c>
      <c r="AM37" s="8">
        <f>('BAU Comparison - All Fuel'!H62-'BAU Comparison - All Fuel'!H117)*H20</f>
        <v>0</v>
      </c>
      <c r="AN37" s="8">
        <f>('BAU Comparison - All Fuel'!I62-'BAU Comparison - All Fuel'!I117)*I20</f>
        <v>0</v>
      </c>
      <c r="AO37" s="8">
        <f>('BAU Comparison - All Fuel'!J62-'BAU Comparison - All Fuel'!J117)*J20</f>
        <v>0</v>
      </c>
      <c r="AP37" s="8">
        <f>('BAU Comparison - All Fuel'!K62-'BAU Comparison - All Fuel'!K117)*K20</f>
        <v>0</v>
      </c>
      <c r="AQ37" s="8">
        <f>('BAU Comparison - All Fuel'!L62-'BAU Comparison - All Fuel'!L117)*L20</f>
        <v>0</v>
      </c>
      <c r="AR37" s="8">
        <f>('BAU Comparison - All Fuel'!M62-'BAU Comparison - All Fuel'!M117)*M20</f>
        <v>0</v>
      </c>
      <c r="AS37" s="8">
        <f>('BAU Comparison - All Fuel'!N62-'BAU Comparison - All Fuel'!N117)*N20</f>
        <v>0</v>
      </c>
      <c r="AT37" s="8">
        <f>('BAU Comparison - All Fuel'!O62-'BAU Comparison - All Fuel'!O117)*O20</f>
        <v>0</v>
      </c>
      <c r="AU37" s="8">
        <f>('BAU Comparison - All Fuel'!P62-'BAU Comparison - All Fuel'!P117)*P20</f>
        <v>0</v>
      </c>
      <c r="AV37" s="8">
        <f>('BAU Comparison - All Fuel'!Q62-'BAU Comparison - All Fuel'!Q117)*Q20</f>
        <v>0</v>
      </c>
      <c r="AW37" s="8">
        <f>('BAU Comparison - All Fuel'!R62-'BAU Comparison - All Fuel'!R117)*R20</f>
        <v>0</v>
      </c>
      <c r="AX37" s="8">
        <f>('BAU Comparison - All Fuel'!S62-'BAU Comparison - All Fuel'!S117)*S20</f>
        <v>0</v>
      </c>
      <c r="AY37" s="8">
        <f>('BAU Comparison - All Fuel'!T62-'BAU Comparison - All Fuel'!T117)*T20</f>
        <v>0</v>
      </c>
      <c r="AZ37" s="8">
        <f>('BAU Comparison - All Fuel'!U62-'BAU Comparison - All Fuel'!U117)*U20</f>
        <v>0</v>
      </c>
      <c r="BA37" s="8">
        <f>('BAU Comparison - All Fuel'!V62-'BAU Comparison - All Fuel'!V117)*V20</f>
        <v>0</v>
      </c>
      <c r="BB37" s="8">
        <f>('BAU Comparison - All Fuel'!W62-'BAU Comparison - All Fuel'!W117)*W20</f>
        <v>0</v>
      </c>
      <c r="BC37" s="8">
        <f>('BAU Comparison - All Fuel'!X62-'BAU Comparison - All Fuel'!X117)*X20</f>
        <v>0</v>
      </c>
      <c r="BD37" s="8">
        <f>('BAU Comparison - All Fuel'!Y62-'BAU Comparison - All Fuel'!Y117)*Y20</f>
        <v>0</v>
      </c>
      <c r="BE37" s="8">
        <f>('BAU Comparison - All Fuel'!Z62-'BAU Comparison - All Fuel'!Z117)*Z20</f>
        <v>0</v>
      </c>
      <c r="BF37" s="8">
        <f>('BAU Comparison - All Fuel'!AA62-'BAU Comparison - All Fuel'!AA117)*AA20</f>
        <v>0</v>
      </c>
      <c r="BG37" s="9">
        <f>('BAU Comparison - All Fuel'!AB62-'BAU Comparison - All Fuel'!AB117)*AB20</f>
        <v>0</v>
      </c>
    </row>
    <row r="38" spans="1:59" ht="15" customHeight="1">
      <c r="A38" s="476"/>
      <c r="B38" s="2" t="s">
        <v>104</v>
      </c>
      <c r="C38" s="53" t="s">
        <v>7</v>
      </c>
      <c r="D38" s="8">
        <f t="shared" ref="D38:AB38" si="2">D4*D21</f>
        <v>0</v>
      </c>
      <c r="E38" s="8">
        <f t="shared" si="2"/>
        <v>0</v>
      </c>
      <c r="F38" s="8">
        <f t="shared" si="2"/>
        <v>0</v>
      </c>
      <c r="G38" s="8">
        <f t="shared" si="2"/>
        <v>0</v>
      </c>
      <c r="H38" s="8">
        <f t="shared" si="2"/>
        <v>0</v>
      </c>
      <c r="I38" s="8">
        <f t="shared" si="2"/>
        <v>0</v>
      </c>
      <c r="J38" s="8">
        <f t="shared" si="2"/>
        <v>0</v>
      </c>
      <c r="K38" s="8">
        <f t="shared" si="2"/>
        <v>0</v>
      </c>
      <c r="L38" s="9">
        <f t="shared" si="2"/>
        <v>0</v>
      </c>
      <c r="M38" s="8">
        <f t="shared" si="2"/>
        <v>0</v>
      </c>
      <c r="N38" s="8">
        <f t="shared" si="2"/>
        <v>0</v>
      </c>
      <c r="O38" s="8">
        <f t="shared" si="2"/>
        <v>0</v>
      </c>
      <c r="P38" s="8">
        <f t="shared" si="2"/>
        <v>0</v>
      </c>
      <c r="Q38" s="8">
        <f t="shared" si="2"/>
        <v>0</v>
      </c>
      <c r="R38" s="8">
        <f t="shared" si="2"/>
        <v>0</v>
      </c>
      <c r="S38" s="8">
        <f t="shared" si="2"/>
        <v>0</v>
      </c>
      <c r="T38" s="8">
        <f t="shared" si="2"/>
        <v>0</v>
      </c>
      <c r="U38" s="9">
        <f t="shared" si="2"/>
        <v>0</v>
      </c>
      <c r="V38" s="8">
        <f t="shared" si="2"/>
        <v>0</v>
      </c>
      <c r="W38" s="8">
        <f t="shared" si="2"/>
        <v>0</v>
      </c>
      <c r="X38" s="8">
        <f t="shared" si="2"/>
        <v>0</v>
      </c>
      <c r="Y38" s="8">
        <f t="shared" si="2"/>
        <v>0</v>
      </c>
      <c r="Z38" s="8">
        <f t="shared" si="2"/>
        <v>0</v>
      </c>
      <c r="AA38" s="8">
        <f t="shared" si="2"/>
        <v>0</v>
      </c>
      <c r="AB38" s="8">
        <f t="shared" si="2"/>
        <v>0</v>
      </c>
      <c r="AF38" s="464"/>
      <c r="AG38" s="2" t="s">
        <v>104</v>
      </c>
      <c r="AH38" s="53" t="s">
        <v>7</v>
      </c>
      <c r="AI38" s="21">
        <f>('BAU Comparison - All Fuel'!D63-'BAU Comparison - All Fuel'!D118)*D21</f>
        <v>0</v>
      </c>
      <c r="AJ38" s="8">
        <f>('BAU Comparison - All Fuel'!E63-'BAU Comparison - All Fuel'!E118)*E21</f>
        <v>0</v>
      </c>
      <c r="AK38" s="8">
        <f>('BAU Comparison - All Fuel'!F63-'BAU Comparison - All Fuel'!F118)*F21</f>
        <v>0</v>
      </c>
      <c r="AL38" s="8">
        <f>('BAU Comparison - All Fuel'!G63-'BAU Comparison - All Fuel'!G118)*G21</f>
        <v>0</v>
      </c>
      <c r="AM38" s="8">
        <f>('BAU Comparison - All Fuel'!H63-'BAU Comparison - All Fuel'!H118)*H21</f>
        <v>0</v>
      </c>
      <c r="AN38" s="8">
        <f>('BAU Comparison - All Fuel'!I63-'BAU Comparison - All Fuel'!I118)*I21</f>
        <v>0</v>
      </c>
      <c r="AO38" s="8">
        <f>('BAU Comparison - All Fuel'!J63-'BAU Comparison - All Fuel'!J118)*J21</f>
        <v>0</v>
      </c>
      <c r="AP38" s="8">
        <f>('BAU Comparison - All Fuel'!K63-'BAU Comparison - All Fuel'!K118)*K21</f>
        <v>0</v>
      </c>
      <c r="AQ38" s="8">
        <f>('BAU Comparison - All Fuel'!L63-'BAU Comparison - All Fuel'!L118)*L21</f>
        <v>0</v>
      </c>
      <c r="AR38" s="8">
        <f>('BAU Comparison - All Fuel'!M63-'BAU Comparison - All Fuel'!M118)*M21</f>
        <v>0</v>
      </c>
      <c r="AS38" s="8">
        <f>('BAU Comparison - All Fuel'!N63-'BAU Comparison - All Fuel'!N118)*N21</f>
        <v>0</v>
      </c>
      <c r="AT38" s="8">
        <f>('BAU Comparison - All Fuel'!O63-'BAU Comparison - All Fuel'!O118)*O21</f>
        <v>0</v>
      </c>
      <c r="AU38" s="8">
        <f>('BAU Comparison - All Fuel'!P63-'BAU Comparison - All Fuel'!P118)*P21</f>
        <v>0</v>
      </c>
      <c r="AV38" s="8">
        <f>('BAU Comparison - All Fuel'!Q63-'BAU Comparison - All Fuel'!Q118)*Q21</f>
        <v>0</v>
      </c>
      <c r="AW38" s="8">
        <f>('BAU Comparison - All Fuel'!R63-'BAU Comparison - All Fuel'!R118)*R21</f>
        <v>0</v>
      </c>
      <c r="AX38" s="8">
        <f>('BAU Comparison - All Fuel'!S63-'BAU Comparison - All Fuel'!S118)*S21</f>
        <v>0</v>
      </c>
      <c r="AY38" s="8">
        <f>('BAU Comparison - All Fuel'!T63-'BAU Comparison - All Fuel'!T118)*T21</f>
        <v>0</v>
      </c>
      <c r="AZ38" s="8">
        <f>('BAU Comparison - All Fuel'!U63-'BAU Comparison - All Fuel'!U118)*U21</f>
        <v>0</v>
      </c>
      <c r="BA38" s="8">
        <f>('BAU Comparison - All Fuel'!V63-'BAU Comparison - All Fuel'!V118)*V21</f>
        <v>0</v>
      </c>
      <c r="BB38" s="8">
        <f>('BAU Comparison - All Fuel'!W63-'BAU Comparison - All Fuel'!W118)*W21</f>
        <v>0</v>
      </c>
      <c r="BC38" s="8">
        <f>('BAU Comparison - All Fuel'!X63-'BAU Comparison - All Fuel'!X118)*X21</f>
        <v>0</v>
      </c>
      <c r="BD38" s="8">
        <f>('BAU Comparison - All Fuel'!Y63-'BAU Comparison - All Fuel'!Y118)*Y21</f>
        <v>0</v>
      </c>
      <c r="BE38" s="8">
        <f>('BAU Comparison - All Fuel'!Z63-'BAU Comparison - All Fuel'!Z118)*Z21</f>
        <v>0</v>
      </c>
      <c r="BF38" s="8">
        <f>('BAU Comparison - All Fuel'!AA63-'BAU Comparison - All Fuel'!AA118)*AA21</f>
        <v>0</v>
      </c>
      <c r="BG38" s="9">
        <f>('BAU Comparison - All Fuel'!AB63-'BAU Comparison - All Fuel'!AB118)*AB21</f>
        <v>0</v>
      </c>
    </row>
    <row r="39" spans="1:59" ht="15" customHeight="1">
      <c r="A39" s="476"/>
      <c r="B39" s="2" t="s">
        <v>289</v>
      </c>
      <c r="C39" s="53" t="s">
        <v>22</v>
      </c>
      <c r="D39" s="8">
        <f t="shared" ref="D39:AB39" si="3">D5*D22</f>
        <v>0</v>
      </c>
      <c r="E39" s="8">
        <f t="shared" si="3"/>
        <v>0</v>
      </c>
      <c r="F39" s="8">
        <f t="shared" si="3"/>
        <v>0</v>
      </c>
      <c r="G39" s="8">
        <f t="shared" si="3"/>
        <v>0</v>
      </c>
      <c r="H39" s="8">
        <f t="shared" si="3"/>
        <v>0</v>
      </c>
      <c r="I39" s="8">
        <f t="shared" si="3"/>
        <v>0</v>
      </c>
      <c r="J39" s="8">
        <f t="shared" si="3"/>
        <v>0</v>
      </c>
      <c r="K39" s="8">
        <f t="shared" si="3"/>
        <v>0</v>
      </c>
      <c r="L39" s="9">
        <f t="shared" si="3"/>
        <v>0</v>
      </c>
      <c r="M39" s="8">
        <f t="shared" si="3"/>
        <v>0</v>
      </c>
      <c r="N39" s="8">
        <f t="shared" si="3"/>
        <v>0</v>
      </c>
      <c r="O39" s="8">
        <f t="shared" si="3"/>
        <v>0</v>
      </c>
      <c r="P39" s="8">
        <f t="shared" si="3"/>
        <v>0</v>
      </c>
      <c r="Q39" s="8">
        <f t="shared" si="3"/>
        <v>0</v>
      </c>
      <c r="R39" s="8">
        <f t="shared" si="3"/>
        <v>-10.336950848166589</v>
      </c>
      <c r="S39" s="8">
        <f t="shared" si="3"/>
        <v>-36.772132816833263</v>
      </c>
      <c r="T39" s="8">
        <f t="shared" si="3"/>
        <v>-63.80610649416662</v>
      </c>
      <c r="U39" s="9">
        <f t="shared" si="3"/>
        <v>-83.385007674999997</v>
      </c>
      <c r="V39" s="8">
        <f t="shared" si="3"/>
        <v>-89.979236608333338</v>
      </c>
      <c r="W39" s="8">
        <f t="shared" si="3"/>
        <v>-96.330386916666654</v>
      </c>
      <c r="X39" s="8">
        <f t="shared" si="3"/>
        <v>-102.3610350666667</v>
      </c>
      <c r="Y39" s="8">
        <f t="shared" si="3"/>
        <v>-108.04777675</v>
      </c>
      <c r="Z39" s="8">
        <f t="shared" si="3"/>
        <v>-113.350635025</v>
      </c>
      <c r="AA39" s="8">
        <f t="shared" si="3"/>
        <v>-118.22997807500001</v>
      </c>
      <c r="AB39" s="8">
        <f t="shared" si="3"/>
        <v>-123.36066523333329</v>
      </c>
      <c r="AF39" s="464"/>
      <c r="AG39" s="2" t="s">
        <v>289</v>
      </c>
      <c r="AH39" s="53" t="s">
        <v>22</v>
      </c>
      <c r="AI39" s="21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9"/>
    </row>
    <row r="40" spans="1:59" ht="15" customHeight="1">
      <c r="A40" s="476"/>
      <c r="B40" s="2" t="s">
        <v>118</v>
      </c>
      <c r="C40" s="53" t="s">
        <v>103</v>
      </c>
      <c r="D40" s="8">
        <f t="shared" ref="D40:AB40" si="4">D6*D23</f>
        <v>0</v>
      </c>
      <c r="E40" s="8">
        <f t="shared" si="4"/>
        <v>0</v>
      </c>
      <c r="F40" s="8">
        <f t="shared" si="4"/>
        <v>0</v>
      </c>
      <c r="G40" s="8">
        <f t="shared" si="4"/>
        <v>0</v>
      </c>
      <c r="H40" s="8">
        <f t="shared" si="4"/>
        <v>0</v>
      </c>
      <c r="I40" s="8">
        <f t="shared" si="4"/>
        <v>0</v>
      </c>
      <c r="J40" s="8">
        <f t="shared" si="4"/>
        <v>0</v>
      </c>
      <c r="K40" s="8">
        <f t="shared" si="4"/>
        <v>0</v>
      </c>
      <c r="L40" s="9">
        <f t="shared" si="4"/>
        <v>0</v>
      </c>
      <c r="M40" s="8">
        <f t="shared" si="4"/>
        <v>0</v>
      </c>
      <c r="N40" s="8">
        <f t="shared" si="4"/>
        <v>0</v>
      </c>
      <c r="O40" s="8">
        <f t="shared" si="4"/>
        <v>0</v>
      </c>
      <c r="P40" s="8">
        <f t="shared" si="4"/>
        <v>0</v>
      </c>
      <c r="Q40" s="8">
        <f t="shared" si="4"/>
        <v>0</v>
      </c>
      <c r="R40" s="8">
        <f t="shared" si="4"/>
        <v>0</v>
      </c>
      <c r="S40" s="8">
        <f t="shared" si="4"/>
        <v>0</v>
      </c>
      <c r="T40" s="8">
        <f t="shared" si="4"/>
        <v>0</v>
      </c>
      <c r="U40" s="9">
        <f t="shared" si="4"/>
        <v>0</v>
      </c>
      <c r="V40" s="8">
        <f t="shared" si="4"/>
        <v>0</v>
      </c>
      <c r="W40" s="8">
        <f t="shared" si="4"/>
        <v>0</v>
      </c>
      <c r="X40" s="8">
        <f t="shared" si="4"/>
        <v>0</v>
      </c>
      <c r="Y40" s="8">
        <f t="shared" si="4"/>
        <v>0</v>
      </c>
      <c r="Z40" s="8">
        <f t="shared" si="4"/>
        <v>0</v>
      </c>
      <c r="AA40" s="8">
        <f t="shared" si="4"/>
        <v>0</v>
      </c>
      <c r="AB40" s="8">
        <f t="shared" si="4"/>
        <v>0</v>
      </c>
      <c r="AF40" s="464"/>
      <c r="AG40" s="2" t="s">
        <v>118</v>
      </c>
      <c r="AH40" s="53" t="s">
        <v>103</v>
      </c>
      <c r="AI40" s="21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9"/>
    </row>
    <row r="41" spans="1:59" ht="15" customHeight="1">
      <c r="A41" s="476"/>
      <c r="B41" s="2" t="s">
        <v>9</v>
      </c>
      <c r="C41" s="53" t="s">
        <v>7</v>
      </c>
      <c r="D41" s="8">
        <f t="shared" ref="D41:AB41" si="5">D7*D24</f>
        <v>0</v>
      </c>
      <c r="E41" s="8">
        <f t="shared" si="5"/>
        <v>0</v>
      </c>
      <c r="F41" s="8">
        <f t="shared" si="5"/>
        <v>0</v>
      </c>
      <c r="G41" s="8">
        <f t="shared" si="5"/>
        <v>0</v>
      </c>
      <c r="H41" s="8">
        <f t="shared" si="5"/>
        <v>0</v>
      </c>
      <c r="I41" s="8">
        <f t="shared" si="5"/>
        <v>0</v>
      </c>
      <c r="J41" s="8">
        <f t="shared" si="5"/>
        <v>0</v>
      </c>
      <c r="K41" s="8">
        <f t="shared" si="5"/>
        <v>0</v>
      </c>
      <c r="L41" s="9">
        <f t="shared" si="5"/>
        <v>0</v>
      </c>
      <c r="M41" s="8">
        <f t="shared" si="5"/>
        <v>0</v>
      </c>
      <c r="N41" s="8">
        <f t="shared" si="5"/>
        <v>0</v>
      </c>
      <c r="O41" s="8">
        <f t="shared" si="5"/>
        <v>0</v>
      </c>
      <c r="P41" s="8">
        <f t="shared" si="5"/>
        <v>0</v>
      </c>
      <c r="Q41" s="8">
        <f t="shared" si="5"/>
        <v>0</v>
      </c>
      <c r="R41" s="8">
        <f t="shared" si="5"/>
        <v>0</v>
      </c>
      <c r="S41" s="8">
        <f t="shared" si="5"/>
        <v>0</v>
      </c>
      <c r="T41" s="8">
        <f t="shared" si="5"/>
        <v>0</v>
      </c>
      <c r="U41" s="9">
        <f t="shared" si="5"/>
        <v>0</v>
      </c>
      <c r="V41" s="8">
        <f t="shared" si="5"/>
        <v>0</v>
      </c>
      <c r="W41" s="8">
        <f t="shared" si="5"/>
        <v>0</v>
      </c>
      <c r="X41" s="8">
        <f t="shared" si="5"/>
        <v>0</v>
      </c>
      <c r="Y41" s="8">
        <f t="shared" si="5"/>
        <v>0</v>
      </c>
      <c r="Z41" s="8">
        <f t="shared" si="5"/>
        <v>0</v>
      </c>
      <c r="AA41" s="8">
        <f t="shared" si="5"/>
        <v>0</v>
      </c>
      <c r="AB41" s="8">
        <f t="shared" si="5"/>
        <v>0</v>
      </c>
      <c r="AF41" s="464"/>
      <c r="AG41" s="2" t="s">
        <v>9</v>
      </c>
      <c r="AH41" s="53" t="s">
        <v>7</v>
      </c>
      <c r="AI41" s="21">
        <f>('BAU Comparison - All Fuel'!D71-'BAU Comparison - All Fuel'!D126)*D24</f>
        <v>0</v>
      </c>
      <c r="AJ41" s="8">
        <f>('BAU Comparison - All Fuel'!E71-'BAU Comparison - All Fuel'!E126)*E24</f>
        <v>0</v>
      </c>
      <c r="AK41" s="8">
        <f>('BAU Comparison - All Fuel'!F71-'BAU Comparison - All Fuel'!F126)*F24</f>
        <v>0</v>
      </c>
      <c r="AL41" s="8">
        <f>('BAU Comparison - All Fuel'!G71-'BAU Comparison - All Fuel'!G126)*G24</f>
        <v>0</v>
      </c>
      <c r="AM41" s="8">
        <f>('BAU Comparison - All Fuel'!H71-'BAU Comparison - All Fuel'!H126)*H24</f>
        <v>0</v>
      </c>
      <c r="AN41" s="8">
        <f>('BAU Comparison - All Fuel'!I71-'BAU Comparison - All Fuel'!I126)*I24</f>
        <v>0</v>
      </c>
      <c r="AO41" s="8">
        <f>('BAU Comparison - All Fuel'!J71-'BAU Comparison - All Fuel'!J126)*J24</f>
        <v>0</v>
      </c>
      <c r="AP41" s="8">
        <f>('BAU Comparison - All Fuel'!K71-'BAU Comparison - All Fuel'!K126)*K24</f>
        <v>0</v>
      </c>
      <c r="AQ41" s="8">
        <f>('BAU Comparison - All Fuel'!L71-'BAU Comparison - All Fuel'!L126)*L24</f>
        <v>0</v>
      </c>
      <c r="AR41" s="8">
        <f>('BAU Comparison - All Fuel'!M71-'BAU Comparison - All Fuel'!M126)*M24</f>
        <v>0</v>
      </c>
      <c r="AS41" s="8">
        <f>('BAU Comparison - All Fuel'!N71-'BAU Comparison - All Fuel'!N126)*N24</f>
        <v>0</v>
      </c>
      <c r="AT41" s="8">
        <f>('BAU Comparison - All Fuel'!O71-'BAU Comparison - All Fuel'!O126)*O24</f>
        <v>0</v>
      </c>
      <c r="AU41" s="8">
        <f>('BAU Comparison - All Fuel'!P71-'BAU Comparison - All Fuel'!P126)*P24</f>
        <v>0</v>
      </c>
      <c r="AV41" s="8">
        <f>('BAU Comparison - All Fuel'!Q71-'BAU Comparison - All Fuel'!Q126)*Q24</f>
        <v>0</v>
      </c>
      <c r="AW41" s="8">
        <f>('BAU Comparison - All Fuel'!R71-'BAU Comparison - All Fuel'!R126)*R24</f>
        <v>0</v>
      </c>
      <c r="AX41" s="8">
        <f>('BAU Comparison - All Fuel'!S71-'BAU Comparison - All Fuel'!S126)*S24</f>
        <v>0</v>
      </c>
      <c r="AY41" s="8">
        <f>('BAU Comparison - All Fuel'!T71-'BAU Comparison - All Fuel'!T126)*T24</f>
        <v>0</v>
      </c>
      <c r="AZ41" s="8">
        <f>('BAU Comparison - All Fuel'!U71-'BAU Comparison - All Fuel'!U126)*U24</f>
        <v>0</v>
      </c>
      <c r="BA41" s="8">
        <f>('BAU Comparison - All Fuel'!V71-'BAU Comparison - All Fuel'!V126)*V24</f>
        <v>0</v>
      </c>
      <c r="BB41" s="8">
        <f>('BAU Comparison - All Fuel'!W71-'BAU Comparison - All Fuel'!W126)*W24</f>
        <v>0</v>
      </c>
      <c r="BC41" s="8">
        <f>('BAU Comparison - All Fuel'!X71-'BAU Comparison - All Fuel'!X126)*X24</f>
        <v>0</v>
      </c>
      <c r="BD41" s="8">
        <f>('BAU Comparison - All Fuel'!Y71-'BAU Comparison - All Fuel'!Y126)*Y24</f>
        <v>0</v>
      </c>
      <c r="BE41" s="8">
        <f>('BAU Comparison - All Fuel'!Z71-'BAU Comparison - All Fuel'!Z126)*Z24</f>
        <v>0</v>
      </c>
      <c r="BF41" s="8">
        <f>('BAU Comparison - All Fuel'!AA71-'BAU Comparison - All Fuel'!AA126)*AA24</f>
        <v>0</v>
      </c>
      <c r="BG41" s="9">
        <f>('BAU Comparison - All Fuel'!AB71-'BAU Comparison - All Fuel'!AB126)*AB24</f>
        <v>0</v>
      </c>
    </row>
    <row r="42" spans="1:59" ht="15" customHeight="1">
      <c r="A42" s="476"/>
      <c r="B42" s="2" t="s">
        <v>34</v>
      </c>
      <c r="C42" s="53" t="s">
        <v>7</v>
      </c>
      <c r="D42" s="8">
        <f t="shared" ref="D42:AB42" si="6">D8*D25</f>
        <v>0</v>
      </c>
      <c r="E42" s="8">
        <f t="shared" si="6"/>
        <v>0</v>
      </c>
      <c r="F42" s="8">
        <f t="shared" si="6"/>
        <v>0</v>
      </c>
      <c r="G42" s="8">
        <f t="shared" si="6"/>
        <v>0</v>
      </c>
      <c r="H42" s="8">
        <f t="shared" si="6"/>
        <v>14.808431980360096</v>
      </c>
      <c r="I42" s="8">
        <f t="shared" si="6"/>
        <v>126.64566992155609</v>
      </c>
      <c r="J42" s="8">
        <f t="shared" si="6"/>
        <v>190.61456820703071</v>
      </c>
      <c r="K42" s="8">
        <f t="shared" si="6"/>
        <v>227.53198146415332</v>
      </c>
      <c r="L42" s="9">
        <f t="shared" si="6"/>
        <v>247.76594184292352</v>
      </c>
      <c r="M42" s="8">
        <f t="shared" si="6"/>
        <v>258.00866079387208</v>
      </c>
      <c r="N42" s="8">
        <f t="shared" si="6"/>
        <v>262.26194633818943</v>
      </c>
      <c r="O42" s="8">
        <f t="shared" si="6"/>
        <v>262.91571371781589</v>
      </c>
      <c r="P42" s="8">
        <f t="shared" si="6"/>
        <v>265.84643567557657</v>
      </c>
      <c r="Q42" s="8">
        <f t="shared" si="6"/>
        <v>261.19602227672107</v>
      </c>
      <c r="R42" s="8">
        <f t="shared" si="6"/>
        <v>256.47009773279228</v>
      </c>
      <c r="S42" s="8">
        <f t="shared" si="6"/>
        <v>251.67549142707747</v>
      </c>
      <c r="T42" s="8">
        <f t="shared" si="6"/>
        <v>246.81927833777263</v>
      </c>
      <c r="U42" s="9">
        <f t="shared" si="6"/>
        <v>245.42210954561622</v>
      </c>
      <c r="V42" s="8">
        <f t="shared" si="6"/>
        <v>243.70776524676455</v>
      </c>
      <c r="W42" s="8">
        <f t="shared" si="6"/>
        <v>240.04261690518993</v>
      </c>
      <c r="X42" s="8">
        <f t="shared" si="6"/>
        <v>234.78475161327844</v>
      </c>
      <c r="Y42" s="8">
        <f t="shared" si="6"/>
        <v>231.42567540404949</v>
      </c>
      <c r="Z42" s="8">
        <f t="shared" si="6"/>
        <v>227.57767006657838</v>
      </c>
      <c r="AA42" s="8">
        <f t="shared" si="6"/>
        <v>223.66143168153718</v>
      </c>
      <c r="AB42" s="8">
        <f t="shared" si="6"/>
        <v>218.45112176447967</v>
      </c>
      <c r="AC42" t="s">
        <v>293</v>
      </c>
      <c r="AF42" s="464"/>
      <c r="AG42" s="2" t="s">
        <v>34</v>
      </c>
      <c r="AH42" s="53" t="s">
        <v>7</v>
      </c>
      <c r="AI42" s="21">
        <f>('BAU Comparison - All Fuel'!D72-'BAU Comparison - All Fuel'!D127)*D25</f>
        <v>0</v>
      </c>
      <c r="AJ42" s="8">
        <f>('BAU Comparison - All Fuel'!E72-'BAU Comparison - All Fuel'!E127)*E25</f>
        <v>0</v>
      </c>
      <c r="AK42" s="8">
        <f>('BAU Comparison - All Fuel'!F72-'BAU Comparison - All Fuel'!F127)*F25</f>
        <v>319.95003014629083</v>
      </c>
      <c r="AL42" s="8">
        <f>('BAU Comparison - All Fuel'!G72-'BAU Comparison - All Fuel'!G127)*G25</f>
        <v>926.77679025618886</v>
      </c>
      <c r="AM42" s="8">
        <f>('BAU Comparison - All Fuel'!H72-'BAU Comparison - All Fuel'!H127)*H25</f>
        <v>1072.273590915268</v>
      </c>
      <c r="AN42" s="8">
        <f>('BAU Comparison - All Fuel'!I72-'BAU Comparison - All Fuel'!I127)*I25</f>
        <v>1023.0807743284209</v>
      </c>
      <c r="AO42" s="8">
        <f>('BAU Comparison - All Fuel'!J72-'BAU Comparison - All Fuel'!J127)*J25</f>
        <v>890.76211612522729</v>
      </c>
      <c r="AP42" s="8">
        <f>('BAU Comparison - All Fuel'!K72-'BAU Comparison - All Fuel'!K127)*K25</f>
        <v>861.24148124527267</v>
      </c>
      <c r="AQ42" s="8">
        <f>('BAU Comparison - All Fuel'!L72-'BAU Comparison - All Fuel'!L127)*L25</f>
        <v>832.24716432950265</v>
      </c>
      <c r="AR42" s="8">
        <f>('BAU Comparison - All Fuel'!M72-'BAU Comparison - All Fuel'!M127)*M25</f>
        <v>803.94576059994881</v>
      </c>
      <c r="AS42" s="8">
        <f>('BAU Comparison - All Fuel'!N72-'BAU Comparison - All Fuel'!N127)*N25</f>
        <v>776.43886745775842</v>
      </c>
      <c r="AT42" s="8">
        <f>('BAU Comparison - All Fuel'!O72-'BAU Comparison - All Fuel'!O127)*O25</f>
        <v>749.78709069061802</v>
      </c>
      <c r="AU42" s="8">
        <f>('BAU Comparison - All Fuel'!P72-'BAU Comparison - All Fuel'!P127)*P25</f>
        <v>724.59656769613036</v>
      </c>
      <c r="AV42" s="8">
        <f>('BAU Comparison - All Fuel'!Q72-'BAU Comparison - All Fuel'!Q127)*Q25</f>
        <v>699.53369099383485</v>
      </c>
      <c r="AW42" s="8">
        <f>('BAU Comparison - All Fuel'!R72-'BAU Comparison - All Fuel'!R127)*R25</f>
        <v>675.43772413964689</v>
      </c>
      <c r="AX42" s="8">
        <f>('BAU Comparison - All Fuel'!S72-'BAU Comparison - All Fuel'!S127)*S25</f>
        <v>652.27509578918853</v>
      </c>
      <c r="AY42" s="8">
        <f>('BAU Comparison - All Fuel'!T72-'BAU Comparison - All Fuel'!T127)*T25</f>
        <v>630.01279126200529</v>
      </c>
      <c r="AZ42" s="8">
        <f>('BAU Comparison - All Fuel'!U72-'BAU Comparison - All Fuel'!U127)*U25</f>
        <v>661.17799278614893</v>
      </c>
      <c r="BA42" s="8">
        <f>('BAU Comparison - All Fuel'!V72-'BAU Comparison - All Fuel'!V127)*V25</f>
        <v>685.51259362199551</v>
      </c>
      <c r="BB42" s="8">
        <f>('BAU Comparison - All Fuel'!W72-'BAU Comparison - All Fuel'!W127)*W25</f>
        <v>677.76614284912887</v>
      </c>
      <c r="BC42" s="8">
        <f>('BAU Comparison - All Fuel'!X72-'BAU Comparison - All Fuel'!X127)*X25</f>
        <v>647.26488024815637</v>
      </c>
      <c r="BD42" s="8">
        <f>('BAU Comparison - All Fuel'!Y72-'BAU Comparison - All Fuel'!Y127)*Y25</f>
        <v>643.97271929041847</v>
      </c>
      <c r="BE42" s="8">
        <f>('BAU Comparison - All Fuel'!Z72-'BAU Comparison - All Fuel'!Z127)*Z25</f>
        <v>633.8168256514798</v>
      </c>
      <c r="BF42" s="8">
        <f>('BAU Comparison - All Fuel'!AA72-'BAU Comparison - All Fuel'!AA127)*AA25</f>
        <v>622.76754946029064</v>
      </c>
      <c r="BG42" s="9">
        <f>('BAU Comparison - All Fuel'!AB72-'BAU Comparison - All Fuel'!AB127)*AB25</f>
        <v>597.02231805122847</v>
      </c>
    </row>
    <row r="43" spans="1:59" ht="15" customHeight="1">
      <c r="A43" s="476"/>
      <c r="B43" s="2" t="s">
        <v>33</v>
      </c>
      <c r="C43" s="53" t="s">
        <v>13</v>
      </c>
      <c r="D43" s="8">
        <f t="shared" ref="D43:AB43" si="7">D9*D26</f>
        <v>0</v>
      </c>
      <c r="E43" s="8">
        <f t="shared" si="7"/>
        <v>0</v>
      </c>
      <c r="F43" s="8">
        <f t="shared" si="7"/>
        <v>0</v>
      </c>
      <c r="G43" s="8">
        <f t="shared" si="7"/>
        <v>0</v>
      </c>
      <c r="H43" s="8">
        <f t="shared" si="7"/>
        <v>0</v>
      </c>
      <c r="I43" s="8">
        <f t="shared" si="7"/>
        <v>0</v>
      </c>
      <c r="J43" s="8">
        <f t="shared" si="7"/>
        <v>0</v>
      </c>
      <c r="K43" s="8">
        <f t="shared" si="7"/>
        <v>0</v>
      </c>
      <c r="L43" s="9">
        <f t="shared" si="7"/>
        <v>0</v>
      </c>
      <c r="M43" s="8">
        <f t="shared" si="7"/>
        <v>0</v>
      </c>
      <c r="N43" s="8">
        <f t="shared" si="7"/>
        <v>0</v>
      </c>
      <c r="O43" s="8">
        <f t="shared" si="7"/>
        <v>0</v>
      </c>
      <c r="P43" s="8">
        <f t="shared" si="7"/>
        <v>0</v>
      </c>
      <c r="Q43" s="8">
        <f t="shared" si="7"/>
        <v>0</v>
      </c>
      <c r="R43" s="8">
        <f t="shared" si="7"/>
        <v>0</v>
      </c>
      <c r="S43" s="8">
        <f t="shared" si="7"/>
        <v>0</v>
      </c>
      <c r="T43" s="8">
        <f t="shared" si="7"/>
        <v>0</v>
      </c>
      <c r="U43" s="9">
        <f t="shared" si="7"/>
        <v>0</v>
      </c>
      <c r="V43" s="8">
        <f t="shared" si="7"/>
        <v>0</v>
      </c>
      <c r="W43" s="8">
        <f t="shared" si="7"/>
        <v>0</v>
      </c>
      <c r="X43" s="8">
        <f t="shared" si="7"/>
        <v>0</v>
      </c>
      <c r="Y43" s="8">
        <f t="shared" si="7"/>
        <v>0</v>
      </c>
      <c r="Z43" s="8">
        <f t="shared" si="7"/>
        <v>0</v>
      </c>
      <c r="AA43" s="8">
        <f t="shared" si="7"/>
        <v>0</v>
      </c>
      <c r="AB43" s="8">
        <f t="shared" si="7"/>
        <v>0</v>
      </c>
      <c r="AF43" s="464"/>
      <c r="AG43" s="2" t="s">
        <v>33</v>
      </c>
      <c r="AH43" s="53" t="s">
        <v>13</v>
      </c>
      <c r="AI43" s="21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9"/>
    </row>
    <row r="44" spans="1:59" ht="15" customHeight="1">
      <c r="A44" s="476"/>
      <c r="B44" s="2" t="s">
        <v>290</v>
      </c>
      <c r="C44" s="53" t="s">
        <v>22</v>
      </c>
      <c r="D44" s="8">
        <f t="shared" ref="D44:AB44" si="8">D10*D27</f>
        <v>0</v>
      </c>
      <c r="E44" s="8">
        <f t="shared" si="8"/>
        <v>0</v>
      </c>
      <c r="F44" s="8">
        <f t="shared" si="8"/>
        <v>0</v>
      </c>
      <c r="G44" s="8">
        <f t="shared" si="8"/>
        <v>0</v>
      </c>
      <c r="H44" s="8">
        <f t="shared" si="8"/>
        <v>0</v>
      </c>
      <c r="I44" s="8">
        <f t="shared" si="8"/>
        <v>0</v>
      </c>
      <c r="J44" s="8">
        <f t="shared" si="8"/>
        <v>0</v>
      </c>
      <c r="K44" s="8">
        <f t="shared" si="8"/>
        <v>0</v>
      </c>
      <c r="L44" s="9">
        <f t="shared" si="8"/>
        <v>0</v>
      </c>
      <c r="M44" s="8">
        <f t="shared" si="8"/>
        <v>0</v>
      </c>
      <c r="N44" s="8">
        <f t="shared" si="8"/>
        <v>0</v>
      </c>
      <c r="O44" s="8">
        <f t="shared" si="8"/>
        <v>0</v>
      </c>
      <c r="P44" s="8">
        <f t="shared" si="8"/>
        <v>0</v>
      </c>
      <c r="Q44" s="8">
        <f t="shared" si="8"/>
        <v>0</v>
      </c>
      <c r="R44" s="8">
        <f t="shared" si="8"/>
        <v>0</v>
      </c>
      <c r="S44" s="8">
        <f t="shared" si="8"/>
        <v>0</v>
      </c>
      <c r="T44" s="8">
        <f t="shared" si="8"/>
        <v>0</v>
      </c>
      <c r="U44" s="9">
        <f t="shared" si="8"/>
        <v>-8.0123047741666138</v>
      </c>
      <c r="V44" s="8">
        <f t="shared" si="8"/>
        <v>-25.39598266716661</v>
      </c>
      <c r="W44" s="8">
        <f t="shared" si="8"/>
        <v>-44.702786013166637</v>
      </c>
      <c r="X44" s="8">
        <f t="shared" si="8"/>
        <v>-67.842351482333285</v>
      </c>
      <c r="Y44" s="8">
        <f t="shared" si="8"/>
        <v>-77.558381250666642</v>
      </c>
      <c r="Z44" s="8">
        <f t="shared" si="8"/>
        <v>-88.236226162166602</v>
      </c>
      <c r="AA44" s="8">
        <f t="shared" si="8"/>
        <v>-99.297376775499927</v>
      </c>
      <c r="AB44" s="8">
        <f t="shared" si="8"/>
        <v>-115.92991817399989</v>
      </c>
      <c r="AF44" s="464"/>
      <c r="AG44" s="2" t="s">
        <v>290</v>
      </c>
      <c r="AH44" s="53" t="s">
        <v>22</v>
      </c>
      <c r="AI44" s="21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9"/>
    </row>
    <row r="45" spans="1:59" ht="15" customHeight="1">
      <c r="A45" s="476"/>
      <c r="B45" s="2" t="s">
        <v>14</v>
      </c>
      <c r="C45" s="53" t="s">
        <v>103</v>
      </c>
      <c r="D45" s="8">
        <f t="shared" ref="D45:AB45" si="9">D11*D28</f>
        <v>0</v>
      </c>
      <c r="E45" s="8">
        <f t="shared" si="9"/>
        <v>0</v>
      </c>
      <c r="F45" s="8">
        <f t="shared" si="9"/>
        <v>0</v>
      </c>
      <c r="G45" s="8">
        <f t="shared" si="9"/>
        <v>0</v>
      </c>
      <c r="H45" s="8">
        <f t="shared" si="9"/>
        <v>0</v>
      </c>
      <c r="I45" s="8">
        <f t="shared" si="9"/>
        <v>0</v>
      </c>
      <c r="J45" s="8">
        <f t="shared" si="9"/>
        <v>0</v>
      </c>
      <c r="K45" s="8">
        <f t="shared" si="9"/>
        <v>0</v>
      </c>
      <c r="L45" s="9">
        <f t="shared" si="9"/>
        <v>0</v>
      </c>
      <c r="M45" s="8">
        <f t="shared" si="9"/>
        <v>0</v>
      </c>
      <c r="N45" s="8">
        <f t="shared" si="9"/>
        <v>0</v>
      </c>
      <c r="O45" s="8">
        <f t="shared" si="9"/>
        <v>0</v>
      </c>
      <c r="P45" s="8">
        <f t="shared" si="9"/>
        <v>0</v>
      </c>
      <c r="Q45" s="8">
        <f t="shared" si="9"/>
        <v>0</v>
      </c>
      <c r="R45" s="8">
        <f t="shared" si="9"/>
        <v>0</v>
      </c>
      <c r="S45" s="8">
        <f t="shared" si="9"/>
        <v>0</v>
      </c>
      <c r="T45" s="8">
        <f t="shared" si="9"/>
        <v>0</v>
      </c>
      <c r="U45" s="9">
        <f t="shared" si="9"/>
        <v>0</v>
      </c>
      <c r="V45" s="8">
        <f t="shared" si="9"/>
        <v>0</v>
      </c>
      <c r="W45" s="8">
        <f t="shared" si="9"/>
        <v>0</v>
      </c>
      <c r="X45" s="8">
        <f t="shared" si="9"/>
        <v>0</v>
      </c>
      <c r="Y45" s="8">
        <f t="shared" si="9"/>
        <v>0</v>
      </c>
      <c r="Z45" s="8">
        <f t="shared" si="9"/>
        <v>0</v>
      </c>
      <c r="AA45" s="8">
        <f t="shared" si="9"/>
        <v>0</v>
      </c>
      <c r="AB45" s="8">
        <f t="shared" si="9"/>
        <v>0</v>
      </c>
      <c r="AF45" s="464"/>
      <c r="AG45" s="2" t="s">
        <v>14</v>
      </c>
      <c r="AH45" s="53" t="s">
        <v>103</v>
      </c>
      <c r="AI45" s="21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9"/>
    </row>
    <row r="46" spans="1:59" ht="15" customHeight="1">
      <c r="A46" s="476"/>
      <c r="B46" s="2" t="s">
        <v>108</v>
      </c>
      <c r="C46" s="53" t="s">
        <v>103</v>
      </c>
      <c r="D46" s="8">
        <f t="shared" ref="D46:AB46" si="10">D12*D29</f>
        <v>0</v>
      </c>
      <c r="E46" s="8">
        <f t="shared" si="10"/>
        <v>0</v>
      </c>
      <c r="F46" s="8">
        <f t="shared" si="10"/>
        <v>0</v>
      </c>
      <c r="G46" s="8">
        <f t="shared" si="10"/>
        <v>0</v>
      </c>
      <c r="H46" s="8">
        <f t="shared" si="10"/>
        <v>0</v>
      </c>
      <c r="I46" s="8">
        <f t="shared" si="10"/>
        <v>0</v>
      </c>
      <c r="J46" s="8">
        <f t="shared" si="10"/>
        <v>0</v>
      </c>
      <c r="K46" s="8">
        <f t="shared" si="10"/>
        <v>0</v>
      </c>
      <c r="L46" s="9">
        <f t="shared" si="10"/>
        <v>0</v>
      </c>
      <c r="M46" s="8">
        <f t="shared" si="10"/>
        <v>0</v>
      </c>
      <c r="N46" s="8">
        <f t="shared" si="10"/>
        <v>0</v>
      </c>
      <c r="O46" s="8">
        <f t="shared" si="10"/>
        <v>0</v>
      </c>
      <c r="P46" s="8">
        <f t="shared" si="10"/>
        <v>0</v>
      </c>
      <c r="Q46" s="8">
        <f t="shared" si="10"/>
        <v>0</v>
      </c>
      <c r="R46" s="8">
        <f t="shared" si="10"/>
        <v>0</v>
      </c>
      <c r="S46" s="8">
        <f t="shared" si="10"/>
        <v>0</v>
      </c>
      <c r="T46" s="8">
        <f t="shared" si="10"/>
        <v>0</v>
      </c>
      <c r="U46" s="9">
        <f t="shared" si="10"/>
        <v>0</v>
      </c>
      <c r="V46" s="8">
        <f t="shared" si="10"/>
        <v>0</v>
      </c>
      <c r="W46" s="8">
        <f t="shared" si="10"/>
        <v>0</v>
      </c>
      <c r="X46" s="8">
        <f t="shared" si="10"/>
        <v>0</v>
      </c>
      <c r="Y46" s="8">
        <f t="shared" si="10"/>
        <v>0</v>
      </c>
      <c r="Z46" s="8">
        <f t="shared" si="10"/>
        <v>0</v>
      </c>
      <c r="AA46" s="8">
        <f t="shared" si="10"/>
        <v>0</v>
      </c>
      <c r="AB46" s="8">
        <f t="shared" si="10"/>
        <v>0</v>
      </c>
      <c r="AF46" s="464"/>
      <c r="AG46" s="2" t="s">
        <v>108</v>
      </c>
      <c r="AH46" s="53" t="s">
        <v>103</v>
      </c>
      <c r="AI46" s="21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9"/>
    </row>
    <row r="47" spans="1:59" ht="15" customHeight="1">
      <c r="A47" s="476"/>
      <c r="B47" s="2" t="s">
        <v>122</v>
      </c>
      <c r="C47" s="53" t="s">
        <v>7</v>
      </c>
      <c r="D47" s="8">
        <f t="shared" ref="D47:AB47" si="11">D13*D30</f>
        <v>0</v>
      </c>
      <c r="E47" s="8">
        <f t="shared" si="11"/>
        <v>0</v>
      </c>
      <c r="F47" s="8">
        <f t="shared" si="11"/>
        <v>0</v>
      </c>
      <c r="G47" s="8">
        <f t="shared" si="11"/>
        <v>0</v>
      </c>
      <c r="H47" s="8">
        <f t="shared" si="11"/>
        <v>0.9103018072477862</v>
      </c>
      <c r="I47" s="8">
        <f t="shared" si="11"/>
        <v>9.0137820350529108</v>
      </c>
      <c r="J47" s="8">
        <f t="shared" si="11"/>
        <v>17.009314650979043</v>
      </c>
      <c r="K47" s="8">
        <f t="shared" si="11"/>
        <v>23.270559934696845</v>
      </c>
      <c r="L47" s="9">
        <f t="shared" si="11"/>
        <v>28.943794680431857</v>
      </c>
      <c r="M47" s="8">
        <f t="shared" si="11"/>
        <v>34.245392804185684</v>
      </c>
      <c r="N47" s="8">
        <f t="shared" si="11"/>
        <v>39.318697504689816</v>
      </c>
      <c r="O47" s="8">
        <f t="shared" si="11"/>
        <v>44.260884271956044</v>
      </c>
      <c r="P47" s="8">
        <f t="shared" si="11"/>
        <v>49.724093534535186</v>
      </c>
      <c r="Q47" s="8">
        <f t="shared" si="11"/>
        <v>54.374506933390606</v>
      </c>
      <c r="R47" s="8">
        <f t="shared" si="11"/>
        <v>59.100431477319475</v>
      </c>
      <c r="S47" s="8">
        <f t="shared" si="11"/>
        <v>63.895037783034212</v>
      </c>
      <c r="T47" s="8">
        <f t="shared" si="11"/>
        <v>68.751250872339071</v>
      </c>
      <c r="U47" s="9">
        <f t="shared" si="11"/>
        <v>70.148419664495506</v>
      </c>
      <c r="V47" s="8">
        <f t="shared" si="11"/>
        <v>71.862763963347177</v>
      </c>
      <c r="W47" s="8">
        <f t="shared" si="11"/>
        <v>75.527912304921756</v>
      </c>
      <c r="X47" s="8">
        <f t="shared" si="11"/>
        <v>80.785777596833256</v>
      </c>
      <c r="Y47" s="8">
        <f t="shared" si="11"/>
        <v>84.144853806062244</v>
      </c>
      <c r="Z47" s="8">
        <f t="shared" si="11"/>
        <v>87.992859143533337</v>
      </c>
      <c r="AA47" s="8">
        <f t="shared" si="11"/>
        <v>91.909097528574577</v>
      </c>
      <c r="AB47" s="8">
        <f t="shared" si="11"/>
        <v>97.119407445632021</v>
      </c>
      <c r="AC47" t="s">
        <v>293</v>
      </c>
      <c r="AF47" s="464"/>
      <c r="AG47" s="2" t="s">
        <v>122</v>
      </c>
      <c r="AH47" s="53" t="s">
        <v>7</v>
      </c>
      <c r="AI47" s="21">
        <f>('BAU Comparison - All Fuel'!D83-'BAU Comparison - All Fuel'!D137)*D30</f>
        <v>0</v>
      </c>
      <c r="AJ47" s="8">
        <f>('BAU Comparison - All Fuel'!E83-'BAU Comparison - All Fuel'!E137)*E30</f>
        <v>-3.1974423109204508E-14</v>
      </c>
      <c r="AK47" s="8">
        <f>('BAU Comparison - All Fuel'!F83-'BAU Comparison - All Fuel'!F137)*F30</f>
        <v>32.28297283363667</v>
      </c>
      <c r="AL47" s="8">
        <f>('BAU Comparison - All Fuel'!G83-'BAU Comparison - All Fuel'!G137)*G30</f>
        <v>51.566653435887297</v>
      </c>
      <c r="AM47" s="8">
        <f>('BAU Comparison - All Fuel'!H83-'BAU Comparison - All Fuel'!H137)*H30</f>
        <v>65.914648422520301</v>
      </c>
      <c r="AN47" s="8">
        <f>('BAU Comparison - All Fuel'!I83-'BAU Comparison - All Fuel'!I137)*I30</f>
        <v>72.815968439833043</v>
      </c>
      <c r="AO47" s="8">
        <f>('BAU Comparison - All Fuel'!J83-'BAU Comparison - All Fuel'!J137)*J30</f>
        <v>79.486333362987324</v>
      </c>
      <c r="AP47" s="8">
        <f>('BAU Comparison - All Fuel'!K83-'BAU Comparison - All Fuel'!K137)*K30</f>
        <v>88.082437372535551</v>
      </c>
      <c r="AQ47" s="8">
        <f>('BAU Comparison - All Fuel'!L83-'BAU Comparison - All Fuel'!L137)*L30</f>
        <v>97.222365868978471</v>
      </c>
      <c r="AR47" s="8">
        <f>('BAU Comparison - All Fuel'!M83-'BAU Comparison - All Fuel'!M137)*M30</f>
        <v>106.70741935674963</v>
      </c>
      <c r="AS47" s="8">
        <f>('BAU Comparison - All Fuel'!N83-'BAU Comparison - All Fuel'!N137)*N30</f>
        <v>116.40485928937878</v>
      </c>
      <c r="AT47" s="8">
        <f>('BAU Comparison - All Fuel'!O83-'BAU Comparison - All Fuel'!O137)*O30</f>
        <v>126.22387296821073</v>
      </c>
      <c r="AU47" s="8">
        <f>('BAU Comparison - All Fuel'!P83-'BAU Comparison - All Fuel'!P137)*P30</f>
        <v>135.52902229200595</v>
      </c>
      <c r="AV47" s="8">
        <f>('BAU Comparison - All Fuel'!Q83-'BAU Comparison - All Fuel'!Q137)*Q30</f>
        <v>145.62549306660941</v>
      </c>
      <c r="AW47" s="8">
        <f>('BAU Comparison - All Fuel'!R83-'BAU Comparison - All Fuel'!R137)*R30</f>
        <v>155.64645268822625</v>
      </c>
      <c r="AX47" s="8">
        <f>('BAU Comparison - All Fuel'!S83-'BAU Comparison - All Fuel'!S137)*S30</f>
        <v>165.59873054805712</v>
      </c>
      <c r="AY47" s="8">
        <f>('BAU Comparison - All Fuel'!T83-'BAU Comparison - All Fuel'!T137)*T30</f>
        <v>175.48940162429773</v>
      </c>
      <c r="AZ47" s="8">
        <f>('BAU Comparison - All Fuel'!U83-'BAU Comparison - All Fuel'!U137)*U30</f>
        <v>188.98293799512328</v>
      </c>
      <c r="BA47" s="8">
        <f>('BAU Comparison - All Fuel'!V83-'BAU Comparison - All Fuel'!V137)*V30</f>
        <v>202.13894152891959</v>
      </c>
      <c r="BB47" s="8">
        <f>('BAU Comparison - All Fuel'!W83-'BAU Comparison - All Fuel'!W137)*W30</f>
        <v>213.25488973723691</v>
      </c>
      <c r="BC47" s="8">
        <f>('BAU Comparison - All Fuel'!X83-'BAU Comparison - All Fuel'!X137)*X30</f>
        <v>222.71376783487489</v>
      </c>
      <c r="BD47" s="8">
        <f>('BAU Comparison - All Fuel'!Y83-'BAU Comparison - All Fuel'!Y137)*Y30</f>
        <v>234.14424620422409</v>
      </c>
      <c r="BE47" s="8">
        <f>('BAU Comparison - All Fuel'!Z83-'BAU Comparison - All Fuel'!Z137)*Z30</f>
        <v>245.06514477468744</v>
      </c>
      <c r="BF47" s="8">
        <f>('BAU Comparison - All Fuel'!AA83-'BAU Comparison - All Fuel'!AA137)*AA30</f>
        <v>255.9136057148923</v>
      </c>
      <c r="BG47" s="9">
        <f>('BAU Comparison - All Fuel'!AB83-'BAU Comparison - All Fuel'!AB137)*AB30</f>
        <v>265.42529648104085</v>
      </c>
    </row>
    <row r="48" spans="1:59" ht="15" customHeight="1">
      <c r="A48" s="476"/>
      <c r="B48" s="12" t="s">
        <v>123</v>
      </c>
      <c r="C48" s="53" t="s">
        <v>13</v>
      </c>
      <c r="D48" s="8">
        <f t="shared" ref="D48:AB48" si="12">D14*D31</f>
        <v>0</v>
      </c>
      <c r="E48" s="8">
        <f t="shared" si="12"/>
        <v>0</v>
      </c>
      <c r="F48" s="8">
        <f t="shared" si="12"/>
        <v>0</v>
      </c>
      <c r="G48" s="8">
        <f t="shared" si="12"/>
        <v>0</v>
      </c>
      <c r="H48" s="8">
        <f t="shared" si="12"/>
        <v>0</v>
      </c>
      <c r="I48" s="8">
        <f t="shared" si="12"/>
        <v>0</v>
      </c>
      <c r="J48" s="8">
        <f t="shared" si="12"/>
        <v>0</v>
      </c>
      <c r="K48" s="8">
        <f t="shared" si="12"/>
        <v>0</v>
      </c>
      <c r="L48" s="9">
        <f t="shared" si="12"/>
        <v>0</v>
      </c>
      <c r="M48" s="8">
        <f t="shared" si="12"/>
        <v>0</v>
      </c>
      <c r="N48" s="8">
        <f t="shared" si="12"/>
        <v>0</v>
      </c>
      <c r="O48" s="8">
        <f t="shared" si="12"/>
        <v>0</v>
      </c>
      <c r="P48" s="8">
        <f t="shared" si="12"/>
        <v>0</v>
      </c>
      <c r="Q48" s="8">
        <f t="shared" si="12"/>
        <v>0</v>
      </c>
      <c r="R48" s="8">
        <f t="shared" si="12"/>
        <v>0</v>
      </c>
      <c r="S48" s="8">
        <f t="shared" si="12"/>
        <v>0</v>
      </c>
      <c r="T48" s="8">
        <f t="shared" si="12"/>
        <v>0</v>
      </c>
      <c r="U48" s="9">
        <f t="shared" si="12"/>
        <v>0</v>
      </c>
      <c r="V48" s="8">
        <f t="shared" si="12"/>
        <v>0</v>
      </c>
      <c r="W48" s="8">
        <f t="shared" si="12"/>
        <v>0</v>
      </c>
      <c r="X48" s="8">
        <f t="shared" si="12"/>
        <v>0</v>
      </c>
      <c r="Y48" s="8">
        <f t="shared" si="12"/>
        <v>0</v>
      </c>
      <c r="Z48" s="8">
        <f t="shared" si="12"/>
        <v>0</v>
      </c>
      <c r="AA48" s="8">
        <f t="shared" si="12"/>
        <v>0</v>
      </c>
      <c r="AB48" s="8">
        <f t="shared" si="12"/>
        <v>0</v>
      </c>
      <c r="AF48" s="464"/>
      <c r="AG48" s="12" t="s">
        <v>123</v>
      </c>
      <c r="AH48" s="53" t="s">
        <v>13</v>
      </c>
      <c r="AI48" s="21">
        <f>('BAU Comparison - All Fuel'!D84-'BAU Comparison - All Fuel'!D138)*D31</f>
        <v>0</v>
      </c>
      <c r="AJ48" s="8">
        <f>('BAU Comparison - All Fuel'!E84-'BAU Comparison - All Fuel'!E138)*E31</f>
        <v>0</v>
      </c>
      <c r="AK48" s="8">
        <f>('BAU Comparison - All Fuel'!F84-'BAU Comparison - All Fuel'!F138)*F31</f>
        <v>0</v>
      </c>
      <c r="AL48" s="8">
        <f>('BAU Comparison - All Fuel'!G84-'BAU Comparison - All Fuel'!G138)*G31</f>
        <v>-34.124120079720399</v>
      </c>
      <c r="AM48" s="8">
        <f>('BAU Comparison - All Fuel'!H84-'BAU Comparison - All Fuel'!H138)*H31</f>
        <v>-57.186409977497902</v>
      </c>
      <c r="AN48" s="8">
        <f>('BAU Comparison - All Fuel'!I84-'BAU Comparison - All Fuel'!I138)*I31</f>
        <v>-34.31184598649881</v>
      </c>
      <c r="AO48" s="8">
        <f>('BAU Comparison - All Fuel'!J84-'BAU Comparison - All Fuel'!J138)*J31</f>
        <v>-20.587107591899212</v>
      </c>
      <c r="AP48" s="8">
        <f>('BAU Comparison - All Fuel'!K84-'BAU Comparison - All Fuel'!K138)*K31</f>
        <v>-12.352264555139499</v>
      </c>
      <c r="AQ48" s="8">
        <f>('BAU Comparison - All Fuel'!L84-'BAU Comparison - All Fuel'!L138)*L31</f>
        <v>0</v>
      </c>
      <c r="AR48" s="8">
        <f>('BAU Comparison - All Fuel'!M84-'BAU Comparison - All Fuel'!M138)*M31</f>
        <v>0</v>
      </c>
      <c r="AS48" s="8">
        <f>('BAU Comparison - All Fuel'!N84-'BAU Comparison - All Fuel'!N138)*N31</f>
        <v>0</v>
      </c>
      <c r="AT48" s="8">
        <f>('BAU Comparison - All Fuel'!O84-'BAU Comparison - All Fuel'!O138)*O31</f>
        <v>0</v>
      </c>
      <c r="AU48" s="8">
        <f>('BAU Comparison - All Fuel'!P84-'BAU Comparison - All Fuel'!P138)*P31</f>
        <v>0</v>
      </c>
      <c r="AV48" s="8">
        <f>('BAU Comparison - All Fuel'!Q84-'BAU Comparison - All Fuel'!Q138)*Q31</f>
        <v>0</v>
      </c>
      <c r="AW48" s="8">
        <f>('BAU Comparison - All Fuel'!R84-'BAU Comparison - All Fuel'!R138)*R31</f>
        <v>0</v>
      </c>
      <c r="AX48" s="8">
        <f>('BAU Comparison - All Fuel'!S84-'BAU Comparison - All Fuel'!S138)*S31</f>
        <v>0</v>
      </c>
      <c r="AY48" s="8">
        <f>('BAU Comparison - All Fuel'!T84-'BAU Comparison - All Fuel'!T138)*T31</f>
        <v>0</v>
      </c>
      <c r="AZ48" s="8">
        <f>('BAU Comparison - All Fuel'!U84-'BAU Comparison - All Fuel'!U138)*U31</f>
        <v>0</v>
      </c>
      <c r="BA48" s="8">
        <f>('BAU Comparison - All Fuel'!V84-'BAU Comparison - All Fuel'!V138)*V31</f>
        <v>0</v>
      </c>
      <c r="BB48" s="8">
        <f>('BAU Comparison - All Fuel'!W84-'BAU Comparison - All Fuel'!W138)*W31</f>
        <v>0</v>
      </c>
      <c r="BC48" s="8">
        <f>('BAU Comparison - All Fuel'!X84-'BAU Comparison - All Fuel'!X138)*X31</f>
        <v>0</v>
      </c>
      <c r="BD48" s="8">
        <f>('BAU Comparison - All Fuel'!Y84-'BAU Comparison - All Fuel'!Y138)*Y31</f>
        <v>0</v>
      </c>
      <c r="BE48" s="8">
        <f>('BAU Comparison - All Fuel'!Z84-'BAU Comparison - All Fuel'!Z138)*Z31</f>
        <v>0</v>
      </c>
      <c r="BF48" s="8">
        <f>('BAU Comparison - All Fuel'!AA84-'BAU Comparison - All Fuel'!AA138)*AA31</f>
        <v>0</v>
      </c>
      <c r="BG48" s="9">
        <f>('BAU Comparison - All Fuel'!AB84-'BAU Comparison - All Fuel'!AB138)*AB31</f>
        <v>0</v>
      </c>
    </row>
    <row r="49" spans="1:59" ht="15" customHeight="1">
      <c r="A49" s="476"/>
      <c r="B49" s="12" t="s">
        <v>124</v>
      </c>
      <c r="C49" s="53" t="s">
        <v>13</v>
      </c>
      <c r="D49" s="8">
        <f t="shared" ref="D49:AB49" si="13">D15*D32</f>
        <v>0</v>
      </c>
      <c r="E49" s="8">
        <f t="shared" si="13"/>
        <v>0</v>
      </c>
      <c r="F49" s="8">
        <f t="shared" si="13"/>
        <v>0</v>
      </c>
      <c r="G49" s="8">
        <f t="shared" si="13"/>
        <v>25.23821786989749</v>
      </c>
      <c r="H49" s="8">
        <f t="shared" si="13"/>
        <v>44.815686692459295</v>
      </c>
      <c r="I49" s="8">
        <f t="shared" si="13"/>
        <v>14.1345053344094</v>
      </c>
      <c r="J49" s="8">
        <f t="shared" si="13"/>
        <v>15.886784643409495</v>
      </c>
      <c r="K49" s="8">
        <f t="shared" si="13"/>
        <v>6.3609855852725339</v>
      </c>
      <c r="L49" s="9">
        <f t="shared" si="13"/>
        <v>0</v>
      </c>
      <c r="M49" s="8">
        <f t="shared" si="13"/>
        <v>0</v>
      </c>
      <c r="N49" s="8">
        <f t="shared" si="13"/>
        <v>0</v>
      </c>
      <c r="O49" s="8">
        <f t="shared" si="13"/>
        <v>0</v>
      </c>
      <c r="P49" s="8">
        <f t="shared" si="13"/>
        <v>0</v>
      </c>
      <c r="Q49" s="8">
        <f t="shared" si="13"/>
        <v>0</v>
      </c>
      <c r="R49" s="8">
        <f t="shared" si="13"/>
        <v>0</v>
      </c>
      <c r="S49" s="8">
        <f t="shared" si="13"/>
        <v>0</v>
      </c>
      <c r="T49" s="8">
        <f t="shared" si="13"/>
        <v>0</v>
      </c>
      <c r="U49" s="9">
        <f t="shared" si="13"/>
        <v>0</v>
      </c>
      <c r="V49" s="8">
        <f t="shared" si="13"/>
        <v>0</v>
      </c>
      <c r="W49" s="8">
        <f t="shared" si="13"/>
        <v>0</v>
      </c>
      <c r="X49" s="8">
        <f t="shared" si="13"/>
        <v>0</v>
      </c>
      <c r="Y49" s="8">
        <f t="shared" si="13"/>
        <v>0</v>
      </c>
      <c r="Z49" s="8">
        <f t="shared" si="13"/>
        <v>0</v>
      </c>
      <c r="AA49" s="8">
        <f t="shared" si="13"/>
        <v>0</v>
      </c>
      <c r="AB49" s="8">
        <f t="shared" si="13"/>
        <v>0</v>
      </c>
      <c r="AF49" s="464"/>
      <c r="AG49" s="12" t="s">
        <v>124</v>
      </c>
      <c r="AH49" s="53" t="s">
        <v>13</v>
      </c>
      <c r="AI49" s="21">
        <f>('BAU Comparison - All Fuel'!D85-'BAU Comparison - All Fuel'!D139)*D32</f>
        <v>0</v>
      </c>
      <c r="AJ49" s="8">
        <f>('BAU Comparison - All Fuel'!E85-'BAU Comparison - All Fuel'!E139)*E32</f>
        <v>0</v>
      </c>
      <c r="AK49" s="8">
        <f>('BAU Comparison - All Fuel'!F85-'BAU Comparison - All Fuel'!F139)*F32</f>
        <v>0</v>
      </c>
      <c r="AL49" s="8">
        <f>('BAU Comparison - All Fuel'!G85-'BAU Comparison - All Fuel'!G139)*G32</f>
        <v>8.8859022098228948</v>
      </c>
      <c r="AM49" s="8">
        <f>('BAU Comparison - All Fuel'!H85-'BAU Comparison - All Fuel'!H139)*H32</f>
        <v>12.370723285038594</v>
      </c>
      <c r="AN49" s="8">
        <f>('BAU Comparison - All Fuel'!I85-'BAU Comparison - All Fuel'!I139)*I32</f>
        <v>20.177340652089338</v>
      </c>
      <c r="AO49" s="8">
        <f>('BAU Comparison - All Fuel'!J85-'BAU Comparison - All Fuel'!J139)*J32</f>
        <v>4.700322948489756</v>
      </c>
      <c r="AP49" s="8">
        <f>('BAU Comparison - All Fuel'!K85-'BAU Comparison - All Fuel'!K139)*K32</f>
        <v>5.9912789698670164</v>
      </c>
      <c r="AQ49" s="8">
        <f>('BAU Comparison - All Fuel'!L85-'BAU Comparison - All Fuel'!L139)*L32</f>
        <v>0</v>
      </c>
      <c r="AR49" s="8">
        <f>('BAU Comparison - All Fuel'!M85-'BAU Comparison - All Fuel'!M139)*M32</f>
        <v>0</v>
      </c>
      <c r="AS49" s="8">
        <f>('BAU Comparison - All Fuel'!N85-'BAU Comparison - All Fuel'!N139)*N32</f>
        <v>0</v>
      </c>
      <c r="AT49" s="8">
        <f>('BAU Comparison - All Fuel'!O85-'BAU Comparison - All Fuel'!O139)*O32</f>
        <v>0</v>
      </c>
      <c r="AU49" s="8">
        <f>('BAU Comparison - All Fuel'!P85-'BAU Comparison - All Fuel'!P139)*P32</f>
        <v>0</v>
      </c>
      <c r="AV49" s="8">
        <f>('BAU Comparison - All Fuel'!Q85-'BAU Comparison - All Fuel'!Q139)*Q32</f>
        <v>0</v>
      </c>
      <c r="AW49" s="8">
        <f>('BAU Comparison - All Fuel'!R85-'BAU Comparison - All Fuel'!R139)*R32</f>
        <v>0</v>
      </c>
      <c r="AX49" s="8">
        <f>('BAU Comparison - All Fuel'!S85-'BAU Comparison - All Fuel'!S139)*S32</f>
        <v>0</v>
      </c>
      <c r="AY49" s="8">
        <f>('BAU Comparison - All Fuel'!T85-'BAU Comparison - All Fuel'!T139)*T32</f>
        <v>0</v>
      </c>
      <c r="AZ49" s="8">
        <f>('BAU Comparison - All Fuel'!U85-'BAU Comparison - All Fuel'!U139)*U32</f>
        <v>0</v>
      </c>
      <c r="BA49" s="8">
        <f>('BAU Comparison - All Fuel'!V85-'BAU Comparison - All Fuel'!V139)*V32</f>
        <v>0</v>
      </c>
      <c r="BB49" s="8">
        <f>('BAU Comparison - All Fuel'!W85-'BAU Comparison - All Fuel'!W139)*W32</f>
        <v>0</v>
      </c>
      <c r="BC49" s="8">
        <f>('BAU Comparison - All Fuel'!X85-'BAU Comparison - All Fuel'!X139)*X32</f>
        <v>0</v>
      </c>
      <c r="BD49" s="8">
        <f>('BAU Comparison - All Fuel'!Y85-'BAU Comparison - All Fuel'!Y139)*Y32</f>
        <v>0</v>
      </c>
      <c r="BE49" s="8">
        <f>('BAU Comparison - All Fuel'!Z85-'BAU Comparison - All Fuel'!Z139)*Z32</f>
        <v>0</v>
      </c>
      <c r="BF49" s="8">
        <f>('BAU Comparison - All Fuel'!AA85-'BAU Comparison - All Fuel'!AA139)*AA32</f>
        <v>0</v>
      </c>
      <c r="BG49" s="9">
        <f>('BAU Comparison - All Fuel'!AB85-'BAU Comparison - All Fuel'!AB139)*AB32</f>
        <v>0</v>
      </c>
    </row>
    <row r="50" spans="1:59" ht="15.75" customHeight="1" thickBot="1">
      <c r="A50" s="476"/>
      <c r="B50" s="12" t="s">
        <v>218</v>
      </c>
      <c r="C50" s="53" t="s">
        <v>7</v>
      </c>
      <c r="D50" s="8">
        <f t="shared" ref="D50:AB50" si="14">D16*D33</f>
        <v>0</v>
      </c>
      <c r="E50" s="8">
        <f t="shared" si="14"/>
        <v>0</v>
      </c>
      <c r="F50" s="8">
        <f t="shared" si="14"/>
        <v>0</v>
      </c>
      <c r="G50" s="8">
        <f t="shared" si="14"/>
        <v>0</v>
      </c>
      <c r="H50" s="8">
        <f t="shared" si="14"/>
        <v>0</v>
      </c>
      <c r="I50" s="8">
        <f t="shared" si="14"/>
        <v>0</v>
      </c>
      <c r="J50" s="8">
        <f t="shared" si="14"/>
        <v>0</v>
      </c>
      <c r="K50" s="8">
        <f t="shared" si="14"/>
        <v>0</v>
      </c>
      <c r="L50" s="9">
        <f t="shared" si="14"/>
        <v>0</v>
      </c>
      <c r="M50" s="8">
        <f t="shared" si="14"/>
        <v>0</v>
      </c>
      <c r="N50" s="8">
        <f t="shared" si="14"/>
        <v>0</v>
      </c>
      <c r="O50" s="8">
        <f t="shared" si="14"/>
        <v>0</v>
      </c>
      <c r="P50" s="8">
        <f t="shared" si="14"/>
        <v>0</v>
      </c>
      <c r="Q50" s="8">
        <f t="shared" si="14"/>
        <v>0</v>
      </c>
      <c r="R50" s="8">
        <f t="shared" si="14"/>
        <v>0</v>
      </c>
      <c r="S50" s="8">
        <f t="shared" si="14"/>
        <v>0</v>
      </c>
      <c r="T50" s="8">
        <f t="shared" si="14"/>
        <v>0</v>
      </c>
      <c r="U50" s="9">
        <f t="shared" si="14"/>
        <v>0</v>
      </c>
      <c r="V50" s="8">
        <f t="shared" si="14"/>
        <v>0</v>
      </c>
      <c r="W50" s="8">
        <f t="shared" si="14"/>
        <v>0</v>
      </c>
      <c r="X50" s="8">
        <f t="shared" si="14"/>
        <v>0</v>
      </c>
      <c r="Y50" s="8">
        <f t="shared" si="14"/>
        <v>0</v>
      </c>
      <c r="Z50" s="8">
        <f t="shared" si="14"/>
        <v>0</v>
      </c>
      <c r="AA50" s="8">
        <f t="shared" si="14"/>
        <v>0</v>
      </c>
      <c r="AB50" s="8">
        <f t="shared" si="14"/>
        <v>0</v>
      </c>
      <c r="AF50" s="465"/>
      <c r="AG50" s="54" t="s">
        <v>218</v>
      </c>
      <c r="AH50" s="67" t="s">
        <v>7</v>
      </c>
      <c r="AI50" s="22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4"/>
    </row>
    <row r="51" spans="1:59" ht="15.75" thickBot="1"/>
    <row r="52" spans="1:59">
      <c r="A52" s="480" t="s">
        <v>294</v>
      </c>
      <c r="B52" s="252" t="s">
        <v>3</v>
      </c>
      <c r="C52" s="253" t="s">
        <v>1</v>
      </c>
      <c r="D52" s="346">
        <v>2022</v>
      </c>
      <c r="E52" s="346">
        <v>2023</v>
      </c>
      <c r="F52" s="346">
        <v>2024</v>
      </c>
      <c r="G52" s="346">
        <v>2025</v>
      </c>
      <c r="H52" s="346">
        <v>2026</v>
      </c>
      <c r="I52" s="346">
        <v>2027</v>
      </c>
      <c r="J52" s="346">
        <v>2028</v>
      </c>
      <c r="K52" s="346">
        <v>2029</v>
      </c>
      <c r="L52" s="346">
        <v>2030</v>
      </c>
      <c r="M52" s="346">
        <v>2031</v>
      </c>
      <c r="N52" s="346">
        <v>2032</v>
      </c>
      <c r="O52" s="346">
        <v>2033</v>
      </c>
      <c r="P52" s="346">
        <v>2034</v>
      </c>
      <c r="Q52" s="346">
        <v>2035</v>
      </c>
      <c r="R52" s="346">
        <v>2036</v>
      </c>
      <c r="S52" s="346">
        <v>2037</v>
      </c>
      <c r="T52" s="346">
        <v>2038</v>
      </c>
      <c r="U52" s="346">
        <v>2039</v>
      </c>
      <c r="V52" s="346">
        <v>2040</v>
      </c>
      <c r="W52" s="346">
        <v>2041</v>
      </c>
      <c r="X52" s="346">
        <v>2042</v>
      </c>
      <c r="Y52" s="346">
        <v>2043</v>
      </c>
      <c r="Z52" s="346">
        <v>2044</v>
      </c>
      <c r="AA52" s="346">
        <v>2045</v>
      </c>
      <c r="AB52" s="254">
        <v>2046</v>
      </c>
      <c r="AC52" t="s">
        <v>295</v>
      </c>
    </row>
    <row r="53" spans="1:59" s="171" customFormat="1">
      <c r="A53" s="459"/>
      <c r="B53" s="255" t="s">
        <v>115</v>
      </c>
      <c r="C53" s="208" t="s">
        <v>296</v>
      </c>
      <c r="D53" s="170">
        <f t="shared" ref="D53:AB53" si="15">D36*1000000/85*1.02/(1-0.12)</f>
        <v>0</v>
      </c>
      <c r="E53" s="170">
        <f t="shared" si="15"/>
        <v>0</v>
      </c>
      <c r="F53" s="170">
        <f t="shared" si="15"/>
        <v>0</v>
      </c>
      <c r="G53" s="170">
        <f t="shared" si="15"/>
        <v>0</v>
      </c>
      <c r="H53" s="170">
        <f t="shared" si="15"/>
        <v>0</v>
      </c>
      <c r="I53" s="170">
        <f t="shared" si="15"/>
        <v>0</v>
      </c>
      <c r="J53" s="170">
        <f t="shared" si="15"/>
        <v>0</v>
      </c>
      <c r="K53" s="170">
        <f t="shared" si="15"/>
        <v>0</v>
      </c>
      <c r="L53" s="170">
        <f t="shared" si="15"/>
        <v>0</v>
      </c>
      <c r="M53" s="170">
        <f t="shared" si="15"/>
        <v>0</v>
      </c>
      <c r="N53" s="170">
        <f t="shared" si="15"/>
        <v>0</v>
      </c>
      <c r="O53" s="170">
        <f t="shared" si="15"/>
        <v>0</v>
      </c>
      <c r="P53" s="170">
        <f t="shared" si="15"/>
        <v>0</v>
      </c>
      <c r="Q53" s="170">
        <f t="shared" si="15"/>
        <v>0</v>
      </c>
      <c r="R53" s="170">
        <f t="shared" si="15"/>
        <v>0</v>
      </c>
      <c r="S53" s="170">
        <f t="shared" si="15"/>
        <v>0</v>
      </c>
      <c r="T53" s="170">
        <f t="shared" si="15"/>
        <v>0</v>
      </c>
      <c r="U53" s="170">
        <f t="shared" si="15"/>
        <v>0</v>
      </c>
      <c r="V53" s="170">
        <f t="shared" si="15"/>
        <v>0</v>
      </c>
      <c r="W53" s="170">
        <f t="shared" si="15"/>
        <v>0</v>
      </c>
      <c r="X53" s="170">
        <f t="shared" si="15"/>
        <v>0</v>
      </c>
      <c r="Y53" s="170">
        <f t="shared" si="15"/>
        <v>0</v>
      </c>
      <c r="Z53" s="170">
        <f t="shared" si="15"/>
        <v>0</v>
      </c>
      <c r="AA53" s="170">
        <f t="shared" si="15"/>
        <v>0</v>
      </c>
      <c r="AB53" s="256">
        <f t="shared" si="15"/>
        <v>0</v>
      </c>
      <c r="AC53" s="171" t="s">
        <v>297</v>
      </c>
    </row>
    <row r="54" spans="1:59" s="171" customFormat="1">
      <c r="A54" s="459"/>
      <c r="B54" s="255" t="s">
        <v>19</v>
      </c>
      <c r="C54" s="208" t="s">
        <v>296</v>
      </c>
      <c r="D54" s="170">
        <f t="shared" ref="D54:AB54" si="16">D37*1000000/21.4*1.02*1000/907.185</f>
        <v>0</v>
      </c>
      <c r="E54" s="170">
        <f t="shared" si="16"/>
        <v>0</v>
      </c>
      <c r="F54" s="170">
        <f t="shared" si="16"/>
        <v>0</v>
      </c>
      <c r="G54" s="170">
        <f t="shared" si="16"/>
        <v>0</v>
      </c>
      <c r="H54" s="170">
        <f t="shared" si="16"/>
        <v>0</v>
      </c>
      <c r="I54" s="170">
        <f t="shared" si="16"/>
        <v>0</v>
      </c>
      <c r="J54" s="170">
        <f t="shared" si="16"/>
        <v>0</v>
      </c>
      <c r="K54" s="170">
        <f t="shared" si="16"/>
        <v>0</v>
      </c>
      <c r="L54" s="170">
        <f t="shared" si="16"/>
        <v>0</v>
      </c>
      <c r="M54" s="170">
        <f t="shared" si="16"/>
        <v>0</v>
      </c>
      <c r="N54" s="170">
        <f t="shared" si="16"/>
        <v>0</v>
      </c>
      <c r="O54" s="170">
        <f t="shared" si="16"/>
        <v>0</v>
      </c>
      <c r="P54" s="170">
        <f t="shared" si="16"/>
        <v>0</v>
      </c>
      <c r="Q54" s="170">
        <f t="shared" si="16"/>
        <v>0</v>
      </c>
      <c r="R54" s="170">
        <f t="shared" si="16"/>
        <v>0</v>
      </c>
      <c r="S54" s="170">
        <f t="shared" si="16"/>
        <v>0</v>
      </c>
      <c r="T54" s="170">
        <f t="shared" si="16"/>
        <v>0</v>
      </c>
      <c r="U54" s="170">
        <f t="shared" si="16"/>
        <v>0</v>
      </c>
      <c r="V54" s="170">
        <f t="shared" si="16"/>
        <v>0</v>
      </c>
      <c r="W54" s="170">
        <f t="shared" si="16"/>
        <v>0</v>
      </c>
      <c r="X54" s="170">
        <f t="shared" si="16"/>
        <v>0</v>
      </c>
      <c r="Y54" s="170">
        <f t="shared" si="16"/>
        <v>0</v>
      </c>
      <c r="Z54" s="170">
        <f t="shared" si="16"/>
        <v>0</v>
      </c>
      <c r="AA54" s="170">
        <f t="shared" si="16"/>
        <v>0</v>
      </c>
      <c r="AB54" s="256">
        <f t="shared" si="16"/>
        <v>0</v>
      </c>
      <c r="AC54" s="171" t="s">
        <v>298</v>
      </c>
      <c r="AH54" s="208"/>
      <c r="AJ54" s="216"/>
    </row>
    <row r="55" spans="1:59">
      <c r="A55" s="459"/>
      <c r="B55" s="258" t="s">
        <v>104</v>
      </c>
      <c r="C55" s="2" t="s">
        <v>299</v>
      </c>
      <c r="D55" s="8">
        <f t="shared" ref="D55:AB55" si="17">D38/$AD$55*1000000</f>
        <v>0</v>
      </c>
      <c r="E55" s="8">
        <f t="shared" si="17"/>
        <v>0</v>
      </c>
      <c r="F55" s="8">
        <f t="shared" si="17"/>
        <v>0</v>
      </c>
      <c r="G55" s="8">
        <f t="shared" si="17"/>
        <v>0</v>
      </c>
      <c r="H55" s="8">
        <f t="shared" si="17"/>
        <v>0</v>
      </c>
      <c r="I55" s="8">
        <f t="shared" si="17"/>
        <v>0</v>
      </c>
      <c r="J55" s="8">
        <f t="shared" si="17"/>
        <v>0</v>
      </c>
      <c r="K55" s="8">
        <f>K38/$AD$55*1000000</f>
        <v>0</v>
      </c>
      <c r="L55" s="8">
        <f t="shared" si="17"/>
        <v>0</v>
      </c>
      <c r="M55" s="8">
        <f t="shared" si="17"/>
        <v>0</v>
      </c>
      <c r="N55" s="8">
        <f t="shared" si="17"/>
        <v>0</v>
      </c>
      <c r="O55" s="8">
        <f t="shared" si="17"/>
        <v>0</v>
      </c>
      <c r="P55" s="8">
        <f t="shared" si="17"/>
        <v>0</v>
      </c>
      <c r="Q55" s="8">
        <f t="shared" si="17"/>
        <v>0</v>
      </c>
      <c r="R55" s="8">
        <f t="shared" si="17"/>
        <v>0</v>
      </c>
      <c r="S55" s="8">
        <f t="shared" si="17"/>
        <v>0</v>
      </c>
      <c r="T55" s="8">
        <f t="shared" si="17"/>
        <v>0</v>
      </c>
      <c r="U55" s="8">
        <f t="shared" si="17"/>
        <v>0</v>
      </c>
      <c r="V55" s="8">
        <f t="shared" si="17"/>
        <v>0</v>
      </c>
      <c r="W55" s="8">
        <f t="shared" si="17"/>
        <v>0</v>
      </c>
      <c r="X55" s="8">
        <f t="shared" si="17"/>
        <v>0</v>
      </c>
      <c r="Y55" s="8">
        <f t="shared" si="17"/>
        <v>0</v>
      </c>
      <c r="Z55" s="8">
        <f>Z38/$AD$55*1000000</f>
        <v>0</v>
      </c>
      <c r="AA55" s="8">
        <f t="shared" si="17"/>
        <v>0</v>
      </c>
      <c r="AB55" s="8">
        <f t="shared" si="17"/>
        <v>0</v>
      </c>
      <c r="AC55" t="s">
        <v>300</v>
      </c>
      <c r="AD55" s="8">
        <f>38267/129.65</f>
        <v>295.15618974161202</v>
      </c>
      <c r="AI55" s="60"/>
      <c r="AJ55" s="139"/>
    </row>
    <row r="56" spans="1:59" s="171" customFormat="1">
      <c r="A56" s="459"/>
      <c r="B56" s="255" t="s">
        <v>289</v>
      </c>
      <c r="C56" s="208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256"/>
      <c r="AI56" s="206"/>
      <c r="AJ56" s="216"/>
    </row>
    <row r="57" spans="1:59" s="171" customFormat="1">
      <c r="A57" s="459"/>
      <c r="B57" s="255" t="s">
        <v>118</v>
      </c>
      <c r="C57" s="208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256"/>
      <c r="AI57" s="206"/>
      <c r="AJ57" s="216"/>
    </row>
    <row r="58" spans="1:59" s="171" customFormat="1">
      <c r="A58" s="459"/>
      <c r="B58" s="255" t="s">
        <v>9</v>
      </c>
      <c r="C58" s="208" t="s">
        <v>301</v>
      </c>
      <c r="D58" s="170">
        <f t="shared" ref="D58:AB58" si="18">D41*1000000/0.137/2000</f>
        <v>0</v>
      </c>
      <c r="E58" s="170">
        <f t="shared" si="18"/>
        <v>0</v>
      </c>
      <c r="F58" s="170">
        <f t="shared" si="18"/>
        <v>0</v>
      </c>
      <c r="G58" s="170">
        <f t="shared" si="18"/>
        <v>0</v>
      </c>
      <c r="H58" s="170">
        <f t="shared" si="18"/>
        <v>0</v>
      </c>
      <c r="I58" s="170">
        <f t="shared" si="18"/>
        <v>0</v>
      </c>
      <c r="J58" s="170">
        <f t="shared" si="18"/>
        <v>0</v>
      </c>
      <c r="K58" s="170">
        <f t="shared" si="18"/>
        <v>0</v>
      </c>
      <c r="L58" s="170">
        <f t="shared" si="18"/>
        <v>0</v>
      </c>
      <c r="M58" s="170">
        <f t="shared" si="18"/>
        <v>0</v>
      </c>
      <c r="N58" s="170">
        <f t="shared" si="18"/>
        <v>0</v>
      </c>
      <c r="O58" s="170">
        <f t="shared" si="18"/>
        <v>0</v>
      </c>
      <c r="P58" s="170">
        <f t="shared" si="18"/>
        <v>0</v>
      </c>
      <c r="Q58" s="170">
        <f t="shared" si="18"/>
        <v>0</v>
      </c>
      <c r="R58" s="170">
        <f t="shared" si="18"/>
        <v>0</v>
      </c>
      <c r="S58" s="170">
        <f t="shared" si="18"/>
        <v>0</v>
      </c>
      <c r="T58" s="170">
        <f t="shared" si="18"/>
        <v>0</v>
      </c>
      <c r="U58" s="170">
        <f t="shared" si="18"/>
        <v>0</v>
      </c>
      <c r="V58" s="170">
        <f t="shared" si="18"/>
        <v>0</v>
      </c>
      <c r="W58" s="170">
        <f t="shared" si="18"/>
        <v>0</v>
      </c>
      <c r="X58" s="170">
        <f t="shared" si="18"/>
        <v>0</v>
      </c>
      <c r="Y58" s="170">
        <f t="shared" si="18"/>
        <v>0</v>
      </c>
      <c r="Z58" s="170">
        <f t="shared" si="18"/>
        <v>0</v>
      </c>
      <c r="AA58" s="170">
        <f t="shared" si="18"/>
        <v>0</v>
      </c>
      <c r="AB58" s="256">
        <f t="shared" si="18"/>
        <v>0</v>
      </c>
      <c r="AC58" s="171" t="s">
        <v>302</v>
      </c>
      <c r="AD58" s="171">
        <f>0.137*2000</f>
        <v>274</v>
      </c>
      <c r="AI58" s="206"/>
      <c r="AJ58" s="216"/>
    </row>
    <row r="59" spans="1:59">
      <c r="A59" s="459"/>
      <c r="B59" s="258" t="s">
        <v>34</v>
      </c>
      <c r="C59" s="2" t="s">
        <v>299</v>
      </c>
      <c r="D59" s="8">
        <f t="shared" ref="D59:AB59" si="19">D42/$AD$59*1000000</f>
        <v>0</v>
      </c>
      <c r="E59" s="8">
        <f t="shared" si="19"/>
        <v>0</v>
      </c>
      <c r="F59" s="8">
        <f t="shared" si="19"/>
        <v>0</v>
      </c>
      <c r="G59" s="8">
        <f>G42/$AD$59*1000000</f>
        <v>0</v>
      </c>
      <c r="H59" s="8">
        <f t="shared" si="19"/>
        <v>50171.510864548734</v>
      </c>
      <c r="I59" s="8">
        <f t="shared" si="19"/>
        <v>429080.17627014784</v>
      </c>
      <c r="J59" s="8">
        <f t="shared" si="19"/>
        <v>645809.15065308323</v>
      </c>
      <c r="K59" s="8">
        <f>K42/$AD$59*1000000</f>
        <v>770886.7012524493</v>
      </c>
      <c r="L59" s="8">
        <f t="shared" si="19"/>
        <v>839440.10139114736</v>
      </c>
      <c r="M59" s="8">
        <f t="shared" si="19"/>
        <v>874142.8089979752</v>
      </c>
      <c r="N59" s="8">
        <f t="shared" si="19"/>
        <v>888553.09647336509</v>
      </c>
      <c r="O59" s="8">
        <f t="shared" si="19"/>
        <v>890768.08434198739</v>
      </c>
      <c r="P59" s="8">
        <f t="shared" si="19"/>
        <v>900697.47786182619</v>
      </c>
      <c r="Q59" s="8">
        <f t="shared" si="19"/>
        <v>884941.70664480852</v>
      </c>
      <c r="R59" s="8">
        <f t="shared" si="19"/>
        <v>868930.10089781065</v>
      </c>
      <c r="S59" s="8">
        <f t="shared" si="19"/>
        <v>852685.79882197699</v>
      </c>
      <c r="T59" s="8">
        <f t="shared" si="19"/>
        <v>836232.77070301364</v>
      </c>
      <c r="U59" s="8">
        <f t="shared" si="19"/>
        <v>831499.11157365725</v>
      </c>
      <c r="V59" s="8">
        <f t="shared" si="19"/>
        <v>825690.85019058269</v>
      </c>
      <c r="W59" s="8">
        <f t="shared" si="19"/>
        <v>813273.1931365896</v>
      </c>
      <c r="X59" s="8">
        <f t="shared" si="19"/>
        <v>795459.35261874588</v>
      </c>
      <c r="Y59" s="8">
        <f t="shared" si="19"/>
        <v>784078.67917879682</v>
      </c>
      <c r="Z59" s="8">
        <f t="shared" si="19"/>
        <v>771041.49591376097</v>
      </c>
      <c r="AA59" s="8">
        <f t="shared" si="19"/>
        <v>757773.13658011588</v>
      </c>
      <c r="AB59" s="257">
        <f t="shared" si="19"/>
        <v>740120.4154170641</v>
      </c>
      <c r="AC59" t="s">
        <v>303</v>
      </c>
      <c r="AD59" s="101">
        <f>38267/129.65</f>
        <v>295.15618974161202</v>
      </c>
      <c r="AI59" s="60"/>
      <c r="AJ59" s="139"/>
    </row>
    <row r="60" spans="1:59">
      <c r="A60" s="459"/>
      <c r="B60" s="258" t="s">
        <v>33</v>
      </c>
      <c r="C60" s="2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257"/>
      <c r="AI60" s="60"/>
      <c r="AJ60" s="139"/>
    </row>
    <row r="61" spans="1:59">
      <c r="A61" s="459"/>
      <c r="B61" s="258" t="s">
        <v>290</v>
      </c>
      <c r="C61" s="2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257"/>
      <c r="AJ61" s="139"/>
    </row>
    <row r="62" spans="1:59" s="171" customFormat="1">
      <c r="A62" s="459"/>
      <c r="B62" s="255" t="s">
        <v>14</v>
      </c>
      <c r="C62" s="208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256"/>
    </row>
    <row r="63" spans="1:59" s="171" customFormat="1">
      <c r="A63" s="459"/>
      <c r="B63" s="255" t="s">
        <v>108</v>
      </c>
      <c r="C63" s="208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256"/>
    </row>
    <row r="64" spans="1:59">
      <c r="A64" s="459"/>
      <c r="B64" s="258" t="s">
        <v>122</v>
      </c>
      <c r="C64" s="2" t="s">
        <v>299</v>
      </c>
      <c r="D64" s="8">
        <f t="shared" ref="D64:AB64" si="20">D47/$AD$64*1000000</f>
        <v>0</v>
      </c>
      <c r="E64" s="8">
        <f t="shared" si="20"/>
        <v>0</v>
      </c>
      <c r="F64" s="8">
        <f t="shared" si="20"/>
        <v>0</v>
      </c>
      <c r="G64" s="8">
        <f t="shared" si="20"/>
        <v>0</v>
      </c>
      <c r="H64" s="8">
        <f t="shared" si="20"/>
        <v>3202.9046165239765</v>
      </c>
      <c r="I64" s="8">
        <f t="shared" si="20"/>
        <v>31715.068411979206</v>
      </c>
      <c r="J64" s="8">
        <f t="shared" si="20"/>
        <v>59847.417621022389</v>
      </c>
      <c r="K64" s="8">
        <f t="shared" si="20"/>
        <v>81877.662167103932</v>
      </c>
      <c r="L64" s="8">
        <f t="shared" si="20"/>
        <v>101838.98665648043</v>
      </c>
      <c r="M64" s="8">
        <f t="shared" si="20"/>
        <v>120492.70454468828</v>
      </c>
      <c r="N64" s="8">
        <f t="shared" si="20"/>
        <v>138343.17009018222</v>
      </c>
      <c r="O64" s="8">
        <f t="shared" si="20"/>
        <v>155732.29607737466</v>
      </c>
      <c r="P64" s="8">
        <f t="shared" si="20"/>
        <v>174954.64412593591</v>
      </c>
      <c r="Q64" s="8">
        <f t="shared" si="20"/>
        <v>191317.16304586656</v>
      </c>
      <c r="R64" s="8">
        <f t="shared" si="20"/>
        <v>207945.36856910741</v>
      </c>
      <c r="S64" s="8">
        <f t="shared" si="20"/>
        <v>224815.23145273517</v>
      </c>
      <c r="T64" s="8">
        <f t="shared" si="20"/>
        <v>241901.85832606276</v>
      </c>
      <c r="U64" s="8">
        <f t="shared" si="20"/>
        <v>246817.80855139607</v>
      </c>
      <c r="V64" s="8">
        <f t="shared" si="20"/>
        <v>252849.74348263029</v>
      </c>
      <c r="W64" s="8">
        <f t="shared" si="20"/>
        <v>265745.5989560656</v>
      </c>
      <c r="X64" s="8">
        <f t="shared" si="20"/>
        <v>284245.44250514091</v>
      </c>
      <c r="Y64" s="8">
        <f t="shared" si="20"/>
        <v>296064.38058933913</v>
      </c>
      <c r="Z64" s="8">
        <f t="shared" si="20"/>
        <v>309603.61995112617</v>
      </c>
      <c r="AA64" s="8">
        <f t="shared" si="20"/>
        <v>323382.93786853272</v>
      </c>
      <c r="AB64" s="257">
        <f t="shared" si="20"/>
        <v>341715.45742852235</v>
      </c>
      <c r="AC64" t="s">
        <v>304</v>
      </c>
      <c r="AD64" s="101">
        <f>36848/129.65</f>
        <v>284.21133821827999</v>
      </c>
    </row>
    <row r="65" spans="1:50" s="171" customFormat="1">
      <c r="A65" s="459"/>
      <c r="B65" s="259" t="s">
        <v>123</v>
      </c>
      <c r="C65" s="208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256"/>
    </row>
    <row r="66" spans="1:50" s="171" customFormat="1">
      <c r="A66" s="459"/>
      <c r="B66" s="259" t="s">
        <v>124</v>
      </c>
      <c r="C66" s="208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256"/>
    </row>
    <row r="67" spans="1:50" s="171" customFormat="1">
      <c r="A67" s="459"/>
      <c r="B67" s="259" t="s">
        <v>125</v>
      </c>
      <c r="C67" s="208" t="s">
        <v>301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0</v>
      </c>
      <c r="Y67" s="170">
        <v>0</v>
      </c>
      <c r="Z67" s="170">
        <v>0</v>
      </c>
      <c r="AA67" s="170">
        <v>0</v>
      </c>
      <c r="AB67" s="256">
        <v>0</v>
      </c>
      <c r="AC67" s="171" t="s">
        <v>305</v>
      </c>
    </row>
    <row r="68" spans="1:50" ht="15.75" thickBot="1">
      <c r="A68" s="481"/>
      <c r="B68" s="260" t="s">
        <v>218</v>
      </c>
      <c r="C68" s="261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3"/>
    </row>
    <row r="69" spans="1:50" ht="15.75" thickBot="1"/>
    <row r="70" spans="1:50" ht="15" customHeight="1">
      <c r="A70" s="463" t="s">
        <v>306</v>
      </c>
      <c r="B70" s="78" t="s">
        <v>3</v>
      </c>
      <c r="C70" s="117" t="s">
        <v>1</v>
      </c>
      <c r="D70" s="115">
        <v>2022</v>
      </c>
      <c r="E70" s="115">
        <v>2023</v>
      </c>
      <c r="F70" s="115">
        <v>2024</v>
      </c>
      <c r="G70" s="115">
        <v>2025</v>
      </c>
      <c r="H70" s="115">
        <v>2026</v>
      </c>
      <c r="I70" s="115">
        <v>2027</v>
      </c>
      <c r="J70" s="115">
        <v>2028</v>
      </c>
      <c r="K70" s="115">
        <v>2029</v>
      </c>
      <c r="L70" s="116">
        <v>2030</v>
      </c>
      <c r="M70" s="115">
        <v>2031</v>
      </c>
      <c r="N70" s="116">
        <v>2032</v>
      </c>
      <c r="O70" s="115">
        <v>2033</v>
      </c>
      <c r="P70" s="116">
        <v>2034</v>
      </c>
      <c r="Q70" s="115">
        <v>2035</v>
      </c>
      <c r="R70" s="116">
        <v>2036</v>
      </c>
      <c r="S70" s="115">
        <v>2037</v>
      </c>
      <c r="T70" s="116">
        <v>2038</v>
      </c>
      <c r="U70" s="115">
        <v>2039</v>
      </c>
      <c r="V70" s="116">
        <v>2040</v>
      </c>
      <c r="W70" s="115">
        <v>2041</v>
      </c>
      <c r="X70" s="116">
        <v>2042</v>
      </c>
      <c r="Y70" s="115">
        <v>2043</v>
      </c>
      <c r="Z70" s="116">
        <v>2044</v>
      </c>
      <c r="AA70" s="115">
        <v>2045</v>
      </c>
      <c r="AB70" s="116">
        <v>2046</v>
      </c>
    </row>
    <row r="71" spans="1:50" ht="15" customHeight="1">
      <c r="A71" s="464"/>
      <c r="B71" s="2" t="s">
        <v>115</v>
      </c>
      <c r="C71" s="95" t="s">
        <v>307</v>
      </c>
      <c r="D71" s="108">
        <f t="shared" ref="D71:L71" si="21">D53/25*25</f>
        <v>0</v>
      </c>
      <c r="E71" s="109">
        <f t="shared" si="21"/>
        <v>0</v>
      </c>
      <c r="F71" s="109">
        <f t="shared" si="21"/>
        <v>0</v>
      </c>
      <c r="G71" s="109">
        <f t="shared" si="21"/>
        <v>0</v>
      </c>
      <c r="H71" s="109">
        <f t="shared" si="21"/>
        <v>0</v>
      </c>
      <c r="I71" s="109">
        <f t="shared" si="21"/>
        <v>0</v>
      </c>
      <c r="J71" s="109">
        <f t="shared" si="21"/>
        <v>0</v>
      </c>
      <c r="K71" s="109">
        <f t="shared" si="21"/>
        <v>0</v>
      </c>
      <c r="L71" s="109">
        <f t="shared" si="21"/>
        <v>0</v>
      </c>
      <c r="M71" s="109">
        <f t="shared" ref="M71:Q71" si="22">M53/25*25</f>
        <v>0</v>
      </c>
      <c r="N71" s="109">
        <f t="shared" si="22"/>
        <v>0</v>
      </c>
      <c r="O71" s="109">
        <f t="shared" si="22"/>
        <v>0</v>
      </c>
      <c r="P71" s="109">
        <f t="shared" si="22"/>
        <v>0</v>
      </c>
      <c r="Q71" s="109">
        <f t="shared" si="22"/>
        <v>0</v>
      </c>
      <c r="R71" s="109">
        <f t="shared" ref="R71:AB71" si="23">R53/25*25</f>
        <v>0</v>
      </c>
      <c r="S71" s="109">
        <f t="shared" si="23"/>
        <v>0</v>
      </c>
      <c r="T71" s="109">
        <f t="shared" si="23"/>
        <v>0</v>
      </c>
      <c r="U71" s="109">
        <f t="shared" si="23"/>
        <v>0</v>
      </c>
      <c r="V71" s="109">
        <f t="shared" si="23"/>
        <v>0</v>
      </c>
      <c r="W71" s="109">
        <f t="shared" si="23"/>
        <v>0</v>
      </c>
      <c r="X71" s="109">
        <f t="shared" si="23"/>
        <v>0</v>
      </c>
      <c r="Y71" s="109">
        <f t="shared" si="23"/>
        <v>0</v>
      </c>
      <c r="Z71" s="109">
        <f t="shared" si="23"/>
        <v>0</v>
      </c>
      <c r="AA71" s="109">
        <f t="shared" si="23"/>
        <v>0</v>
      </c>
      <c r="AB71" s="110">
        <f t="shared" si="23"/>
        <v>0</v>
      </c>
      <c r="AC71" t="s">
        <v>308</v>
      </c>
    </row>
    <row r="72" spans="1:50" ht="15" customHeight="1">
      <c r="A72" s="464"/>
      <c r="B72" s="2" t="s">
        <v>19</v>
      </c>
      <c r="C72" s="53"/>
      <c r="D72" s="2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9"/>
    </row>
    <row r="73" spans="1:50" ht="15" customHeight="1">
      <c r="A73" s="464"/>
      <c r="B73" s="2" t="s">
        <v>104</v>
      </c>
      <c r="C73" s="95" t="s">
        <v>307</v>
      </c>
      <c r="D73" s="9">
        <f t="shared" ref="D73:AA73" si="24">D55*0.2*907.185/3.5/7500*100</f>
        <v>0</v>
      </c>
      <c r="E73" s="9">
        <f t="shared" si="24"/>
        <v>0</v>
      </c>
      <c r="F73" s="9">
        <f t="shared" si="24"/>
        <v>0</v>
      </c>
      <c r="G73" s="9">
        <f t="shared" si="24"/>
        <v>0</v>
      </c>
      <c r="H73" s="9">
        <f t="shared" si="24"/>
        <v>0</v>
      </c>
      <c r="I73" s="9">
        <f t="shared" si="24"/>
        <v>0</v>
      </c>
      <c r="J73" s="9">
        <f t="shared" si="24"/>
        <v>0</v>
      </c>
      <c r="K73" s="9">
        <f t="shared" si="24"/>
        <v>0</v>
      </c>
      <c r="L73" s="9">
        <f t="shared" si="24"/>
        <v>0</v>
      </c>
      <c r="M73" s="9">
        <f t="shared" si="24"/>
        <v>0</v>
      </c>
      <c r="N73" s="9">
        <f t="shared" si="24"/>
        <v>0</v>
      </c>
      <c r="O73" s="9">
        <f t="shared" si="24"/>
        <v>0</v>
      </c>
      <c r="P73" s="9">
        <f t="shared" si="24"/>
        <v>0</v>
      </c>
      <c r="Q73" s="9">
        <f t="shared" si="24"/>
        <v>0</v>
      </c>
      <c r="R73" s="9">
        <f t="shared" si="24"/>
        <v>0</v>
      </c>
      <c r="S73" s="9">
        <f t="shared" si="24"/>
        <v>0</v>
      </c>
      <c r="T73" s="9">
        <f t="shared" si="24"/>
        <v>0</v>
      </c>
      <c r="U73" s="9">
        <f t="shared" si="24"/>
        <v>0</v>
      </c>
      <c r="V73" s="9">
        <f t="shared" si="24"/>
        <v>0</v>
      </c>
      <c r="W73" s="9">
        <f t="shared" si="24"/>
        <v>0</v>
      </c>
      <c r="X73" s="9">
        <f t="shared" si="24"/>
        <v>0</v>
      </c>
      <c r="Y73" s="9">
        <f t="shared" si="24"/>
        <v>0</v>
      </c>
      <c r="Z73" s="9">
        <f t="shared" si="24"/>
        <v>0</v>
      </c>
      <c r="AA73" s="9">
        <f t="shared" si="24"/>
        <v>0</v>
      </c>
      <c r="AB73" s="9">
        <f t="shared" ref="AB73" si="25">AB55*0.2*907.185/3.5/7500*100</f>
        <v>0</v>
      </c>
      <c r="AC73" t="s">
        <v>309</v>
      </c>
    </row>
    <row r="74" spans="1:50" ht="15" customHeight="1">
      <c r="A74" s="464"/>
      <c r="B74" s="2" t="s">
        <v>289</v>
      </c>
      <c r="C74" s="53"/>
      <c r="D74" s="2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9"/>
    </row>
    <row r="75" spans="1:50" ht="15" customHeight="1">
      <c r="A75" s="464"/>
      <c r="B75" s="2" t="s">
        <v>118</v>
      </c>
      <c r="C75" s="53"/>
      <c r="D75" s="2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9"/>
    </row>
    <row r="76" spans="1:50" ht="15" customHeight="1">
      <c r="A76" s="464"/>
      <c r="B76" s="2" t="s">
        <v>9</v>
      </c>
      <c r="C76" s="53" t="s">
        <v>307</v>
      </c>
      <c r="D76" s="21">
        <f t="shared" ref="D76:L76" si="26">D58*0.4*907.185/3.5/7500*100</f>
        <v>0</v>
      </c>
      <c r="E76" s="8">
        <f t="shared" si="26"/>
        <v>0</v>
      </c>
      <c r="F76" s="8">
        <f t="shared" si="26"/>
        <v>0</v>
      </c>
      <c r="G76" s="8">
        <f t="shared" si="26"/>
        <v>0</v>
      </c>
      <c r="H76" s="8">
        <f t="shared" si="26"/>
        <v>0</v>
      </c>
      <c r="I76" s="8">
        <f t="shared" si="26"/>
        <v>0</v>
      </c>
      <c r="J76" s="8">
        <f t="shared" si="26"/>
        <v>0</v>
      </c>
      <c r="K76" s="8">
        <f t="shared" si="26"/>
        <v>0</v>
      </c>
      <c r="L76" s="8">
        <f t="shared" si="26"/>
        <v>0</v>
      </c>
      <c r="M76" s="8">
        <f t="shared" ref="M76:Q76" si="27">M58*0.4*907.185/3.5/7500*100</f>
        <v>0</v>
      </c>
      <c r="N76" s="8">
        <f t="shared" si="27"/>
        <v>0</v>
      </c>
      <c r="O76" s="8">
        <f t="shared" si="27"/>
        <v>0</v>
      </c>
      <c r="P76" s="8">
        <f t="shared" si="27"/>
        <v>0</v>
      </c>
      <c r="Q76" s="8">
        <f t="shared" si="27"/>
        <v>0</v>
      </c>
      <c r="R76" s="8">
        <f t="shared" ref="R76:AB76" si="28">R58*0.4*907.185/3.5/7500*100</f>
        <v>0</v>
      </c>
      <c r="S76" s="8">
        <f t="shared" si="28"/>
        <v>0</v>
      </c>
      <c r="T76" s="8">
        <f t="shared" si="28"/>
        <v>0</v>
      </c>
      <c r="U76" s="8">
        <f t="shared" si="28"/>
        <v>0</v>
      </c>
      <c r="V76" s="8">
        <f t="shared" si="28"/>
        <v>0</v>
      </c>
      <c r="W76" s="8">
        <f t="shared" si="28"/>
        <v>0</v>
      </c>
      <c r="X76" s="8">
        <f t="shared" si="28"/>
        <v>0</v>
      </c>
      <c r="Y76" s="8">
        <f t="shared" si="28"/>
        <v>0</v>
      </c>
      <c r="Z76" s="8">
        <f t="shared" si="28"/>
        <v>0</v>
      </c>
      <c r="AA76" s="8">
        <f t="shared" si="28"/>
        <v>0</v>
      </c>
      <c r="AB76" s="9">
        <f t="shared" si="28"/>
        <v>0</v>
      </c>
      <c r="AC76" t="s">
        <v>310</v>
      </c>
      <c r="AN76" t="s">
        <v>311</v>
      </c>
      <c r="AQ76" s="171" t="s">
        <v>312</v>
      </c>
      <c r="AR76" s="171" t="s">
        <v>313</v>
      </c>
      <c r="AS76" s="171" t="s">
        <v>314</v>
      </c>
      <c r="AT76" s="171" t="s">
        <v>315</v>
      </c>
    </row>
    <row r="77" spans="1:50" ht="15" customHeight="1">
      <c r="A77" s="464"/>
      <c r="B77" s="2" t="s">
        <v>34</v>
      </c>
      <c r="C77" s="53" t="s">
        <v>307</v>
      </c>
      <c r="D77" s="21">
        <f t="shared" ref="D77:L77" si="29">D59*0.2*907.185/3.5/7500*100</f>
        <v>0</v>
      </c>
      <c r="E77" s="8">
        <f t="shared" si="29"/>
        <v>0</v>
      </c>
      <c r="F77" s="8">
        <f t="shared" si="29"/>
        <v>0</v>
      </c>
      <c r="G77" s="8">
        <f t="shared" si="29"/>
        <v>0</v>
      </c>
      <c r="H77" s="8">
        <f t="shared" si="29"/>
        <v>34677.974920880493</v>
      </c>
      <c r="I77" s="8">
        <f t="shared" si="29"/>
        <v>296575.3140644831</v>
      </c>
      <c r="J77" s="8">
        <f t="shared" si="29"/>
        <v>446375.90425540367</v>
      </c>
      <c r="K77" s="8">
        <f t="shared" si="29"/>
        <v>532828.07777196425</v>
      </c>
      <c r="L77" s="8">
        <f t="shared" si="29"/>
        <v>580211.40448040236</v>
      </c>
      <c r="M77" s="8">
        <f t="shared" ref="M77:Q77" si="30">M59*0.2*907.185/3.5/7500*100</f>
        <v>604197.51937586896</v>
      </c>
      <c r="N77" s="8">
        <f t="shared" si="30"/>
        <v>614157.74538985884</v>
      </c>
      <c r="O77" s="8">
        <f t="shared" si="30"/>
        <v>615688.71969050355</v>
      </c>
      <c r="P77" s="8">
        <f t="shared" si="30"/>
        <v>622551.803012633</v>
      </c>
      <c r="Q77" s="8">
        <f t="shared" si="30"/>
        <v>611661.59401338722</v>
      </c>
      <c r="R77" s="8">
        <f t="shared" ref="R77:AB77" si="31">R59*0.2*907.185/3.5/7500*100</f>
        <v>600594.55511084222</v>
      </c>
      <c r="S77" s="8">
        <f t="shared" si="31"/>
        <v>589366.67916519253</v>
      </c>
      <c r="T77" s="8">
        <f t="shared" si="31"/>
        <v>577994.53416397201</v>
      </c>
      <c r="U77" s="8">
        <f t="shared" si="31"/>
        <v>574722.6830727224</v>
      </c>
      <c r="V77" s="8">
        <f t="shared" si="31"/>
        <v>570708.0791848714</v>
      </c>
      <c r="W77" s="8">
        <f t="shared" si="31"/>
        <v>562125.13654523203</v>
      </c>
      <c r="X77" s="8">
        <f t="shared" si="31"/>
        <v>549812.41356604721</v>
      </c>
      <c r="Y77" s="8">
        <f t="shared" si="31"/>
        <v>541946.22214919387</v>
      </c>
      <c r="Z77" s="8">
        <f t="shared" si="31"/>
        <v>532935.07007278118</v>
      </c>
      <c r="AA77" s="8">
        <f t="shared" si="31"/>
        <v>523764.13173975807</v>
      </c>
      <c r="AB77" s="9">
        <f t="shared" si="31"/>
        <v>511562.77261724137</v>
      </c>
      <c r="AC77" t="s">
        <v>309</v>
      </c>
      <c r="AQ77" s="472" t="s">
        <v>316</v>
      </c>
      <c r="AR77" s="473">
        <v>3.1E-2</v>
      </c>
      <c r="AS77" s="474">
        <v>0.05</v>
      </c>
      <c r="AT77" s="474">
        <v>0.05</v>
      </c>
      <c r="AU77" s="470" t="s">
        <v>317</v>
      </c>
      <c r="AV77" s="171"/>
      <c r="AW77" s="171"/>
      <c r="AX77" s="171"/>
    </row>
    <row r="78" spans="1:50" ht="15" customHeight="1">
      <c r="A78" s="464"/>
      <c r="B78" s="2" t="s">
        <v>33</v>
      </c>
      <c r="C78" s="53"/>
      <c r="D78" s="2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9"/>
      <c r="AQ78" s="472"/>
      <c r="AR78" s="473"/>
      <c r="AS78" s="474"/>
      <c r="AT78" s="474"/>
      <c r="AU78" s="470"/>
      <c r="AV78" s="171"/>
      <c r="AW78" s="171"/>
      <c r="AX78" s="171"/>
    </row>
    <row r="79" spans="1:50" ht="15" customHeight="1">
      <c r="A79" s="464"/>
      <c r="B79" s="2" t="s">
        <v>290</v>
      </c>
      <c r="C79" s="53"/>
      <c r="D79" s="2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9"/>
      <c r="AQ79" s="472"/>
      <c r="AR79" s="473"/>
      <c r="AS79" s="474"/>
      <c r="AT79" s="474"/>
      <c r="AU79" s="470"/>
      <c r="AV79" s="171"/>
      <c r="AW79" s="171"/>
      <c r="AX79" s="171"/>
    </row>
    <row r="80" spans="1:50" ht="15" customHeight="1">
      <c r="A80" s="464"/>
      <c r="B80" s="2" t="s">
        <v>14</v>
      </c>
      <c r="C80" s="53"/>
      <c r="D80" s="2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9"/>
      <c r="AQ80" s="171"/>
      <c r="AR80" s="171" t="s">
        <v>318</v>
      </c>
      <c r="AS80" s="171"/>
      <c r="AT80" s="171"/>
    </row>
    <row r="81" spans="1:60" ht="15" customHeight="1">
      <c r="A81" s="464"/>
      <c r="B81" s="2" t="s">
        <v>108</v>
      </c>
      <c r="C81" s="53"/>
      <c r="D81" s="2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9"/>
      <c r="AQ81" t="s">
        <v>319</v>
      </c>
      <c r="AR81">
        <f>25/(12+25)</f>
        <v>0.67567567567567566</v>
      </c>
      <c r="AS81" s="98">
        <f>AR81*0.31</f>
        <v>0.20945945945945946</v>
      </c>
      <c r="AT81" t="s">
        <v>320</v>
      </c>
    </row>
    <row r="82" spans="1:60" ht="15" customHeight="1">
      <c r="A82" s="464"/>
      <c r="B82" s="2" t="s">
        <v>122</v>
      </c>
      <c r="C82" s="53" t="s">
        <v>307</v>
      </c>
      <c r="D82" s="21">
        <f t="shared" ref="D82:L82" si="32">D64*0.2*907.185/3.5/7500*100</f>
        <v>0</v>
      </c>
      <c r="E82" s="8">
        <f t="shared" si="32"/>
        <v>0</v>
      </c>
      <c r="F82" s="8">
        <f t="shared" si="32"/>
        <v>0</v>
      </c>
      <c r="G82" s="8">
        <f t="shared" si="32"/>
        <v>0</v>
      </c>
      <c r="H82" s="8">
        <f t="shared" si="32"/>
        <v>2213.8110663171833</v>
      </c>
      <c r="I82" s="8">
        <f t="shared" si="32"/>
        <v>21921.092828435321</v>
      </c>
      <c r="J82" s="8">
        <f t="shared" si="32"/>
        <v>41365.851089163581</v>
      </c>
      <c r="K82" s="8">
        <f t="shared" si="32"/>
        <v>56592.904345191753</v>
      </c>
      <c r="L82" s="8">
        <f t="shared" si="32"/>
        <v>70389.943702826044</v>
      </c>
      <c r="M82" s="8">
        <f t="shared" ref="M82:Q82" si="33">M64*0.2*907.185/3.5/7500*100</f>
        <v>83283.180321808031</v>
      </c>
      <c r="N82" s="8">
        <f t="shared" si="33"/>
        <v>95621.218101532926</v>
      </c>
      <c r="O82" s="8">
        <f t="shared" si="33"/>
        <v>107640.3832510119</v>
      </c>
      <c r="P82" s="8">
        <f t="shared" si="33"/>
        <v>120926.65053819974</v>
      </c>
      <c r="Q82" s="8">
        <f t="shared" si="33"/>
        <v>132236.23661543961</v>
      </c>
      <c r="R82" s="8">
        <f t="shared" ref="R82:AB82" si="34">R64*0.2*907.185/3.5/7500*100</f>
        <v>143729.46223646912</v>
      </c>
      <c r="S82" s="8">
        <f t="shared" si="34"/>
        <v>155389.71866319966</v>
      </c>
      <c r="T82" s="8">
        <f t="shared" si="34"/>
        <v>167199.79988230803</v>
      </c>
      <c r="U82" s="8">
        <f t="shared" si="34"/>
        <v>170597.64849577009</v>
      </c>
      <c r="V82" s="8">
        <f t="shared" si="34"/>
        <v>174766.85298383996</v>
      </c>
      <c r="W82" s="8">
        <f t="shared" si="34"/>
        <v>183680.32090587303</v>
      </c>
      <c r="X82" s="8">
        <f t="shared" si="34"/>
        <v>196467.20134021048</v>
      </c>
      <c r="Y82" s="8">
        <f t="shared" si="34"/>
        <v>204636.31627043016</v>
      </c>
      <c r="Z82" s="8">
        <f t="shared" si="34"/>
        <v>213994.48378313324</v>
      </c>
      <c r="AA82" s="8">
        <f t="shared" si="34"/>
        <v>223518.59084972562</v>
      </c>
      <c r="AB82" s="9">
        <f t="shared" si="34"/>
        <v>236189.81885508116</v>
      </c>
      <c r="AC82" t="s">
        <v>309</v>
      </c>
      <c r="AQ82" t="s">
        <v>321</v>
      </c>
      <c r="AR82">
        <f>(1000*3.35)/(190+35*30+1000*3.35)</f>
        <v>0.72984749455337694</v>
      </c>
      <c r="AS82" s="98">
        <f>AR82*0.5</f>
        <v>0.36492374727668847</v>
      </c>
      <c r="AT82" t="s">
        <v>322</v>
      </c>
    </row>
    <row r="83" spans="1:60" ht="15" customHeight="1">
      <c r="A83" s="464"/>
      <c r="B83" s="12" t="s">
        <v>123</v>
      </c>
      <c r="C83" s="53"/>
      <c r="D83" s="2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9"/>
      <c r="AS83" s="347"/>
    </row>
    <row r="84" spans="1:60" ht="15" customHeight="1">
      <c r="A84" s="464"/>
      <c r="B84" s="12" t="s">
        <v>124</v>
      </c>
      <c r="C84" s="53"/>
      <c r="D84" s="2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9"/>
      <c r="AS84" s="347"/>
    </row>
    <row r="85" spans="1:60" ht="15" customHeight="1">
      <c r="A85" s="464"/>
      <c r="B85" s="12" t="s">
        <v>125</v>
      </c>
      <c r="C85" s="53" t="s">
        <v>307</v>
      </c>
      <c r="D85" s="21">
        <f t="shared" ref="D85:L85" si="35">D67*0.2*907.185/3.5/7500*100</f>
        <v>0</v>
      </c>
      <c r="E85" s="8">
        <f t="shared" si="35"/>
        <v>0</v>
      </c>
      <c r="F85" s="8">
        <f t="shared" si="35"/>
        <v>0</v>
      </c>
      <c r="G85" s="8">
        <f t="shared" si="35"/>
        <v>0</v>
      </c>
      <c r="H85" s="8">
        <f t="shared" si="35"/>
        <v>0</v>
      </c>
      <c r="I85" s="8">
        <f t="shared" si="35"/>
        <v>0</v>
      </c>
      <c r="J85" s="8">
        <f t="shared" si="35"/>
        <v>0</v>
      </c>
      <c r="K85" s="8">
        <f t="shared" si="35"/>
        <v>0</v>
      </c>
      <c r="L85" s="8">
        <f t="shared" si="35"/>
        <v>0</v>
      </c>
      <c r="M85" s="8">
        <f t="shared" ref="M85:Q85" si="36">M67*0.2*907.185/3.5/7500*100</f>
        <v>0</v>
      </c>
      <c r="N85" s="8">
        <f t="shared" si="36"/>
        <v>0</v>
      </c>
      <c r="O85" s="8">
        <f t="shared" si="36"/>
        <v>0</v>
      </c>
      <c r="P85" s="8">
        <f t="shared" si="36"/>
        <v>0</v>
      </c>
      <c r="Q85" s="8">
        <f t="shared" si="36"/>
        <v>0</v>
      </c>
      <c r="R85" s="8">
        <f t="shared" ref="R85:AB85" si="37">R67*0.2*907.185/3.5/7500*100</f>
        <v>0</v>
      </c>
      <c r="S85" s="8">
        <f t="shared" si="37"/>
        <v>0</v>
      </c>
      <c r="T85" s="8">
        <f t="shared" si="37"/>
        <v>0</v>
      </c>
      <c r="U85" s="8">
        <f t="shared" si="37"/>
        <v>0</v>
      </c>
      <c r="V85" s="8">
        <f t="shared" si="37"/>
        <v>0</v>
      </c>
      <c r="W85" s="8">
        <f t="shared" si="37"/>
        <v>0</v>
      </c>
      <c r="X85" s="8">
        <f t="shared" si="37"/>
        <v>0</v>
      </c>
      <c r="Y85" s="8">
        <f t="shared" si="37"/>
        <v>0</v>
      </c>
      <c r="Z85" s="8">
        <f t="shared" si="37"/>
        <v>0</v>
      </c>
      <c r="AA85" s="8">
        <f t="shared" si="37"/>
        <v>0</v>
      </c>
      <c r="AB85" s="9">
        <f t="shared" si="37"/>
        <v>0</v>
      </c>
      <c r="AC85" t="s">
        <v>309</v>
      </c>
    </row>
    <row r="86" spans="1:60" ht="15.75" customHeight="1" thickBot="1">
      <c r="A86" s="465"/>
      <c r="B86" s="54" t="s">
        <v>218</v>
      </c>
      <c r="C86" s="67"/>
      <c r="D86" s="22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96"/>
    </row>
    <row r="87" spans="1:60" ht="15.75" customHeight="1" thickBot="1">
      <c r="A87" s="102"/>
      <c r="B87" s="12"/>
      <c r="C87" s="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1:60" ht="15.75" customHeight="1">
      <c r="A88" s="463" t="s">
        <v>323</v>
      </c>
      <c r="B88" s="78" t="s">
        <v>3</v>
      </c>
      <c r="C88" s="117" t="s">
        <v>1</v>
      </c>
      <c r="D88" s="115">
        <v>2022</v>
      </c>
      <c r="E88" s="115">
        <v>2023</v>
      </c>
      <c r="F88" s="115">
        <v>2024</v>
      </c>
      <c r="G88" s="115">
        <v>2025</v>
      </c>
      <c r="H88" s="115">
        <v>2026</v>
      </c>
      <c r="I88" s="115">
        <v>2027</v>
      </c>
      <c r="J88" s="115">
        <v>2028</v>
      </c>
      <c r="K88" s="115">
        <v>2029</v>
      </c>
      <c r="L88" s="116">
        <v>2030</v>
      </c>
      <c r="M88" s="115">
        <v>2031</v>
      </c>
      <c r="N88" s="115">
        <v>2032</v>
      </c>
      <c r="O88" s="115">
        <v>2033</v>
      </c>
      <c r="P88" s="115">
        <v>2034</v>
      </c>
      <c r="Q88" s="115">
        <v>2035</v>
      </c>
      <c r="R88" s="116">
        <v>2036</v>
      </c>
      <c r="S88" s="115">
        <v>2037</v>
      </c>
      <c r="T88" s="115">
        <v>2038</v>
      </c>
      <c r="U88" s="115">
        <v>2039</v>
      </c>
      <c r="V88" s="115">
        <v>2040</v>
      </c>
      <c r="W88" s="115">
        <v>2041</v>
      </c>
      <c r="X88" s="116">
        <v>2042</v>
      </c>
      <c r="Y88" s="115">
        <v>2043</v>
      </c>
      <c r="Z88" s="115">
        <v>2044</v>
      </c>
      <c r="AA88" s="115">
        <v>2045</v>
      </c>
      <c r="AB88" s="115">
        <v>2046</v>
      </c>
      <c r="AF88" s="459" t="s">
        <v>324</v>
      </c>
      <c r="AG88" s="69" t="s">
        <v>3</v>
      </c>
      <c r="AH88" s="246" t="s">
        <v>1</v>
      </c>
      <c r="AI88" s="50">
        <v>2022</v>
      </c>
      <c r="AJ88" s="146">
        <v>2023</v>
      </c>
      <c r="AK88" s="146">
        <v>2024</v>
      </c>
      <c r="AL88" s="146">
        <v>2025</v>
      </c>
      <c r="AM88" s="146">
        <v>2026</v>
      </c>
      <c r="AN88" s="146">
        <v>2027</v>
      </c>
      <c r="AO88" s="146">
        <v>2028</v>
      </c>
      <c r="AP88" s="146">
        <v>2029</v>
      </c>
      <c r="AQ88" s="146">
        <v>2030</v>
      </c>
      <c r="AR88" s="146">
        <v>2031</v>
      </c>
      <c r="AS88" s="146">
        <v>2032</v>
      </c>
      <c r="AT88" s="146">
        <v>2033</v>
      </c>
      <c r="AU88" s="146">
        <v>2034</v>
      </c>
      <c r="AV88" s="146">
        <v>2035</v>
      </c>
      <c r="AW88" s="146">
        <v>2036</v>
      </c>
      <c r="AX88" s="146">
        <v>2037</v>
      </c>
      <c r="AY88" s="146">
        <v>2038</v>
      </c>
      <c r="AZ88" s="146">
        <v>2039</v>
      </c>
      <c r="BA88" s="146">
        <v>2040</v>
      </c>
      <c r="BB88" s="146">
        <v>2041</v>
      </c>
      <c r="BC88" s="146">
        <v>2042</v>
      </c>
      <c r="BD88" s="146">
        <v>2043</v>
      </c>
      <c r="BE88" s="146">
        <v>2044</v>
      </c>
      <c r="BF88" s="146">
        <v>2045</v>
      </c>
      <c r="BG88" s="99">
        <v>2046</v>
      </c>
    </row>
    <row r="89" spans="1:60" ht="15.75" customHeight="1">
      <c r="A89" s="464"/>
      <c r="B89" s="2" t="s">
        <v>115</v>
      </c>
      <c r="C89" s="95"/>
      <c r="D89" s="108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10"/>
      <c r="AF89" s="459"/>
      <c r="AG89" s="2" t="s">
        <v>115</v>
      </c>
      <c r="AH89" s="53" t="s">
        <v>325</v>
      </c>
      <c r="AI89" s="21">
        <f t="shared" ref="AI89:BG89" si="38">AI36*1000000*2.99/907.185*200</f>
        <v>0</v>
      </c>
      <c r="AJ89" s="21">
        <f t="shared" si="38"/>
        <v>0</v>
      </c>
      <c r="AK89" s="21">
        <f t="shared" si="38"/>
        <v>0</v>
      </c>
      <c r="AL89" s="21">
        <f t="shared" si="38"/>
        <v>0</v>
      </c>
      <c r="AM89" s="21">
        <f>AM36*1000000*2.99/907.185*200</f>
        <v>0</v>
      </c>
      <c r="AN89" s="348">
        <f t="shared" si="38"/>
        <v>0</v>
      </c>
      <c r="AO89" s="21">
        <f t="shared" si="38"/>
        <v>0</v>
      </c>
      <c r="AP89" s="21">
        <f t="shared" si="38"/>
        <v>0</v>
      </c>
      <c r="AQ89" s="21">
        <f t="shared" si="38"/>
        <v>0</v>
      </c>
      <c r="AR89" s="21">
        <f t="shared" si="38"/>
        <v>0</v>
      </c>
      <c r="AS89" s="21">
        <f t="shared" si="38"/>
        <v>0</v>
      </c>
      <c r="AT89" s="21">
        <f t="shared" si="38"/>
        <v>0</v>
      </c>
      <c r="AU89" s="21">
        <f t="shared" si="38"/>
        <v>0</v>
      </c>
      <c r="AV89" s="21">
        <f t="shared" si="38"/>
        <v>0</v>
      </c>
      <c r="AW89" s="21">
        <f t="shared" si="38"/>
        <v>0</v>
      </c>
      <c r="AX89" s="21">
        <f t="shared" si="38"/>
        <v>0</v>
      </c>
      <c r="AY89" s="21">
        <f t="shared" si="38"/>
        <v>0</v>
      </c>
      <c r="AZ89" s="21">
        <f t="shared" si="38"/>
        <v>0</v>
      </c>
      <c r="BA89" s="21">
        <f t="shared" si="38"/>
        <v>0</v>
      </c>
      <c r="BB89" s="21">
        <f t="shared" si="38"/>
        <v>0</v>
      </c>
      <c r="BC89" s="21">
        <f t="shared" si="38"/>
        <v>0</v>
      </c>
      <c r="BD89" s="21">
        <f t="shared" si="38"/>
        <v>0</v>
      </c>
      <c r="BE89" s="21">
        <f t="shared" si="38"/>
        <v>0</v>
      </c>
      <c r="BF89" s="21">
        <f t="shared" si="38"/>
        <v>0</v>
      </c>
      <c r="BG89" s="21">
        <f t="shared" si="38"/>
        <v>0</v>
      </c>
      <c r="BH89" t="s">
        <v>326</v>
      </c>
    </row>
    <row r="90" spans="1:60" ht="15.75" customHeight="1">
      <c r="A90" s="464"/>
      <c r="B90" s="2" t="s">
        <v>19</v>
      </c>
      <c r="C90" s="53"/>
      <c r="D90" s="2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9"/>
      <c r="AF90" s="459"/>
      <c r="AG90" s="2" t="s">
        <v>19</v>
      </c>
      <c r="AH90" s="95" t="s">
        <v>325</v>
      </c>
      <c r="AI90" s="21">
        <f t="shared" ref="AI90:BG90" si="39">AI37*1000000*2.99/907.185*200</f>
        <v>0</v>
      </c>
      <c r="AJ90" s="21">
        <f t="shared" si="39"/>
        <v>0</v>
      </c>
      <c r="AK90" s="21">
        <f t="shared" si="39"/>
        <v>0</v>
      </c>
      <c r="AL90" s="21">
        <f t="shared" si="39"/>
        <v>0</v>
      </c>
      <c r="AM90" s="21">
        <f t="shared" si="39"/>
        <v>0</v>
      </c>
      <c r="AN90" s="21">
        <f t="shared" si="39"/>
        <v>0</v>
      </c>
      <c r="AO90" s="21">
        <f t="shared" si="39"/>
        <v>0</v>
      </c>
      <c r="AP90" s="21">
        <f t="shared" si="39"/>
        <v>0</v>
      </c>
      <c r="AQ90" s="21">
        <f t="shared" si="39"/>
        <v>0</v>
      </c>
      <c r="AR90" s="21">
        <f t="shared" si="39"/>
        <v>0</v>
      </c>
      <c r="AS90" s="21">
        <f t="shared" si="39"/>
        <v>0</v>
      </c>
      <c r="AT90" s="21">
        <f t="shared" si="39"/>
        <v>0</v>
      </c>
      <c r="AU90" s="21">
        <f t="shared" si="39"/>
        <v>0</v>
      </c>
      <c r="AV90" s="21">
        <f t="shared" si="39"/>
        <v>0</v>
      </c>
      <c r="AW90" s="21">
        <f t="shared" si="39"/>
        <v>0</v>
      </c>
      <c r="AX90" s="21">
        <f t="shared" si="39"/>
        <v>0</v>
      </c>
      <c r="AY90" s="21">
        <f t="shared" si="39"/>
        <v>0</v>
      </c>
      <c r="AZ90" s="21">
        <f t="shared" si="39"/>
        <v>0</v>
      </c>
      <c r="BA90" s="21">
        <f t="shared" si="39"/>
        <v>0</v>
      </c>
      <c r="BB90" s="21">
        <f t="shared" si="39"/>
        <v>0</v>
      </c>
      <c r="BC90" s="21">
        <f t="shared" si="39"/>
        <v>0</v>
      </c>
      <c r="BD90" s="21">
        <f t="shared" si="39"/>
        <v>0</v>
      </c>
      <c r="BE90" s="21">
        <f t="shared" si="39"/>
        <v>0</v>
      </c>
      <c r="BF90" s="21">
        <f t="shared" si="39"/>
        <v>0</v>
      </c>
      <c r="BG90" s="21">
        <f t="shared" si="39"/>
        <v>0</v>
      </c>
      <c r="BH90" t="s">
        <v>326</v>
      </c>
    </row>
    <row r="91" spans="1:60" ht="15.75" customHeight="1">
      <c r="A91" s="464"/>
      <c r="B91" s="2" t="s">
        <v>104</v>
      </c>
      <c r="C91" s="53" t="s">
        <v>325</v>
      </c>
      <c r="D91" s="21">
        <f t="shared" ref="D91:AB91" si="40">D55*0.8*300</f>
        <v>0</v>
      </c>
      <c r="E91" s="21">
        <f t="shared" si="40"/>
        <v>0</v>
      </c>
      <c r="F91" s="21">
        <f>F55*0.8*300</f>
        <v>0</v>
      </c>
      <c r="G91" s="21">
        <f t="shared" si="40"/>
        <v>0</v>
      </c>
      <c r="H91" s="21">
        <f t="shared" si="40"/>
        <v>0</v>
      </c>
      <c r="I91" s="21">
        <f t="shared" si="40"/>
        <v>0</v>
      </c>
      <c r="J91" s="21">
        <f t="shared" si="40"/>
        <v>0</v>
      </c>
      <c r="K91" s="21">
        <f t="shared" si="40"/>
        <v>0</v>
      </c>
      <c r="L91" s="21">
        <f t="shared" si="40"/>
        <v>0</v>
      </c>
      <c r="M91" s="21">
        <f t="shared" si="40"/>
        <v>0</v>
      </c>
      <c r="N91" s="21">
        <f t="shared" si="40"/>
        <v>0</v>
      </c>
      <c r="O91" s="21">
        <f t="shared" si="40"/>
        <v>0</v>
      </c>
      <c r="P91" s="21">
        <f t="shared" si="40"/>
        <v>0</v>
      </c>
      <c r="Q91" s="21">
        <f t="shared" si="40"/>
        <v>0</v>
      </c>
      <c r="R91" s="21">
        <f t="shared" si="40"/>
        <v>0</v>
      </c>
      <c r="S91" s="21">
        <f t="shared" si="40"/>
        <v>0</v>
      </c>
      <c r="T91" s="21">
        <f t="shared" si="40"/>
        <v>0</v>
      </c>
      <c r="U91" s="21">
        <f t="shared" si="40"/>
        <v>0</v>
      </c>
      <c r="V91" s="21">
        <f t="shared" si="40"/>
        <v>0</v>
      </c>
      <c r="W91" s="21">
        <f t="shared" si="40"/>
        <v>0</v>
      </c>
      <c r="X91" s="21">
        <f t="shared" si="40"/>
        <v>0</v>
      </c>
      <c r="Y91" s="21">
        <f t="shared" si="40"/>
        <v>0</v>
      </c>
      <c r="Z91" s="21">
        <f t="shared" si="40"/>
        <v>0</v>
      </c>
      <c r="AA91" s="21">
        <f t="shared" si="40"/>
        <v>0</v>
      </c>
      <c r="AB91" s="21">
        <f t="shared" si="40"/>
        <v>0</v>
      </c>
      <c r="AC91" t="s">
        <v>327</v>
      </c>
      <c r="AF91" s="459"/>
      <c r="AG91" s="2" t="s">
        <v>104</v>
      </c>
      <c r="AH91" s="95" t="s">
        <v>325</v>
      </c>
      <c r="AI91" s="21">
        <f t="shared" ref="AI91:BG91" si="41">AI38*1000000*2.81/907.185*200</f>
        <v>0</v>
      </c>
      <c r="AJ91" s="21">
        <f t="shared" si="41"/>
        <v>0</v>
      </c>
      <c r="AK91" s="21">
        <f t="shared" si="41"/>
        <v>0</v>
      </c>
      <c r="AL91" s="21">
        <f t="shared" si="41"/>
        <v>0</v>
      </c>
      <c r="AM91" s="21">
        <f t="shared" si="41"/>
        <v>0</v>
      </c>
      <c r="AN91" s="21">
        <f t="shared" si="41"/>
        <v>0</v>
      </c>
      <c r="AO91" s="21">
        <f t="shared" si="41"/>
        <v>0</v>
      </c>
      <c r="AP91" s="21">
        <f t="shared" si="41"/>
        <v>0</v>
      </c>
      <c r="AQ91" s="21">
        <f t="shared" si="41"/>
        <v>0</v>
      </c>
      <c r="AR91" s="21">
        <f t="shared" si="41"/>
        <v>0</v>
      </c>
      <c r="AS91" s="21">
        <f t="shared" si="41"/>
        <v>0</v>
      </c>
      <c r="AT91" s="21">
        <f t="shared" si="41"/>
        <v>0</v>
      </c>
      <c r="AU91" s="21">
        <f t="shared" si="41"/>
        <v>0</v>
      </c>
      <c r="AV91" s="21">
        <f t="shared" si="41"/>
        <v>0</v>
      </c>
      <c r="AW91" s="21">
        <f t="shared" si="41"/>
        <v>0</v>
      </c>
      <c r="AX91" s="21">
        <f t="shared" si="41"/>
        <v>0</v>
      </c>
      <c r="AY91" s="21">
        <f t="shared" si="41"/>
        <v>0</v>
      </c>
      <c r="AZ91" s="21">
        <f t="shared" si="41"/>
        <v>0</v>
      </c>
      <c r="BA91" s="21">
        <f t="shared" si="41"/>
        <v>0</v>
      </c>
      <c r="BB91" s="21">
        <f t="shared" si="41"/>
        <v>0</v>
      </c>
      <c r="BC91" s="21">
        <f t="shared" si="41"/>
        <v>0</v>
      </c>
      <c r="BD91" s="21">
        <f t="shared" si="41"/>
        <v>0</v>
      </c>
      <c r="BE91" s="21">
        <f t="shared" si="41"/>
        <v>0</v>
      </c>
      <c r="BF91" s="21">
        <f t="shared" si="41"/>
        <v>0</v>
      </c>
      <c r="BG91" s="21">
        <f t="shared" si="41"/>
        <v>0</v>
      </c>
      <c r="BH91" t="s">
        <v>328</v>
      </c>
    </row>
    <row r="92" spans="1:60" ht="15.75" customHeight="1">
      <c r="A92" s="464"/>
      <c r="B92" s="2" t="s">
        <v>289</v>
      </c>
      <c r="C92" s="53"/>
      <c r="D92" s="2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9"/>
      <c r="AF92" s="459"/>
      <c r="AG92" s="2" t="s">
        <v>289</v>
      </c>
      <c r="AH92" s="53"/>
      <c r="AI92" s="21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9"/>
    </row>
    <row r="93" spans="1:60" ht="15.75" customHeight="1">
      <c r="A93" s="464"/>
      <c r="B93" s="2" t="s">
        <v>118</v>
      </c>
      <c r="C93" s="53"/>
      <c r="D93" s="2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9"/>
      <c r="AF93" s="459"/>
      <c r="AG93" s="2" t="s">
        <v>118</v>
      </c>
      <c r="AH93" s="53"/>
      <c r="AI93" s="21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9"/>
    </row>
    <row r="94" spans="1:60" ht="15.75" customHeight="1">
      <c r="A94" s="464"/>
      <c r="B94" s="2" t="s">
        <v>9</v>
      </c>
      <c r="C94" s="53" t="s">
        <v>325</v>
      </c>
      <c r="D94" s="21">
        <f t="shared" ref="D94:L94" si="42">D58*0.6*300</f>
        <v>0</v>
      </c>
      <c r="E94" s="8">
        <f t="shared" si="42"/>
        <v>0</v>
      </c>
      <c r="F94" s="8">
        <f>F58*0.6*300</f>
        <v>0</v>
      </c>
      <c r="G94" s="8">
        <f t="shared" si="42"/>
        <v>0</v>
      </c>
      <c r="H94" s="8">
        <f t="shared" si="42"/>
        <v>0</v>
      </c>
      <c r="I94" s="8">
        <f t="shared" si="42"/>
        <v>0</v>
      </c>
      <c r="J94" s="8">
        <f t="shared" si="42"/>
        <v>0</v>
      </c>
      <c r="K94" s="8">
        <f t="shared" si="42"/>
        <v>0</v>
      </c>
      <c r="L94" s="8">
        <f t="shared" si="42"/>
        <v>0</v>
      </c>
      <c r="M94" s="8">
        <f t="shared" ref="M94:AB94" si="43">M58*0.6*300</f>
        <v>0</v>
      </c>
      <c r="N94" s="8">
        <f t="shared" si="43"/>
        <v>0</v>
      </c>
      <c r="O94" s="8">
        <f t="shared" si="43"/>
        <v>0</v>
      </c>
      <c r="P94" s="8">
        <f t="shared" si="43"/>
        <v>0</v>
      </c>
      <c r="Q94" s="8">
        <f t="shared" si="43"/>
        <v>0</v>
      </c>
      <c r="R94" s="8">
        <f t="shared" si="43"/>
        <v>0</v>
      </c>
      <c r="S94" s="8">
        <f t="shared" si="43"/>
        <v>0</v>
      </c>
      <c r="T94" s="8">
        <f t="shared" si="43"/>
        <v>0</v>
      </c>
      <c r="U94" s="8">
        <f t="shared" si="43"/>
        <v>0</v>
      </c>
      <c r="V94" s="8">
        <f t="shared" si="43"/>
        <v>0</v>
      </c>
      <c r="W94" s="8">
        <f t="shared" si="43"/>
        <v>0</v>
      </c>
      <c r="X94" s="8">
        <f t="shared" si="43"/>
        <v>0</v>
      </c>
      <c r="Y94" s="8">
        <f t="shared" si="43"/>
        <v>0</v>
      </c>
      <c r="Z94" s="8">
        <f t="shared" si="43"/>
        <v>0</v>
      </c>
      <c r="AA94" s="8">
        <f t="shared" si="43"/>
        <v>0</v>
      </c>
      <c r="AB94" s="9">
        <f t="shared" si="43"/>
        <v>0</v>
      </c>
      <c r="AC94" t="s">
        <v>327</v>
      </c>
      <c r="AF94" s="459"/>
      <c r="AG94" s="2" t="s">
        <v>9</v>
      </c>
      <c r="AH94" s="53" t="s">
        <v>325</v>
      </c>
      <c r="AI94" s="21">
        <f t="shared" ref="AI94:BG94" si="44">AI41*1000000*3.36/907.185*200</f>
        <v>0</v>
      </c>
      <c r="AJ94" s="8">
        <f t="shared" si="44"/>
        <v>0</v>
      </c>
      <c r="AK94" s="8">
        <f t="shared" si="44"/>
        <v>0</v>
      </c>
      <c r="AL94" s="8">
        <f t="shared" si="44"/>
        <v>0</v>
      </c>
      <c r="AM94" s="8">
        <f t="shared" si="44"/>
        <v>0</v>
      </c>
      <c r="AN94" s="8">
        <f t="shared" si="44"/>
        <v>0</v>
      </c>
      <c r="AO94" s="8">
        <f t="shared" si="44"/>
        <v>0</v>
      </c>
      <c r="AP94" s="8">
        <f t="shared" si="44"/>
        <v>0</v>
      </c>
      <c r="AQ94" s="8">
        <f t="shared" si="44"/>
        <v>0</v>
      </c>
      <c r="AR94" s="8">
        <f t="shared" si="44"/>
        <v>0</v>
      </c>
      <c r="AS94" s="8">
        <f t="shared" si="44"/>
        <v>0</v>
      </c>
      <c r="AT94" s="8">
        <f t="shared" si="44"/>
        <v>0</v>
      </c>
      <c r="AU94" s="8">
        <f t="shared" si="44"/>
        <v>0</v>
      </c>
      <c r="AV94" s="8">
        <f t="shared" si="44"/>
        <v>0</v>
      </c>
      <c r="AW94" s="8">
        <f t="shared" si="44"/>
        <v>0</v>
      </c>
      <c r="AX94" s="8">
        <f t="shared" si="44"/>
        <v>0</v>
      </c>
      <c r="AY94" s="8">
        <f t="shared" si="44"/>
        <v>0</v>
      </c>
      <c r="AZ94" s="8">
        <f t="shared" si="44"/>
        <v>0</v>
      </c>
      <c r="BA94" s="8">
        <f t="shared" si="44"/>
        <v>0</v>
      </c>
      <c r="BB94" s="8">
        <f t="shared" si="44"/>
        <v>0</v>
      </c>
      <c r="BC94" s="8">
        <f t="shared" si="44"/>
        <v>0</v>
      </c>
      <c r="BD94" s="8">
        <f t="shared" si="44"/>
        <v>0</v>
      </c>
      <c r="BE94" s="8">
        <f t="shared" si="44"/>
        <v>0</v>
      </c>
      <c r="BF94" s="8">
        <f t="shared" si="44"/>
        <v>0</v>
      </c>
      <c r="BG94" s="9">
        <f t="shared" si="44"/>
        <v>0</v>
      </c>
      <c r="BH94" t="s">
        <v>329</v>
      </c>
    </row>
    <row r="95" spans="1:60" ht="15.75" customHeight="1">
      <c r="A95" s="464"/>
      <c r="B95" s="2" t="s">
        <v>34</v>
      </c>
      <c r="C95" s="53" t="s">
        <v>325</v>
      </c>
      <c r="D95" s="21">
        <f t="shared" ref="D95:L95" si="45">D59*0.8*300</f>
        <v>0</v>
      </c>
      <c r="E95" s="8">
        <f t="shared" si="45"/>
        <v>0</v>
      </c>
      <c r="F95" s="8">
        <f t="shared" si="45"/>
        <v>0</v>
      </c>
      <c r="G95" s="8">
        <f t="shared" si="45"/>
        <v>0</v>
      </c>
      <c r="H95" s="8">
        <f t="shared" si="45"/>
        <v>12041162.607491696</v>
      </c>
      <c r="I95" s="8">
        <f t="shared" si="45"/>
        <v>102979242.30483548</v>
      </c>
      <c r="J95" s="8">
        <f t="shared" si="45"/>
        <v>154994196.15673998</v>
      </c>
      <c r="K95" s="8">
        <f t="shared" si="45"/>
        <v>185012808.30058783</v>
      </c>
      <c r="L95" s="8">
        <f t="shared" si="45"/>
        <v>201465624.33387539</v>
      </c>
      <c r="M95" s="8">
        <f t="shared" ref="M95:AB95" si="46">M59*0.8*300</f>
        <v>209794274.15951404</v>
      </c>
      <c r="N95" s="8">
        <f t="shared" si="46"/>
        <v>213252743.15360764</v>
      </c>
      <c r="O95" s="8">
        <f t="shared" si="46"/>
        <v>213784340.24207699</v>
      </c>
      <c r="P95" s="8">
        <f t="shared" si="46"/>
        <v>216167394.6868383</v>
      </c>
      <c r="Q95" s="8">
        <f t="shared" si="46"/>
        <v>212386009.59475407</v>
      </c>
      <c r="R95" s="8">
        <f t="shared" si="46"/>
        <v>208543224.21547458</v>
      </c>
      <c r="S95" s="8">
        <f t="shared" si="46"/>
        <v>204644591.71727449</v>
      </c>
      <c r="T95" s="8">
        <f t="shared" si="46"/>
        <v>200695864.96872327</v>
      </c>
      <c r="U95" s="8">
        <f t="shared" si="46"/>
        <v>199559786.77767774</v>
      </c>
      <c r="V95" s="8">
        <f t="shared" si="46"/>
        <v>198165804.04573986</v>
      </c>
      <c r="W95" s="8">
        <f t="shared" si="46"/>
        <v>195185566.35278153</v>
      </c>
      <c r="X95" s="8">
        <f t="shared" si="46"/>
        <v>190910244.62849903</v>
      </c>
      <c r="Y95" s="8">
        <f t="shared" si="46"/>
        <v>188178883.00291124</v>
      </c>
      <c r="Z95" s="8">
        <f t="shared" si="46"/>
        <v>185049959.01930264</v>
      </c>
      <c r="AA95" s="8">
        <f t="shared" si="46"/>
        <v>181865552.77922782</v>
      </c>
      <c r="AB95" s="9">
        <f t="shared" si="46"/>
        <v>177628899.70009539</v>
      </c>
      <c r="AC95" t="s">
        <v>330</v>
      </c>
      <c r="AF95" s="459"/>
      <c r="AG95" s="2" t="s">
        <v>34</v>
      </c>
      <c r="AH95" s="53" t="s">
        <v>325</v>
      </c>
      <c r="AI95" s="21">
        <f t="shared" ref="AI95:BG95" si="47">AI42*1000000*2.948/907.185*200</f>
        <v>0</v>
      </c>
      <c r="AJ95" s="8">
        <f t="shared" si="47"/>
        <v>0</v>
      </c>
      <c r="AK95" s="8">
        <f t="shared" si="47"/>
        <v>207942743.51345435</v>
      </c>
      <c r="AL95" s="8">
        <f t="shared" si="47"/>
        <v>602333146.5302546</v>
      </c>
      <c r="AM95" s="8">
        <f t="shared" si="47"/>
        <v>696894800.07235789</v>
      </c>
      <c r="AN95" s="8">
        <f t="shared" si="47"/>
        <v>664923278.65213501</v>
      </c>
      <c r="AO95" s="8">
        <f t="shared" si="47"/>
        <v>578926397.22596169</v>
      </c>
      <c r="AP95" s="8">
        <f t="shared" si="47"/>
        <v>559740270.55364978</v>
      </c>
      <c r="AQ95" s="8">
        <f t="shared" si="47"/>
        <v>540896209.80139101</v>
      </c>
      <c r="AR95" s="8">
        <f t="shared" si="47"/>
        <v>522502488.96281338</v>
      </c>
      <c r="AS95" s="8">
        <f t="shared" si="47"/>
        <v>504625138.48122972</v>
      </c>
      <c r="AT95" s="8">
        <f t="shared" si="47"/>
        <v>487303547.42548478</v>
      </c>
      <c r="AU95" s="8">
        <f t="shared" si="47"/>
        <v>470931658.1663481</v>
      </c>
      <c r="AV95" s="8">
        <f t="shared" si="47"/>
        <v>454642729.11254603</v>
      </c>
      <c r="AW95" s="8">
        <f t="shared" si="47"/>
        <v>438982216.58508003</v>
      </c>
      <c r="AX95" s="8">
        <f t="shared" si="47"/>
        <v>423928301.8097803</v>
      </c>
      <c r="AY95" s="8">
        <f t="shared" si="47"/>
        <v>409459527.80092078</v>
      </c>
      <c r="AZ95" s="8">
        <f t="shared" si="47"/>
        <v>429714495.44107699</v>
      </c>
      <c r="BA95" s="8">
        <f t="shared" si="47"/>
        <v>445530101.57743853</v>
      </c>
      <c r="BB95" s="8">
        <f t="shared" si="47"/>
        <v>440495508.43967479</v>
      </c>
      <c r="BC95" s="8">
        <f t="shared" si="47"/>
        <v>420672049.68591082</v>
      </c>
      <c r="BD95" s="8">
        <f t="shared" si="47"/>
        <v>418532399.99959302</v>
      </c>
      <c r="BE95" s="8">
        <f t="shared" si="47"/>
        <v>411931855.57974672</v>
      </c>
      <c r="BF95" s="8">
        <f t="shared" si="47"/>
        <v>404750681.68211269</v>
      </c>
      <c r="BG95" s="9">
        <f t="shared" si="47"/>
        <v>388018274.90865082</v>
      </c>
      <c r="BH95" t="s">
        <v>331</v>
      </c>
    </row>
    <row r="96" spans="1:60" ht="15.75" customHeight="1">
      <c r="A96" s="464"/>
      <c r="B96" s="2" t="s">
        <v>33</v>
      </c>
      <c r="C96" s="53"/>
      <c r="D96" s="2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9"/>
      <c r="AF96" s="459"/>
      <c r="AG96" s="2" t="s">
        <v>33</v>
      </c>
      <c r="AH96" s="53"/>
      <c r="AI96" s="21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9"/>
    </row>
    <row r="97" spans="1:60" ht="15.75" customHeight="1">
      <c r="A97" s="464"/>
      <c r="B97" s="2" t="s">
        <v>290</v>
      </c>
      <c r="C97" s="53"/>
      <c r="D97" s="2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9"/>
      <c r="AF97" s="459"/>
      <c r="AG97" s="2" t="s">
        <v>290</v>
      </c>
      <c r="AH97" s="53"/>
      <c r="AI97" s="21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9"/>
    </row>
    <row r="98" spans="1:60" ht="15.75" customHeight="1">
      <c r="A98" s="464"/>
      <c r="B98" s="2" t="s">
        <v>14</v>
      </c>
      <c r="C98" s="53"/>
      <c r="D98" s="2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9"/>
      <c r="AF98" s="459"/>
      <c r="AG98" s="2" t="s">
        <v>14</v>
      </c>
      <c r="AH98" s="53"/>
      <c r="AI98" s="21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9"/>
    </row>
    <row r="99" spans="1:60" ht="15.75" customHeight="1">
      <c r="A99" s="464"/>
      <c r="B99" s="2" t="s">
        <v>108</v>
      </c>
      <c r="C99" s="53"/>
      <c r="D99" s="2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9"/>
      <c r="AF99" s="459"/>
      <c r="AG99" s="2" t="s">
        <v>108</v>
      </c>
      <c r="AH99" s="53"/>
      <c r="AI99" s="21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9"/>
    </row>
    <row r="100" spans="1:60" ht="15.75" customHeight="1">
      <c r="A100" s="464"/>
      <c r="B100" s="2" t="s">
        <v>122</v>
      </c>
      <c r="C100" s="53" t="s">
        <v>325</v>
      </c>
      <c r="D100" s="21">
        <f t="shared" ref="D100:L100" si="48">D64*0.8*300</f>
        <v>0</v>
      </c>
      <c r="E100" s="8">
        <f t="shared" si="48"/>
        <v>0</v>
      </c>
      <c r="F100" s="8">
        <f t="shared" si="48"/>
        <v>0</v>
      </c>
      <c r="G100" s="8">
        <f t="shared" si="48"/>
        <v>0</v>
      </c>
      <c r="H100" s="8">
        <f t="shared" si="48"/>
        <v>768697.10796575435</v>
      </c>
      <c r="I100" s="8">
        <f t="shared" si="48"/>
        <v>7611616.4188750107</v>
      </c>
      <c r="J100" s="8">
        <f t="shared" si="48"/>
        <v>14363380.229045374</v>
      </c>
      <c r="K100" s="8">
        <f t="shared" si="48"/>
        <v>19650638.920104943</v>
      </c>
      <c r="L100" s="8">
        <f t="shared" si="48"/>
        <v>24441356.797555301</v>
      </c>
      <c r="M100" s="8">
        <f t="shared" ref="M100:AB100" si="49">M64*0.8*300</f>
        <v>28918249.090725191</v>
      </c>
      <c r="N100" s="8">
        <f t="shared" si="49"/>
        <v>33202360.821643736</v>
      </c>
      <c r="O100" s="8">
        <f t="shared" si="49"/>
        <v>37375751.058569923</v>
      </c>
      <c r="P100" s="8">
        <f t="shared" si="49"/>
        <v>41989114.590224624</v>
      </c>
      <c r="Q100" s="8">
        <f t="shared" si="49"/>
        <v>45916119.131007977</v>
      </c>
      <c r="R100" s="8">
        <f t="shared" si="49"/>
        <v>49906888.45658578</v>
      </c>
      <c r="S100" s="8">
        <f t="shared" si="49"/>
        <v>53955655.548656441</v>
      </c>
      <c r="T100" s="8">
        <f t="shared" si="49"/>
        <v>58056445.998255074</v>
      </c>
      <c r="U100" s="8">
        <f t="shared" si="49"/>
        <v>59236274.052335061</v>
      </c>
      <c r="V100" s="8">
        <f t="shared" si="49"/>
        <v>60683938.435831271</v>
      </c>
      <c r="W100" s="8">
        <f t="shared" si="49"/>
        <v>63778943.74945575</v>
      </c>
      <c r="X100" s="8">
        <f t="shared" si="49"/>
        <v>68218906.201233819</v>
      </c>
      <c r="Y100" s="8">
        <f t="shared" si="49"/>
        <v>71055451.341441393</v>
      </c>
      <c r="Z100" s="8">
        <f t="shared" si="49"/>
        <v>74304868.78827028</v>
      </c>
      <c r="AA100" s="8">
        <f t="shared" si="49"/>
        <v>77611905.088447854</v>
      </c>
      <c r="AB100" s="9">
        <f t="shared" si="49"/>
        <v>82011709.782845363</v>
      </c>
      <c r="AC100" t="s">
        <v>330</v>
      </c>
      <c r="AF100" s="459"/>
      <c r="AG100" s="2" t="s">
        <v>122</v>
      </c>
      <c r="AH100" s="53" t="s">
        <v>325</v>
      </c>
      <c r="AI100" s="21">
        <f t="shared" ref="AI100:BG100" si="50">AI47*1000000*2.866/907.185*200</f>
        <v>0</v>
      </c>
      <c r="AJ100" s="8">
        <f t="shared" si="50"/>
        <v>-2.0202868572778459E-8</v>
      </c>
      <c r="AK100" s="8">
        <f t="shared" si="50"/>
        <v>20397824.069225729</v>
      </c>
      <c r="AL100" s="8">
        <f t="shared" si="50"/>
        <v>32582114.727922749</v>
      </c>
      <c r="AM100" s="8">
        <f t="shared" si="50"/>
        <v>41647818.775430202</v>
      </c>
      <c r="AN100" s="8">
        <f t="shared" si="50"/>
        <v>46008380.991432071</v>
      </c>
      <c r="AO100" s="8">
        <f t="shared" si="50"/>
        <v>50223015.463950947</v>
      </c>
      <c r="AP100" s="8">
        <f t="shared" si="50"/>
        <v>55654417.899256922</v>
      </c>
      <c r="AQ100" s="8">
        <f t="shared" si="50"/>
        <v>61429432.93385414</v>
      </c>
      <c r="AR100" s="8">
        <f t="shared" si="50"/>
        <v>67422513.352060378</v>
      </c>
      <c r="AS100" s="8">
        <f t="shared" si="50"/>
        <v>73549789.01180236</v>
      </c>
      <c r="AT100" s="8">
        <f t="shared" si="50"/>
        <v>79753880.394162595</v>
      </c>
      <c r="AU100" s="8">
        <f t="shared" si="50"/>
        <v>85633289.326628879</v>
      </c>
      <c r="AV100" s="8">
        <f t="shared" si="50"/>
        <v>92012690.493979216</v>
      </c>
      <c r="AW100" s="8">
        <f t="shared" si="50"/>
        <v>98344380.3423682</v>
      </c>
      <c r="AX100" s="8">
        <f t="shared" si="50"/>
        <v>104632673.98617299</v>
      </c>
      <c r="AY100" s="8">
        <f t="shared" si="50"/>
        <v>110882041.71260269</v>
      </c>
      <c r="AZ100" s="8">
        <f t="shared" si="50"/>
        <v>119407860.64452638</v>
      </c>
      <c r="BA100" s="8">
        <f t="shared" si="50"/>
        <v>127720411.25501052</v>
      </c>
      <c r="BB100" s="8">
        <f t="shared" si="50"/>
        <v>134743963.79722351</v>
      </c>
      <c r="BC100" s="8">
        <f t="shared" si="50"/>
        <v>140720505.43488958</v>
      </c>
      <c r="BD100" s="8">
        <f t="shared" si="50"/>
        <v>147942792.18049377</v>
      </c>
      <c r="BE100" s="8">
        <f t="shared" si="50"/>
        <v>154843103.65013844</v>
      </c>
      <c r="BF100" s="8">
        <f t="shared" si="50"/>
        <v>161697645.78975213</v>
      </c>
      <c r="BG100" s="9">
        <f t="shared" si="50"/>
        <v>167707556.83012024</v>
      </c>
      <c r="BH100" t="s">
        <v>332</v>
      </c>
    </row>
    <row r="101" spans="1:60" ht="15.75" customHeight="1">
      <c r="A101" s="464"/>
      <c r="B101" s="12" t="s">
        <v>123</v>
      </c>
      <c r="C101" s="53"/>
      <c r="D101" s="2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9"/>
      <c r="AF101" s="459"/>
      <c r="AG101" s="12" t="s">
        <v>123</v>
      </c>
      <c r="AH101" s="53"/>
      <c r="AI101" s="21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9"/>
    </row>
    <row r="102" spans="1:60" ht="15.75" customHeight="1">
      <c r="A102" s="464"/>
      <c r="B102" s="12" t="s">
        <v>124</v>
      </c>
      <c r="C102" s="53"/>
      <c r="D102" s="2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9"/>
      <c r="AF102" s="459"/>
      <c r="AG102" s="12" t="s">
        <v>124</v>
      </c>
      <c r="AH102" s="53"/>
      <c r="AI102" s="21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9"/>
    </row>
    <row r="103" spans="1:60" ht="15.75" customHeight="1" thickBot="1">
      <c r="A103" s="465"/>
      <c r="B103" s="213" t="s">
        <v>218</v>
      </c>
      <c r="C103" s="67"/>
      <c r="D103" s="22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4"/>
      <c r="AF103" s="481"/>
      <c r="AG103" s="54" t="s">
        <v>218</v>
      </c>
      <c r="AH103" s="67"/>
      <c r="AI103" s="22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4"/>
    </row>
    <row r="104" spans="1:60" ht="15.75" thickBot="1"/>
    <row r="105" spans="1:60">
      <c r="A105" s="463" t="s">
        <v>333</v>
      </c>
      <c r="B105" s="78" t="s">
        <v>3</v>
      </c>
      <c r="C105" s="247" t="s">
        <v>1</v>
      </c>
      <c r="D105" s="50">
        <v>2022</v>
      </c>
      <c r="E105" s="146">
        <v>2023</v>
      </c>
      <c r="F105" s="146">
        <v>2024</v>
      </c>
      <c r="G105" s="146">
        <v>2025</v>
      </c>
      <c r="H105" s="146">
        <v>2026</v>
      </c>
      <c r="I105" s="146">
        <v>2027</v>
      </c>
      <c r="J105" s="146">
        <v>2028</v>
      </c>
      <c r="K105" s="146">
        <v>2029</v>
      </c>
      <c r="L105" s="146">
        <v>2030</v>
      </c>
      <c r="M105" s="146">
        <v>2031</v>
      </c>
      <c r="N105" s="146">
        <v>2032</v>
      </c>
      <c r="O105" s="146">
        <v>2033</v>
      </c>
      <c r="P105" s="146">
        <v>2034</v>
      </c>
      <c r="Q105" s="146">
        <v>2035</v>
      </c>
      <c r="R105" s="146">
        <v>2036</v>
      </c>
      <c r="S105" s="146">
        <v>2037</v>
      </c>
      <c r="T105" s="146">
        <v>2038</v>
      </c>
      <c r="U105" s="146">
        <v>2039</v>
      </c>
      <c r="V105" s="146">
        <v>2040</v>
      </c>
      <c r="W105" s="146">
        <v>2041</v>
      </c>
      <c r="X105" s="146">
        <v>2042</v>
      </c>
      <c r="Y105" s="146">
        <v>2043</v>
      </c>
      <c r="Z105" s="146">
        <v>2044</v>
      </c>
      <c r="AA105" s="146">
        <v>2045</v>
      </c>
      <c r="AB105" s="99">
        <v>2046</v>
      </c>
      <c r="AC105" t="s">
        <v>334</v>
      </c>
      <c r="AF105" s="463" t="s">
        <v>335</v>
      </c>
      <c r="AG105" s="78" t="s">
        <v>3</v>
      </c>
      <c r="AH105" s="117" t="s">
        <v>1</v>
      </c>
      <c r="AI105" s="115">
        <v>2022</v>
      </c>
      <c r="AJ105" s="115">
        <v>2023</v>
      </c>
      <c r="AK105" s="115">
        <v>2024</v>
      </c>
      <c r="AL105" s="115">
        <v>2025</v>
      </c>
      <c r="AM105" s="115">
        <v>2026</v>
      </c>
      <c r="AN105" s="115">
        <v>2027</v>
      </c>
      <c r="AO105" s="115">
        <v>2028</v>
      </c>
      <c r="AP105" s="115">
        <v>2029</v>
      </c>
      <c r="AQ105" s="116">
        <v>2030</v>
      </c>
      <c r="AR105" s="115">
        <v>2031</v>
      </c>
      <c r="AS105" s="116">
        <v>2032</v>
      </c>
      <c r="AT105" s="115">
        <v>2033</v>
      </c>
      <c r="AU105" s="116">
        <v>2034</v>
      </c>
      <c r="AV105" s="115">
        <v>2035</v>
      </c>
      <c r="AW105" s="116">
        <v>2036</v>
      </c>
      <c r="AX105" s="115">
        <v>2037</v>
      </c>
      <c r="AY105" s="116">
        <v>2038</v>
      </c>
      <c r="AZ105" s="115">
        <v>2039</v>
      </c>
      <c r="BA105" s="116">
        <v>2040</v>
      </c>
      <c r="BB105" s="115">
        <v>2041</v>
      </c>
      <c r="BC105" s="116">
        <v>2042</v>
      </c>
      <c r="BD105" s="115">
        <v>2043</v>
      </c>
      <c r="BE105" s="116">
        <v>2044</v>
      </c>
      <c r="BF105" s="115">
        <v>2045</v>
      </c>
      <c r="BG105" s="116">
        <v>2046</v>
      </c>
    </row>
    <row r="106" spans="1:60">
      <c r="A106" s="464"/>
      <c r="B106" s="2" t="s">
        <v>115</v>
      </c>
      <c r="C106" s="95"/>
      <c r="D106" s="2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9"/>
      <c r="AC106" s="123"/>
      <c r="AF106" s="464"/>
      <c r="AG106" s="2" t="s">
        <v>115</v>
      </c>
      <c r="AH106" s="95" t="s">
        <v>307</v>
      </c>
      <c r="AI106" s="110">
        <f t="shared" ref="AI106:BG106" si="51">AI36*1000000/7500*100</f>
        <v>0</v>
      </c>
      <c r="AJ106" s="110">
        <f t="shared" si="51"/>
        <v>0</v>
      </c>
      <c r="AK106" s="110">
        <f t="shared" si="51"/>
        <v>0</v>
      </c>
      <c r="AL106" s="110">
        <f t="shared" si="51"/>
        <v>0</v>
      </c>
      <c r="AM106" s="110">
        <f t="shared" si="51"/>
        <v>0</v>
      </c>
      <c r="AN106" s="349">
        <f t="shared" si="51"/>
        <v>0</v>
      </c>
      <c r="AO106" s="110">
        <f t="shared" si="51"/>
        <v>0</v>
      </c>
      <c r="AP106" s="110">
        <f t="shared" si="51"/>
        <v>0</v>
      </c>
      <c r="AQ106" s="110">
        <f t="shared" si="51"/>
        <v>0</v>
      </c>
      <c r="AR106" s="110">
        <f t="shared" si="51"/>
        <v>0</v>
      </c>
      <c r="AS106" s="110">
        <f t="shared" si="51"/>
        <v>0</v>
      </c>
      <c r="AT106" s="110">
        <f t="shared" si="51"/>
        <v>0</v>
      </c>
      <c r="AU106" s="110">
        <f t="shared" si="51"/>
        <v>0</v>
      </c>
      <c r="AV106" s="110">
        <f t="shared" si="51"/>
        <v>0</v>
      </c>
      <c r="AW106" s="110">
        <f t="shared" si="51"/>
        <v>0</v>
      </c>
      <c r="AX106" s="110">
        <f t="shared" si="51"/>
        <v>0</v>
      </c>
      <c r="AY106" s="110">
        <f t="shared" si="51"/>
        <v>0</v>
      </c>
      <c r="AZ106" s="110">
        <f t="shared" si="51"/>
        <v>0</v>
      </c>
      <c r="BA106" s="110">
        <f t="shared" si="51"/>
        <v>0</v>
      </c>
      <c r="BB106" s="110">
        <f t="shared" si="51"/>
        <v>0</v>
      </c>
      <c r="BC106" s="110">
        <f t="shared" si="51"/>
        <v>0</v>
      </c>
      <c r="BD106" s="110">
        <f t="shared" si="51"/>
        <v>0</v>
      </c>
      <c r="BE106" s="110">
        <f t="shared" si="51"/>
        <v>0</v>
      </c>
      <c r="BF106" s="110">
        <f t="shared" si="51"/>
        <v>0</v>
      </c>
      <c r="BG106" s="110">
        <f t="shared" si="51"/>
        <v>0</v>
      </c>
      <c r="BH106" s="123" t="s">
        <v>336</v>
      </c>
    </row>
    <row r="107" spans="1:60">
      <c r="A107" s="464"/>
      <c r="B107" s="2" t="s">
        <v>19</v>
      </c>
      <c r="C107" s="95"/>
      <c r="D107" s="2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9"/>
      <c r="AF107" s="464"/>
      <c r="AG107" s="2" t="s">
        <v>19</v>
      </c>
      <c r="AH107" s="95" t="s">
        <v>307</v>
      </c>
      <c r="AI107" s="9">
        <f t="shared" ref="AI107:BG107" si="52">AI37*1000000/7500*100</f>
        <v>0</v>
      </c>
      <c r="AJ107" s="9">
        <f t="shared" si="52"/>
        <v>0</v>
      </c>
      <c r="AK107" s="9">
        <f t="shared" si="52"/>
        <v>0</v>
      </c>
      <c r="AL107" s="9">
        <f t="shared" si="52"/>
        <v>0</v>
      </c>
      <c r="AM107" s="9">
        <f t="shared" si="52"/>
        <v>0</v>
      </c>
      <c r="AN107" s="9">
        <f t="shared" si="52"/>
        <v>0</v>
      </c>
      <c r="AO107" s="9">
        <f t="shared" si="52"/>
        <v>0</v>
      </c>
      <c r="AP107" s="9">
        <f t="shared" si="52"/>
        <v>0</v>
      </c>
      <c r="AQ107" s="9">
        <f t="shared" si="52"/>
        <v>0</v>
      </c>
      <c r="AR107" s="9">
        <f t="shared" si="52"/>
        <v>0</v>
      </c>
      <c r="AS107" s="9">
        <f t="shared" si="52"/>
        <v>0</v>
      </c>
      <c r="AT107" s="9">
        <f t="shared" si="52"/>
        <v>0</v>
      </c>
      <c r="AU107" s="9">
        <f t="shared" si="52"/>
        <v>0</v>
      </c>
      <c r="AV107" s="9">
        <f t="shared" si="52"/>
        <v>0</v>
      </c>
      <c r="AW107" s="9">
        <f t="shared" si="52"/>
        <v>0</v>
      </c>
      <c r="AX107" s="9">
        <f t="shared" si="52"/>
        <v>0</v>
      </c>
      <c r="AY107" s="9">
        <f t="shared" si="52"/>
        <v>0</v>
      </c>
      <c r="AZ107" s="9">
        <f t="shared" si="52"/>
        <v>0</v>
      </c>
      <c r="BA107" s="9">
        <f t="shared" si="52"/>
        <v>0</v>
      </c>
      <c r="BB107" s="9">
        <f t="shared" si="52"/>
        <v>0</v>
      </c>
      <c r="BC107" s="9">
        <f t="shared" si="52"/>
        <v>0</v>
      </c>
      <c r="BD107" s="9">
        <f t="shared" si="52"/>
        <v>0</v>
      </c>
      <c r="BE107" s="9">
        <f t="shared" si="52"/>
        <v>0</v>
      </c>
      <c r="BF107" s="9">
        <f t="shared" si="52"/>
        <v>0</v>
      </c>
      <c r="BG107" s="9">
        <f t="shared" si="52"/>
        <v>0</v>
      </c>
      <c r="BH107" s="123" t="s">
        <v>336</v>
      </c>
    </row>
    <row r="108" spans="1:60" s="243" customFormat="1">
      <c r="A108" s="464"/>
      <c r="B108" s="2" t="s">
        <v>104</v>
      </c>
      <c r="C108" s="53" t="s">
        <v>307</v>
      </c>
      <c r="D108" s="21">
        <f t="shared" ref="D108:AB108" si="53">D38*1000000/7500*10</f>
        <v>0</v>
      </c>
      <c r="E108" s="21">
        <f t="shared" si="53"/>
        <v>0</v>
      </c>
      <c r="F108" s="21">
        <f t="shared" si="53"/>
        <v>0</v>
      </c>
      <c r="G108" s="21">
        <f t="shared" si="53"/>
        <v>0</v>
      </c>
      <c r="H108" s="21">
        <f t="shared" si="53"/>
        <v>0</v>
      </c>
      <c r="I108" s="21">
        <f t="shared" si="53"/>
        <v>0</v>
      </c>
      <c r="J108" s="21">
        <f t="shared" si="53"/>
        <v>0</v>
      </c>
      <c r="K108" s="21">
        <f t="shared" si="53"/>
        <v>0</v>
      </c>
      <c r="L108" s="21">
        <f t="shared" si="53"/>
        <v>0</v>
      </c>
      <c r="M108" s="21">
        <f t="shared" si="53"/>
        <v>0</v>
      </c>
      <c r="N108" s="21">
        <f t="shared" si="53"/>
        <v>0</v>
      </c>
      <c r="O108" s="21">
        <f t="shared" si="53"/>
        <v>0</v>
      </c>
      <c r="P108" s="21">
        <f t="shared" si="53"/>
        <v>0</v>
      </c>
      <c r="Q108" s="21">
        <f t="shared" si="53"/>
        <v>0</v>
      </c>
      <c r="R108" s="21">
        <f t="shared" si="53"/>
        <v>0</v>
      </c>
      <c r="S108" s="21">
        <f t="shared" si="53"/>
        <v>0</v>
      </c>
      <c r="T108" s="21">
        <f t="shared" si="53"/>
        <v>0</v>
      </c>
      <c r="U108" s="21">
        <f t="shared" si="53"/>
        <v>0</v>
      </c>
      <c r="V108" s="21">
        <f t="shared" si="53"/>
        <v>0</v>
      </c>
      <c r="W108" s="21">
        <f t="shared" si="53"/>
        <v>0</v>
      </c>
      <c r="X108" s="21">
        <f t="shared" si="53"/>
        <v>0</v>
      </c>
      <c r="Y108" s="21">
        <f t="shared" si="53"/>
        <v>0</v>
      </c>
      <c r="Z108" s="21">
        <f t="shared" si="53"/>
        <v>0</v>
      </c>
      <c r="AA108" s="21">
        <f t="shared" si="53"/>
        <v>0</v>
      </c>
      <c r="AB108" s="21">
        <f t="shared" si="53"/>
        <v>0</v>
      </c>
      <c r="AC108" s="123" t="s">
        <v>337</v>
      </c>
      <c r="AF108" s="464"/>
      <c r="AG108" s="251" t="s">
        <v>104</v>
      </c>
      <c r="AH108" s="95" t="s">
        <v>307</v>
      </c>
      <c r="AI108" s="21">
        <f t="shared" ref="AI108:BG108" si="54">AI38*1000000/7500*100</f>
        <v>0</v>
      </c>
      <c r="AJ108" s="21">
        <f t="shared" si="54"/>
        <v>0</v>
      </c>
      <c r="AK108" s="21">
        <f t="shared" si="54"/>
        <v>0</v>
      </c>
      <c r="AL108" s="21">
        <f t="shared" si="54"/>
        <v>0</v>
      </c>
      <c r="AM108" s="21">
        <f t="shared" si="54"/>
        <v>0</v>
      </c>
      <c r="AN108" s="21">
        <f t="shared" si="54"/>
        <v>0</v>
      </c>
      <c r="AO108" s="21">
        <f t="shared" si="54"/>
        <v>0</v>
      </c>
      <c r="AP108" s="21">
        <f t="shared" si="54"/>
        <v>0</v>
      </c>
      <c r="AQ108" s="21">
        <f t="shared" si="54"/>
        <v>0</v>
      </c>
      <c r="AR108" s="21">
        <f t="shared" si="54"/>
        <v>0</v>
      </c>
      <c r="AS108" s="21">
        <f t="shared" si="54"/>
        <v>0</v>
      </c>
      <c r="AT108" s="21">
        <f t="shared" si="54"/>
        <v>0</v>
      </c>
      <c r="AU108" s="21">
        <f t="shared" si="54"/>
        <v>0</v>
      </c>
      <c r="AV108" s="21">
        <f t="shared" si="54"/>
        <v>0</v>
      </c>
      <c r="AW108" s="21">
        <f t="shared" si="54"/>
        <v>0</v>
      </c>
      <c r="AX108" s="21">
        <f t="shared" si="54"/>
        <v>0</v>
      </c>
      <c r="AY108" s="21">
        <f t="shared" si="54"/>
        <v>0</v>
      </c>
      <c r="AZ108" s="21">
        <f t="shared" si="54"/>
        <v>0</v>
      </c>
      <c r="BA108" s="21">
        <f t="shared" si="54"/>
        <v>0</v>
      </c>
      <c r="BB108" s="21">
        <f t="shared" si="54"/>
        <v>0</v>
      </c>
      <c r="BC108" s="21">
        <f t="shared" si="54"/>
        <v>0</v>
      </c>
      <c r="BD108" s="21">
        <f t="shared" si="54"/>
        <v>0</v>
      </c>
      <c r="BE108" s="21">
        <f t="shared" si="54"/>
        <v>0</v>
      </c>
      <c r="BF108" s="21">
        <f t="shared" si="54"/>
        <v>0</v>
      </c>
      <c r="BG108" s="21">
        <f t="shared" si="54"/>
        <v>0</v>
      </c>
      <c r="BH108" s="123" t="s">
        <v>338</v>
      </c>
    </row>
    <row r="109" spans="1:60">
      <c r="A109" s="464"/>
      <c r="B109" s="2" t="s">
        <v>289</v>
      </c>
      <c r="C109" s="53"/>
      <c r="D109" s="2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9"/>
      <c r="AF109" s="464"/>
      <c r="AG109" s="2" t="s">
        <v>289</v>
      </c>
      <c r="AH109" s="53"/>
      <c r="AI109" s="21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9"/>
    </row>
    <row r="110" spans="1:60">
      <c r="A110" s="464"/>
      <c r="B110" s="2" t="s">
        <v>118</v>
      </c>
      <c r="C110" s="53"/>
      <c r="D110" s="2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9"/>
      <c r="AF110" s="464"/>
      <c r="AG110" s="2" t="s">
        <v>118</v>
      </c>
      <c r="AH110" s="53"/>
      <c r="AI110" s="21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9"/>
    </row>
    <row r="111" spans="1:60">
      <c r="A111" s="464"/>
      <c r="B111" s="2" t="s">
        <v>9</v>
      </c>
      <c r="C111" s="53" t="s">
        <v>307</v>
      </c>
      <c r="D111" s="21">
        <f t="shared" ref="D111:AB111" si="55">D41*1000000/7500*100</f>
        <v>0</v>
      </c>
      <c r="E111" s="8">
        <f t="shared" si="55"/>
        <v>0</v>
      </c>
      <c r="F111" s="8">
        <f t="shared" si="55"/>
        <v>0</v>
      </c>
      <c r="G111" s="8">
        <f t="shared" si="55"/>
        <v>0</v>
      </c>
      <c r="H111" s="8">
        <f t="shared" si="55"/>
        <v>0</v>
      </c>
      <c r="I111" s="8">
        <f t="shared" si="55"/>
        <v>0</v>
      </c>
      <c r="J111" s="8">
        <f t="shared" si="55"/>
        <v>0</v>
      </c>
      <c r="K111" s="8">
        <f t="shared" si="55"/>
        <v>0</v>
      </c>
      <c r="L111" s="8">
        <f t="shared" si="55"/>
        <v>0</v>
      </c>
      <c r="M111" s="8">
        <f t="shared" si="55"/>
        <v>0</v>
      </c>
      <c r="N111" s="8">
        <f t="shared" si="55"/>
        <v>0</v>
      </c>
      <c r="O111" s="8">
        <f t="shared" si="55"/>
        <v>0</v>
      </c>
      <c r="P111" s="8">
        <f t="shared" si="55"/>
        <v>0</v>
      </c>
      <c r="Q111" s="8">
        <f t="shared" si="55"/>
        <v>0</v>
      </c>
      <c r="R111" s="8">
        <f t="shared" si="55"/>
        <v>0</v>
      </c>
      <c r="S111" s="8">
        <f t="shared" si="55"/>
        <v>0</v>
      </c>
      <c r="T111" s="8">
        <f t="shared" si="55"/>
        <v>0</v>
      </c>
      <c r="U111" s="8">
        <f t="shared" si="55"/>
        <v>0</v>
      </c>
      <c r="V111" s="8">
        <f t="shared" si="55"/>
        <v>0</v>
      </c>
      <c r="W111" s="8">
        <f t="shared" si="55"/>
        <v>0</v>
      </c>
      <c r="X111" s="8">
        <f t="shared" si="55"/>
        <v>0</v>
      </c>
      <c r="Y111" s="8">
        <f t="shared" si="55"/>
        <v>0</v>
      </c>
      <c r="Z111" s="8">
        <f t="shared" si="55"/>
        <v>0</v>
      </c>
      <c r="AA111" s="8">
        <f t="shared" si="55"/>
        <v>0</v>
      </c>
      <c r="AB111" s="9">
        <f t="shared" si="55"/>
        <v>0</v>
      </c>
      <c r="AC111" s="123" t="s">
        <v>339</v>
      </c>
      <c r="AF111" s="464"/>
      <c r="AG111" s="2" t="s">
        <v>9</v>
      </c>
      <c r="AH111" s="53" t="s">
        <v>307</v>
      </c>
      <c r="AI111" s="21">
        <f t="shared" ref="AI111:BG111" si="56">AI41*1000000/7500*100</f>
        <v>0</v>
      </c>
      <c r="AJ111" s="8">
        <f t="shared" si="56"/>
        <v>0</v>
      </c>
      <c r="AK111" s="8">
        <f t="shared" si="56"/>
        <v>0</v>
      </c>
      <c r="AL111" s="8">
        <f t="shared" si="56"/>
        <v>0</v>
      </c>
      <c r="AM111" s="8">
        <f t="shared" si="56"/>
        <v>0</v>
      </c>
      <c r="AN111" s="8">
        <f t="shared" si="56"/>
        <v>0</v>
      </c>
      <c r="AO111" s="8">
        <f t="shared" si="56"/>
        <v>0</v>
      </c>
      <c r="AP111" s="8">
        <f t="shared" si="56"/>
        <v>0</v>
      </c>
      <c r="AQ111" s="8">
        <f t="shared" si="56"/>
        <v>0</v>
      </c>
      <c r="AR111" s="8">
        <f t="shared" si="56"/>
        <v>0</v>
      </c>
      <c r="AS111" s="8">
        <f t="shared" si="56"/>
        <v>0</v>
      </c>
      <c r="AT111" s="8">
        <f t="shared" si="56"/>
        <v>0</v>
      </c>
      <c r="AU111" s="8">
        <f t="shared" si="56"/>
        <v>0</v>
      </c>
      <c r="AV111" s="8">
        <f t="shared" si="56"/>
        <v>0</v>
      </c>
      <c r="AW111" s="8">
        <f t="shared" si="56"/>
        <v>0</v>
      </c>
      <c r="AX111" s="8">
        <f t="shared" si="56"/>
        <v>0</v>
      </c>
      <c r="AY111" s="8">
        <f t="shared" si="56"/>
        <v>0</v>
      </c>
      <c r="AZ111" s="8">
        <f t="shared" si="56"/>
        <v>0</v>
      </c>
      <c r="BA111" s="8">
        <f t="shared" si="56"/>
        <v>0</v>
      </c>
      <c r="BB111" s="8">
        <f t="shared" si="56"/>
        <v>0</v>
      </c>
      <c r="BC111" s="8">
        <f t="shared" si="56"/>
        <v>0</v>
      </c>
      <c r="BD111" s="8">
        <f t="shared" si="56"/>
        <v>0</v>
      </c>
      <c r="BE111" s="8">
        <f t="shared" si="56"/>
        <v>0</v>
      </c>
      <c r="BF111" s="8">
        <f t="shared" si="56"/>
        <v>0</v>
      </c>
      <c r="BG111" s="9">
        <f t="shared" si="56"/>
        <v>0</v>
      </c>
      <c r="BH111" s="123" t="s">
        <v>340</v>
      </c>
    </row>
    <row r="112" spans="1:60">
      <c r="A112" s="464"/>
      <c r="B112" s="2" t="s">
        <v>34</v>
      </c>
      <c r="C112" s="53" t="s">
        <v>307</v>
      </c>
      <c r="D112" s="21">
        <f t="shared" ref="D112:AB112" si="57">D42*1000000/7500*10</f>
        <v>0</v>
      </c>
      <c r="E112" s="8">
        <f t="shared" si="57"/>
        <v>0</v>
      </c>
      <c r="F112" s="8">
        <f t="shared" si="57"/>
        <v>0</v>
      </c>
      <c r="G112" s="8">
        <f t="shared" si="57"/>
        <v>0</v>
      </c>
      <c r="H112" s="8">
        <f t="shared" si="57"/>
        <v>19744.575973813462</v>
      </c>
      <c r="I112" s="8">
        <f t="shared" si="57"/>
        <v>168860.89322874145</v>
      </c>
      <c r="J112" s="8">
        <f t="shared" si="57"/>
        <v>254152.75760937427</v>
      </c>
      <c r="K112" s="8">
        <f t="shared" si="57"/>
        <v>303375.97528553777</v>
      </c>
      <c r="L112" s="8">
        <f t="shared" si="57"/>
        <v>330354.58912389807</v>
      </c>
      <c r="M112" s="8">
        <f t="shared" si="57"/>
        <v>344011.54772516282</v>
      </c>
      <c r="N112" s="8">
        <f t="shared" si="57"/>
        <v>349682.59511758585</v>
      </c>
      <c r="O112" s="8">
        <f t="shared" si="57"/>
        <v>350554.28495708783</v>
      </c>
      <c r="P112" s="8">
        <f t="shared" si="57"/>
        <v>354461.91423410206</v>
      </c>
      <c r="Q112" s="8">
        <f t="shared" si="57"/>
        <v>348261.36303562811</v>
      </c>
      <c r="R112" s="8">
        <f t="shared" si="57"/>
        <v>341960.13031038974</v>
      </c>
      <c r="S112" s="8">
        <f t="shared" si="57"/>
        <v>335567.32190276997</v>
      </c>
      <c r="T112" s="8">
        <f t="shared" si="57"/>
        <v>329092.37111703021</v>
      </c>
      <c r="U112" s="8">
        <f t="shared" si="57"/>
        <v>327229.47939415497</v>
      </c>
      <c r="V112" s="8">
        <f t="shared" si="57"/>
        <v>324943.68699568603</v>
      </c>
      <c r="W112" s="8">
        <f t="shared" si="57"/>
        <v>320056.82254025323</v>
      </c>
      <c r="X112" s="8">
        <f t="shared" si="57"/>
        <v>313046.33548437129</v>
      </c>
      <c r="Y112" s="8">
        <f t="shared" si="57"/>
        <v>308567.56720539933</v>
      </c>
      <c r="Z112" s="8">
        <f t="shared" si="57"/>
        <v>303436.89342210453</v>
      </c>
      <c r="AA112" s="8">
        <f t="shared" si="57"/>
        <v>298215.24224204954</v>
      </c>
      <c r="AB112" s="9">
        <f t="shared" si="57"/>
        <v>291268.16235263954</v>
      </c>
      <c r="AC112" s="123" t="s">
        <v>337</v>
      </c>
      <c r="AF112" s="464"/>
      <c r="AG112" s="2" t="s">
        <v>34</v>
      </c>
      <c r="AH112" s="53" t="s">
        <v>307</v>
      </c>
      <c r="AI112" s="21">
        <f t="shared" ref="AI112:BG112" si="58">AI42*1000000/7500*100</f>
        <v>0</v>
      </c>
      <c r="AJ112" s="8">
        <f t="shared" si="58"/>
        <v>0</v>
      </c>
      <c r="AK112" s="8">
        <f t="shared" si="58"/>
        <v>4266000.4019505447</v>
      </c>
      <c r="AL112" s="8">
        <f t="shared" si="58"/>
        <v>12357023.870082518</v>
      </c>
      <c r="AM112" s="8">
        <f t="shared" si="58"/>
        <v>14296981.212203572</v>
      </c>
      <c r="AN112" s="8">
        <f t="shared" si="58"/>
        <v>13641076.991045615</v>
      </c>
      <c r="AO112" s="8">
        <f t="shared" si="58"/>
        <v>11876828.21500303</v>
      </c>
      <c r="AP112" s="8">
        <f t="shared" si="58"/>
        <v>11483219.749936968</v>
      </c>
      <c r="AQ112" s="8">
        <f t="shared" si="58"/>
        <v>11096628.857726702</v>
      </c>
      <c r="AR112" s="8">
        <f t="shared" si="58"/>
        <v>10719276.807999317</v>
      </c>
      <c r="AS112" s="8">
        <f t="shared" si="58"/>
        <v>10352518.232770113</v>
      </c>
      <c r="AT112" s="8">
        <f t="shared" si="58"/>
        <v>9997161.2092082407</v>
      </c>
      <c r="AU112" s="8">
        <f t="shared" si="58"/>
        <v>9661287.5692817383</v>
      </c>
      <c r="AV112" s="8">
        <f t="shared" si="58"/>
        <v>9327115.8799177986</v>
      </c>
      <c r="AW112" s="8">
        <f t="shared" si="58"/>
        <v>9005836.3218619581</v>
      </c>
      <c r="AX112" s="8">
        <f t="shared" si="58"/>
        <v>8697001.2771891803</v>
      </c>
      <c r="AY112" s="8">
        <f t="shared" si="58"/>
        <v>8400170.5501600709</v>
      </c>
      <c r="AZ112" s="8">
        <f t="shared" si="58"/>
        <v>8815706.5704819839</v>
      </c>
      <c r="BA112" s="8">
        <f t="shared" si="58"/>
        <v>9140167.9149599392</v>
      </c>
      <c r="BB112" s="8">
        <f t="shared" si="58"/>
        <v>9036881.9046550523</v>
      </c>
      <c r="BC112" s="8">
        <f t="shared" si="58"/>
        <v>8630198.4033087529</v>
      </c>
      <c r="BD112" s="8">
        <f t="shared" si="58"/>
        <v>8586302.9238722455</v>
      </c>
      <c r="BE112" s="8">
        <f t="shared" si="58"/>
        <v>8450891.0086863972</v>
      </c>
      <c r="BF112" s="8">
        <f t="shared" si="58"/>
        <v>8303567.3261372093</v>
      </c>
      <c r="BG112" s="9">
        <f t="shared" si="58"/>
        <v>7960297.5740163801</v>
      </c>
      <c r="BH112" s="123" t="s">
        <v>338</v>
      </c>
    </row>
    <row r="113" spans="1:60">
      <c r="A113" s="464"/>
      <c r="B113" s="2" t="s">
        <v>33</v>
      </c>
      <c r="C113" s="53"/>
      <c r="D113" s="2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9"/>
      <c r="AF113" s="464"/>
      <c r="AG113" s="2" t="s">
        <v>33</v>
      </c>
      <c r="AH113" s="53"/>
      <c r="AI113" s="21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9"/>
    </row>
    <row r="114" spans="1:60">
      <c r="A114" s="464"/>
      <c r="B114" s="2" t="s">
        <v>290</v>
      </c>
      <c r="C114" s="53"/>
      <c r="D114" s="2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9"/>
      <c r="AF114" s="464"/>
      <c r="AG114" s="2" t="s">
        <v>290</v>
      </c>
      <c r="AH114" s="53"/>
      <c r="AI114" s="21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9"/>
    </row>
    <row r="115" spans="1:60">
      <c r="A115" s="464"/>
      <c r="B115" s="2" t="s">
        <v>14</v>
      </c>
      <c r="C115" s="53"/>
      <c r="D115" s="2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9"/>
      <c r="AF115" s="464"/>
      <c r="AG115" s="2" t="s">
        <v>14</v>
      </c>
      <c r="AH115" s="53"/>
      <c r="AI115" s="21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9"/>
    </row>
    <row r="116" spans="1:60">
      <c r="A116" s="464"/>
      <c r="B116" s="2" t="s">
        <v>108</v>
      </c>
      <c r="C116" s="53"/>
      <c r="D116" s="2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9"/>
      <c r="AF116" s="464"/>
      <c r="AG116" s="2" t="s">
        <v>108</v>
      </c>
      <c r="AH116" s="53"/>
      <c r="AI116" s="21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9"/>
    </row>
    <row r="117" spans="1:60">
      <c r="A117" s="464"/>
      <c r="B117" s="2" t="s">
        <v>122</v>
      </c>
      <c r="C117" s="53" t="s">
        <v>307</v>
      </c>
      <c r="D117" s="21">
        <f t="shared" ref="D117:AB117" si="59">D47*1000000/7500*10</f>
        <v>0</v>
      </c>
      <c r="E117" s="8">
        <f t="shared" si="59"/>
        <v>0</v>
      </c>
      <c r="F117" s="8">
        <f t="shared" si="59"/>
        <v>0</v>
      </c>
      <c r="G117" s="8">
        <f t="shared" si="59"/>
        <v>0</v>
      </c>
      <c r="H117" s="8">
        <f t="shared" si="59"/>
        <v>1213.7357429970482</v>
      </c>
      <c r="I117" s="8">
        <f t="shared" si="59"/>
        <v>12018.376046737214</v>
      </c>
      <c r="J117" s="8">
        <f t="shared" si="59"/>
        <v>22679.086201305392</v>
      </c>
      <c r="K117" s="8">
        <f t="shared" si="59"/>
        <v>31027.413246262462</v>
      </c>
      <c r="L117" s="8">
        <f t="shared" si="59"/>
        <v>38591.726240575808</v>
      </c>
      <c r="M117" s="8">
        <f t="shared" si="59"/>
        <v>45660.523738914242</v>
      </c>
      <c r="N117" s="8">
        <f t="shared" si="59"/>
        <v>52424.930006253082</v>
      </c>
      <c r="O117" s="8">
        <f t="shared" si="59"/>
        <v>59014.51236260806</v>
      </c>
      <c r="P117" s="8">
        <f t="shared" si="59"/>
        <v>66298.791379380244</v>
      </c>
      <c r="Q117" s="8">
        <f t="shared" si="59"/>
        <v>72499.342577854142</v>
      </c>
      <c r="R117" s="8">
        <f t="shared" si="59"/>
        <v>78800.575303092628</v>
      </c>
      <c r="S117" s="8">
        <f t="shared" si="59"/>
        <v>85193.383710712282</v>
      </c>
      <c r="T117" s="8">
        <f t="shared" si="59"/>
        <v>91668.334496452095</v>
      </c>
      <c r="U117" s="8">
        <f t="shared" si="59"/>
        <v>93531.226219327349</v>
      </c>
      <c r="V117" s="8">
        <f t="shared" si="59"/>
        <v>95817.018617796246</v>
      </c>
      <c r="W117" s="8">
        <f t="shared" si="59"/>
        <v>100703.88307322901</v>
      </c>
      <c r="X117" s="8">
        <f t="shared" si="59"/>
        <v>107714.37012911102</v>
      </c>
      <c r="Y117" s="8">
        <f t="shared" si="59"/>
        <v>112193.138408083</v>
      </c>
      <c r="Z117" s="8">
        <f t="shared" si="59"/>
        <v>117323.81219137779</v>
      </c>
      <c r="AA117" s="8">
        <f t="shared" si="59"/>
        <v>122545.46337143276</v>
      </c>
      <c r="AB117" s="9">
        <f t="shared" si="59"/>
        <v>129492.54326084271</v>
      </c>
      <c r="AC117" s="123" t="s">
        <v>337</v>
      </c>
      <c r="AF117" s="464"/>
      <c r="AG117" s="2" t="s">
        <v>122</v>
      </c>
      <c r="AH117" s="53" t="s">
        <v>307</v>
      </c>
      <c r="AI117" s="21">
        <f t="shared" ref="AI117:BG117" si="60">AI47*1000000/7500*100</f>
        <v>0</v>
      </c>
      <c r="AJ117" s="8">
        <f t="shared" si="60"/>
        <v>-4.2632564145606011E-10</v>
      </c>
      <c r="AK117" s="8">
        <f t="shared" si="60"/>
        <v>430439.63778182224</v>
      </c>
      <c r="AL117" s="8">
        <f t="shared" si="60"/>
        <v>687555.37914516404</v>
      </c>
      <c r="AM117" s="8">
        <f t="shared" si="60"/>
        <v>878861.9789669374</v>
      </c>
      <c r="AN117" s="8">
        <f t="shared" si="60"/>
        <v>970879.57919777394</v>
      </c>
      <c r="AO117" s="8">
        <f t="shared" si="60"/>
        <v>1059817.7781731642</v>
      </c>
      <c r="AP117" s="8">
        <f t="shared" si="60"/>
        <v>1174432.4983004741</v>
      </c>
      <c r="AQ117" s="8">
        <f t="shared" si="60"/>
        <v>1296298.2115863797</v>
      </c>
      <c r="AR117" s="8">
        <f t="shared" si="60"/>
        <v>1422765.5914233283</v>
      </c>
      <c r="AS117" s="8">
        <f t="shared" si="60"/>
        <v>1552064.7905250504</v>
      </c>
      <c r="AT117" s="8">
        <f t="shared" si="60"/>
        <v>1682984.9729094764</v>
      </c>
      <c r="AU117" s="8">
        <f t="shared" si="60"/>
        <v>1807053.6305600796</v>
      </c>
      <c r="AV117" s="8">
        <f t="shared" si="60"/>
        <v>1941673.2408881257</v>
      </c>
      <c r="AW117" s="8">
        <f t="shared" si="60"/>
        <v>2075286.0358430168</v>
      </c>
      <c r="AX117" s="8">
        <f t="shared" si="60"/>
        <v>2207983.0739740948</v>
      </c>
      <c r="AY117" s="8">
        <f t="shared" si="60"/>
        <v>2339858.68832397</v>
      </c>
      <c r="AZ117" s="8">
        <f t="shared" si="60"/>
        <v>2519772.5066016437</v>
      </c>
      <c r="BA117" s="8">
        <f t="shared" si="60"/>
        <v>2695185.8870522608</v>
      </c>
      <c r="BB117" s="8">
        <f t="shared" si="60"/>
        <v>2843398.5298298257</v>
      </c>
      <c r="BC117" s="8">
        <f t="shared" si="60"/>
        <v>2969516.9044649983</v>
      </c>
      <c r="BD117" s="8">
        <f t="shared" si="60"/>
        <v>3121923.2827229877</v>
      </c>
      <c r="BE117" s="8">
        <f t="shared" si="60"/>
        <v>3267535.2636624994</v>
      </c>
      <c r="BF117" s="8">
        <f t="shared" si="60"/>
        <v>3412181.4095318974</v>
      </c>
      <c r="BG117" s="9">
        <f t="shared" si="60"/>
        <v>3539003.9530805442</v>
      </c>
      <c r="BH117" s="123" t="s">
        <v>338</v>
      </c>
    </row>
    <row r="118" spans="1:60">
      <c r="A118" s="464"/>
      <c r="B118" s="12" t="s">
        <v>123</v>
      </c>
      <c r="C118" s="53"/>
      <c r="D118" s="21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9"/>
      <c r="AF118" s="464"/>
      <c r="AG118" s="12" t="s">
        <v>123</v>
      </c>
      <c r="AH118" s="53"/>
      <c r="AI118" s="21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9"/>
    </row>
    <row r="119" spans="1:60">
      <c r="A119" s="464"/>
      <c r="B119" s="12" t="s">
        <v>124</v>
      </c>
      <c r="C119" s="53"/>
      <c r="D119" s="21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9"/>
      <c r="AF119" s="464"/>
      <c r="AG119" s="12" t="s">
        <v>124</v>
      </c>
      <c r="AH119" s="53"/>
      <c r="AI119" s="21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9"/>
    </row>
    <row r="120" spans="1:60" ht="15.75" thickBot="1">
      <c r="A120" s="465"/>
      <c r="B120" s="54" t="s">
        <v>218</v>
      </c>
      <c r="C120" s="67"/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4"/>
      <c r="AF120" s="465"/>
      <c r="AG120" s="54" t="s">
        <v>218</v>
      </c>
      <c r="AH120" s="67"/>
      <c r="AI120" s="22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4"/>
    </row>
    <row r="121" spans="1:60" ht="15.75" thickBot="1"/>
    <row r="122" spans="1:60" ht="15" customHeight="1">
      <c r="A122" s="499" t="s">
        <v>341</v>
      </c>
      <c r="B122" s="78" t="s">
        <v>3</v>
      </c>
      <c r="C122" s="117" t="s">
        <v>1</v>
      </c>
      <c r="D122" s="115">
        <v>2022</v>
      </c>
      <c r="E122" s="115">
        <v>2023</v>
      </c>
      <c r="F122" s="115">
        <v>2024</v>
      </c>
      <c r="G122" s="115">
        <v>2025</v>
      </c>
      <c r="H122" s="115">
        <v>2026</v>
      </c>
      <c r="I122" s="115">
        <v>2027</v>
      </c>
      <c r="J122" s="115">
        <v>2028</v>
      </c>
      <c r="K122" s="115">
        <v>2029</v>
      </c>
      <c r="L122" s="116">
        <v>2030</v>
      </c>
      <c r="M122" s="115">
        <v>2031</v>
      </c>
      <c r="N122" s="115">
        <v>2032</v>
      </c>
      <c r="O122" s="115">
        <v>2033</v>
      </c>
      <c r="P122" s="115">
        <v>2034</v>
      </c>
      <c r="Q122" s="115">
        <v>2035</v>
      </c>
      <c r="R122" s="115">
        <v>2036</v>
      </c>
      <c r="S122" s="115">
        <v>2037</v>
      </c>
      <c r="T122" s="115">
        <v>2038</v>
      </c>
      <c r="U122" s="115">
        <v>2039</v>
      </c>
      <c r="V122" s="115">
        <v>2040</v>
      </c>
      <c r="W122" s="115">
        <v>2041</v>
      </c>
      <c r="X122" s="115">
        <v>2042</v>
      </c>
      <c r="Y122" s="115">
        <v>2043</v>
      </c>
      <c r="Z122" s="115">
        <v>2044</v>
      </c>
      <c r="AA122" s="115">
        <v>2045</v>
      </c>
      <c r="AB122" s="116">
        <v>2046</v>
      </c>
      <c r="AF122" s="463" t="s">
        <v>342</v>
      </c>
      <c r="AG122" s="78" t="s">
        <v>3</v>
      </c>
      <c r="AH122" s="247" t="s">
        <v>1</v>
      </c>
      <c r="AI122" s="121">
        <v>2022</v>
      </c>
      <c r="AJ122" s="115">
        <v>2023</v>
      </c>
      <c r="AK122" s="115">
        <v>2024</v>
      </c>
      <c r="AL122" s="115">
        <v>2025</v>
      </c>
      <c r="AM122" s="115">
        <v>2026</v>
      </c>
      <c r="AN122" s="115">
        <v>2027</v>
      </c>
      <c r="AO122" s="115">
        <v>2028</v>
      </c>
      <c r="AP122" s="115">
        <v>2029</v>
      </c>
      <c r="AQ122" s="115">
        <v>2030</v>
      </c>
      <c r="AR122" s="115">
        <v>2031</v>
      </c>
      <c r="AS122" s="115">
        <v>2032</v>
      </c>
      <c r="AT122" s="115">
        <v>2033</v>
      </c>
      <c r="AU122" s="115">
        <v>2034</v>
      </c>
      <c r="AV122" s="115">
        <v>2035</v>
      </c>
      <c r="AW122" s="115">
        <v>2036</v>
      </c>
      <c r="AX122" s="115">
        <v>2037</v>
      </c>
      <c r="AY122" s="115">
        <v>2038</v>
      </c>
      <c r="AZ122" s="115">
        <v>2039</v>
      </c>
      <c r="BA122" s="115">
        <v>2040</v>
      </c>
      <c r="BB122" s="115">
        <v>2041</v>
      </c>
      <c r="BC122" s="115">
        <v>2042</v>
      </c>
      <c r="BD122" s="115">
        <v>2043</v>
      </c>
      <c r="BE122" s="115">
        <v>2044</v>
      </c>
      <c r="BF122" s="115">
        <v>2045</v>
      </c>
      <c r="BG122" s="116">
        <v>2046</v>
      </c>
    </row>
    <row r="123" spans="1:60" ht="15" customHeight="1">
      <c r="A123" s="500"/>
      <c r="B123" s="264" t="s">
        <v>19</v>
      </c>
      <c r="C123" s="265"/>
      <c r="D123" s="266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464"/>
      <c r="AG123" s="12" t="s">
        <v>19</v>
      </c>
      <c r="AI123" s="21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9"/>
    </row>
    <row r="124" spans="1:60" ht="15" customHeight="1">
      <c r="A124" s="500"/>
      <c r="B124" s="267" t="s">
        <v>343</v>
      </c>
      <c r="C124" s="268" t="s">
        <v>344</v>
      </c>
      <c r="D124" s="269" t="e">
        <f>(D71+D106)*'Emission factors Trucks&amp;Trains'!#REF!*(2-$AS$81)</f>
        <v>#REF!</v>
      </c>
      <c r="E124" s="269" t="e">
        <f>(E71+E106)*'Emission factors Trucks&amp;Trains'!#REF!*(2-$AS$81)</f>
        <v>#REF!</v>
      </c>
      <c r="F124" s="269" t="e">
        <f>(F71+F106)*'Emission factors Trucks&amp;Trains'!#REF!*(2-$AS$81)</f>
        <v>#REF!</v>
      </c>
      <c r="G124" s="269" t="e">
        <f>(G71+G106)*'Emission factors Trucks&amp;Trains'!#REF!*(2-$AS$81)</f>
        <v>#REF!</v>
      </c>
      <c r="H124" s="269" t="e">
        <f>(H71+H106)*'Emission factors Trucks&amp;Trains'!#REF!*(2-$AS$81)</f>
        <v>#REF!</v>
      </c>
      <c r="I124" s="269" t="e">
        <f>(I71+I106)*'Emission factors Trucks&amp;Trains'!#REF!*(2-$AS$81)</f>
        <v>#REF!</v>
      </c>
      <c r="J124" s="269" t="e">
        <f>(J71+J106)*'Emission factors Trucks&amp;Trains'!#REF!*(2-$AS$81)</f>
        <v>#REF!</v>
      </c>
      <c r="K124" s="269" t="e">
        <f>(K71+K106)*'Emission factors Trucks&amp;Trains'!#REF!*(2-$AS$81)</f>
        <v>#REF!</v>
      </c>
      <c r="L124" s="269" t="e">
        <f>(L71+L106)*'Emission factors Trucks&amp;Trains'!#REF!*(2-$AS$81)</f>
        <v>#REF!</v>
      </c>
      <c r="M124" s="269" t="e">
        <f>(M71+M106)*'Emission factors Trucks&amp;Trains'!#REF!*(2-$AS$81)</f>
        <v>#REF!</v>
      </c>
      <c r="N124" s="269" t="e">
        <f>(N71+N106)*'Emission factors Trucks&amp;Trains'!#REF!*(2-$AS$81)</f>
        <v>#REF!</v>
      </c>
      <c r="O124" s="269" t="e">
        <f>(O71+O106)*'Emission factors Trucks&amp;Trains'!#REF!*(2-$AS$81)</f>
        <v>#REF!</v>
      </c>
      <c r="P124" s="269" t="e">
        <f>(P71+P106)*'Emission factors Trucks&amp;Trains'!#REF!*(2-$AS$81)</f>
        <v>#REF!</v>
      </c>
      <c r="Q124" s="269" t="e">
        <f>(Q71+Q106)*'Emission factors Trucks&amp;Trains'!#REF!*(2-$AS$81)</f>
        <v>#REF!</v>
      </c>
      <c r="R124" s="269" t="e">
        <f>(R71+R106)*'Emission factors Trucks&amp;Trains'!#REF!*(2-$AS$81)</f>
        <v>#REF!</v>
      </c>
      <c r="S124" s="269" t="e">
        <f>(S71+S106)*'Emission factors Trucks&amp;Trains'!#REF!*(2-$AS$81)</f>
        <v>#REF!</v>
      </c>
      <c r="T124" s="269" t="e">
        <f>(T71+T106)*'Emission factors Trucks&amp;Trains'!#REF!*(2-$AS$81)</f>
        <v>#REF!</v>
      </c>
      <c r="U124" s="269" t="e">
        <f>(U71+U106)*'Emission factors Trucks&amp;Trains'!#REF!*(2-$AS$81)</f>
        <v>#REF!</v>
      </c>
      <c r="V124" s="269" t="e">
        <f>(V71+V106)*'Emission factors Trucks&amp;Trains'!#REF!*(2-$AS$81)</f>
        <v>#REF!</v>
      </c>
      <c r="W124" s="269" t="e">
        <f>(W71+W106)*'Emission factors Trucks&amp;Trains'!#REF!*(2-$AS$81)</f>
        <v>#REF!</v>
      </c>
      <c r="X124" s="269" t="e">
        <f>(X71+X106)*'Emission factors Trucks&amp;Trains'!#REF!*(2-$AS$81)</f>
        <v>#REF!</v>
      </c>
      <c r="Y124" s="269" t="e">
        <f>(Y71+Y106)*'Emission factors Trucks&amp;Trains'!#REF!*(2-$AS$81)</f>
        <v>#REF!</v>
      </c>
      <c r="Z124" s="269" t="e">
        <f>(Z71+Z106)*'Emission factors Trucks&amp;Trains'!#REF!*(2-$AS$81)</f>
        <v>#REF!</v>
      </c>
      <c r="AA124" s="269" t="e">
        <f>(AA71+AA106)*'Emission factors Trucks&amp;Trains'!#REF!*(2-$AS$81)</f>
        <v>#REF!</v>
      </c>
      <c r="AB124" s="269" t="e">
        <f>(AB71+AB106)*'Emission factors Trucks&amp;Trains'!#REF!*(2-$AS$81)</f>
        <v>#REF!</v>
      </c>
      <c r="AF124" s="464"/>
      <c r="AG124" s="136" t="s">
        <v>343</v>
      </c>
      <c r="AH124" s="6" t="s">
        <v>344</v>
      </c>
      <c r="AI124" s="21" t="e">
        <f>AI111*'Emission factors Trucks&amp;Trains'!#REF!*(2-$AS$81)</f>
        <v>#REF!</v>
      </c>
      <c r="AJ124" s="8" t="e">
        <f>AJ111*'Emission factors Trucks&amp;Trains'!#REF!*(2-$AS$81)</f>
        <v>#REF!</v>
      </c>
      <c r="AK124" s="8" t="e">
        <f>AK111*'Emission factors Trucks&amp;Trains'!#REF!*(2-$AS$81)</f>
        <v>#REF!</v>
      </c>
      <c r="AL124" s="8" t="e">
        <f>AL111*'Emission factors Trucks&amp;Trains'!#REF!*(2-$AS$81)</f>
        <v>#REF!</v>
      </c>
      <c r="AM124" s="8" t="e">
        <f>AM111*'Emission factors Trucks&amp;Trains'!#REF!*(2-$AS$81)</f>
        <v>#REF!</v>
      </c>
      <c r="AN124" s="8" t="e">
        <f>AN111*'Emission factors Trucks&amp;Trains'!#REF!*(2-$AS$81)</f>
        <v>#REF!</v>
      </c>
      <c r="AO124" s="8" t="e">
        <f>AO111*'Emission factors Trucks&amp;Trains'!#REF!*(2-$AS$81)</f>
        <v>#REF!</v>
      </c>
      <c r="AP124" s="8" t="e">
        <f>AP111*'Emission factors Trucks&amp;Trains'!#REF!*(2-$AS$81)</f>
        <v>#REF!</v>
      </c>
      <c r="AQ124" s="8" t="e">
        <f>AQ111*'Emission factors Trucks&amp;Trains'!#REF!*(2-$AS$81)</f>
        <v>#REF!</v>
      </c>
      <c r="AR124" s="8" t="e">
        <f>AR111*'Emission factors Trucks&amp;Trains'!#REF!*(2-$AS$81)</f>
        <v>#REF!</v>
      </c>
      <c r="AS124" s="8" t="e">
        <f>AS111*'Emission factors Trucks&amp;Trains'!#REF!*(2-$AS$81)</f>
        <v>#REF!</v>
      </c>
      <c r="AT124" s="8" t="e">
        <f>AT111*'Emission factors Trucks&amp;Trains'!#REF!*(2-$AS$81)</f>
        <v>#REF!</v>
      </c>
      <c r="AU124" s="8" t="e">
        <f>AU111*'Emission factors Trucks&amp;Trains'!#REF!*(2-$AS$81)</f>
        <v>#REF!</v>
      </c>
      <c r="AV124" s="8" t="e">
        <f>AV111*'Emission factors Trucks&amp;Trains'!#REF!*(2-$AS$81)</f>
        <v>#REF!</v>
      </c>
      <c r="AW124" s="8" t="e">
        <f>AW111*'Emission factors Trucks&amp;Trains'!#REF!*(2-$AS$81)</f>
        <v>#REF!</v>
      </c>
      <c r="AX124" s="8" t="e">
        <f>AX111*'Emission factors Trucks&amp;Trains'!#REF!*(2-$AS$81)</f>
        <v>#REF!</v>
      </c>
      <c r="AY124" s="8" t="e">
        <f>AY111*'Emission factors Trucks&amp;Trains'!#REF!*(2-$AS$81)</f>
        <v>#REF!</v>
      </c>
      <c r="AZ124" s="8" t="e">
        <f>AZ111*'Emission factors Trucks&amp;Trains'!#REF!*(2-$AS$81)</f>
        <v>#REF!</v>
      </c>
      <c r="BA124" s="8" t="e">
        <f>BA111*'Emission factors Trucks&amp;Trains'!#REF!*(2-$AS$81)</f>
        <v>#REF!</v>
      </c>
      <c r="BB124" s="8" t="e">
        <f>BB111*'Emission factors Trucks&amp;Trains'!#REF!*(2-$AS$81)</f>
        <v>#REF!</v>
      </c>
      <c r="BC124" s="8" t="e">
        <f>BC111*'Emission factors Trucks&amp;Trains'!#REF!*(2-$AS$81)</f>
        <v>#REF!</v>
      </c>
      <c r="BD124" s="8" t="e">
        <f>BD111*'Emission factors Trucks&amp;Trains'!#REF!*(2-$AS$81)</f>
        <v>#REF!</v>
      </c>
      <c r="BE124" s="8" t="e">
        <f>BE111*'Emission factors Trucks&amp;Trains'!#REF!*(2-$AS$81)</f>
        <v>#REF!</v>
      </c>
      <c r="BF124" s="8" t="e">
        <f>BF111*'Emission factors Trucks&amp;Trains'!#REF!*(2-$AS$81)</f>
        <v>#REF!</v>
      </c>
      <c r="BG124" s="9" t="e">
        <f>BG111*'Emission factors Trucks&amp;Trains'!#REF!*(2-$AS$81)</f>
        <v>#REF!</v>
      </c>
    </row>
    <row r="125" spans="1:60" ht="15" customHeight="1">
      <c r="A125" s="500"/>
      <c r="B125" s="267" t="s">
        <v>345</v>
      </c>
      <c r="C125" s="268" t="s">
        <v>344</v>
      </c>
      <c r="D125" s="269" t="e">
        <f>(D71+D106)*'Emission factors Trucks&amp;Trains'!#REF!*(2-$AS$81)</f>
        <v>#REF!</v>
      </c>
      <c r="E125" s="269" t="e">
        <f>(E71+E106)*'Emission factors Trucks&amp;Trains'!#REF!*(2-$AS$81)</f>
        <v>#REF!</v>
      </c>
      <c r="F125" s="269" t="e">
        <f>(F71+F106)*'Emission factors Trucks&amp;Trains'!#REF!*(2-$AS$81)</f>
        <v>#REF!</v>
      </c>
      <c r="G125" s="269" t="e">
        <f>(G71+G106)*'Emission factors Trucks&amp;Trains'!#REF!*(2-$AS$81)</f>
        <v>#REF!</v>
      </c>
      <c r="H125" s="269" t="e">
        <f>(H71+H106)*'Emission factors Trucks&amp;Trains'!#REF!*(2-$AS$81)</f>
        <v>#REF!</v>
      </c>
      <c r="I125" s="269" t="e">
        <f>(I71+I106)*'Emission factors Trucks&amp;Trains'!#REF!*(2-$AS$81)</f>
        <v>#REF!</v>
      </c>
      <c r="J125" s="269" t="e">
        <f>(J71+J106)*'Emission factors Trucks&amp;Trains'!#REF!*(2-$AS$81)</f>
        <v>#REF!</v>
      </c>
      <c r="K125" s="269" t="e">
        <f>(K71+K106)*'Emission factors Trucks&amp;Trains'!#REF!*(2-$AS$81)</f>
        <v>#REF!</v>
      </c>
      <c r="L125" s="269" t="e">
        <f>(L71+L106)*'Emission factors Trucks&amp;Trains'!#REF!*(2-$AS$81)</f>
        <v>#REF!</v>
      </c>
      <c r="M125" s="269" t="e">
        <f>(M71+M106)*'Emission factors Trucks&amp;Trains'!#REF!*(2-$AS$81)</f>
        <v>#REF!</v>
      </c>
      <c r="N125" s="269" t="e">
        <f>(N71+N106)*'Emission factors Trucks&amp;Trains'!#REF!*(2-$AS$81)</f>
        <v>#REF!</v>
      </c>
      <c r="O125" s="269" t="e">
        <f>(O71+O106)*'Emission factors Trucks&amp;Trains'!#REF!*(2-$AS$81)</f>
        <v>#REF!</v>
      </c>
      <c r="P125" s="269" t="e">
        <f>(P71+P106)*'Emission factors Trucks&amp;Trains'!#REF!*(2-$AS$81)</f>
        <v>#REF!</v>
      </c>
      <c r="Q125" s="269" t="e">
        <f>(Q71+Q106)*'Emission factors Trucks&amp;Trains'!#REF!*(2-$AS$81)</f>
        <v>#REF!</v>
      </c>
      <c r="R125" s="269" t="e">
        <f>(R71+R106)*'Emission factors Trucks&amp;Trains'!#REF!*(2-$AS$81)</f>
        <v>#REF!</v>
      </c>
      <c r="S125" s="269" t="e">
        <f>(S71+S106)*'Emission factors Trucks&amp;Trains'!#REF!*(2-$AS$81)</f>
        <v>#REF!</v>
      </c>
      <c r="T125" s="269" t="e">
        <f>(T71+T106)*'Emission factors Trucks&amp;Trains'!#REF!*(2-$AS$81)</f>
        <v>#REF!</v>
      </c>
      <c r="U125" s="269" t="e">
        <f>(U71+U106)*'Emission factors Trucks&amp;Trains'!#REF!*(2-$AS$81)</f>
        <v>#REF!</v>
      </c>
      <c r="V125" s="269" t="e">
        <f>(V71+V106)*'Emission factors Trucks&amp;Trains'!#REF!*(2-$AS$81)</f>
        <v>#REF!</v>
      </c>
      <c r="W125" s="269" t="e">
        <f>(W71+W106)*'Emission factors Trucks&amp;Trains'!#REF!*(2-$AS$81)</f>
        <v>#REF!</v>
      </c>
      <c r="X125" s="269" t="e">
        <f>(X71+X106)*'Emission factors Trucks&amp;Trains'!#REF!*(2-$AS$81)</f>
        <v>#REF!</v>
      </c>
      <c r="Y125" s="269" t="e">
        <f>(Y71+Y106)*'Emission factors Trucks&amp;Trains'!#REF!*(2-$AS$81)</f>
        <v>#REF!</v>
      </c>
      <c r="Z125" s="269" t="e">
        <f>(Z71+Z106)*'Emission factors Trucks&amp;Trains'!#REF!*(2-$AS$81)</f>
        <v>#REF!</v>
      </c>
      <c r="AA125" s="269" t="e">
        <f>(AA71+AA106)*'Emission factors Trucks&amp;Trains'!#REF!*(2-$AS$81)</f>
        <v>#REF!</v>
      </c>
      <c r="AB125" s="269" t="e">
        <f>(AB71+AB106)*'Emission factors Trucks&amp;Trains'!#REF!*(2-$AS$81)</f>
        <v>#REF!</v>
      </c>
      <c r="AF125" s="464"/>
      <c r="AG125" s="136" t="s">
        <v>345</v>
      </c>
      <c r="AH125" s="6" t="s">
        <v>344</v>
      </c>
      <c r="AI125" s="21" t="e">
        <f>AI111*'Emission factors Trucks&amp;Trains'!#REF!*(2-$AS$81)</f>
        <v>#REF!</v>
      </c>
      <c r="AJ125" s="8" t="e">
        <f>AJ111*'Emission factors Trucks&amp;Trains'!#REF!*(2-$AS$81)</f>
        <v>#REF!</v>
      </c>
      <c r="AK125" s="8" t="e">
        <f>AK111*'Emission factors Trucks&amp;Trains'!#REF!*(2-$AS$81)</f>
        <v>#REF!</v>
      </c>
      <c r="AL125" s="8" t="e">
        <f>AL111*'Emission factors Trucks&amp;Trains'!#REF!*(2-$AS$81)</f>
        <v>#REF!</v>
      </c>
      <c r="AM125" s="8" t="e">
        <f>AM111*'Emission factors Trucks&amp;Trains'!#REF!*(2-$AS$81)</f>
        <v>#REF!</v>
      </c>
      <c r="AN125" s="8" t="e">
        <f>AN111*'Emission factors Trucks&amp;Trains'!#REF!*(2-$AS$81)</f>
        <v>#REF!</v>
      </c>
      <c r="AO125" s="8" t="e">
        <f>AO111*'Emission factors Trucks&amp;Trains'!#REF!*(2-$AS$81)</f>
        <v>#REF!</v>
      </c>
      <c r="AP125" s="8" t="e">
        <f>AP111*'Emission factors Trucks&amp;Trains'!#REF!*(2-$AS$81)</f>
        <v>#REF!</v>
      </c>
      <c r="AQ125" s="8" t="e">
        <f>AQ111*'Emission factors Trucks&amp;Trains'!#REF!*(2-$AS$81)</f>
        <v>#REF!</v>
      </c>
      <c r="AR125" s="8" t="e">
        <f>AR111*'Emission factors Trucks&amp;Trains'!#REF!*(2-$AS$81)</f>
        <v>#REF!</v>
      </c>
      <c r="AS125" s="8" t="e">
        <f>AS111*'Emission factors Trucks&amp;Trains'!#REF!*(2-$AS$81)</f>
        <v>#REF!</v>
      </c>
      <c r="AT125" s="8" t="e">
        <f>AT111*'Emission factors Trucks&amp;Trains'!#REF!*(2-$AS$81)</f>
        <v>#REF!</v>
      </c>
      <c r="AU125" s="8" t="e">
        <f>AU111*'Emission factors Trucks&amp;Trains'!#REF!*(2-$AS$81)</f>
        <v>#REF!</v>
      </c>
      <c r="AV125" s="8" t="e">
        <f>AV111*'Emission factors Trucks&amp;Trains'!#REF!*(2-$AS$81)</f>
        <v>#REF!</v>
      </c>
      <c r="AW125" s="8" t="e">
        <f>AW111*'Emission factors Trucks&amp;Trains'!#REF!*(2-$AS$81)</f>
        <v>#REF!</v>
      </c>
      <c r="AX125" s="8" t="e">
        <f>AX111*'Emission factors Trucks&amp;Trains'!#REF!*(2-$AS$81)</f>
        <v>#REF!</v>
      </c>
      <c r="AY125" s="8" t="e">
        <f>AY111*'Emission factors Trucks&amp;Trains'!#REF!*(2-$AS$81)</f>
        <v>#REF!</v>
      </c>
      <c r="AZ125" s="8" t="e">
        <f>AZ111*'Emission factors Trucks&amp;Trains'!#REF!*(2-$AS$81)</f>
        <v>#REF!</v>
      </c>
      <c r="BA125" s="8" t="e">
        <f>BA111*'Emission factors Trucks&amp;Trains'!#REF!*(2-$AS$81)</f>
        <v>#REF!</v>
      </c>
      <c r="BB125" s="8" t="e">
        <f>BB111*'Emission factors Trucks&amp;Trains'!#REF!*(2-$AS$81)</f>
        <v>#REF!</v>
      </c>
      <c r="BC125" s="8" t="e">
        <f>BC111*'Emission factors Trucks&amp;Trains'!#REF!*(2-$AS$81)</f>
        <v>#REF!</v>
      </c>
      <c r="BD125" s="8" t="e">
        <f>BD111*'Emission factors Trucks&amp;Trains'!#REF!*(2-$AS$81)</f>
        <v>#REF!</v>
      </c>
      <c r="BE125" s="8" t="e">
        <f>BE111*'Emission factors Trucks&amp;Trains'!#REF!*(2-$AS$81)</f>
        <v>#REF!</v>
      </c>
      <c r="BF125" s="8" t="e">
        <f>BF111*'Emission factors Trucks&amp;Trains'!#REF!*(2-$AS$81)</f>
        <v>#REF!</v>
      </c>
      <c r="BG125" s="9" t="e">
        <f>BG111*'Emission factors Trucks&amp;Trains'!#REF!*(2-$AS$81)</f>
        <v>#REF!</v>
      </c>
    </row>
    <row r="126" spans="1:60" ht="15" customHeight="1">
      <c r="A126" s="500"/>
      <c r="B126" s="267" t="s">
        <v>346</v>
      </c>
      <c r="C126" s="268" t="s">
        <v>344</v>
      </c>
      <c r="D126" s="269" t="e">
        <f>(D71+D106)*'Emission factors Trucks&amp;Trains'!#REF!*(2-$AS$81)</f>
        <v>#REF!</v>
      </c>
      <c r="E126" s="269" t="e">
        <f>(E71+E106)*'Emission factors Trucks&amp;Trains'!#REF!*(2-$AS$81)</f>
        <v>#REF!</v>
      </c>
      <c r="F126" s="269" t="e">
        <f>(F71+F106)*'Emission factors Trucks&amp;Trains'!#REF!*(2-$AS$81)</f>
        <v>#REF!</v>
      </c>
      <c r="G126" s="269" t="e">
        <f>(G71+G106)*'Emission factors Trucks&amp;Trains'!#REF!*(2-$AS$81)</f>
        <v>#REF!</v>
      </c>
      <c r="H126" s="269" t="e">
        <f>(H71+H106)*'Emission factors Trucks&amp;Trains'!#REF!*(2-$AS$81)</f>
        <v>#REF!</v>
      </c>
      <c r="I126" s="269" t="e">
        <f>(I71+I106)*'Emission factors Trucks&amp;Trains'!#REF!*(2-$AS$81)</f>
        <v>#REF!</v>
      </c>
      <c r="J126" s="269" t="e">
        <f>(J71+J106)*'Emission factors Trucks&amp;Trains'!#REF!*(2-$AS$81)</f>
        <v>#REF!</v>
      </c>
      <c r="K126" s="269" t="e">
        <f>(K71+K106)*'Emission factors Trucks&amp;Trains'!#REF!*(2-$AS$81)</f>
        <v>#REF!</v>
      </c>
      <c r="L126" s="269" t="e">
        <f>(L71+L106)*'Emission factors Trucks&amp;Trains'!#REF!*(2-$AS$81)</f>
        <v>#REF!</v>
      </c>
      <c r="M126" s="269" t="e">
        <f>(M71+M106)*'Emission factors Trucks&amp;Trains'!#REF!*(2-$AS$81)</f>
        <v>#REF!</v>
      </c>
      <c r="N126" s="269" t="e">
        <f>(N71+N106)*'Emission factors Trucks&amp;Trains'!#REF!*(2-$AS$81)</f>
        <v>#REF!</v>
      </c>
      <c r="O126" s="269" t="e">
        <f>(O71+O106)*'Emission factors Trucks&amp;Trains'!#REF!*(2-$AS$81)</f>
        <v>#REF!</v>
      </c>
      <c r="P126" s="269" t="e">
        <f>(P71+P106)*'Emission factors Trucks&amp;Trains'!#REF!*(2-$AS$81)</f>
        <v>#REF!</v>
      </c>
      <c r="Q126" s="269" t="e">
        <f>(Q71+Q106)*'Emission factors Trucks&amp;Trains'!#REF!*(2-$AS$81)</f>
        <v>#REF!</v>
      </c>
      <c r="R126" s="269" t="e">
        <f>(R71+R106)*'Emission factors Trucks&amp;Trains'!#REF!*(2-$AS$81)</f>
        <v>#REF!</v>
      </c>
      <c r="S126" s="269" t="e">
        <f>(S71+S106)*'Emission factors Trucks&amp;Trains'!#REF!*(2-$AS$81)</f>
        <v>#REF!</v>
      </c>
      <c r="T126" s="269" t="e">
        <f>(T71+T106)*'Emission factors Trucks&amp;Trains'!#REF!*(2-$AS$81)</f>
        <v>#REF!</v>
      </c>
      <c r="U126" s="269" t="e">
        <f>(U71+U106)*'Emission factors Trucks&amp;Trains'!#REF!*(2-$AS$81)</f>
        <v>#REF!</v>
      </c>
      <c r="V126" s="269" t="e">
        <f>(V71+V106)*'Emission factors Trucks&amp;Trains'!#REF!*(2-$AS$81)</f>
        <v>#REF!</v>
      </c>
      <c r="W126" s="269" t="e">
        <f>(W71+W106)*'Emission factors Trucks&amp;Trains'!#REF!*(2-$AS$81)</f>
        <v>#REF!</v>
      </c>
      <c r="X126" s="269" t="e">
        <f>(X71+X106)*'Emission factors Trucks&amp;Trains'!#REF!*(2-$AS$81)</f>
        <v>#REF!</v>
      </c>
      <c r="Y126" s="269" t="e">
        <f>(Y71+Y106)*'Emission factors Trucks&amp;Trains'!#REF!*(2-$AS$81)</f>
        <v>#REF!</v>
      </c>
      <c r="Z126" s="269" t="e">
        <f>(Z71+Z106)*'Emission factors Trucks&amp;Trains'!#REF!*(2-$AS$81)</f>
        <v>#REF!</v>
      </c>
      <c r="AA126" s="269" t="e">
        <f>(AA71+AA106)*'Emission factors Trucks&amp;Trains'!#REF!*(2-$AS$81)</f>
        <v>#REF!</v>
      </c>
      <c r="AB126" s="269" t="e">
        <f>(AB71+AB106)*'Emission factors Trucks&amp;Trains'!#REF!*(2-$AS$81)</f>
        <v>#REF!</v>
      </c>
      <c r="AF126" s="464"/>
      <c r="AG126" s="136" t="s">
        <v>346</v>
      </c>
      <c r="AH126" s="6" t="s">
        <v>344</v>
      </c>
      <c r="AI126" s="21" t="e">
        <f>AI111*'Emission factors Trucks&amp;Trains'!#REF!*(2-$AS$81)</f>
        <v>#REF!</v>
      </c>
      <c r="AJ126" s="8" t="e">
        <f>AJ111*'Emission factors Trucks&amp;Trains'!#REF!*(2-$AS$81)</f>
        <v>#REF!</v>
      </c>
      <c r="AK126" s="8" t="e">
        <f>AK111*'Emission factors Trucks&amp;Trains'!#REF!*(2-$AS$81)</f>
        <v>#REF!</v>
      </c>
      <c r="AL126" s="8" t="e">
        <f>AL111*'Emission factors Trucks&amp;Trains'!#REF!*(2-$AS$81)</f>
        <v>#REF!</v>
      </c>
      <c r="AM126" s="8" t="e">
        <f>AM111*'Emission factors Trucks&amp;Trains'!#REF!*(2-$AS$81)</f>
        <v>#REF!</v>
      </c>
      <c r="AN126" s="8" t="e">
        <f>AN111*'Emission factors Trucks&amp;Trains'!#REF!*(2-$AS$81)</f>
        <v>#REF!</v>
      </c>
      <c r="AO126" s="8" t="e">
        <f>AO111*'Emission factors Trucks&amp;Trains'!#REF!*(2-$AS$81)</f>
        <v>#REF!</v>
      </c>
      <c r="AP126" s="8" t="e">
        <f>AP111*'Emission factors Trucks&amp;Trains'!#REF!*(2-$AS$81)</f>
        <v>#REF!</v>
      </c>
      <c r="AQ126" s="8" t="e">
        <f>AQ111*'Emission factors Trucks&amp;Trains'!#REF!*(2-$AS$81)</f>
        <v>#REF!</v>
      </c>
      <c r="AR126" s="8" t="e">
        <f>AR111*'Emission factors Trucks&amp;Trains'!#REF!*(2-$AS$81)</f>
        <v>#REF!</v>
      </c>
      <c r="AS126" s="8" t="e">
        <f>AS111*'Emission factors Trucks&amp;Trains'!#REF!*(2-$AS$81)</f>
        <v>#REF!</v>
      </c>
      <c r="AT126" s="8" t="e">
        <f>AT111*'Emission factors Trucks&amp;Trains'!#REF!*(2-$AS$81)</f>
        <v>#REF!</v>
      </c>
      <c r="AU126" s="8" t="e">
        <f>AU111*'Emission factors Trucks&amp;Trains'!#REF!*(2-$AS$81)</f>
        <v>#REF!</v>
      </c>
      <c r="AV126" s="8" t="e">
        <f>AV111*'Emission factors Trucks&amp;Trains'!#REF!*(2-$AS$81)</f>
        <v>#REF!</v>
      </c>
      <c r="AW126" s="8" t="e">
        <f>AW111*'Emission factors Trucks&amp;Trains'!#REF!*(2-$AS$81)</f>
        <v>#REF!</v>
      </c>
      <c r="AX126" s="8" t="e">
        <f>AX111*'Emission factors Trucks&amp;Trains'!#REF!*(2-$AS$81)</f>
        <v>#REF!</v>
      </c>
      <c r="AY126" s="8" t="e">
        <f>AY111*'Emission factors Trucks&amp;Trains'!#REF!*(2-$AS$81)</f>
        <v>#REF!</v>
      </c>
      <c r="AZ126" s="8" t="e">
        <f>AZ111*'Emission factors Trucks&amp;Trains'!#REF!*(2-$AS$81)</f>
        <v>#REF!</v>
      </c>
      <c r="BA126" s="8" t="e">
        <f>BA111*'Emission factors Trucks&amp;Trains'!#REF!*(2-$AS$81)</f>
        <v>#REF!</v>
      </c>
      <c r="BB126" s="8" t="e">
        <f>BB111*'Emission factors Trucks&amp;Trains'!#REF!*(2-$AS$81)</f>
        <v>#REF!</v>
      </c>
      <c r="BC126" s="8" t="e">
        <f>BC111*'Emission factors Trucks&amp;Trains'!#REF!*(2-$AS$81)</f>
        <v>#REF!</v>
      </c>
      <c r="BD126" s="8" t="e">
        <f>BD111*'Emission factors Trucks&amp;Trains'!#REF!*(2-$AS$81)</f>
        <v>#REF!</v>
      </c>
      <c r="BE126" s="8" t="e">
        <f>BE111*'Emission factors Trucks&amp;Trains'!#REF!*(2-$AS$81)</f>
        <v>#REF!</v>
      </c>
      <c r="BF126" s="8" t="e">
        <f>BF111*'Emission factors Trucks&amp;Trains'!#REF!*(2-$AS$81)</f>
        <v>#REF!</v>
      </c>
      <c r="BG126" s="9" t="e">
        <f>BG111*'Emission factors Trucks&amp;Trains'!#REF!*(2-$AS$81)</f>
        <v>#REF!</v>
      </c>
    </row>
    <row r="127" spans="1:60" ht="15" customHeight="1">
      <c r="A127" s="500"/>
      <c r="B127" s="267" t="s">
        <v>278</v>
      </c>
      <c r="C127" s="268" t="s">
        <v>344</v>
      </c>
      <c r="D127" s="269">
        <f>(D71+D106)*'Emission factors Trucks&amp;Trains'!B5*(2-$AS$81)</f>
        <v>0</v>
      </c>
      <c r="E127" s="269">
        <f>(E71+E106)*'Emission factors Trucks&amp;Trains'!C5*(2-$AS$81)</f>
        <v>0</v>
      </c>
      <c r="F127" s="269">
        <f>(F71+F106)*'Emission factors Trucks&amp;Trains'!D5*(2-$AS$81)</f>
        <v>0</v>
      </c>
      <c r="G127" s="269">
        <f>(G71+G106)*'Emission factors Trucks&amp;Trains'!E5*(2-$AS$81)</f>
        <v>0</v>
      </c>
      <c r="H127" s="269">
        <f>(H71+H106)*'Emission factors Trucks&amp;Trains'!F5*(2-$AS$81)</f>
        <v>0</v>
      </c>
      <c r="I127" s="269">
        <f>(I71+I106)*'Emission factors Trucks&amp;Trains'!G5*(2-$AS$81)</f>
        <v>0</v>
      </c>
      <c r="J127" s="269">
        <f>(J71+J106)*'Emission factors Trucks&amp;Trains'!H5*(2-$AS$81)</f>
        <v>0</v>
      </c>
      <c r="K127" s="269">
        <f>(K71+K106)*'Emission factors Trucks&amp;Trains'!I5*(2-$AS$81)</f>
        <v>0</v>
      </c>
      <c r="L127" s="269">
        <f>(L71+L106)*'Emission factors Trucks&amp;Trains'!J5*(2-$AS$81)</f>
        <v>0</v>
      </c>
      <c r="M127" s="269">
        <f>(M71+M106)*'Emission factors Trucks&amp;Trains'!K5*(2-$AS$81)</f>
        <v>0</v>
      </c>
      <c r="N127" s="269">
        <f>(N71+N106)*'Emission factors Trucks&amp;Trains'!L5*(2-$AS$81)</f>
        <v>0</v>
      </c>
      <c r="O127" s="269">
        <f>(O71+O106)*'Emission factors Trucks&amp;Trains'!M5*(2-$AS$81)</f>
        <v>0</v>
      </c>
      <c r="P127" s="269">
        <f>(P71+P106)*'Emission factors Trucks&amp;Trains'!N5*(2-$AS$81)</f>
        <v>0</v>
      </c>
      <c r="Q127" s="269">
        <f>(Q71+Q106)*'Emission factors Trucks&amp;Trains'!O5*(2-$AS$81)</f>
        <v>0</v>
      </c>
      <c r="R127" s="269">
        <f>(R71+R106)*'Emission factors Trucks&amp;Trains'!P5*(2-$AS$81)</f>
        <v>0</v>
      </c>
      <c r="S127" s="269">
        <f>(S71+S106)*'Emission factors Trucks&amp;Trains'!Q5*(2-$AS$81)</f>
        <v>0</v>
      </c>
      <c r="T127" s="269">
        <f>(T71+T106)*'Emission factors Trucks&amp;Trains'!R5*(2-$AS$81)</f>
        <v>0</v>
      </c>
      <c r="U127" s="269">
        <f>(U71+U106)*'Emission factors Trucks&amp;Trains'!S5*(2-$AS$81)</f>
        <v>0</v>
      </c>
      <c r="V127" s="269">
        <f>(V71+V106)*'Emission factors Trucks&amp;Trains'!T5*(2-$AS$81)</f>
        <v>0</v>
      </c>
      <c r="W127" s="269">
        <f>(W71+W106)*'Emission factors Trucks&amp;Trains'!U5*(2-$AS$81)</f>
        <v>0</v>
      </c>
      <c r="X127" s="269">
        <f>(X71+X106)*'Emission factors Trucks&amp;Trains'!V5*(2-$AS$81)</f>
        <v>0</v>
      </c>
      <c r="Y127" s="269">
        <f>(Y71+Y106)*'Emission factors Trucks&amp;Trains'!W5*(2-$AS$81)</f>
        <v>0</v>
      </c>
      <c r="Z127" s="269">
        <f>(Z71+Z106)*'Emission factors Trucks&amp;Trains'!X5*(2-$AS$81)</f>
        <v>0</v>
      </c>
      <c r="AA127" s="269">
        <f>(AA71+AA106)*'Emission factors Trucks&amp;Trains'!Y5*(2-$AS$81)</f>
        <v>0</v>
      </c>
      <c r="AB127" s="269">
        <f>(AB71+AB106)*'Emission factors Trucks&amp;Trains'!Z5*(2-$AS$81)</f>
        <v>0</v>
      </c>
      <c r="AF127" s="464"/>
      <c r="AG127" s="136" t="s">
        <v>278</v>
      </c>
      <c r="AH127" s="6" t="s">
        <v>344</v>
      </c>
      <c r="AI127" s="21">
        <f>(AI106+AI107)*'Emission factors Trucks&amp;Trains'!B5*(2-$AS$81)</f>
        <v>0</v>
      </c>
      <c r="AJ127" s="21">
        <f>(AJ106+AJ107)*'Emission factors Trucks&amp;Trains'!C5*(2-$AS$81)</f>
        <v>0</v>
      </c>
      <c r="AK127" s="21">
        <f>(AK106+AK107)*'Emission factors Trucks&amp;Trains'!D5*(2-$AS$81)</f>
        <v>0</v>
      </c>
      <c r="AL127" s="21">
        <f>(AL106+AL107)*'Emission factors Trucks&amp;Trains'!E5*(2-$AS$81)</f>
        <v>0</v>
      </c>
      <c r="AM127" s="21">
        <f>(AM106+AM107)*'Emission factors Trucks&amp;Trains'!F5*(2-$AS$81)</f>
        <v>0</v>
      </c>
      <c r="AN127" s="21">
        <f>(AN106+AN107)*'Emission factors Trucks&amp;Trains'!G5*(2-$AS$81)</f>
        <v>0</v>
      </c>
      <c r="AO127" s="21">
        <f>(AO106+AO107)*'Emission factors Trucks&amp;Trains'!H5*(2-$AS$81)</f>
        <v>0</v>
      </c>
      <c r="AP127" s="21">
        <f>(AP106+AP107)*'Emission factors Trucks&amp;Trains'!I5*(2-$AS$81)</f>
        <v>0</v>
      </c>
      <c r="AQ127" s="21">
        <f>(AQ106+AQ107)*'Emission factors Trucks&amp;Trains'!J5*(2-$AS$81)</f>
        <v>0</v>
      </c>
      <c r="AR127" s="21">
        <f>(AR106+AR107)*'Emission factors Trucks&amp;Trains'!K5*(2-$AS$81)</f>
        <v>0</v>
      </c>
      <c r="AS127" s="21">
        <f>(AS106+AS107)*'Emission factors Trucks&amp;Trains'!L5*(2-$AS$81)</f>
        <v>0</v>
      </c>
      <c r="AT127" s="21">
        <f>(AT106+AT107)*'Emission factors Trucks&amp;Trains'!M5*(2-$AS$81)</f>
        <v>0</v>
      </c>
      <c r="AU127" s="21">
        <f>(AU106+AU107)*'Emission factors Trucks&amp;Trains'!N5*(2-$AS$81)</f>
        <v>0</v>
      </c>
      <c r="AV127" s="21">
        <f>(AV106+AV107)*'Emission factors Trucks&amp;Trains'!O5*(2-$AS$81)</f>
        <v>0</v>
      </c>
      <c r="AW127" s="21">
        <f>(AW106+AW107)*'Emission factors Trucks&amp;Trains'!P5*(2-$AS$81)</f>
        <v>0</v>
      </c>
      <c r="AX127" s="21">
        <f>(AX106+AX107)*'Emission factors Trucks&amp;Trains'!Q5*(2-$AS$81)</f>
        <v>0</v>
      </c>
      <c r="AY127" s="21">
        <f>(AY106+AY107)*'Emission factors Trucks&amp;Trains'!R5*(2-$AS$81)</f>
        <v>0</v>
      </c>
      <c r="AZ127" s="21">
        <f>(AZ106+AZ107)*'Emission factors Trucks&amp;Trains'!S5*(2-$AS$81)</f>
        <v>0</v>
      </c>
      <c r="BA127" s="21">
        <f>(BA106+BA107)*'Emission factors Trucks&amp;Trains'!T5*(2-$AS$81)</f>
        <v>0</v>
      </c>
      <c r="BB127" s="21">
        <f>(BB106+BB107)*'Emission factors Trucks&amp;Trains'!U5*(2-$AS$81)</f>
        <v>0</v>
      </c>
      <c r="BC127" s="21">
        <f>(BC106+BC107)*'Emission factors Trucks&amp;Trains'!V5*(2-$AS$81)</f>
        <v>0</v>
      </c>
      <c r="BD127" s="21">
        <f>(BD106+BD107)*'Emission factors Trucks&amp;Trains'!W5*(2-$AS$81)</f>
        <v>0</v>
      </c>
      <c r="BE127" s="21">
        <f>(BE106+BE107)*'Emission factors Trucks&amp;Trains'!X5*(2-$AS$81)</f>
        <v>0</v>
      </c>
      <c r="BF127" s="21">
        <f>(BF106+BF107)*'Emission factors Trucks&amp;Trains'!Y5*(2-$AS$81)</f>
        <v>0</v>
      </c>
      <c r="BG127" s="21">
        <f>(BG106+BG107)*'Emission factors Trucks&amp;Trains'!Z5*(2-$AS$81)</f>
        <v>0</v>
      </c>
    </row>
    <row r="128" spans="1:60" ht="15" customHeight="1">
      <c r="A128" s="500"/>
      <c r="B128" s="267" t="s">
        <v>347</v>
      </c>
      <c r="C128" s="268" t="s">
        <v>344</v>
      </c>
      <c r="D128" s="269" t="e">
        <f>(D71+D106)*'Emission factors Trucks&amp;Trains'!#REF!*(2-$AS$81)</f>
        <v>#REF!</v>
      </c>
      <c r="E128" s="269" t="e">
        <f>(E71+E106)*'Emission factors Trucks&amp;Trains'!#REF!*(2-$AS$81)</f>
        <v>#REF!</v>
      </c>
      <c r="F128" s="269" t="e">
        <f>(F71+F106)*'Emission factors Trucks&amp;Trains'!#REF!*(2-$AS$81)</f>
        <v>#REF!</v>
      </c>
      <c r="G128" s="269" t="e">
        <f>(G71+G106)*'Emission factors Trucks&amp;Trains'!#REF!*(2-$AS$81)</f>
        <v>#REF!</v>
      </c>
      <c r="H128" s="269" t="e">
        <f>(H71+H106)*'Emission factors Trucks&amp;Trains'!#REF!*(2-$AS$81)</f>
        <v>#REF!</v>
      </c>
      <c r="I128" s="269" t="e">
        <f>(I71+I106)*'Emission factors Trucks&amp;Trains'!#REF!*(2-$AS$81)</f>
        <v>#REF!</v>
      </c>
      <c r="J128" s="269" t="e">
        <f>(J71+J106)*'Emission factors Trucks&amp;Trains'!#REF!*(2-$AS$81)</f>
        <v>#REF!</v>
      </c>
      <c r="K128" s="269" t="e">
        <f>(K71+K106)*'Emission factors Trucks&amp;Trains'!#REF!*(2-$AS$81)</f>
        <v>#REF!</v>
      </c>
      <c r="L128" s="269" t="e">
        <f>(L71+L106)*'Emission factors Trucks&amp;Trains'!#REF!*(2-$AS$81)</f>
        <v>#REF!</v>
      </c>
      <c r="M128" s="269" t="e">
        <f>(M71+M106)*'Emission factors Trucks&amp;Trains'!#REF!*(2-$AS$81)</f>
        <v>#REF!</v>
      </c>
      <c r="N128" s="269" t="e">
        <f>(N71+N106)*'Emission factors Trucks&amp;Trains'!#REF!*(2-$AS$81)</f>
        <v>#REF!</v>
      </c>
      <c r="O128" s="269" t="e">
        <f>(O71+O106)*'Emission factors Trucks&amp;Trains'!#REF!*(2-$AS$81)</f>
        <v>#REF!</v>
      </c>
      <c r="P128" s="269" t="e">
        <f>(P71+P106)*'Emission factors Trucks&amp;Trains'!#REF!*(2-$AS$81)</f>
        <v>#REF!</v>
      </c>
      <c r="Q128" s="269" t="e">
        <f>(Q71+Q106)*'Emission factors Trucks&amp;Trains'!#REF!*(2-$AS$81)</f>
        <v>#REF!</v>
      </c>
      <c r="R128" s="269" t="e">
        <f>(R71+R106)*'Emission factors Trucks&amp;Trains'!#REF!*(2-$AS$81)</f>
        <v>#REF!</v>
      </c>
      <c r="S128" s="269" t="e">
        <f>(S71+S106)*'Emission factors Trucks&amp;Trains'!#REF!*(2-$AS$81)</f>
        <v>#REF!</v>
      </c>
      <c r="T128" s="269" t="e">
        <f>(T71+T106)*'Emission factors Trucks&amp;Trains'!#REF!*(2-$AS$81)</f>
        <v>#REF!</v>
      </c>
      <c r="U128" s="269" t="e">
        <f>(U71+U106)*'Emission factors Trucks&amp;Trains'!#REF!*(2-$AS$81)</f>
        <v>#REF!</v>
      </c>
      <c r="V128" s="269" t="e">
        <f>(V71+V106)*'Emission factors Trucks&amp;Trains'!#REF!*(2-$AS$81)</f>
        <v>#REF!</v>
      </c>
      <c r="W128" s="269" t="e">
        <f>(W71+W106)*'Emission factors Trucks&amp;Trains'!#REF!*(2-$AS$81)</f>
        <v>#REF!</v>
      </c>
      <c r="X128" s="269" t="e">
        <f>(X71+X106)*'Emission factors Trucks&amp;Trains'!#REF!*(2-$AS$81)</f>
        <v>#REF!</v>
      </c>
      <c r="Y128" s="269" t="e">
        <f>(Y71+Y106)*'Emission factors Trucks&amp;Trains'!#REF!*(2-$AS$81)</f>
        <v>#REF!</v>
      </c>
      <c r="Z128" s="269" t="e">
        <f>(Z71+Z106)*'Emission factors Trucks&amp;Trains'!#REF!*(2-$AS$81)</f>
        <v>#REF!</v>
      </c>
      <c r="AA128" s="269" t="e">
        <f>(AA71+AA106)*'Emission factors Trucks&amp;Trains'!#REF!*(2-$AS$81)</f>
        <v>#REF!</v>
      </c>
      <c r="AB128" s="269" t="e">
        <f>(AB71+AB106)*'Emission factors Trucks&amp;Trains'!#REF!*(2-$AS$81)</f>
        <v>#REF!</v>
      </c>
      <c r="AF128" s="464"/>
      <c r="AG128" s="136" t="s">
        <v>347</v>
      </c>
      <c r="AH128" s="6" t="s">
        <v>344</v>
      </c>
      <c r="AI128" s="21" t="e">
        <f>AI111*'Emission factors Trucks&amp;Trains'!#REF!*(2-$AS$81)</f>
        <v>#REF!</v>
      </c>
      <c r="AJ128" s="8" t="e">
        <f>AJ111*'Emission factors Trucks&amp;Trains'!#REF!*(2-$AS$81)</f>
        <v>#REF!</v>
      </c>
      <c r="AK128" s="8" t="e">
        <f>AK111*'Emission factors Trucks&amp;Trains'!#REF!*(2-$AS$81)</f>
        <v>#REF!</v>
      </c>
      <c r="AL128" s="8" t="e">
        <f>AL111*'Emission factors Trucks&amp;Trains'!#REF!*(2-$AS$81)</f>
        <v>#REF!</v>
      </c>
      <c r="AM128" s="8" t="e">
        <f>AM111*'Emission factors Trucks&amp;Trains'!#REF!*(2-$AS$81)</f>
        <v>#REF!</v>
      </c>
      <c r="AN128" s="8" t="e">
        <f>AN111*'Emission factors Trucks&amp;Trains'!#REF!*(2-$AS$81)</f>
        <v>#REF!</v>
      </c>
      <c r="AO128" s="8" t="e">
        <f>AO111*'Emission factors Trucks&amp;Trains'!#REF!*(2-$AS$81)</f>
        <v>#REF!</v>
      </c>
      <c r="AP128" s="8" t="e">
        <f>AP111*'Emission factors Trucks&amp;Trains'!#REF!*(2-$AS$81)</f>
        <v>#REF!</v>
      </c>
      <c r="AQ128" s="8" t="e">
        <f>AQ111*'Emission factors Trucks&amp;Trains'!#REF!*(2-$AS$81)</f>
        <v>#REF!</v>
      </c>
      <c r="AR128" s="8" t="e">
        <f>AR111*'Emission factors Trucks&amp;Trains'!#REF!*(2-$AS$81)</f>
        <v>#REF!</v>
      </c>
      <c r="AS128" s="8" t="e">
        <f>AS111*'Emission factors Trucks&amp;Trains'!#REF!*(2-$AS$81)</f>
        <v>#REF!</v>
      </c>
      <c r="AT128" s="8" t="e">
        <f>AT111*'Emission factors Trucks&amp;Trains'!#REF!*(2-$AS$81)</f>
        <v>#REF!</v>
      </c>
      <c r="AU128" s="8" t="e">
        <f>AU111*'Emission factors Trucks&amp;Trains'!#REF!*(2-$AS$81)</f>
        <v>#REF!</v>
      </c>
      <c r="AV128" s="8" t="e">
        <f>AV111*'Emission factors Trucks&amp;Trains'!#REF!*(2-$AS$81)</f>
        <v>#REF!</v>
      </c>
      <c r="AW128" s="8" t="e">
        <f>AW111*'Emission factors Trucks&amp;Trains'!#REF!*(2-$AS$81)</f>
        <v>#REF!</v>
      </c>
      <c r="AX128" s="8" t="e">
        <f>AX111*'Emission factors Trucks&amp;Trains'!#REF!*(2-$AS$81)</f>
        <v>#REF!</v>
      </c>
      <c r="AY128" s="8" t="e">
        <f>AY111*'Emission factors Trucks&amp;Trains'!#REF!*(2-$AS$81)</f>
        <v>#REF!</v>
      </c>
      <c r="AZ128" s="8" t="e">
        <f>AZ111*'Emission factors Trucks&amp;Trains'!#REF!*(2-$AS$81)</f>
        <v>#REF!</v>
      </c>
      <c r="BA128" s="8" t="e">
        <f>BA111*'Emission factors Trucks&amp;Trains'!#REF!*(2-$AS$81)</f>
        <v>#REF!</v>
      </c>
      <c r="BB128" s="8" t="e">
        <f>BB111*'Emission factors Trucks&amp;Trains'!#REF!*(2-$AS$81)</f>
        <v>#REF!</v>
      </c>
      <c r="BC128" s="8" t="e">
        <f>BC111*'Emission factors Trucks&amp;Trains'!#REF!*(2-$AS$81)</f>
        <v>#REF!</v>
      </c>
      <c r="BD128" s="8" t="e">
        <f>BD111*'Emission factors Trucks&amp;Trains'!#REF!*(2-$AS$81)</f>
        <v>#REF!</v>
      </c>
      <c r="BE128" s="8" t="e">
        <f>BE111*'Emission factors Trucks&amp;Trains'!#REF!*(2-$AS$81)</f>
        <v>#REF!</v>
      </c>
      <c r="BF128" s="8" t="e">
        <f>BF111*'Emission factors Trucks&amp;Trains'!#REF!*(2-$AS$81)</f>
        <v>#REF!</v>
      </c>
      <c r="BG128" s="9" t="e">
        <f>BG111*'Emission factors Trucks&amp;Trains'!#REF!*(2-$AS$81)</f>
        <v>#REF!</v>
      </c>
    </row>
    <row r="129" spans="1:59" ht="15" customHeight="1">
      <c r="A129" s="500"/>
      <c r="B129" s="267" t="s">
        <v>348</v>
      </c>
      <c r="C129" s="268" t="s">
        <v>344</v>
      </c>
      <c r="D129" s="269" t="e">
        <f>(D71+D106)*'Emission factors Trucks&amp;Trains'!#REF!*(2-$AS$81)</f>
        <v>#REF!</v>
      </c>
      <c r="E129" s="269" t="e">
        <f>(E71+E106)*'Emission factors Trucks&amp;Trains'!#REF!*(2-$AS$81)</f>
        <v>#REF!</v>
      </c>
      <c r="F129" s="269" t="e">
        <f>(F71+F106)*'Emission factors Trucks&amp;Trains'!#REF!*(2-$AS$81)</f>
        <v>#REF!</v>
      </c>
      <c r="G129" s="269" t="e">
        <f>(G71+G106)*'Emission factors Trucks&amp;Trains'!#REF!*(2-$AS$81)</f>
        <v>#REF!</v>
      </c>
      <c r="H129" s="269" t="e">
        <f>(H71+H106)*'Emission factors Trucks&amp;Trains'!#REF!*(2-$AS$81)</f>
        <v>#REF!</v>
      </c>
      <c r="I129" s="269" t="e">
        <f>(I71+I106)*'Emission factors Trucks&amp;Trains'!#REF!*(2-$AS$81)</f>
        <v>#REF!</v>
      </c>
      <c r="J129" s="269" t="e">
        <f>(J71+J106)*'Emission factors Trucks&amp;Trains'!#REF!*(2-$AS$81)</f>
        <v>#REF!</v>
      </c>
      <c r="K129" s="269" t="e">
        <f>(K71+K106)*'Emission factors Trucks&amp;Trains'!#REF!*(2-$AS$81)</f>
        <v>#REF!</v>
      </c>
      <c r="L129" s="269" t="e">
        <f>(L71+L106)*'Emission factors Trucks&amp;Trains'!#REF!*(2-$AS$81)</f>
        <v>#REF!</v>
      </c>
      <c r="M129" s="269" t="e">
        <f>(M71+M106)*'Emission factors Trucks&amp;Trains'!#REF!*(2-$AS$81)</f>
        <v>#REF!</v>
      </c>
      <c r="N129" s="269" t="e">
        <f>(N71+N106)*'Emission factors Trucks&amp;Trains'!#REF!*(2-$AS$81)</f>
        <v>#REF!</v>
      </c>
      <c r="O129" s="269" t="e">
        <f>(O71+O106)*'Emission factors Trucks&amp;Trains'!#REF!*(2-$AS$81)</f>
        <v>#REF!</v>
      </c>
      <c r="P129" s="269" t="e">
        <f>(P71+P106)*'Emission factors Trucks&amp;Trains'!#REF!*(2-$AS$81)</f>
        <v>#REF!</v>
      </c>
      <c r="Q129" s="269" t="e">
        <f>(Q71+Q106)*'Emission factors Trucks&amp;Trains'!#REF!*(2-$AS$81)</f>
        <v>#REF!</v>
      </c>
      <c r="R129" s="269" t="e">
        <f>(R71+R106)*'Emission factors Trucks&amp;Trains'!#REF!*(2-$AS$81)</f>
        <v>#REF!</v>
      </c>
      <c r="S129" s="269" t="e">
        <f>(S71+S106)*'Emission factors Trucks&amp;Trains'!#REF!*(2-$AS$81)</f>
        <v>#REF!</v>
      </c>
      <c r="T129" s="269" t="e">
        <f>(T71+T106)*'Emission factors Trucks&amp;Trains'!#REF!*(2-$AS$81)</f>
        <v>#REF!</v>
      </c>
      <c r="U129" s="269" t="e">
        <f>(U71+U106)*'Emission factors Trucks&amp;Trains'!#REF!*(2-$AS$81)</f>
        <v>#REF!</v>
      </c>
      <c r="V129" s="269" t="e">
        <f>(V71+V106)*'Emission factors Trucks&amp;Trains'!#REF!*(2-$AS$81)</f>
        <v>#REF!</v>
      </c>
      <c r="W129" s="269" t="e">
        <f>(W71+W106)*'Emission factors Trucks&amp;Trains'!#REF!*(2-$AS$81)</f>
        <v>#REF!</v>
      </c>
      <c r="X129" s="269" t="e">
        <f>(X71+X106)*'Emission factors Trucks&amp;Trains'!#REF!*(2-$AS$81)</f>
        <v>#REF!</v>
      </c>
      <c r="Y129" s="269" t="e">
        <f>(Y71+Y106)*'Emission factors Trucks&amp;Trains'!#REF!*(2-$AS$81)</f>
        <v>#REF!</v>
      </c>
      <c r="Z129" s="269" t="e">
        <f>(Z71+Z106)*'Emission factors Trucks&amp;Trains'!#REF!*(2-$AS$81)</f>
        <v>#REF!</v>
      </c>
      <c r="AA129" s="269" t="e">
        <f>(AA71+AA106)*'Emission factors Trucks&amp;Trains'!#REF!*(2-$AS$81)</f>
        <v>#REF!</v>
      </c>
      <c r="AB129" s="269" t="e">
        <f>(AB71+AB106)*'Emission factors Trucks&amp;Trains'!#REF!*(2-$AS$81)</f>
        <v>#REF!</v>
      </c>
      <c r="AF129" s="464"/>
      <c r="AG129" s="136" t="s">
        <v>348</v>
      </c>
      <c r="AH129" s="6" t="s">
        <v>344</v>
      </c>
      <c r="AI129" s="21" t="e">
        <f>AI111*'Emission factors Trucks&amp;Trains'!#REF!*(2-$AS$81)</f>
        <v>#REF!</v>
      </c>
      <c r="AJ129" s="8" t="e">
        <f>AJ111*'Emission factors Trucks&amp;Trains'!#REF!*(2-$AS$81)</f>
        <v>#REF!</v>
      </c>
      <c r="AK129" s="8" t="e">
        <f>AK111*'Emission factors Trucks&amp;Trains'!#REF!*(2-$AS$81)</f>
        <v>#REF!</v>
      </c>
      <c r="AL129" s="8" t="e">
        <f>AL111*'Emission factors Trucks&amp;Trains'!#REF!*(2-$AS$81)</f>
        <v>#REF!</v>
      </c>
      <c r="AM129" s="8" t="e">
        <f>AM111*'Emission factors Trucks&amp;Trains'!#REF!*(2-$AS$81)</f>
        <v>#REF!</v>
      </c>
      <c r="AN129" s="8" t="e">
        <f>AN111*'Emission factors Trucks&amp;Trains'!#REF!*(2-$AS$81)</f>
        <v>#REF!</v>
      </c>
      <c r="AO129" s="8" t="e">
        <f>AO111*'Emission factors Trucks&amp;Trains'!#REF!*(2-$AS$81)</f>
        <v>#REF!</v>
      </c>
      <c r="AP129" s="8" t="e">
        <f>AP111*'Emission factors Trucks&amp;Trains'!#REF!*(2-$AS$81)</f>
        <v>#REF!</v>
      </c>
      <c r="AQ129" s="8" t="e">
        <f>AQ111*'Emission factors Trucks&amp;Trains'!#REF!*(2-$AS$81)</f>
        <v>#REF!</v>
      </c>
      <c r="AR129" s="8" t="e">
        <f>AR111*'Emission factors Trucks&amp;Trains'!#REF!*(2-$AS$81)</f>
        <v>#REF!</v>
      </c>
      <c r="AS129" s="8" t="e">
        <f>AS111*'Emission factors Trucks&amp;Trains'!#REF!*(2-$AS$81)</f>
        <v>#REF!</v>
      </c>
      <c r="AT129" s="8" t="e">
        <f>AT111*'Emission factors Trucks&amp;Trains'!#REF!*(2-$AS$81)</f>
        <v>#REF!</v>
      </c>
      <c r="AU129" s="8" t="e">
        <f>AU111*'Emission factors Trucks&amp;Trains'!#REF!*(2-$AS$81)</f>
        <v>#REF!</v>
      </c>
      <c r="AV129" s="8" t="e">
        <f>AV111*'Emission factors Trucks&amp;Trains'!#REF!*(2-$AS$81)</f>
        <v>#REF!</v>
      </c>
      <c r="AW129" s="8" t="e">
        <f>AW111*'Emission factors Trucks&amp;Trains'!#REF!*(2-$AS$81)</f>
        <v>#REF!</v>
      </c>
      <c r="AX129" s="8" t="e">
        <f>AX111*'Emission factors Trucks&amp;Trains'!#REF!*(2-$AS$81)</f>
        <v>#REF!</v>
      </c>
      <c r="AY129" s="8" t="e">
        <f>AY111*'Emission factors Trucks&amp;Trains'!#REF!*(2-$AS$81)</f>
        <v>#REF!</v>
      </c>
      <c r="AZ129" s="8" t="e">
        <f>AZ111*'Emission factors Trucks&amp;Trains'!#REF!*(2-$AS$81)</f>
        <v>#REF!</v>
      </c>
      <c r="BA129" s="8" t="e">
        <f>BA111*'Emission factors Trucks&amp;Trains'!#REF!*(2-$AS$81)</f>
        <v>#REF!</v>
      </c>
      <c r="BB129" s="8" t="e">
        <f>BB111*'Emission factors Trucks&amp;Trains'!#REF!*(2-$AS$81)</f>
        <v>#REF!</v>
      </c>
      <c r="BC129" s="8" t="e">
        <f>BC111*'Emission factors Trucks&amp;Trains'!#REF!*(2-$AS$81)</f>
        <v>#REF!</v>
      </c>
      <c r="BD129" s="8" t="e">
        <f>BD111*'Emission factors Trucks&amp;Trains'!#REF!*(2-$AS$81)</f>
        <v>#REF!</v>
      </c>
      <c r="BE129" s="8" t="e">
        <f>BE111*'Emission factors Trucks&amp;Trains'!#REF!*(2-$AS$81)</f>
        <v>#REF!</v>
      </c>
      <c r="BF129" s="8" t="e">
        <f>BF111*'Emission factors Trucks&amp;Trains'!#REF!*(2-$AS$81)</f>
        <v>#REF!</v>
      </c>
      <c r="BG129" s="9" t="e">
        <f>BG111*'Emission factors Trucks&amp;Trains'!#REF!*(2-$AS$81)</f>
        <v>#REF!</v>
      </c>
    </row>
    <row r="130" spans="1:59" ht="15" customHeight="1">
      <c r="A130" s="500"/>
      <c r="B130" s="267" t="s">
        <v>349</v>
      </c>
      <c r="C130" s="268" t="s">
        <v>344</v>
      </c>
      <c r="D130" s="269" t="e">
        <f>(D71+D106)*'Emission factors Trucks&amp;Trains'!#REF!*(2-$AS$81)</f>
        <v>#REF!</v>
      </c>
      <c r="E130" s="269" t="e">
        <f>(E71+E106)*'Emission factors Trucks&amp;Trains'!#REF!*(2-$AS$81)</f>
        <v>#REF!</v>
      </c>
      <c r="F130" s="269" t="e">
        <f>(F71+F106)*'Emission factors Trucks&amp;Trains'!#REF!*(2-$AS$81)</f>
        <v>#REF!</v>
      </c>
      <c r="G130" s="269" t="e">
        <f>(G71+G106)*'Emission factors Trucks&amp;Trains'!#REF!*(2-$AS$81)</f>
        <v>#REF!</v>
      </c>
      <c r="H130" s="269" t="e">
        <f>(H71+H106)*'Emission factors Trucks&amp;Trains'!#REF!*(2-$AS$81)</f>
        <v>#REF!</v>
      </c>
      <c r="I130" s="269" t="e">
        <f>(I71+I106)*'Emission factors Trucks&amp;Trains'!#REF!*(2-$AS$81)</f>
        <v>#REF!</v>
      </c>
      <c r="J130" s="269" t="e">
        <f>(J71+J106)*'Emission factors Trucks&amp;Trains'!#REF!*(2-$AS$81)</f>
        <v>#REF!</v>
      </c>
      <c r="K130" s="269" t="e">
        <f>(K71+K106)*'Emission factors Trucks&amp;Trains'!#REF!*(2-$AS$81)</f>
        <v>#REF!</v>
      </c>
      <c r="L130" s="269" t="e">
        <f>(L71+L106)*'Emission factors Trucks&amp;Trains'!#REF!*(2-$AS$81)</f>
        <v>#REF!</v>
      </c>
      <c r="M130" s="269" t="e">
        <f>(M71+M106)*'Emission factors Trucks&amp;Trains'!#REF!*(2-$AS$81)</f>
        <v>#REF!</v>
      </c>
      <c r="N130" s="269" t="e">
        <f>(N71+N106)*'Emission factors Trucks&amp;Trains'!#REF!*(2-$AS$81)</f>
        <v>#REF!</v>
      </c>
      <c r="O130" s="269" t="e">
        <f>(O71+O106)*'Emission factors Trucks&amp;Trains'!#REF!*(2-$AS$81)</f>
        <v>#REF!</v>
      </c>
      <c r="P130" s="269" t="e">
        <f>(P71+P106)*'Emission factors Trucks&amp;Trains'!#REF!*(2-$AS$81)</f>
        <v>#REF!</v>
      </c>
      <c r="Q130" s="269" t="e">
        <f>(Q71+Q106)*'Emission factors Trucks&amp;Trains'!#REF!*(2-$AS$81)</f>
        <v>#REF!</v>
      </c>
      <c r="R130" s="269" t="e">
        <f>(R71+R106)*'Emission factors Trucks&amp;Trains'!#REF!*(2-$AS$81)</f>
        <v>#REF!</v>
      </c>
      <c r="S130" s="269" t="e">
        <f>(S71+S106)*'Emission factors Trucks&amp;Trains'!#REF!*(2-$AS$81)</f>
        <v>#REF!</v>
      </c>
      <c r="T130" s="269" t="e">
        <f>(T71+T106)*'Emission factors Trucks&amp;Trains'!#REF!*(2-$AS$81)</f>
        <v>#REF!</v>
      </c>
      <c r="U130" s="269" t="e">
        <f>(U71+U106)*'Emission factors Trucks&amp;Trains'!#REF!*(2-$AS$81)</f>
        <v>#REF!</v>
      </c>
      <c r="V130" s="269" t="e">
        <f>(V71+V106)*'Emission factors Trucks&amp;Trains'!#REF!*(2-$AS$81)</f>
        <v>#REF!</v>
      </c>
      <c r="W130" s="269" t="e">
        <f>(W71+W106)*'Emission factors Trucks&amp;Trains'!#REF!*(2-$AS$81)</f>
        <v>#REF!</v>
      </c>
      <c r="X130" s="269" t="e">
        <f>(X71+X106)*'Emission factors Trucks&amp;Trains'!#REF!*(2-$AS$81)</f>
        <v>#REF!</v>
      </c>
      <c r="Y130" s="269" t="e">
        <f>(Y71+Y106)*'Emission factors Trucks&amp;Trains'!#REF!*(2-$AS$81)</f>
        <v>#REF!</v>
      </c>
      <c r="Z130" s="269" t="e">
        <f>(Z71+Z106)*'Emission factors Trucks&amp;Trains'!#REF!*(2-$AS$81)</f>
        <v>#REF!</v>
      </c>
      <c r="AA130" s="269" t="e">
        <f>(AA71+AA106)*'Emission factors Trucks&amp;Trains'!#REF!*(2-$AS$81)</f>
        <v>#REF!</v>
      </c>
      <c r="AB130" s="269" t="e">
        <f>(AB71+AB106)*'Emission factors Trucks&amp;Trains'!#REF!*(2-$AS$81)</f>
        <v>#REF!</v>
      </c>
      <c r="AF130" s="464"/>
      <c r="AG130" s="136" t="s">
        <v>349</v>
      </c>
      <c r="AH130" s="6" t="s">
        <v>344</v>
      </c>
      <c r="AI130" s="21" t="e">
        <f>AI111*'Emission factors Trucks&amp;Trains'!#REF!*(2-$AS$81)</f>
        <v>#REF!</v>
      </c>
      <c r="AJ130" s="8" t="e">
        <f>AJ111*'Emission factors Trucks&amp;Trains'!#REF!*(2-$AS$81)</f>
        <v>#REF!</v>
      </c>
      <c r="AK130" s="8" t="e">
        <f>AK111*'Emission factors Trucks&amp;Trains'!#REF!*(2-$AS$81)</f>
        <v>#REF!</v>
      </c>
      <c r="AL130" s="8" t="e">
        <f>AL111*'Emission factors Trucks&amp;Trains'!#REF!*(2-$AS$81)</f>
        <v>#REF!</v>
      </c>
      <c r="AM130" s="8" t="e">
        <f>AM111*'Emission factors Trucks&amp;Trains'!#REF!*(2-$AS$81)</f>
        <v>#REF!</v>
      </c>
      <c r="AN130" s="8" t="e">
        <f>AN111*'Emission factors Trucks&amp;Trains'!#REF!*(2-$AS$81)</f>
        <v>#REF!</v>
      </c>
      <c r="AO130" s="8" t="e">
        <f>AO111*'Emission factors Trucks&amp;Trains'!#REF!*(2-$AS$81)</f>
        <v>#REF!</v>
      </c>
      <c r="AP130" s="8" t="e">
        <f>AP111*'Emission factors Trucks&amp;Trains'!#REF!*(2-$AS$81)</f>
        <v>#REF!</v>
      </c>
      <c r="AQ130" s="8" t="e">
        <f>AQ111*'Emission factors Trucks&amp;Trains'!#REF!*(2-$AS$81)</f>
        <v>#REF!</v>
      </c>
      <c r="AR130" s="8" t="e">
        <f>AR111*'Emission factors Trucks&amp;Trains'!#REF!*(2-$AS$81)</f>
        <v>#REF!</v>
      </c>
      <c r="AS130" s="8" t="e">
        <f>AS111*'Emission factors Trucks&amp;Trains'!#REF!*(2-$AS$81)</f>
        <v>#REF!</v>
      </c>
      <c r="AT130" s="8" t="e">
        <f>AT111*'Emission factors Trucks&amp;Trains'!#REF!*(2-$AS$81)</f>
        <v>#REF!</v>
      </c>
      <c r="AU130" s="8" t="e">
        <f>AU111*'Emission factors Trucks&amp;Trains'!#REF!*(2-$AS$81)</f>
        <v>#REF!</v>
      </c>
      <c r="AV130" s="8" t="e">
        <f>AV111*'Emission factors Trucks&amp;Trains'!#REF!*(2-$AS$81)</f>
        <v>#REF!</v>
      </c>
      <c r="AW130" s="8" t="e">
        <f>AW111*'Emission factors Trucks&amp;Trains'!#REF!*(2-$AS$81)</f>
        <v>#REF!</v>
      </c>
      <c r="AX130" s="8" t="e">
        <f>AX111*'Emission factors Trucks&amp;Trains'!#REF!*(2-$AS$81)</f>
        <v>#REF!</v>
      </c>
      <c r="AY130" s="8" t="e">
        <f>AY111*'Emission factors Trucks&amp;Trains'!#REF!*(2-$AS$81)</f>
        <v>#REF!</v>
      </c>
      <c r="AZ130" s="8" t="e">
        <f>AZ111*'Emission factors Trucks&amp;Trains'!#REF!*(2-$AS$81)</f>
        <v>#REF!</v>
      </c>
      <c r="BA130" s="8" t="e">
        <f>BA111*'Emission factors Trucks&amp;Trains'!#REF!*(2-$AS$81)</f>
        <v>#REF!</v>
      </c>
      <c r="BB130" s="8" t="e">
        <f>BB111*'Emission factors Trucks&amp;Trains'!#REF!*(2-$AS$81)</f>
        <v>#REF!</v>
      </c>
      <c r="BC130" s="8" t="e">
        <f>BC111*'Emission factors Trucks&amp;Trains'!#REF!*(2-$AS$81)</f>
        <v>#REF!</v>
      </c>
      <c r="BD130" s="8" t="e">
        <f>BD111*'Emission factors Trucks&amp;Trains'!#REF!*(2-$AS$81)</f>
        <v>#REF!</v>
      </c>
      <c r="BE130" s="8" t="e">
        <f>BE111*'Emission factors Trucks&amp;Trains'!#REF!*(2-$AS$81)</f>
        <v>#REF!</v>
      </c>
      <c r="BF130" s="8" t="e">
        <f>BF111*'Emission factors Trucks&amp;Trains'!#REF!*(2-$AS$81)</f>
        <v>#REF!</v>
      </c>
      <c r="BG130" s="9" t="e">
        <f>BG111*'Emission factors Trucks&amp;Trains'!#REF!*(2-$AS$81)</f>
        <v>#REF!</v>
      </c>
    </row>
    <row r="131" spans="1:59" ht="15" customHeight="1">
      <c r="A131" s="500"/>
      <c r="B131" s="267" t="s">
        <v>246</v>
      </c>
      <c r="C131" s="268" t="s">
        <v>344</v>
      </c>
      <c r="D131" s="269">
        <f>(D71+D106)*'Emission factors Trucks&amp;Trains'!B6*(2-$AS$81)</f>
        <v>0</v>
      </c>
      <c r="E131" s="269">
        <f>(E71+E106)*'Emission factors Trucks&amp;Trains'!C6*(2-$AS$81)</f>
        <v>0</v>
      </c>
      <c r="F131" s="269">
        <f>(F71+F106)*'Emission factors Trucks&amp;Trains'!D6*(2-$AS$81)</f>
        <v>0</v>
      </c>
      <c r="G131" s="269">
        <f>(G71+G106)*'Emission factors Trucks&amp;Trains'!E6*(2-$AS$81)</f>
        <v>0</v>
      </c>
      <c r="H131" s="269">
        <f>(H71+H106)*'Emission factors Trucks&amp;Trains'!F6*(2-$AS$81)</f>
        <v>0</v>
      </c>
      <c r="I131" s="269">
        <f>(I71+I106)*'Emission factors Trucks&amp;Trains'!G6*(2-$AS$81)</f>
        <v>0</v>
      </c>
      <c r="J131" s="269">
        <f>(J71+J106)*'Emission factors Trucks&amp;Trains'!H6*(2-$AS$81)</f>
        <v>0</v>
      </c>
      <c r="K131" s="269">
        <f>(K71+K106)*'Emission factors Trucks&amp;Trains'!I6*(2-$AS$81)</f>
        <v>0</v>
      </c>
      <c r="L131" s="269">
        <f>(L71+L106)*'Emission factors Trucks&amp;Trains'!J6*(2-$AS$81)</f>
        <v>0</v>
      </c>
      <c r="M131" s="269">
        <f>(M71+M106)*'Emission factors Trucks&amp;Trains'!K6*(2-$AS$81)</f>
        <v>0</v>
      </c>
      <c r="N131" s="269">
        <f>(N71+N106)*'Emission factors Trucks&amp;Trains'!L6*(2-$AS$81)</f>
        <v>0</v>
      </c>
      <c r="O131" s="269">
        <f>(O71+O106)*'Emission factors Trucks&amp;Trains'!M6*(2-$AS$81)</f>
        <v>0</v>
      </c>
      <c r="P131" s="269">
        <f>(P71+P106)*'Emission factors Trucks&amp;Trains'!N6*(2-$AS$81)</f>
        <v>0</v>
      </c>
      <c r="Q131" s="269">
        <f>(Q71+Q106)*'Emission factors Trucks&amp;Trains'!O6*(2-$AS$81)</f>
        <v>0</v>
      </c>
      <c r="R131" s="269">
        <f>(R71+R106)*'Emission factors Trucks&amp;Trains'!P6*(2-$AS$81)</f>
        <v>0</v>
      </c>
      <c r="S131" s="269">
        <f>(S71+S106)*'Emission factors Trucks&amp;Trains'!Q6*(2-$AS$81)</f>
        <v>0</v>
      </c>
      <c r="T131" s="269">
        <f>(T71+T106)*'Emission factors Trucks&amp;Trains'!R6*(2-$AS$81)</f>
        <v>0</v>
      </c>
      <c r="U131" s="269">
        <f>(U71+U106)*'Emission factors Trucks&amp;Trains'!S6*(2-$AS$81)</f>
        <v>0</v>
      </c>
      <c r="V131" s="269">
        <f>(V71+V106)*'Emission factors Trucks&amp;Trains'!T6*(2-$AS$81)</f>
        <v>0</v>
      </c>
      <c r="W131" s="269">
        <f>(W71+W106)*'Emission factors Trucks&amp;Trains'!U6*(2-$AS$81)</f>
        <v>0</v>
      </c>
      <c r="X131" s="269">
        <f>(X71+X106)*'Emission factors Trucks&amp;Trains'!V6*(2-$AS$81)</f>
        <v>0</v>
      </c>
      <c r="Y131" s="269">
        <f>(Y71+Y106)*'Emission factors Trucks&amp;Trains'!W6*(2-$AS$81)</f>
        <v>0</v>
      </c>
      <c r="Z131" s="269">
        <f>(Z71+Z106)*'Emission factors Trucks&amp;Trains'!X6*(2-$AS$81)</f>
        <v>0</v>
      </c>
      <c r="AA131" s="269">
        <f>(AA71+AA106)*'Emission factors Trucks&amp;Trains'!Y6*(2-$AS$81)</f>
        <v>0</v>
      </c>
      <c r="AB131" s="269">
        <f>(AB71+AB106)*'Emission factors Trucks&amp;Trains'!Z6*(2-$AS$81)</f>
        <v>0</v>
      </c>
      <c r="AF131" s="464"/>
      <c r="AG131" s="137" t="s">
        <v>246</v>
      </c>
      <c r="AH131" s="19" t="s">
        <v>344</v>
      </c>
      <c r="AI131" s="22">
        <f>(AI106+AI107)*'Emission factors Trucks&amp;Trains'!B6*(2-$AS$81)</f>
        <v>0</v>
      </c>
      <c r="AJ131" s="22">
        <f>(AJ106+AJ107)*'Emission factors Trucks&amp;Trains'!C6*(2-$AS$81)</f>
        <v>0</v>
      </c>
      <c r="AK131" s="22">
        <f>(AK106+AK107)*'Emission factors Trucks&amp;Trains'!D6*(2-$AS$81)</f>
        <v>0</v>
      </c>
      <c r="AL131" s="22">
        <f>(AL106+AL107)*'Emission factors Trucks&amp;Trains'!E6*(2-$AS$81)</f>
        <v>0</v>
      </c>
      <c r="AM131" s="22">
        <f>(AM106+AM107)*'Emission factors Trucks&amp;Trains'!F6*(2-$AS$81)</f>
        <v>0</v>
      </c>
      <c r="AN131" s="22">
        <f>(AN106+AN107)*'Emission factors Trucks&amp;Trains'!G6*(2-$AS$81)</f>
        <v>0</v>
      </c>
      <c r="AO131" s="22">
        <f>(AO106+AO107)*'Emission factors Trucks&amp;Trains'!H6*(2-$AS$81)</f>
        <v>0</v>
      </c>
      <c r="AP131" s="22">
        <f>(AP106+AP107)*'Emission factors Trucks&amp;Trains'!I6*(2-$AS$81)</f>
        <v>0</v>
      </c>
      <c r="AQ131" s="22">
        <f>(AQ106+AQ107)*'Emission factors Trucks&amp;Trains'!J6*(2-$AS$81)</f>
        <v>0</v>
      </c>
      <c r="AR131" s="22">
        <f>(AR106+AR107)*'Emission factors Trucks&amp;Trains'!K6*(2-$AS$81)</f>
        <v>0</v>
      </c>
      <c r="AS131" s="22">
        <f>(AS106+AS107)*'Emission factors Trucks&amp;Trains'!L6*(2-$AS$81)</f>
        <v>0</v>
      </c>
      <c r="AT131" s="22">
        <f>(AT106+AT107)*'Emission factors Trucks&amp;Trains'!M6*(2-$AS$81)</f>
        <v>0</v>
      </c>
      <c r="AU131" s="22">
        <f>(AU106+AU107)*'Emission factors Trucks&amp;Trains'!N6*(2-$AS$81)</f>
        <v>0</v>
      </c>
      <c r="AV131" s="22">
        <f>(AV106+AV107)*'Emission factors Trucks&amp;Trains'!O6*(2-$AS$81)</f>
        <v>0</v>
      </c>
      <c r="AW131" s="22">
        <f>(AW106+AW107)*'Emission factors Trucks&amp;Trains'!P6*(2-$AS$81)</f>
        <v>0</v>
      </c>
      <c r="AX131" s="22">
        <f>(AX106+AX107)*'Emission factors Trucks&amp;Trains'!Q6*(2-$AS$81)</f>
        <v>0</v>
      </c>
      <c r="AY131" s="22">
        <f>(AY106+AY107)*'Emission factors Trucks&amp;Trains'!R6*(2-$AS$81)</f>
        <v>0</v>
      </c>
      <c r="AZ131" s="22">
        <f>(AZ106+AZ107)*'Emission factors Trucks&amp;Trains'!S6*(2-$AS$81)</f>
        <v>0</v>
      </c>
      <c r="BA131" s="22">
        <f>(BA106+BA107)*'Emission factors Trucks&amp;Trains'!T6*(2-$AS$81)</f>
        <v>0</v>
      </c>
      <c r="BB131" s="22">
        <f>(BB106+BB107)*'Emission factors Trucks&amp;Trains'!U6*(2-$AS$81)</f>
        <v>0</v>
      </c>
      <c r="BC131" s="22">
        <f>(BC106+BC107)*'Emission factors Trucks&amp;Trains'!V6*(2-$AS$81)</f>
        <v>0</v>
      </c>
      <c r="BD131" s="22">
        <f>(BD106+BD107)*'Emission factors Trucks&amp;Trains'!W6*(2-$AS$81)</f>
        <v>0</v>
      </c>
      <c r="BE131" s="22">
        <f>(BE106+BE107)*'Emission factors Trucks&amp;Trains'!X6*(2-$AS$81)</f>
        <v>0</v>
      </c>
      <c r="BF131" s="22">
        <f>(BF106+BF107)*'Emission factors Trucks&amp;Trains'!Y6*(2-$AS$81)</f>
        <v>0</v>
      </c>
      <c r="BG131" s="22">
        <f>(BG106+BG107)*'Emission factors Trucks&amp;Trains'!Z6*(2-$AS$81)</f>
        <v>0</v>
      </c>
    </row>
    <row r="132" spans="1:59" ht="15" customHeight="1">
      <c r="A132" s="500"/>
      <c r="B132" s="2" t="s">
        <v>9</v>
      </c>
      <c r="C132" s="13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F132" s="464"/>
      <c r="AG132" s="12" t="s">
        <v>104</v>
      </c>
      <c r="AI132" s="21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9"/>
    </row>
    <row r="133" spans="1:59" ht="15" customHeight="1">
      <c r="A133" s="500"/>
      <c r="B133" s="136" t="s">
        <v>343</v>
      </c>
      <c r="C133" s="112" t="s">
        <v>344</v>
      </c>
      <c r="D133" s="8" t="e">
        <f>(D76+D111)*'Emission factors Trucks&amp;Trains'!#REF!*(2-$AS$81)</f>
        <v>#REF!</v>
      </c>
      <c r="E133" s="8" t="e">
        <f>(E76+E111)*'Emission factors Trucks&amp;Trains'!#REF!*(2-$AS$81)</f>
        <v>#REF!</v>
      </c>
      <c r="F133" s="8" t="e">
        <f>(F76+F111)*'Emission factors Trucks&amp;Trains'!#REF!*(2-$AS$81)</f>
        <v>#REF!</v>
      </c>
      <c r="G133" s="8" t="e">
        <f>(G76+G111)*'Emission factors Trucks&amp;Trains'!#REF!*(2-$AS$81)</f>
        <v>#REF!</v>
      </c>
      <c r="H133" s="8" t="e">
        <f>(H76+H111)*'Emission factors Trucks&amp;Trains'!#REF!*(2-$AS$81)</f>
        <v>#REF!</v>
      </c>
      <c r="I133" s="8" t="e">
        <f>(I76+I111)*'Emission factors Trucks&amp;Trains'!#REF!*(2-$AS$81)</f>
        <v>#REF!</v>
      </c>
      <c r="J133" s="8" t="e">
        <f>(J76+J111)*'Emission factors Trucks&amp;Trains'!#REF!*(2-$AS$81)</f>
        <v>#REF!</v>
      </c>
      <c r="K133" s="8" t="e">
        <f>(K76+K111)*'Emission factors Trucks&amp;Trains'!#REF!*(2-$AS$81)</f>
        <v>#REF!</v>
      </c>
      <c r="L133" s="8" t="e">
        <f>(L76+L111)*'Emission factors Trucks&amp;Trains'!#REF!*(2-$AS$81)</f>
        <v>#REF!</v>
      </c>
      <c r="M133" s="8" t="e">
        <f>(M76+M111)*'Emission factors Trucks&amp;Trains'!#REF!*(2-$AS$81)</f>
        <v>#REF!</v>
      </c>
      <c r="N133" s="8" t="e">
        <f>(N76+N111)*'Emission factors Trucks&amp;Trains'!#REF!*(2-$AS$81)</f>
        <v>#REF!</v>
      </c>
      <c r="O133" s="8" t="e">
        <f>(O76+O111)*'Emission factors Trucks&amp;Trains'!#REF!*(2-$AS$81)</f>
        <v>#REF!</v>
      </c>
      <c r="P133" s="8" t="e">
        <f>(P76+P111)*'Emission factors Trucks&amp;Trains'!#REF!*(2-$AS$81)</f>
        <v>#REF!</v>
      </c>
      <c r="Q133" s="8" t="e">
        <f>(Q76+Q111)*'Emission factors Trucks&amp;Trains'!#REF!*(2-$AS$81)</f>
        <v>#REF!</v>
      </c>
      <c r="R133" s="8" t="e">
        <f>(R76+R111)*'Emission factors Trucks&amp;Trains'!#REF!*(2-$AS$81)</f>
        <v>#REF!</v>
      </c>
      <c r="S133" s="8" t="e">
        <f>(S76+S111)*'Emission factors Trucks&amp;Trains'!#REF!*(2-$AS$81)</f>
        <v>#REF!</v>
      </c>
      <c r="T133" s="8" t="e">
        <f>(T76+T111)*'Emission factors Trucks&amp;Trains'!#REF!*(2-$AS$81)</f>
        <v>#REF!</v>
      </c>
      <c r="U133" s="8" t="e">
        <f>(U76+U111)*'Emission factors Trucks&amp;Trains'!#REF!*(2-$AS$81)</f>
        <v>#REF!</v>
      </c>
      <c r="V133" s="8" t="e">
        <f>(V76+V111)*'Emission factors Trucks&amp;Trains'!#REF!*(2-$AS$81)</f>
        <v>#REF!</v>
      </c>
      <c r="W133" s="8" t="e">
        <f>(W76+W111)*'Emission factors Trucks&amp;Trains'!#REF!*(2-$AS$81)</f>
        <v>#REF!</v>
      </c>
      <c r="X133" s="8" t="e">
        <f>(X76+X111)*'Emission factors Trucks&amp;Trains'!#REF!*(2-$AS$81)</f>
        <v>#REF!</v>
      </c>
      <c r="Y133" s="8" t="e">
        <f>(Y76+Y111)*'Emission factors Trucks&amp;Trains'!#REF!*(2-$AS$81)</f>
        <v>#REF!</v>
      </c>
      <c r="Z133" s="8" t="e">
        <f>(Z76+Z111)*'Emission factors Trucks&amp;Trains'!#REF!*(2-$AS$81)</f>
        <v>#REF!</v>
      </c>
      <c r="AA133" s="8" t="e">
        <f>(AA76+AA111)*'Emission factors Trucks&amp;Trains'!#REF!*(2-$AS$81)</f>
        <v>#REF!</v>
      </c>
      <c r="AB133" s="8" t="e">
        <f>(AB76+AB111)*'Emission factors Trucks&amp;Trains'!#REF!*(2-$AS$81)</f>
        <v>#REF!</v>
      </c>
      <c r="AF133" s="464"/>
      <c r="AG133" s="136" t="s">
        <v>343</v>
      </c>
      <c r="AH133" s="6" t="s">
        <v>344</v>
      </c>
      <c r="AI133" s="21" t="e">
        <f>#REF!*'Emission factors Trucks&amp;Trains'!#REF!*(2-$AS$81)</f>
        <v>#REF!</v>
      </c>
      <c r="AJ133" s="8" t="e">
        <f>#REF!*'Emission factors Trucks&amp;Trains'!#REF!*(2-$AS$81)</f>
        <v>#REF!</v>
      </c>
      <c r="AK133" s="8" t="e">
        <f>#REF!*'Emission factors Trucks&amp;Trains'!#REF!*(2-$AS$81)</f>
        <v>#REF!</v>
      </c>
      <c r="AL133" s="8" t="e">
        <f>#REF!*'Emission factors Trucks&amp;Trains'!#REF!*(2-$AS$81)</f>
        <v>#REF!</v>
      </c>
      <c r="AM133" s="8" t="e">
        <f>#REF!*'Emission factors Trucks&amp;Trains'!#REF!*(2-$AS$81)</f>
        <v>#REF!</v>
      </c>
      <c r="AN133" s="8" t="e">
        <f>#REF!*'Emission factors Trucks&amp;Trains'!#REF!*(2-$AS$81)</f>
        <v>#REF!</v>
      </c>
      <c r="AO133" s="8" t="e">
        <f>#REF!*'Emission factors Trucks&amp;Trains'!#REF!*(2-$AS$81)</f>
        <v>#REF!</v>
      </c>
      <c r="AP133" s="8" t="e">
        <f>#REF!*'Emission factors Trucks&amp;Trains'!#REF!*(2-$AS$81)</f>
        <v>#REF!</v>
      </c>
      <c r="AQ133" s="8" t="e">
        <f>#REF!*'Emission factors Trucks&amp;Trains'!#REF!*(2-$AS$81)</f>
        <v>#REF!</v>
      </c>
      <c r="AR133" s="8" t="e">
        <f>#REF!*'Emission factors Trucks&amp;Trains'!#REF!*(2-$AS$81)</f>
        <v>#REF!</v>
      </c>
      <c r="AS133" s="8" t="e">
        <f>#REF!*'Emission factors Trucks&amp;Trains'!#REF!*(2-$AS$81)</f>
        <v>#REF!</v>
      </c>
      <c r="AT133" s="8" t="e">
        <f>#REF!*'Emission factors Trucks&amp;Trains'!#REF!*(2-$AS$81)</f>
        <v>#REF!</v>
      </c>
      <c r="AU133" s="8" t="e">
        <f>#REF!*'Emission factors Trucks&amp;Trains'!#REF!*(2-$AS$81)</f>
        <v>#REF!</v>
      </c>
      <c r="AV133" s="8" t="e">
        <f>#REF!*'Emission factors Trucks&amp;Trains'!#REF!*(2-$AS$81)</f>
        <v>#REF!</v>
      </c>
      <c r="AW133" s="8" t="e">
        <f>#REF!*'Emission factors Trucks&amp;Trains'!#REF!*(2-$AS$81)</f>
        <v>#REF!</v>
      </c>
      <c r="AX133" s="8" t="e">
        <f>#REF!*'Emission factors Trucks&amp;Trains'!#REF!*(2-$AS$81)</f>
        <v>#REF!</v>
      </c>
      <c r="AY133" s="8" t="e">
        <f>#REF!*'Emission factors Trucks&amp;Trains'!#REF!*(2-$AS$81)</f>
        <v>#REF!</v>
      </c>
      <c r="AZ133" s="8" t="e">
        <f>#REF!*'Emission factors Trucks&amp;Trains'!#REF!*(2-$AS$81)</f>
        <v>#REF!</v>
      </c>
      <c r="BA133" s="8" t="e">
        <f>#REF!*'Emission factors Trucks&amp;Trains'!#REF!*(2-$AS$81)</f>
        <v>#REF!</v>
      </c>
      <c r="BB133" s="8" t="e">
        <f>#REF!*'Emission factors Trucks&amp;Trains'!#REF!*(2-$AS$81)</f>
        <v>#REF!</v>
      </c>
      <c r="BC133" s="8" t="e">
        <f>#REF!*'Emission factors Trucks&amp;Trains'!#REF!*(2-$AS$81)</f>
        <v>#REF!</v>
      </c>
      <c r="BD133" s="8" t="e">
        <f>#REF!*'Emission factors Trucks&amp;Trains'!#REF!*(2-$AS$81)</f>
        <v>#REF!</v>
      </c>
      <c r="BE133" s="8" t="e">
        <f>#REF!*'Emission factors Trucks&amp;Trains'!#REF!*(2-$AS$81)</f>
        <v>#REF!</v>
      </c>
      <c r="BF133" s="8" t="e">
        <f>#REF!*'Emission factors Trucks&amp;Trains'!#REF!*(2-$AS$81)</f>
        <v>#REF!</v>
      </c>
      <c r="BG133" s="9" t="e">
        <f>#REF!*'Emission factors Trucks&amp;Trains'!#REF!*(2-$AS$81)</f>
        <v>#REF!</v>
      </c>
    </row>
    <row r="134" spans="1:59" ht="15" customHeight="1">
      <c r="A134" s="500"/>
      <c r="B134" s="136" t="s">
        <v>345</v>
      </c>
      <c r="C134" s="112" t="s">
        <v>344</v>
      </c>
      <c r="D134" s="8" t="e">
        <f>(D76+D111)*'Emission factors Trucks&amp;Trains'!#REF!*(2-$AS$81)</f>
        <v>#REF!</v>
      </c>
      <c r="E134" s="8" t="e">
        <f>(E76+E111)*'Emission factors Trucks&amp;Trains'!#REF!*(2-$AS$81)</f>
        <v>#REF!</v>
      </c>
      <c r="F134" s="8" t="e">
        <f>(F76+F111)*'Emission factors Trucks&amp;Trains'!#REF!*(2-$AS$81)</f>
        <v>#REF!</v>
      </c>
      <c r="G134" s="8" t="e">
        <f>(G76+G111)*'Emission factors Trucks&amp;Trains'!#REF!*(2-$AS$81)</f>
        <v>#REF!</v>
      </c>
      <c r="H134" s="8" t="e">
        <f>(H76+H111)*'Emission factors Trucks&amp;Trains'!#REF!*(2-$AS$81)</f>
        <v>#REF!</v>
      </c>
      <c r="I134" s="8" t="e">
        <f>(I76+I111)*'Emission factors Trucks&amp;Trains'!#REF!*(2-$AS$81)</f>
        <v>#REF!</v>
      </c>
      <c r="J134" s="8" t="e">
        <f>(J76+J111)*'Emission factors Trucks&amp;Trains'!#REF!*(2-$AS$81)</f>
        <v>#REF!</v>
      </c>
      <c r="K134" s="8" t="e">
        <f>(K76+K111)*'Emission factors Trucks&amp;Trains'!#REF!*(2-$AS$81)</f>
        <v>#REF!</v>
      </c>
      <c r="L134" s="8" t="e">
        <f>(L76+L111)*'Emission factors Trucks&amp;Trains'!#REF!*(2-$AS$81)</f>
        <v>#REF!</v>
      </c>
      <c r="M134" s="8" t="e">
        <f>(M76+M111)*'Emission factors Trucks&amp;Trains'!#REF!*(2-$AS$81)</f>
        <v>#REF!</v>
      </c>
      <c r="N134" s="8" t="e">
        <f>(N76+N111)*'Emission factors Trucks&amp;Trains'!#REF!*(2-$AS$81)</f>
        <v>#REF!</v>
      </c>
      <c r="O134" s="8" t="e">
        <f>(O76+O111)*'Emission factors Trucks&amp;Trains'!#REF!*(2-$AS$81)</f>
        <v>#REF!</v>
      </c>
      <c r="P134" s="8" t="e">
        <f>(P76+P111)*'Emission factors Trucks&amp;Trains'!#REF!*(2-$AS$81)</f>
        <v>#REF!</v>
      </c>
      <c r="Q134" s="8" t="e">
        <f>(Q76+Q111)*'Emission factors Trucks&amp;Trains'!#REF!*(2-$AS$81)</f>
        <v>#REF!</v>
      </c>
      <c r="R134" s="8" t="e">
        <f>(R76+R111)*'Emission factors Trucks&amp;Trains'!#REF!*(2-$AS$81)</f>
        <v>#REF!</v>
      </c>
      <c r="S134" s="8" t="e">
        <f>(S76+S111)*'Emission factors Trucks&amp;Trains'!#REF!*(2-$AS$81)</f>
        <v>#REF!</v>
      </c>
      <c r="T134" s="8" t="e">
        <f>(T76+T111)*'Emission factors Trucks&amp;Trains'!#REF!*(2-$AS$81)</f>
        <v>#REF!</v>
      </c>
      <c r="U134" s="8" t="e">
        <f>(U76+U111)*'Emission factors Trucks&amp;Trains'!#REF!*(2-$AS$81)</f>
        <v>#REF!</v>
      </c>
      <c r="V134" s="8" t="e">
        <f>(V76+V111)*'Emission factors Trucks&amp;Trains'!#REF!*(2-$AS$81)</f>
        <v>#REF!</v>
      </c>
      <c r="W134" s="8" t="e">
        <f>(W76+W111)*'Emission factors Trucks&amp;Trains'!#REF!*(2-$AS$81)</f>
        <v>#REF!</v>
      </c>
      <c r="X134" s="8" t="e">
        <f>(X76+X111)*'Emission factors Trucks&amp;Trains'!#REF!*(2-$AS$81)</f>
        <v>#REF!</v>
      </c>
      <c r="Y134" s="8" t="e">
        <f>(Y76+Y111)*'Emission factors Trucks&amp;Trains'!#REF!*(2-$AS$81)</f>
        <v>#REF!</v>
      </c>
      <c r="Z134" s="8" t="e">
        <f>(Z76+Z111)*'Emission factors Trucks&amp;Trains'!#REF!*(2-$AS$81)</f>
        <v>#REF!</v>
      </c>
      <c r="AA134" s="8" t="e">
        <f>(AA76+AA111)*'Emission factors Trucks&amp;Trains'!#REF!*(2-$AS$81)</f>
        <v>#REF!</v>
      </c>
      <c r="AB134" s="8" t="e">
        <f>(AB76+AB111)*'Emission factors Trucks&amp;Trains'!#REF!*(2-$AS$81)</f>
        <v>#REF!</v>
      </c>
      <c r="AF134" s="464"/>
      <c r="AG134" s="136" t="s">
        <v>345</v>
      </c>
      <c r="AH134" s="6" t="s">
        <v>344</v>
      </c>
      <c r="AI134" s="21" t="e">
        <f>#REF!*'Emission factors Trucks&amp;Trains'!#REF!*(2-$AS$81)</f>
        <v>#REF!</v>
      </c>
      <c r="AJ134" s="8" t="e">
        <f>#REF!*'Emission factors Trucks&amp;Trains'!#REF!*(2-$AS$81)</f>
        <v>#REF!</v>
      </c>
      <c r="AK134" s="8" t="e">
        <f>#REF!*'Emission factors Trucks&amp;Trains'!#REF!*(2-$AS$81)</f>
        <v>#REF!</v>
      </c>
      <c r="AL134" s="8" t="e">
        <f>#REF!*'Emission factors Trucks&amp;Trains'!#REF!*(2-$AS$81)</f>
        <v>#REF!</v>
      </c>
      <c r="AM134" s="8" t="e">
        <f>#REF!*'Emission factors Trucks&amp;Trains'!#REF!*(2-$AS$81)</f>
        <v>#REF!</v>
      </c>
      <c r="AN134" s="8" t="e">
        <f>#REF!*'Emission factors Trucks&amp;Trains'!#REF!*(2-$AS$81)</f>
        <v>#REF!</v>
      </c>
      <c r="AO134" s="8" t="e">
        <f>#REF!*'Emission factors Trucks&amp;Trains'!#REF!*(2-$AS$81)</f>
        <v>#REF!</v>
      </c>
      <c r="AP134" s="8" t="e">
        <f>#REF!*'Emission factors Trucks&amp;Trains'!#REF!*(2-$AS$81)</f>
        <v>#REF!</v>
      </c>
      <c r="AQ134" s="8" t="e">
        <f>#REF!*'Emission factors Trucks&amp;Trains'!#REF!*(2-$AS$81)</f>
        <v>#REF!</v>
      </c>
      <c r="AR134" s="8" t="e">
        <f>#REF!*'Emission factors Trucks&amp;Trains'!#REF!*(2-$AS$81)</f>
        <v>#REF!</v>
      </c>
      <c r="AS134" s="8" t="e">
        <f>#REF!*'Emission factors Trucks&amp;Trains'!#REF!*(2-$AS$81)</f>
        <v>#REF!</v>
      </c>
      <c r="AT134" s="8" t="e">
        <f>#REF!*'Emission factors Trucks&amp;Trains'!#REF!*(2-$AS$81)</f>
        <v>#REF!</v>
      </c>
      <c r="AU134" s="8" t="e">
        <f>#REF!*'Emission factors Trucks&amp;Trains'!#REF!*(2-$AS$81)</f>
        <v>#REF!</v>
      </c>
      <c r="AV134" s="8" t="e">
        <f>#REF!*'Emission factors Trucks&amp;Trains'!#REF!*(2-$AS$81)</f>
        <v>#REF!</v>
      </c>
      <c r="AW134" s="8" t="e">
        <f>#REF!*'Emission factors Trucks&amp;Trains'!#REF!*(2-$AS$81)</f>
        <v>#REF!</v>
      </c>
      <c r="AX134" s="8" t="e">
        <f>#REF!*'Emission factors Trucks&amp;Trains'!#REF!*(2-$AS$81)</f>
        <v>#REF!</v>
      </c>
      <c r="AY134" s="8" t="e">
        <f>#REF!*'Emission factors Trucks&amp;Trains'!#REF!*(2-$AS$81)</f>
        <v>#REF!</v>
      </c>
      <c r="AZ134" s="8" t="e">
        <f>#REF!*'Emission factors Trucks&amp;Trains'!#REF!*(2-$AS$81)</f>
        <v>#REF!</v>
      </c>
      <c r="BA134" s="8" t="e">
        <f>#REF!*'Emission factors Trucks&amp;Trains'!#REF!*(2-$AS$81)</f>
        <v>#REF!</v>
      </c>
      <c r="BB134" s="8" t="e">
        <f>#REF!*'Emission factors Trucks&amp;Trains'!#REF!*(2-$AS$81)</f>
        <v>#REF!</v>
      </c>
      <c r="BC134" s="8" t="e">
        <f>#REF!*'Emission factors Trucks&amp;Trains'!#REF!*(2-$AS$81)</f>
        <v>#REF!</v>
      </c>
      <c r="BD134" s="8" t="e">
        <f>#REF!*'Emission factors Trucks&amp;Trains'!#REF!*(2-$AS$81)</f>
        <v>#REF!</v>
      </c>
      <c r="BE134" s="8" t="e">
        <f>#REF!*'Emission factors Trucks&amp;Trains'!#REF!*(2-$AS$81)</f>
        <v>#REF!</v>
      </c>
      <c r="BF134" s="8" t="e">
        <f>#REF!*'Emission factors Trucks&amp;Trains'!#REF!*(2-$AS$81)</f>
        <v>#REF!</v>
      </c>
      <c r="BG134" s="9" t="e">
        <f>#REF!*'Emission factors Trucks&amp;Trains'!#REF!*(2-$AS$81)</f>
        <v>#REF!</v>
      </c>
    </row>
    <row r="135" spans="1:59" ht="15" customHeight="1">
      <c r="A135" s="500"/>
      <c r="B135" s="136" t="s">
        <v>346</v>
      </c>
      <c r="C135" s="112" t="s">
        <v>344</v>
      </c>
      <c r="D135" s="8" t="e">
        <f>(D76+D111)*'Emission factors Trucks&amp;Trains'!#REF!*(2-$AS$81)</f>
        <v>#REF!</v>
      </c>
      <c r="E135" s="8" t="e">
        <f>(E76+E111)*'Emission factors Trucks&amp;Trains'!#REF!*(2-$AS$81)</f>
        <v>#REF!</v>
      </c>
      <c r="F135" s="8" t="e">
        <f>(F76+F111)*'Emission factors Trucks&amp;Trains'!#REF!*(2-$AS$81)</f>
        <v>#REF!</v>
      </c>
      <c r="G135" s="8" t="e">
        <f>(G76+G111)*'Emission factors Trucks&amp;Trains'!#REF!*(2-$AS$81)</f>
        <v>#REF!</v>
      </c>
      <c r="H135" s="8" t="e">
        <f>(H76+H111)*'Emission factors Trucks&amp;Trains'!#REF!*(2-$AS$81)</f>
        <v>#REF!</v>
      </c>
      <c r="I135" s="8" t="e">
        <f>(I76+I111)*'Emission factors Trucks&amp;Trains'!#REF!*(2-$AS$81)</f>
        <v>#REF!</v>
      </c>
      <c r="J135" s="8" t="e">
        <f>(J76+J111)*'Emission factors Trucks&amp;Trains'!#REF!*(2-$AS$81)</f>
        <v>#REF!</v>
      </c>
      <c r="K135" s="8" t="e">
        <f>(K76+K111)*'Emission factors Trucks&amp;Trains'!#REF!*(2-$AS$81)</f>
        <v>#REF!</v>
      </c>
      <c r="L135" s="8" t="e">
        <f>(L76+L111)*'Emission factors Trucks&amp;Trains'!#REF!*(2-$AS$81)</f>
        <v>#REF!</v>
      </c>
      <c r="M135" s="8" t="e">
        <f>(M76+M111)*'Emission factors Trucks&amp;Trains'!#REF!*(2-$AS$81)</f>
        <v>#REF!</v>
      </c>
      <c r="N135" s="8" t="e">
        <f>(N76+N111)*'Emission factors Trucks&amp;Trains'!#REF!*(2-$AS$81)</f>
        <v>#REF!</v>
      </c>
      <c r="O135" s="8" t="e">
        <f>(O76+O111)*'Emission factors Trucks&amp;Trains'!#REF!*(2-$AS$81)</f>
        <v>#REF!</v>
      </c>
      <c r="P135" s="8" t="e">
        <f>(P76+P111)*'Emission factors Trucks&amp;Trains'!#REF!*(2-$AS$81)</f>
        <v>#REF!</v>
      </c>
      <c r="Q135" s="8" t="e">
        <f>(Q76+Q111)*'Emission factors Trucks&amp;Trains'!#REF!*(2-$AS$81)</f>
        <v>#REF!</v>
      </c>
      <c r="R135" s="8" t="e">
        <f>(R76+R111)*'Emission factors Trucks&amp;Trains'!#REF!*(2-$AS$81)</f>
        <v>#REF!</v>
      </c>
      <c r="S135" s="8" t="e">
        <f>(S76+S111)*'Emission factors Trucks&amp;Trains'!#REF!*(2-$AS$81)</f>
        <v>#REF!</v>
      </c>
      <c r="T135" s="8" t="e">
        <f>(T76+T111)*'Emission factors Trucks&amp;Trains'!#REF!*(2-$AS$81)</f>
        <v>#REF!</v>
      </c>
      <c r="U135" s="8" t="e">
        <f>(U76+U111)*'Emission factors Trucks&amp;Trains'!#REF!*(2-$AS$81)</f>
        <v>#REF!</v>
      </c>
      <c r="V135" s="8" t="e">
        <f>(V76+V111)*'Emission factors Trucks&amp;Trains'!#REF!*(2-$AS$81)</f>
        <v>#REF!</v>
      </c>
      <c r="W135" s="8" t="e">
        <f>(W76+W111)*'Emission factors Trucks&amp;Trains'!#REF!*(2-$AS$81)</f>
        <v>#REF!</v>
      </c>
      <c r="X135" s="8" t="e">
        <f>(X76+X111)*'Emission factors Trucks&amp;Trains'!#REF!*(2-$AS$81)</f>
        <v>#REF!</v>
      </c>
      <c r="Y135" s="8" t="e">
        <f>(Y76+Y111)*'Emission factors Trucks&amp;Trains'!#REF!*(2-$AS$81)</f>
        <v>#REF!</v>
      </c>
      <c r="Z135" s="8" t="e">
        <f>(Z76+Z111)*'Emission factors Trucks&amp;Trains'!#REF!*(2-$AS$81)</f>
        <v>#REF!</v>
      </c>
      <c r="AA135" s="8" t="e">
        <f>(AA76+AA111)*'Emission factors Trucks&amp;Trains'!#REF!*(2-$AS$81)</f>
        <v>#REF!</v>
      </c>
      <c r="AB135" s="8" t="e">
        <f>(AB76+AB111)*'Emission factors Trucks&amp;Trains'!#REF!*(2-$AS$81)</f>
        <v>#REF!</v>
      </c>
      <c r="AF135" s="464"/>
      <c r="AG135" s="136" t="s">
        <v>346</v>
      </c>
      <c r="AH135" s="6" t="s">
        <v>344</v>
      </c>
      <c r="AI135" s="21" t="e">
        <f>#REF!*'Emission factors Trucks&amp;Trains'!#REF!*(2-$AS$81)</f>
        <v>#REF!</v>
      </c>
      <c r="AJ135" s="8" t="e">
        <f>#REF!*'Emission factors Trucks&amp;Trains'!#REF!*(2-$AS$81)</f>
        <v>#REF!</v>
      </c>
      <c r="AK135" s="8" t="e">
        <f>#REF!*'Emission factors Trucks&amp;Trains'!#REF!*(2-$AS$81)</f>
        <v>#REF!</v>
      </c>
      <c r="AL135" s="8" t="e">
        <f>#REF!*'Emission factors Trucks&amp;Trains'!#REF!*(2-$AS$81)</f>
        <v>#REF!</v>
      </c>
      <c r="AM135" s="8" t="e">
        <f>#REF!*'Emission factors Trucks&amp;Trains'!#REF!*(2-$AS$81)</f>
        <v>#REF!</v>
      </c>
      <c r="AN135" s="8" t="e">
        <f>#REF!*'Emission factors Trucks&amp;Trains'!#REF!*(2-$AS$81)</f>
        <v>#REF!</v>
      </c>
      <c r="AO135" s="8" t="e">
        <f>#REF!*'Emission factors Trucks&amp;Trains'!#REF!*(2-$AS$81)</f>
        <v>#REF!</v>
      </c>
      <c r="AP135" s="8" t="e">
        <f>#REF!*'Emission factors Trucks&amp;Trains'!#REF!*(2-$AS$81)</f>
        <v>#REF!</v>
      </c>
      <c r="AQ135" s="8" t="e">
        <f>#REF!*'Emission factors Trucks&amp;Trains'!#REF!*(2-$AS$81)</f>
        <v>#REF!</v>
      </c>
      <c r="AR135" s="8" t="e">
        <f>#REF!*'Emission factors Trucks&amp;Trains'!#REF!*(2-$AS$81)</f>
        <v>#REF!</v>
      </c>
      <c r="AS135" s="8" t="e">
        <f>#REF!*'Emission factors Trucks&amp;Trains'!#REF!*(2-$AS$81)</f>
        <v>#REF!</v>
      </c>
      <c r="AT135" s="8" t="e">
        <f>#REF!*'Emission factors Trucks&amp;Trains'!#REF!*(2-$AS$81)</f>
        <v>#REF!</v>
      </c>
      <c r="AU135" s="8" t="e">
        <f>#REF!*'Emission factors Trucks&amp;Trains'!#REF!*(2-$AS$81)</f>
        <v>#REF!</v>
      </c>
      <c r="AV135" s="8" t="e">
        <f>#REF!*'Emission factors Trucks&amp;Trains'!#REF!*(2-$AS$81)</f>
        <v>#REF!</v>
      </c>
      <c r="AW135" s="8" t="e">
        <f>#REF!*'Emission factors Trucks&amp;Trains'!#REF!*(2-$AS$81)</f>
        <v>#REF!</v>
      </c>
      <c r="AX135" s="8" t="e">
        <f>#REF!*'Emission factors Trucks&amp;Trains'!#REF!*(2-$AS$81)</f>
        <v>#REF!</v>
      </c>
      <c r="AY135" s="8" t="e">
        <f>#REF!*'Emission factors Trucks&amp;Trains'!#REF!*(2-$AS$81)</f>
        <v>#REF!</v>
      </c>
      <c r="AZ135" s="8" t="e">
        <f>#REF!*'Emission factors Trucks&amp;Trains'!#REF!*(2-$AS$81)</f>
        <v>#REF!</v>
      </c>
      <c r="BA135" s="8" t="e">
        <f>#REF!*'Emission factors Trucks&amp;Trains'!#REF!*(2-$AS$81)</f>
        <v>#REF!</v>
      </c>
      <c r="BB135" s="8" t="e">
        <f>#REF!*'Emission factors Trucks&amp;Trains'!#REF!*(2-$AS$81)</f>
        <v>#REF!</v>
      </c>
      <c r="BC135" s="8" t="e">
        <f>#REF!*'Emission factors Trucks&amp;Trains'!#REF!*(2-$AS$81)</f>
        <v>#REF!</v>
      </c>
      <c r="BD135" s="8" t="e">
        <f>#REF!*'Emission factors Trucks&amp;Trains'!#REF!*(2-$AS$81)</f>
        <v>#REF!</v>
      </c>
      <c r="BE135" s="8" t="e">
        <f>#REF!*'Emission factors Trucks&amp;Trains'!#REF!*(2-$AS$81)</f>
        <v>#REF!</v>
      </c>
      <c r="BF135" s="8" t="e">
        <f>#REF!*'Emission factors Trucks&amp;Trains'!#REF!*(2-$AS$81)</f>
        <v>#REF!</v>
      </c>
      <c r="BG135" s="9" t="e">
        <f>#REF!*'Emission factors Trucks&amp;Trains'!#REF!*(2-$AS$81)</f>
        <v>#REF!</v>
      </c>
    </row>
    <row r="136" spans="1:59" ht="15" customHeight="1">
      <c r="A136" s="500"/>
      <c r="B136" s="136" t="s">
        <v>278</v>
      </c>
      <c r="C136" s="112" t="s">
        <v>344</v>
      </c>
      <c r="D136" s="8">
        <f>(D76+D111)*'Emission factors Trucks&amp;Trains'!B5*(2-$AS$81)</f>
        <v>0</v>
      </c>
      <c r="E136" s="8">
        <f>(E76+E111)*'Emission factors Trucks&amp;Trains'!C5*(2-$AS$81)</f>
        <v>0</v>
      </c>
      <c r="F136" s="8">
        <f>(F76+F111)*'Emission factors Trucks&amp;Trains'!D5*(2-$AS$81)</f>
        <v>0</v>
      </c>
      <c r="G136" s="8">
        <f>(G76+G111)*'Emission factors Trucks&amp;Trains'!E5*(2-$AS$81)</f>
        <v>0</v>
      </c>
      <c r="H136" s="8">
        <f>(H76+H111)*'Emission factors Trucks&amp;Trains'!F5*(2-$AS$81)</f>
        <v>0</v>
      </c>
      <c r="I136" s="8">
        <f>(I76+I111)*'Emission factors Trucks&amp;Trains'!G5*(2-$AS$81)</f>
        <v>0</v>
      </c>
      <c r="J136" s="8">
        <f>(J76+J111)*'Emission factors Trucks&amp;Trains'!H5*(2-$AS$81)</f>
        <v>0</v>
      </c>
      <c r="K136" s="8">
        <f>(K76+K111)*'Emission factors Trucks&amp;Trains'!I5*(2-$AS$81)</f>
        <v>0</v>
      </c>
      <c r="L136" s="8">
        <f>(L76+L111)*'Emission factors Trucks&amp;Trains'!J5*(2-$AS$81)</f>
        <v>0</v>
      </c>
      <c r="M136" s="8">
        <f>(M76+M111)*'Emission factors Trucks&amp;Trains'!K5*(2-$AS$81)</f>
        <v>0</v>
      </c>
      <c r="N136" s="8">
        <f>(N76+N111)*'Emission factors Trucks&amp;Trains'!L5*(2-$AS$81)</f>
        <v>0</v>
      </c>
      <c r="O136" s="8">
        <f>(O76+O111)*'Emission factors Trucks&amp;Trains'!M5*(2-$AS$81)</f>
        <v>0</v>
      </c>
      <c r="P136" s="8">
        <f>(P76+P111)*'Emission factors Trucks&amp;Trains'!N5*(2-$AS$81)</f>
        <v>0</v>
      </c>
      <c r="Q136" s="8">
        <f>(Q76+Q111)*'Emission factors Trucks&amp;Trains'!O5*(2-$AS$81)</f>
        <v>0</v>
      </c>
      <c r="R136" s="8">
        <f>(R76+R111)*'Emission factors Trucks&amp;Trains'!P5*(2-$AS$81)</f>
        <v>0</v>
      </c>
      <c r="S136" s="8">
        <f>(S76+S111)*'Emission factors Trucks&amp;Trains'!Q5*(2-$AS$81)</f>
        <v>0</v>
      </c>
      <c r="T136" s="8">
        <f>(T76+T111)*'Emission factors Trucks&amp;Trains'!R5*(2-$AS$81)</f>
        <v>0</v>
      </c>
      <c r="U136" s="8">
        <f>(U76+U111)*'Emission factors Trucks&amp;Trains'!S5*(2-$AS$81)</f>
        <v>0</v>
      </c>
      <c r="V136" s="8">
        <f>(V76+V111)*'Emission factors Trucks&amp;Trains'!T5*(2-$AS$81)</f>
        <v>0</v>
      </c>
      <c r="W136" s="8">
        <f>(W76+W111)*'Emission factors Trucks&amp;Trains'!U5*(2-$AS$81)</f>
        <v>0</v>
      </c>
      <c r="X136" s="8">
        <f>(X76+X111)*'Emission factors Trucks&amp;Trains'!V5*(2-$AS$81)</f>
        <v>0</v>
      </c>
      <c r="Y136" s="8">
        <f>(Y76+Y111)*'Emission factors Trucks&amp;Trains'!W5*(2-$AS$81)</f>
        <v>0</v>
      </c>
      <c r="Z136" s="8">
        <f>(Z76+Z111)*'Emission factors Trucks&amp;Trains'!X5*(2-$AS$81)</f>
        <v>0</v>
      </c>
      <c r="AA136" s="8">
        <f>(AA76+AA111)*'Emission factors Trucks&amp;Trains'!Y5*(2-$AS$81)</f>
        <v>0</v>
      </c>
      <c r="AB136" s="8">
        <f>(AB76+AB111)*'Emission factors Trucks&amp;Trains'!Z5*(2-$AS$81)</f>
        <v>0</v>
      </c>
      <c r="AF136" s="464"/>
      <c r="AG136" s="136" t="s">
        <v>278</v>
      </c>
      <c r="AH136" s="6" t="s">
        <v>344</v>
      </c>
      <c r="AI136" s="21">
        <f>AI108*'Emission factors Trucks&amp;Trains'!B5*(2-$AS$81)</f>
        <v>0</v>
      </c>
      <c r="AJ136" s="21">
        <f>AJ108*'Emission factors Trucks&amp;Trains'!C5*(2-$AS$81)</f>
        <v>0</v>
      </c>
      <c r="AK136" s="21">
        <f>AK108*'Emission factors Trucks&amp;Trains'!D5*(2-$AS$81)</f>
        <v>0</v>
      </c>
      <c r="AL136" s="21">
        <f>AL108*'Emission factors Trucks&amp;Trains'!E5*(2-$AS$81)</f>
        <v>0</v>
      </c>
      <c r="AM136" s="21">
        <f>AM108*'Emission factors Trucks&amp;Trains'!F5*(2-$AS$81)</f>
        <v>0</v>
      </c>
      <c r="AN136" s="21">
        <f>AN108*'Emission factors Trucks&amp;Trains'!G5*(2-$AS$81)</f>
        <v>0</v>
      </c>
      <c r="AO136" s="21">
        <f>AO108*'Emission factors Trucks&amp;Trains'!H5*(2-$AS$81)</f>
        <v>0</v>
      </c>
      <c r="AP136" s="21">
        <f>AP108*'Emission factors Trucks&amp;Trains'!I5*(2-$AS$81)</f>
        <v>0</v>
      </c>
      <c r="AQ136" s="21">
        <f>AQ108*'Emission factors Trucks&amp;Trains'!J5*(2-$AS$81)</f>
        <v>0</v>
      </c>
      <c r="AR136" s="21">
        <f>AR108*'Emission factors Trucks&amp;Trains'!K5*(2-$AS$81)</f>
        <v>0</v>
      </c>
      <c r="AS136" s="21">
        <f>AS108*'Emission factors Trucks&amp;Trains'!L5*(2-$AS$81)</f>
        <v>0</v>
      </c>
      <c r="AT136" s="21">
        <f>AT108*'Emission factors Trucks&amp;Trains'!M5*(2-$AS$81)</f>
        <v>0</v>
      </c>
      <c r="AU136" s="21">
        <f>AU108*'Emission factors Trucks&amp;Trains'!N5*(2-$AS$81)</f>
        <v>0</v>
      </c>
      <c r="AV136" s="21">
        <f>AV108*'Emission factors Trucks&amp;Trains'!O5*(2-$AS$81)</f>
        <v>0</v>
      </c>
      <c r="AW136" s="21">
        <f>AW108*'Emission factors Trucks&amp;Trains'!P5*(2-$AS$81)</f>
        <v>0</v>
      </c>
      <c r="AX136" s="21">
        <f>AX108*'Emission factors Trucks&amp;Trains'!Q5*(2-$AS$81)</f>
        <v>0</v>
      </c>
      <c r="AY136" s="21">
        <f>AY108*'Emission factors Trucks&amp;Trains'!R5*(2-$AS$81)</f>
        <v>0</v>
      </c>
      <c r="AZ136" s="21">
        <f>AZ108*'Emission factors Trucks&amp;Trains'!S5*(2-$AS$81)</f>
        <v>0</v>
      </c>
      <c r="BA136" s="21">
        <f>BA108*'Emission factors Trucks&amp;Trains'!T5*(2-$AS$81)</f>
        <v>0</v>
      </c>
      <c r="BB136" s="21">
        <f>BB108*'Emission factors Trucks&amp;Trains'!U5*(2-$AS$81)</f>
        <v>0</v>
      </c>
      <c r="BC136" s="21">
        <f>BC108*'Emission factors Trucks&amp;Trains'!V5*(2-$AS$81)</f>
        <v>0</v>
      </c>
      <c r="BD136" s="21">
        <f>BD108*'Emission factors Trucks&amp;Trains'!W5*(2-$AS$81)</f>
        <v>0</v>
      </c>
      <c r="BE136" s="21">
        <f>BE108*'Emission factors Trucks&amp;Trains'!X5*(2-$AS$81)</f>
        <v>0</v>
      </c>
      <c r="BF136" s="21">
        <f>BF108*'Emission factors Trucks&amp;Trains'!Y5*(2-$AS$81)</f>
        <v>0</v>
      </c>
      <c r="BG136" s="21">
        <f>BG108*'Emission factors Trucks&amp;Trains'!Z5*(2-$AS$81)</f>
        <v>0</v>
      </c>
    </row>
    <row r="137" spans="1:59" ht="15" customHeight="1">
      <c r="A137" s="500"/>
      <c r="B137" s="136" t="s">
        <v>347</v>
      </c>
      <c r="C137" s="112" t="s">
        <v>344</v>
      </c>
      <c r="D137" s="8" t="e">
        <f>(D76+D111)*'Emission factors Trucks&amp;Trains'!#REF!*(2-$AS$81)</f>
        <v>#REF!</v>
      </c>
      <c r="E137" s="8" t="e">
        <f>(E76+E111)*'Emission factors Trucks&amp;Trains'!#REF!*(2-$AS$81)</f>
        <v>#REF!</v>
      </c>
      <c r="F137" s="8" t="e">
        <f>(F76+F111)*'Emission factors Trucks&amp;Trains'!#REF!*(2-$AS$81)</f>
        <v>#REF!</v>
      </c>
      <c r="G137" s="8" t="e">
        <f>(G76+G111)*'Emission factors Trucks&amp;Trains'!#REF!*(2-$AS$81)</f>
        <v>#REF!</v>
      </c>
      <c r="H137" s="8" t="e">
        <f>(H76+H111)*'Emission factors Trucks&amp;Trains'!#REF!*(2-$AS$81)</f>
        <v>#REF!</v>
      </c>
      <c r="I137" s="8" t="e">
        <f>(I76+I111)*'Emission factors Trucks&amp;Trains'!#REF!*(2-$AS$81)</f>
        <v>#REF!</v>
      </c>
      <c r="J137" s="8" t="e">
        <f>(J76+J111)*'Emission factors Trucks&amp;Trains'!#REF!*(2-$AS$81)</f>
        <v>#REF!</v>
      </c>
      <c r="K137" s="8" t="e">
        <f>(K76+K111)*'Emission factors Trucks&amp;Trains'!#REF!*(2-$AS$81)</f>
        <v>#REF!</v>
      </c>
      <c r="L137" s="8" t="e">
        <f>(L76+L111)*'Emission factors Trucks&amp;Trains'!#REF!*(2-$AS$81)</f>
        <v>#REF!</v>
      </c>
      <c r="M137" s="8" t="e">
        <f>(M76+M111)*'Emission factors Trucks&amp;Trains'!#REF!*(2-$AS$81)</f>
        <v>#REF!</v>
      </c>
      <c r="N137" s="8" t="e">
        <f>(N76+N111)*'Emission factors Trucks&amp;Trains'!#REF!*(2-$AS$81)</f>
        <v>#REF!</v>
      </c>
      <c r="O137" s="8" t="e">
        <f>(O76+O111)*'Emission factors Trucks&amp;Trains'!#REF!*(2-$AS$81)</f>
        <v>#REF!</v>
      </c>
      <c r="P137" s="8" t="e">
        <f>(P76+P111)*'Emission factors Trucks&amp;Trains'!#REF!*(2-$AS$81)</f>
        <v>#REF!</v>
      </c>
      <c r="Q137" s="8" t="e">
        <f>(Q76+Q111)*'Emission factors Trucks&amp;Trains'!#REF!*(2-$AS$81)</f>
        <v>#REF!</v>
      </c>
      <c r="R137" s="8" t="e">
        <f>(R76+R111)*'Emission factors Trucks&amp;Trains'!#REF!*(2-$AS$81)</f>
        <v>#REF!</v>
      </c>
      <c r="S137" s="8" t="e">
        <f>(S76+S111)*'Emission factors Trucks&amp;Trains'!#REF!*(2-$AS$81)</f>
        <v>#REF!</v>
      </c>
      <c r="T137" s="8" t="e">
        <f>(T76+T111)*'Emission factors Trucks&amp;Trains'!#REF!*(2-$AS$81)</f>
        <v>#REF!</v>
      </c>
      <c r="U137" s="8" t="e">
        <f>(U76+U111)*'Emission factors Trucks&amp;Trains'!#REF!*(2-$AS$81)</f>
        <v>#REF!</v>
      </c>
      <c r="V137" s="8" t="e">
        <f>(V76+V111)*'Emission factors Trucks&amp;Trains'!#REF!*(2-$AS$81)</f>
        <v>#REF!</v>
      </c>
      <c r="W137" s="8" t="e">
        <f>(W76+W111)*'Emission factors Trucks&amp;Trains'!#REF!*(2-$AS$81)</f>
        <v>#REF!</v>
      </c>
      <c r="X137" s="8" t="e">
        <f>(X76+X111)*'Emission factors Trucks&amp;Trains'!#REF!*(2-$AS$81)</f>
        <v>#REF!</v>
      </c>
      <c r="Y137" s="8" t="e">
        <f>(Y76+Y111)*'Emission factors Trucks&amp;Trains'!#REF!*(2-$AS$81)</f>
        <v>#REF!</v>
      </c>
      <c r="Z137" s="8" t="e">
        <f>(Z76+Z111)*'Emission factors Trucks&amp;Trains'!#REF!*(2-$AS$81)</f>
        <v>#REF!</v>
      </c>
      <c r="AA137" s="8" t="e">
        <f>(AA76+AA111)*'Emission factors Trucks&amp;Trains'!#REF!*(2-$AS$81)</f>
        <v>#REF!</v>
      </c>
      <c r="AB137" s="8" t="e">
        <f>(AB76+AB111)*'Emission factors Trucks&amp;Trains'!#REF!*(2-$AS$81)</f>
        <v>#REF!</v>
      </c>
      <c r="AF137" s="464"/>
      <c r="AG137" s="136" t="s">
        <v>347</v>
      </c>
      <c r="AH137" s="6" t="s">
        <v>344</v>
      </c>
      <c r="AI137" s="21" t="e">
        <f>#REF!*'Emission factors Trucks&amp;Trains'!#REF!*(2-$AS$81)</f>
        <v>#REF!</v>
      </c>
      <c r="AJ137" s="8" t="e">
        <f>#REF!*'Emission factors Trucks&amp;Trains'!#REF!*(2-$AS$81)</f>
        <v>#REF!</v>
      </c>
      <c r="AK137" s="8" t="e">
        <f>#REF!*'Emission factors Trucks&amp;Trains'!#REF!*(2-$AS$81)</f>
        <v>#REF!</v>
      </c>
      <c r="AL137" s="8" t="e">
        <f>#REF!*'Emission factors Trucks&amp;Trains'!#REF!*(2-$AS$81)</f>
        <v>#REF!</v>
      </c>
      <c r="AM137" s="8" t="e">
        <f>#REF!*'Emission factors Trucks&amp;Trains'!#REF!*(2-$AS$81)</f>
        <v>#REF!</v>
      </c>
      <c r="AN137" s="8" t="e">
        <f>#REF!*'Emission factors Trucks&amp;Trains'!#REF!*(2-$AS$81)</f>
        <v>#REF!</v>
      </c>
      <c r="AO137" s="8" t="e">
        <f>#REF!*'Emission factors Trucks&amp;Trains'!#REF!*(2-$AS$81)</f>
        <v>#REF!</v>
      </c>
      <c r="AP137" s="8" t="e">
        <f>#REF!*'Emission factors Trucks&amp;Trains'!#REF!*(2-$AS$81)</f>
        <v>#REF!</v>
      </c>
      <c r="AQ137" s="8" t="e">
        <f>#REF!*'Emission factors Trucks&amp;Trains'!#REF!*(2-$AS$81)</f>
        <v>#REF!</v>
      </c>
      <c r="AR137" s="8" t="e">
        <f>#REF!*'Emission factors Trucks&amp;Trains'!#REF!*(2-$AS$81)</f>
        <v>#REF!</v>
      </c>
      <c r="AS137" s="8" t="e">
        <f>#REF!*'Emission factors Trucks&amp;Trains'!#REF!*(2-$AS$81)</f>
        <v>#REF!</v>
      </c>
      <c r="AT137" s="8" t="e">
        <f>#REF!*'Emission factors Trucks&amp;Trains'!#REF!*(2-$AS$81)</f>
        <v>#REF!</v>
      </c>
      <c r="AU137" s="8" t="e">
        <f>#REF!*'Emission factors Trucks&amp;Trains'!#REF!*(2-$AS$81)</f>
        <v>#REF!</v>
      </c>
      <c r="AV137" s="8" t="e">
        <f>#REF!*'Emission factors Trucks&amp;Trains'!#REF!*(2-$AS$81)</f>
        <v>#REF!</v>
      </c>
      <c r="AW137" s="8" t="e">
        <f>#REF!*'Emission factors Trucks&amp;Trains'!#REF!*(2-$AS$81)</f>
        <v>#REF!</v>
      </c>
      <c r="AX137" s="8" t="e">
        <f>#REF!*'Emission factors Trucks&amp;Trains'!#REF!*(2-$AS$81)</f>
        <v>#REF!</v>
      </c>
      <c r="AY137" s="8" t="e">
        <f>#REF!*'Emission factors Trucks&amp;Trains'!#REF!*(2-$AS$81)</f>
        <v>#REF!</v>
      </c>
      <c r="AZ137" s="8" t="e">
        <f>#REF!*'Emission factors Trucks&amp;Trains'!#REF!*(2-$AS$81)</f>
        <v>#REF!</v>
      </c>
      <c r="BA137" s="8" t="e">
        <f>#REF!*'Emission factors Trucks&amp;Trains'!#REF!*(2-$AS$81)</f>
        <v>#REF!</v>
      </c>
      <c r="BB137" s="8" t="e">
        <f>#REF!*'Emission factors Trucks&amp;Trains'!#REF!*(2-$AS$81)</f>
        <v>#REF!</v>
      </c>
      <c r="BC137" s="8" t="e">
        <f>#REF!*'Emission factors Trucks&amp;Trains'!#REF!*(2-$AS$81)</f>
        <v>#REF!</v>
      </c>
      <c r="BD137" s="8" t="e">
        <f>#REF!*'Emission factors Trucks&amp;Trains'!#REF!*(2-$AS$81)</f>
        <v>#REF!</v>
      </c>
      <c r="BE137" s="8" t="e">
        <f>#REF!*'Emission factors Trucks&amp;Trains'!#REF!*(2-$AS$81)</f>
        <v>#REF!</v>
      </c>
      <c r="BF137" s="8" t="e">
        <f>#REF!*'Emission factors Trucks&amp;Trains'!#REF!*(2-$AS$81)</f>
        <v>#REF!</v>
      </c>
      <c r="BG137" s="9" t="e">
        <f>#REF!*'Emission factors Trucks&amp;Trains'!#REF!*(2-$AS$81)</f>
        <v>#REF!</v>
      </c>
    </row>
    <row r="138" spans="1:59" ht="15" customHeight="1">
      <c r="A138" s="500"/>
      <c r="B138" s="136" t="s">
        <v>348</v>
      </c>
      <c r="C138" s="112" t="s">
        <v>344</v>
      </c>
      <c r="D138" s="8" t="e">
        <f>(D76+D111)*'Emission factors Trucks&amp;Trains'!#REF!*(2-$AS$81)</f>
        <v>#REF!</v>
      </c>
      <c r="E138" s="8" t="e">
        <f>(E76+E111)*'Emission factors Trucks&amp;Trains'!#REF!*(2-$AS$81)</f>
        <v>#REF!</v>
      </c>
      <c r="F138" s="8" t="e">
        <f>(F76+F111)*'Emission factors Trucks&amp;Trains'!#REF!*(2-$AS$81)</f>
        <v>#REF!</v>
      </c>
      <c r="G138" s="8" t="e">
        <f>(G76+G111)*'Emission factors Trucks&amp;Trains'!#REF!*(2-$AS$81)</f>
        <v>#REF!</v>
      </c>
      <c r="H138" s="8" t="e">
        <f>(H76+H111)*'Emission factors Trucks&amp;Trains'!#REF!*(2-$AS$81)</f>
        <v>#REF!</v>
      </c>
      <c r="I138" s="8" t="e">
        <f>(I76+I111)*'Emission factors Trucks&amp;Trains'!#REF!*(2-$AS$81)</f>
        <v>#REF!</v>
      </c>
      <c r="J138" s="8" t="e">
        <f>(J76+J111)*'Emission factors Trucks&amp;Trains'!#REF!*(2-$AS$81)</f>
        <v>#REF!</v>
      </c>
      <c r="K138" s="8" t="e">
        <f>(K76+K111)*'Emission factors Trucks&amp;Trains'!#REF!*(2-$AS$81)</f>
        <v>#REF!</v>
      </c>
      <c r="L138" s="8" t="e">
        <f>(L76+L111)*'Emission factors Trucks&amp;Trains'!#REF!*(2-$AS$81)</f>
        <v>#REF!</v>
      </c>
      <c r="M138" s="8" t="e">
        <f>(M76+M111)*'Emission factors Trucks&amp;Trains'!#REF!*(2-$AS$81)</f>
        <v>#REF!</v>
      </c>
      <c r="N138" s="8" t="e">
        <f>(N76+N111)*'Emission factors Trucks&amp;Trains'!#REF!*(2-$AS$81)</f>
        <v>#REF!</v>
      </c>
      <c r="O138" s="8" t="e">
        <f>(O76+O111)*'Emission factors Trucks&amp;Trains'!#REF!*(2-$AS$81)</f>
        <v>#REF!</v>
      </c>
      <c r="P138" s="8" t="e">
        <f>(P76+P111)*'Emission factors Trucks&amp;Trains'!#REF!*(2-$AS$81)</f>
        <v>#REF!</v>
      </c>
      <c r="Q138" s="8" t="e">
        <f>(Q76+Q111)*'Emission factors Trucks&amp;Trains'!#REF!*(2-$AS$81)</f>
        <v>#REF!</v>
      </c>
      <c r="R138" s="8" t="e">
        <f>(R76+R111)*'Emission factors Trucks&amp;Trains'!#REF!*(2-$AS$81)</f>
        <v>#REF!</v>
      </c>
      <c r="S138" s="8" t="e">
        <f>(S76+S111)*'Emission factors Trucks&amp;Trains'!#REF!*(2-$AS$81)</f>
        <v>#REF!</v>
      </c>
      <c r="T138" s="8" t="e">
        <f>(T76+T111)*'Emission factors Trucks&amp;Trains'!#REF!*(2-$AS$81)</f>
        <v>#REF!</v>
      </c>
      <c r="U138" s="8" t="e">
        <f>(U76+U111)*'Emission factors Trucks&amp;Trains'!#REF!*(2-$AS$81)</f>
        <v>#REF!</v>
      </c>
      <c r="V138" s="8" t="e">
        <f>(V76+V111)*'Emission factors Trucks&amp;Trains'!#REF!*(2-$AS$81)</f>
        <v>#REF!</v>
      </c>
      <c r="W138" s="8" t="e">
        <f>(W76+W111)*'Emission factors Trucks&amp;Trains'!#REF!*(2-$AS$81)</f>
        <v>#REF!</v>
      </c>
      <c r="X138" s="8" t="e">
        <f>(X76+X111)*'Emission factors Trucks&amp;Trains'!#REF!*(2-$AS$81)</f>
        <v>#REF!</v>
      </c>
      <c r="Y138" s="8" t="e">
        <f>(Y76+Y111)*'Emission factors Trucks&amp;Trains'!#REF!*(2-$AS$81)</f>
        <v>#REF!</v>
      </c>
      <c r="Z138" s="8" t="e">
        <f>(Z76+Z111)*'Emission factors Trucks&amp;Trains'!#REF!*(2-$AS$81)</f>
        <v>#REF!</v>
      </c>
      <c r="AA138" s="8" t="e">
        <f>(AA76+AA111)*'Emission factors Trucks&amp;Trains'!#REF!*(2-$AS$81)</f>
        <v>#REF!</v>
      </c>
      <c r="AB138" s="8" t="e">
        <f>(AB76+AB111)*'Emission factors Trucks&amp;Trains'!#REF!*(2-$AS$81)</f>
        <v>#REF!</v>
      </c>
      <c r="AF138" s="464"/>
      <c r="AG138" s="136" t="s">
        <v>348</v>
      </c>
      <c r="AH138" s="6" t="s">
        <v>344</v>
      </c>
      <c r="AI138" s="21" t="e">
        <f>#REF!*'Emission factors Trucks&amp;Trains'!#REF!*(2-$AS$81)</f>
        <v>#REF!</v>
      </c>
      <c r="AJ138" s="8" t="e">
        <f>#REF!*'Emission factors Trucks&amp;Trains'!#REF!*(2-$AS$81)</f>
        <v>#REF!</v>
      </c>
      <c r="AK138" s="8" t="e">
        <f>#REF!*'Emission factors Trucks&amp;Trains'!#REF!*(2-$AS$81)</f>
        <v>#REF!</v>
      </c>
      <c r="AL138" s="8" t="e">
        <f>#REF!*'Emission factors Trucks&amp;Trains'!#REF!*(2-$AS$81)</f>
        <v>#REF!</v>
      </c>
      <c r="AM138" s="8" t="e">
        <f>#REF!*'Emission factors Trucks&amp;Trains'!#REF!*(2-$AS$81)</f>
        <v>#REF!</v>
      </c>
      <c r="AN138" s="8" t="e">
        <f>#REF!*'Emission factors Trucks&amp;Trains'!#REF!*(2-$AS$81)</f>
        <v>#REF!</v>
      </c>
      <c r="AO138" s="8" t="e">
        <f>#REF!*'Emission factors Trucks&amp;Trains'!#REF!*(2-$AS$81)</f>
        <v>#REF!</v>
      </c>
      <c r="AP138" s="8" t="e">
        <f>#REF!*'Emission factors Trucks&amp;Trains'!#REF!*(2-$AS$81)</f>
        <v>#REF!</v>
      </c>
      <c r="AQ138" s="8" t="e">
        <f>#REF!*'Emission factors Trucks&amp;Trains'!#REF!*(2-$AS$81)</f>
        <v>#REF!</v>
      </c>
      <c r="AR138" s="8" t="e">
        <f>#REF!*'Emission factors Trucks&amp;Trains'!#REF!*(2-$AS$81)</f>
        <v>#REF!</v>
      </c>
      <c r="AS138" s="8" t="e">
        <f>#REF!*'Emission factors Trucks&amp;Trains'!#REF!*(2-$AS$81)</f>
        <v>#REF!</v>
      </c>
      <c r="AT138" s="8" t="e">
        <f>#REF!*'Emission factors Trucks&amp;Trains'!#REF!*(2-$AS$81)</f>
        <v>#REF!</v>
      </c>
      <c r="AU138" s="8" t="e">
        <f>#REF!*'Emission factors Trucks&amp;Trains'!#REF!*(2-$AS$81)</f>
        <v>#REF!</v>
      </c>
      <c r="AV138" s="8" t="e">
        <f>#REF!*'Emission factors Trucks&amp;Trains'!#REF!*(2-$AS$81)</f>
        <v>#REF!</v>
      </c>
      <c r="AW138" s="8" t="e">
        <f>#REF!*'Emission factors Trucks&amp;Trains'!#REF!*(2-$AS$81)</f>
        <v>#REF!</v>
      </c>
      <c r="AX138" s="8" t="e">
        <f>#REF!*'Emission factors Trucks&amp;Trains'!#REF!*(2-$AS$81)</f>
        <v>#REF!</v>
      </c>
      <c r="AY138" s="8" t="e">
        <f>#REF!*'Emission factors Trucks&amp;Trains'!#REF!*(2-$AS$81)</f>
        <v>#REF!</v>
      </c>
      <c r="AZ138" s="8" t="e">
        <f>#REF!*'Emission factors Trucks&amp;Trains'!#REF!*(2-$AS$81)</f>
        <v>#REF!</v>
      </c>
      <c r="BA138" s="8" t="e">
        <f>#REF!*'Emission factors Trucks&amp;Trains'!#REF!*(2-$AS$81)</f>
        <v>#REF!</v>
      </c>
      <c r="BB138" s="8" t="e">
        <f>#REF!*'Emission factors Trucks&amp;Trains'!#REF!*(2-$AS$81)</f>
        <v>#REF!</v>
      </c>
      <c r="BC138" s="8" t="e">
        <f>#REF!*'Emission factors Trucks&amp;Trains'!#REF!*(2-$AS$81)</f>
        <v>#REF!</v>
      </c>
      <c r="BD138" s="8" t="e">
        <f>#REF!*'Emission factors Trucks&amp;Trains'!#REF!*(2-$AS$81)</f>
        <v>#REF!</v>
      </c>
      <c r="BE138" s="8" t="e">
        <f>#REF!*'Emission factors Trucks&amp;Trains'!#REF!*(2-$AS$81)</f>
        <v>#REF!</v>
      </c>
      <c r="BF138" s="8" t="e">
        <f>#REF!*'Emission factors Trucks&amp;Trains'!#REF!*(2-$AS$81)</f>
        <v>#REF!</v>
      </c>
      <c r="BG138" s="9" t="e">
        <f>#REF!*'Emission factors Trucks&amp;Trains'!#REF!*(2-$AS$81)</f>
        <v>#REF!</v>
      </c>
    </row>
    <row r="139" spans="1:59" ht="15" customHeight="1">
      <c r="A139" s="500"/>
      <c r="B139" s="136" t="s">
        <v>349</v>
      </c>
      <c r="C139" s="112" t="s">
        <v>344</v>
      </c>
      <c r="D139" s="8" t="e">
        <f>(D76+D111)*'Emission factors Trucks&amp;Trains'!#REF!*(2-$AS$81)</f>
        <v>#REF!</v>
      </c>
      <c r="E139" s="8" t="e">
        <f>(E76+E111)*'Emission factors Trucks&amp;Trains'!#REF!*(2-$AS$81)</f>
        <v>#REF!</v>
      </c>
      <c r="F139" s="8" t="e">
        <f>(F76+F111)*'Emission factors Trucks&amp;Trains'!#REF!*(2-$AS$81)</f>
        <v>#REF!</v>
      </c>
      <c r="G139" s="8" t="e">
        <f>(G76+G111)*'Emission factors Trucks&amp;Trains'!#REF!*(2-$AS$81)</f>
        <v>#REF!</v>
      </c>
      <c r="H139" s="8" t="e">
        <f>(H76+H111)*'Emission factors Trucks&amp;Trains'!#REF!*(2-$AS$81)</f>
        <v>#REF!</v>
      </c>
      <c r="I139" s="8" t="e">
        <f>(I76+I111)*'Emission factors Trucks&amp;Trains'!#REF!*(2-$AS$81)</f>
        <v>#REF!</v>
      </c>
      <c r="J139" s="8" t="e">
        <f>(J76+J111)*'Emission factors Trucks&amp;Trains'!#REF!*(2-$AS$81)</f>
        <v>#REF!</v>
      </c>
      <c r="K139" s="8" t="e">
        <f>(K76+K111)*'Emission factors Trucks&amp;Trains'!#REF!*(2-$AS$81)</f>
        <v>#REF!</v>
      </c>
      <c r="L139" s="8" t="e">
        <f>(L76+L111)*'Emission factors Trucks&amp;Trains'!#REF!*(2-$AS$81)</f>
        <v>#REF!</v>
      </c>
      <c r="M139" s="8" t="e">
        <f>(M76+M111)*'Emission factors Trucks&amp;Trains'!#REF!*(2-$AS$81)</f>
        <v>#REF!</v>
      </c>
      <c r="N139" s="8" t="e">
        <f>(N76+N111)*'Emission factors Trucks&amp;Trains'!#REF!*(2-$AS$81)</f>
        <v>#REF!</v>
      </c>
      <c r="O139" s="8" t="e">
        <f>(O76+O111)*'Emission factors Trucks&amp;Trains'!#REF!*(2-$AS$81)</f>
        <v>#REF!</v>
      </c>
      <c r="P139" s="8" t="e">
        <f>(P76+P111)*'Emission factors Trucks&amp;Trains'!#REF!*(2-$AS$81)</f>
        <v>#REF!</v>
      </c>
      <c r="Q139" s="8" t="e">
        <f>(Q76+Q111)*'Emission factors Trucks&amp;Trains'!#REF!*(2-$AS$81)</f>
        <v>#REF!</v>
      </c>
      <c r="R139" s="8" t="e">
        <f>(R76+R111)*'Emission factors Trucks&amp;Trains'!#REF!*(2-$AS$81)</f>
        <v>#REF!</v>
      </c>
      <c r="S139" s="8" t="e">
        <f>(S76+S111)*'Emission factors Trucks&amp;Trains'!#REF!*(2-$AS$81)</f>
        <v>#REF!</v>
      </c>
      <c r="T139" s="8" t="e">
        <f>(T76+T111)*'Emission factors Trucks&amp;Trains'!#REF!*(2-$AS$81)</f>
        <v>#REF!</v>
      </c>
      <c r="U139" s="8" t="e">
        <f>(U76+U111)*'Emission factors Trucks&amp;Trains'!#REF!*(2-$AS$81)</f>
        <v>#REF!</v>
      </c>
      <c r="V139" s="8" t="e">
        <f>(V76+V111)*'Emission factors Trucks&amp;Trains'!#REF!*(2-$AS$81)</f>
        <v>#REF!</v>
      </c>
      <c r="W139" s="8" t="e">
        <f>(W76+W111)*'Emission factors Trucks&amp;Trains'!#REF!*(2-$AS$81)</f>
        <v>#REF!</v>
      </c>
      <c r="X139" s="8" t="e">
        <f>(X76+X111)*'Emission factors Trucks&amp;Trains'!#REF!*(2-$AS$81)</f>
        <v>#REF!</v>
      </c>
      <c r="Y139" s="8" t="e">
        <f>(Y76+Y111)*'Emission factors Trucks&amp;Trains'!#REF!*(2-$AS$81)</f>
        <v>#REF!</v>
      </c>
      <c r="Z139" s="8" t="e">
        <f>(Z76+Z111)*'Emission factors Trucks&amp;Trains'!#REF!*(2-$AS$81)</f>
        <v>#REF!</v>
      </c>
      <c r="AA139" s="8" t="e">
        <f>(AA76+AA111)*'Emission factors Trucks&amp;Trains'!#REF!*(2-$AS$81)</f>
        <v>#REF!</v>
      </c>
      <c r="AB139" s="8" t="e">
        <f>(AB76+AB111)*'Emission factors Trucks&amp;Trains'!#REF!*(2-$AS$81)</f>
        <v>#REF!</v>
      </c>
      <c r="AF139" s="464"/>
      <c r="AG139" s="136" t="s">
        <v>349</v>
      </c>
      <c r="AH139" s="6" t="s">
        <v>344</v>
      </c>
      <c r="AI139" s="21" t="e">
        <f>#REF!*'Emission factors Trucks&amp;Trains'!#REF!*(2-$AS$81)</f>
        <v>#REF!</v>
      </c>
      <c r="AJ139" s="8" t="e">
        <f>#REF!*'Emission factors Trucks&amp;Trains'!#REF!*(2-$AS$81)</f>
        <v>#REF!</v>
      </c>
      <c r="AK139" s="8" t="e">
        <f>#REF!*'Emission factors Trucks&amp;Trains'!#REF!*(2-$AS$81)</f>
        <v>#REF!</v>
      </c>
      <c r="AL139" s="8" t="e">
        <f>#REF!*'Emission factors Trucks&amp;Trains'!#REF!*(2-$AS$81)</f>
        <v>#REF!</v>
      </c>
      <c r="AM139" s="8" t="e">
        <f>#REF!*'Emission factors Trucks&amp;Trains'!#REF!*(2-$AS$81)</f>
        <v>#REF!</v>
      </c>
      <c r="AN139" s="8" t="e">
        <f>#REF!*'Emission factors Trucks&amp;Trains'!#REF!*(2-$AS$81)</f>
        <v>#REF!</v>
      </c>
      <c r="AO139" s="8" t="e">
        <f>#REF!*'Emission factors Trucks&amp;Trains'!#REF!*(2-$AS$81)</f>
        <v>#REF!</v>
      </c>
      <c r="AP139" s="8" t="e">
        <f>#REF!*'Emission factors Trucks&amp;Trains'!#REF!*(2-$AS$81)</f>
        <v>#REF!</v>
      </c>
      <c r="AQ139" s="8" t="e">
        <f>#REF!*'Emission factors Trucks&amp;Trains'!#REF!*(2-$AS$81)</f>
        <v>#REF!</v>
      </c>
      <c r="AR139" s="8" t="e">
        <f>#REF!*'Emission factors Trucks&amp;Trains'!#REF!*(2-$AS$81)</f>
        <v>#REF!</v>
      </c>
      <c r="AS139" s="8" t="e">
        <f>#REF!*'Emission factors Trucks&amp;Trains'!#REF!*(2-$AS$81)</f>
        <v>#REF!</v>
      </c>
      <c r="AT139" s="8" t="e">
        <f>#REF!*'Emission factors Trucks&amp;Trains'!#REF!*(2-$AS$81)</f>
        <v>#REF!</v>
      </c>
      <c r="AU139" s="8" t="e">
        <f>#REF!*'Emission factors Trucks&amp;Trains'!#REF!*(2-$AS$81)</f>
        <v>#REF!</v>
      </c>
      <c r="AV139" s="8" t="e">
        <f>#REF!*'Emission factors Trucks&amp;Trains'!#REF!*(2-$AS$81)</f>
        <v>#REF!</v>
      </c>
      <c r="AW139" s="8" t="e">
        <f>#REF!*'Emission factors Trucks&amp;Trains'!#REF!*(2-$AS$81)</f>
        <v>#REF!</v>
      </c>
      <c r="AX139" s="8" t="e">
        <f>#REF!*'Emission factors Trucks&amp;Trains'!#REF!*(2-$AS$81)</f>
        <v>#REF!</v>
      </c>
      <c r="AY139" s="8" t="e">
        <f>#REF!*'Emission factors Trucks&amp;Trains'!#REF!*(2-$AS$81)</f>
        <v>#REF!</v>
      </c>
      <c r="AZ139" s="8" t="e">
        <f>#REF!*'Emission factors Trucks&amp;Trains'!#REF!*(2-$AS$81)</f>
        <v>#REF!</v>
      </c>
      <c r="BA139" s="8" t="e">
        <f>#REF!*'Emission factors Trucks&amp;Trains'!#REF!*(2-$AS$81)</f>
        <v>#REF!</v>
      </c>
      <c r="BB139" s="8" t="e">
        <f>#REF!*'Emission factors Trucks&amp;Trains'!#REF!*(2-$AS$81)</f>
        <v>#REF!</v>
      </c>
      <c r="BC139" s="8" t="e">
        <f>#REF!*'Emission factors Trucks&amp;Trains'!#REF!*(2-$AS$81)</f>
        <v>#REF!</v>
      </c>
      <c r="BD139" s="8" t="e">
        <f>#REF!*'Emission factors Trucks&amp;Trains'!#REF!*(2-$AS$81)</f>
        <v>#REF!</v>
      </c>
      <c r="BE139" s="8" t="e">
        <f>#REF!*'Emission factors Trucks&amp;Trains'!#REF!*(2-$AS$81)</f>
        <v>#REF!</v>
      </c>
      <c r="BF139" s="8" t="e">
        <f>#REF!*'Emission factors Trucks&amp;Trains'!#REF!*(2-$AS$81)</f>
        <v>#REF!</v>
      </c>
      <c r="BG139" s="9" t="e">
        <f>#REF!*'Emission factors Trucks&amp;Trains'!#REF!*(2-$AS$81)</f>
        <v>#REF!</v>
      </c>
    </row>
    <row r="140" spans="1:59" ht="15" customHeight="1">
      <c r="A140" s="500"/>
      <c r="B140" s="136" t="s">
        <v>246</v>
      </c>
      <c r="C140" s="112" t="s">
        <v>344</v>
      </c>
      <c r="D140" s="8">
        <f>(D76+D111)*'Emission factors Trucks&amp;Trains'!B6*(2-$AS$81)</f>
        <v>0</v>
      </c>
      <c r="E140" s="8">
        <f>(E76+E111)*'Emission factors Trucks&amp;Trains'!C6*(2-$AS$81)</f>
        <v>0</v>
      </c>
      <c r="F140" s="8">
        <f>(F76+F111)*'Emission factors Trucks&amp;Trains'!D6*(2-$AS$81)</f>
        <v>0</v>
      </c>
      <c r="G140" s="8">
        <f>(G76+G111)*'Emission factors Trucks&amp;Trains'!E6*(2-$AS$81)</f>
        <v>0</v>
      </c>
      <c r="H140" s="8">
        <f>(H76+H111)*'Emission factors Trucks&amp;Trains'!F6*(2-$AS$81)</f>
        <v>0</v>
      </c>
      <c r="I140" s="8">
        <f>(I76+I111)*'Emission factors Trucks&amp;Trains'!G6*(2-$AS$81)</f>
        <v>0</v>
      </c>
      <c r="J140" s="8">
        <f>(J76+J111)*'Emission factors Trucks&amp;Trains'!H6*(2-$AS$81)</f>
        <v>0</v>
      </c>
      <c r="K140" s="8">
        <f>(K76+K111)*'Emission factors Trucks&amp;Trains'!I6*(2-$AS$81)</f>
        <v>0</v>
      </c>
      <c r="L140" s="8">
        <f>(L76+L111)*'Emission factors Trucks&amp;Trains'!J6*(2-$AS$81)</f>
        <v>0</v>
      </c>
      <c r="M140" s="8">
        <f>(M76+M111)*'Emission factors Trucks&amp;Trains'!K6*(2-$AS$81)</f>
        <v>0</v>
      </c>
      <c r="N140" s="8">
        <f>(N76+N111)*'Emission factors Trucks&amp;Trains'!L6*(2-$AS$81)</f>
        <v>0</v>
      </c>
      <c r="O140" s="8">
        <f>(O76+O111)*'Emission factors Trucks&amp;Trains'!M6*(2-$AS$81)</f>
        <v>0</v>
      </c>
      <c r="P140" s="8">
        <f>(P76+P111)*'Emission factors Trucks&amp;Trains'!N6*(2-$AS$81)</f>
        <v>0</v>
      </c>
      <c r="Q140" s="8">
        <f>(Q76+Q111)*'Emission factors Trucks&amp;Trains'!O6*(2-$AS$81)</f>
        <v>0</v>
      </c>
      <c r="R140" s="8">
        <f>(R76+R111)*'Emission factors Trucks&amp;Trains'!P6*(2-$AS$81)</f>
        <v>0</v>
      </c>
      <c r="S140" s="8">
        <f>(S76+S111)*'Emission factors Trucks&amp;Trains'!Q6*(2-$AS$81)</f>
        <v>0</v>
      </c>
      <c r="T140" s="8">
        <f>(T76+T111)*'Emission factors Trucks&amp;Trains'!R6*(2-$AS$81)</f>
        <v>0</v>
      </c>
      <c r="U140" s="8">
        <f>(U76+U111)*'Emission factors Trucks&amp;Trains'!S6*(2-$AS$81)</f>
        <v>0</v>
      </c>
      <c r="V140" s="8">
        <f>(V76+V111)*'Emission factors Trucks&amp;Trains'!T6*(2-$AS$81)</f>
        <v>0</v>
      </c>
      <c r="W140" s="8">
        <f>(W76+W111)*'Emission factors Trucks&amp;Trains'!U6*(2-$AS$81)</f>
        <v>0</v>
      </c>
      <c r="X140" s="8">
        <f>(X76+X111)*'Emission factors Trucks&amp;Trains'!V6*(2-$AS$81)</f>
        <v>0</v>
      </c>
      <c r="Y140" s="8">
        <f>(Y76+Y111)*'Emission factors Trucks&amp;Trains'!W6*(2-$AS$81)</f>
        <v>0</v>
      </c>
      <c r="Z140" s="8">
        <f>(Z76+Z111)*'Emission factors Trucks&amp;Trains'!X6*(2-$AS$81)</f>
        <v>0</v>
      </c>
      <c r="AA140" s="8">
        <f>(AA76+AA111)*'Emission factors Trucks&amp;Trains'!Y6*(2-$AS$81)</f>
        <v>0</v>
      </c>
      <c r="AB140" s="8">
        <f>(AB76+AB111)*'Emission factors Trucks&amp;Trains'!Z6*(2-$AS$81)</f>
        <v>0</v>
      </c>
      <c r="AF140" s="464"/>
      <c r="AG140" s="137" t="s">
        <v>246</v>
      </c>
      <c r="AH140" s="19" t="s">
        <v>344</v>
      </c>
      <c r="AI140" s="22">
        <f>AI108*'Emission factors Trucks&amp;Trains'!B6*(2-$AS$81)</f>
        <v>0</v>
      </c>
      <c r="AJ140" s="22">
        <f>AJ108*'Emission factors Trucks&amp;Trains'!C6*(2-$AS$81)</f>
        <v>0</v>
      </c>
      <c r="AK140" s="22">
        <f>AK108*'Emission factors Trucks&amp;Trains'!D6*(2-$AS$81)</f>
        <v>0</v>
      </c>
      <c r="AL140" s="22">
        <f>AL108*'Emission factors Trucks&amp;Trains'!E6*(2-$AS$81)</f>
        <v>0</v>
      </c>
      <c r="AM140" s="22">
        <f>AM108*'Emission factors Trucks&amp;Trains'!F6*(2-$AS$81)</f>
        <v>0</v>
      </c>
      <c r="AN140" s="22">
        <f>AN108*'Emission factors Trucks&amp;Trains'!G6*(2-$AS$81)</f>
        <v>0</v>
      </c>
      <c r="AO140" s="22">
        <f>AO108*'Emission factors Trucks&amp;Trains'!H6*(2-$AS$81)</f>
        <v>0</v>
      </c>
      <c r="AP140" s="22">
        <f>AP108*'Emission factors Trucks&amp;Trains'!I6*(2-$AS$81)</f>
        <v>0</v>
      </c>
      <c r="AQ140" s="22">
        <f>AQ108*'Emission factors Trucks&amp;Trains'!J6*(2-$AS$81)</f>
        <v>0</v>
      </c>
      <c r="AR140" s="22">
        <f>AR108*'Emission factors Trucks&amp;Trains'!K6*(2-$AS$81)</f>
        <v>0</v>
      </c>
      <c r="AS140" s="22">
        <f>AS108*'Emission factors Trucks&amp;Trains'!L6*(2-$AS$81)</f>
        <v>0</v>
      </c>
      <c r="AT140" s="22">
        <f>AT108*'Emission factors Trucks&amp;Trains'!M6*(2-$AS$81)</f>
        <v>0</v>
      </c>
      <c r="AU140" s="22">
        <f>AU108*'Emission factors Trucks&amp;Trains'!N6*(2-$AS$81)</f>
        <v>0</v>
      </c>
      <c r="AV140" s="22">
        <f>AV108*'Emission factors Trucks&amp;Trains'!O6*(2-$AS$81)</f>
        <v>0</v>
      </c>
      <c r="AW140" s="22">
        <f>AW108*'Emission factors Trucks&amp;Trains'!P6*(2-$AS$81)</f>
        <v>0</v>
      </c>
      <c r="AX140" s="22">
        <f>AX108*'Emission factors Trucks&amp;Trains'!Q6*(2-$AS$81)</f>
        <v>0</v>
      </c>
      <c r="AY140" s="22">
        <f>AY108*'Emission factors Trucks&amp;Trains'!R6*(2-$AS$81)</f>
        <v>0</v>
      </c>
      <c r="AZ140" s="22">
        <f>AZ108*'Emission factors Trucks&amp;Trains'!S6*(2-$AS$81)</f>
        <v>0</v>
      </c>
      <c r="BA140" s="22">
        <f>BA108*'Emission factors Trucks&amp;Trains'!T6*(2-$AS$81)</f>
        <v>0</v>
      </c>
      <c r="BB140" s="22">
        <f>BB108*'Emission factors Trucks&amp;Trains'!U6*(2-$AS$81)</f>
        <v>0</v>
      </c>
      <c r="BC140" s="22">
        <f>BC108*'Emission factors Trucks&amp;Trains'!V6*(2-$AS$81)</f>
        <v>0</v>
      </c>
      <c r="BD140" s="22">
        <f>BD108*'Emission factors Trucks&amp;Trains'!W6*(2-$AS$81)</f>
        <v>0</v>
      </c>
      <c r="BE140" s="22">
        <f>BE108*'Emission factors Trucks&amp;Trains'!X6*(2-$AS$81)</f>
        <v>0</v>
      </c>
      <c r="BF140" s="22">
        <f>BF108*'Emission factors Trucks&amp;Trains'!Y6*(2-$AS$81)</f>
        <v>0</v>
      </c>
      <c r="BG140" s="22">
        <f>BG108*'Emission factors Trucks&amp;Trains'!Z6*(2-$AS$81)</f>
        <v>0</v>
      </c>
    </row>
    <row r="141" spans="1:59" ht="15" customHeight="1">
      <c r="A141" s="500"/>
      <c r="B141" s="2" t="s">
        <v>34</v>
      </c>
      <c r="C141" s="5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F141" s="464"/>
      <c r="AG141" s="2" t="s">
        <v>9</v>
      </c>
      <c r="AH141" s="53"/>
      <c r="AI141" s="21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9"/>
    </row>
    <row r="142" spans="1:59" ht="15" customHeight="1">
      <c r="A142" s="500"/>
      <c r="B142" s="136" t="s">
        <v>343</v>
      </c>
      <c r="C142" s="112" t="s">
        <v>344</v>
      </c>
      <c r="D142" s="8" t="e">
        <f>(D77+D112)*'Emission factors Trucks&amp;Trains'!#REF!*(2-$AS$81)</f>
        <v>#REF!</v>
      </c>
      <c r="E142" s="8" t="e">
        <f>(E77+E112)*'Emission factors Trucks&amp;Trains'!#REF!*(2-$AS$81)</f>
        <v>#REF!</v>
      </c>
      <c r="F142" s="8" t="e">
        <f>(F77+F112)*'Emission factors Trucks&amp;Trains'!#REF!*(2-$AS$81)</f>
        <v>#REF!</v>
      </c>
      <c r="G142" s="8" t="e">
        <f>(G77+G112)*'Emission factors Trucks&amp;Trains'!#REF!*(2-$AS$81)</f>
        <v>#REF!</v>
      </c>
      <c r="H142" s="8" t="e">
        <f>(H77+H112)*'Emission factors Trucks&amp;Trains'!#REF!*(2-$AS$81)</f>
        <v>#REF!</v>
      </c>
      <c r="I142" s="8" t="e">
        <f>(I77+I112)*'Emission factors Trucks&amp;Trains'!#REF!*(2-$AS$81)</f>
        <v>#REF!</v>
      </c>
      <c r="J142" s="8" t="e">
        <f>(J77+J112)*'Emission factors Trucks&amp;Trains'!#REF!*(2-$AS$81)</f>
        <v>#REF!</v>
      </c>
      <c r="K142" s="8" t="e">
        <f>(K77+K112)*'Emission factors Trucks&amp;Trains'!#REF!*(2-$AS$81)</f>
        <v>#REF!</v>
      </c>
      <c r="L142" s="8" t="e">
        <f>(L77+L112)*'Emission factors Trucks&amp;Trains'!#REF!*(2-$AS$81)</f>
        <v>#REF!</v>
      </c>
      <c r="M142" s="8" t="e">
        <f>(M77+M112)*'Emission factors Trucks&amp;Trains'!#REF!*(2-$AS$81)</f>
        <v>#REF!</v>
      </c>
      <c r="N142" s="8" t="e">
        <f>(N77+N112)*'Emission factors Trucks&amp;Trains'!#REF!*(2-$AS$81)</f>
        <v>#REF!</v>
      </c>
      <c r="O142" s="8" t="e">
        <f>(O77+O112)*'Emission factors Trucks&amp;Trains'!#REF!*(2-$AS$81)</f>
        <v>#REF!</v>
      </c>
      <c r="P142" s="8" t="e">
        <f>(P77+P112)*'Emission factors Trucks&amp;Trains'!#REF!*(2-$AS$81)</f>
        <v>#REF!</v>
      </c>
      <c r="Q142" s="8" t="e">
        <f>(Q77+Q112)*'Emission factors Trucks&amp;Trains'!#REF!*(2-$AS$81)</f>
        <v>#REF!</v>
      </c>
      <c r="R142" s="8" t="e">
        <f>(R77+R112)*'Emission factors Trucks&amp;Trains'!#REF!*(2-$AS$81)</f>
        <v>#REF!</v>
      </c>
      <c r="S142" s="8" t="e">
        <f>(S77+S112)*'Emission factors Trucks&amp;Trains'!#REF!*(2-$AS$81)</f>
        <v>#REF!</v>
      </c>
      <c r="T142" s="8" t="e">
        <f>(T77+T112)*'Emission factors Trucks&amp;Trains'!#REF!*(2-$AS$81)</f>
        <v>#REF!</v>
      </c>
      <c r="U142" s="8" t="e">
        <f>(U77+U112)*'Emission factors Trucks&amp;Trains'!#REF!*(2-$AS$81)</f>
        <v>#REF!</v>
      </c>
      <c r="V142" s="8" t="e">
        <f>(V77+V112)*'Emission factors Trucks&amp;Trains'!#REF!*(2-$AS$81)</f>
        <v>#REF!</v>
      </c>
      <c r="W142" s="8" t="e">
        <f>(W77+W112)*'Emission factors Trucks&amp;Trains'!#REF!*(2-$AS$81)</f>
        <v>#REF!</v>
      </c>
      <c r="X142" s="8" t="e">
        <f>(X77+X112)*'Emission factors Trucks&amp;Trains'!#REF!*(2-$AS$81)</f>
        <v>#REF!</v>
      </c>
      <c r="Y142" s="8" t="e">
        <f>(Y77+Y112)*'Emission factors Trucks&amp;Trains'!#REF!*(2-$AS$81)</f>
        <v>#REF!</v>
      </c>
      <c r="Z142" s="8" t="e">
        <f>(Z77+Z112)*'Emission factors Trucks&amp;Trains'!#REF!*(2-$AS$81)</f>
        <v>#REF!</v>
      </c>
      <c r="AA142" s="8" t="e">
        <f>(AA77+AA112)*'Emission factors Trucks&amp;Trains'!#REF!*(2-$AS$81)</f>
        <v>#REF!</v>
      </c>
      <c r="AB142" s="8" t="e">
        <f>(AB77+AB112)*'Emission factors Trucks&amp;Trains'!#REF!*(2-$AS$81)</f>
        <v>#REF!</v>
      </c>
      <c r="AF142" s="464"/>
      <c r="AG142" s="136" t="s">
        <v>343</v>
      </c>
      <c r="AH142" s="6" t="s">
        <v>344</v>
      </c>
      <c r="AI142" s="21" t="e">
        <f>AI111*'Emission factors Trucks&amp;Trains'!#REF!*(2-$AS$81)</f>
        <v>#REF!</v>
      </c>
      <c r="AJ142" s="8" t="e">
        <f>AJ111*'Emission factors Trucks&amp;Trains'!#REF!*(2-$AS$81)</f>
        <v>#REF!</v>
      </c>
      <c r="AK142" s="8" t="e">
        <f>AK111*'Emission factors Trucks&amp;Trains'!#REF!*(2-$AS$81)</f>
        <v>#REF!</v>
      </c>
      <c r="AL142" s="8" t="e">
        <f>AL111*'Emission factors Trucks&amp;Trains'!#REF!*(2-$AS$81)</f>
        <v>#REF!</v>
      </c>
      <c r="AM142" s="8" t="e">
        <f>AM111*'Emission factors Trucks&amp;Trains'!#REF!*(2-$AS$81)</f>
        <v>#REF!</v>
      </c>
      <c r="AN142" s="8" t="e">
        <f>AN111*'Emission factors Trucks&amp;Trains'!#REF!*(2-$AS$81)</f>
        <v>#REF!</v>
      </c>
      <c r="AO142" s="8" t="e">
        <f>AO111*'Emission factors Trucks&amp;Trains'!#REF!*(2-$AS$81)</f>
        <v>#REF!</v>
      </c>
      <c r="AP142" s="8" t="e">
        <f>AP111*'Emission factors Trucks&amp;Trains'!#REF!*(2-$AS$81)</f>
        <v>#REF!</v>
      </c>
      <c r="AQ142" s="8" t="e">
        <f>AQ111*'Emission factors Trucks&amp;Trains'!#REF!*(2-$AS$81)</f>
        <v>#REF!</v>
      </c>
      <c r="AR142" s="8" t="e">
        <f>AR111*'Emission factors Trucks&amp;Trains'!#REF!*(2-$AS$81)</f>
        <v>#REF!</v>
      </c>
      <c r="AS142" s="8" t="e">
        <f>AS111*'Emission factors Trucks&amp;Trains'!#REF!*(2-$AS$81)</f>
        <v>#REF!</v>
      </c>
      <c r="AT142" s="8" t="e">
        <f>AT111*'Emission factors Trucks&amp;Trains'!#REF!*(2-$AS$81)</f>
        <v>#REF!</v>
      </c>
      <c r="AU142" s="8" t="e">
        <f>AU111*'Emission factors Trucks&amp;Trains'!#REF!*(2-$AS$81)</f>
        <v>#REF!</v>
      </c>
      <c r="AV142" s="8" t="e">
        <f>AV111*'Emission factors Trucks&amp;Trains'!#REF!*(2-$AS$81)</f>
        <v>#REF!</v>
      </c>
      <c r="AW142" s="8" t="e">
        <f>AW111*'Emission factors Trucks&amp;Trains'!#REF!*(2-$AS$81)</f>
        <v>#REF!</v>
      </c>
      <c r="AX142" s="8" t="e">
        <f>AX111*'Emission factors Trucks&amp;Trains'!#REF!*(2-$AS$81)</f>
        <v>#REF!</v>
      </c>
      <c r="AY142" s="8" t="e">
        <f>AY111*'Emission factors Trucks&amp;Trains'!#REF!*(2-$AS$81)</f>
        <v>#REF!</v>
      </c>
      <c r="AZ142" s="8" t="e">
        <f>AZ111*'Emission factors Trucks&amp;Trains'!#REF!*(2-$AS$81)</f>
        <v>#REF!</v>
      </c>
      <c r="BA142" s="8" t="e">
        <f>BA111*'Emission factors Trucks&amp;Trains'!#REF!*(2-$AS$81)</f>
        <v>#REF!</v>
      </c>
      <c r="BB142" s="8" t="e">
        <f>BB111*'Emission factors Trucks&amp;Trains'!#REF!*(2-$AS$81)</f>
        <v>#REF!</v>
      </c>
      <c r="BC142" s="8" t="e">
        <f>BC111*'Emission factors Trucks&amp;Trains'!#REF!*(2-$AS$81)</f>
        <v>#REF!</v>
      </c>
      <c r="BD142" s="8" t="e">
        <f>BD111*'Emission factors Trucks&amp;Trains'!#REF!*(2-$AS$81)</f>
        <v>#REF!</v>
      </c>
      <c r="BE142" s="8" t="e">
        <f>BE111*'Emission factors Trucks&amp;Trains'!#REF!*(2-$AS$81)</f>
        <v>#REF!</v>
      </c>
      <c r="BF142" s="8" t="e">
        <f>BF111*'Emission factors Trucks&amp;Trains'!#REF!*(2-$AS$81)</f>
        <v>#REF!</v>
      </c>
      <c r="BG142" s="9" t="e">
        <f>BG111*'Emission factors Trucks&amp;Trains'!#REF!*(2-$AS$81)</f>
        <v>#REF!</v>
      </c>
    </row>
    <row r="143" spans="1:59" ht="15" customHeight="1">
      <c r="A143" s="500"/>
      <c r="B143" s="136" t="s">
        <v>345</v>
      </c>
      <c r="C143" s="112" t="s">
        <v>344</v>
      </c>
      <c r="D143" s="8" t="e">
        <f>(D77+D112)*'Emission factors Trucks&amp;Trains'!#REF!*(2-$AS$81)</f>
        <v>#REF!</v>
      </c>
      <c r="E143" s="8" t="e">
        <f>(E77+E112)*'Emission factors Trucks&amp;Trains'!#REF!*(2-$AS$81)</f>
        <v>#REF!</v>
      </c>
      <c r="F143" s="8" t="e">
        <f>(F77+F112)*'Emission factors Trucks&amp;Trains'!#REF!*(2-$AS$81)</f>
        <v>#REF!</v>
      </c>
      <c r="G143" s="8" t="e">
        <f>(G77+G112)*'Emission factors Trucks&amp;Trains'!#REF!*(2-$AS$81)</f>
        <v>#REF!</v>
      </c>
      <c r="H143" s="8" t="e">
        <f>(H77+H112)*'Emission factors Trucks&amp;Trains'!#REF!*(2-$AS$81)</f>
        <v>#REF!</v>
      </c>
      <c r="I143" s="8" t="e">
        <f>(I77+I112)*'Emission factors Trucks&amp;Trains'!#REF!*(2-$AS$81)</f>
        <v>#REF!</v>
      </c>
      <c r="J143" s="8" t="e">
        <f>(J77+J112)*'Emission factors Trucks&amp;Trains'!#REF!*(2-$AS$81)</f>
        <v>#REF!</v>
      </c>
      <c r="K143" s="8" t="e">
        <f>(K77+K112)*'Emission factors Trucks&amp;Trains'!#REF!*(2-$AS$81)</f>
        <v>#REF!</v>
      </c>
      <c r="L143" s="8" t="e">
        <f>(L77+L112)*'Emission factors Trucks&amp;Trains'!#REF!*(2-$AS$81)</f>
        <v>#REF!</v>
      </c>
      <c r="M143" s="8" t="e">
        <f>(M77+M112)*'Emission factors Trucks&amp;Trains'!#REF!*(2-$AS$81)</f>
        <v>#REF!</v>
      </c>
      <c r="N143" s="8" t="e">
        <f>(N77+N112)*'Emission factors Trucks&amp;Trains'!#REF!*(2-$AS$81)</f>
        <v>#REF!</v>
      </c>
      <c r="O143" s="8" t="e">
        <f>(O77+O112)*'Emission factors Trucks&amp;Trains'!#REF!*(2-$AS$81)</f>
        <v>#REF!</v>
      </c>
      <c r="P143" s="8" t="e">
        <f>(P77+P112)*'Emission factors Trucks&amp;Trains'!#REF!*(2-$AS$81)</f>
        <v>#REF!</v>
      </c>
      <c r="Q143" s="8" t="e">
        <f>(Q77+Q112)*'Emission factors Trucks&amp;Trains'!#REF!*(2-$AS$81)</f>
        <v>#REF!</v>
      </c>
      <c r="R143" s="8" t="e">
        <f>(R77+R112)*'Emission factors Trucks&amp;Trains'!#REF!*(2-$AS$81)</f>
        <v>#REF!</v>
      </c>
      <c r="S143" s="8" t="e">
        <f>(S77+S112)*'Emission factors Trucks&amp;Trains'!#REF!*(2-$AS$81)</f>
        <v>#REF!</v>
      </c>
      <c r="T143" s="8" t="e">
        <f>(T77+T112)*'Emission factors Trucks&amp;Trains'!#REF!*(2-$AS$81)</f>
        <v>#REF!</v>
      </c>
      <c r="U143" s="8" t="e">
        <f>(U77+U112)*'Emission factors Trucks&amp;Trains'!#REF!*(2-$AS$81)</f>
        <v>#REF!</v>
      </c>
      <c r="V143" s="8" t="e">
        <f>(V77+V112)*'Emission factors Trucks&amp;Trains'!#REF!*(2-$AS$81)</f>
        <v>#REF!</v>
      </c>
      <c r="W143" s="8" t="e">
        <f>(W77+W112)*'Emission factors Trucks&amp;Trains'!#REF!*(2-$AS$81)</f>
        <v>#REF!</v>
      </c>
      <c r="X143" s="8" t="e">
        <f>(X77+X112)*'Emission factors Trucks&amp;Trains'!#REF!*(2-$AS$81)</f>
        <v>#REF!</v>
      </c>
      <c r="Y143" s="8" t="e">
        <f>(Y77+Y112)*'Emission factors Trucks&amp;Trains'!#REF!*(2-$AS$81)</f>
        <v>#REF!</v>
      </c>
      <c r="Z143" s="8" t="e">
        <f>(Z77+Z112)*'Emission factors Trucks&amp;Trains'!#REF!*(2-$AS$81)</f>
        <v>#REF!</v>
      </c>
      <c r="AA143" s="8" t="e">
        <f>(AA77+AA112)*'Emission factors Trucks&amp;Trains'!#REF!*(2-$AS$81)</f>
        <v>#REF!</v>
      </c>
      <c r="AB143" s="8" t="e">
        <f>(AB77+AB112)*'Emission factors Trucks&amp;Trains'!#REF!*(2-$AS$81)</f>
        <v>#REF!</v>
      </c>
      <c r="AF143" s="464"/>
      <c r="AG143" s="136" t="s">
        <v>345</v>
      </c>
      <c r="AH143" s="6" t="s">
        <v>344</v>
      </c>
      <c r="AI143" s="21" t="e">
        <f>AI111*'Emission factors Trucks&amp;Trains'!#REF!*(2-$AS$81)</f>
        <v>#REF!</v>
      </c>
      <c r="AJ143" s="8" t="e">
        <f>AJ111*'Emission factors Trucks&amp;Trains'!#REF!*(2-$AS$81)</f>
        <v>#REF!</v>
      </c>
      <c r="AK143" s="8" t="e">
        <f>AK111*'Emission factors Trucks&amp;Trains'!#REF!*(2-$AS$81)</f>
        <v>#REF!</v>
      </c>
      <c r="AL143" s="8" t="e">
        <f>AL111*'Emission factors Trucks&amp;Trains'!#REF!*(2-$AS$81)</f>
        <v>#REF!</v>
      </c>
      <c r="AM143" s="8" t="e">
        <f>AM111*'Emission factors Trucks&amp;Trains'!#REF!*(2-$AS$81)</f>
        <v>#REF!</v>
      </c>
      <c r="AN143" s="8" t="e">
        <f>AN111*'Emission factors Trucks&amp;Trains'!#REF!*(2-$AS$81)</f>
        <v>#REF!</v>
      </c>
      <c r="AO143" s="8" t="e">
        <f>AO111*'Emission factors Trucks&amp;Trains'!#REF!*(2-$AS$81)</f>
        <v>#REF!</v>
      </c>
      <c r="AP143" s="8" t="e">
        <f>AP111*'Emission factors Trucks&amp;Trains'!#REF!*(2-$AS$81)</f>
        <v>#REF!</v>
      </c>
      <c r="AQ143" s="8" t="e">
        <f>AQ111*'Emission factors Trucks&amp;Trains'!#REF!*(2-$AS$81)</f>
        <v>#REF!</v>
      </c>
      <c r="AR143" s="8" t="e">
        <f>AR111*'Emission factors Trucks&amp;Trains'!#REF!*(2-$AS$81)</f>
        <v>#REF!</v>
      </c>
      <c r="AS143" s="8" t="e">
        <f>AS111*'Emission factors Trucks&amp;Trains'!#REF!*(2-$AS$81)</f>
        <v>#REF!</v>
      </c>
      <c r="AT143" s="8" t="e">
        <f>AT111*'Emission factors Trucks&amp;Trains'!#REF!*(2-$AS$81)</f>
        <v>#REF!</v>
      </c>
      <c r="AU143" s="8" t="e">
        <f>AU111*'Emission factors Trucks&amp;Trains'!#REF!*(2-$AS$81)</f>
        <v>#REF!</v>
      </c>
      <c r="AV143" s="8" t="e">
        <f>AV111*'Emission factors Trucks&amp;Trains'!#REF!*(2-$AS$81)</f>
        <v>#REF!</v>
      </c>
      <c r="AW143" s="8" t="e">
        <f>AW111*'Emission factors Trucks&amp;Trains'!#REF!*(2-$AS$81)</f>
        <v>#REF!</v>
      </c>
      <c r="AX143" s="8" t="e">
        <f>AX111*'Emission factors Trucks&amp;Trains'!#REF!*(2-$AS$81)</f>
        <v>#REF!</v>
      </c>
      <c r="AY143" s="8" t="e">
        <f>AY111*'Emission factors Trucks&amp;Trains'!#REF!*(2-$AS$81)</f>
        <v>#REF!</v>
      </c>
      <c r="AZ143" s="8" t="e">
        <f>AZ111*'Emission factors Trucks&amp;Trains'!#REF!*(2-$AS$81)</f>
        <v>#REF!</v>
      </c>
      <c r="BA143" s="8" t="e">
        <f>BA111*'Emission factors Trucks&amp;Trains'!#REF!*(2-$AS$81)</f>
        <v>#REF!</v>
      </c>
      <c r="BB143" s="8" t="e">
        <f>BB111*'Emission factors Trucks&amp;Trains'!#REF!*(2-$AS$81)</f>
        <v>#REF!</v>
      </c>
      <c r="BC143" s="8" t="e">
        <f>BC111*'Emission factors Trucks&amp;Trains'!#REF!*(2-$AS$81)</f>
        <v>#REF!</v>
      </c>
      <c r="BD143" s="8" t="e">
        <f>BD111*'Emission factors Trucks&amp;Trains'!#REF!*(2-$AS$81)</f>
        <v>#REF!</v>
      </c>
      <c r="BE143" s="8" t="e">
        <f>BE111*'Emission factors Trucks&amp;Trains'!#REF!*(2-$AS$81)</f>
        <v>#REF!</v>
      </c>
      <c r="BF143" s="8" t="e">
        <f>BF111*'Emission factors Trucks&amp;Trains'!#REF!*(2-$AS$81)</f>
        <v>#REF!</v>
      </c>
      <c r="BG143" s="9" t="e">
        <f>BG111*'Emission factors Trucks&amp;Trains'!#REF!*(2-$AS$81)</f>
        <v>#REF!</v>
      </c>
    </row>
    <row r="144" spans="1:59" ht="15.75" customHeight="1">
      <c r="A144" s="500"/>
      <c r="B144" s="136" t="s">
        <v>346</v>
      </c>
      <c r="C144" s="112" t="s">
        <v>344</v>
      </c>
      <c r="D144" s="8" t="e">
        <f>(D77+D112)*'Emission factors Trucks&amp;Trains'!#REF!*(2-$AS$81)</f>
        <v>#REF!</v>
      </c>
      <c r="E144" s="8" t="e">
        <f>(E77+E112)*'Emission factors Trucks&amp;Trains'!#REF!*(2-$AS$81)</f>
        <v>#REF!</v>
      </c>
      <c r="F144" s="8" t="e">
        <f>(F77+F112)*'Emission factors Trucks&amp;Trains'!#REF!*(2-$AS$81)</f>
        <v>#REF!</v>
      </c>
      <c r="G144" s="8" t="e">
        <f>(G77+G112)*'Emission factors Trucks&amp;Trains'!#REF!*(2-$AS$81)</f>
        <v>#REF!</v>
      </c>
      <c r="H144" s="8" t="e">
        <f>(H77+H112)*'Emission factors Trucks&amp;Trains'!#REF!*(2-$AS$81)</f>
        <v>#REF!</v>
      </c>
      <c r="I144" s="8" t="e">
        <f>(I77+I112)*'Emission factors Trucks&amp;Trains'!#REF!*(2-$AS$81)</f>
        <v>#REF!</v>
      </c>
      <c r="J144" s="8" t="e">
        <f>(J77+J112)*'Emission factors Trucks&amp;Trains'!#REF!*(2-$AS$81)</f>
        <v>#REF!</v>
      </c>
      <c r="K144" s="8" t="e">
        <f>(K77+K112)*'Emission factors Trucks&amp;Trains'!#REF!*(2-$AS$81)</f>
        <v>#REF!</v>
      </c>
      <c r="L144" s="8" t="e">
        <f>(L77+L112)*'Emission factors Trucks&amp;Trains'!#REF!*(2-$AS$81)</f>
        <v>#REF!</v>
      </c>
      <c r="M144" s="8" t="e">
        <f>(M77+M112)*'Emission factors Trucks&amp;Trains'!#REF!*(2-$AS$81)</f>
        <v>#REF!</v>
      </c>
      <c r="N144" s="8" t="e">
        <f>(N77+N112)*'Emission factors Trucks&amp;Trains'!#REF!*(2-$AS$81)</f>
        <v>#REF!</v>
      </c>
      <c r="O144" s="8" t="e">
        <f>(O77+O112)*'Emission factors Trucks&amp;Trains'!#REF!*(2-$AS$81)</f>
        <v>#REF!</v>
      </c>
      <c r="P144" s="8" t="e">
        <f>(P77+P112)*'Emission factors Trucks&amp;Trains'!#REF!*(2-$AS$81)</f>
        <v>#REF!</v>
      </c>
      <c r="Q144" s="8" t="e">
        <f>(Q77+Q112)*'Emission factors Trucks&amp;Trains'!#REF!*(2-$AS$81)</f>
        <v>#REF!</v>
      </c>
      <c r="R144" s="8" t="e">
        <f>(R77+R112)*'Emission factors Trucks&amp;Trains'!#REF!*(2-$AS$81)</f>
        <v>#REF!</v>
      </c>
      <c r="S144" s="8" t="e">
        <f>(S77+S112)*'Emission factors Trucks&amp;Trains'!#REF!*(2-$AS$81)</f>
        <v>#REF!</v>
      </c>
      <c r="T144" s="8" t="e">
        <f>(T77+T112)*'Emission factors Trucks&amp;Trains'!#REF!*(2-$AS$81)</f>
        <v>#REF!</v>
      </c>
      <c r="U144" s="8" t="e">
        <f>(U77+U112)*'Emission factors Trucks&amp;Trains'!#REF!*(2-$AS$81)</f>
        <v>#REF!</v>
      </c>
      <c r="V144" s="8" t="e">
        <f>(V77+V112)*'Emission factors Trucks&amp;Trains'!#REF!*(2-$AS$81)</f>
        <v>#REF!</v>
      </c>
      <c r="W144" s="8" t="e">
        <f>(W77+W112)*'Emission factors Trucks&amp;Trains'!#REF!*(2-$AS$81)</f>
        <v>#REF!</v>
      </c>
      <c r="X144" s="8" t="e">
        <f>(X77+X112)*'Emission factors Trucks&amp;Trains'!#REF!*(2-$AS$81)</f>
        <v>#REF!</v>
      </c>
      <c r="Y144" s="8" t="e">
        <f>(Y77+Y112)*'Emission factors Trucks&amp;Trains'!#REF!*(2-$AS$81)</f>
        <v>#REF!</v>
      </c>
      <c r="Z144" s="8" t="e">
        <f>(Z77+Z112)*'Emission factors Trucks&amp;Trains'!#REF!*(2-$AS$81)</f>
        <v>#REF!</v>
      </c>
      <c r="AA144" s="8" t="e">
        <f>(AA77+AA112)*'Emission factors Trucks&amp;Trains'!#REF!*(2-$AS$81)</f>
        <v>#REF!</v>
      </c>
      <c r="AB144" s="8" t="e">
        <f>(AB77+AB112)*'Emission factors Trucks&amp;Trains'!#REF!*(2-$AS$81)</f>
        <v>#REF!</v>
      </c>
      <c r="AF144" s="464"/>
      <c r="AG144" s="136" t="s">
        <v>346</v>
      </c>
      <c r="AH144" s="6" t="s">
        <v>344</v>
      </c>
      <c r="AI144" s="21" t="e">
        <f>AI111*'Emission factors Trucks&amp;Trains'!#REF!*(2-$AS$81)</f>
        <v>#REF!</v>
      </c>
      <c r="AJ144" s="8" t="e">
        <f>AJ111*'Emission factors Trucks&amp;Trains'!#REF!*(2-$AS$81)</f>
        <v>#REF!</v>
      </c>
      <c r="AK144" s="8" t="e">
        <f>AK111*'Emission factors Trucks&amp;Trains'!#REF!*(2-$AS$81)</f>
        <v>#REF!</v>
      </c>
      <c r="AL144" s="8" t="e">
        <f>AL111*'Emission factors Trucks&amp;Trains'!#REF!*(2-$AS$81)</f>
        <v>#REF!</v>
      </c>
      <c r="AM144" s="8" t="e">
        <f>AM111*'Emission factors Trucks&amp;Trains'!#REF!*(2-$AS$81)</f>
        <v>#REF!</v>
      </c>
      <c r="AN144" s="8" t="e">
        <f>AN111*'Emission factors Trucks&amp;Trains'!#REF!*(2-$AS$81)</f>
        <v>#REF!</v>
      </c>
      <c r="AO144" s="8" t="e">
        <f>AO111*'Emission factors Trucks&amp;Trains'!#REF!*(2-$AS$81)</f>
        <v>#REF!</v>
      </c>
      <c r="AP144" s="8" t="e">
        <f>AP111*'Emission factors Trucks&amp;Trains'!#REF!*(2-$AS$81)</f>
        <v>#REF!</v>
      </c>
      <c r="AQ144" s="8" t="e">
        <f>AQ111*'Emission factors Trucks&amp;Trains'!#REF!*(2-$AS$81)</f>
        <v>#REF!</v>
      </c>
      <c r="AR144" s="8" t="e">
        <f>AR111*'Emission factors Trucks&amp;Trains'!#REF!*(2-$AS$81)</f>
        <v>#REF!</v>
      </c>
      <c r="AS144" s="8" t="e">
        <f>AS111*'Emission factors Trucks&amp;Trains'!#REF!*(2-$AS$81)</f>
        <v>#REF!</v>
      </c>
      <c r="AT144" s="8" t="e">
        <f>AT111*'Emission factors Trucks&amp;Trains'!#REF!*(2-$AS$81)</f>
        <v>#REF!</v>
      </c>
      <c r="AU144" s="8" t="e">
        <f>AU111*'Emission factors Trucks&amp;Trains'!#REF!*(2-$AS$81)</f>
        <v>#REF!</v>
      </c>
      <c r="AV144" s="8" t="e">
        <f>AV111*'Emission factors Trucks&amp;Trains'!#REF!*(2-$AS$81)</f>
        <v>#REF!</v>
      </c>
      <c r="AW144" s="8" t="e">
        <f>AW111*'Emission factors Trucks&amp;Trains'!#REF!*(2-$AS$81)</f>
        <v>#REF!</v>
      </c>
      <c r="AX144" s="8" t="e">
        <f>AX111*'Emission factors Trucks&amp;Trains'!#REF!*(2-$AS$81)</f>
        <v>#REF!</v>
      </c>
      <c r="AY144" s="8" t="e">
        <f>AY111*'Emission factors Trucks&amp;Trains'!#REF!*(2-$AS$81)</f>
        <v>#REF!</v>
      </c>
      <c r="AZ144" s="8" t="e">
        <f>AZ111*'Emission factors Trucks&amp;Trains'!#REF!*(2-$AS$81)</f>
        <v>#REF!</v>
      </c>
      <c r="BA144" s="8" t="e">
        <f>BA111*'Emission factors Trucks&amp;Trains'!#REF!*(2-$AS$81)</f>
        <v>#REF!</v>
      </c>
      <c r="BB144" s="8" t="e">
        <f>BB111*'Emission factors Trucks&amp;Trains'!#REF!*(2-$AS$81)</f>
        <v>#REF!</v>
      </c>
      <c r="BC144" s="8" t="e">
        <f>BC111*'Emission factors Trucks&amp;Trains'!#REF!*(2-$AS$81)</f>
        <v>#REF!</v>
      </c>
      <c r="BD144" s="8" t="e">
        <f>BD111*'Emission factors Trucks&amp;Trains'!#REF!*(2-$AS$81)</f>
        <v>#REF!</v>
      </c>
      <c r="BE144" s="8" t="e">
        <f>BE111*'Emission factors Trucks&amp;Trains'!#REF!*(2-$AS$81)</f>
        <v>#REF!</v>
      </c>
      <c r="BF144" s="8" t="e">
        <f>BF111*'Emission factors Trucks&amp;Trains'!#REF!*(2-$AS$81)</f>
        <v>#REF!</v>
      </c>
      <c r="BG144" s="9" t="e">
        <f>BG111*'Emission factors Trucks&amp;Trains'!#REF!*(2-$AS$81)</f>
        <v>#REF!</v>
      </c>
    </row>
    <row r="145" spans="1:59" ht="15" customHeight="1">
      <c r="A145" s="500"/>
      <c r="B145" s="136" t="s">
        <v>278</v>
      </c>
      <c r="C145" s="112" t="s">
        <v>344</v>
      </c>
      <c r="D145" s="8">
        <f>(D77+D112)*'Emission factors Trucks&amp;Trains'!B$5*(2-$AS$81)</f>
        <v>0</v>
      </c>
      <c r="E145" s="8">
        <f>(E77+E112)*'Emission factors Trucks&amp;Trains'!C5*(2-$AS$81)</f>
        <v>0</v>
      </c>
      <c r="F145" s="8">
        <f>(F77+F112)*'Emission factors Trucks&amp;Trains'!D5*(2-$AS$81)</f>
        <v>0</v>
      </c>
      <c r="G145" s="8">
        <f>(G77+G112)*'Emission factors Trucks&amp;Trains'!E5*(2-$AS$81)</f>
        <v>0</v>
      </c>
      <c r="H145" s="8">
        <f>(H77+H112)*'Emission factors Trucks&amp;Trains'!F5*(2-$AS$81)</f>
        <v>119339.25328856592</v>
      </c>
      <c r="I145" s="8">
        <f>(I77+I112)*'Emission factors Trucks&amp;Trains'!G5*(2-$AS$81)</f>
        <v>896915.36393004202</v>
      </c>
      <c r="J145" s="8">
        <f>(J77+J112)*'Emission factors Trucks&amp;Trains'!H5*(2-$AS$81)</f>
        <v>1177904.1888053457</v>
      </c>
      <c r="K145" s="8">
        <f>(K77+K112)*'Emission factors Trucks&amp;Trains'!I5*(2-$AS$81)</f>
        <v>1270404.1165328857</v>
      </c>
      <c r="L145" s="8">
        <f>(L77+L112)*'Emission factors Trucks&amp;Trains'!J5*(2-$AS$81)</f>
        <v>1254945.3416308509</v>
      </c>
      <c r="M145" s="8">
        <f>(M77+M112)*'Emission factors Trucks&amp;Trains'!K5*(2-$AS$81)</f>
        <v>1184889.1495263344</v>
      </c>
      <c r="N145" s="8">
        <f>(N77+N112)*'Emission factors Trucks&amp;Trains'!L5*(2-$AS$81)</f>
        <v>1098195.5830410796</v>
      </c>
      <c r="O145" s="8">
        <f>(O77+O112)*'Emission factors Trucks&amp;Trains'!M5*(2-$AS$81)</f>
        <v>1013820.6359391022</v>
      </c>
      <c r="P145" s="8">
        <f>(P77+P112)*'Emission factors Trucks&amp;Trains'!N5*(2-$AS$81)</f>
        <v>943503.22522602894</v>
      </c>
      <c r="Q145" s="8">
        <f>(Q77+Q112)*'Emission factors Trucks&amp;Trains'!O5*(2-$AS$81)</f>
        <v>851902.96889020142</v>
      </c>
      <c r="R145" s="8">
        <f>(R77+R112)*'Emission factors Trucks&amp;Trains'!P5*(2-$AS$81)</f>
        <v>808779.90574346355</v>
      </c>
      <c r="S145" s="8">
        <f>(S77+S112)*'Emission factors Trucks&amp;Trains'!Q5*(2-$AS$81)</f>
        <v>739233.06094677665</v>
      </c>
      <c r="T145" s="8">
        <f>(T77+T112)*'Emission factors Trucks&amp;Trains'!R5*(2-$AS$81)</f>
        <v>678937.77974343312</v>
      </c>
      <c r="U145" s="8">
        <f>(U77+U112)*'Emission factors Trucks&amp;Trains'!S5*(2-$AS$81)</f>
        <v>635992.02751863247</v>
      </c>
      <c r="V145" s="8">
        <f>(V77+V112)*'Emission factors Trucks&amp;Trains'!T5*(2-$AS$81)</f>
        <v>609263.13583901641</v>
      </c>
      <c r="W145" s="8">
        <f>(W77+W112)*'Emission factors Trucks&amp;Trains'!U5*(2-$AS$81)</f>
        <v>582379.96645772329</v>
      </c>
      <c r="X145" s="8">
        <f>(X77+X112)*'Emission factors Trucks&amp;Trains'!V5*(2-$AS$81)</f>
        <v>555437.08922609349</v>
      </c>
      <c r="Y145" s="8">
        <f>(Y77+Y112)*'Emission factors Trucks&amp;Trains'!W5*(2-$AS$81)</f>
        <v>535694.06087570009</v>
      </c>
      <c r="Z145" s="8">
        <f>(Z77+Z112)*'Emission factors Trucks&amp;Trains'!X5*(2-$AS$81)</f>
        <v>516853.57219530991</v>
      </c>
      <c r="AA145" s="8">
        <f>(AA77+AA112)*'Emission factors Trucks&amp;Trains'!Y5*(2-$AS$81)</f>
        <v>499998.37299467868</v>
      </c>
      <c r="AB145" s="8">
        <f>(AB77+AB112)*'Emission factors Trucks&amp;Trains'!Z5*(2-$AS$81)</f>
        <v>480881.3324967525</v>
      </c>
      <c r="AF145" s="464"/>
      <c r="AG145" s="136" t="s">
        <v>278</v>
      </c>
      <c r="AH145" s="6" t="s">
        <v>344</v>
      </c>
      <c r="AI145" s="21">
        <f>AI111*'Emission factors Trucks&amp;Trains'!B5*(2-$AS$81)</f>
        <v>0</v>
      </c>
      <c r="AJ145" s="21">
        <f>AJ111*'Emission factors Trucks&amp;Trains'!C5*(2-$AS$81)</f>
        <v>0</v>
      </c>
      <c r="AK145" s="21">
        <f>AK111*'Emission factors Trucks&amp;Trains'!D5*(2-$AS$81)</f>
        <v>0</v>
      </c>
      <c r="AL145" s="21">
        <f>AL111*'Emission factors Trucks&amp;Trains'!E5*(2-$AS$81)</f>
        <v>0</v>
      </c>
      <c r="AM145" s="21">
        <f>AM111*'Emission factors Trucks&amp;Trains'!F5*(2-$AS$81)</f>
        <v>0</v>
      </c>
      <c r="AN145" s="21">
        <f>AN111*'Emission factors Trucks&amp;Trains'!G5*(2-$AS$81)</f>
        <v>0</v>
      </c>
      <c r="AO145" s="21">
        <f>AO111*'Emission factors Trucks&amp;Trains'!H5*(2-$AS$81)</f>
        <v>0</v>
      </c>
      <c r="AP145" s="21">
        <f>AP111*'Emission factors Trucks&amp;Trains'!I5*(2-$AS$81)</f>
        <v>0</v>
      </c>
      <c r="AQ145" s="21">
        <f>AQ111*'Emission factors Trucks&amp;Trains'!J5*(2-$AS$81)</f>
        <v>0</v>
      </c>
      <c r="AR145" s="21">
        <f>AR111*'Emission factors Trucks&amp;Trains'!K5*(2-$AS$81)</f>
        <v>0</v>
      </c>
      <c r="AS145" s="21">
        <f>AS111*'Emission factors Trucks&amp;Trains'!L5*(2-$AS$81)</f>
        <v>0</v>
      </c>
      <c r="AT145" s="21">
        <f>AT111*'Emission factors Trucks&amp;Trains'!M5*(2-$AS$81)</f>
        <v>0</v>
      </c>
      <c r="AU145" s="21">
        <f>AU111*'Emission factors Trucks&amp;Trains'!N5*(2-$AS$81)</f>
        <v>0</v>
      </c>
      <c r="AV145" s="21">
        <f>AV111*'Emission factors Trucks&amp;Trains'!O5*(2-$AS$81)</f>
        <v>0</v>
      </c>
      <c r="AW145" s="21">
        <f>AW111*'Emission factors Trucks&amp;Trains'!P5*(2-$AS$81)</f>
        <v>0</v>
      </c>
      <c r="AX145" s="21">
        <f>AX111*'Emission factors Trucks&amp;Trains'!Q5*(2-$AS$81)</f>
        <v>0</v>
      </c>
      <c r="AY145" s="21">
        <f>AY111*'Emission factors Trucks&amp;Trains'!R5*(2-$AS$81)</f>
        <v>0</v>
      </c>
      <c r="AZ145" s="21">
        <f>AZ111*'Emission factors Trucks&amp;Trains'!S5*(2-$AS$81)</f>
        <v>0</v>
      </c>
      <c r="BA145" s="21">
        <f>BA111*'Emission factors Trucks&amp;Trains'!T5*(2-$AS$81)</f>
        <v>0</v>
      </c>
      <c r="BB145" s="21">
        <f>BB111*'Emission factors Trucks&amp;Trains'!U5*(2-$AS$81)</f>
        <v>0</v>
      </c>
      <c r="BC145" s="21">
        <f>BC111*'Emission factors Trucks&amp;Trains'!V5*(2-$AS$81)</f>
        <v>0</v>
      </c>
      <c r="BD145" s="21">
        <f>BD111*'Emission factors Trucks&amp;Trains'!W5*(2-$AS$81)</f>
        <v>0</v>
      </c>
      <c r="BE145" s="21">
        <f>BE111*'Emission factors Trucks&amp;Trains'!X5*(2-$AS$81)</f>
        <v>0</v>
      </c>
      <c r="BF145" s="21">
        <f>BF111*'Emission factors Trucks&amp;Trains'!Y5*(2-$AS$81)</f>
        <v>0</v>
      </c>
      <c r="BG145" s="21">
        <f>BG111*'Emission factors Trucks&amp;Trains'!Z5*(2-$AS$81)</f>
        <v>0</v>
      </c>
    </row>
    <row r="146" spans="1:59" ht="15" customHeight="1">
      <c r="A146" s="500"/>
      <c r="B146" s="136" t="s">
        <v>347</v>
      </c>
      <c r="C146" s="112" t="s">
        <v>344</v>
      </c>
      <c r="D146" s="8" t="e">
        <f>(D77+D112)*'Emission factors Trucks&amp;Trains'!#REF!*(2-$AS$81)</f>
        <v>#REF!</v>
      </c>
      <c r="E146" s="8" t="e">
        <f>(E77+E112)*'Emission factors Trucks&amp;Trains'!#REF!*(2-$AS$81)</f>
        <v>#REF!</v>
      </c>
      <c r="F146" s="8" t="e">
        <f>(F77+F112)*'Emission factors Trucks&amp;Trains'!#REF!*(2-$AS$81)</f>
        <v>#REF!</v>
      </c>
      <c r="G146" s="8" t="e">
        <f>(G77+G112)*'Emission factors Trucks&amp;Trains'!#REF!*(2-$AS$81)</f>
        <v>#REF!</v>
      </c>
      <c r="H146" s="8" t="e">
        <f>(H77+H112)*'Emission factors Trucks&amp;Trains'!#REF!*(2-$AS$81)</f>
        <v>#REF!</v>
      </c>
      <c r="I146" s="8" t="e">
        <f>(I77+I112)*'Emission factors Trucks&amp;Trains'!#REF!*(2-$AS$81)</f>
        <v>#REF!</v>
      </c>
      <c r="J146" s="8" t="e">
        <f>(J77+J112)*'Emission factors Trucks&amp;Trains'!#REF!*(2-$AS$81)</f>
        <v>#REF!</v>
      </c>
      <c r="K146" s="8" t="e">
        <f>(K77+K112)*'Emission factors Trucks&amp;Trains'!#REF!*(2-$AS$81)</f>
        <v>#REF!</v>
      </c>
      <c r="L146" s="8" t="e">
        <f>(L77+L112)*'Emission factors Trucks&amp;Trains'!#REF!*(2-$AS$81)</f>
        <v>#REF!</v>
      </c>
      <c r="M146" s="8" t="e">
        <f>(M77+M112)*'Emission factors Trucks&amp;Trains'!#REF!*(2-$AS$81)</f>
        <v>#REF!</v>
      </c>
      <c r="N146" s="8" t="e">
        <f>(N77+N112)*'Emission factors Trucks&amp;Trains'!#REF!*(2-$AS$81)</f>
        <v>#REF!</v>
      </c>
      <c r="O146" s="8" t="e">
        <f>(O77+O112)*'Emission factors Trucks&amp;Trains'!#REF!*(2-$AS$81)</f>
        <v>#REF!</v>
      </c>
      <c r="P146" s="8" t="e">
        <f>(P77+P112)*'Emission factors Trucks&amp;Trains'!#REF!*(2-$AS$81)</f>
        <v>#REF!</v>
      </c>
      <c r="Q146" s="8" t="e">
        <f>(Q77+Q112)*'Emission factors Trucks&amp;Trains'!#REF!*(2-$AS$81)</f>
        <v>#REF!</v>
      </c>
      <c r="R146" s="8" t="e">
        <f>(R77+R112)*'Emission factors Trucks&amp;Trains'!#REF!*(2-$AS$81)</f>
        <v>#REF!</v>
      </c>
      <c r="S146" s="8" t="e">
        <f>(S77+S112)*'Emission factors Trucks&amp;Trains'!#REF!*(2-$AS$81)</f>
        <v>#REF!</v>
      </c>
      <c r="T146" s="8" t="e">
        <f>(T77+T112)*'Emission factors Trucks&amp;Trains'!#REF!*(2-$AS$81)</f>
        <v>#REF!</v>
      </c>
      <c r="U146" s="8" t="e">
        <f>(U77+U112)*'Emission factors Trucks&amp;Trains'!#REF!*(2-$AS$81)</f>
        <v>#REF!</v>
      </c>
      <c r="V146" s="8" t="e">
        <f>(V77+V112)*'Emission factors Trucks&amp;Trains'!#REF!*(2-$AS$81)</f>
        <v>#REF!</v>
      </c>
      <c r="W146" s="8" t="e">
        <f>(W77+W112)*'Emission factors Trucks&amp;Trains'!#REF!*(2-$AS$81)</f>
        <v>#REF!</v>
      </c>
      <c r="X146" s="8" t="e">
        <f>(X77+X112)*'Emission factors Trucks&amp;Trains'!#REF!*(2-$AS$81)</f>
        <v>#REF!</v>
      </c>
      <c r="Y146" s="8" t="e">
        <f>(Y77+Y112)*'Emission factors Trucks&amp;Trains'!#REF!*(2-$AS$81)</f>
        <v>#REF!</v>
      </c>
      <c r="Z146" s="8" t="e">
        <f>(Z77+Z112)*'Emission factors Trucks&amp;Trains'!#REF!*(2-$AS$81)</f>
        <v>#REF!</v>
      </c>
      <c r="AA146" s="8" t="e">
        <f>(AA77+AA112)*'Emission factors Trucks&amp;Trains'!#REF!*(2-$AS$81)</f>
        <v>#REF!</v>
      </c>
      <c r="AB146" s="8" t="e">
        <f>(AB77+AB112)*'Emission factors Trucks&amp;Trains'!#REF!*(2-$AS$81)</f>
        <v>#REF!</v>
      </c>
      <c r="AF146" s="464"/>
      <c r="AG146" s="136" t="s">
        <v>347</v>
      </c>
      <c r="AH146" s="6" t="s">
        <v>344</v>
      </c>
      <c r="AI146" s="21" t="e">
        <f>AI111*'Emission factors Trucks&amp;Trains'!#REF!*(2-$AS$81)</f>
        <v>#REF!</v>
      </c>
      <c r="AJ146" s="8" t="e">
        <f>AJ111*'Emission factors Trucks&amp;Trains'!#REF!*(2-$AS$81)</f>
        <v>#REF!</v>
      </c>
      <c r="AK146" s="8" t="e">
        <f>AK111*'Emission factors Trucks&amp;Trains'!#REF!*(2-$AS$81)</f>
        <v>#REF!</v>
      </c>
      <c r="AL146" s="8" t="e">
        <f>AL111*'Emission factors Trucks&amp;Trains'!#REF!*(2-$AS$81)</f>
        <v>#REF!</v>
      </c>
      <c r="AM146" s="8" t="e">
        <f>AM111*'Emission factors Trucks&amp;Trains'!#REF!*(2-$AS$81)</f>
        <v>#REF!</v>
      </c>
      <c r="AN146" s="8" t="e">
        <f>AN111*'Emission factors Trucks&amp;Trains'!#REF!*(2-$AS$81)</f>
        <v>#REF!</v>
      </c>
      <c r="AO146" s="8" t="e">
        <f>AO111*'Emission factors Trucks&amp;Trains'!#REF!*(2-$AS$81)</f>
        <v>#REF!</v>
      </c>
      <c r="AP146" s="8" t="e">
        <f>AP111*'Emission factors Trucks&amp;Trains'!#REF!*(2-$AS$81)</f>
        <v>#REF!</v>
      </c>
      <c r="AQ146" s="8" t="e">
        <f>AQ111*'Emission factors Trucks&amp;Trains'!#REF!*(2-$AS$81)</f>
        <v>#REF!</v>
      </c>
      <c r="AR146" s="8" t="e">
        <f>AR111*'Emission factors Trucks&amp;Trains'!#REF!*(2-$AS$81)</f>
        <v>#REF!</v>
      </c>
      <c r="AS146" s="8" t="e">
        <f>AS111*'Emission factors Trucks&amp;Trains'!#REF!*(2-$AS$81)</f>
        <v>#REF!</v>
      </c>
      <c r="AT146" s="8" t="e">
        <f>AT111*'Emission factors Trucks&amp;Trains'!#REF!*(2-$AS$81)</f>
        <v>#REF!</v>
      </c>
      <c r="AU146" s="8" t="e">
        <f>AU111*'Emission factors Trucks&amp;Trains'!#REF!*(2-$AS$81)</f>
        <v>#REF!</v>
      </c>
      <c r="AV146" s="8" t="e">
        <f>AV111*'Emission factors Trucks&amp;Trains'!#REF!*(2-$AS$81)</f>
        <v>#REF!</v>
      </c>
      <c r="AW146" s="8" t="e">
        <f>AW111*'Emission factors Trucks&amp;Trains'!#REF!*(2-$AS$81)</f>
        <v>#REF!</v>
      </c>
      <c r="AX146" s="8" t="e">
        <f>AX111*'Emission factors Trucks&amp;Trains'!#REF!*(2-$AS$81)</f>
        <v>#REF!</v>
      </c>
      <c r="AY146" s="8" t="e">
        <f>AY111*'Emission factors Trucks&amp;Trains'!#REF!*(2-$AS$81)</f>
        <v>#REF!</v>
      </c>
      <c r="AZ146" s="8" t="e">
        <f>AZ111*'Emission factors Trucks&amp;Trains'!#REF!*(2-$AS$81)</f>
        <v>#REF!</v>
      </c>
      <c r="BA146" s="8" t="e">
        <f>BA111*'Emission factors Trucks&amp;Trains'!#REF!*(2-$AS$81)</f>
        <v>#REF!</v>
      </c>
      <c r="BB146" s="8" t="e">
        <f>BB111*'Emission factors Trucks&amp;Trains'!#REF!*(2-$AS$81)</f>
        <v>#REF!</v>
      </c>
      <c r="BC146" s="8" t="e">
        <f>BC111*'Emission factors Trucks&amp;Trains'!#REF!*(2-$AS$81)</f>
        <v>#REF!</v>
      </c>
      <c r="BD146" s="8" t="e">
        <f>BD111*'Emission factors Trucks&amp;Trains'!#REF!*(2-$AS$81)</f>
        <v>#REF!</v>
      </c>
      <c r="BE146" s="8" t="e">
        <f>BE111*'Emission factors Trucks&amp;Trains'!#REF!*(2-$AS$81)</f>
        <v>#REF!</v>
      </c>
      <c r="BF146" s="8" t="e">
        <f>BF111*'Emission factors Trucks&amp;Trains'!#REF!*(2-$AS$81)</f>
        <v>#REF!</v>
      </c>
      <c r="BG146" s="9" t="e">
        <f>BG111*'Emission factors Trucks&amp;Trains'!#REF!*(2-$AS$81)</f>
        <v>#REF!</v>
      </c>
    </row>
    <row r="147" spans="1:59" ht="15" customHeight="1">
      <c r="A147" s="500"/>
      <c r="B147" s="136" t="s">
        <v>348</v>
      </c>
      <c r="C147" s="112" t="s">
        <v>344</v>
      </c>
      <c r="D147" s="8" t="e">
        <f>(D77+D112)*'Emission factors Trucks&amp;Trains'!#REF!*(2-$AS$81)</f>
        <v>#REF!</v>
      </c>
      <c r="E147" s="8" t="e">
        <f>(E77+E112)*'Emission factors Trucks&amp;Trains'!#REF!*(2-$AS$81)</f>
        <v>#REF!</v>
      </c>
      <c r="F147" s="8" t="e">
        <f>(F77+F112)*'Emission factors Trucks&amp;Trains'!#REF!*(2-$AS$81)</f>
        <v>#REF!</v>
      </c>
      <c r="G147" s="8" t="e">
        <f>(G77+G112)*'Emission factors Trucks&amp;Trains'!#REF!*(2-$AS$81)</f>
        <v>#REF!</v>
      </c>
      <c r="H147" s="8" t="e">
        <f>(H77+H112)*'Emission factors Trucks&amp;Trains'!#REF!*(2-$AS$81)</f>
        <v>#REF!</v>
      </c>
      <c r="I147" s="8" t="e">
        <f>(I77+I112)*'Emission factors Trucks&amp;Trains'!#REF!*(2-$AS$81)</f>
        <v>#REF!</v>
      </c>
      <c r="J147" s="8" t="e">
        <f>(J77+J112)*'Emission factors Trucks&amp;Trains'!#REF!*(2-$AS$81)</f>
        <v>#REF!</v>
      </c>
      <c r="K147" s="8" t="e">
        <f>(K77+K112)*'Emission factors Trucks&amp;Trains'!#REF!*(2-$AS$81)</f>
        <v>#REF!</v>
      </c>
      <c r="L147" s="8" t="e">
        <f>(L77+L112)*'Emission factors Trucks&amp;Trains'!#REF!*(2-$AS$81)</f>
        <v>#REF!</v>
      </c>
      <c r="M147" s="8" t="e">
        <f>(M77+M112)*'Emission factors Trucks&amp;Trains'!#REF!*(2-$AS$81)</f>
        <v>#REF!</v>
      </c>
      <c r="N147" s="8" t="e">
        <f>(N77+N112)*'Emission factors Trucks&amp;Trains'!#REF!*(2-$AS$81)</f>
        <v>#REF!</v>
      </c>
      <c r="O147" s="8" t="e">
        <f>(O77+O112)*'Emission factors Trucks&amp;Trains'!#REF!*(2-$AS$81)</f>
        <v>#REF!</v>
      </c>
      <c r="P147" s="8" t="e">
        <f>(P77+P112)*'Emission factors Trucks&amp;Trains'!#REF!*(2-$AS$81)</f>
        <v>#REF!</v>
      </c>
      <c r="Q147" s="8" t="e">
        <f>(Q77+Q112)*'Emission factors Trucks&amp;Trains'!#REF!*(2-$AS$81)</f>
        <v>#REF!</v>
      </c>
      <c r="R147" s="8" t="e">
        <f>(R77+R112)*'Emission factors Trucks&amp;Trains'!#REF!*(2-$AS$81)</f>
        <v>#REF!</v>
      </c>
      <c r="S147" s="8" t="e">
        <f>(S77+S112)*'Emission factors Trucks&amp;Trains'!#REF!*(2-$AS$81)</f>
        <v>#REF!</v>
      </c>
      <c r="T147" s="8" t="e">
        <f>(T77+T112)*'Emission factors Trucks&amp;Trains'!#REF!*(2-$AS$81)</f>
        <v>#REF!</v>
      </c>
      <c r="U147" s="8" t="e">
        <f>(U77+U112)*'Emission factors Trucks&amp;Trains'!#REF!*(2-$AS$81)</f>
        <v>#REF!</v>
      </c>
      <c r="V147" s="8" t="e">
        <f>(V77+V112)*'Emission factors Trucks&amp;Trains'!#REF!*(2-$AS$81)</f>
        <v>#REF!</v>
      </c>
      <c r="W147" s="8" t="e">
        <f>(W77+W112)*'Emission factors Trucks&amp;Trains'!#REF!*(2-$AS$81)</f>
        <v>#REF!</v>
      </c>
      <c r="X147" s="8" t="e">
        <f>(X77+X112)*'Emission factors Trucks&amp;Trains'!#REF!*(2-$AS$81)</f>
        <v>#REF!</v>
      </c>
      <c r="Y147" s="8" t="e">
        <f>(Y77+Y112)*'Emission factors Trucks&amp;Trains'!#REF!*(2-$AS$81)</f>
        <v>#REF!</v>
      </c>
      <c r="Z147" s="8" t="e">
        <f>(Z77+Z112)*'Emission factors Trucks&amp;Trains'!#REF!*(2-$AS$81)</f>
        <v>#REF!</v>
      </c>
      <c r="AA147" s="8" t="e">
        <f>(AA77+AA112)*'Emission factors Trucks&amp;Trains'!#REF!*(2-$AS$81)</f>
        <v>#REF!</v>
      </c>
      <c r="AB147" s="8" t="e">
        <f>(AB77+AB112)*'Emission factors Trucks&amp;Trains'!#REF!*(2-$AS$81)</f>
        <v>#REF!</v>
      </c>
      <c r="AF147" s="464"/>
      <c r="AG147" s="136" t="s">
        <v>348</v>
      </c>
      <c r="AH147" s="6" t="s">
        <v>344</v>
      </c>
      <c r="AI147" s="21" t="e">
        <f>AI111*'Emission factors Trucks&amp;Trains'!#REF!*(2-$AS$81)</f>
        <v>#REF!</v>
      </c>
      <c r="AJ147" s="8" t="e">
        <f>AJ111*'Emission factors Trucks&amp;Trains'!#REF!*(2-$AS$81)</f>
        <v>#REF!</v>
      </c>
      <c r="AK147" s="8" t="e">
        <f>AK111*'Emission factors Trucks&amp;Trains'!#REF!*(2-$AS$81)</f>
        <v>#REF!</v>
      </c>
      <c r="AL147" s="8" t="e">
        <f>AL111*'Emission factors Trucks&amp;Trains'!#REF!*(2-$AS$81)</f>
        <v>#REF!</v>
      </c>
      <c r="AM147" s="8" t="e">
        <f>AM111*'Emission factors Trucks&amp;Trains'!#REF!*(2-$AS$81)</f>
        <v>#REF!</v>
      </c>
      <c r="AN147" s="8" t="e">
        <f>AN111*'Emission factors Trucks&amp;Trains'!#REF!*(2-$AS$81)</f>
        <v>#REF!</v>
      </c>
      <c r="AO147" s="8" t="e">
        <f>AO111*'Emission factors Trucks&amp;Trains'!#REF!*(2-$AS$81)</f>
        <v>#REF!</v>
      </c>
      <c r="AP147" s="8" t="e">
        <f>AP111*'Emission factors Trucks&amp;Trains'!#REF!*(2-$AS$81)</f>
        <v>#REF!</v>
      </c>
      <c r="AQ147" s="8" t="e">
        <f>AQ111*'Emission factors Trucks&amp;Trains'!#REF!*(2-$AS$81)</f>
        <v>#REF!</v>
      </c>
      <c r="AR147" s="8" t="e">
        <f>AR111*'Emission factors Trucks&amp;Trains'!#REF!*(2-$AS$81)</f>
        <v>#REF!</v>
      </c>
      <c r="AS147" s="8" t="e">
        <f>AS111*'Emission factors Trucks&amp;Trains'!#REF!*(2-$AS$81)</f>
        <v>#REF!</v>
      </c>
      <c r="AT147" s="8" t="e">
        <f>AT111*'Emission factors Trucks&amp;Trains'!#REF!*(2-$AS$81)</f>
        <v>#REF!</v>
      </c>
      <c r="AU147" s="8" t="e">
        <f>AU111*'Emission factors Trucks&amp;Trains'!#REF!*(2-$AS$81)</f>
        <v>#REF!</v>
      </c>
      <c r="AV147" s="8" t="e">
        <f>AV111*'Emission factors Trucks&amp;Trains'!#REF!*(2-$AS$81)</f>
        <v>#REF!</v>
      </c>
      <c r="AW147" s="8" t="e">
        <f>AW111*'Emission factors Trucks&amp;Trains'!#REF!*(2-$AS$81)</f>
        <v>#REF!</v>
      </c>
      <c r="AX147" s="8" t="e">
        <f>AX111*'Emission factors Trucks&amp;Trains'!#REF!*(2-$AS$81)</f>
        <v>#REF!</v>
      </c>
      <c r="AY147" s="8" t="e">
        <f>AY111*'Emission factors Trucks&amp;Trains'!#REF!*(2-$AS$81)</f>
        <v>#REF!</v>
      </c>
      <c r="AZ147" s="8" t="e">
        <f>AZ111*'Emission factors Trucks&amp;Trains'!#REF!*(2-$AS$81)</f>
        <v>#REF!</v>
      </c>
      <c r="BA147" s="8" t="e">
        <f>BA111*'Emission factors Trucks&amp;Trains'!#REF!*(2-$AS$81)</f>
        <v>#REF!</v>
      </c>
      <c r="BB147" s="8" t="e">
        <f>BB111*'Emission factors Trucks&amp;Trains'!#REF!*(2-$AS$81)</f>
        <v>#REF!</v>
      </c>
      <c r="BC147" s="8" t="e">
        <f>BC111*'Emission factors Trucks&amp;Trains'!#REF!*(2-$AS$81)</f>
        <v>#REF!</v>
      </c>
      <c r="BD147" s="8" t="e">
        <f>BD111*'Emission factors Trucks&amp;Trains'!#REF!*(2-$AS$81)</f>
        <v>#REF!</v>
      </c>
      <c r="BE147" s="8" t="e">
        <f>BE111*'Emission factors Trucks&amp;Trains'!#REF!*(2-$AS$81)</f>
        <v>#REF!</v>
      </c>
      <c r="BF147" s="8" t="e">
        <f>BF111*'Emission factors Trucks&amp;Trains'!#REF!*(2-$AS$81)</f>
        <v>#REF!</v>
      </c>
      <c r="BG147" s="9" t="e">
        <f>BG111*'Emission factors Trucks&amp;Trains'!#REF!*(2-$AS$81)</f>
        <v>#REF!</v>
      </c>
    </row>
    <row r="148" spans="1:59" ht="15" customHeight="1">
      <c r="A148" s="500"/>
      <c r="B148" s="136" t="s">
        <v>349</v>
      </c>
      <c r="C148" s="112" t="s">
        <v>344</v>
      </c>
      <c r="D148" s="8" t="e">
        <f>(D77+D112)*'Emission factors Trucks&amp;Trains'!#REF!*(2-$AS$81)</f>
        <v>#REF!</v>
      </c>
      <c r="E148" s="8" t="e">
        <f>(E77+E112)*'Emission factors Trucks&amp;Trains'!#REF!*(2-$AS$81)</f>
        <v>#REF!</v>
      </c>
      <c r="F148" s="8" t="e">
        <f>(F77+F112)*'Emission factors Trucks&amp;Trains'!#REF!*(2-$AS$81)</f>
        <v>#REF!</v>
      </c>
      <c r="G148" s="8" t="e">
        <f>(G77+G112)*'Emission factors Trucks&amp;Trains'!#REF!*(2-$AS$81)</f>
        <v>#REF!</v>
      </c>
      <c r="H148" s="8" t="e">
        <f>(H77+H112)*'Emission factors Trucks&amp;Trains'!#REF!*(2-$AS$81)</f>
        <v>#REF!</v>
      </c>
      <c r="I148" s="8" t="e">
        <f>(I77+I112)*'Emission factors Trucks&amp;Trains'!#REF!*(2-$AS$81)</f>
        <v>#REF!</v>
      </c>
      <c r="J148" s="8" t="e">
        <f>(J77+J112)*'Emission factors Trucks&amp;Trains'!#REF!*(2-$AS$81)</f>
        <v>#REF!</v>
      </c>
      <c r="K148" s="8" t="e">
        <f>(K77+K112)*'Emission factors Trucks&amp;Trains'!#REF!*(2-$AS$81)</f>
        <v>#REF!</v>
      </c>
      <c r="L148" s="8" t="e">
        <f>(L77+L112)*'Emission factors Trucks&amp;Trains'!#REF!*(2-$AS$81)</f>
        <v>#REF!</v>
      </c>
      <c r="M148" s="8" t="e">
        <f>(M77+M112)*'Emission factors Trucks&amp;Trains'!#REF!*(2-$AS$81)</f>
        <v>#REF!</v>
      </c>
      <c r="N148" s="8" t="e">
        <f>(N77+N112)*'Emission factors Trucks&amp;Trains'!#REF!*(2-$AS$81)</f>
        <v>#REF!</v>
      </c>
      <c r="O148" s="8" t="e">
        <f>(O77+O112)*'Emission factors Trucks&amp;Trains'!#REF!*(2-$AS$81)</f>
        <v>#REF!</v>
      </c>
      <c r="P148" s="8" t="e">
        <f>(P77+P112)*'Emission factors Trucks&amp;Trains'!#REF!*(2-$AS$81)</f>
        <v>#REF!</v>
      </c>
      <c r="Q148" s="8" t="e">
        <f>(Q77+Q112)*'Emission factors Trucks&amp;Trains'!#REF!*(2-$AS$81)</f>
        <v>#REF!</v>
      </c>
      <c r="R148" s="8" t="e">
        <f>(R77+R112)*'Emission factors Trucks&amp;Trains'!#REF!*(2-$AS$81)</f>
        <v>#REF!</v>
      </c>
      <c r="S148" s="8" t="e">
        <f>(S77+S112)*'Emission factors Trucks&amp;Trains'!#REF!*(2-$AS$81)</f>
        <v>#REF!</v>
      </c>
      <c r="T148" s="8" t="e">
        <f>(T77+T112)*'Emission factors Trucks&amp;Trains'!#REF!*(2-$AS$81)</f>
        <v>#REF!</v>
      </c>
      <c r="U148" s="8" t="e">
        <f>(U77+U112)*'Emission factors Trucks&amp;Trains'!#REF!*(2-$AS$81)</f>
        <v>#REF!</v>
      </c>
      <c r="V148" s="8" t="e">
        <f>(V77+V112)*'Emission factors Trucks&amp;Trains'!#REF!*(2-$AS$81)</f>
        <v>#REF!</v>
      </c>
      <c r="W148" s="8" t="e">
        <f>(W77+W112)*'Emission factors Trucks&amp;Trains'!#REF!*(2-$AS$81)</f>
        <v>#REF!</v>
      </c>
      <c r="X148" s="8" t="e">
        <f>(X77+X112)*'Emission factors Trucks&amp;Trains'!#REF!*(2-$AS$81)</f>
        <v>#REF!</v>
      </c>
      <c r="Y148" s="8" t="e">
        <f>(Y77+Y112)*'Emission factors Trucks&amp;Trains'!#REF!*(2-$AS$81)</f>
        <v>#REF!</v>
      </c>
      <c r="Z148" s="8" t="e">
        <f>(Z77+Z112)*'Emission factors Trucks&amp;Trains'!#REF!*(2-$AS$81)</f>
        <v>#REF!</v>
      </c>
      <c r="AA148" s="8" t="e">
        <f>(AA77+AA112)*'Emission factors Trucks&amp;Trains'!#REF!*(2-$AS$81)</f>
        <v>#REF!</v>
      </c>
      <c r="AB148" s="8" t="e">
        <f>(AB77+AB112)*'Emission factors Trucks&amp;Trains'!#REF!*(2-$AS$81)</f>
        <v>#REF!</v>
      </c>
      <c r="AF148" s="464"/>
      <c r="AG148" s="136" t="s">
        <v>349</v>
      </c>
      <c r="AH148" s="6" t="s">
        <v>344</v>
      </c>
      <c r="AI148" s="21" t="e">
        <f>AI111*'Emission factors Trucks&amp;Trains'!#REF!*(2-$AS$81)</f>
        <v>#REF!</v>
      </c>
      <c r="AJ148" s="8" t="e">
        <f>AJ111*'Emission factors Trucks&amp;Trains'!#REF!*(2-$AS$81)</f>
        <v>#REF!</v>
      </c>
      <c r="AK148" s="8" t="e">
        <f>AK111*'Emission factors Trucks&amp;Trains'!#REF!*(2-$AS$81)</f>
        <v>#REF!</v>
      </c>
      <c r="AL148" s="8" t="e">
        <f>AL111*'Emission factors Trucks&amp;Trains'!#REF!*(2-$AS$81)</f>
        <v>#REF!</v>
      </c>
      <c r="AM148" s="8" t="e">
        <f>AM111*'Emission factors Trucks&amp;Trains'!#REF!*(2-$AS$81)</f>
        <v>#REF!</v>
      </c>
      <c r="AN148" s="8" t="e">
        <f>AN111*'Emission factors Trucks&amp;Trains'!#REF!*(2-$AS$81)</f>
        <v>#REF!</v>
      </c>
      <c r="AO148" s="8" t="e">
        <f>AO111*'Emission factors Trucks&amp;Trains'!#REF!*(2-$AS$81)</f>
        <v>#REF!</v>
      </c>
      <c r="AP148" s="8" t="e">
        <f>AP111*'Emission factors Trucks&amp;Trains'!#REF!*(2-$AS$81)</f>
        <v>#REF!</v>
      </c>
      <c r="AQ148" s="8" t="e">
        <f>AQ111*'Emission factors Trucks&amp;Trains'!#REF!*(2-$AS$81)</f>
        <v>#REF!</v>
      </c>
      <c r="AR148" s="8" t="e">
        <f>AR111*'Emission factors Trucks&amp;Trains'!#REF!*(2-$AS$81)</f>
        <v>#REF!</v>
      </c>
      <c r="AS148" s="8" t="e">
        <f>AS111*'Emission factors Trucks&amp;Trains'!#REF!*(2-$AS$81)</f>
        <v>#REF!</v>
      </c>
      <c r="AT148" s="8" t="e">
        <f>AT111*'Emission factors Trucks&amp;Trains'!#REF!*(2-$AS$81)</f>
        <v>#REF!</v>
      </c>
      <c r="AU148" s="8" t="e">
        <f>AU111*'Emission factors Trucks&amp;Trains'!#REF!*(2-$AS$81)</f>
        <v>#REF!</v>
      </c>
      <c r="AV148" s="8" t="e">
        <f>AV111*'Emission factors Trucks&amp;Trains'!#REF!*(2-$AS$81)</f>
        <v>#REF!</v>
      </c>
      <c r="AW148" s="8" t="e">
        <f>AW111*'Emission factors Trucks&amp;Trains'!#REF!*(2-$AS$81)</f>
        <v>#REF!</v>
      </c>
      <c r="AX148" s="8" t="e">
        <f>AX111*'Emission factors Trucks&amp;Trains'!#REF!*(2-$AS$81)</f>
        <v>#REF!</v>
      </c>
      <c r="AY148" s="8" t="e">
        <f>AY111*'Emission factors Trucks&amp;Trains'!#REF!*(2-$AS$81)</f>
        <v>#REF!</v>
      </c>
      <c r="AZ148" s="8" t="e">
        <f>AZ111*'Emission factors Trucks&amp;Trains'!#REF!*(2-$AS$81)</f>
        <v>#REF!</v>
      </c>
      <c r="BA148" s="8" t="e">
        <f>BA111*'Emission factors Trucks&amp;Trains'!#REF!*(2-$AS$81)</f>
        <v>#REF!</v>
      </c>
      <c r="BB148" s="8" t="e">
        <f>BB111*'Emission factors Trucks&amp;Trains'!#REF!*(2-$AS$81)</f>
        <v>#REF!</v>
      </c>
      <c r="BC148" s="8" t="e">
        <f>BC111*'Emission factors Trucks&amp;Trains'!#REF!*(2-$AS$81)</f>
        <v>#REF!</v>
      </c>
      <c r="BD148" s="8" t="e">
        <f>BD111*'Emission factors Trucks&amp;Trains'!#REF!*(2-$AS$81)</f>
        <v>#REF!</v>
      </c>
      <c r="BE148" s="8" t="e">
        <f>BE111*'Emission factors Trucks&amp;Trains'!#REF!*(2-$AS$81)</f>
        <v>#REF!</v>
      </c>
      <c r="BF148" s="8" t="e">
        <f>BF111*'Emission factors Trucks&amp;Trains'!#REF!*(2-$AS$81)</f>
        <v>#REF!</v>
      </c>
      <c r="BG148" s="9" t="e">
        <f>BG111*'Emission factors Trucks&amp;Trains'!#REF!*(2-$AS$81)</f>
        <v>#REF!</v>
      </c>
    </row>
    <row r="149" spans="1:59" ht="15" customHeight="1">
      <c r="A149" s="500"/>
      <c r="B149" s="136" t="s">
        <v>246</v>
      </c>
      <c r="C149" s="112" t="s">
        <v>344</v>
      </c>
      <c r="D149" s="8">
        <f>(D77+D112)*'Emission factors Trucks&amp;Trains'!B6*(2-$AS$81)</f>
        <v>0</v>
      </c>
      <c r="E149" s="8">
        <f>(E77+E112)*'Emission factors Trucks&amp;Trains'!C6*(2-$AS$81)</f>
        <v>0</v>
      </c>
      <c r="F149" s="8">
        <f>(F77+F112)*'Emission factors Trucks&amp;Trains'!D6*(2-$AS$81)</f>
        <v>0</v>
      </c>
      <c r="G149" s="8">
        <f>(G77+G112)*'Emission factors Trucks&amp;Trains'!E6*(2-$AS$81)</f>
        <v>0</v>
      </c>
      <c r="H149" s="8">
        <f>(H77+H112)*'Emission factors Trucks&amp;Trains'!F6*(2-$AS$81)</f>
        <v>6008.7115751647925</v>
      </c>
      <c r="I149" s="8">
        <f>(I77+I112)*'Emission factors Trucks&amp;Trains'!G6*(2-$AS$81)</f>
        <v>50902.277251391024</v>
      </c>
      <c r="J149" s="8">
        <f>(J77+J112)*'Emission factors Trucks&amp;Trains'!H6*(2-$AS$81)</f>
        <v>75858.688511574423</v>
      </c>
      <c r="K149" s="8">
        <f>(K77+K112)*'Emission factors Trucks&amp;Trains'!I6*(2-$AS$81)</f>
        <v>89252.781454646174</v>
      </c>
      <c r="L149" s="8">
        <f>(L77+L112)*'Emission factors Trucks&amp;Trains'!J6*(2-$AS$81)</f>
        <v>95246.281171380557</v>
      </c>
      <c r="M149" s="8">
        <f>(M77+M112)*'Emission factors Trucks&amp;Trains'!K6*(2-$AS$81)</f>
        <v>97051.497474101139</v>
      </c>
      <c r="N149" s="8">
        <f>(N77+N112)*'Emission factors Trucks&amp;Trains'!L6*(2-$AS$81)</f>
        <v>96587.897168302792</v>
      </c>
      <c r="O149" s="8">
        <f>(O77+O112)*'Emission factors Trucks&amp;Trains'!M6*(2-$AS$81)</f>
        <v>95124.198391233847</v>
      </c>
      <c r="P149" s="8">
        <f>(P77+P112)*'Emission factors Trucks&amp;Trains'!N6*(2-$AS$81)</f>
        <v>93753.241076000733</v>
      </c>
      <c r="Q149" s="8">
        <f>(Q77+Q112)*'Emission factors Trucks&amp;Trains'!O6*(2-$AS$81)</f>
        <v>89748.498794574218</v>
      </c>
      <c r="R149" s="8">
        <f>(R77+R112)*'Emission factors Trucks&amp;Trains'!P6*(2-$AS$81)</f>
        <v>85227.352131129534</v>
      </c>
      <c r="S149" s="8">
        <f>(S77+S112)*'Emission factors Trucks&amp;Trains'!Q6*(2-$AS$81)</f>
        <v>80782.345961292755</v>
      </c>
      <c r="T149" s="8">
        <f>(T77+T112)*'Emission factors Trucks&amp;Trains'!R6*(2-$AS$81)</f>
        <v>76421.030213409365</v>
      </c>
      <c r="U149" s="8">
        <f>(U77+U112)*'Emission factors Trucks&amp;Trains'!S6*(2-$AS$81)</f>
        <v>73395.518691508696</v>
      </c>
      <c r="V149" s="8">
        <f>(V77+V112)*'Emission factors Trucks&amp;Trains'!T6*(2-$AS$81)</f>
        <v>70919.140793600149</v>
      </c>
      <c r="W149" s="8">
        <f>(W77+W112)*'Emission factors Trucks&amp;Trains'!U6*(2-$AS$81)</f>
        <v>67995.932164386337</v>
      </c>
      <c r="X149" s="8">
        <f>(X77+X112)*'Emission factors Trucks&amp;Trains'!V6*(2-$AS$81)</f>
        <v>64732.826036633087</v>
      </c>
      <c r="Y149" s="8">
        <f>(Y77+Y112)*'Emission factors Trucks&amp;Trains'!W6*(2-$AS$81)</f>
        <v>63394.134874715797</v>
      </c>
      <c r="Z149" s="8">
        <f>(Z77+Z112)*'Emission factors Trucks&amp;Trains'!X6*(2-$AS$81)</f>
        <v>62016.500415255563</v>
      </c>
      <c r="AA149" s="8">
        <f>(AA77+AA112)*'Emission factors Trucks&amp;Trains'!Y6*(2-$AS$81)</f>
        <v>60707.662721140121</v>
      </c>
      <c r="AB149" s="8">
        <f>(AB77+AB112)*'Emission factors Trucks&amp;Trains'!Z6*(2-$AS$81)</f>
        <v>59094.318086035091</v>
      </c>
      <c r="AF149" s="464"/>
      <c r="AG149" s="136" t="s">
        <v>246</v>
      </c>
      <c r="AH149" s="6" t="s">
        <v>344</v>
      </c>
      <c r="AI149" s="21">
        <f>AI111*'Emission factors Trucks&amp;Trains'!B6*(2-$AS$81)</f>
        <v>0</v>
      </c>
      <c r="AJ149" s="21">
        <f>AJ111*'Emission factors Trucks&amp;Trains'!C6*(2-$AS$81)</f>
        <v>0</v>
      </c>
      <c r="AK149" s="21">
        <f>AK111*'Emission factors Trucks&amp;Trains'!D6*(2-$AS$81)</f>
        <v>0</v>
      </c>
      <c r="AL149" s="21">
        <f>AL111*'Emission factors Trucks&amp;Trains'!E6*(2-$AS$81)</f>
        <v>0</v>
      </c>
      <c r="AM149" s="21">
        <f>AM111*'Emission factors Trucks&amp;Trains'!F6*(2-$AS$81)</f>
        <v>0</v>
      </c>
      <c r="AN149" s="21">
        <f>AN111*'Emission factors Trucks&amp;Trains'!G6*(2-$AS$81)</f>
        <v>0</v>
      </c>
      <c r="AO149" s="21">
        <f>AO111*'Emission factors Trucks&amp;Trains'!H6*(2-$AS$81)</f>
        <v>0</v>
      </c>
      <c r="AP149" s="21">
        <f>AP111*'Emission factors Trucks&amp;Trains'!I6*(2-$AS$81)</f>
        <v>0</v>
      </c>
      <c r="AQ149" s="21">
        <f>AQ111*'Emission factors Trucks&amp;Trains'!J6*(2-$AS$81)</f>
        <v>0</v>
      </c>
      <c r="AR149" s="21">
        <f>AR111*'Emission factors Trucks&amp;Trains'!K6*(2-$AS$81)</f>
        <v>0</v>
      </c>
      <c r="AS149" s="21">
        <f>AS111*'Emission factors Trucks&amp;Trains'!L6*(2-$AS$81)</f>
        <v>0</v>
      </c>
      <c r="AT149" s="21">
        <f>AT111*'Emission factors Trucks&amp;Trains'!M6*(2-$AS$81)</f>
        <v>0</v>
      </c>
      <c r="AU149" s="21">
        <f>AU111*'Emission factors Trucks&amp;Trains'!N6*(2-$AS$81)</f>
        <v>0</v>
      </c>
      <c r="AV149" s="21">
        <f>AV111*'Emission factors Trucks&amp;Trains'!O6*(2-$AS$81)</f>
        <v>0</v>
      </c>
      <c r="AW149" s="21">
        <f>AW111*'Emission factors Trucks&amp;Trains'!P6*(2-$AS$81)</f>
        <v>0</v>
      </c>
      <c r="AX149" s="21">
        <f>AX111*'Emission factors Trucks&amp;Trains'!Q6*(2-$AS$81)</f>
        <v>0</v>
      </c>
      <c r="AY149" s="21">
        <f>AY111*'Emission factors Trucks&amp;Trains'!R6*(2-$AS$81)</f>
        <v>0</v>
      </c>
      <c r="AZ149" s="21">
        <f>AZ111*'Emission factors Trucks&amp;Trains'!S6*(2-$AS$81)</f>
        <v>0</v>
      </c>
      <c r="BA149" s="21">
        <f>BA111*'Emission factors Trucks&amp;Trains'!T6*(2-$AS$81)</f>
        <v>0</v>
      </c>
      <c r="BB149" s="21">
        <f>BB111*'Emission factors Trucks&amp;Trains'!U6*(2-$AS$81)</f>
        <v>0</v>
      </c>
      <c r="BC149" s="21">
        <f>BC111*'Emission factors Trucks&amp;Trains'!V6*(2-$AS$81)</f>
        <v>0</v>
      </c>
      <c r="BD149" s="21">
        <f>BD111*'Emission factors Trucks&amp;Trains'!W6*(2-$AS$81)</f>
        <v>0</v>
      </c>
      <c r="BE149" s="21">
        <f>BE111*'Emission factors Trucks&amp;Trains'!X6*(2-$AS$81)</f>
        <v>0</v>
      </c>
      <c r="BF149" s="21">
        <f>BF111*'Emission factors Trucks&amp;Trains'!Y6*(2-$AS$81)</f>
        <v>0</v>
      </c>
      <c r="BG149" s="21">
        <f>BG111*'Emission factors Trucks&amp;Trains'!Z6*(2-$AS$81)</f>
        <v>0</v>
      </c>
    </row>
    <row r="150" spans="1:59" ht="15" customHeight="1">
      <c r="A150" s="500"/>
      <c r="B150" s="2" t="s">
        <v>122</v>
      </c>
      <c r="C150" s="13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F150" s="464"/>
      <c r="AG150" s="2" t="s">
        <v>34</v>
      </c>
      <c r="AI150" s="21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9"/>
    </row>
    <row r="151" spans="1:59" ht="15" customHeight="1">
      <c r="A151" s="500"/>
      <c r="B151" s="136" t="s">
        <v>343</v>
      </c>
      <c r="C151" s="112" t="s">
        <v>344</v>
      </c>
      <c r="D151" s="8" t="e">
        <f>(D82+D117)*'Emission factors Trucks&amp;Trains'!#REF!*(2-$AS$81)</f>
        <v>#REF!</v>
      </c>
      <c r="E151" s="8" t="e">
        <f>(E82+E117)*'Emission factors Trucks&amp;Trains'!#REF!*(2-$AS$81)</f>
        <v>#REF!</v>
      </c>
      <c r="F151" s="8" t="e">
        <f>(F82+F117)*'Emission factors Trucks&amp;Trains'!#REF!*(2-$AS$81)</f>
        <v>#REF!</v>
      </c>
      <c r="G151" s="8" t="e">
        <f>(G82+G117)*'Emission factors Trucks&amp;Trains'!#REF!*(2-$AS$81)</f>
        <v>#REF!</v>
      </c>
      <c r="H151" s="8" t="e">
        <f>(H82+H117)*'Emission factors Trucks&amp;Trains'!#REF!*(2-$AS$81)</f>
        <v>#REF!</v>
      </c>
      <c r="I151" s="8" t="e">
        <f>(I82+I117)*'Emission factors Trucks&amp;Trains'!#REF!*(2-$AS$81)</f>
        <v>#REF!</v>
      </c>
      <c r="J151" s="8" t="e">
        <f>(J82+J117)*'Emission factors Trucks&amp;Trains'!#REF!*(2-$AS$81)</f>
        <v>#REF!</v>
      </c>
      <c r="K151" s="8" t="e">
        <f>(K82+K117)*'Emission factors Trucks&amp;Trains'!#REF!*(2-$AS$81)</f>
        <v>#REF!</v>
      </c>
      <c r="L151" s="8" t="e">
        <f>(L82+L117)*'Emission factors Trucks&amp;Trains'!#REF!*(2-$AS$81)</f>
        <v>#REF!</v>
      </c>
      <c r="M151" s="8" t="e">
        <f>(M82+M117)*'Emission factors Trucks&amp;Trains'!#REF!*(2-$AS$81)</f>
        <v>#REF!</v>
      </c>
      <c r="N151" s="8" t="e">
        <f>(N82+N117)*'Emission factors Trucks&amp;Trains'!#REF!*(2-$AS$81)</f>
        <v>#REF!</v>
      </c>
      <c r="O151" s="8" t="e">
        <f>(O82+O117)*'Emission factors Trucks&amp;Trains'!#REF!*(2-$AS$81)</f>
        <v>#REF!</v>
      </c>
      <c r="P151" s="8" t="e">
        <f>(P82+P117)*'Emission factors Trucks&amp;Trains'!#REF!*(2-$AS$81)</f>
        <v>#REF!</v>
      </c>
      <c r="Q151" s="8" t="e">
        <f>(Q82+Q117)*'Emission factors Trucks&amp;Trains'!#REF!*(2-$AS$81)</f>
        <v>#REF!</v>
      </c>
      <c r="R151" s="8" t="e">
        <f>(R82+R117)*'Emission factors Trucks&amp;Trains'!#REF!*(2-$AS$81)</f>
        <v>#REF!</v>
      </c>
      <c r="S151" s="8" t="e">
        <f>(S82+S117)*'Emission factors Trucks&amp;Trains'!#REF!*(2-$AS$81)</f>
        <v>#REF!</v>
      </c>
      <c r="T151" s="8" t="e">
        <f>(T82+T117)*'Emission factors Trucks&amp;Trains'!#REF!*(2-$AS$81)</f>
        <v>#REF!</v>
      </c>
      <c r="U151" s="8" t="e">
        <f>(U82+U117)*'Emission factors Trucks&amp;Trains'!#REF!*(2-$AS$81)</f>
        <v>#REF!</v>
      </c>
      <c r="V151" s="8" t="e">
        <f>(V82+V117)*'Emission factors Trucks&amp;Trains'!#REF!*(2-$AS$81)</f>
        <v>#REF!</v>
      </c>
      <c r="W151" s="8" t="e">
        <f>(W82+W117)*'Emission factors Trucks&amp;Trains'!#REF!*(2-$AS$81)</f>
        <v>#REF!</v>
      </c>
      <c r="X151" s="8" t="e">
        <f>(X82+X117)*'Emission factors Trucks&amp;Trains'!#REF!*(2-$AS$81)</f>
        <v>#REF!</v>
      </c>
      <c r="Y151" s="8" t="e">
        <f>(Y82+Y117)*'Emission factors Trucks&amp;Trains'!#REF!*(2-$AS$81)</f>
        <v>#REF!</v>
      </c>
      <c r="Z151" s="8" t="e">
        <f>(Z82+Z117)*'Emission factors Trucks&amp;Trains'!#REF!*(2-$AS$81)</f>
        <v>#REF!</v>
      </c>
      <c r="AA151" s="8" t="e">
        <f>(AA82+AA117)*'Emission factors Trucks&amp;Trains'!#REF!*(2-$AS$81)</f>
        <v>#REF!</v>
      </c>
      <c r="AB151" s="8" t="e">
        <f>(AB82+AB117)*'Emission factors Trucks&amp;Trains'!#REF!*(2-$AS$81)</f>
        <v>#REF!</v>
      </c>
      <c r="AF151" s="464"/>
      <c r="AG151" s="136" t="s">
        <v>343</v>
      </c>
      <c r="AH151" s="6" t="s">
        <v>344</v>
      </c>
      <c r="AI151" s="21" t="e">
        <f>AI112*'Emission factors Trucks&amp;Trains'!#REF!*(2-$AS$81)</f>
        <v>#REF!</v>
      </c>
      <c r="AJ151" s="8" t="e">
        <f>AJ112*'Emission factors Trucks&amp;Trains'!#REF!*(2-$AS$81)</f>
        <v>#REF!</v>
      </c>
      <c r="AK151" s="8" t="e">
        <f>AK112*'Emission factors Trucks&amp;Trains'!#REF!*(2-$AS$81)</f>
        <v>#REF!</v>
      </c>
      <c r="AL151" s="8" t="e">
        <f>AL112*'Emission factors Trucks&amp;Trains'!#REF!*(2-$AS$81)</f>
        <v>#REF!</v>
      </c>
      <c r="AM151" s="8" t="e">
        <f>AM112*'Emission factors Trucks&amp;Trains'!#REF!*(2-$AS$81)</f>
        <v>#REF!</v>
      </c>
      <c r="AN151" s="8" t="e">
        <f>AN112*'Emission factors Trucks&amp;Trains'!#REF!*(2-$AS$81)</f>
        <v>#REF!</v>
      </c>
      <c r="AO151" s="8" t="e">
        <f>AO112*'Emission factors Trucks&amp;Trains'!#REF!*(2-$AS$81)</f>
        <v>#REF!</v>
      </c>
      <c r="AP151" s="8" t="e">
        <f>AP112*'Emission factors Trucks&amp;Trains'!#REF!*(2-$AS$81)</f>
        <v>#REF!</v>
      </c>
      <c r="AQ151" s="8" t="e">
        <f>AQ112*'Emission factors Trucks&amp;Trains'!#REF!*(2-$AS$81)</f>
        <v>#REF!</v>
      </c>
      <c r="AR151" s="8" t="e">
        <f>AR112*'Emission factors Trucks&amp;Trains'!#REF!*(2-$AS$81)</f>
        <v>#REF!</v>
      </c>
      <c r="AS151" s="8" t="e">
        <f>AS112*'Emission factors Trucks&amp;Trains'!#REF!*(2-$AS$81)</f>
        <v>#REF!</v>
      </c>
      <c r="AT151" s="8" t="e">
        <f>AT112*'Emission factors Trucks&amp;Trains'!#REF!*(2-$AS$81)</f>
        <v>#REF!</v>
      </c>
      <c r="AU151" s="8" t="e">
        <f>AU112*'Emission factors Trucks&amp;Trains'!#REF!*(2-$AS$81)</f>
        <v>#REF!</v>
      </c>
      <c r="AV151" s="8" t="e">
        <f>AV112*'Emission factors Trucks&amp;Trains'!#REF!*(2-$AS$81)</f>
        <v>#REF!</v>
      </c>
      <c r="AW151" s="8" t="e">
        <f>AW112*'Emission factors Trucks&amp;Trains'!#REF!*(2-$AS$81)</f>
        <v>#REF!</v>
      </c>
      <c r="AX151" s="8" t="e">
        <f>AX112*'Emission factors Trucks&amp;Trains'!#REF!*(2-$AS$81)</f>
        <v>#REF!</v>
      </c>
      <c r="AY151" s="8" t="e">
        <f>AY112*'Emission factors Trucks&amp;Trains'!#REF!*(2-$AS$81)</f>
        <v>#REF!</v>
      </c>
      <c r="AZ151" s="8" t="e">
        <f>AZ112*'Emission factors Trucks&amp;Trains'!#REF!*(2-$AS$81)</f>
        <v>#REF!</v>
      </c>
      <c r="BA151" s="8" t="e">
        <f>BA112*'Emission factors Trucks&amp;Trains'!#REF!*(2-$AS$81)</f>
        <v>#REF!</v>
      </c>
      <c r="BB151" s="8" t="e">
        <f>BB112*'Emission factors Trucks&amp;Trains'!#REF!*(2-$AS$81)</f>
        <v>#REF!</v>
      </c>
      <c r="BC151" s="8" t="e">
        <f>BC112*'Emission factors Trucks&amp;Trains'!#REF!*(2-$AS$81)</f>
        <v>#REF!</v>
      </c>
      <c r="BD151" s="8" t="e">
        <f>BD112*'Emission factors Trucks&amp;Trains'!#REF!*(2-$AS$81)</f>
        <v>#REF!</v>
      </c>
      <c r="BE151" s="8" t="e">
        <f>BE112*'Emission factors Trucks&amp;Trains'!#REF!*(2-$AS$81)</f>
        <v>#REF!</v>
      </c>
      <c r="BF151" s="8" t="e">
        <f>BF112*'Emission factors Trucks&amp;Trains'!#REF!*(2-$AS$81)</f>
        <v>#REF!</v>
      </c>
      <c r="BG151" s="9" t="e">
        <f>BG112*'Emission factors Trucks&amp;Trains'!#REF!*(2-$AS$81)</f>
        <v>#REF!</v>
      </c>
    </row>
    <row r="152" spans="1:59" ht="15" customHeight="1">
      <c r="A152" s="500"/>
      <c r="B152" s="136" t="s">
        <v>345</v>
      </c>
      <c r="C152" s="112" t="s">
        <v>344</v>
      </c>
      <c r="D152" s="8" t="e">
        <f>(D82+D117)*'Emission factors Trucks&amp;Trains'!#REF!*(2-$AS$81)</f>
        <v>#REF!</v>
      </c>
      <c r="E152" s="8" t="e">
        <f>(E82+E117)*'Emission factors Trucks&amp;Trains'!#REF!*(2-$AS$81)</f>
        <v>#REF!</v>
      </c>
      <c r="F152" s="8" t="e">
        <f>(F82+F117)*'Emission factors Trucks&amp;Trains'!#REF!*(2-$AS$81)</f>
        <v>#REF!</v>
      </c>
      <c r="G152" s="8" t="e">
        <f>(G82+G117)*'Emission factors Trucks&amp;Trains'!#REF!*(2-$AS$81)</f>
        <v>#REF!</v>
      </c>
      <c r="H152" s="8" t="e">
        <f>(H82+H117)*'Emission factors Trucks&amp;Trains'!#REF!*(2-$AS$81)</f>
        <v>#REF!</v>
      </c>
      <c r="I152" s="8" t="e">
        <f>(I82+I117)*'Emission factors Trucks&amp;Trains'!#REF!*(2-$AS$81)</f>
        <v>#REF!</v>
      </c>
      <c r="J152" s="8" t="e">
        <f>(J82+J117)*'Emission factors Trucks&amp;Trains'!#REF!*(2-$AS$81)</f>
        <v>#REF!</v>
      </c>
      <c r="K152" s="8" t="e">
        <f>(K82+K117)*'Emission factors Trucks&amp;Trains'!#REF!*(2-$AS$81)</f>
        <v>#REF!</v>
      </c>
      <c r="L152" s="8" t="e">
        <f>(L82+L117)*'Emission factors Trucks&amp;Trains'!#REF!*(2-$AS$81)</f>
        <v>#REF!</v>
      </c>
      <c r="M152" s="8" t="e">
        <f>(M82+M117)*'Emission factors Trucks&amp;Trains'!#REF!*(2-$AS$81)</f>
        <v>#REF!</v>
      </c>
      <c r="N152" s="8" t="e">
        <f>(N82+N117)*'Emission factors Trucks&amp;Trains'!#REF!*(2-$AS$81)</f>
        <v>#REF!</v>
      </c>
      <c r="O152" s="8" t="e">
        <f>(O82+O117)*'Emission factors Trucks&amp;Trains'!#REF!*(2-$AS$81)</f>
        <v>#REF!</v>
      </c>
      <c r="P152" s="8" t="e">
        <f>(P82+P117)*'Emission factors Trucks&amp;Trains'!#REF!*(2-$AS$81)</f>
        <v>#REF!</v>
      </c>
      <c r="Q152" s="8" t="e">
        <f>(Q82+Q117)*'Emission factors Trucks&amp;Trains'!#REF!*(2-$AS$81)</f>
        <v>#REF!</v>
      </c>
      <c r="R152" s="8" t="e">
        <f>(R82+R117)*'Emission factors Trucks&amp;Trains'!#REF!*(2-$AS$81)</f>
        <v>#REF!</v>
      </c>
      <c r="S152" s="8" t="e">
        <f>(S82+S117)*'Emission factors Trucks&amp;Trains'!#REF!*(2-$AS$81)</f>
        <v>#REF!</v>
      </c>
      <c r="T152" s="8" t="e">
        <f>(T82+T117)*'Emission factors Trucks&amp;Trains'!#REF!*(2-$AS$81)</f>
        <v>#REF!</v>
      </c>
      <c r="U152" s="8" t="e">
        <f>(U82+U117)*'Emission factors Trucks&amp;Trains'!#REF!*(2-$AS$81)</f>
        <v>#REF!</v>
      </c>
      <c r="V152" s="8" t="e">
        <f>(V82+V117)*'Emission factors Trucks&amp;Trains'!#REF!*(2-$AS$81)</f>
        <v>#REF!</v>
      </c>
      <c r="W152" s="8" t="e">
        <f>(W82+W117)*'Emission factors Trucks&amp;Trains'!#REF!*(2-$AS$81)</f>
        <v>#REF!</v>
      </c>
      <c r="X152" s="8" t="e">
        <f>(X82+X117)*'Emission factors Trucks&amp;Trains'!#REF!*(2-$AS$81)</f>
        <v>#REF!</v>
      </c>
      <c r="Y152" s="8" t="e">
        <f>(Y82+Y117)*'Emission factors Trucks&amp;Trains'!#REF!*(2-$AS$81)</f>
        <v>#REF!</v>
      </c>
      <c r="Z152" s="8" t="e">
        <f>(Z82+Z117)*'Emission factors Trucks&amp;Trains'!#REF!*(2-$AS$81)</f>
        <v>#REF!</v>
      </c>
      <c r="AA152" s="8" t="e">
        <f>(AA82+AA117)*'Emission factors Trucks&amp;Trains'!#REF!*(2-$AS$81)</f>
        <v>#REF!</v>
      </c>
      <c r="AB152" s="8" t="e">
        <f>(AB82+AB117)*'Emission factors Trucks&amp;Trains'!#REF!*(2-$AS$81)</f>
        <v>#REF!</v>
      </c>
      <c r="AF152" s="464"/>
      <c r="AG152" s="136" t="s">
        <v>345</v>
      </c>
      <c r="AH152" s="6" t="s">
        <v>344</v>
      </c>
      <c r="AI152" s="21" t="e">
        <f>AI112*'Emission factors Trucks&amp;Trains'!#REF!*(2-$AS$81)</f>
        <v>#REF!</v>
      </c>
      <c r="AJ152" s="8" t="e">
        <f>AJ112*'Emission factors Trucks&amp;Trains'!#REF!*(2-$AS$81)</f>
        <v>#REF!</v>
      </c>
      <c r="AK152" s="8" t="e">
        <f>AK112*'Emission factors Trucks&amp;Trains'!#REF!*(2-$AS$81)</f>
        <v>#REF!</v>
      </c>
      <c r="AL152" s="8" t="e">
        <f>AL112*'Emission factors Trucks&amp;Trains'!#REF!*(2-$AS$81)</f>
        <v>#REF!</v>
      </c>
      <c r="AM152" s="8" t="e">
        <f>AM112*'Emission factors Trucks&amp;Trains'!#REF!*(2-$AS$81)</f>
        <v>#REF!</v>
      </c>
      <c r="AN152" s="8" t="e">
        <f>AN112*'Emission factors Trucks&amp;Trains'!#REF!*(2-$AS$81)</f>
        <v>#REF!</v>
      </c>
      <c r="AO152" s="8" t="e">
        <f>AO112*'Emission factors Trucks&amp;Trains'!#REF!*(2-$AS$81)</f>
        <v>#REF!</v>
      </c>
      <c r="AP152" s="8" t="e">
        <f>AP112*'Emission factors Trucks&amp;Trains'!#REF!*(2-$AS$81)</f>
        <v>#REF!</v>
      </c>
      <c r="AQ152" s="8" t="e">
        <f>AQ112*'Emission factors Trucks&amp;Trains'!#REF!*(2-$AS$81)</f>
        <v>#REF!</v>
      </c>
      <c r="AR152" s="8" t="e">
        <f>AR112*'Emission factors Trucks&amp;Trains'!#REF!*(2-$AS$81)</f>
        <v>#REF!</v>
      </c>
      <c r="AS152" s="8" t="e">
        <f>AS112*'Emission factors Trucks&amp;Trains'!#REF!*(2-$AS$81)</f>
        <v>#REF!</v>
      </c>
      <c r="AT152" s="8" t="e">
        <f>AT112*'Emission factors Trucks&amp;Trains'!#REF!*(2-$AS$81)</f>
        <v>#REF!</v>
      </c>
      <c r="AU152" s="8" t="e">
        <f>AU112*'Emission factors Trucks&amp;Trains'!#REF!*(2-$AS$81)</f>
        <v>#REF!</v>
      </c>
      <c r="AV152" s="8" t="e">
        <f>AV112*'Emission factors Trucks&amp;Trains'!#REF!*(2-$AS$81)</f>
        <v>#REF!</v>
      </c>
      <c r="AW152" s="8" t="e">
        <f>AW112*'Emission factors Trucks&amp;Trains'!#REF!*(2-$AS$81)</f>
        <v>#REF!</v>
      </c>
      <c r="AX152" s="8" t="e">
        <f>AX112*'Emission factors Trucks&amp;Trains'!#REF!*(2-$AS$81)</f>
        <v>#REF!</v>
      </c>
      <c r="AY152" s="8" t="e">
        <f>AY112*'Emission factors Trucks&amp;Trains'!#REF!*(2-$AS$81)</f>
        <v>#REF!</v>
      </c>
      <c r="AZ152" s="8" t="e">
        <f>AZ112*'Emission factors Trucks&amp;Trains'!#REF!*(2-$AS$81)</f>
        <v>#REF!</v>
      </c>
      <c r="BA152" s="8" t="e">
        <f>BA112*'Emission factors Trucks&amp;Trains'!#REF!*(2-$AS$81)</f>
        <v>#REF!</v>
      </c>
      <c r="BB152" s="8" t="e">
        <f>BB112*'Emission factors Trucks&amp;Trains'!#REF!*(2-$AS$81)</f>
        <v>#REF!</v>
      </c>
      <c r="BC152" s="8" t="e">
        <f>BC112*'Emission factors Trucks&amp;Trains'!#REF!*(2-$AS$81)</f>
        <v>#REF!</v>
      </c>
      <c r="BD152" s="8" t="e">
        <f>BD112*'Emission factors Trucks&amp;Trains'!#REF!*(2-$AS$81)</f>
        <v>#REF!</v>
      </c>
      <c r="BE152" s="8" t="e">
        <f>BE112*'Emission factors Trucks&amp;Trains'!#REF!*(2-$AS$81)</f>
        <v>#REF!</v>
      </c>
      <c r="BF152" s="8" t="e">
        <f>BF112*'Emission factors Trucks&amp;Trains'!#REF!*(2-$AS$81)</f>
        <v>#REF!</v>
      </c>
      <c r="BG152" s="9" t="e">
        <f>BG112*'Emission factors Trucks&amp;Trains'!#REF!*(2-$AS$81)</f>
        <v>#REF!</v>
      </c>
    </row>
    <row r="153" spans="1:59" ht="15" customHeight="1">
      <c r="A153" s="500"/>
      <c r="B153" s="136" t="s">
        <v>346</v>
      </c>
      <c r="C153" s="112" t="s">
        <v>344</v>
      </c>
      <c r="D153" s="8" t="e">
        <f>(D82+D117)*'Emission factors Trucks&amp;Trains'!#REF!*(2-$AS$81)</f>
        <v>#REF!</v>
      </c>
      <c r="E153" s="8" t="e">
        <f>(E82+E117)*'Emission factors Trucks&amp;Trains'!#REF!*(2-$AS$81)</f>
        <v>#REF!</v>
      </c>
      <c r="F153" s="8" t="e">
        <f>(F82+F117)*'Emission factors Trucks&amp;Trains'!#REF!*(2-$AS$81)</f>
        <v>#REF!</v>
      </c>
      <c r="G153" s="8" t="e">
        <f>(G82+G117)*'Emission factors Trucks&amp;Trains'!#REF!*(2-$AS$81)</f>
        <v>#REF!</v>
      </c>
      <c r="H153" s="8" t="e">
        <f>(H82+H117)*'Emission factors Trucks&amp;Trains'!#REF!*(2-$AS$81)</f>
        <v>#REF!</v>
      </c>
      <c r="I153" s="8" t="e">
        <f>(I82+I117)*'Emission factors Trucks&amp;Trains'!#REF!*(2-$AS$81)</f>
        <v>#REF!</v>
      </c>
      <c r="J153" s="8" t="e">
        <f>(J82+J117)*'Emission factors Trucks&amp;Trains'!#REF!*(2-$AS$81)</f>
        <v>#REF!</v>
      </c>
      <c r="K153" s="8" t="e">
        <f>(K82+K117)*'Emission factors Trucks&amp;Trains'!#REF!*(2-$AS$81)</f>
        <v>#REF!</v>
      </c>
      <c r="L153" s="8" t="e">
        <f>(L82+L117)*'Emission factors Trucks&amp;Trains'!#REF!*(2-$AS$81)</f>
        <v>#REF!</v>
      </c>
      <c r="M153" s="8" t="e">
        <f>(M82+M117)*'Emission factors Trucks&amp;Trains'!#REF!*(2-$AS$81)</f>
        <v>#REF!</v>
      </c>
      <c r="N153" s="8" t="e">
        <f>(N82+N117)*'Emission factors Trucks&amp;Trains'!#REF!*(2-$AS$81)</f>
        <v>#REF!</v>
      </c>
      <c r="O153" s="8" t="e">
        <f>(O82+O117)*'Emission factors Trucks&amp;Trains'!#REF!*(2-$AS$81)</f>
        <v>#REF!</v>
      </c>
      <c r="P153" s="8" t="e">
        <f>(P82+P117)*'Emission factors Trucks&amp;Trains'!#REF!*(2-$AS$81)</f>
        <v>#REF!</v>
      </c>
      <c r="Q153" s="8" t="e">
        <f>(Q82+Q117)*'Emission factors Trucks&amp;Trains'!#REF!*(2-$AS$81)</f>
        <v>#REF!</v>
      </c>
      <c r="R153" s="8" t="e">
        <f>(R82+R117)*'Emission factors Trucks&amp;Trains'!#REF!*(2-$AS$81)</f>
        <v>#REF!</v>
      </c>
      <c r="S153" s="8" t="e">
        <f>(S82+S117)*'Emission factors Trucks&amp;Trains'!#REF!*(2-$AS$81)</f>
        <v>#REF!</v>
      </c>
      <c r="T153" s="8" t="e">
        <f>(T82+T117)*'Emission factors Trucks&amp;Trains'!#REF!*(2-$AS$81)</f>
        <v>#REF!</v>
      </c>
      <c r="U153" s="8" t="e">
        <f>(U82+U117)*'Emission factors Trucks&amp;Trains'!#REF!*(2-$AS$81)</f>
        <v>#REF!</v>
      </c>
      <c r="V153" s="8" t="e">
        <f>(V82+V117)*'Emission factors Trucks&amp;Trains'!#REF!*(2-$AS$81)</f>
        <v>#REF!</v>
      </c>
      <c r="W153" s="8" t="e">
        <f>(W82+W117)*'Emission factors Trucks&amp;Trains'!#REF!*(2-$AS$81)</f>
        <v>#REF!</v>
      </c>
      <c r="X153" s="8" t="e">
        <f>(X82+X117)*'Emission factors Trucks&amp;Trains'!#REF!*(2-$AS$81)</f>
        <v>#REF!</v>
      </c>
      <c r="Y153" s="8" t="e">
        <f>(Y82+Y117)*'Emission factors Trucks&amp;Trains'!#REF!*(2-$AS$81)</f>
        <v>#REF!</v>
      </c>
      <c r="Z153" s="8" t="e">
        <f>(Z82+Z117)*'Emission factors Trucks&amp;Trains'!#REF!*(2-$AS$81)</f>
        <v>#REF!</v>
      </c>
      <c r="AA153" s="8" t="e">
        <f>(AA82+AA117)*'Emission factors Trucks&amp;Trains'!#REF!*(2-$AS$81)</f>
        <v>#REF!</v>
      </c>
      <c r="AB153" s="8" t="e">
        <f>(AB82+AB117)*'Emission factors Trucks&amp;Trains'!#REF!*(2-$AS$81)</f>
        <v>#REF!</v>
      </c>
      <c r="AF153" s="464"/>
      <c r="AG153" s="136" t="s">
        <v>346</v>
      </c>
      <c r="AH153" s="6" t="s">
        <v>344</v>
      </c>
      <c r="AI153" s="21" t="e">
        <f>AI112*'Emission factors Trucks&amp;Trains'!#REF!*(2-$AS$81)</f>
        <v>#REF!</v>
      </c>
      <c r="AJ153" s="8" t="e">
        <f>AJ112*'Emission factors Trucks&amp;Trains'!#REF!*(2-$AS$81)</f>
        <v>#REF!</v>
      </c>
      <c r="AK153" s="8" t="e">
        <f>AK112*'Emission factors Trucks&amp;Trains'!#REF!*(2-$AS$81)</f>
        <v>#REF!</v>
      </c>
      <c r="AL153" s="8" t="e">
        <f>AL112*'Emission factors Trucks&amp;Trains'!#REF!*(2-$AS$81)</f>
        <v>#REF!</v>
      </c>
      <c r="AM153" s="8" t="e">
        <f>AM112*'Emission factors Trucks&amp;Trains'!#REF!*(2-$AS$81)</f>
        <v>#REF!</v>
      </c>
      <c r="AN153" s="8" t="e">
        <f>AN112*'Emission factors Trucks&amp;Trains'!#REF!*(2-$AS$81)</f>
        <v>#REF!</v>
      </c>
      <c r="AO153" s="8" t="e">
        <f>AO112*'Emission factors Trucks&amp;Trains'!#REF!*(2-$AS$81)</f>
        <v>#REF!</v>
      </c>
      <c r="AP153" s="8" t="e">
        <f>AP112*'Emission factors Trucks&amp;Trains'!#REF!*(2-$AS$81)</f>
        <v>#REF!</v>
      </c>
      <c r="AQ153" s="8" t="e">
        <f>AQ112*'Emission factors Trucks&amp;Trains'!#REF!*(2-$AS$81)</f>
        <v>#REF!</v>
      </c>
      <c r="AR153" s="8" t="e">
        <f>AR112*'Emission factors Trucks&amp;Trains'!#REF!*(2-$AS$81)</f>
        <v>#REF!</v>
      </c>
      <c r="AS153" s="8" t="e">
        <f>AS112*'Emission factors Trucks&amp;Trains'!#REF!*(2-$AS$81)</f>
        <v>#REF!</v>
      </c>
      <c r="AT153" s="8" t="e">
        <f>AT112*'Emission factors Trucks&amp;Trains'!#REF!*(2-$AS$81)</f>
        <v>#REF!</v>
      </c>
      <c r="AU153" s="8" t="e">
        <f>AU112*'Emission factors Trucks&amp;Trains'!#REF!*(2-$AS$81)</f>
        <v>#REF!</v>
      </c>
      <c r="AV153" s="8" t="e">
        <f>AV112*'Emission factors Trucks&amp;Trains'!#REF!*(2-$AS$81)</f>
        <v>#REF!</v>
      </c>
      <c r="AW153" s="8" t="e">
        <f>AW112*'Emission factors Trucks&amp;Trains'!#REF!*(2-$AS$81)</f>
        <v>#REF!</v>
      </c>
      <c r="AX153" s="8" t="e">
        <f>AX112*'Emission factors Trucks&amp;Trains'!#REF!*(2-$AS$81)</f>
        <v>#REF!</v>
      </c>
      <c r="AY153" s="8" t="e">
        <f>AY112*'Emission factors Trucks&amp;Trains'!#REF!*(2-$AS$81)</f>
        <v>#REF!</v>
      </c>
      <c r="AZ153" s="8" t="e">
        <f>AZ112*'Emission factors Trucks&amp;Trains'!#REF!*(2-$AS$81)</f>
        <v>#REF!</v>
      </c>
      <c r="BA153" s="8" t="e">
        <f>BA112*'Emission factors Trucks&amp;Trains'!#REF!*(2-$AS$81)</f>
        <v>#REF!</v>
      </c>
      <c r="BB153" s="8" t="e">
        <f>BB112*'Emission factors Trucks&amp;Trains'!#REF!*(2-$AS$81)</f>
        <v>#REF!</v>
      </c>
      <c r="BC153" s="8" t="e">
        <f>BC112*'Emission factors Trucks&amp;Trains'!#REF!*(2-$AS$81)</f>
        <v>#REF!</v>
      </c>
      <c r="BD153" s="8" t="e">
        <f>BD112*'Emission factors Trucks&amp;Trains'!#REF!*(2-$AS$81)</f>
        <v>#REF!</v>
      </c>
      <c r="BE153" s="8" t="e">
        <f>BE112*'Emission factors Trucks&amp;Trains'!#REF!*(2-$AS$81)</f>
        <v>#REF!</v>
      </c>
      <c r="BF153" s="8" t="e">
        <f>BF112*'Emission factors Trucks&amp;Trains'!#REF!*(2-$AS$81)</f>
        <v>#REF!</v>
      </c>
      <c r="BG153" s="9" t="e">
        <f>BG112*'Emission factors Trucks&amp;Trains'!#REF!*(2-$AS$81)</f>
        <v>#REF!</v>
      </c>
    </row>
    <row r="154" spans="1:59" ht="15" customHeight="1">
      <c r="A154" s="500"/>
      <c r="B154" s="136" t="s">
        <v>278</v>
      </c>
      <c r="C154" s="112" t="s">
        <v>344</v>
      </c>
      <c r="D154" s="8">
        <f>(D82+D117)*'Emission factors Trucks&amp;Trains'!B5*(2-$AS$81)</f>
        <v>0</v>
      </c>
      <c r="E154" s="8">
        <f>(E82+E117)*'Emission factors Trucks&amp;Trains'!C5*(2-$AS$81)</f>
        <v>0</v>
      </c>
      <c r="F154" s="8">
        <f>(F82+F117)*'Emission factors Trucks&amp;Trains'!D5*(2-$AS$81)</f>
        <v>0</v>
      </c>
      <c r="G154" s="8">
        <f>(G82+G117)*'Emission factors Trucks&amp;Trains'!E5*(2-$AS$81)</f>
        <v>0</v>
      </c>
      <c r="H154" s="8">
        <f>(H82+H117)*'Emission factors Trucks&amp;Trains'!F5*(2-$AS$81)</f>
        <v>7516.0180864481945</v>
      </c>
      <c r="I154" s="8">
        <f>(I82+I117)*'Emission factors Trucks&amp;Trains'!G5*(2-$AS$81)</f>
        <v>65402.799783881026</v>
      </c>
      <c r="J154" s="8">
        <f>(J82+J117)*'Emission factors Trucks&amp;Trains'!H5*(2-$AS$81)</f>
        <v>107688.38452006257</v>
      </c>
      <c r="K154" s="8">
        <f>(K82+K117)*'Emission factors Trucks&amp;Trains'!I5*(2-$AS$81)</f>
        <v>133117.28369779588</v>
      </c>
      <c r="L154" s="8">
        <f>(L82+L117)*'Emission factors Trucks&amp;Trains'!J5*(2-$AS$81)</f>
        <v>150198.93119142414</v>
      </c>
      <c r="M154" s="8">
        <f>(M82+M117)*'Emission factors Trucks&amp;Trains'!K5*(2-$AS$81)</f>
        <v>161129.01800063194</v>
      </c>
      <c r="N154" s="8">
        <f>(N82+N117)*'Emission factors Trucks&amp;Trains'!L5*(2-$AS$81)</f>
        <v>168683.15124953035</v>
      </c>
      <c r="O154" s="8">
        <f>(O82+O117)*'Emission factors Trucks&amp;Trains'!M5*(2-$AS$81)</f>
        <v>174860.95261821573</v>
      </c>
      <c r="P154" s="8">
        <f>(P82+P117)*'Emission factors Trucks&amp;Trains'!N5*(2-$AS$81)</f>
        <v>180803.81592942838</v>
      </c>
      <c r="Q154" s="8">
        <f>(Q82+Q117)*'Emission factors Trucks&amp;Trains'!O5*(2-$AS$81)</f>
        <v>181696.71479511869</v>
      </c>
      <c r="R154" s="8">
        <f>(R82+R117)*'Emission factors Trucks&amp;Trains'!P5*(2-$AS$81)</f>
        <v>190946.82310756671</v>
      </c>
      <c r="S154" s="8">
        <f>(S82+S117)*'Emission factors Trucks&amp;Trains'!Q5*(2-$AS$81)</f>
        <v>192280.72811096796</v>
      </c>
      <c r="T154" s="8">
        <f>(T82+T117)*'Emission factors Trucks&amp;Trains'!R5*(2-$AS$81)</f>
        <v>193758.01301749988</v>
      </c>
      <c r="U154" s="8">
        <f>(U82+U117)*'Emission factors Trucks&amp;Trains'!S5*(2-$AS$81)</f>
        <v>186244.75393110284</v>
      </c>
      <c r="V154" s="8">
        <f>(V82+V117)*'Emission factors Trucks&amp;Trains'!T5*(2-$AS$81)</f>
        <v>184063.47683820748</v>
      </c>
      <c r="W154" s="8">
        <f>(W82+W117)*'Emission factors Trucks&amp;Trains'!U5*(2-$AS$81)</f>
        <v>187738.66487379264</v>
      </c>
      <c r="X154" s="8">
        <f>(X82+X117)*'Emission factors Trucks&amp;Trains'!V5*(2-$AS$81)</f>
        <v>195806.93461018213</v>
      </c>
      <c r="Y154" s="8">
        <f>(Y82+Y117)*'Emission factors Trucks&amp;Trains'!W5*(2-$AS$81)</f>
        <v>199554.26861516258</v>
      </c>
      <c r="Z154" s="8">
        <f>(Z82+Z117)*'Emission factors Trucks&amp;Trains'!X5*(2-$AS$81)</f>
        <v>204745.0802780719</v>
      </c>
      <c r="AA154" s="8">
        <f>(AA82+AA117)*'Emission factors Trucks&amp;Trains'!Y5*(2-$AS$81)</f>
        <v>210505.84666659901</v>
      </c>
      <c r="AB154" s="8">
        <f>(AB82+AB117)*'Emission factors Trucks&amp;Trains'!Z5*(2-$AS$81)</f>
        <v>219037.17695116307</v>
      </c>
      <c r="AF154" s="464"/>
      <c r="AG154" s="136" t="s">
        <v>278</v>
      </c>
      <c r="AH154" s="6" t="s">
        <v>344</v>
      </c>
      <c r="AI154" s="21">
        <f>AI112*'Emission factors Trucks&amp;Trains'!B5*(2-$AS$81)</f>
        <v>0</v>
      </c>
      <c r="AJ154" s="21">
        <f>AJ112*'Emission factors Trucks&amp;Trains'!C5*(2-$AS$81)</f>
        <v>0</v>
      </c>
      <c r="AK154" s="21">
        <f>AK112*'Emission factors Trucks&amp;Trains'!D5*(2-$AS$81)</f>
        <v>14595299.379201442</v>
      </c>
      <c r="AL154" s="21">
        <f>AL112*'Emission factors Trucks&amp;Trains'!E5*(2-$AS$81)</f>
        <v>30574608.642558374</v>
      </c>
      <c r="AM154" s="21">
        <f>AM112*'Emission factors Trucks&amp;Trains'!F5*(2-$AS$81)</f>
        <v>31350810.171439052</v>
      </c>
      <c r="AN154" s="21">
        <f>AN112*'Emission factors Trucks&amp;Trains'!G5*(2-$AS$81)</f>
        <v>26286935.442719918</v>
      </c>
      <c r="AO154" s="21">
        <f>AO112*'Emission factors Trucks&amp;Trains'!H5*(2-$AS$81)</f>
        <v>19970297.385025498</v>
      </c>
      <c r="AP154" s="21">
        <f>AP112*'Emission factors Trucks&amp;Trains'!I5*(2-$AS$81)</f>
        <v>17445896.833471198</v>
      </c>
      <c r="AQ154" s="21">
        <f>AQ112*'Emission factors Trucks&amp;Trains'!J5*(2-$AS$81)</f>
        <v>15293413.976167217</v>
      </c>
      <c r="AR154" s="21">
        <f>AR112*'Emission factors Trucks&amp;Trains'!K5*(2-$AS$81)</f>
        <v>13394888.554903854</v>
      </c>
      <c r="AS154" s="21">
        <f>AS112*'Emission factors Trucks&amp;Trains'!L5*(2-$AS$81)</f>
        <v>11795615.226682419</v>
      </c>
      <c r="AT154" s="21">
        <f>AT112*'Emission factors Trucks&amp;Trains'!M5*(2-$AS$81)</f>
        <v>10489419.624209113</v>
      </c>
      <c r="AU154" s="21">
        <f>AU112*'Emission factors Trucks&amp;Trains'!N5*(2-$AS$81)</f>
        <v>9329916.0703098346</v>
      </c>
      <c r="AV154" s="21">
        <f>AV112*'Emission factors Trucks&amp;Trains'!O5*(2-$AS$81)</f>
        <v>8277536.9116202826</v>
      </c>
      <c r="AW154" s="21">
        <f>AW112*'Emission factors Trucks&amp;Trains'!P5*(2-$AS$81)</f>
        <v>7727657.1473213136</v>
      </c>
      <c r="AX154" s="21">
        <f>AX112*'Emission factors Trucks&amp;Trains'!Q5*(2-$AS$81)</f>
        <v>6950886.0824353928</v>
      </c>
      <c r="AY154" s="21">
        <f>AY112*'Emission factors Trucks&amp;Trains'!R5*(2-$AS$81)</f>
        <v>6287372.3670667317</v>
      </c>
      <c r="AZ154" s="21">
        <f>AZ112*'Emission factors Trucks&amp;Trains'!S5*(2-$AS$81)</f>
        <v>6216204.505165277</v>
      </c>
      <c r="BA154" s="21">
        <f>BA112*'Emission factors Trucks&amp;Trains'!T5*(2-$AS$81)</f>
        <v>6217558.6274018809</v>
      </c>
      <c r="BB154" s="21">
        <f>BB112*'Emission factors Trucks&amp;Trains'!U5*(2-$AS$81)</f>
        <v>5965774.8906713137</v>
      </c>
      <c r="BC154" s="21">
        <f>BC112*'Emission factors Trucks&amp;Trains'!V5*(2-$AS$81)</f>
        <v>5555407.8646740336</v>
      </c>
      <c r="BD154" s="21">
        <f>BD112*'Emission factors Trucks&amp;Trains'!W5*(2-$AS$81)</f>
        <v>5408062.2075374238</v>
      </c>
      <c r="BE154" s="21">
        <f>BE112*'Emission factors Trucks&amp;Trains'!X5*(2-$AS$81)</f>
        <v>5222405.0981109897</v>
      </c>
      <c r="BF154" s="21">
        <f>BF112*'Emission factors Trucks&amp;Trains'!Y5*(2-$AS$81)</f>
        <v>5050942.012095144</v>
      </c>
      <c r="BG154" s="21">
        <f>BG112*'Emission factors Trucks&amp;Trains'!Z5*(2-$AS$81)</f>
        <v>4768075.4910213742</v>
      </c>
    </row>
    <row r="155" spans="1:59" ht="15" customHeight="1">
      <c r="A155" s="500"/>
      <c r="B155" s="136" t="s">
        <v>347</v>
      </c>
      <c r="C155" s="112" t="s">
        <v>344</v>
      </c>
      <c r="D155" s="8" t="e">
        <f>(D82+D117)*'Emission factors Trucks&amp;Trains'!#REF!*(2-$AS$81)</f>
        <v>#REF!</v>
      </c>
      <c r="E155" s="8" t="e">
        <f>(E82+E117)*'Emission factors Trucks&amp;Trains'!#REF!*(2-$AS$81)</f>
        <v>#REF!</v>
      </c>
      <c r="F155" s="8" t="e">
        <f>(F82+F117)*'Emission factors Trucks&amp;Trains'!#REF!*(2-$AS$81)</f>
        <v>#REF!</v>
      </c>
      <c r="G155" s="8" t="e">
        <f>(G82+G117)*'Emission factors Trucks&amp;Trains'!#REF!*(2-$AS$81)</f>
        <v>#REF!</v>
      </c>
      <c r="H155" s="8" t="e">
        <f>(H82+H117)*'Emission factors Trucks&amp;Trains'!#REF!*(2-$AS$81)</f>
        <v>#REF!</v>
      </c>
      <c r="I155" s="8" t="e">
        <f>(I82+I117)*'Emission factors Trucks&amp;Trains'!#REF!*(2-$AS$81)</f>
        <v>#REF!</v>
      </c>
      <c r="J155" s="8" t="e">
        <f>(J82+J117)*'Emission factors Trucks&amp;Trains'!#REF!*(2-$AS$81)</f>
        <v>#REF!</v>
      </c>
      <c r="K155" s="8" t="e">
        <f>(K82+K117)*'Emission factors Trucks&amp;Trains'!#REF!*(2-$AS$81)</f>
        <v>#REF!</v>
      </c>
      <c r="L155" s="8" t="e">
        <f>(L82+L117)*'Emission factors Trucks&amp;Trains'!#REF!*(2-$AS$81)</f>
        <v>#REF!</v>
      </c>
      <c r="M155" s="8" t="e">
        <f>(M82+M117)*'Emission factors Trucks&amp;Trains'!#REF!*(2-$AS$81)</f>
        <v>#REF!</v>
      </c>
      <c r="N155" s="8" t="e">
        <f>(N82+N117)*'Emission factors Trucks&amp;Trains'!#REF!*(2-$AS$81)</f>
        <v>#REF!</v>
      </c>
      <c r="O155" s="8" t="e">
        <f>(O82+O117)*'Emission factors Trucks&amp;Trains'!#REF!*(2-$AS$81)</f>
        <v>#REF!</v>
      </c>
      <c r="P155" s="8" t="e">
        <f>(P82+P117)*'Emission factors Trucks&amp;Trains'!#REF!*(2-$AS$81)</f>
        <v>#REF!</v>
      </c>
      <c r="Q155" s="8" t="e">
        <f>(Q82+Q117)*'Emission factors Trucks&amp;Trains'!#REF!*(2-$AS$81)</f>
        <v>#REF!</v>
      </c>
      <c r="R155" s="8" t="e">
        <f>(R82+R117)*'Emission factors Trucks&amp;Trains'!#REF!*(2-$AS$81)</f>
        <v>#REF!</v>
      </c>
      <c r="S155" s="8" t="e">
        <f>(S82+S117)*'Emission factors Trucks&amp;Trains'!#REF!*(2-$AS$81)</f>
        <v>#REF!</v>
      </c>
      <c r="T155" s="8" t="e">
        <f>(T82+T117)*'Emission factors Trucks&amp;Trains'!#REF!*(2-$AS$81)</f>
        <v>#REF!</v>
      </c>
      <c r="U155" s="8" t="e">
        <f>(U82+U117)*'Emission factors Trucks&amp;Trains'!#REF!*(2-$AS$81)</f>
        <v>#REF!</v>
      </c>
      <c r="V155" s="8" t="e">
        <f>(V82+V117)*'Emission factors Trucks&amp;Trains'!#REF!*(2-$AS$81)</f>
        <v>#REF!</v>
      </c>
      <c r="W155" s="8" t="e">
        <f>(W82+W117)*'Emission factors Trucks&amp;Trains'!#REF!*(2-$AS$81)</f>
        <v>#REF!</v>
      </c>
      <c r="X155" s="8" t="e">
        <f>(X82+X117)*'Emission factors Trucks&amp;Trains'!#REF!*(2-$AS$81)</f>
        <v>#REF!</v>
      </c>
      <c r="Y155" s="8" t="e">
        <f>(Y82+Y117)*'Emission factors Trucks&amp;Trains'!#REF!*(2-$AS$81)</f>
        <v>#REF!</v>
      </c>
      <c r="Z155" s="8" t="e">
        <f>(Z82+Z117)*'Emission factors Trucks&amp;Trains'!#REF!*(2-$AS$81)</f>
        <v>#REF!</v>
      </c>
      <c r="AA155" s="8" t="e">
        <f>(AA82+AA117)*'Emission factors Trucks&amp;Trains'!#REF!*(2-$AS$81)</f>
        <v>#REF!</v>
      </c>
      <c r="AB155" s="8" t="e">
        <f>(AB82+AB117)*'Emission factors Trucks&amp;Trains'!#REF!*(2-$AS$81)</f>
        <v>#REF!</v>
      </c>
      <c r="AF155" s="464"/>
      <c r="AG155" s="136" t="s">
        <v>347</v>
      </c>
      <c r="AH155" s="6" t="s">
        <v>344</v>
      </c>
      <c r="AI155" s="21" t="e">
        <f>AI112*'Emission factors Trucks&amp;Trains'!#REF!*(2-$AS$81)</f>
        <v>#REF!</v>
      </c>
      <c r="AJ155" s="8" t="e">
        <f>AJ112*'Emission factors Trucks&amp;Trains'!#REF!*(2-$AS$81)</f>
        <v>#REF!</v>
      </c>
      <c r="AK155" s="8" t="e">
        <f>AK112*'Emission factors Trucks&amp;Trains'!#REF!*(2-$AS$81)</f>
        <v>#REF!</v>
      </c>
      <c r="AL155" s="8" t="e">
        <f>AL112*'Emission factors Trucks&amp;Trains'!#REF!*(2-$AS$81)</f>
        <v>#REF!</v>
      </c>
      <c r="AM155" s="8" t="e">
        <f>AM112*'Emission factors Trucks&amp;Trains'!#REF!*(2-$AS$81)</f>
        <v>#REF!</v>
      </c>
      <c r="AN155" s="8" t="e">
        <f>AN112*'Emission factors Trucks&amp;Trains'!#REF!*(2-$AS$81)</f>
        <v>#REF!</v>
      </c>
      <c r="AO155" s="8" t="e">
        <f>AO112*'Emission factors Trucks&amp;Trains'!#REF!*(2-$AS$81)</f>
        <v>#REF!</v>
      </c>
      <c r="AP155" s="8" t="e">
        <f>AP112*'Emission factors Trucks&amp;Trains'!#REF!*(2-$AS$81)</f>
        <v>#REF!</v>
      </c>
      <c r="AQ155" s="8" t="e">
        <f>AQ112*'Emission factors Trucks&amp;Trains'!#REF!*(2-$AS$81)</f>
        <v>#REF!</v>
      </c>
      <c r="AR155" s="8" t="e">
        <f>AR112*'Emission factors Trucks&amp;Trains'!#REF!*(2-$AS$81)</f>
        <v>#REF!</v>
      </c>
      <c r="AS155" s="8" t="e">
        <f>AS112*'Emission factors Trucks&amp;Trains'!#REF!*(2-$AS$81)</f>
        <v>#REF!</v>
      </c>
      <c r="AT155" s="8" t="e">
        <f>AT112*'Emission factors Trucks&amp;Trains'!#REF!*(2-$AS$81)</f>
        <v>#REF!</v>
      </c>
      <c r="AU155" s="8" t="e">
        <f>AU112*'Emission factors Trucks&amp;Trains'!#REF!*(2-$AS$81)</f>
        <v>#REF!</v>
      </c>
      <c r="AV155" s="8" t="e">
        <f>AV112*'Emission factors Trucks&amp;Trains'!#REF!*(2-$AS$81)</f>
        <v>#REF!</v>
      </c>
      <c r="AW155" s="8" t="e">
        <f>AW112*'Emission factors Trucks&amp;Trains'!#REF!*(2-$AS$81)</f>
        <v>#REF!</v>
      </c>
      <c r="AX155" s="8" t="e">
        <f>AX112*'Emission factors Trucks&amp;Trains'!#REF!*(2-$AS$81)</f>
        <v>#REF!</v>
      </c>
      <c r="AY155" s="8" t="e">
        <f>AY112*'Emission factors Trucks&amp;Trains'!#REF!*(2-$AS$81)</f>
        <v>#REF!</v>
      </c>
      <c r="AZ155" s="8" t="e">
        <f>AZ112*'Emission factors Trucks&amp;Trains'!#REF!*(2-$AS$81)</f>
        <v>#REF!</v>
      </c>
      <c r="BA155" s="8" t="e">
        <f>BA112*'Emission factors Trucks&amp;Trains'!#REF!*(2-$AS$81)</f>
        <v>#REF!</v>
      </c>
      <c r="BB155" s="8" t="e">
        <f>BB112*'Emission factors Trucks&amp;Trains'!#REF!*(2-$AS$81)</f>
        <v>#REF!</v>
      </c>
      <c r="BC155" s="8" t="e">
        <f>BC112*'Emission factors Trucks&amp;Trains'!#REF!*(2-$AS$81)</f>
        <v>#REF!</v>
      </c>
      <c r="BD155" s="8" t="e">
        <f>BD112*'Emission factors Trucks&amp;Trains'!#REF!*(2-$AS$81)</f>
        <v>#REF!</v>
      </c>
      <c r="BE155" s="8" t="e">
        <f>BE112*'Emission factors Trucks&amp;Trains'!#REF!*(2-$AS$81)</f>
        <v>#REF!</v>
      </c>
      <c r="BF155" s="8" t="e">
        <f>BF112*'Emission factors Trucks&amp;Trains'!#REF!*(2-$AS$81)</f>
        <v>#REF!</v>
      </c>
      <c r="BG155" s="9" t="e">
        <f>BG112*'Emission factors Trucks&amp;Trains'!#REF!*(2-$AS$81)</f>
        <v>#REF!</v>
      </c>
    </row>
    <row r="156" spans="1:59" ht="15" customHeight="1">
      <c r="A156" s="500"/>
      <c r="B156" s="136" t="s">
        <v>348</v>
      </c>
      <c r="C156" s="112" t="s">
        <v>344</v>
      </c>
      <c r="D156" s="8" t="e">
        <f>(D82+D117)*'Emission factors Trucks&amp;Trains'!#REF!*(2-$AS$81)</f>
        <v>#REF!</v>
      </c>
      <c r="E156" s="8" t="e">
        <f>(E82+E117)*'Emission factors Trucks&amp;Trains'!#REF!*(2-$AS$81)</f>
        <v>#REF!</v>
      </c>
      <c r="F156" s="8" t="e">
        <f>(F82+F117)*'Emission factors Trucks&amp;Trains'!#REF!*(2-$AS$81)</f>
        <v>#REF!</v>
      </c>
      <c r="G156" s="8" t="e">
        <f>(G82+G117)*'Emission factors Trucks&amp;Trains'!#REF!*(2-$AS$81)</f>
        <v>#REF!</v>
      </c>
      <c r="H156" s="8" t="e">
        <f>(H82+H117)*'Emission factors Trucks&amp;Trains'!#REF!*(2-$AS$81)</f>
        <v>#REF!</v>
      </c>
      <c r="I156" s="8" t="e">
        <f>(I82+I117)*'Emission factors Trucks&amp;Trains'!#REF!*(2-$AS$81)</f>
        <v>#REF!</v>
      </c>
      <c r="J156" s="8" t="e">
        <f>(J82+J117)*'Emission factors Trucks&amp;Trains'!#REF!*(2-$AS$81)</f>
        <v>#REF!</v>
      </c>
      <c r="K156" s="8" t="e">
        <f>(K82+K117)*'Emission factors Trucks&amp;Trains'!#REF!*(2-$AS$81)</f>
        <v>#REF!</v>
      </c>
      <c r="L156" s="8" t="e">
        <f>(L82+L117)*'Emission factors Trucks&amp;Trains'!#REF!*(2-$AS$81)</f>
        <v>#REF!</v>
      </c>
      <c r="M156" s="8" t="e">
        <f>(M82+M117)*'Emission factors Trucks&amp;Trains'!#REF!*(2-$AS$81)</f>
        <v>#REF!</v>
      </c>
      <c r="N156" s="8" t="e">
        <f>(N82+N117)*'Emission factors Trucks&amp;Trains'!#REF!*(2-$AS$81)</f>
        <v>#REF!</v>
      </c>
      <c r="O156" s="8" t="e">
        <f>(O82+O117)*'Emission factors Trucks&amp;Trains'!#REF!*(2-$AS$81)</f>
        <v>#REF!</v>
      </c>
      <c r="P156" s="8" t="e">
        <f>(P82+P117)*'Emission factors Trucks&amp;Trains'!#REF!*(2-$AS$81)</f>
        <v>#REF!</v>
      </c>
      <c r="Q156" s="8" t="e">
        <f>(Q82+Q117)*'Emission factors Trucks&amp;Trains'!#REF!*(2-$AS$81)</f>
        <v>#REF!</v>
      </c>
      <c r="R156" s="8" t="e">
        <f>(R82+R117)*'Emission factors Trucks&amp;Trains'!#REF!*(2-$AS$81)</f>
        <v>#REF!</v>
      </c>
      <c r="S156" s="8" t="e">
        <f>(S82+S117)*'Emission factors Trucks&amp;Trains'!#REF!*(2-$AS$81)</f>
        <v>#REF!</v>
      </c>
      <c r="T156" s="8" t="e">
        <f>(T82+T117)*'Emission factors Trucks&amp;Trains'!#REF!*(2-$AS$81)</f>
        <v>#REF!</v>
      </c>
      <c r="U156" s="8" t="e">
        <f>(U82+U117)*'Emission factors Trucks&amp;Trains'!#REF!*(2-$AS$81)</f>
        <v>#REF!</v>
      </c>
      <c r="V156" s="8" t="e">
        <f>(V82+V117)*'Emission factors Trucks&amp;Trains'!#REF!*(2-$AS$81)</f>
        <v>#REF!</v>
      </c>
      <c r="W156" s="8" t="e">
        <f>(W82+W117)*'Emission factors Trucks&amp;Trains'!#REF!*(2-$AS$81)</f>
        <v>#REF!</v>
      </c>
      <c r="X156" s="8" t="e">
        <f>(X82+X117)*'Emission factors Trucks&amp;Trains'!#REF!*(2-$AS$81)</f>
        <v>#REF!</v>
      </c>
      <c r="Y156" s="8" t="e">
        <f>(Y82+Y117)*'Emission factors Trucks&amp;Trains'!#REF!*(2-$AS$81)</f>
        <v>#REF!</v>
      </c>
      <c r="Z156" s="8" t="e">
        <f>(Z82+Z117)*'Emission factors Trucks&amp;Trains'!#REF!*(2-$AS$81)</f>
        <v>#REF!</v>
      </c>
      <c r="AA156" s="8" t="e">
        <f>(AA82+AA117)*'Emission factors Trucks&amp;Trains'!#REF!*(2-$AS$81)</f>
        <v>#REF!</v>
      </c>
      <c r="AB156" s="8" t="e">
        <f>(AB82+AB117)*'Emission factors Trucks&amp;Trains'!#REF!*(2-$AS$81)</f>
        <v>#REF!</v>
      </c>
      <c r="AF156" s="464"/>
      <c r="AG156" s="136" t="s">
        <v>348</v>
      </c>
      <c r="AH156" s="6" t="s">
        <v>344</v>
      </c>
      <c r="AI156" s="21" t="e">
        <f>AI112*'Emission factors Trucks&amp;Trains'!#REF!*(2-$AS$81)</f>
        <v>#REF!</v>
      </c>
      <c r="AJ156" s="8" t="e">
        <f>AJ112*'Emission factors Trucks&amp;Trains'!#REF!*(2-$AS$81)</f>
        <v>#REF!</v>
      </c>
      <c r="AK156" s="8" t="e">
        <f>AK112*'Emission factors Trucks&amp;Trains'!#REF!*(2-$AS$81)</f>
        <v>#REF!</v>
      </c>
      <c r="AL156" s="8" t="e">
        <f>AL112*'Emission factors Trucks&amp;Trains'!#REF!*(2-$AS$81)</f>
        <v>#REF!</v>
      </c>
      <c r="AM156" s="8" t="e">
        <f>AM112*'Emission factors Trucks&amp;Trains'!#REF!*(2-$AS$81)</f>
        <v>#REF!</v>
      </c>
      <c r="AN156" s="8" t="e">
        <f>AN112*'Emission factors Trucks&amp;Trains'!#REF!*(2-$AS$81)</f>
        <v>#REF!</v>
      </c>
      <c r="AO156" s="8" t="e">
        <f>AO112*'Emission factors Trucks&amp;Trains'!#REF!*(2-$AS$81)</f>
        <v>#REF!</v>
      </c>
      <c r="AP156" s="8" t="e">
        <f>AP112*'Emission factors Trucks&amp;Trains'!#REF!*(2-$AS$81)</f>
        <v>#REF!</v>
      </c>
      <c r="AQ156" s="8" t="e">
        <f>AQ112*'Emission factors Trucks&amp;Trains'!#REF!*(2-$AS$81)</f>
        <v>#REF!</v>
      </c>
      <c r="AR156" s="8" t="e">
        <f>AR112*'Emission factors Trucks&amp;Trains'!#REF!*(2-$AS$81)</f>
        <v>#REF!</v>
      </c>
      <c r="AS156" s="8" t="e">
        <f>AS112*'Emission factors Trucks&amp;Trains'!#REF!*(2-$AS$81)</f>
        <v>#REF!</v>
      </c>
      <c r="AT156" s="8" t="e">
        <f>AT112*'Emission factors Trucks&amp;Trains'!#REF!*(2-$AS$81)</f>
        <v>#REF!</v>
      </c>
      <c r="AU156" s="8" t="e">
        <f>AU112*'Emission factors Trucks&amp;Trains'!#REF!*(2-$AS$81)</f>
        <v>#REF!</v>
      </c>
      <c r="AV156" s="8" t="e">
        <f>AV112*'Emission factors Trucks&amp;Trains'!#REF!*(2-$AS$81)</f>
        <v>#REF!</v>
      </c>
      <c r="AW156" s="8" t="e">
        <f>AW112*'Emission factors Trucks&amp;Trains'!#REF!*(2-$AS$81)</f>
        <v>#REF!</v>
      </c>
      <c r="AX156" s="8" t="e">
        <f>AX112*'Emission factors Trucks&amp;Trains'!#REF!*(2-$AS$81)</f>
        <v>#REF!</v>
      </c>
      <c r="AY156" s="8" t="e">
        <f>AY112*'Emission factors Trucks&amp;Trains'!#REF!*(2-$AS$81)</f>
        <v>#REF!</v>
      </c>
      <c r="AZ156" s="8" t="e">
        <f>AZ112*'Emission factors Trucks&amp;Trains'!#REF!*(2-$AS$81)</f>
        <v>#REF!</v>
      </c>
      <c r="BA156" s="8" t="e">
        <f>BA112*'Emission factors Trucks&amp;Trains'!#REF!*(2-$AS$81)</f>
        <v>#REF!</v>
      </c>
      <c r="BB156" s="8" t="e">
        <f>BB112*'Emission factors Trucks&amp;Trains'!#REF!*(2-$AS$81)</f>
        <v>#REF!</v>
      </c>
      <c r="BC156" s="8" t="e">
        <f>BC112*'Emission factors Trucks&amp;Trains'!#REF!*(2-$AS$81)</f>
        <v>#REF!</v>
      </c>
      <c r="BD156" s="8" t="e">
        <f>BD112*'Emission factors Trucks&amp;Trains'!#REF!*(2-$AS$81)</f>
        <v>#REF!</v>
      </c>
      <c r="BE156" s="8" t="e">
        <f>BE112*'Emission factors Trucks&amp;Trains'!#REF!*(2-$AS$81)</f>
        <v>#REF!</v>
      </c>
      <c r="BF156" s="8" t="e">
        <f>BF112*'Emission factors Trucks&amp;Trains'!#REF!*(2-$AS$81)</f>
        <v>#REF!</v>
      </c>
      <c r="BG156" s="9" t="e">
        <f>BG112*'Emission factors Trucks&amp;Trains'!#REF!*(2-$AS$81)</f>
        <v>#REF!</v>
      </c>
    </row>
    <row r="157" spans="1:59" ht="15" customHeight="1">
      <c r="A157" s="500"/>
      <c r="B157" s="136" t="s">
        <v>349</v>
      </c>
      <c r="C157" s="112" t="s">
        <v>344</v>
      </c>
      <c r="D157" s="8" t="e">
        <f>(D82+D117)*'Emission factors Trucks&amp;Trains'!#REF!*(2-$AS$81)</f>
        <v>#REF!</v>
      </c>
      <c r="E157" s="8" t="e">
        <f>(E82+E117)*'Emission factors Trucks&amp;Trains'!#REF!*(2-$AS$81)</f>
        <v>#REF!</v>
      </c>
      <c r="F157" s="8" t="e">
        <f>(F82+F117)*'Emission factors Trucks&amp;Trains'!#REF!*(2-$AS$81)</f>
        <v>#REF!</v>
      </c>
      <c r="G157" s="8" t="e">
        <f>(G82+G117)*'Emission factors Trucks&amp;Trains'!#REF!*(2-$AS$81)</f>
        <v>#REF!</v>
      </c>
      <c r="H157" s="8" t="e">
        <f>(H82+H117)*'Emission factors Trucks&amp;Trains'!#REF!*(2-$AS$81)</f>
        <v>#REF!</v>
      </c>
      <c r="I157" s="8" t="e">
        <f>(I82+I117)*'Emission factors Trucks&amp;Trains'!#REF!*(2-$AS$81)</f>
        <v>#REF!</v>
      </c>
      <c r="J157" s="8" t="e">
        <f>(J82+J117)*'Emission factors Trucks&amp;Trains'!#REF!*(2-$AS$81)</f>
        <v>#REF!</v>
      </c>
      <c r="K157" s="8" t="e">
        <f>(K82+K117)*'Emission factors Trucks&amp;Trains'!#REF!*(2-$AS$81)</f>
        <v>#REF!</v>
      </c>
      <c r="L157" s="8" t="e">
        <f>(L82+L117)*'Emission factors Trucks&amp;Trains'!#REF!*(2-$AS$81)</f>
        <v>#REF!</v>
      </c>
      <c r="M157" s="8" t="e">
        <f>(M82+M117)*'Emission factors Trucks&amp;Trains'!#REF!*(2-$AS$81)</f>
        <v>#REF!</v>
      </c>
      <c r="N157" s="8" t="e">
        <f>(N82+N117)*'Emission factors Trucks&amp;Trains'!#REF!*(2-$AS$81)</f>
        <v>#REF!</v>
      </c>
      <c r="O157" s="8" t="e">
        <f>(O82+O117)*'Emission factors Trucks&amp;Trains'!#REF!*(2-$AS$81)</f>
        <v>#REF!</v>
      </c>
      <c r="P157" s="8" t="e">
        <f>(P82+P117)*'Emission factors Trucks&amp;Trains'!#REF!*(2-$AS$81)</f>
        <v>#REF!</v>
      </c>
      <c r="Q157" s="8" t="e">
        <f>(Q82+Q117)*'Emission factors Trucks&amp;Trains'!#REF!*(2-$AS$81)</f>
        <v>#REF!</v>
      </c>
      <c r="R157" s="8" t="e">
        <f>(R82+R117)*'Emission factors Trucks&amp;Trains'!#REF!*(2-$AS$81)</f>
        <v>#REF!</v>
      </c>
      <c r="S157" s="8" t="e">
        <f>(S82+S117)*'Emission factors Trucks&amp;Trains'!#REF!*(2-$AS$81)</f>
        <v>#REF!</v>
      </c>
      <c r="T157" s="8" t="e">
        <f>(T82+T117)*'Emission factors Trucks&amp;Trains'!#REF!*(2-$AS$81)</f>
        <v>#REF!</v>
      </c>
      <c r="U157" s="8" t="e">
        <f>(U82+U117)*'Emission factors Trucks&amp;Trains'!#REF!*(2-$AS$81)</f>
        <v>#REF!</v>
      </c>
      <c r="V157" s="8" t="e">
        <f>(V82+V117)*'Emission factors Trucks&amp;Trains'!#REF!*(2-$AS$81)</f>
        <v>#REF!</v>
      </c>
      <c r="W157" s="8" t="e">
        <f>(W82+W117)*'Emission factors Trucks&amp;Trains'!#REF!*(2-$AS$81)</f>
        <v>#REF!</v>
      </c>
      <c r="X157" s="8" t="e">
        <f>(X82+X117)*'Emission factors Trucks&amp;Trains'!#REF!*(2-$AS$81)</f>
        <v>#REF!</v>
      </c>
      <c r="Y157" s="8" t="e">
        <f>(Y82+Y117)*'Emission factors Trucks&amp;Trains'!#REF!*(2-$AS$81)</f>
        <v>#REF!</v>
      </c>
      <c r="Z157" s="8" t="e">
        <f>(Z82+Z117)*'Emission factors Trucks&amp;Trains'!#REF!*(2-$AS$81)</f>
        <v>#REF!</v>
      </c>
      <c r="AA157" s="8" t="e">
        <f>(AA82+AA117)*'Emission factors Trucks&amp;Trains'!#REF!*(2-$AS$81)</f>
        <v>#REF!</v>
      </c>
      <c r="AB157" s="8" t="e">
        <f>(AB82+AB117)*'Emission factors Trucks&amp;Trains'!#REF!*(2-$AS$81)</f>
        <v>#REF!</v>
      </c>
      <c r="AF157" s="464"/>
      <c r="AG157" s="136" t="s">
        <v>349</v>
      </c>
      <c r="AH157" s="6" t="s">
        <v>344</v>
      </c>
      <c r="AI157" s="21" t="e">
        <f>AI112*'Emission factors Trucks&amp;Trains'!#REF!*(2-$AS$81)</f>
        <v>#REF!</v>
      </c>
      <c r="AJ157" s="8" t="e">
        <f>AJ112*'Emission factors Trucks&amp;Trains'!#REF!*(2-$AS$81)</f>
        <v>#REF!</v>
      </c>
      <c r="AK157" s="8" t="e">
        <f>AK112*'Emission factors Trucks&amp;Trains'!#REF!*(2-$AS$81)</f>
        <v>#REF!</v>
      </c>
      <c r="AL157" s="8" t="e">
        <f>AL112*'Emission factors Trucks&amp;Trains'!#REF!*(2-$AS$81)</f>
        <v>#REF!</v>
      </c>
      <c r="AM157" s="8" t="e">
        <f>AM112*'Emission factors Trucks&amp;Trains'!#REF!*(2-$AS$81)</f>
        <v>#REF!</v>
      </c>
      <c r="AN157" s="8" t="e">
        <f>AN112*'Emission factors Trucks&amp;Trains'!#REF!*(2-$AS$81)</f>
        <v>#REF!</v>
      </c>
      <c r="AO157" s="8" t="e">
        <f>AO112*'Emission factors Trucks&amp;Trains'!#REF!*(2-$AS$81)</f>
        <v>#REF!</v>
      </c>
      <c r="AP157" s="8" t="e">
        <f>AP112*'Emission factors Trucks&amp;Trains'!#REF!*(2-$AS$81)</f>
        <v>#REF!</v>
      </c>
      <c r="AQ157" s="8" t="e">
        <f>AQ112*'Emission factors Trucks&amp;Trains'!#REF!*(2-$AS$81)</f>
        <v>#REF!</v>
      </c>
      <c r="AR157" s="8" t="e">
        <f>AR112*'Emission factors Trucks&amp;Trains'!#REF!*(2-$AS$81)</f>
        <v>#REF!</v>
      </c>
      <c r="AS157" s="8" t="e">
        <f>AS112*'Emission factors Trucks&amp;Trains'!#REF!*(2-$AS$81)</f>
        <v>#REF!</v>
      </c>
      <c r="AT157" s="8" t="e">
        <f>AT112*'Emission factors Trucks&amp;Trains'!#REF!*(2-$AS$81)</f>
        <v>#REF!</v>
      </c>
      <c r="AU157" s="8" t="e">
        <f>AU112*'Emission factors Trucks&amp;Trains'!#REF!*(2-$AS$81)</f>
        <v>#REF!</v>
      </c>
      <c r="AV157" s="8" t="e">
        <f>AV112*'Emission factors Trucks&amp;Trains'!#REF!*(2-$AS$81)</f>
        <v>#REF!</v>
      </c>
      <c r="AW157" s="8" t="e">
        <f>AW112*'Emission factors Trucks&amp;Trains'!#REF!*(2-$AS$81)</f>
        <v>#REF!</v>
      </c>
      <c r="AX157" s="8" t="e">
        <f>AX112*'Emission factors Trucks&amp;Trains'!#REF!*(2-$AS$81)</f>
        <v>#REF!</v>
      </c>
      <c r="AY157" s="8" t="e">
        <f>AY112*'Emission factors Trucks&amp;Trains'!#REF!*(2-$AS$81)</f>
        <v>#REF!</v>
      </c>
      <c r="AZ157" s="8" t="e">
        <f>AZ112*'Emission factors Trucks&amp;Trains'!#REF!*(2-$AS$81)</f>
        <v>#REF!</v>
      </c>
      <c r="BA157" s="8" t="e">
        <f>BA112*'Emission factors Trucks&amp;Trains'!#REF!*(2-$AS$81)</f>
        <v>#REF!</v>
      </c>
      <c r="BB157" s="8" t="e">
        <f>BB112*'Emission factors Trucks&amp;Trains'!#REF!*(2-$AS$81)</f>
        <v>#REF!</v>
      </c>
      <c r="BC157" s="8" t="e">
        <f>BC112*'Emission factors Trucks&amp;Trains'!#REF!*(2-$AS$81)</f>
        <v>#REF!</v>
      </c>
      <c r="BD157" s="8" t="e">
        <f>BD112*'Emission factors Trucks&amp;Trains'!#REF!*(2-$AS$81)</f>
        <v>#REF!</v>
      </c>
      <c r="BE157" s="8" t="e">
        <f>BE112*'Emission factors Trucks&amp;Trains'!#REF!*(2-$AS$81)</f>
        <v>#REF!</v>
      </c>
      <c r="BF157" s="8" t="e">
        <f>BF112*'Emission factors Trucks&amp;Trains'!#REF!*(2-$AS$81)</f>
        <v>#REF!</v>
      </c>
      <c r="BG157" s="9" t="e">
        <f>BG112*'Emission factors Trucks&amp;Trains'!#REF!*(2-$AS$81)</f>
        <v>#REF!</v>
      </c>
    </row>
    <row r="158" spans="1:59" ht="15" customHeight="1">
      <c r="A158" s="500"/>
      <c r="B158" s="136" t="s">
        <v>246</v>
      </c>
      <c r="C158" s="112" t="s">
        <v>344</v>
      </c>
      <c r="D158" s="8">
        <f>(D82+D117)*'Emission factors Trucks&amp;Trains'!B6*(2-$AS$81)</f>
        <v>0</v>
      </c>
      <c r="E158" s="8">
        <f>(E82+E117)*'Emission factors Trucks&amp;Trains'!C6*(2-$AS$81)</f>
        <v>0</v>
      </c>
      <c r="F158" s="8">
        <f>(F82+F117)*'Emission factors Trucks&amp;Trains'!D6*(2-$AS$81)</f>
        <v>0</v>
      </c>
      <c r="G158" s="8">
        <f>(G82+G117)*'Emission factors Trucks&amp;Trains'!E6*(2-$AS$81)</f>
        <v>0</v>
      </c>
      <c r="H158" s="8">
        <f>(H82+H117)*'Emission factors Trucks&amp;Trains'!F6*(2-$AS$81)</f>
        <v>378.43026188530877</v>
      </c>
      <c r="I158" s="8">
        <f>(I82+I117)*'Emission factors Trucks&amp;Trains'!G6*(2-$AS$81)</f>
        <v>3711.7788160399905</v>
      </c>
      <c r="J158" s="8">
        <f>(J82+J117)*'Emission factors Trucks&amp;Trains'!H6*(2-$AS$81)</f>
        <v>6935.2836124195692</v>
      </c>
      <c r="K158" s="8">
        <f>(K82+K117)*'Emission factors Trucks&amp;Trains'!I6*(2-$AS$81)</f>
        <v>9352.2113751809138</v>
      </c>
      <c r="L158" s="8">
        <f>(L82+L117)*'Emission factors Trucks&amp;Trains'!J6*(2-$AS$81)</f>
        <v>11399.611725964221</v>
      </c>
      <c r="M158" s="8">
        <f>(M82+M117)*'Emission factors Trucks&amp;Trains'!K6*(2-$AS$81)</f>
        <v>13197.700805804514</v>
      </c>
      <c r="N158" s="8">
        <f>(N82+N117)*'Emission factors Trucks&amp;Trains'!L6*(2-$AS$81)</f>
        <v>14835.928243125565</v>
      </c>
      <c r="O158" s="8">
        <f>(O82+O117)*'Emission factors Trucks&amp;Trains'!M6*(2-$AS$81)</f>
        <v>16406.756144125706</v>
      </c>
      <c r="P158" s="8">
        <f>(P82+P117)*'Emission factors Trucks&amp;Trains'!N6*(2-$AS$81)</f>
        <v>17965.962689986281</v>
      </c>
      <c r="Q158" s="8">
        <f>(Q82+Q117)*'Emission factors Trucks&amp;Trains'!O6*(2-$AS$81)</f>
        <v>19141.860028978903</v>
      </c>
      <c r="R158" s="8">
        <f>(R82+R117)*'Emission factors Trucks&amp;Trains'!P6*(2-$AS$81)</f>
        <v>20121.53370248419</v>
      </c>
      <c r="S158" s="8">
        <f>(S82+S117)*'Emission factors Trucks&amp;Trains'!Q6*(2-$AS$81)</f>
        <v>21012.166690780381</v>
      </c>
      <c r="T158" s="8">
        <f>(T82+T117)*'Emission factors Trucks&amp;Trains'!R6*(2-$AS$81)</f>
        <v>21809.343077794369</v>
      </c>
      <c r="U158" s="8">
        <f>(U82+U117)*'Emission factors Trucks&amp;Trains'!S6*(2-$AS$81)</f>
        <v>21493.241623921494</v>
      </c>
      <c r="V158" s="8">
        <f>(V82+V117)*'Emission factors Trucks&amp;Trains'!T6*(2-$AS$81)</f>
        <v>21425.264160898634</v>
      </c>
      <c r="W158" s="8">
        <f>(W82+W117)*'Emission factors Trucks&amp;Trains'!U6*(2-$AS$81)</f>
        <v>21919.479131529413</v>
      </c>
      <c r="X158" s="8">
        <f>(X82+X117)*'Emission factors Trucks&amp;Trains'!V6*(2-$AS$81)</f>
        <v>22820.111369494509</v>
      </c>
      <c r="Y158" s="8">
        <f>(Y82+Y117)*'Emission factors Trucks&amp;Trains'!W6*(2-$AS$81)</f>
        <v>23615.289291680725</v>
      </c>
      <c r="Z158" s="8">
        <f>(Z82+Z117)*'Emission factors Trucks&amp;Trains'!X6*(2-$AS$81)</f>
        <v>24567.061231973814</v>
      </c>
      <c r="AA158" s="8">
        <f>(AA82+AA117)*'Emission factors Trucks&amp;Trains'!Y6*(2-$AS$81)</f>
        <v>25558.719048871662</v>
      </c>
      <c r="AB158" s="8">
        <f>(AB82+AB117)*'Emission factors Trucks&amp;Trains'!Z6*(2-$AS$81)</f>
        <v>26916.937158309418</v>
      </c>
      <c r="AF158" s="464"/>
      <c r="AG158" s="136" t="s">
        <v>246</v>
      </c>
      <c r="AH158" s="6" t="s">
        <v>344</v>
      </c>
      <c r="AI158" s="21">
        <f>AI112*'Emission factors Trucks&amp;Trains'!B6*(2-$AS$81)</f>
        <v>0</v>
      </c>
      <c r="AJ158" s="21">
        <f>AJ112*'Emission factors Trucks&amp;Trains'!C6*(2-$AS$81)</f>
        <v>0</v>
      </c>
      <c r="AK158" s="21">
        <f>AK112*'Emission factors Trucks&amp;Trains'!D6*(2-$AS$81)</f>
        <v>479674.23903124995</v>
      </c>
      <c r="AL158" s="21">
        <f>AL112*'Emission factors Trucks&amp;Trains'!E6*(2-$AS$81)</f>
        <v>1374202.7903194993</v>
      </c>
      <c r="AM158" s="21">
        <f>AM112*'Emission factors Trucks&amp;Trains'!F6*(2-$AS$81)</f>
        <v>1578508.0832742958</v>
      </c>
      <c r="AN158" s="21">
        <f>AN112*'Emission factors Trucks&amp;Trains'!G6*(2-$AS$81)</f>
        <v>1491851.8845877566</v>
      </c>
      <c r="AO158" s="21">
        <f>AO112*'Emission factors Trucks&amp;Trains'!H6*(2-$AS$81)</f>
        <v>1286115.2742402775</v>
      </c>
      <c r="AP158" s="21">
        <f>AP112*'Emission factors Trucks&amp;Trains'!I6*(2-$AS$81)</f>
        <v>1225668.9010168221</v>
      </c>
      <c r="AQ158" s="21">
        <f>AQ112*'Emission factors Trucks&amp;Trains'!J6*(2-$AS$81)</f>
        <v>1160720.5185138835</v>
      </c>
      <c r="AR158" s="21">
        <f>AR112*'Emission factors Trucks&amp;Trains'!K6*(2-$AS$81)</f>
        <v>1097143.9761025719</v>
      </c>
      <c r="AS158" s="21">
        <f>AS112*'Emission factors Trucks&amp;Trains'!L6*(2-$AS$81)</f>
        <v>1037441.4978038118</v>
      </c>
      <c r="AT158" s="21">
        <f>AT112*'Emission factors Trucks&amp;Trains'!M6*(2-$AS$81)</f>
        <v>984195.42665740801</v>
      </c>
      <c r="AU158" s="21">
        <f>AU112*'Emission factors Trucks&amp;Trains'!N6*(2-$AS$81)</f>
        <v>927087.31371751567</v>
      </c>
      <c r="AV158" s="21">
        <f>AV112*'Emission factors Trucks&amp;Trains'!O6*(2-$AS$81)</f>
        <v>872043.5761626577</v>
      </c>
      <c r="AW158" s="21">
        <f>AW112*'Emission factors Trucks&amp;Trains'!P6*(2-$AS$81)</f>
        <v>814322.60144739167</v>
      </c>
      <c r="AX158" s="21">
        <f>AX112*'Emission factors Trucks&amp;Trains'!Q6*(2-$AS$81)</f>
        <v>759583.02450606774</v>
      </c>
      <c r="AY158" s="21">
        <f>AY112*'Emission factors Trucks&amp;Trains'!R6*(2-$AS$81)</f>
        <v>707704.72341093689</v>
      </c>
      <c r="AZ158" s="21">
        <f>AZ112*'Emission factors Trucks&amp;Trains'!S6*(2-$AS$81)</f>
        <v>717369.92636394687</v>
      </c>
      <c r="BA158" s="21">
        <f>BA112*'Emission factors Trucks&amp;Trains'!T6*(2-$AS$81)</f>
        <v>723733.12900665367</v>
      </c>
      <c r="BB158" s="21">
        <f>BB112*'Emission factors Trucks&amp;Trains'!U6*(2-$AS$81)</f>
        <v>696535.6779722491</v>
      </c>
      <c r="BC158" s="21">
        <f>BC112*'Emission factors Trucks&amp;Trains'!V6*(2-$AS$81)</f>
        <v>647449.11321559851</v>
      </c>
      <c r="BD158" s="21">
        <f>BD112*'Emission factors Trucks&amp;Trains'!W6*(2-$AS$81)</f>
        <v>639991.08826228243</v>
      </c>
      <c r="BE158" s="21">
        <f>BE112*'Emission factors Trucks&amp;Trains'!X6*(2-$AS$81)</f>
        <v>626628.71141625033</v>
      </c>
      <c r="BF158" s="21">
        <f>BF112*'Emission factors Trucks&amp;Trains'!Y6*(2-$AS$81)</f>
        <v>613263.76375543186</v>
      </c>
      <c r="BG158" s="21">
        <f>BG112*'Emission factors Trucks&amp;Trains'!Z6*(2-$AS$81)</f>
        <v>585937.00916129421</v>
      </c>
    </row>
    <row r="159" spans="1:59" ht="15" customHeight="1">
      <c r="A159" s="500"/>
      <c r="B159" s="12" t="s">
        <v>104</v>
      </c>
      <c r="C159" s="5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F159" s="464"/>
      <c r="AG159" s="2" t="s">
        <v>122</v>
      </c>
      <c r="AH159" s="53"/>
      <c r="AI159" s="21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</row>
    <row r="160" spans="1:59" ht="15" customHeight="1">
      <c r="A160" s="500"/>
      <c r="B160" s="136" t="s">
        <v>343</v>
      </c>
      <c r="C160" s="112" t="s">
        <v>344</v>
      </c>
      <c r="D160" s="8" t="e">
        <f>(D85+#REF!)*'Emission factors Trucks&amp;Trains'!#REF!*(2-$AS$81)</f>
        <v>#REF!</v>
      </c>
      <c r="E160" s="8" t="e">
        <f>(E85+#REF!)*'Emission factors Trucks&amp;Trains'!#REF!*(2-$AS$81)</f>
        <v>#REF!</v>
      </c>
      <c r="F160" s="8" t="e">
        <f>(F85+#REF!)*'Emission factors Trucks&amp;Trains'!#REF!*(2-$AS$81)</f>
        <v>#REF!</v>
      </c>
      <c r="G160" s="8" t="e">
        <f>(G85+#REF!)*'Emission factors Trucks&amp;Trains'!#REF!*(2-$AS$81)</f>
        <v>#REF!</v>
      </c>
      <c r="H160" s="8" t="e">
        <f>(H85+#REF!)*'Emission factors Trucks&amp;Trains'!#REF!*(2-$AS$81)</f>
        <v>#REF!</v>
      </c>
      <c r="I160" s="8" t="e">
        <f>(I85+#REF!)*'Emission factors Trucks&amp;Trains'!#REF!*(2-$AS$81)</f>
        <v>#REF!</v>
      </c>
      <c r="J160" s="8" t="e">
        <f>(J85+#REF!)*'Emission factors Trucks&amp;Trains'!#REF!*(2-$AS$81)</f>
        <v>#REF!</v>
      </c>
      <c r="K160" s="8" t="e">
        <f>(K85+#REF!)*'Emission factors Trucks&amp;Trains'!#REF!*(2-$AS$81)</f>
        <v>#REF!</v>
      </c>
      <c r="L160" s="8" t="e">
        <f>(L85+#REF!)*'Emission factors Trucks&amp;Trains'!#REF!*(2-$AS$81)</f>
        <v>#REF!</v>
      </c>
      <c r="M160" s="8" t="e">
        <f>(M85+#REF!)*'Emission factors Trucks&amp;Trains'!#REF!*(2-$AS$81)</f>
        <v>#REF!</v>
      </c>
      <c r="N160" s="8" t="e">
        <f>(N85+#REF!)*'Emission factors Trucks&amp;Trains'!#REF!*(2-$AS$81)</f>
        <v>#REF!</v>
      </c>
      <c r="O160" s="8" t="e">
        <f>(O85+#REF!)*'Emission factors Trucks&amp;Trains'!#REF!*(2-$AS$81)</f>
        <v>#REF!</v>
      </c>
      <c r="P160" s="8" t="e">
        <f>(P85+#REF!)*'Emission factors Trucks&amp;Trains'!#REF!*(2-$AS$81)</f>
        <v>#REF!</v>
      </c>
      <c r="Q160" s="8" t="e">
        <f>(Q85+#REF!)*'Emission factors Trucks&amp;Trains'!#REF!*(2-$AS$81)</f>
        <v>#REF!</v>
      </c>
      <c r="R160" s="8" t="e">
        <f>(R85+#REF!)*'Emission factors Trucks&amp;Trains'!#REF!*(2-$AS$81)</f>
        <v>#REF!</v>
      </c>
      <c r="S160" s="8" t="e">
        <f>(S85+#REF!)*'Emission factors Trucks&amp;Trains'!#REF!*(2-$AS$81)</f>
        <v>#REF!</v>
      </c>
      <c r="T160" s="8" t="e">
        <f>(T85+#REF!)*'Emission factors Trucks&amp;Trains'!#REF!*(2-$AS$81)</f>
        <v>#REF!</v>
      </c>
      <c r="U160" s="8" t="e">
        <f>(U85+#REF!)*'Emission factors Trucks&amp;Trains'!#REF!*(2-$AS$81)</f>
        <v>#REF!</v>
      </c>
      <c r="V160" s="8" t="e">
        <f>(V85+#REF!)*'Emission factors Trucks&amp;Trains'!#REF!*(2-$AS$81)</f>
        <v>#REF!</v>
      </c>
      <c r="W160" s="8" t="e">
        <f>(W85+#REF!)*'Emission factors Trucks&amp;Trains'!#REF!*(2-$AS$81)</f>
        <v>#REF!</v>
      </c>
      <c r="X160" s="8" t="e">
        <f>(X85+#REF!)*'Emission factors Trucks&amp;Trains'!#REF!*(2-$AS$81)</f>
        <v>#REF!</v>
      </c>
      <c r="Y160" s="8" t="e">
        <f>(Y85+#REF!)*'Emission factors Trucks&amp;Trains'!#REF!*(2-$AS$81)</f>
        <v>#REF!</v>
      </c>
      <c r="Z160" s="8" t="e">
        <f>(Z85+#REF!)*'Emission factors Trucks&amp;Trains'!#REF!*(2-$AS$81)</f>
        <v>#REF!</v>
      </c>
      <c r="AA160" s="8" t="e">
        <f>(AA85+#REF!)*'Emission factors Trucks&amp;Trains'!#REF!*(2-$AS$81)</f>
        <v>#REF!</v>
      </c>
      <c r="AB160" s="8" t="e">
        <f>(AB85+#REF!)*'Emission factors Trucks&amp;Trains'!#REF!*(2-$AS$81)</f>
        <v>#REF!</v>
      </c>
      <c r="AF160" s="464"/>
      <c r="AG160" s="136" t="s">
        <v>343</v>
      </c>
      <c r="AH160" s="6" t="s">
        <v>344</v>
      </c>
      <c r="AI160" s="21" t="e">
        <f>AI117*'Emission factors Trucks&amp;Trains'!#REF!*(2-$AS$81)</f>
        <v>#REF!</v>
      </c>
      <c r="AJ160" s="8" t="e">
        <f>AJ117*'Emission factors Trucks&amp;Trains'!#REF!*(2-$AS$81)</f>
        <v>#REF!</v>
      </c>
      <c r="AK160" s="8" t="e">
        <f>AK117*'Emission factors Trucks&amp;Trains'!#REF!*(2-$AS$81)</f>
        <v>#REF!</v>
      </c>
      <c r="AL160" s="8" t="e">
        <f>AL117*'Emission factors Trucks&amp;Trains'!#REF!*(2-$AS$81)</f>
        <v>#REF!</v>
      </c>
      <c r="AM160" s="8" t="e">
        <f>AM117*'Emission factors Trucks&amp;Trains'!#REF!*(2-$AS$81)</f>
        <v>#REF!</v>
      </c>
      <c r="AN160" s="8" t="e">
        <f>AN117*'Emission factors Trucks&amp;Trains'!#REF!*(2-$AS$81)</f>
        <v>#REF!</v>
      </c>
      <c r="AO160" s="8" t="e">
        <f>AO117*'Emission factors Trucks&amp;Trains'!#REF!*(2-$AS$81)</f>
        <v>#REF!</v>
      </c>
      <c r="AP160" s="8" t="e">
        <f>AP117*'Emission factors Trucks&amp;Trains'!#REF!*(2-$AS$81)</f>
        <v>#REF!</v>
      </c>
      <c r="AQ160" s="8" t="e">
        <f>AQ117*'Emission factors Trucks&amp;Trains'!#REF!*(2-$AS$81)</f>
        <v>#REF!</v>
      </c>
      <c r="AR160" s="8" t="e">
        <f>AR117*'Emission factors Trucks&amp;Trains'!#REF!*(2-$AS$81)</f>
        <v>#REF!</v>
      </c>
      <c r="AS160" s="8" t="e">
        <f>AS117*'Emission factors Trucks&amp;Trains'!#REF!*(2-$AS$81)</f>
        <v>#REF!</v>
      </c>
      <c r="AT160" s="8" t="e">
        <f>AT117*'Emission factors Trucks&amp;Trains'!#REF!*(2-$AS$81)</f>
        <v>#REF!</v>
      </c>
      <c r="AU160" s="8" t="e">
        <f>AU117*'Emission factors Trucks&amp;Trains'!#REF!*(2-$AS$81)</f>
        <v>#REF!</v>
      </c>
      <c r="AV160" s="8" t="e">
        <f>AV117*'Emission factors Trucks&amp;Trains'!#REF!*(2-$AS$81)</f>
        <v>#REF!</v>
      </c>
      <c r="AW160" s="8" t="e">
        <f>AW117*'Emission factors Trucks&amp;Trains'!#REF!*(2-$AS$81)</f>
        <v>#REF!</v>
      </c>
      <c r="AX160" s="8" t="e">
        <f>AX117*'Emission factors Trucks&amp;Trains'!#REF!*(2-$AS$81)</f>
        <v>#REF!</v>
      </c>
      <c r="AY160" s="8" t="e">
        <f>AY117*'Emission factors Trucks&amp;Trains'!#REF!*(2-$AS$81)</f>
        <v>#REF!</v>
      </c>
      <c r="AZ160" s="8" t="e">
        <f>AZ117*'Emission factors Trucks&amp;Trains'!#REF!*(2-$AS$81)</f>
        <v>#REF!</v>
      </c>
      <c r="BA160" s="8" t="e">
        <f>BA117*'Emission factors Trucks&amp;Trains'!#REF!*(2-$AS$81)</f>
        <v>#REF!</v>
      </c>
      <c r="BB160" s="8" t="e">
        <f>BB117*'Emission factors Trucks&amp;Trains'!#REF!*(2-$AS$81)</f>
        <v>#REF!</v>
      </c>
      <c r="BC160" s="8" t="e">
        <f>BC117*'Emission factors Trucks&amp;Trains'!#REF!*(2-$AS$81)</f>
        <v>#REF!</v>
      </c>
      <c r="BD160" s="8" t="e">
        <f>BD117*'Emission factors Trucks&amp;Trains'!#REF!*(2-$AS$81)</f>
        <v>#REF!</v>
      </c>
      <c r="BE160" s="8" t="e">
        <f>BE117*'Emission factors Trucks&amp;Trains'!#REF!*(2-$AS$81)</f>
        <v>#REF!</v>
      </c>
      <c r="BF160" s="8" t="e">
        <f>BF117*'Emission factors Trucks&amp;Trains'!#REF!*(2-$AS$81)</f>
        <v>#REF!</v>
      </c>
      <c r="BG160" s="9" t="e">
        <f>BG117*'Emission factors Trucks&amp;Trains'!#REF!*(2-$AS$81)</f>
        <v>#REF!</v>
      </c>
    </row>
    <row r="161" spans="1:59" ht="15" customHeight="1">
      <c r="A161" s="500"/>
      <c r="B161" s="136" t="s">
        <v>345</v>
      </c>
      <c r="C161" s="112" t="s">
        <v>344</v>
      </c>
      <c r="D161" s="8" t="e">
        <f>(D85+#REF!)*'Emission factors Trucks&amp;Trains'!#REF!*(2-$AS$81)</f>
        <v>#REF!</v>
      </c>
      <c r="E161" s="8" t="e">
        <f>(E85+#REF!)*'Emission factors Trucks&amp;Trains'!#REF!*(2-$AS$81)</f>
        <v>#REF!</v>
      </c>
      <c r="F161" s="8" t="e">
        <f>(F85+#REF!)*'Emission factors Trucks&amp;Trains'!#REF!*(2-$AS$81)</f>
        <v>#REF!</v>
      </c>
      <c r="G161" s="8" t="e">
        <f>(G85+#REF!)*'Emission factors Trucks&amp;Trains'!#REF!*(2-$AS$81)</f>
        <v>#REF!</v>
      </c>
      <c r="H161" s="8" t="e">
        <f>(H85+#REF!)*'Emission factors Trucks&amp;Trains'!#REF!*(2-$AS$81)</f>
        <v>#REF!</v>
      </c>
      <c r="I161" s="8" t="e">
        <f>(I85+#REF!)*'Emission factors Trucks&amp;Trains'!#REF!*(2-$AS$81)</f>
        <v>#REF!</v>
      </c>
      <c r="J161" s="8" t="e">
        <f>(J85+#REF!)*'Emission factors Trucks&amp;Trains'!#REF!*(2-$AS$81)</f>
        <v>#REF!</v>
      </c>
      <c r="K161" s="8" t="e">
        <f>(K85+#REF!)*'Emission factors Trucks&amp;Trains'!#REF!*(2-$AS$81)</f>
        <v>#REF!</v>
      </c>
      <c r="L161" s="8" t="e">
        <f>(L85+#REF!)*'Emission factors Trucks&amp;Trains'!#REF!*(2-$AS$81)</f>
        <v>#REF!</v>
      </c>
      <c r="M161" s="8" t="e">
        <f>(M85+#REF!)*'Emission factors Trucks&amp;Trains'!#REF!*(2-$AS$81)</f>
        <v>#REF!</v>
      </c>
      <c r="N161" s="8" t="e">
        <f>(N85+#REF!)*'Emission factors Trucks&amp;Trains'!#REF!*(2-$AS$81)</f>
        <v>#REF!</v>
      </c>
      <c r="O161" s="8" t="e">
        <f>(O85+#REF!)*'Emission factors Trucks&amp;Trains'!#REF!*(2-$AS$81)</f>
        <v>#REF!</v>
      </c>
      <c r="P161" s="8" t="e">
        <f>(P85+#REF!)*'Emission factors Trucks&amp;Trains'!#REF!*(2-$AS$81)</f>
        <v>#REF!</v>
      </c>
      <c r="Q161" s="8" t="e">
        <f>(Q85+#REF!)*'Emission factors Trucks&amp;Trains'!#REF!*(2-$AS$81)</f>
        <v>#REF!</v>
      </c>
      <c r="R161" s="8" t="e">
        <f>(R85+#REF!)*'Emission factors Trucks&amp;Trains'!#REF!*(2-$AS$81)</f>
        <v>#REF!</v>
      </c>
      <c r="S161" s="8" t="e">
        <f>(S85+#REF!)*'Emission factors Trucks&amp;Trains'!#REF!*(2-$AS$81)</f>
        <v>#REF!</v>
      </c>
      <c r="T161" s="8" t="e">
        <f>(T85+#REF!)*'Emission factors Trucks&amp;Trains'!#REF!*(2-$AS$81)</f>
        <v>#REF!</v>
      </c>
      <c r="U161" s="8" t="e">
        <f>(U85+#REF!)*'Emission factors Trucks&amp;Trains'!#REF!*(2-$AS$81)</f>
        <v>#REF!</v>
      </c>
      <c r="V161" s="8" t="e">
        <f>(V85+#REF!)*'Emission factors Trucks&amp;Trains'!#REF!*(2-$AS$81)</f>
        <v>#REF!</v>
      </c>
      <c r="W161" s="8" t="e">
        <f>(W85+#REF!)*'Emission factors Trucks&amp;Trains'!#REF!*(2-$AS$81)</f>
        <v>#REF!</v>
      </c>
      <c r="X161" s="8" t="e">
        <f>(X85+#REF!)*'Emission factors Trucks&amp;Trains'!#REF!*(2-$AS$81)</f>
        <v>#REF!</v>
      </c>
      <c r="Y161" s="8" t="e">
        <f>(Y85+#REF!)*'Emission factors Trucks&amp;Trains'!#REF!*(2-$AS$81)</f>
        <v>#REF!</v>
      </c>
      <c r="Z161" s="8" t="e">
        <f>(Z85+#REF!)*'Emission factors Trucks&amp;Trains'!#REF!*(2-$AS$81)</f>
        <v>#REF!</v>
      </c>
      <c r="AA161" s="8" t="e">
        <f>(AA85+#REF!)*'Emission factors Trucks&amp;Trains'!#REF!*(2-$AS$81)</f>
        <v>#REF!</v>
      </c>
      <c r="AB161" s="8" t="e">
        <f>(AB85+#REF!)*'Emission factors Trucks&amp;Trains'!#REF!*(2-$AS$81)</f>
        <v>#REF!</v>
      </c>
      <c r="AF161" s="464"/>
      <c r="AG161" s="136" t="s">
        <v>345</v>
      </c>
      <c r="AH161" s="6" t="s">
        <v>344</v>
      </c>
      <c r="AI161" s="21" t="e">
        <f>AI117*'Emission factors Trucks&amp;Trains'!#REF!*(2-$AS$81)</f>
        <v>#REF!</v>
      </c>
      <c r="AJ161" s="8" t="e">
        <f>AJ117*'Emission factors Trucks&amp;Trains'!#REF!*(2-$AS$81)</f>
        <v>#REF!</v>
      </c>
      <c r="AK161" s="8" t="e">
        <f>AK117*'Emission factors Trucks&amp;Trains'!#REF!*(2-$AS$81)</f>
        <v>#REF!</v>
      </c>
      <c r="AL161" s="8" t="e">
        <f>AL117*'Emission factors Trucks&amp;Trains'!#REF!*(2-$AS$81)</f>
        <v>#REF!</v>
      </c>
      <c r="AM161" s="8" t="e">
        <f>AM117*'Emission factors Trucks&amp;Trains'!#REF!*(2-$AS$81)</f>
        <v>#REF!</v>
      </c>
      <c r="AN161" s="8" t="e">
        <f>AN117*'Emission factors Trucks&amp;Trains'!#REF!*(2-$AS$81)</f>
        <v>#REF!</v>
      </c>
      <c r="AO161" s="8" t="e">
        <f>AO117*'Emission factors Trucks&amp;Trains'!#REF!*(2-$AS$81)</f>
        <v>#REF!</v>
      </c>
      <c r="AP161" s="8" t="e">
        <f>AP117*'Emission factors Trucks&amp;Trains'!#REF!*(2-$AS$81)</f>
        <v>#REF!</v>
      </c>
      <c r="AQ161" s="8" t="e">
        <f>AQ117*'Emission factors Trucks&amp;Trains'!#REF!*(2-$AS$81)</f>
        <v>#REF!</v>
      </c>
      <c r="AR161" s="8" t="e">
        <f>AR117*'Emission factors Trucks&amp;Trains'!#REF!*(2-$AS$81)</f>
        <v>#REF!</v>
      </c>
      <c r="AS161" s="8" t="e">
        <f>AS117*'Emission factors Trucks&amp;Trains'!#REF!*(2-$AS$81)</f>
        <v>#REF!</v>
      </c>
      <c r="AT161" s="8" t="e">
        <f>AT117*'Emission factors Trucks&amp;Trains'!#REF!*(2-$AS$81)</f>
        <v>#REF!</v>
      </c>
      <c r="AU161" s="8" t="e">
        <f>AU117*'Emission factors Trucks&amp;Trains'!#REF!*(2-$AS$81)</f>
        <v>#REF!</v>
      </c>
      <c r="AV161" s="8" t="e">
        <f>AV117*'Emission factors Trucks&amp;Trains'!#REF!*(2-$AS$81)</f>
        <v>#REF!</v>
      </c>
      <c r="AW161" s="8" t="e">
        <f>AW117*'Emission factors Trucks&amp;Trains'!#REF!*(2-$AS$81)</f>
        <v>#REF!</v>
      </c>
      <c r="AX161" s="8" t="e">
        <f>AX117*'Emission factors Trucks&amp;Trains'!#REF!*(2-$AS$81)</f>
        <v>#REF!</v>
      </c>
      <c r="AY161" s="8" t="e">
        <f>AY117*'Emission factors Trucks&amp;Trains'!#REF!*(2-$AS$81)</f>
        <v>#REF!</v>
      </c>
      <c r="AZ161" s="8" t="e">
        <f>AZ117*'Emission factors Trucks&amp;Trains'!#REF!*(2-$AS$81)</f>
        <v>#REF!</v>
      </c>
      <c r="BA161" s="8" t="e">
        <f>BA117*'Emission factors Trucks&amp;Trains'!#REF!*(2-$AS$81)</f>
        <v>#REF!</v>
      </c>
      <c r="BB161" s="8" t="e">
        <f>BB117*'Emission factors Trucks&amp;Trains'!#REF!*(2-$AS$81)</f>
        <v>#REF!</v>
      </c>
      <c r="BC161" s="8" t="e">
        <f>BC117*'Emission factors Trucks&amp;Trains'!#REF!*(2-$AS$81)</f>
        <v>#REF!</v>
      </c>
      <c r="BD161" s="8" t="e">
        <f>BD117*'Emission factors Trucks&amp;Trains'!#REF!*(2-$AS$81)</f>
        <v>#REF!</v>
      </c>
      <c r="BE161" s="8" t="e">
        <f>BE117*'Emission factors Trucks&amp;Trains'!#REF!*(2-$AS$81)</f>
        <v>#REF!</v>
      </c>
      <c r="BF161" s="8" t="e">
        <f>BF117*'Emission factors Trucks&amp;Trains'!#REF!*(2-$AS$81)</f>
        <v>#REF!</v>
      </c>
      <c r="BG161" s="9" t="e">
        <f>BG117*'Emission factors Trucks&amp;Trains'!#REF!*(2-$AS$81)</f>
        <v>#REF!</v>
      </c>
    </row>
    <row r="162" spans="1:59" ht="15" customHeight="1">
      <c r="A162" s="500"/>
      <c r="B162" s="136" t="s">
        <v>346</v>
      </c>
      <c r="C162" s="112" t="s">
        <v>344</v>
      </c>
      <c r="D162" s="8" t="e">
        <f>(D85+#REF!)*'Emission factors Trucks&amp;Trains'!#REF!*(2-$AS$81)</f>
        <v>#REF!</v>
      </c>
      <c r="E162" s="8" t="e">
        <f>(E85+#REF!)*'Emission factors Trucks&amp;Trains'!#REF!*(2-$AS$81)</f>
        <v>#REF!</v>
      </c>
      <c r="F162" s="8" t="e">
        <f>(F85+#REF!)*'Emission factors Trucks&amp;Trains'!#REF!*(2-$AS$81)</f>
        <v>#REF!</v>
      </c>
      <c r="G162" s="8" t="e">
        <f>(G85+#REF!)*'Emission factors Trucks&amp;Trains'!#REF!*(2-$AS$81)</f>
        <v>#REF!</v>
      </c>
      <c r="H162" s="8" t="e">
        <f>(H85+#REF!)*'Emission factors Trucks&amp;Trains'!#REF!*(2-$AS$81)</f>
        <v>#REF!</v>
      </c>
      <c r="I162" s="8" t="e">
        <f>(I85+#REF!)*'Emission factors Trucks&amp;Trains'!#REF!*(2-$AS$81)</f>
        <v>#REF!</v>
      </c>
      <c r="J162" s="8" t="e">
        <f>(J85+#REF!)*'Emission factors Trucks&amp;Trains'!#REF!*(2-$AS$81)</f>
        <v>#REF!</v>
      </c>
      <c r="K162" s="8" t="e">
        <f>(K85+#REF!)*'Emission factors Trucks&amp;Trains'!#REF!*(2-$AS$81)</f>
        <v>#REF!</v>
      </c>
      <c r="L162" s="8" t="e">
        <f>(L85+#REF!)*'Emission factors Trucks&amp;Trains'!#REF!*(2-$AS$81)</f>
        <v>#REF!</v>
      </c>
      <c r="M162" s="8" t="e">
        <f>(M85+#REF!)*'Emission factors Trucks&amp;Trains'!#REF!*(2-$AS$81)</f>
        <v>#REF!</v>
      </c>
      <c r="N162" s="8" t="e">
        <f>(N85+#REF!)*'Emission factors Trucks&amp;Trains'!#REF!*(2-$AS$81)</f>
        <v>#REF!</v>
      </c>
      <c r="O162" s="8" t="e">
        <f>(O85+#REF!)*'Emission factors Trucks&amp;Trains'!#REF!*(2-$AS$81)</f>
        <v>#REF!</v>
      </c>
      <c r="P162" s="8" t="e">
        <f>(P85+#REF!)*'Emission factors Trucks&amp;Trains'!#REF!*(2-$AS$81)</f>
        <v>#REF!</v>
      </c>
      <c r="Q162" s="8" t="e">
        <f>(Q85+#REF!)*'Emission factors Trucks&amp;Trains'!#REF!*(2-$AS$81)</f>
        <v>#REF!</v>
      </c>
      <c r="R162" s="8" t="e">
        <f>(R85+#REF!)*'Emission factors Trucks&amp;Trains'!#REF!*(2-$AS$81)</f>
        <v>#REF!</v>
      </c>
      <c r="S162" s="8" t="e">
        <f>(S85+#REF!)*'Emission factors Trucks&amp;Trains'!#REF!*(2-$AS$81)</f>
        <v>#REF!</v>
      </c>
      <c r="T162" s="8" t="e">
        <f>(T85+#REF!)*'Emission factors Trucks&amp;Trains'!#REF!*(2-$AS$81)</f>
        <v>#REF!</v>
      </c>
      <c r="U162" s="8" t="e">
        <f>(U85+#REF!)*'Emission factors Trucks&amp;Trains'!#REF!*(2-$AS$81)</f>
        <v>#REF!</v>
      </c>
      <c r="V162" s="8" t="e">
        <f>(V85+#REF!)*'Emission factors Trucks&amp;Trains'!#REF!*(2-$AS$81)</f>
        <v>#REF!</v>
      </c>
      <c r="W162" s="8" t="e">
        <f>(W85+#REF!)*'Emission factors Trucks&amp;Trains'!#REF!*(2-$AS$81)</f>
        <v>#REF!</v>
      </c>
      <c r="X162" s="8" t="e">
        <f>(X85+#REF!)*'Emission factors Trucks&amp;Trains'!#REF!*(2-$AS$81)</f>
        <v>#REF!</v>
      </c>
      <c r="Y162" s="8" t="e">
        <f>(Y85+#REF!)*'Emission factors Trucks&amp;Trains'!#REF!*(2-$AS$81)</f>
        <v>#REF!</v>
      </c>
      <c r="Z162" s="8" t="e">
        <f>(Z85+#REF!)*'Emission factors Trucks&amp;Trains'!#REF!*(2-$AS$81)</f>
        <v>#REF!</v>
      </c>
      <c r="AA162" s="8" t="e">
        <f>(AA85+#REF!)*'Emission factors Trucks&amp;Trains'!#REF!*(2-$AS$81)</f>
        <v>#REF!</v>
      </c>
      <c r="AB162" s="8" t="e">
        <f>(AB85+#REF!)*'Emission factors Trucks&amp;Trains'!#REF!*(2-$AS$81)</f>
        <v>#REF!</v>
      </c>
      <c r="AF162" s="464"/>
      <c r="AG162" s="136" t="s">
        <v>346</v>
      </c>
      <c r="AH162" s="6" t="s">
        <v>344</v>
      </c>
      <c r="AI162" s="21" t="e">
        <f>AI117*'Emission factors Trucks&amp;Trains'!#REF!*(2-$AS$81)</f>
        <v>#REF!</v>
      </c>
      <c r="AJ162" s="8" t="e">
        <f>AJ117*'Emission factors Trucks&amp;Trains'!#REF!*(2-$AS$81)</f>
        <v>#REF!</v>
      </c>
      <c r="AK162" s="8" t="e">
        <f>AK117*'Emission factors Trucks&amp;Trains'!#REF!*(2-$AS$81)</f>
        <v>#REF!</v>
      </c>
      <c r="AL162" s="8" t="e">
        <f>AL117*'Emission factors Trucks&amp;Trains'!#REF!*(2-$AS$81)</f>
        <v>#REF!</v>
      </c>
      <c r="AM162" s="8" t="e">
        <f>AM117*'Emission factors Trucks&amp;Trains'!#REF!*(2-$AS$81)</f>
        <v>#REF!</v>
      </c>
      <c r="AN162" s="8" t="e">
        <f>AN117*'Emission factors Trucks&amp;Trains'!#REF!*(2-$AS$81)</f>
        <v>#REF!</v>
      </c>
      <c r="AO162" s="8" t="e">
        <f>AO117*'Emission factors Trucks&amp;Trains'!#REF!*(2-$AS$81)</f>
        <v>#REF!</v>
      </c>
      <c r="AP162" s="8" t="e">
        <f>AP117*'Emission factors Trucks&amp;Trains'!#REF!*(2-$AS$81)</f>
        <v>#REF!</v>
      </c>
      <c r="AQ162" s="8" t="e">
        <f>AQ117*'Emission factors Trucks&amp;Trains'!#REF!*(2-$AS$81)</f>
        <v>#REF!</v>
      </c>
      <c r="AR162" s="8" t="e">
        <f>AR117*'Emission factors Trucks&amp;Trains'!#REF!*(2-$AS$81)</f>
        <v>#REF!</v>
      </c>
      <c r="AS162" s="8" t="e">
        <f>AS117*'Emission factors Trucks&amp;Trains'!#REF!*(2-$AS$81)</f>
        <v>#REF!</v>
      </c>
      <c r="AT162" s="8" t="e">
        <f>AT117*'Emission factors Trucks&amp;Trains'!#REF!*(2-$AS$81)</f>
        <v>#REF!</v>
      </c>
      <c r="AU162" s="8" t="e">
        <f>AU117*'Emission factors Trucks&amp;Trains'!#REF!*(2-$AS$81)</f>
        <v>#REF!</v>
      </c>
      <c r="AV162" s="8" t="e">
        <f>AV117*'Emission factors Trucks&amp;Trains'!#REF!*(2-$AS$81)</f>
        <v>#REF!</v>
      </c>
      <c r="AW162" s="8" t="e">
        <f>AW117*'Emission factors Trucks&amp;Trains'!#REF!*(2-$AS$81)</f>
        <v>#REF!</v>
      </c>
      <c r="AX162" s="8" t="e">
        <f>AX117*'Emission factors Trucks&amp;Trains'!#REF!*(2-$AS$81)</f>
        <v>#REF!</v>
      </c>
      <c r="AY162" s="8" t="e">
        <f>AY117*'Emission factors Trucks&amp;Trains'!#REF!*(2-$AS$81)</f>
        <v>#REF!</v>
      </c>
      <c r="AZ162" s="8" t="e">
        <f>AZ117*'Emission factors Trucks&amp;Trains'!#REF!*(2-$AS$81)</f>
        <v>#REF!</v>
      </c>
      <c r="BA162" s="8" t="e">
        <f>BA117*'Emission factors Trucks&amp;Trains'!#REF!*(2-$AS$81)</f>
        <v>#REF!</v>
      </c>
      <c r="BB162" s="8" t="e">
        <f>BB117*'Emission factors Trucks&amp;Trains'!#REF!*(2-$AS$81)</f>
        <v>#REF!</v>
      </c>
      <c r="BC162" s="8" t="e">
        <f>BC117*'Emission factors Trucks&amp;Trains'!#REF!*(2-$AS$81)</f>
        <v>#REF!</v>
      </c>
      <c r="BD162" s="8" t="e">
        <f>BD117*'Emission factors Trucks&amp;Trains'!#REF!*(2-$AS$81)</f>
        <v>#REF!</v>
      </c>
      <c r="BE162" s="8" t="e">
        <f>BE117*'Emission factors Trucks&amp;Trains'!#REF!*(2-$AS$81)</f>
        <v>#REF!</v>
      </c>
      <c r="BF162" s="8" t="e">
        <f>BF117*'Emission factors Trucks&amp;Trains'!#REF!*(2-$AS$81)</f>
        <v>#REF!</v>
      </c>
      <c r="BG162" s="9" t="e">
        <f>BG117*'Emission factors Trucks&amp;Trains'!#REF!*(2-$AS$81)</f>
        <v>#REF!</v>
      </c>
    </row>
    <row r="163" spans="1:59" ht="15" customHeight="1">
      <c r="A163" s="500"/>
      <c r="B163" s="136" t="s">
        <v>278</v>
      </c>
      <c r="C163" s="112" t="s">
        <v>344</v>
      </c>
      <c r="D163" s="8">
        <f>(D73+D108)*'Emission factors Trucks&amp;Trains'!B$5*(2-$AS$81)</f>
        <v>0</v>
      </c>
      <c r="E163" s="8">
        <f>(E73+E108)*'Emission factors Trucks&amp;Trains'!C$5*(2-$AS$81)</f>
        <v>0</v>
      </c>
      <c r="F163" s="8">
        <f>(F73+F108)*'Emission factors Trucks&amp;Trains'!D$5*(2-$AS$81)</f>
        <v>0</v>
      </c>
      <c r="G163" s="8">
        <f>(G73+G108)*'Emission factors Trucks&amp;Trains'!E$5*(2-$AS$81)</f>
        <v>0</v>
      </c>
      <c r="H163" s="8">
        <f>(H73+H108)*'Emission factors Trucks&amp;Trains'!F$5*(2-$AS$81)</f>
        <v>0</v>
      </c>
      <c r="I163" s="8">
        <f>(I73+I108)*'Emission factors Trucks&amp;Trains'!G$5*(2-$AS$81)</f>
        <v>0</v>
      </c>
      <c r="J163" s="8">
        <f>(J73+J108)*'Emission factors Trucks&amp;Trains'!H$5*(2-$AS$81)</f>
        <v>0</v>
      </c>
      <c r="K163" s="8">
        <f>(K73+K108)*'Emission factors Trucks&amp;Trains'!I$5*(2-$AS$81)</f>
        <v>0</v>
      </c>
      <c r="L163" s="8">
        <f>(L73+L108)*'Emission factors Trucks&amp;Trains'!J$5*(2-$AS$81)</f>
        <v>0</v>
      </c>
      <c r="M163" s="8">
        <f>(M73+M108)*'Emission factors Trucks&amp;Trains'!K$5*(2-$AS$81)</f>
        <v>0</v>
      </c>
      <c r="N163" s="8">
        <f>(N73+N108)*'Emission factors Trucks&amp;Trains'!L$5*(2-$AS$81)</f>
        <v>0</v>
      </c>
      <c r="O163" s="8">
        <f>(O73+O108)*'Emission factors Trucks&amp;Trains'!M$5*(2-$AS$81)</f>
        <v>0</v>
      </c>
      <c r="P163" s="8">
        <f>(P73+P108)*'Emission factors Trucks&amp;Trains'!N$5*(2-$AS$81)</f>
        <v>0</v>
      </c>
      <c r="Q163" s="8">
        <f>(Q73+Q108)*'Emission factors Trucks&amp;Trains'!O$5*(2-$AS$81)</f>
        <v>0</v>
      </c>
      <c r="R163" s="8">
        <f>(R73+R108)*'Emission factors Trucks&amp;Trains'!P$5*(2-$AS$81)</f>
        <v>0</v>
      </c>
      <c r="S163" s="8">
        <f>(S73+S108)*'Emission factors Trucks&amp;Trains'!Q$5*(2-$AS$81)</f>
        <v>0</v>
      </c>
      <c r="T163" s="8">
        <f>(T73+T108)*'Emission factors Trucks&amp;Trains'!R$5*(2-$AS$81)</f>
        <v>0</v>
      </c>
      <c r="U163" s="8">
        <f>(U73+U108)*'Emission factors Trucks&amp;Trains'!S$5*(2-$AS$81)</f>
        <v>0</v>
      </c>
      <c r="V163" s="8">
        <f>(V73+V108)*'Emission factors Trucks&amp;Trains'!T$5*(2-$AS$81)</f>
        <v>0</v>
      </c>
      <c r="W163" s="8">
        <f>(W73+W108)*'Emission factors Trucks&amp;Trains'!U$5*(2-$AS$81)</f>
        <v>0</v>
      </c>
      <c r="X163" s="8">
        <f>(X73+X108)*'Emission factors Trucks&amp;Trains'!V$5*(2-$AS$81)</f>
        <v>0</v>
      </c>
      <c r="Y163" s="8">
        <f>(Y73+Y108)*'Emission factors Trucks&amp;Trains'!W$5*(2-$AS$81)</f>
        <v>0</v>
      </c>
      <c r="Z163" s="8">
        <f>(Z73+Z108)*'Emission factors Trucks&amp;Trains'!X$5*(2-$AS$81)</f>
        <v>0</v>
      </c>
      <c r="AA163" s="8">
        <f>(AA73+AA108)*'Emission factors Trucks&amp;Trains'!Y$5*(2-$AS$81)</f>
        <v>0</v>
      </c>
      <c r="AB163" s="8">
        <f>(AB73+AB108)*'Emission factors Trucks&amp;Trains'!Z$5*(2-$AS$81)</f>
        <v>0</v>
      </c>
      <c r="AF163" s="464"/>
      <c r="AG163" s="136" t="s">
        <v>278</v>
      </c>
      <c r="AH163" s="6" t="s">
        <v>344</v>
      </c>
      <c r="AI163" s="21">
        <f>AI117*'Emission factors Trucks&amp;Trains'!B5*(2-$AS$81)</f>
        <v>0</v>
      </c>
      <c r="AJ163" s="21">
        <f>AJ117*'Emission factors Trucks&amp;Trains'!C5*(2-$AS$81)</f>
        <v>0</v>
      </c>
      <c r="AK163" s="21">
        <f>AK117*'Emission factors Trucks&amp;Trains'!D5*(2-$AS$81)</f>
        <v>1472666.3821288487</v>
      </c>
      <c r="AL163" s="21">
        <f>AL117*'Emission factors Trucks&amp;Trains'!E5*(2-$AS$81)</f>
        <v>1701197.3804100819</v>
      </c>
      <c r="AM163" s="21">
        <f>AM117*'Emission factors Trucks&amp;Trains'!F5*(2-$AS$81)</f>
        <v>1927192.5073223908</v>
      </c>
      <c r="AN163" s="21">
        <f>AN117*'Emission factors Trucks&amp;Trains'!G5*(2-$AS$81)</f>
        <v>1870926.2353537013</v>
      </c>
      <c r="AO163" s="21">
        <f>AO117*'Emission factors Trucks&amp;Trains'!H5*(2-$AS$81)</f>
        <v>1782031.0120608809</v>
      </c>
      <c r="AP163" s="21">
        <f>AP117*'Emission factors Trucks&amp;Trains'!I5*(2-$AS$81)</f>
        <v>1784258.1305072017</v>
      </c>
      <c r="AQ163" s="21">
        <f>AQ117*'Emission factors Trucks&amp;Trains'!J5*(2-$AS$81)</f>
        <v>1786562.8778375755</v>
      </c>
      <c r="AR163" s="21">
        <f>AR117*'Emission factors Trucks&amp;Trains'!K5*(2-$AS$81)</f>
        <v>1777898.5353419906</v>
      </c>
      <c r="AS163" s="21">
        <f>AS117*'Emission factors Trucks&amp;Trains'!L5*(2-$AS$81)</f>
        <v>1768416.0186227686</v>
      </c>
      <c r="AT163" s="21">
        <f>AT117*'Emission factors Trucks&amp;Trains'!M5*(2-$AS$81)</f>
        <v>1765854.8494571927</v>
      </c>
      <c r="AU163" s="21">
        <f>AU117*'Emission factors Trucks&amp;Trains'!N5*(2-$AS$81)</f>
        <v>1745073.6857559076</v>
      </c>
      <c r="AV163" s="21">
        <f>AV117*'Emission factors Trucks&amp;Trains'!O5*(2-$AS$81)</f>
        <v>1723177.0387201933</v>
      </c>
      <c r="AW163" s="21">
        <f>AW117*'Emission factors Trucks&amp;Trains'!P5*(2-$AS$81)</f>
        <v>1780745.1073353209</v>
      </c>
      <c r="AX163" s="21">
        <f>AX117*'Emission factors Trucks&amp;Trains'!Q5*(2-$AS$81)</f>
        <v>1764681.6793500178</v>
      </c>
      <c r="AY163" s="21">
        <f>AY117*'Emission factors Trucks&amp;Trains'!R5*(2-$AS$81)</f>
        <v>1751340.9724197562</v>
      </c>
      <c r="AZ163" s="21">
        <f>AZ117*'Emission factors Trucks&amp;Trains'!S5*(2-$AS$81)</f>
        <v>1776762.9948092033</v>
      </c>
      <c r="BA163" s="21">
        <f>BA117*'Emission factors Trucks&amp;Trains'!T5*(2-$AS$81)</f>
        <v>1833388.2287945936</v>
      </c>
      <c r="BB163" s="21">
        <f>BB117*'Emission factors Trucks&amp;Trains'!U5*(2-$AS$81)</f>
        <v>1877093.8618432684</v>
      </c>
      <c r="BC163" s="21">
        <f>BC117*'Emission factors Trucks&amp;Trains'!V5*(2-$AS$81)</f>
        <v>1911529.352444848</v>
      </c>
      <c r="BD163" s="21">
        <f>BD117*'Emission factors Trucks&amp;Trains'!W5*(2-$AS$81)</f>
        <v>1966335.857215625</v>
      </c>
      <c r="BE163" s="21">
        <f>BE117*'Emission factors Trucks&amp;Trains'!X5*(2-$AS$81)</f>
        <v>2019241.8529204244</v>
      </c>
      <c r="BF163" s="21">
        <f>BF117*'Emission factors Trucks&amp;Trains'!Y5*(2-$AS$81)</f>
        <v>2075581.4648536395</v>
      </c>
      <c r="BG163" s="21">
        <f>BG117*'Emission factors Trucks&amp;Trains'!Z5*(2-$AS$81)</f>
        <v>2119799.9012488145</v>
      </c>
    </row>
    <row r="164" spans="1:59" ht="15" customHeight="1">
      <c r="A164" s="500"/>
      <c r="B164" s="136" t="s">
        <v>347</v>
      </c>
      <c r="C164" s="112" t="s">
        <v>344</v>
      </c>
      <c r="D164" s="8" t="e">
        <f>(D85+#REF!)*'Emission factors Trucks&amp;Trains'!#REF!*(2-$AS$81)</f>
        <v>#REF!</v>
      </c>
      <c r="E164" s="8" t="e">
        <f>(E85+#REF!)*'Emission factors Trucks&amp;Trains'!#REF!*(2-$AS$81)</f>
        <v>#REF!</v>
      </c>
      <c r="F164" s="8" t="e">
        <f>(F85+#REF!)*'Emission factors Trucks&amp;Trains'!#REF!*(2-$AS$81)</f>
        <v>#REF!</v>
      </c>
      <c r="G164" s="8" t="e">
        <f>(G85+#REF!)*'Emission factors Trucks&amp;Trains'!#REF!*(2-$AS$81)</f>
        <v>#REF!</v>
      </c>
      <c r="H164" s="8" t="e">
        <f>(H85+#REF!)*'Emission factors Trucks&amp;Trains'!#REF!*(2-$AS$81)</f>
        <v>#REF!</v>
      </c>
      <c r="I164" s="8" t="e">
        <f>(I85+#REF!)*'Emission factors Trucks&amp;Trains'!#REF!*(2-$AS$81)</f>
        <v>#REF!</v>
      </c>
      <c r="J164" s="8" t="e">
        <f>(J85+#REF!)*'Emission factors Trucks&amp;Trains'!#REF!*(2-$AS$81)</f>
        <v>#REF!</v>
      </c>
      <c r="K164" s="8" t="e">
        <f>(K85+#REF!)*'Emission factors Trucks&amp;Trains'!#REF!*(2-$AS$81)</f>
        <v>#REF!</v>
      </c>
      <c r="L164" s="8" t="e">
        <f>(L85+#REF!)*'Emission factors Trucks&amp;Trains'!#REF!*(2-$AS$81)</f>
        <v>#REF!</v>
      </c>
      <c r="M164" s="8" t="e">
        <f>(M85+#REF!)*'Emission factors Trucks&amp;Trains'!#REF!*(2-$AS$81)</f>
        <v>#REF!</v>
      </c>
      <c r="N164" s="8" t="e">
        <f>(N85+#REF!)*'Emission factors Trucks&amp;Trains'!#REF!*(2-$AS$81)</f>
        <v>#REF!</v>
      </c>
      <c r="O164" s="8" t="e">
        <f>(O85+#REF!)*'Emission factors Trucks&amp;Trains'!#REF!*(2-$AS$81)</f>
        <v>#REF!</v>
      </c>
      <c r="P164" s="8" t="e">
        <f>(P85+#REF!)*'Emission factors Trucks&amp;Trains'!#REF!*(2-$AS$81)</f>
        <v>#REF!</v>
      </c>
      <c r="Q164" s="8" t="e">
        <f>(Q85+#REF!)*'Emission factors Trucks&amp;Trains'!#REF!*(2-$AS$81)</f>
        <v>#REF!</v>
      </c>
      <c r="R164" s="8" t="e">
        <f>(R85+#REF!)*'Emission factors Trucks&amp;Trains'!#REF!*(2-$AS$81)</f>
        <v>#REF!</v>
      </c>
      <c r="S164" s="8" t="e">
        <f>(S85+#REF!)*'Emission factors Trucks&amp;Trains'!#REF!*(2-$AS$81)</f>
        <v>#REF!</v>
      </c>
      <c r="T164" s="8" t="e">
        <f>(T85+#REF!)*'Emission factors Trucks&amp;Trains'!#REF!*(2-$AS$81)</f>
        <v>#REF!</v>
      </c>
      <c r="U164" s="8" t="e">
        <f>(U85+#REF!)*'Emission factors Trucks&amp;Trains'!#REF!*(2-$AS$81)</f>
        <v>#REF!</v>
      </c>
      <c r="V164" s="8" t="e">
        <f>(V85+#REF!)*'Emission factors Trucks&amp;Trains'!#REF!*(2-$AS$81)</f>
        <v>#REF!</v>
      </c>
      <c r="W164" s="8" t="e">
        <f>(W85+#REF!)*'Emission factors Trucks&amp;Trains'!#REF!*(2-$AS$81)</f>
        <v>#REF!</v>
      </c>
      <c r="X164" s="8" t="e">
        <f>(X85+#REF!)*'Emission factors Trucks&amp;Trains'!#REF!*(2-$AS$81)</f>
        <v>#REF!</v>
      </c>
      <c r="Y164" s="8" t="e">
        <f>(Y85+#REF!)*'Emission factors Trucks&amp;Trains'!#REF!*(2-$AS$81)</f>
        <v>#REF!</v>
      </c>
      <c r="Z164" s="8" t="e">
        <f>(Z85+#REF!)*'Emission factors Trucks&amp;Trains'!#REF!*(2-$AS$81)</f>
        <v>#REF!</v>
      </c>
      <c r="AA164" s="8" t="e">
        <f>(AA85+#REF!)*'Emission factors Trucks&amp;Trains'!#REF!*(2-$AS$81)</f>
        <v>#REF!</v>
      </c>
      <c r="AB164" s="8" t="e">
        <f>(AB85+#REF!)*'Emission factors Trucks&amp;Trains'!#REF!*(2-$AS$81)</f>
        <v>#REF!</v>
      </c>
      <c r="AF164" s="464"/>
      <c r="AG164" s="136" t="s">
        <v>347</v>
      </c>
      <c r="AH164" s="6" t="s">
        <v>344</v>
      </c>
      <c r="AI164" s="21" t="e">
        <f>AI117*'Emission factors Trucks&amp;Trains'!#REF!*(2-$AS$81)</f>
        <v>#REF!</v>
      </c>
      <c r="AJ164" s="8" t="e">
        <f>AJ117*'Emission factors Trucks&amp;Trains'!#REF!*(2-$AS$81)</f>
        <v>#REF!</v>
      </c>
      <c r="AK164" s="8" t="e">
        <f>AK117*'Emission factors Trucks&amp;Trains'!#REF!*(2-$AS$81)</f>
        <v>#REF!</v>
      </c>
      <c r="AL164" s="8" t="e">
        <f>AL117*'Emission factors Trucks&amp;Trains'!#REF!*(2-$AS$81)</f>
        <v>#REF!</v>
      </c>
      <c r="AM164" s="8" t="e">
        <f>AM117*'Emission factors Trucks&amp;Trains'!#REF!*(2-$AS$81)</f>
        <v>#REF!</v>
      </c>
      <c r="AN164" s="8" t="e">
        <f>AN117*'Emission factors Trucks&amp;Trains'!#REF!*(2-$AS$81)</f>
        <v>#REF!</v>
      </c>
      <c r="AO164" s="8" t="e">
        <f>AO117*'Emission factors Trucks&amp;Trains'!#REF!*(2-$AS$81)</f>
        <v>#REF!</v>
      </c>
      <c r="AP164" s="8" t="e">
        <f>AP117*'Emission factors Trucks&amp;Trains'!#REF!*(2-$AS$81)</f>
        <v>#REF!</v>
      </c>
      <c r="AQ164" s="8" t="e">
        <f>AQ117*'Emission factors Trucks&amp;Trains'!#REF!*(2-$AS$81)</f>
        <v>#REF!</v>
      </c>
      <c r="AR164" s="8" t="e">
        <f>AR117*'Emission factors Trucks&amp;Trains'!#REF!*(2-$AS$81)</f>
        <v>#REF!</v>
      </c>
      <c r="AS164" s="8" t="e">
        <f>AS117*'Emission factors Trucks&amp;Trains'!#REF!*(2-$AS$81)</f>
        <v>#REF!</v>
      </c>
      <c r="AT164" s="8" t="e">
        <f>AT117*'Emission factors Trucks&amp;Trains'!#REF!*(2-$AS$81)</f>
        <v>#REF!</v>
      </c>
      <c r="AU164" s="8" t="e">
        <f>AU117*'Emission factors Trucks&amp;Trains'!#REF!*(2-$AS$81)</f>
        <v>#REF!</v>
      </c>
      <c r="AV164" s="8" t="e">
        <f>AV117*'Emission factors Trucks&amp;Trains'!#REF!*(2-$AS$81)</f>
        <v>#REF!</v>
      </c>
      <c r="AW164" s="8" t="e">
        <f>AW117*'Emission factors Trucks&amp;Trains'!#REF!*(2-$AS$81)</f>
        <v>#REF!</v>
      </c>
      <c r="AX164" s="8" t="e">
        <f>AX117*'Emission factors Trucks&amp;Trains'!#REF!*(2-$AS$81)</f>
        <v>#REF!</v>
      </c>
      <c r="AY164" s="8" t="e">
        <f>AY117*'Emission factors Trucks&amp;Trains'!#REF!*(2-$AS$81)</f>
        <v>#REF!</v>
      </c>
      <c r="AZ164" s="8" t="e">
        <f>AZ117*'Emission factors Trucks&amp;Trains'!#REF!*(2-$AS$81)</f>
        <v>#REF!</v>
      </c>
      <c r="BA164" s="8" t="e">
        <f>BA117*'Emission factors Trucks&amp;Trains'!#REF!*(2-$AS$81)</f>
        <v>#REF!</v>
      </c>
      <c r="BB164" s="8" t="e">
        <f>BB117*'Emission factors Trucks&amp;Trains'!#REF!*(2-$AS$81)</f>
        <v>#REF!</v>
      </c>
      <c r="BC164" s="8" t="e">
        <f>BC117*'Emission factors Trucks&amp;Trains'!#REF!*(2-$AS$81)</f>
        <v>#REF!</v>
      </c>
      <c r="BD164" s="8" t="e">
        <f>BD117*'Emission factors Trucks&amp;Trains'!#REF!*(2-$AS$81)</f>
        <v>#REF!</v>
      </c>
      <c r="BE164" s="8" t="e">
        <f>BE117*'Emission factors Trucks&amp;Trains'!#REF!*(2-$AS$81)</f>
        <v>#REF!</v>
      </c>
      <c r="BF164" s="8" t="e">
        <f>BF117*'Emission factors Trucks&amp;Trains'!#REF!*(2-$AS$81)</f>
        <v>#REF!</v>
      </c>
      <c r="BG164" s="9" t="e">
        <f>BG117*'Emission factors Trucks&amp;Trains'!#REF!*(2-$AS$81)</f>
        <v>#REF!</v>
      </c>
    </row>
    <row r="165" spans="1:59" ht="15" customHeight="1">
      <c r="A165" s="500"/>
      <c r="B165" s="136" t="s">
        <v>348</v>
      </c>
      <c r="C165" s="112" t="s">
        <v>344</v>
      </c>
      <c r="D165" s="8" t="e">
        <f>(D85+#REF!)*'Emission factors Trucks&amp;Trains'!#REF!*(2-$AS$81)</f>
        <v>#REF!</v>
      </c>
      <c r="E165" s="8" t="e">
        <f>(E85+#REF!)*'Emission factors Trucks&amp;Trains'!#REF!*(2-$AS$81)</f>
        <v>#REF!</v>
      </c>
      <c r="F165" s="8" t="e">
        <f>(F85+#REF!)*'Emission factors Trucks&amp;Trains'!#REF!*(2-$AS$81)</f>
        <v>#REF!</v>
      </c>
      <c r="G165" s="8" t="e">
        <f>(G85+#REF!)*'Emission factors Trucks&amp;Trains'!#REF!*(2-$AS$81)</f>
        <v>#REF!</v>
      </c>
      <c r="H165" s="8" t="e">
        <f>(H85+#REF!)*'Emission factors Trucks&amp;Trains'!#REF!*(2-$AS$81)</f>
        <v>#REF!</v>
      </c>
      <c r="I165" s="8" t="e">
        <f>(I85+#REF!)*'Emission factors Trucks&amp;Trains'!#REF!*(2-$AS$81)</f>
        <v>#REF!</v>
      </c>
      <c r="J165" s="8" t="e">
        <f>(J85+#REF!)*'Emission factors Trucks&amp;Trains'!#REF!*(2-$AS$81)</f>
        <v>#REF!</v>
      </c>
      <c r="K165" s="8" t="e">
        <f>(K85+#REF!)*'Emission factors Trucks&amp;Trains'!#REF!*(2-$AS$81)</f>
        <v>#REF!</v>
      </c>
      <c r="L165" s="8" t="e">
        <f>(L85+#REF!)*'Emission factors Trucks&amp;Trains'!#REF!*(2-$AS$81)</f>
        <v>#REF!</v>
      </c>
      <c r="M165" s="8" t="e">
        <f>(M85+#REF!)*'Emission factors Trucks&amp;Trains'!#REF!*(2-$AS$81)</f>
        <v>#REF!</v>
      </c>
      <c r="N165" s="8" t="e">
        <f>(N85+#REF!)*'Emission factors Trucks&amp;Trains'!#REF!*(2-$AS$81)</f>
        <v>#REF!</v>
      </c>
      <c r="O165" s="8" t="e">
        <f>(O85+#REF!)*'Emission factors Trucks&amp;Trains'!#REF!*(2-$AS$81)</f>
        <v>#REF!</v>
      </c>
      <c r="P165" s="8" t="e">
        <f>(P85+#REF!)*'Emission factors Trucks&amp;Trains'!#REF!*(2-$AS$81)</f>
        <v>#REF!</v>
      </c>
      <c r="Q165" s="8" t="e">
        <f>(Q85+#REF!)*'Emission factors Trucks&amp;Trains'!#REF!*(2-$AS$81)</f>
        <v>#REF!</v>
      </c>
      <c r="R165" s="8" t="e">
        <f>(R85+#REF!)*'Emission factors Trucks&amp;Trains'!#REF!*(2-$AS$81)</f>
        <v>#REF!</v>
      </c>
      <c r="S165" s="8" t="e">
        <f>(S85+#REF!)*'Emission factors Trucks&amp;Trains'!#REF!*(2-$AS$81)</f>
        <v>#REF!</v>
      </c>
      <c r="T165" s="8" t="e">
        <f>(T85+#REF!)*'Emission factors Trucks&amp;Trains'!#REF!*(2-$AS$81)</f>
        <v>#REF!</v>
      </c>
      <c r="U165" s="8" t="e">
        <f>(U85+#REF!)*'Emission factors Trucks&amp;Trains'!#REF!*(2-$AS$81)</f>
        <v>#REF!</v>
      </c>
      <c r="V165" s="8" t="e">
        <f>(V85+#REF!)*'Emission factors Trucks&amp;Trains'!#REF!*(2-$AS$81)</f>
        <v>#REF!</v>
      </c>
      <c r="W165" s="8" t="e">
        <f>(W85+#REF!)*'Emission factors Trucks&amp;Trains'!#REF!*(2-$AS$81)</f>
        <v>#REF!</v>
      </c>
      <c r="X165" s="8" t="e">
        <f>(X85+#REF!)*'Emission factors Trucks&amp;Trains'!#REF!*(2-$AS$81)</f>
        <v>#REF!</v>
      </c>
      <c r="Y165" s="8" t="e">
        <f>(Y85+#REF!)*'Emission factors Trucks&amp;Trains'!#REF!*(2-$AS$81)</f>
        <v>#REF!</v>
      </c>
      <c r="Z165" s="8" t="e">
        <f>(Z85+#REF!)*'Emission factors Trucks&amp;Trains'!#REF!*(2-$AS$81)</f>
        <v>#REF!</v>
      </c>
      <c r="AA165" s="8" t="e">
        <f>(AA85+#REF!)*'Emission factors Trucks&amp;Trains'!#REF!*(2-$AS$81)</f>
        <v>#REF!</v>
      </c>
      <c r="AB165" s="8" t="e">
        <f>(AB85+#REF!)*'Emission factors Trucks&amp;Trains'!#REF!*(2-$AS$81)</f>
        <v>#REF!</v>
      </c>
      <c r="AF165" s="464"/>
      <c r="AG165" s="136" t="s">
        <v>348</v>
      </c>
      <c r="AH165" s="6" t="s">
        <v>344</v>
      </c>
      <c r="AI165" s="21" t="e">
        <f>AI117*'Emission factors Trucks&amp;Trains'!#REF!*(2-$AS$81)</f>
        <v>#REF!</v>
      </c>
      <c r="AJ165" s="8" t="e">
        <f>AJ117*'Emission factors Trucks&amp;Trains'!#REF!*(2-$AS$81)</f>
        <v>#REF!</v>
      </c>
      <c r="AK165" s="8" t="e">
        <f>AK117*'Emission factors Trucks&amp;Trains'!#REF!*(2-$AS$81)</f>
        <v>#REF!</v>
      </c>
      <c r="AL165" s="8" t="e">
        <f>AL117*'Emission factors Trucks&amp;Trains'!#REF!*(2-$AS$81)</f>
        <v>#REF!</v>
      </c>
      <c r="AM165" s="8" t="e">
        <f>AM117*'Emission factors Trucks&amp;Trains'!#REF!*(2-$AS$81)</f>
        <v>#REF!</v>
      </c>
      <c r="AN165" s="8" t="e">
        <f>AN117*'Emission factors Trucks&amp;Trains'!#REF!*(2-$AS$81)</f>
        <v>#REF!</v>
      </c>
      <c r="AO165" s="8" t="e">
        <f>AO117*'Emission factors Trucks&amp;Trains'!#REF!*(2-$AS$81)</f>
        <v>#REF!</v>
      </c>
      <c r="AP165" s="8" t="e">
        <f>AP117*'Emission factors Trucks&amp;Trains'!#REF!*(2-$AS$81)</f>
        <v>#REF!</v>
      </c>
      <c r="AQ165" s="8" t="e">
        <f>AQ117*'Emission factors Trucks&amp;Trains'!#REF!*(2-$AS$81)</f>
        <v>#REF!</v>
      </c>
      <c r="AR165" s="8" t="e">
        <f>AR117*'Emission factors Trucks&amp;Trains'!#REF!*(2-$AS$81)</f>
        <v>#REF!</v>
      </c>
      <c r="AS165" s="8" t="e">
        <f>AS117*'Emission factors Trucks&amp;Trains'!#REF!*(2-$AS$81)</f>
        <v>#REF!</v>
      </c>
      <c r="AT165" s="8" t="e">
        <f>AT117*'Emission factors Trucks&amp;Trains'!#REF!*(2-$AS$81)</f>
        <v>#REF!</v>
      </c>
      <c r="AU165" s="8" t="e">
        <f>AU117*'Emission factors Trucks&amp;Trains'!#REF!*(2-$AS$81)</f>
        <v>#REF!</v>
      </c>
      <c r="AV165" s="8" t="e">
        <f>AV117*'Emission factors Trucks&amp;Trains'!#REF!*(2-$AS$81)</f>
        <v>#REF!</v>
      </c>
      <c r="AW165" s="8" t="e">
        <f>AW117*'Emission factors Trucks&amp;Trains'!#REF!*(2-$AS$81)</f>
        <v>#REF!</v>
      </c>
      <c r="AX165" s="8" t="e">
        <f>AX117*'Emission factors Trucks&amp;Trains'!#REF!*(2-$AS$81)</f>
        <v>#REF!</v>
      </c>
      <c r="AY165" s="8" t="e">
        <f>AY117*'Emission factors Trucks&amp;Trains'!#REF!*(2-$AS$81)</f>
        <v>#REF!</v>
      </c>
      <c r="AZ165" s="8" t="e">
        <f>AZ117*'Emission factors Trucks&amp;Trains'!#REF!*(2-$AS$81)</f>
        <v>#REF!</v>
      </c>
      <c r="BA165" s="8" t="e">
        <f>BA117*'Emission factors Trucks&amp;Trains'!#REF!*(2-$AS$81)</f>
        <v>#REF!</v>
      </c>
      <c r="BB165" s="8" t="e">
        <f>BB117*'Emission factors Trucks&amp;Trains'!#REF!*(2-$AS$81)</f>
        <v>#REF!</v>
      </c>
      <c r="BC165" s="8" t="e">
        <f>BC117*'Emission factors Trucks&amp;Trains'!#REF!*(2-$AS$81)</f>
        <v>#REF!</v>
      </c>
      <c r="BD165" s="8" t="e">
        <f>BD117*'Emission factors Trucks&amp;Trains'!#REF!*(2-$AS$81)</f>
        <v>#REF!</v>
      </c>
      <c r="BE165" s="8" t="e">
        <f>BE117*'Emission factors Trucks&amp;Trains'!#REF!*(2-$AS$81)</f>
        <v>#REF!</v>
      </c>
      <c r="BF165" s="8" t="e">
        <f>BF117*'Emission factors Trucks&amp;Trains'!#REF!*(2-$AS$81)</f>
        <v>#REF!</v>
      </c>
      <c r="BG165" s="9" t="e">
        <f>BG117*'Emission factors Trucks&amp;Trains'!#REF!*(2-$AS$81)</f>
        <v>#REF!</v>
      </c>
    </row>
    <row r="166" spans="1:59" ht="15" customHeight="1">
      <c r="A166" s="500"/>
      <c r="B166" s="136" t="s">
        <v>349</v>
      </c>
      <c r="C166" s="112" t="s">
        <v>344</v>
      </c>
      <c r="D166" s="8" t="e">
        <f>(D85+#REF!)*'Emission factors Trucks&amp;Trains'!#REF!*(2-$AS$81)</f>
        <v>#REF!</v>
      </c>
      <c r="E166" s="8" t="e">
        <f>(E85+#REF!)*'Emission factors Trucks&amp;Trains'!#REF!*(2-$AS$81)</f>
        <v>#REF!</v>
      </c>
      <c r="F166" s="8" t="e">
        <f>(F85+#REF!)*'Emission factors Trucks&amp;Trains'!#REF!*(2-$AS$81)</f>
        <v>#REF!</v>
      </c>
      <c r="G166" s="8" t="e">
        <f>(G85+#REF!)*'Emission factors Trucks&amp;Trains'!#REF!*(2-$AS$81)</f>
        <v>#REF!</v>
      </c>
      <c r="H166" s="8" t="e">
        <f>(H85+#REF!)*'Emission factors Trucks&amp;Trains'!#REF!*(2-$AS$81)</f>
        <v>#REF!</v>
      </c>
      <c r="I166" s="8" t="e">
        <f>(I85+#REF!)*'Emission factors Trucks&amp;Trains'!#REF!*(2-$AS$81)</f>
        <v>#REF!</v>
      </c>
      <c r="J166" s="8" t="e">
        <f>(J85+#REF!)*'Emission factors Trucks&amp;Trains'!#REF!*(2-$AS$81)</f>
        <v>#REF!</v>
      </c>
      <c r="K166" s="8" t="e">
        <f>(K85+#REF!)*'Emission factors Trucks&amp;Trains'!#REF!*(2-$AS$81)</f>
        <v>#REF!</v>
      </c>
      <c r="L166" s="8" t="e">
        <f>(L85+#REF!)*'Emission factors Trucks&amp;Trains'!#REF!*(2-$AS$81)</f>
        <v>#REF!</v>
      </c>
      <c r="M166" s="8" t="e">
        <f>(M85+#REF!)*'Emission factors Trucks&amp;Trains'!#REF!*(2-$AS$81)</f>
        <v>#REF!</v>
      </c>
      <c r="N166" s="8" t="e">
        <f>(N85+#REF!)*'Emission factors Trucks&amp;Trains'!#REF!*(2-$AS$81)</f>
        <v>#REF!</v>
      </c>
      <c r="O166" s="8" t="e">
        <f>(O85+#REF!)*'Emission factors Trucks&amp;Trains'!#REF!*(2-$AS$81)</f>
        <v>#REF!</v>
      </c>
      <c r="P166" s="8" t="e">
        <f>(P85+#REF!)*'Emission factors Trucks&amp;Trains'!#REF!*(2-$AS$81)</f>
        <v>#REF!</v>
      </c>
      <c r="Q166" s="8" t="e">
        <f>(Q85+#REF!)*'Emission factors Trucks&amp;Trains'!#REF!*(2-$AS$81)</f>
        <v>#REF!</v>
      </c>
      <c r="R166" s="8" t="e">
        <f>(R85+#REF!)*'Emission factors Trucks&amp;Trains'!#REF!*(2-$AS$81)</f>
        <v>#REF!</v>
      </c>
      <c r="S166" s="8" t="e">
        <f>(S85+#REF!)*'Emission factors Trucks&amp;Trains'!#REF!*(2-$AS$81)</f>
        <v>#REF!</v>
      </c>
      <c r="T166" s="8" t="e">
        <f>(T85+#REF!)*'Emission factors Trucks&amp;Trains'!#REF!*(2-$AS$81)</f>
        <v>#REF!</v>
      </c>
      <c r="U166" s="8" t="e">
        <f>(U85+#REF!)*'Emission factors Trucks&amp;Trains'!#REF!*(2-$AS$81)</f>
        <v>#REF!</v>
      </c>
      <c r="V166" s="8" t="e">
        <f>(V85+#REF!)*'Emission factors Trucks&amp;Trains'!#REF!*(2-$AS$81)</f>
        <v>#REF!</v>
      </c>
      <c r="W166" s="8" t="e">
        <f>(W85+#REF!)*'Emission factors Trucks&amp;Trains'!#REF!*(2-$AS$81)</f>
        <v>#REF!</v>
      </c>
      <c r="X166" s="8" t="e">
        <f>(X85+#REF!)*'Emission factors Trucks&amp;Trains'!#REF!*(2-$AS$81)</f>
        <v>#REF!</v>
      </c>
      <c r="Y166" s="8" t="e">
        <f>(Y85+#REF!)*'Emission factors Trucks&amp;Trains'!#REF!*(2-$AS$81)</f>
        <v>#REF!</v>
      </c>
      <c r="Z166" s="8" t="e">
        <f>(Z85+#REF!)*'Emission factors Trucks&amp;Trains'!#REF!*(2-$AS$81)</f>
        <v>#REF!</v>
      </c>
      <c r="AA166" s="8" t="e">
        <f>(AA85+#REF!)*'Emission factors Trucks&amp;Trains'!#REF!*(2-$AS$81)</f>
        <v>#REF!</v>
      </c>
      <c r="AB166" s="8" t="e">
        <f>(AB85+#REF!)*'Emission factors Trucks&amp;Trains'!#REF!*(2-$AS$81)</f>
        <v>#REF!</v>
      </c>
      <c r="AF166" s="464"/>
      <c r="AG166" s="136" t="s">
        <v>349</v>
      </c>
      <c r="AH166" s="6" t="s">
        <v>344</v>
      </c>
      <c r="AI166" s="21" t="e">
        <f>AI117*'Emission factors Trucks&amp;Trains'!#REF!*(2-$AS$81)</f>
        <v>#REF!</v>
      </c>
      <c r="AJ166" s="8" t="e">
        <f>AJ117*'Emission factors Trucks&amp;Trains'!#REF!*(2-$AS$81)</f>
        <v>#REF!</v>
      </c>
      <c r="AK166" s="8" t="e">
        <f>AK117*'Emission factors Trucks&amp;Trains'!#REF!*(2-$AS$81)</f>
        <v>#REF!</v>
      </c>
      <c r="AL166" s="8" t="e">
        <f>AL117*'Emission factors Trucks&amp;Trains'!#REF!*(2-$AS$81)</f>
        <v>#REF!</v>
      </c>
      <c r="AM166" s="8" t="e">
        <f>AM117*'Emission factors Trucks&amp;Trains'!#REF!*(2-$AS$81)</f>
        <v>#REF!</v>
      </c>
      <c r="AN166" s="8" t="e">
        <f>AN117*'Emission factors Trucks&amp;Trains'!#REF!*(2-$AS$81)</f>
        <v>#REF!</v>
      </c>
      <c r="AO166" s="8" t="e">
        <f>AO117*'Emission factors Trucks&amp;Trains'!#REF!*(2-$AS$81)</f>
        <v>#REF!</v>
      </c>
      <c r="AP166" s="8" t="e">
        <f>AP117*'Emission factors Trucks&amp;Trains'!#REF!*(2-$AS$81)</f>
        <v>#REF!</v>
      </c>
      <c r="AQ166" s="8" t="e">
        <f>AQ117*'Emission factors Trucks&amp;Trains'!#REF!*(2-$AS$81)</f>
        <v>#REF!</v>
      </c>
      <c r="AR166" s="8" t="e">
        <f>AR117*'Emission factors Trucks&amp;Trains'!#REF!*(2-$AS$81)</f>
        <v>#REF!</v>
      </c>
      <c r="AS166" s="8" t="e">
        <f>AS117*'Emission factors Trucks&amp;Trains'!#REF!*(2-$AS$81)</f>
        <v>#REF!</v>
      </c>
      <c r="AT166" s="8" t="e">
        <f>AT117*'Emission factors Trucks&amp;Trains'!#REF!*(2-$AS$81)</f>
        <v>#REF!</v>
      </c>
      <c r="AU166" s="8" t="e">
        <f>AU117*'Emission factors Trucks&amp;Trains'!#REF!*(2-$AS$81)</f>
        <v>#REF!</v>
      </c>
      <c r="AV166" s="8" t="e">
        <f>AV117*'Emission factors Trucks&amp;Trains'!#REF!*(2-$AS$81)</f>
        <v>#REF!</v>
      </c>
      <c r="AW166" s="8" t="e">
        <f>AW117*'Emission factors Trucks&amp;Trains'!#REF!*(2-$AS$81)</f>
        <v>#REF!</v>
      </c>
      <c r="AX166" s="8" t="e">
        <f>AX117*'Emission factors Trucks&amp;Trains'!#REF!*(2-$AS$81)</f>
        <v>#REF!</v>
      </c>
      <c r="AY166" s="8" t="e">
        <f>AY117*'Emission factors Trucks&amp;Trains'!#REF!*(2-$AS$81)</f>
        <v>#REF!</v>
      </c>
      <c r="AZ166" s="8" t="e">
        <f>AZ117*'Emission factors Trucks&amp;Trains'!#REF!*(2-$AS$81)</f>
        <v>#REF!</v>
      </c>
      <c r="BA166" s="8" t="e">
        <f>BA117*'Emission factors Trucks&amp;Trains'!#REF!*(2-$AS$81)</f>
        <v>#REF!</v>
      </c>
      <c r="BB166" s="8" t="e">
        <f>BB117*'Emission factors Trucks&amp;Trains'!#REF!*(2-$AS$81)</f>
        <v>#REF!</v>
      </c>
      <c r="BC166" s="8" t="e">
        <f>BC117*'Emission factors Trucks&amp;Trains'!#REF!*(2-$AS$81)</f>
        <v>#REF!</v>
      </c>
      <c r="BD166" s="8" t="e">
        <f>BD117*'Emission factors Trucks&amp;Trains'!#REF!*(2-$AS$81)</f>
        <v>#REF!</v>
      </c>
      <c r="BE166" s="8" t="e">
        <f>BE117*'Emission factors Trucks&amp;Trains'!#REF!*(2-$AS$81)</f>
        <v>#REF!</v>
      </c>
      <c r="BF166" s="8" t="e">
        <f>BF117*'Emission factors Trucks&amp;Trains'!#REF!*(2-$AS$81)</f>
        <v>#REF!</v>
      </c>
      <c r="BG166" s="9" t="e">
        <f>BG117*'Emission factors Trucks&amp;Trains'!#REF!*(2-$AS$81)</f>
        <v>#REF!</v>
      </c>
    </row>
    <row r="167" spans="1:59" ht="15" customHeight="1" thickBot="1">
      <c r="A167" s="501"/>
      <c r="B167" s="140" t="s">
        <v>246</v>
      </c>
      <c r="C167" s="138" t="s">
        <v>344</v>
      </c>
      <c r="D167" s="23">
        <f>(D73+D108)*'Emission factors Trucks&amp;Trains'!B6*(2-$AS$81)</f>
        <v>0</v>
      </c>
      <c r="E167" s="23">
        <f>(E73+E108)*'Emission factors Trucks&amp;Trains'!C6*(2-$AS$81)</f>
        <v>0</v>
      </c>
      <c r="F167" s="23">
        <f>(F73+F108)*'Emission factors Trucks&amp;Trains'!D6*(2-$AS$81)</f>
        <v>0</v>
      </c>
      <c r="G167" s="23">
        <f>(G73+G108)*'Emission factors Trucks&amp;Trains'!E6*(2-$AS$81)</f>
        <v>0</v>
      </c>
      <c r="H167" s="23">
        <f>(H73+H108)*'Emission factors Trucks&amp;Trains'!F6*(2-$AS$81)</f>
        <v>0</v>
      </c>
      <c r="I167" s="23">
        <f>(I73+I108)*'Emission factors Trucks&amp;Trains'!G6*(2-$AS$81)</f>
        <v>0</v>
      </c>
      <c r="J167" s="23">
        <f>(J73+J108)*'Emission factors Trucks&amp;Trains'!H6*(2-$AS$81)</f>
        <v>0</v>
      </c>
      <c r="K167" s="23">
        <f>(K73+K108)*'Emission factors Trucks&amp;Trains'!I6*(2-$AS$81)</f>
        <v>0</v>
      </c>
      <c r="L167" s="23">
        <f>(L73+L108)*'Emission factors Trucks&amp;Trains'!J6*(2-$AS$81)</f>
        <v>0</v>
      </c>
      <c r="M167" s="23">
        <f>(M73+M108)*'Emission factors Trucks&amp;Trains'!K6*(2-$AS$81)</f>
        <v>0</v>
      </c>
      <c r="N167" s="23">
        <f>(N73+N108)*'Emission factors Trucks&amp;Trains'!L6*(2-$AS$81)</f>
        <v>0</v>
      </c>
      <c r="O167" s="23">
        <f>(O73+O108)*'Emission factors Trucks&amp;Trains'!M6*(2-$AS$81)</f>
        <v>0</v>
      </c>
      <c r="P167" s="23">
        <f>(P73+P108)*'Emission factors Trucks&amp;Trains'!N6*(2-$AS$81)</f>
        <v>0</v>
      </c>
      <c r="Q167" s="23">
        <f>(Q73+Q108)*'Emission factors Trucks&amp;Trains'!O6*(2-$AS$81)</f>
        <v>0</v>
      </c>
      <c r="R167" s="23">
        <f>(R73+R108)*'Emission factors Trucks&amp;Trains'!P6*(2-$AS$81)</f>
        <v>0</v>
      </c>
      <c r="S167" s="23">
        <f>(S73+S108)*'Emission factors Trucks&amp;Trains'!Q6*(2-$AS$81)</f>
        <v>0</v>
      </c>
      <c r="T167" s="23">
        <f>(T73+T108)*'Emission factors Trucks&amp;Trains'!R6*(2-$AS$81)</f>
        <v>0</v>
      </c>
      <c r="U167" s="23">
        <f>(U73+U108)*'Emission factors Trucks&amp;Trains'!S6*(2-$AS$81)</f>
        <v>0</v>
      </c>
      <c r="V167" s="23">
        <f>(V73+V108)*'Emission factors Trucks&amp;Trains'!T6*(2-$AS$81)</f>
        <v>0</v>
      </c>
      <c r="W167" s="23">
        <f>(W73+W108)*'Emission factors Trucks&amp;Trains'!U6*(2-$AS$81)</f>
        <v>0</v>
      </c>
      <c r="X167" s="23">
        <f>(X73+X108)*'Emission factors Trucks&amp;Trains'!V6*(2-$AS$81)</f>
        <v>0</v>
      </c>
      <c r="Y167" s="23">
        <f>(Y73+Y108)*'Emission factors Trucks&amp;Trains'!W6*(2-$AS$81)</f>
        <v>0</v>
      </c>
      <c r="Z167" s="23">
        <f>(Z73+Z108)*'Emission factors Trucks&amp;Trains'!X6*(2-$AS$81)</f>
        <v>0</v>
      </c>
      <c r="AA167" s="23">
        <f>(AA73+AA108)*'Emission factors Trucks&amp;Trains'!Y6*(2-$AS$81)</f>
        <v>0</v>
      </c>
      <c r="AB167" s="23">
        <f>(AB73+AB108)*'Emission factors Trucks&amp;Trains'!Z6*(2-$AS$81)</f>
        <v>0</v>
      </c>
      <c r="AF167" s="465"/>
      <c r="AG167" s="136" t="s">
        <v>246</v>
      </c>
      <c r="AH167" s="6" t="s">
        <v>344</v>
      </c>
      <c r="AI167" s="21">
        <f>AI117*'Emission factors Trucks&amp;Trains'!B6*(2-$AS$81)</f>
        <v>0</v>
      </c>
      <c r="AJ167" s="21">
        <f>AJ117*'Emission factors Trucks&amp;Trains'!C6*(2-$AS$81)</f>
        <v>0</v>
      </c>
      <c r="AK167" s="21">
        <f>AK117*'Emission factors Trucks&amp;Trains'!D6*(2-$AS$81)</f>
        <v>48399.152894471765</v>
      </c>
      <c r="AL167" s="21">
        <f>AL117*'Emission factors Trucks&amp;Trains'!E6*(2-$AS$81)</f>
        <v>76461.818837140148</v>
      </c>
      <c r="AM167" s="21">
        <f>AM117*'Emission factors Trucks&amp;Trains'!F6*(2-$AS$81)</f>
        <v>97033.822545531206</v>
      </c>
      <c r="AN167" s="21">
        <f>AN117*'Emission factors Trucks&amp;Trains'!G6*(2-$AS$81)</f>
        <v>106179.92486111932</v>
      </c>
      <c r="AO167" s="21">
        <f>AO117*'Emission factors Trucks&amp;Trains'!H6*(2-$AS$81)</f>
        <v>114765.3066748977</v>
      </c>
      <c r="AP167" s="21">
        <f>AP117*'Emission factors Trucks&amp;Trains'!I6*(2-$AS$81)</f>
        <v>125353.81372617939</v>
      </c>
      <c r="AQ167" s="21">
        <f>AQ117*'Emission factors Trucks&amp;Trains'!J6*(2-$AS$81)</f>
        <v>135594.32793442174</v>
      </c>
      <c r="AR167" s="21">
        <f>AR117*'Emission factors Trucks&amp;Trains'!K6*(2-$AS$81)</f>
        <v>145623.5085627446</v>
      </c>
      <c r="AS167" s="21">
        <f>AS117*'Emission factors Trucks&amp;Trains'!L6*(2-$AS$81)</f>
        <v>155534.7582846052</v>
      </c>
      <c r="AT167" s="21">
        <f>AT117*'Emission factors Trucks&amp;Trains'!M6*(2-$AS$81)</f>
        <v>165685.64603569411</v>
      </c>
      <c r="AU167" s="21">
        <f>AU117*'Emission factors Trucks&amp;Trains'!N6*(2-$AS$81)</f>
        <v>173403.02564081288</v>
      </c>
      <c r="AV167" s="21">
        <f>AV117*'Emission factors Trucks&amp;Trains'!O6*(2-$AS$81)</f>
        <v>181537.7549204783</v>
      </c>
      <c r="AW167" s="21">
        <f>AW117*'Emission factors Trucks&amp;Trains'!P6*(2-$AS$81)</f>
        <v>187650.79255912264</v>
      </c>
      <c r="AX167" s="21">
        <f>AX117*'Emission factors Trucks&amp;Trains'!Q6*(2-$AS$81)</f>
        <v>192841.92423730349</v>
      </c>
      <c r="AY167" s="21">
        <f>AY117*'Emission factors Trucks&amp;Trains'!R6*(2-$AS$81)</f>
        <v>197130.40776409447</v>
      </c>
      <c r="AZ167" s="21">
        <f>AZ117*'Emission factors Trucks&amp;Trains'!S6*(2-$AS$81)</f>
        <v>205044.14513604788</v>
      </c>
      <c r="BA167" s="21">
        <f>BA117*'Emission factors Trucks&amp;Trains'!T6*(2-$AS$81)</f>
        <v>213409.13355632324</v>
      </c>
      <c r="BB167" s="21">
        <f>BB117*'Emission factors Trucks&amp;Trains'!U6*(2-$AS$81)</f>
        <v>219160.60690138154</v>
      </c>
      <c r="BC167" s="21">
        <f>BC117*'Emission factors Trucks&amp;Trains'!V6*(2-$AS$81)</f>
        <v>222777.15953059407</v>
      </c>
      <c r="BD167" s="21">
        <f>BD117*'Emission factors Trucks&amp;Trains'!W6*(2-$AS$81)</f>
        <v>232696.55134414756</v>
      </c>
      <c r="BE167" s="21">
        <f>BE117*'Emission factors Trucks&amp;Trains'!X6*(2-$AS$81)</f>
        <v>242285.86188975797</v>
      </c>
      <c r="BF167" s="21">
        <f>BF117*'Emission factors Trucks&amp;Trains'!Y6*(2-$AS$81)</f>
        <v>252008.21907459636</v>
      </c>
      <c r="BG167" s="21">
        <f>BG117*'Emission factors Trucks&amp;Trains'!Z6*(2-$AS$81)</f>
        <v>260496.96916440228</v>
      </c>
    </row>
    <row r="168" spans="1:59" ht="15" customHeight="1" thickBot="1">
      <c r="D168" s="60"/>
      <c r="E168" s="60"/>
      <c r="F168" s="60"/>
      <c r="G168" s="60"/>
      <c r="H168" s="60"/>
      <c r="I168" s="60"/>
      <c r="J168" s="60"/>
      <c r="K168" s="60"/>
      <c r="L168" s="61"/>
      <c r="T168" s="60"/>
      <c r="U168" s="60"/>
      <c r="V168" s="60"/>
      <c r="W168" s="60"/>
      <c r="X168" s="60"/>
      <c r="Y168" s="60"/>
      <c r="Z168" s="60"/>
      <c r="AA168" s="60"/>
      <c r="AB168" s="61"/>
    </row>
    <row r="169" spans="1:59" ht="15" customHeight="1">
      <c r="A169" s="475" t="s">
        <v>350</v>
      </c>
      <c r="B169" s="83" t="s">
        <v>9</v>
      </c>
      <c r="C169" s="18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F169" s="463" t="s">
        <v>351</v>
      </c>
      <c r="AG169" s="78" t="s">
        <v>3</v>
      </c>
      <c r="AH169" s="247" t="s">
        <v>1</v>
      </c>
      <c r="AI169" s="121">
        <v>2022</v>
      </c>
      <c r="AJ169" s="115">
        <v>2023</v>
      </c>
      <c r="AK169" s="115">
        <v>2024</v>
      </c>
      <c r="AL169" s="115">
        <v>2025</v>
      </c>
      <c r="AM169" s="115">
        <v>2026</v>
      </c>
      <c r="AN169" s="115">
        <v>2027</v>
      </c>
      <c r="AO169" s="115">
        <v>2028</v>
      </c>
      <c r="AP169" s="115">
        <v>2029</v>
      </c>
      <c r="AQ169" s="115">
        <v>2030</v>
      </c>
      <c r="AR169" s="115">
        <v>2031</v>
      </c>
      <c r="AS169" s="115">
        <v>2032</v>
      </c>
      <c r="AT169" s="115">
        <v>2033</v>
      </c>
      <c r="AU169" s="115">
        <v>2034</v>
      </c>
      <c r="AV169" s="115">
        <v>2035</v>
      </c>
      <c r="AW169" s="115">
        <v>2036</v>
      </c>
      <c r="AX169" s="115">
        <v>2037</v>
      </c>
      <c r="AY169" s="115">
        <v>2038</v>
      </c>
      <c r="AZ169" s="115">
        <v>2039</v>
      </c>
      <c r="BA169" s="115">
        <v>2040</v>
      </c>
      <c r="BB169" s="115">
        <v>2041</v>
      </c>
      <c r="BC169" s="115">
        <v>2042</v>
      </c>
      <c r="BD169" s="115">
        <v>2043</v>
      </c>
      <c r="BE169" s="115">
        <v>2044</v>
      </c>
      <c r="BF169" s="115">
        <v>2045</v>
      </c>
      <c r="BG169" s="116">
        <v>2046</v>
      </c>
    </row>
    <row r="170" spans="1:59" ht="15" customHeight="1">
      <c r="A170" s="476"/>
      <c r="B170" s="136" t="s">
        <v>343</v>
      </c>
      <c r="C170" s="112" t="s">
        <v>344</v>
      </c>
      <c r="D170" s="142" t="e">
        <f>D94*'Emission factors Trucks&amp;Trains'!#REF!*(2-$AS$82)</f>
        <v>#REF!</v>
      </c>
      <c r="E170" s="142" t="e">
        <f>E94*'Emission factors Trucks&amp;Trains'!#REF!*(2-$AS$82)</f>
        <v>#REF!</v>
      </c>
      <c r="F170" s="142" t="e">
        <f>F94*'Emission factors Trucks&amp;Trains'!#REF!*(2-$AS$82)</f>
        <v>#REF!</v>
      </c>
      <c r="G170" s="142" t="e">
        <f>G94*'Emission factors Trucks&amp;Trains'!#REF!*(2-$AS$82)</f>
        <v>#REF!</v>
      </c>
      <c r="H170" s="142" t="e">
        <f>H94*'Emission factors Trucks&amp;Trains'!#REF!*(2-$AS$82)</f>
        <v>#REF!</v>
      </c>
      <c r="I170" s="142" t="e">
        <f>I94*'Emission factors Trucks&amp;Trains'!#REF!*(2-$AS$82)</f>
        <v>#REF!</v>
      </c>
      <c r="J170" s="142" t="e">
        <f>J94*'Emission factors Trucks&amp;Trains'!#REF!*(2-$AS$82)</f>
        <v>#REF!</v>
      </c>
      <c r="K170" s="142" t="e">
        <f>K94*'Emission factors Trucks&amp;Trains'!#REF!*(2-$AS$82)</f>
        <v>#REF!</v>
      </c>
      <c r="L170" s="142" t="e">
        <f>L94*'Emission factors Trucks&amp;Trains'!#REF!*(2-$AS$82)</f>
        <v>#REF!</v>
      </c>
      <c r="M170" s="142" t="e">
        <f>M94*'Emission factors Trucks&amp;Trains'!#REF!*(2-$AS$82)</f>
        <v>#REF!</v>
      </c>
      <c r="N170" s="142" t="e">
        <f>N94*'Emission factors Trucks&amp;Trains'!#REF!*(2-$AS$82)</f>
        <v>#REF!</v>
      </c>
      <c r="O170" s="142" t="e">
        <f>O94*'Emission factors Trucks&amp;Trains'!#REF!*(2-$AS$82)</f>
        <v>#REF!</v>
      </c>
      <c r="P170" s="142" t="e">
        <f>P94*'Emission factors Trucks&amp;Trains'!#REF!*(2-$AS$82)</f>
        <v>#REF!</v>
      </c>
      <c r="Q170" s="142" t="e">
        <f>Q94*'Emission factors Trucks&amp;Trains'!#REF!*(2-$AS$82)</f>
        <v>#REF!</v>
      </c>
      <c r="R170" s="142" t="e">
        <f>R94*'Emission factors Trucks&amp;Trains'!#REF!*(2-$AS$82)</f>
        <v>#REF!</v>
      </c>
      <c r="S170" s="142" t="e">
        <f>S94*'Emission factors Trucks&amp;Trains'!#REF!*(2-$AS$82)</f>
        <v>#REF!</v>
      </c>
      <c r="T170" s="142" t="e">
        <f>T94*'Emission factors Trucks&amp;Trains'!#REF!*(2-$AS$82)</f>
        <v>#REF!</v>
      </c>
      <c r="U170" s="142" t="e">
        <f>U94*'Emission factors Trucks&amp;Trains'!#REF!*(2-$AS$82)</f>
        <v>#REF!</v>
      </c>
      <c r="V170" s="142" t="e">
        <f>V94*'Emission factors Trucks&amp;Trains'!#REF!*(2-$AS$82)</f>
        <v>#REF!</v>
      </c>
      <c r="W170" s="142" t="e">
        <f>W94*'Emission factors Trucks&amp;Trains'!#REF!*(2-$AS$82)</f>
        <v>#REF!</v>
      </c>
      <c r="X170" s="142" t="e">
        <f>X94*'Emission factors Trucks&amp;Trains'!#REF!*(2-$AS$82)</f>
        <v>#REF!</v>
      </c>
      <c r="Y170" s="142" t="e">
        <f>Y94*'Emission factors Trucks&amp;Trains'!#REF!*(2-$AS$82)</f>
        <v>#REF!</v>
      </c>
      <c r="Z170" s="142" t="e">
        <f>Z94*'Emission factors Trucks&amp;Trains'!#REF!*(2-$AS$82)</f>
        <v>#REF!</v>
      </c>
      <c r="AA170" s="142" t="e">
        <f>AA94*'Emission factors Trucks&amp;Trains'!#REF!*(2-$AS$82)</f>
        <v>#REF!</v>
      </c>
      <c r="AB170" s="142" t="e">
        <f>AB94*'Emission factors Trucks&amp;Trains'!#REF!*(2-$AS$82)</f>
        <v>#REF!</v>
      </c>
      <c r="AF170" s="464"/>
      <c r="AG170" s="12" t="s">
        <v>19</v>
      </c>
      <c r="AI170" s="21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9"/>
    </row>
    <row r="171" spans="1:59" ht="15" customHeight="1">
      <c r="A171" s="476"/>
      <c r="B171" s="136" t="s">
        <v>345</v>
      </c>
      <c r="C171" s="112" t="s">
        <v>344</v>
      </c>
      <c r="D171" s="142" t="e">
        <f>D94*'Emission factors Trucks&amp;Trains'!#REF!*(2-$AS$82)</f>
        <v>#REF!</v>
      </c>
      <c r="E171" s="142" t="e">
        <f>E94*'Emission factors Trucks&amp;Trains'!#REF!*(2-$AS$82)</f>
        <v>#REF!</v>
      </c>
      <c r="F171" s="142" t="e">
        <f>F94*'Emission factors Trucks&amp;Trains'!#REF!*(2-$AS$82)</f>
        <v>#REF!</v>
      </c>
      <c r="G171" s="142" t="e">
        <f>G94*'Emission factors Trucks&amp;Trains'!#REF!*(2-$AS$82)</f>
        <v>#REF!</v>
      </c>
      <c r="H171" s="142" t="e">
        <f>H94*'Emission factors Trucks&amp;Trains'!#REF!*(2-$AS$82)</f>
        <v>#REF!</v>
      </c>
      <c r="I171" s="142" t="e">
        <f>I94*'Emission factors Trucks&amp;Trains'!#REF!*(2-$AS$82)</f>
        <v>#REF!</v>
      </c>
      <c r="J171" s="142" t="e">
        <f>J94*'Emission factors Trucks&amp;Trains'!#REF!*(2-$AS$82)</f>
        <v>#REF!</v>
      </c>
      <c r="K171" s="142" t="e">
        <f>K94*'Emission factors Trucks&amp;Trains'!#REF!*(2-$AS$82)</f>
        <v>#REF!</v>
      </c>
      <c r="L171" s="142" t="e">
        <f>L94*'Emission factors Trucks&amp;Trains'!#REF!*(2-$AS$82)</f>
        <v>#REF!</v>
      </c>
      <c r="M171" s="142" t="e">
        <f>M94*'Emission factors Trucks&amp;Trains'!#REF!*(2-$AS$82)</f>
        <v>#REF!</v>
      </c>
      <c r="N171" s="142" t="e">
        <f>N94*'Emission factors Trucks&amp;Trains'!#REF!*(2-$AS$82)</f>
        <v>#REF!</v>
      </c>
      <c r="O171" s="142" t="e">
        <f>O94*'Emission factors Trucks&amp;Trains'!#REF!*(2-$AS$82)</f>
        <v>#REF!</v>
      </c>
      <c r="P171" s="142" t="e">
        <f>P94*'Emission factors Trucks&amp;Trains'!#REF!*(2-$AS$82)</f>
        <v>#REF!</v>
      </c>
      <c r="Q171" s="142" t="e">
        <f>Q94*'Emission factors Trucks&amp;Trains'!#REF!*(2-$AS$82)</f>
        <v>#REF!</v>
      </c>
      <c r="R171" s="142" t="e">
        <f>R94*'Emission factors Trucks&amp;Trains'!#REF!*(2-$AS$82)</f>
        <v>#REF!</v>
      </c>
      <c r="S171" s="142" t="e">
        <f>S94*'Emission factors Trucks&amp;Trains'!#REF!*(2-$AS$82)</f>
        <v>#REF!</v>
      </c>
      <c r="T171" s="142" t="e">
        <f>T94*'Emission factors Trucks&amp;Trains'!#REF!*(2-$AS$82)</f>
        <v>#REF!</v>
      </c>
      <c r="U171" s="142" t="e">
        <f>U94*'Emission factors Trucks&amp;Trains'!#REF!*(2-$AS$82)</f>
        <v>#REF!</v>
      </c>
      <c r="V171" s="142" t="e">
        <f>V94*'Emission factors Trucks&amp;Trains'!#REF!*(2-$AS$82)</f>
        <v>#REF!</v>
      </c>
      <c r="W171" s="142" t="e">
        <f>W94*'Emission factors Trucks&amp;Trains'!#REF!*(2-$AS$82)</f>
        <v>#REF!</v>
      </c>
      <c r="X171" s="142" t="e">
        <f>X94*'Emission factors Trucks&amp;Trains'!#REF!*(2-$AS$82)</f>
        <v>#REF!</v>
      </c>
      <c r="Y171" s="142" t="e">
        <f>Y94*'Emission factors Trucks&amp;Trains'!#REF!*(2-$AS$82)</f>
        <v>#REF!</v>
      </c>
      <c r="Z171" s="142" t="e">
        <f>Z94*'Emission factors Trucks&amp;Trains'!#REF!*(2-$AS$82)</f>
        <v>#REF!</v>
      </c>
      <c r="AA171" s="142" t="e">
        <f>AA94*'Emission factors Trucks&amp;Trains'!#REF!*(2-$AS$82)</f>
        <v>#REF!</v>
      </c>
      <c r="AB171" s="142" t="e">
        <f>AB94*'Emission factors Trucks&amp;Trains'!#REF!*(2-$AS$82)</f>
        <v>#REF!</v>
      </c>
      <c r="AF171" s="464"/>
      <c r="AG171" s="136" t="s">
        <v>343</v>
      </c>
      <c r="AH171" s="6" t="s">
        <v>344</v>
      </c>
      <c r="AI171" s="21" t="e">
        <f>AI94*'Emission factors Trucks&amp;Trains'!#REF!*(2-$AS$82)</f>
        <v>#REF!</v>
      </c>
      <c r="AJ171" s="8" t="e">
        <f>AJ94*'Emission factors Trucks&amp;Trains'!#REF!*(2-$AS$82)</f>
        <v>#REF!</v>
      </c>
      <c r="AK171" s="8" t="e">
        <f>AK94*'Emission factors Trucks&amp;Trains'!#REF!*(2-$AS$82)</f>
        <v>#REF!</v>
      </c>
      <c r="AL171" s="8" t="e">
        <f>AL94*'Emission factors Trucks&amp;Trains'!#REF!*(2-$AS$82)</f>
        <v>#REF!</v>
      </c>
      <c r="AM171" s="8" t="e">
        <f>AM94*'Emission factors Trucks&amp;Trains'!#REF!*(2-$AS$82)</f>
        <v>#REF!</v>
      </c>
      <c r="AN171" s="8" t="e">
        <f>AN94*'Emission factors Trucks&amp;Trains'!#REF!*(2-$AS$82)</f>
        <v>#REF!</v>
      </c>
      <c r="AO171" s="8" t="e">
        <f>AO94*'Emission factors Trucks&amp;Trains'!#REF!*(2-$AS$82)</f>
        <v>#REF!</v>
      </c>
      <c r="AP171" s="8" t="e">
        <f>AP94*'Emission factors Trucks&amp;Trains'!#REF!*(2-$AS$82)</f>
        <v>#REF!</v>
      </c>
      <c r="AQ171" s="8" t="e">
        <f>AQ94*'Emission factors Trucks&amp;Trains'!#REF!*(2-$AS$82)</f>
        <v>#REF!</v>
      </c>
      <c r="AR171" s="8" t="e">
        <f>AR94*'Emission factors Trucks&amp;Trains'!#REF!*(2-$AS$82)</f>
        <v>#REF!</v>
      </c>
      <c r="AS171" s="8" t="e">
        <f>AS94*'Emission factors Trucks&amp;Trains'!#REF!*(2-$AS$82)</f>
        <v>#REF!</v>
      </c>
      <c r="AT171" s="8" t="e">
        <f>AT94*'Emission factors Trucks&amp;Trains'!#REF!*(2-$AS$82)</f>
        <v>#REF!</v>
      </c>
      <c r="AU171" s="8" t="e">
        <f>AU94*'Emission factors Trucks&amp;Trains'!#REF!*(2-$AS$82)</f>
        <v>#REF!</v>
      </c>
      <c r="AV171" s="8" t="e">
        <f>AV94*'Emission factors Trucks&amp;Trains'!#REF!*(2-$AS$82)</f>
        <v>#REF!</v>
      </c>
      <c r="AW171" s="8" t="e">
        <f>AW94*'Emission factors Trucks&amp;Trains'!#REF!*(2-$AS$82)</f>
        <v>#REF!</v>
      </c>
      <c r="AX171" s="8" t="e">
        <f>AX94*'Emission factors Trucks&amp;Trains'!#REF!*(2-$AS$82)</f>
        <v>#REF!</v>
      </c>
      <c r="AY171" s="8" t="e">
        <f>AY94*'Emission factors Trucks&amp;Trains'!#REF!*(2-$AS$82)</f>
        <v>#REF!</v>
      </c>
      <c r="AZ171" s="8" t="e">
        <f>AZ94*'Emission factors Trucks&amp;Trains'!#REF!*(2-$AS$82)</f>
        <v>#REF!</v>
      </c>
      <c r="BA171" s="8" t="e">
        <f>BA94*'Emission factors Trucks&amp;Trains'!#REF!*(2-$AS$82)</f>
        <v>#REF!</v>
      </c>
      <c r="BB171" s="8" t="e">
        <f>BB94*'Emission factors Trucks&amp;Trains'!#REF!*(2-$AS$82)</f>
        <v>#REF!</v>
      </c>
      <c r="BC171" s="8" t="e">
        <f>BC94*'Emission factors Trucks&amp;Trains'!#REF!*(2-$AS$82)</f>
        <v>#REF!</v>
      </c>
      <c r="BD171" s="8" t="e">
        <f>BD94*'Emission factors Trucks&amp;Trains'!#REF!*(2-$AS$82)</f>
        <v>#REF!</v>
      </c>
      <c r="BE171" s="8" t="e">
        <f>BE94*'Emission factors Trucks&amp;Trains'!#REF!*(2-$AS$82)</f>
        <v>#REF!</v>
      </c>
      <c r="BF171" s="8" t="e">
        <f>BF94*'Emission factors Trucks&amp;Trains'!#REF!*(2-$AS$82)</f>
        <v>#REF!</v>
      </c>
      <c r="BG171" s="9" t="e">
        <f>BG94*'Emission factors Trucks&amp;Trains'!#REF!*(2-$AS$82)</f>
        <v>#REF!</v>
      </c>
    </row>
    <row r="172" spans="1:59" ht="15" customHeight="1">
      <c r="A172" s="476"/>
      <c r="B172" s="136" t="s">
        <v>346</v>
      </c>
      <c r="C172" s="112" t="s">
        <v>344</v>
      </c>
      <c r="D172" s="142" t="e">
        <f>D94*'Emission factors Trucks&amp;Trains'!#REF!*(2-$AS$82)</f>
        <v>#REF!</v>
      </c>
      <c r="E172" s="142" t="e">
        <f>E94*'Emission factors Trucks&amp;Trains'!#REF!*(2-$AS$82)</f>
        <v>#REF!</v>
      </c>
      <c r="F172" s="142" t="e">
        <f>F94*'Emission factors Trucks&amp;Trains'!#REF!*(2-$AS$82)</f>
        <v>#REF!</v>
      </c>
      <c r="G172" s="142" t="e">
        <f>G94*'Emission factors Trucks&amp;Trains'!#REF!*(2-$AS$82)</f>
        <v>#REF!</v>
      </c>
      <c r="H172" s="142" t="e">
        <f>H94*'Emission factors Trucks&amp;Trains'!#REF!*(2-$AS$82)</f>
        <v>#REF!</v>
      </c>
      <c r="I172" s="142" t="e">
        <f>I94*'Emission factors Trucks&amp;Trains'!#REF!*(2-$AS$82)</f>
        <v>#REF!</v>
      </c>
      <c r="J172" s="142" t="e">
        <f>J94*'Emission factors Trucks&amp;Trains'!#REF!*(2-$AS$82)</f>
        <v>#REF!</v>
      </c>
      <c r="K172" s="142" t="e">
        <f>K94*'Emission factors Trucks&amp;Trains'!#REF!*(2-$AS$82)</f>
        <v>#REF!</v>
      </c>
      <c r="L172" s="142" t="e">
        <f>L94*'Emission factors Trucks&amp;Trains'!#REF!*(2-$AS$82)</f>
        <v>#REF!</v>
      </c>
      <c r="M172" s="142" t="e">
        <f>M94*'Emission factors Trucks&amp;Trains'!#REF!*(2-$AS$82)</f>
        <v>#REF!</v>
      </c>
      <c r="N172" s="142" t="e">
        <f>N94*'Emission factors Trucks&amp;Trains'!#REF!*(2-$AS$82)</f>
        <v>#REF!</v>
      </c>
      <c r="O172" s="142" t="e">
        <f>O94*'Emission factors Trucks&amp;Trains'!#REF!*(2-$AS$82)</f>
        <v>#REF!</v>
      </c>
      <c r="P172" s="142" t="e">
        <f>P94*'Emission factors Trucks&amp;Trains'!#REF!*(2-$AS$82)</f>
        <v>#REF!</v>
      </c>
      <c r="Q172" s="142" t="e">
        <f>Q94*'Emission factors Trucks&amp;Trains'!#REF!*(2-$AS$82)</f>
        <v>#REF!</v>
      </c>
      <c r="R172" s="142" t="e">
        <f>R94*'Emission factors Trucks&amp;Trains'!#REF!*(2-$AS$82)</f>
        <v>#REF!</v>
      </c>
      <c r="S172" s="142" t="e">
        <f>S94*'Emission factors Trucks&amp;Trains'!#REF!*(2-$AS$82)</f>
        <v>#REF!</v>
      </c>
      <c r="T172" s="142" t="e">
        <f>T94*'Emission factors Trucks&amp;Trains'!#REF!*(2-$AS$82)</f>
        <v>#REF!</v>
      </c>
      <c r="U172" s="142" t="e">
        <f>U94*'Emission factors Trucks&amp;Trains'!#REF!*(2-$AS$82)</f>
        <v>#REF!</v>
      </c>
      <c r="V172" s="142" t="e">
        <f>V94*'Emission factors Trucks&amp;Trains'!#REF!*(2-$AS$82)</f>
        <v>#REF!</v>
      </c>
      <c r="W172" s="142" t="e">
        <f>W94*'Emission factors Trucks&amp;Trains'!#REF!*(2-$AS$82)</f>
        <v>#REF!</v>
      </c>
      <c r="X172" s="142" t="e">
        <f>X94*'Emission factors Trucks&amp;Trains'!#REF!*(2-$AS$82)</f>
        <v>#REF!</v>
      </c>
      <c r="Y172" s="142" t="e">
        <f>Y94*'Emission factors Trucks&amp;Trains'!#REF!*(2-$AS$82)</f>
        <v>#REF!</v>
      </c>
      <c r="Z172" s="142" t="e">
        <f>Z94*'Emission factors Trucks&amp;Trains'!#REF!*(2-$AS$82)</f>
        <v>#REF!</v>
      </c>
      <c r="AA172" s="142" t="e">
        <f>AA94*'Emission factors Trucks&amp;Trains'!#REF!*(2-$AS$82)</f>
        <v>#REF!</v>
      </c>
      <c r="AB172" s="142" t="e">
        <f>AB94*'Emission factors Trucks&amp;Trains'!#REF!*(2-$AS$82)</f>
        <v>#REF!</v>
      </c>
      <c r="AF172" s="464"/>
      <c r="AG172" s="136" t="s">
        <v>345</v>
      </c>
      <c r="AH172" s="6" t="s">
        <v>344</v>
      </c>
      <c r="AI172" s="21" t="e">
        <f>AI94*'Emission factors Trucks&amp;Trains'!#REF!*(2-$AS$82)</f>
        <v>#REF!</v>
      </c>
      <c r="AJ172" s="8" t="e">
        <f>AJ94*'Emission factors Trucks&amp;Trains'!#REF!*(2-$AS$82)</f>
        <v>#REF!</v>
      </c>
      <c r="AK172" s="8" t="e">
        <f>AK94*'Emission factors Trucks&amp;Trains'!#REF!*(2-$AS$82)</f>
        <v>#REF!</v>
      </c>
      <c r="AL172" s="8" t="e">
        <f>AL94*'Emission factors Trucks&amp;Trains'!#REF!*(2-$AS$82)</f>
        <v>#REF!</v>
      </c>
      <c r="AM172" s="8" t="e">
        <f>AM94*'Emission factors Trucks&amp;Trains'!#REF!*(2-$AS$82)</f>
        <v>#REF!</v>
      </c>
      <c r="AN172" s="8" t="e">
        <f>AN94*'Emission factors Trucks&amp;Trains'!#REF!*(2-$AS$82)</f>
        <v>#REF!</v>
      </c>
      <c r="AO172" s="8" t="e">
        <f>AO94*'Emission factors Trucks&amp;Trains'!#REF!*(2-$AS$82)</f>
        <v>#REF!</v>
      </c>
      <c r="AP172" s="8" t="e">
        <f>AP94*'Emission factors Trucks&amp;Trains'!#REF!*(2-$AS$82)</f>
        <v>#REF!</v>
      </c>
      <c r="AQ172" s="8" t="e">
        <f>AQ94*'Emission factors Trucks&amp;Trains'!#REF!*(2-$AS$82)</f>
        <v>#REF!</v>
      </c>
      <c r="AR172" s="8" t="e">
        <f>AR94*'Emission factors Trucks&amp;Trains'!#REF!*(2-$AS$82)</f>
        <v>#REF!</v>
      </c>
      <c r="AS172" s="8" t="e">
        <f>AS94*'Emission factors Trucks&amp;Trains'!#REF!*(2-$AS$82)</f>
        <v>#REF!</v>
      </c>
      <c r="AT172" s="8" t="e">
        <f>AT94*'Emission factors Trucks&amp;Trains'!#REF!*(2-$AS$82)</f>
        <v>#REF!</v>
      </c>
      <c r="AU172" s="8" t="e">
        <f>AU94*'Emission factors Trucks&amp;Trains'!#REF!*(2-$AS$82)</f>
        <v>#REF!</v>
      </c>
      <c r="AV172" s="8" t="e">
        <f>AV94*'Emission factors Trucks&amp;Trains'!#REF!*(2-$AS$82)</f>
        <v>#REF!</v>
      </c>
      <c r="AW172" s="8" t="e">
        <f>AW94*'Emission factors Trucks&amp;Trains'!#REF!*(2-$AS$82)</f>
        <v>#REF!</v>
      </c>
      <c r="AX172" s="8" t="e">
        <f>AX94*'Emission factors Trucks&amp;Trains'!#REF!*(2-$AS$82)</f>
        <v>#REF!</v>
      </c>
      <c r="AY172" s="8" t="e">
        <f>AY94*'Emission factors Trucks&amp;Trains'!#REF!*(2-$AS$82)</f>
        <v>#REF!</v>
      </c>
      <c r="AZ172" s="8" t="e">
        <f>AZ94*'Emission factors Trucks&amp;Trains'!#REF!*(2-$AS$82)</f>
        <v>#REF!</v>
      </c>
      <c r="BA172" s="8" t="e">
        <f>BA94*'Emission factors Trucks&amp;Trains'!#REF!*(2-$AS$82)</f>
        <v>#REF!</v>
      </c>
      <c r="BB172" s="8" t="e">
        <f>BB94*'Emission factors Trucks&amp;Trains'!#REF!*(2-$AS$82)</f>
        <v>#REF!</v>
      </c>
      <c r="BC172" s="8" t="e">
        <f>BC94*'Emission factors Trucks&amp;Trains'!#REF!*(2-$AS$82)</f>
        <v>#REF!</v>
      </c>
      <c r="BD172" s="8" t="e">
        <f>BD94*'Emission factors Trucks&amp;Trains'!#REF!*(2-$AS$82)</f>
        <v>#REF!</v>
      </c>
      <c r="BE172" s="8" t="e">
        <f>BE94*'Emission factors Trucks&amp;Trains'!#REF!*(2-$AS$82)</f>
        <v>#REF!</v>
      </c>
      <c r="BF172" s="8" t="e">
        <f>BF94*'Emission factors Trucks&amp;Trains'!#REF!*(2-$AS$82)</f>
        <v>#REF!</v>
      </c>
      <c r="BG172" s="9" t="e">
        <f>BG94*'Emission factors Trucks&amp;Trains'!#REF!*(2-$AS$82)</f>
        <v>#REF!</v>
      </c>
    </row>
    <row r="173" spans="1:59" ht="15" customHeight="1">
      <c r="A173" s="476"/>
      <c r="B173" s="136" t="s">
        <v>278</v>
      </c>
      <c r="C173" s="112" t="s">
        <v>344</v>
      </c>
      <c r="D173" s="142">
        <f>D94*'Emission factors Trucks&amp;Trains'!B12*(2-$AS$82)</f>
        <v>0</v>
      </c>
      <c r="E173" s="142">
        <f>E94*'Emission factors Trucks&amp;Trains'!C12*(2-$AS$82)</f>
        <v>0</v>
      </c>
      <c r="F173" s="142">
        <f>F94*'Emission factors Trucks&amp;Trains'!D12*(2-$AS$82)</f>
        <v>0</v>
      </c>
      <c r="G173" s="142">
        <f>G94*'Emission factors Trucks&amp;Trains'!E12*(2-$AS$82)</f>
        <v>0</v>
      </c>
      <c r="H173" s="142">
        <f>H94*'Emission factors Trucks&amp;Trains'!F12*(2-$AS$82)</f>
        <v>0</v>
      </c>
      <c r="I173" s="142">
        <f>I94*'Emission factors Trucks&amp;Trains'!G12*(2-$AS$82)</f>
        <v>0</v>
      </c>
      <c r="J173" s="142">
        <f>J94*'Emission factors Trucks&amp;Trains'!H12*(2-$AS$82)</f>
        <v>0</v>
      </c>
      <c r="K173" s="142">
        <f>K94*'Emission factors Trucks&amp;Trains'!I12*(2-$AS$82)</f>
        <v>0</v>
      </c>
      <c r="L173" s="142">
        <f>L94*'Emission factors Trucks&amp;Trains'!J12*(2-$AS$82)</f>
        <v>0</v>
      </c>
      <c r="M173" s="142">
        <f>M94*'Emission factors Trucks&amp;Trains'!K12*(2-$AS$82)</f>
        <v>0</v>
      </c>
      <c r="N173" s="142">
        <f>N94*'Emission factors Trucks&amp;Trains'!L12*(2-$AS$82)</f>
        <v>0</v>
      </c>
      <c r="O173" s="142">
        <f>O94*'Emission factors Trucks&amp;Trains'!M12*(2-$AS$82)</f>
        <v>0</v>
      </c>
      <c r="P173" s="142">
        <f>P94*'Emission factors Trucks&amp;Trains'!N12*(2-$AS$82)</f>
        <v>0</v>
      </c>
      <c r="Q173" s="142">
        <f>Q94*'Emission factors Trucks&amp;Trains'!O12*(2-$AS$82)</f>
        <v>0</v>
      </c>
      <c r="R173" s="142">
        <f>R94*'Emission factors Trucks&amp;Trains'!P12*(2-$AS$82)</f>
        <v>0</v>
      </c>
      <c r="S173" s="142">
        <f>S94*'Emission factors Trucks&amp;Trains'!Q12*(2-$AS$82)</f>
        <v>0</v>
      </c>
      <c r="T173" s="142">
        <f>T94*'Emission factors Trucks&amp;Trains'!R12*(2-$AS$82)</f>
        <v>0</v>
      </c>
      <c r="U173" s="142">
        <f>U94*'Emission factors Trucks&amp;Trains'!S12*(2-$AS$82)</f>
        <v>0</v>
      </c>
      <c r="V173" s="142">
        <f>V94*'Emission factors Trucks&amp;Trains'!T12*(2-$AS$82)</f>
        <v>0</v>
      </c>
      <c r="W173" s="142">
        <f>W94*'Emission factors Trucks&amp;Trains'!U12*(2-$AS$82)</f>
        <v>0</v>
      </c>
      <c r="X173" s="142">
        <f>X94*'Emission factors Trucks&amp;Trains'!V12*(2-$AS$82)</f>
        <v>0</v>
      </c>
      <c r="Y173" s="142">
        <f>Y94*'Emission factors Trucks&amp;Trains'!W12*(2-$AS$82)</f>
        <v>0</v>
      </c>
      <c r="Z173" s="142">
        <f>Z94*'Emission factors Trucks&amp;Trains'!X12*(2-$AS$82)</f>
        <v>0</v>
      </c>
      <c r="AA173" s="142">
        <f>AA94*'Emission factors Trucks&amp;Trains'!Y12*(2-$AS$82)</f>
        <v>0</v>
      </c>
      <c r="AB173" s="142">
        <f>AB94*'Emission factors Trucks&amp;Trains'!Z12*(2-$AS$82)</f>
        <v>0</v>
      </c>
      <c r="AF173" s="464"/>
      <c r="AG173" s="136" t="s">
        <v>346</v>
      </c>
      <c r="AH173" s="6" t="s">
        <v>344</v>
      </c>
      <c r="AI173" s="21" t="e">
        <f>AI94*'Emission factors Trucks&amp;Trains'!#REF!*(2-$AS$82)</f>
        <v>#REF!</v>
      </c>
      <c r="AJ173" s="8" t="e">
        <f>AJ94*'Emission factors Trucks&amp;Trains'!#REF!*(2-$AS$82)</f>
        <v>#REF!</v>
      </c>
      <c r="AK173" s="8" t="e">
        <f>AK94*'Emission factors Trucks&amp;Trains'!#REF!*(2-$AS$82)</f>
        <v>#REF!</v>
      </c>
      <c r="AL173" s="8" t="e">
        <f>AL94*'Emission factors Trucks&amp;Trains'!#REF!*(2-$AS$82)</f>
        <v>#REF!</v>
      </c>
      <c r="AM173" s="8" t="e">
        <f>AM94*'Emission factors Trucks&amp;Trains'!#REF!*(2-$AS$82)</f>
        <v>#REF!</v>
      </c>
      <c r="AN173" s="8" t="e">
        <f>AN94*'Emission factors Trucks&amp;Trains'!#REF!*(2-$AS$82)</f>
        <v>#REF!</v>
      </c>
      <c r="AO173" s="8" t="e">
        <f>AO94*'Emission factors Trucks&amp;Trains'!#REF!*(2-$AS$82)</f>
        <v>#REF!</v>
      </c>
      <c r="AP173" s="8" t="e">
        <f>AP94*'Emission factors Trucks&amp;Trains'!#REF!*(2-$AS$82)</f>
        <v>#REF!</v>
      </c>
      <c r="AQ173" s="8" t="e">
        <f>AQ94*'Emission factors Trucks&amp;Trains'!#REF!*(2-$AS$82)</f>
        <v>#REF!</v>
      </c>
      <c r="AR173" s="8" t="e">
        <f>AR94*'Emission factors Trucks&amp;Trains'!#REF!*(2-$AS$82)</f>
        <v>#REF!</v>
      </c>
      <c r="AS173" s="8" t="e">
        <f>AS94*'Emission factors Trucks&amp;Trains'!#REF!*(2-$AS$82)</f>
        <v>#REF!</v>
      </c>
      <c r="AT173" s="8" t="e">
        <f>AT94*'Emission factors Trucks&amp;Trains'!#REF!*(2-$AS$82)</f>
        <v>#REF!</v>
      </c>
      <c r="AU173" s="8" t="e">
        <f>AU94*'Emission factors Trucks&amp;Trains'!#REF!*(2-$AS$82)</f>
        <v>#REF!</v>
      </c>
      <c r="AV173" s="8" t="e">
        <f>AV94*'Emission factors Trucks&amp;Trains'!#REF!*(2-$AS$82)</f>
        <v>#REF!</v>
      </c>
      <c r="AW173" s="8" t="e">
        <f>AW94*'Emission factors Trucks&amp;Trains'!#REF!*(2-$AS$82)</f>
        <v>#REF!</v>
      </c>
      <c r="AX173" s="8" t="e">
        <f>AX94*'Emission factors Trucks&amp;Trains'!#REF!*(2-$AS$82)</f>
        <v>#REF!</v>
      </c>
      <c r="AY173" s="8" t="e">
        <f>AY94*'Emission factors Trucks&amp;Trains'!#REF!*(2-$AS$82)</f>
        <v>#REF!</v>
      </c>
      <c r="AZ173" s="8" t="e">
        <f>AZ94*'Emission factors Trucks&amp;Trains'!#REF!*(2-$AS$82)</f>
        <v>#REF!</v>
      </c>
      <c r="BA173" s="8" t="e">
        <f>BA94*'Emission factors Trucks&amp;Trains'!#REF!*(2-$AS$82)</f>
        <v>#REF!</v>
      </c>
      <c r="BB173" s="8" t="e">
        <f>BB94*'Emission factors Trucks&amp;Trains'!#REF!*(2-$AS$82)</f>
        <v>#REF!</v>
      </c>
      <c r="BC173" s="8" t="e">
        <f>BC94*'Emission factors Trucks&amp;Trains'!#REF!*(2-$AS$82)</f>
        <v>#REF!</v>
      </c>
      <c r="BD173" s="8" t="e">
        <f>BD94*'Emission factors Trucks&amp;Trains'!#REF!*(2-$AS$82)</f>
        <v>#REF!</v>
      </c>
      <c r="BE173" s="8" t="e">
        <f>BE94*'Emission factors Trucks&amp;Trains'!#REF!*(2-$AS$82)</f>
        <v>#REF!</v>
      </c>
      <c r="BF173" s="8" t="e">
        <f>BF94*'Emission factors Trucks&amp;Trains'!#REF!*(2-$AS$82)</f>
        <v>#REF!</v>
      </c>
      <c r="BG173" s="9" t="e">
        <f>BG94*'Emission factors Trucks&amp;Trains'!#REF!*(2-$AS$82)</f>
        <v>#REF!</v>
      </c>
    </row>
    <row r="174" spans="1:59" ht="15" customHeight="1">
      <c r="A174" s="476"/>
      <c r="B174" s="136" t="s">
        <v>347</v>
      </c>
      <c r="C174" s="112" t="s">
        <v>344</v>
      </c>
      <c r="D174" s="142" t="e">
        <f>D94*'Emission factors Trucks&amp;Trains'!#REF!*(2-$AS$82)</f>
        <v>#REF!</v>
      </c>
      <c r="E174" s="142" t="e">
        <f>E94*'Emission factors Trucks&amp;Trains'!#REF!*(2-$AS$82)</f>
        <v>#REF!</v>
      </c>
      <c r="F174" s="142" t="e">
        <f>F94*'Emission factors Trucks&amp;Trains'!#REF!*(2-$AS$82)</f>
        <v>#REF!</v>
      </c>
      <c r="G174" s="142" t="e">
        <f>G94*'Emission factors Trucks&amp;Trains'!#REF!*(2-$AS$82)</f>
        <v>#REF!</v>
      </c>
      <c r="H174" s="142" t="e">
        <f>H94*'Emission factors Trucks&amp;Trains'!#REF!*(2-$AS$82)</f>
        <v>#REF!</v>
      </c>
      <c r="I174" s="142" t="e">
        <f>I94*'Emission factors Trucks&amp;Trains'!#REF!*(2-$AS$82)</f>
        <v>#REF!</v>
      </c>
      <c r="J174" s="142" t="e">
        <f>J94*'Emission factors Trucks&amp;Trains'!#REF!*(2-$AS$82)</f>
        <v>#REF!</v>
      </c>
      <c r="K174" s="142" t="e">
        <f>K94*'Emission factors Trucks&amp;Trains'!#REF!*(2-$AS$82)</f>
        <v>#REF!</v>
      </c>
      <c r="L174" s="142" t="e">
        <f>L94*'Emission factors Trucks&amp;Trains'!#REF!*(2-$AS$82)</f>
        <v>#REF!</v>
      </c>
      <c r="M174" s="142" t="e">
        <f>M94*'Emission factors Trucks&amp;Trains'!#REF!*(2-$AS$82)</f>
        <v>#REF!</v>
      </c>
      <c r="N174" s="142" t="e">
        <f>N94*'Emission factors Trucks&amp;Trains'!#REF!*(2-$AS$82)</f>
        <v>#REF!</v>
      </c>
      <c r="O174" s="142" t="e">
        <f>O94*'Emission factors Trucks&amp;Trains'!#REF!*(2-$AS$82)</f>
        <v>#REF!</v>
      </c>
      <c r="P174" s="142" t="e">
        <f>P94*'Emission factors Trucks&amp;Trains'!#REF!*(2-$AS$82)</f>
        <v>#REF!</v>
      </c>
      <c r="Q174" s="142" t="e">
        <f>Q94*'Emission factors Trucks&amp;Trains'!#REF!*(2-$AS$82)</f>
        <v>#REF!</v>
      </c>
      <c r="R174" s="142" t="e">
        <f>R94*'Emission factors Trucks&amp;Trains'!#REF!*(2-$AS$82)</f>
        <v>#REF!</v>
      </c>
      <c r="S174" s="142" t="e">
        <f>S94*'Emission factors Trucks&amp;Trains'!#REF!*(2-$AS$82)</f>
        <v>#REF!</v>
      </c>
      <c r="T174" s="142" t="e">
        <f>T94*'Emission factors Trucks&amp;Trains'!#REF!*(2-$AS$82)</f>
        <v>#REF!</v>
      </c>
      <c r="U174" s="142" t="e">
        <f>U94*'Emission factors Trucks&amp;Trains'!#REF!*(2-$AS$82)</f>
        <v>#REF!</v>
      </c>
      <c r="V174" s="142" t="e">
        <f>V94*'Emission factors Trucks&amp;Trains'!#REF!*(2-$AS$82)</f>
        <v>#REF!</v>
      </c>
      <c r="W174" s="142" t="e">
        <f>W94*'Emission factors Trucks&amp;Trains'!#REF!*(2-$AS$82)</f>
        <v>#REF!</v>
      </c>
      <c r="X174" s="142" t="e">
        <f>X94*'Emission factors Trucks&amp;Trains'!#REF!*(2-$AS$82)</f>
        <v>#REF!</v>
      </c>
      <c r="Y174" s="142" t="e">
        <f>Y94*'Emission factors Trucks&amp;Trains'!#REF!*(2-$AS$82)</f>
        <v>#REF!</v>
      </c>
      <c r="Z174" s="142" t="e">
        <f>Z94*'Emission factors Trucks&amp;Trains'!#REF!*(2-$AS$82)</f>
        <v>#REF!</v>
      </c>
      <c r="AA174" s="142" t="e">
        <f>AA94*'Emission factors Trucks&amp;Trains'!#REF!*(2-$AS$82)</f>
        <v>#REF!</v>
      </c>
      <c r="AB174" s="142" t="e">
        <f>AB94*'Emission factors Trucks&amp;Trains'!#REF!*(2-$AS$82)</f>
        <v>#REF!</v>
      </c>
      <c r="AF174" s="464"/>
      <c r="AG174" s="136" t="s">
        <v>278</v>
      </c>
      <c r="AH174" s="6" t="s">
        <v>344</v>
      </c>
      <c r="AI174" s="21">
        <f>(AI89+AI90)*'Emission factors Trucks&amp;Trains'!B12*(2-$AS$82)</f>
        <v>0</v>
      </c>
      <c r="AJ174" s="21">
        <f>(AJ89+AJ90)*'Emission factors Trucks&amp;Trains'!C12*(2-$AS$82)</f>
        <v>0</v>
      </c>
      <c r="AK174" s="21">
        <f>(AK89+AK90)*'Emission factors Trucks&amp;Trains'!D12*(2-$AS$82)</f>
        <v>0</v>
      </c>
      <c r="AL174" s="21">
        <f>(AL89+AL90)*'Emission factors Trucks&amp;Trains'!E12*(2-$AS$82)</f>
        <v>0</v>
      </c>
      <c r="AM174" s="21">
        <f>(AM89+AM90)*'Emission factors Trucks&amp;Trains'!F12*(2-$AS$82)</f>
        <v>0</v>
      </c>
      <c r="AN174" s="21">
        <f>(AN89+AN90)*'Emission factors Trucks&amp;Trains'!G12*(2-$AS$82)</f>
        <v>0</v>
      </c>
      <c r="AO174" s="21">
        <f>(AO89+AO90)*'Emission factors Trucks&amp;Trains'!H12*(2-$AS$82)</f>
        <v>0</v>
      </c>
      <c r="AP174" s="21">
        <f>(AP89+AP90)*'Emission factors Trucks&amp;Trains'!I12*(2-$AS$82)</f>
        <v>0</v>
      </c>
      <c r="AQ174" s="21">
        <f>(AQ89+AQ90)*'Emission factors Trucks&amp;Trains'!J12*(2-$AS$82)</f>
        <v>0</v>
      </c>
      <c r="AR174" s="21">
        <f>(AR89+AR90)*'Emission factors Trucks&amp;Trains'!K12*(2-$AS$82)</f>
        <v>0</v>
      </c>
      <c r="AS174" s="21">
        <f>(AS89+AS90)*'Emission factors Trucks&amp;Trains'!L12*(2-$AS$82)</f>
        <v>0</v>
      </c>
      <c r="AT174" s="21">
        <f>(AT89+AT90)*'Emission factors Trucks&amp;Trains'!M12*(2-$AS$82)</f>
        <v>0</v>
      </c>
      <c r="AU174" s="21">
        <f>(AU89+AU90)*'Emission factors Trucks&amp;Trains'!N12*(2-$AS$82)</f>
        <v>0</v>
      </c>
      <c r="AV174" s="21">
        <f>(AV89+AV90)*'Emission factors Trucks&amp;Trains'!O12*(2-$AS$82)</f>
        <v>0</v>
      </c>
      <c r="AW174" s="21">
        <f>(AW89+AW90)*'Emission factors Trucks&amp;Trains'!P12*(2-$AS$82)</f>
        <v>0</v>
      </c>
      <c r="AX174" s="21">
        <f>(AX89+AX90)*'Emission factors Trucks&amp;Trains'!Q12*(2-$AS$82)</f>
        <v>0</v>
      </c>
      <c r="AY174" s="21">
        <f>(AY89+AY90)*'Emission factors Trucks&amp;Trains'!R12*(2-$AS$82)</f>
        <v>0</v>
      </c>
      <c r="AZ174" s="21">
        <f>(AZ89+AZ90)*'Emission factors Trucks&amp;Trains'!S12*(2-$AS$82)</f>
        <v>0</v>
      </c>
      <c r="BA174" s="21">
        <f>(BA89+BA90)*'Emission factors Trucks&amp;Trains'!T12*(2-$AS$82)</f>
        <v>0</v>
      </c>
      <c r="BB174" s="21">
        <f>(BB89+BB90)*'Emission factors Trucks&amp;Trains'!U12*(2-$AS$82)</f>
        <v>0</v>
      </c>
      <c r="BC174" s="21">
        <f>(BC89+BC90)*'Emission factors Trucks&amp;Trains'!V12*(2-$AS$82)</f>
        <v>0</v>
      </c>
      <c r="BD174" s="21">
        <f>(BD89+BD90)*'Emission factors Trucks&amp;Trains'!W12*(2-$AS$82)</f>
        <v>0</v>
      </c>
      <c r="BE174" s="21">
        <f>(BE89+BE90)*'Emission factors Trucks&amp;Trains'!X12*(2-$AS$82)</f>
        <v>0</v>
      </c>
      <c r="BF174" s="21">
        <f>(BF89+BF90)*'Emission factors Trucks&amp;Trains'!Y12*(2-$AS$82)</f>
        <v>0</v>
      </c>
      <c r="BG174" s="21">
        <f>(BG89+BG90)*'Emission factors Trucks&amp;Trains'!Z12*(2-$AS$82)</f>
        <v>0</v>
      </c>
    </row>
    <row r="175" spans="1:59" ht="15" customHeight="1">
      <c r="A175" s="476"/>
      <c r="B175" s="136" t="s">
        <v>348</v>
      </c>
      <c r="C175" s="112" t="s">
        <v>344</v>
      </c>
      <c r="D175" s="142" t="e">
        <f>D94*'Emission factors Trucks&amp;Trains'!#REF!*(2-$AS$82)</f>
        <v>#REF!</v>
      </c>
      <c r="E175" s="142" t="e">
        <f>E94*'Emission factors Trucks&amp;Trains'!#REF!*(2-$AS$82)</f>
        <v>#REF!</v>
      </c>
      <c r="F175" s="142" t="e">
        <f>F94*'Emission factors Trucks&amp;Trains'!#REF!*(2-$AS$82)</f>
        <v>#REF!</v>
      </c>
      <c r="G175" s="142" t="e">
        <f>G94*'Emission factors Trucks&amp;Trains'!#REF!*(2-$AS$82)</f>
        <v>#REF!</v>
      </c>
      <c r="H175" s="142" t="e">
        <f>H94*'Emission factors Trucks&amp;Trains'!#REF!*(2-$AS$82)</f>
        <v>#REF!</v>
      </c>
      <c r="I175" s="142" t="e">
        <f>I94*'Emission factors Trucks&amp;Trains'!#REF!*(2-$AS$82)</f>
        <v>#REF!</v>
      </c>
      <c r="J175" s="142" t="e">
        <f>J94*'Emission factors Trucks&amp;Trains'!#REF!*(2-$AS$82)</f>
        <v>#REF!</v>
      </c>
      <c r="K175" s="142" t="e">
        <f>K94*'Emission factors Trucks&amp;Trains'!#REF!*(2-$AS$82)</f>
        <v>#REF!</v>
      </c>
      <c r="L175" s="142" t="e">
        <f>L94*'Emission factors Trucks&amp;Trains'!#REF!*(2-$AS$82)</f>
        <v>#REF!</v>
      </c>
      <c r="M175" s="142" t="e">
        <f>M94*'Emission factors Trucks&amp;Trains'!#REF!*(2-$AS$82)</f>
        <v>#REF!</v>
      </c>
      <c r="N175" s="142" t="e">
        <f>N94*'Emission factors Trucks&amp;Trains'!#REF!*(2-$AS$82)</f>
        <v>#REF!</v>
      </c>
      <c r="O175" s="142" t="e">
        <f>O94*'Emission factors Trucks&amp;Trains'!#REF!*(2-$AS$82)</f>
        <v>#REF!</v>
      </c>
      <c r="P175" s="142" t="e">
        <f>P94*'Emission factors Trucks&amp;Trains'!#REF!*(2-$AS$82)</f>
        <v>#REF!</v>
      </c>
      <c r="Q175" s="142" t="e">
        <f>Q94*'Emission factors Trucks&amp;Trains'!#REF!*(2-$AS$82)</f>
        <v>#REF!</v>
      </c>
      <c r="R175" s="142" t="e">
        <f>R94*'Emission factors Trucks&amp;Trains'!#REF!*(2-$AS$82)</f>
        <v>#REF!</v>
      </c>
      <c r="S175" s="142" t="e">
        <f>S94*'Emission factors Trucks&amp;Trains'!#REF!*(2-$AS$82)</f>
        <v>#REF!</v>
      </c>
      <c r="T175" s="142" t="e">
        <f>T94*'Emission factors Trucks&amp;Trains'!#REF!*(2-$AS$82)</f>
        <v>#REF!</v>
      </c>
      <c r="U175" s="142" t="e">
        <f>U94*'Emission factors Trucks&amp;Trains'!#REF!*(2-$AS$82)</f>
        <v>#REF!</v>
      </c>
      <c r="V175" s="142" t="e">
        <f>V94*'Emission factors Trucks&amp;Trains'!#REF!*(2-$AS$82)</f>
        <v>#REF!</v>
      </c>
      <c r="W175" s="142" t="e">
        <f>W94*'Emission factors Trucks&amp;Trains'!#REF!*(2-$AS$82)</f>
        <v>#REF!</v>
      </c>
      <c r="X175" s="142" t="e">
        <f>X94*'Emission factors Trucks&amp;Trains'!#REF!*(2-$AS$82)</f>
        <v>#REF!</v>
      </c>
      <c r="Y175" s="142" t="e">
        <f>Y94*'Emission factors Trucks&amp;Trains'!#REF!*(2-$AS$82)</f>
        <v>#REF!</v>
      </c>
      <c r="Z175" s="142" t="e">
        <f>Z94*'Emission factors Trucks&amp;Trains'!#REF!*(2-$AS$82)</f>
        <v>#REF!</v>
      </c>
      <c r="AA175" s="142" t="e">
        <f>AA94*'Emission factors Trucks&amp;Trains'!#REF!*(2-$AS$82)</f>
        <v>#REF!</v>
      </c>
      <c r="AB175" s="142" t="e">
        <f>AB94*'Emission factors Trucks&amp;Trains'!#REF!*(2-$AS$82)</f>
        <v>#REF!</v>
      </c>
      <c r="AF175" s="464"/>
      <c r="AG175" s="136" t="s">
        <v>347</v>
      </c>
      <c r="AH175" s="6" t="s">
        <v>344</v>
      </c>
      <c r="AI175" s="21" t="e">
        <f>AI94*'Emission factors Trucks&amp;Trains'!#REF!*(2-$AS$82)</f>
        <v>#REF!</v>
      </c>
      <c r="AJ175" s="8" t="e">
        <f>AJ94*'Emission factors Trucks&amp;Trains'!#REF!*(2-$AS$82)</f>
        <v>#REF!</v>
      </c>
      <c r="AK175" s="8" t="e">
        <f>AK94*'Emission factors Trucks&amp;Trains'!#REF!*(2-$AS$82)</f>
        <v>#REF!</v>
      </c>
      <c r="AL175" s="8" t="e">
        <f>AL94*'Emission factors Trucks&amp;Trains'!#REF!*(2-$AS$82)</f>
        <v>#REF!</v>
      </c>
      <c r="AM175" s="8" t="e">
        <f>AM94*'Emission factors Trucks&amp;Trains'!#REF!*(2-$AS$82)</f>
        <v>#REF!</v>
      </c>
      <c r="AN175" s="8" t="e">
        <f>AN94*'Emission factors Trucks&amp;Trains'!#REF!*(2-$AS$82)</f>
        <v>#REF!</v>
      </c>
      <c r="AO175" s="8" t="e">
        <f>AO94*'Emission factors Trucks&amp;Trains'!#REF!*(2-$AS$82)</f>
        <v>#REF!</v>
      </c>
      <c r="AP175" s="8" t="e">
        <f>AP94*'Emission factors Trucks&amp;Trains'!#REF!*(2-$AS$82)</f>
        <v>#REF!</v>
      </c>
      <c r="AQ175" s="8" t="e">
        <f>AQ94*'Emission factors Trucks&amp;Trains'!#REF!*(2-$AS$82)</f>
        <v>#REF!</v>
      </c>
      <c r="AR175" s="8" t="e">
        <f>AR94*'Emission factors Trucks&amp;Trains'!#REF!*(2-$AS$82)</f>
        <v>#REF!</v>
      </c>
      <c r="AS175" s="8" t="e">
        <f>AS94*'Emission factors Trucks&amp;Trains'!#REF!*(2-$AS$82)</f>
        <v>#REF!</v>
      </c>
      <c r="AT175" s="8" t="e">
        <f>AT94*'Emission factors Trucks&amp;Trains'!#REF!*(2-$AS$82)</f>
        <v>#REF!</v>
      </c>
      <c r="AU175" s="8" t="e">
        <f>AU94*'Emission factors Trucks&amp;Trains'!#REF!*(2-$AS$82)</f>
        <v>#REF!</v>
      </c>
      <c r="AV175" s="8" t="e">
        <f>AV94*'Emission factors Trucks&amp;Trains'!#REF!*(2-$AS$82)</f>
        <v>#REF!</v>
      </c>
      <c r="AW175" s="8" t="e">
        <f>AW94*'Emission factors Trucks&amp;Trains'!#REF!*(2-$AS$82)</f>
        <v>#REF!</v>
      </c>
      <c r="AX175" s="8" t="e">
        <f>AX94*'Emission factors Trucks&amp;Trains'!#REF!*(2-$AS$82)</f>
        <v>#REF!</v>
      </c>
      <c r="AY175" s="8" t="e">
        <f>AY94*'Emission factors Trucks&amp;Trains'!#REF!*(2-$AS$82)</f>
        <v>#REF!</v>
      </c>
      <c r="AZ175" s="8" t="e">
        <f>AZ94*'Emission factors Trucks&amp;Trains'!#REF!*(2-$AS$82)</f>
        <v>#REF!</v>
      </c>
      <c r="BA175" s="8" t="e">
        <f>BA94*'Emission factors Trucks&amp;Trains'!#REF!*(2-$AS$82)</f>
        <v>#REF!</v>
      </c>
      <c r="BB175" s="8" t="e">
        <f>BB94*'Emission factors Trucks&amp;Trains'!#REF!*(2-$AS$82)</f>
        <v>#REF!</v>
      </c>
      <c r="BC175" s="8" t="e">
        <f>BC94*'Emission factors Trucks&amp;Trains'!#REF!*(2-$AS$82)</f>
        <v>#REF!</v>
      </c>
      <c r="BD175" s="8" t="e">
        <f>BD94*'Emission factors Trucks&amp;Trains'!#REF!*(2-$AS$82)</f>
        <v>#REF!</v>
      </c>
      <c r="BE175" s="8" t="e">
        <f>BE94*'Emission factors Trucks&amp;Trains'!#REF!*(2-$AS$82)</f>
        <v>#REF!</v>
      </c>
      <c r="BF175" s="8" t="e">
        <f>BF94*'Emission factors Trucks&amp;Trains'!#REF!*(2-$AS$82)</f>
        <v>#REF!</v>
      </c>
      <c r="BG175" s="9" t="e">
        <f>BG94*'Emission factors Trucks&amp;Trains'!#REF!*(2-$AS$82)</f>
        <v>#REF!</v>
      </c>
    </row>
    <row r="176" spans="1:59" ht="15" customHeight="1">
      <c r="A176" s="476"/>
      <c r="B176" s="136" t="s">
        <v>349</v>
      </c>
      <c r="C176" s="112" t="s">
        <v>344</v>
      </c>
      <c r="D176" s="142" t="e">
        <f>D94*'Emission factors Trucks&amp;Trains'!#REF!*(2-$AS$82)</f>
        <v>#REF!</v>
      </c>
      <c r="E176" s="142" t="e">
        <f>E94*'Emission factors Trucks&amp;Trains'!#REF!*(2-$AS$82)</f>
        <v>#REF!</v>
      </c>
      <c r="F176" s="142" t="e">
        <f>F94*'Emission factors Trucks&amp;Trains'!#REF!*(2-$AS$82)</f>
        <v>#REF!</v>
      </c>
      <c r="G176" s="142" t="e">
        <f>G94*'Emission factors Trucks&amp;Trains'!#REF!*(2-$AS$82)</f>
        <v>#REF!</v>
      </c>
      <c r="H176" s="142" t="e">
        <f>H94*'Emission factors Trucks&amp;Trains'!#REF!*(2-$AS$82)</f>
        <v>#REF!</v>
      </c>
      <c r="I176" s="142" t="e">
        <f>I94*'Emission factors Trucks&amp;Trains'!#REF!*(2-$AS$82)</f>
        <v>#REF!</v>
      </c>
      <c r="J176" s="142" t="e">
        <f>J94*'Emission factors Trucks&amp;Trains'!#REF!*(2-$AS$82)</f>
        <v>#REF!</v>
      </c>
      <c r="K176" s="142" t="e">
        <f>K94*'Emission factors Trucks&amp;Trains'!#REF!*(2-$AS$82)</f>
        <v>#REF!</v>
      </c>
      <c r="L176" s="142" t="e">
        <f>L94*'Emission factors Trucks&amp;Trains'!#REF!*(2-$AS$82)</f>
        <v>#REF!</v>
      </c>
      <c r="M176" s="142" t="e">
        <f>M94*'Emission factors Trucks&amp;Trains'!#REF!*(2-$AS$82)</f>
        <v>#REF!</v>
      </c>
      <c r="N176" s="142" t="e">
        <f>N94*'Emission factors Trucks&amp;Trains'!#REF!*(2-$AS$82)</f>
        <v>#REF!</v>
      </c>
      <c r="O176" s="142" t="e">
        <f>O94*'Emission factors Trucks&amp;Trains'!#REF!*(2-$AS$82)</f>
        <v>#REF!</v>
      </c>
      <c r="P176" s="142" t="e">
        <f>P94*'Emission factors Trucks&amp;Trains'!#REF!*(2-$AS$82)</f>
        <v>#REF!</v>
      </c>
      <c r="Q176" s="142" t="e">
        <f>Q94*'Emission factors Trucks&amp;Trains'!#REF!*(2-$AS$82)</f>
        <v>#REF!</v>
      </c>
      <c r="R176" s="142" t="e">
        <f>R94*'Emission factors Trucks&amp;Trains'!#REF!*(2-$AS$82)</f>
        <v>#REF!</v>
      </c>
      <c r="S176" s="142" t="e">
        <f>S94*'Emission factors Trucks&amp;Trains'!#REF!*(2-$AS$82)</f>
        <v>#REF!</v>
      </c>
      <c r="T176" s="142" t="e">
        <f>T94*'Emission factors Trucks&amp;Trains'!#REF!*(2-$AS$82)</f>
        <v>#REF!</v>
      </c>
      <c r="U176" s="142" t="e">
        <f>U94*'Emission factors Trucks&amp;Trains'!#REF!*(2-$AS$82)</f>
        <v>#REF!</v>
      </c>
      <c r="V176" s="142" t="e">
        <f>V94*'Emission factors Trucks&amp;Trains'!#REF!*(2-$AS$82)</f>
        <v>#REF!</v>
      </c>
      <c r="W176" s="142" t="e">
        <f>W94*'Emission factors Trucks&amp;Trains'!#REF!*(2-$AS$82)</f>
        <v>#REF!</v>
      </c>
      <c r="X176" s="142" t="e">
        <f>X94*'Emission factors Trucks&amp;Trains'!#REF!*(2-$AS$82)</f>
        <v>#REF!</v>
      </c>
      <c r="Y176" s="142" t="e">
        <f>Y94*'Emission factors Trucks&amp;Trains'!#REF!*(2-$AS$82)</f>
        <v>#REF!</v>
      </c>
      <c r="Z176" s="142" t="e">
        <f>Z94*'Emission factors Trucks&amp;Trains'!#REF!*(2-$AS$82)</f>
        <v>#REF!</v>
      </c>
      <c r="AA176" s="142" t="e">
        <f>AA94*'Emission factors Trucks&amp;Trains'!#REF!*(2-$AS$82)</f>
        <v>#REF!</v>
      </c>
      <c r="AB176" s="142" t="e">
        <f>AB94*'Emission factors Trucks&amp;Trains'!#REF!*(2-$AS$82)</f>
        <v>#REF!</v>
      </c>
      <c r="AF176" s="464"/>
      <c r="AG176" s="136" t="s">
        <v>348</v>
      </c>
      <c r="AH176" s="6" t="s">
        <v>344</v>
      </c>
      <c r="AI176" s="21" t="e">
        <f>AI94*'Emission factors Trucks&amp;Trains'!#REF!*(2-$AS$82)</f>
        <v>#REF!</v>
      </c>
      <c r="AJ176" s="8" t="e">
        <f>AJ94*'Emission factors Trucks&amp;Trains'!#REF!*(2-$AS$82)</f>
        <v>#REF!</v>
      </c>
      <c r="AK176" s="8" t="e">
        <f>AK94*'Emission factors Trucks&amp;Trains'!#REF!*(2-$AS$82)</f>
        <v>#REF!</v>
      </c>
      <c r="AL176" s="8" t="e">
        <f>AL94*'Emission factors Trucks&amp;Trains'!#REF!*(2-$AS$82)</f>
        <v>#REF!</v>
      </c>
      <c r="AM176" s="8" t="e">
        <f>AM94*'Emission factors Trucks&amp;Trains'!#REF!*(2-$AS$82)</f>
        <v>#REF!</v>
      </c>
      <c r="AN176" s="8" t="e">
        <f>AN94*'Emission factors Trucks&amp;Trains'!#REF!*(2-$AS$82)</f>
        <v>#REF!</v>
      </c>
      <c r="AO176" s="8" t="e">
        <f>AO94*'Emission factors Trucks&amp;Trains'!#REF!*(2-$AS$82)</f>
        <v>#REF!</v>
      </c>
      <c r="AP176" s="8" t="e">
        <f>AP94*'Emission factors Trucks&amp;Trains'!#REF!*(2-$AS$82)</f>
        <v>#REF!</v>
      </c>
      <c r="AQ176" s="8" t="e">
        <f>AQ94*'Emission factors Trucks&amp;Trains'!#REF!*(2-$AS$82)</f>
        <v>#REF!</v>
      </c>
      <c r="AR176" s="8" t="e">
        <f>AR94*'Emission factors Trucks&amp;Trains'!#REF!*(2-$AS$82)</f>
        <v>#REF!</v>
      </c>
      <c r="AS176" s="8" t="e">
        <f>AS94*'Emission factors Trucks&amp;Trains'!#REF!*(2-$AS$82)</f>
        <v>#REF!</v>
      </c>
      <c r="AT176" s="8" t="e">
        <f>AT94*'Emission factors Trucks&amp;Trains'!#REF!*(2-$AS$82)</f>
        <v>#REF!</v>
      </c>
      <c r="AU176" s="8" t="e">
        <f>AU94*'Emission factors Trucks&amp;Trains'!#REF!*(2-$AS$82)</f>
        <v>#REF!</v>
      </c>
      <c r="AV176" s="8" t="e">
        <f>AV94*'Emission factors Trucks&amp;Trains'!#REF!*(2-$AS$82)</f>
        <v>#REF!</v>
      </c>
      <c r="AW176" s="8" t="e">
        <f>AW94*'Emission factors Trucks&amp;Trains'!#REF!*(2-$AS$82)</f>
        <v>#REF!</v>
      </c>
      <c r="AX176" s="8" t="e">
        <f>AX94*'Emission factors Trucks&amp;Trains'!#REF!*(2-$AS$82)</f>
        <v>#REF!</v>
      </c>
      <c r="AY176" s="8" t="e">
        <f>AY94*'Emission factors Trucks&amp;Trains'!#REF!*(2-$AS$82)</f>
        <v>#REF!</v>
      </c>
      <c r="AZ176" s="8" t="e">
        <f>AZ94*'Emission factors Trucks&amp;Trains'!#REF!*(2-$AS$82)</f>
        <v>#REF!</v>
      </c>
      <c r="BA176" s="8" t="e">
        <f>BA94*'Emission factors Trucks&amp;Trains'!#REF!*(2-$AS$82)</f>
        <v>#REF!</v>
      </c>
      <c r="BB176" s="8" t="e">
        <f>BB94*'Emission factors Trucks&amp;Trains'!#REF!*(2-$AS$82)</f>
        <v>#REF!</v>
      </c>
      <c r="BC176" s="8" t="e">
        <f>BC94*'Emission factors Trucks&amp;Trains'!#REF!*(2-$AS$82)</f>
        <v>#REF!</v>
      </c>
      <c r="BD176" s="8" t="e">
        <f>BD94*'Emission factors Trucks&amp;Trains'!#REF!*(2-$AS$82)</f>
        <v>#REF!</v>
      </c>
      <c r="BE176" s="8" t="e">
        <f>BE94*'Emission factors Trucks&amp;Trains'!#REF!*(2-$AS$82)</f>
        <v>#REF!</v>
      </c>
      <c r="BF176" s="8" t="e">
        <f>BF94*'Emission factors Trucks&amp;Trains'!#REF!*(2-$AS$82)</f>
        <v>#REF!</v>
      </c>
      <c r="BG176" s="9" t="e">
        <f>BG94*'Emission factors Trucks&amp;Trains'!#REF!*(2-$AS$82)</f>
        <v>#REF!</v>
      </c>
    </row>
    <row r="177" spans="1:59" ht="15" customHeight="1">
      <c r="A177" s="477"/>
      <c r="B177" s="141" t="s">
        <v>246</v>
      </c>
      <c r="C177" s="5" t="s">
        <v>344</v>
      </c>
      <c r="D177" s="142">
        <f>D94*'Emission factors Trucks&amp;Trains'!B13*(2-$AS$82)</f>
        <v>0</v>
      </c>
      <c r="E177" s="142">
        <f>E94*'Emission factors Trucks&amp;Trains'!C13*(2-$AS$82)</f>
        <v>0</v>
      </c>
      <c r="F177" s="142">
        <f>F94*'Emission factors Trucks&amp;Trains'!D13*(2-$AS$82)</f>
        <v>0</v>
      </c>
      <c r="G177" s="142">
        <f>G94*'Emission factors Trucks&amp;Trains'!E13*(2-$AS$82)</f>
        <v>0</v>
      </c>
      <c r="H177" s="142">
        <f>H94*'Emission factors Trucks&amp;Trains'!F13*(2-$AS$82)</f>
        <v>0</v>
      </c>
      <c r="I177" s="142">
        <f>I94*'Emission factors Trucks&amp;Trains'!G13*(2-$AS$82)</f>
        <v>0</v>
      </c>
      <c r="J177" s="142">
        <f>J94*'Emission factors Trucks&amp;Trains'!H13*(2-$AS$82)</f>
        <v>0</v>
      </c>
      <c r="K177" s="142">
        <f>K94*'Emission factors Trucks&amp;Trains'!I13*(2-$AS$82)</f>
        <v>0</v>
      </c>
      <c r="L177" s="142">
        <f>L94*'Emission factors Trucks&amp;Trains'!J13*(2-$AS$82)</f>
        <v>0</v>
      </c>
      <c r="M177" s="142">
        <f>M94*'Emission factors Trucks&amp;Trains'!K13*(2-$AS$82)</f>
        <v>0</v>
      </c>
      <c r="N177" s="142">
        <f>N94*'Emission factors Trucks&amp;Trains'!L13*(2-$AS$82)</f>
        <v>0</v>
      </c>
      <c r="O177" s="142">
        <f>O94*'Emission factors Trucks&amp;Trains'!M13*(2-$AS$82)</f>
        <v>0</v>
      </c>
      <c r="P177" s="142">
        <f>P94*'Emission factors Trucks&amp;Trains'!N13*(2-$AS$82)</f>
        <v>0</v>
      </c>
      <c r="Q177" s="142">
        <f>Q94*'Emission factors Trucks&amp;Trains'!O13*(2-$AS$82)</f>
        <v>0</v>
      </c>
      <c r="R177" s="142">
        <f>R94*'Emission factors Trucks&amp;Trains'!P13*(2-$AS$82)</f>
        <v>0</v>
      </c>
      <c r="S177" s="142">
        <f>S94*'Emission factors Trucks&amp;Trains'!Q13*(2-$AS$82)</f>
        <v>0</v>
      </c>
      <c r="T177" s="142">
        <f>T94*'Emission factors Trucks&amp;Trains'!R13*(2-$AS$82)</f>
        <v>0</v>
      </c>
      <c r="U177" s="142">
        <f>U94*'Emission factors Trucks&amp;Trains'!S13*(2-$AS$82)</f>
        <v>0</v>
      </c>
      <c r="V177" s="142">
        <f>V94*'Emission factors Trucks&amp;Trains'!T13*(2-$AS$82)</f>
        <v>0</v>
      </c>
      <c r="W177" s="142">
        <f>W94*'Emission factors Trucks&amp;Trains'!U13*(2-$AS$82)</f>
        <v>0</v>
      </c>
      <c r="X177" s="142">
        <f>X94*'Emission factors Trucks&amp;Trains'!V13*(2-$AS$82)</f>
        <v>0</v>
      </c>
      <c r="Y177" s="142">
        <f>Y94*'Emission factors Trucks&amp;Trains'!W13*(2-$AS$82)</f>
        <v>0</v>
      </c>
      <c r="Z177" s="142">
        <f>Z94*'Emission factors Trucks&amp;Trains'!X13*(2-$AS$82)</f>
        <v>0</v>
      </c>
      <c r="AA177" s="142">
        <f>AA94*'Emission factors Trucks&amp;Trains'!Y13*(2-$AS$82)</f>
        <v>0</v>
      </c>
      <c r="AB177" s="142">
        <f>AB94*'Emission factors Trucks&amp;Trains'!Z13*(2-$AS$82)</f>
        <v>0</v>
      </c>
      <c r="AF177" s="464"/>
      <c r="AG177" s="136" t="s">
        <v>349</v>
      </c>
      <c r="AH177" s="6" t="s">
        <v>344</v>
      </c>
      <c r="AI177" s="21" t="e">
        <f>AI94*'Emission factors Trucks&amp;Trains'!#REF!*(2-$AS$82)</f>
        <v>#REF!</v>
      </c>
      <c r="AJ177" s="8" t="e">
        <f>AJ94*'Emission factors Trucks&amp;Trains'!#REF!*(2-$AS$82)</f>
        <v>#REF!</v>
      </c>
      <c r="AK177" s="8" t="e">
        <f>AK94*'Emission factors Trucks&amp;Trains'!#REF!*(2-$AS$82)</f>
        <v>#REF!</v>
      </c>
      <c r="AL177" s="8" t="e">
        <f>AL94*'Emission factors Trucks&amp;Trains'!#REF!*(2-$AS$82)</f>
        <v>#REF!</v>
      </c>
      <c r="AM177" s="8" t="e">
        <f>AM94*'Emission factors Trucks&amp;Trains'!#REF!*(2-$AS$82)</f>
        <v>#REF!</v>
      </c>
      <c r="AN177" s="8" t="e">
        <f>AN94*'Emission factors Trucks&amp;Trains'!#REF!*(2-$AS$82)</f>
        <v>#REF!</v>
      </c>
      <c r="AO177" s="8" t="e">
        <f>AO94*'Emission factors Trucks&amp;Trains'!#REF!*(2-$AS$82)</f>
        <v>#REF!</v>
      </c>
      <c r="AP177" s="8" t="e">
        <f>AP94*'Emission factors Trucks&amp;Trains'!#REF!*(2-$AS$82)</f>
        <v>#REF!</v>
      </c>
      <c r="AQ177" s="8" t="e">
        <f>AQ94*'Emission factors Trucks&amp;Trains'!#REF!*(2-$AS$82)</f>
        <v>#REF!</v>
      </c>
      <c r="AR177" s="8" t="e">
        <f>AR94*'Emission factors Trucks&amp;Trains'!#REF!*(2-$AS$82)</f>
        <v>#REF!</v>
      </c>
      <c r="AS177" s="8" t="e">
        <f>AS94*'Emission factors Trucks&amp;Trains'!#REF!*(2-$AS$82)</f>
        <v>#REF!</v>
      </c>
      <c r="AT177" s="8" t="e">
        <f>AT94*'Emission factors Trucks&amp;Trains'!#REF!*(2-$AS$82)</f>
        <v>#REF!</v>
      </c>
      <c r="AU177" s="8" t="e">
        <f>AU94*'Emission factors Trucks&amp;Trains'!#REF!*(2-$AS$82)</f>
        <v>#REF!</v>
      </c>
      <c r="AV177" s="8" t="e">
        <f>AV94*'Emission factors Trucks&amp;Trains'!#REF!*(2-$AS$82)</f>
        <v>#REF!</v>
      </c>
      <c r="AW177" s="8" t="e">
        <f>AW94*'Emission factors Trucks&amp;Trains'!#REF!*(2-$AS$82)</f>
        <v>#REF!</v>
      </c>
      <c r="AX177" s="8" t="e">
        <f>AX94*'Emission factors Trucks&amp;Trains'!#REF!*(2-$AS$82)</f>
        <v>#REF!</v>
      </c>
      <c r="AY177" s="8" t="e">
        <f>AY94*'Emission factors Trucks&amp;Trains'!#REF!*(2-$AS$82)</f>
        <v>#REF!</v>
      </c>
      <c r="AZ177" s="8" t="e">
        <f>AZ94*'Emission factors Trucks&amp;Trains'!#REF!*(2-$AS$82)</f>
        <v>#REF!</v>
      </c>
      <c r="BA177" s="8" t="e">
        <f>BA94*'Emission factors Trucks&amp;Trains'!#REF!*(2-$AS$82)</f>
        <v>#REF!</v>
      </c>
      <c r="BB177" s="8" t="e">
        <f>BB94*'Emission factors Trucks&amp;Trains'!#REF!*(2-$AS$82)</f>
        <v>#REF!</v>
      </c>
      <c r="BC177" s="8" t="e">
        <f>BC94*'Emission factors Trucks&amp;Trains'!#REF!*(2-$AS$82)</f>
        <v>#REF!</v>
      </c>
      <c r="BD177" s="8" t="e">
        <f>BD94*'Emission factors Trucks&amp;Trains'!#REF!*(2-$AS$82)</f>
        <v>#REF!</v>
      </c>
      <c r="BE177" s="8" t="e">
        <f>BE94*'Emission factors Trucks&amp;Trains'!#REF!*(2-$AS$82)</f>
        <v>#REF!</v>
      </c>
      <c r="BF177" s="8" t="e">
        <f>BF94*'Emission factors Trucks&amp;Trains'!#REF!*(2-$AS$82)</f>
        <v>#REF!</v>
      </c>
      <c r="BG177" s="9" t="e">
        <f>BG94*'Emission factors Trucks&amp;Trains'!#REF!*(2-$AS$82)</f>
        <v>#REF!</v>
      </c>
    </row>
    <row r="178" spans="1:59" ht="15" customHeight="1">
      <c r="A178" s="476"/>
      <c r="B178" s="2" t="s">
        <v>34</v>
      </c>
      <c r="C178" s="11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F178" s="464"/>
      <c r="AG178" s="137" t="s">
        <v>246</v>
      </c>
      <c r="AH178" s="19" t="s">
        <v>344</v>
      </c>
      <c r="AI178" s="22">
        <f>(AI89+AI90)*'Emission factors Trucks&amp;Trains'!B13*(2-$AS$82)</f>
        <v>0</v>
      </c>
      <c r="AJ178" s="22">
        <f>(AJ89+AJ90)*'Emission factors Trucks&amp;Trains'!C13*(2-$AS$82)</f>
        <v>0</v>
      </c>
      <c r="AK178" s="22">
        <f>(AK89+AK90)*'Emission factors Trucks&amp;Trains'!D13*(2-$AS$82)</f>
        <v>0</v>
      </c>
      <c r="AL178" s="22">
        <f>(AL89+AL90)*'Emission factors Trucks&amp;Trains'!E13*(2-$AS$82)</f>
        <v>0</v>
      </c>
      <c r="AM178" s="22">
        <f>(AM89+AM90)*'Emission factors Trucks&amp;Trains'!F13*(2-$AS$82)</f>
        <v>0</v>
      </c>
      <c r="AN178" s="22">
        <f>(AN89+AN90)*'Emission factors Trucks&amp;Trains'!G13*(2-$AS$82)</f>
        <v>0</v>
      </c>
      <c r="AO178" s="22">
        <f>(AO89+AO90)*'Emission factors Trucks&amp;Trains'!H13*(2-$AS$82)</f>
        <v>0</v>
      </c>
      <c r="AP178" s="22">
        <f>(AP89+AP90)*'Emission factors Trucks&amp;Trains'!I13*(2-$AS$82)</f>
        <v>0</v>
      </c>
      <c r="AQ178" s="22">
        <f>(AQ89+AQ90)*'Emission factors Trucks&amp;Trains'!J13*(2-$AS$82)</f>
        <v>0</v>
      </c>
      <c r="AR178" s="22">
        <f>(AR89+AR90)*'Emission factors Trucks&amp;Trains'!K13*(2-$AS$82)</f>
        <v>0</v>
      </c>
      <c r="AS178" s="22">
        <f>(AS89+AS90)*'Emission factors Trucks&amp;Trains'!L13*(2-$AS$82)</f>
        <v>0</v>
      </c>
      <c r="AT178" s="22">
        <f>(AT89+AT90)*'Emission factors Trucks&amp;Trains'!M13*(2-$AS$82)</f>
        <v>0</v>
      </c>
      <c r="AU178" s="22">
        <f>(AU89+AU90)*'Emission factors Trucks&amp;Trains'!N13*(2-$AS$82)</f>
        <v>0</v>
      </c>
      <c r="AV178" s="22">
        <f>(AV89+AV90)*'Emission factors Trucks&amp;Trains'!O13*(2-$AS$82)</f>
        <v>0</v>
      </c>
      <c r="AW178" s="22">
        <f>(AW89+AW90)*'Emission factors Trucks&amp;Trains'!P13*(2-$AS$82)</f>
        <v>0</v>
      </c>
      <c r="AX178" s="22">
        <f>(AX89+AX90)*'Emission factors Trucks&amp;Trains'!Q13*(2-$AS$82)</f>
        <v>0</v>
      </c>
      <c r="AY178" s="22">
        <f>(AY89+AY90)*'Emission factors Trucks&amp;Trains'!R13*(2-$AS$82)</f>
        <v>0</v>
      </c>
      <c r="AZ178" s="22">
        <f>(AZ89+AZ90)*'Emission factors Trucks&amp;Trains'!S13*(2-$AS$82)</f>
        <v>0</v>
      </c>
      <c r="BA178" s="22">
        <f>(BA89+BA90)*'Emission factors Trucks&amp;Trains'!T13*(2-$AS$82)</f>
        <v>0</v>
      </c>
      <c r="BB178" s="22">
        <f>(BB89+BB90)*'Emission factors Trucks&amp;Trains'!U13*(2-$AS$82)</f>
        <v>0</v>
      </c>
      <c r="BC178" s="22">
        <f>(BC89+BC90)*'Emission factors Trucks&amp;Trains'!V13*(2-$AS$82)</f>
        <v>0</v>
      </c>
      <c r="BD178" s="22">
        <f>(BD89+BD90)*'Emission factors Trucks&amp;Trains'!W13*(2-$AS$82)</f>
        <v>0</v>
      </c>
      <c r="BE178" s="22">
        <f>(BE89+BE90)*'Emission factors Trucks&amp;Trains'!X13*(2-$AS$82)</f>
        <v>0</v>
      </c>
      <c r="BF178" s="22">
        <f>(BF89+BF90)*'Emission factors Trucks&amp;Trains'!Y13*(2-$AS$82)</f>
        <v>0</v>
      </c>
      <c r="BG178" s="22">
        <f>(BG89+BG90)*'Emission factors Trucks&amp;Trains'!Z13*(2-$AS$82)</f>
        <v>0</v>
      </c>
    </row>
    <row r="179" spans="1:59" ht="15" customHeight="1">
      <c r="A179" s="476"/>
      <c r="B179" s="136" t="s">
        <v>343</v>
      </c>
      <c r="C179" s="112" t="s">
        <v>344</v>
      </c>
      <c r="D179" s="142" t="e">
        <f>D95*'Emission factors Trucks&amp;Trains'!#REF!*(2-$AS$82)</f>
        <v>#REF!</v>
      </c>
      <c r="E179" s="142" t="e">
        <f>E95*'Emission factors Trucks&amp;Trains'!#REF!*(2-$AS$82)</f>
        <v>#REF!</v>
      </c>
      <c r="F179" s="142" t="e">
        <f>F95*'Emission factors Trucks&amp;Trains'!#REF!*(2-$AS$82)</f>
        <v>#REF!</v>
      </c>
      <c r="G179" s="142" t="e">
        <f>G95*'Emission factors Trucks&amp;Trains'!#REF!*(2-$AS$82)</f>
        <v>#REF!</v>
      </c>
      <c r="H179" s="142" t="e">
        <f>H95*'Emission factors Trucks&amp;Trains'!#REF!*(2-$AS$82)</f>
        <v>#REF!</v>
      </c>
      <c r="I179" s="142" t="e">
        <f>I95*'Emission factors Trucks&amp;Trains'!#REF!*(2-$AS$82)</f>
        <v>#REF!</v>
      </c>
      <c r="J179" s="142" t="e">
        <f>J95*'Emission factors Trucks&amp;Trains'!#REF!*(2-$AS$82)</f>
        <v>#REF!</v>
      </c>
      <c r="K179" s="142" t="e">
        <f>K95*'Emission factors Trucks&amp;Trains'!#REF!*(2-$AS$82)</f>
        <v>#REF!</v>
      </c>
      <c r="L179" s="142" t="e">
        <f>L95*'Emission factors Trucks&amp;Trains'!#REF!*(2-$AS$82)</f>
        <v>#REF!</v>
      </c>
      <c r="M179" s="142" t="e">
        <f>M95*'Emission factors Trucks&amp;Trains'!#REF!*(2-$AS$82)</f>
        <v>#REF!</v>
      </c>
      <c r="N179" s="142" t="e">
        <f>N95*'Emission factors Trucks&amp;Trains'!#REF!*(2-$AS$82)</f>
        <v>#REF!</v>
      </c>
      <c r="O179" s="142" t="e">
        <f>O95*'Emission factors Trucks&amp;Trains'!#REF!*(2-$AS$82)</f>
        <v>#REF!</v>
      </c>
      <c r="P179" s="142" t="e">
        <f>P95*'Emission factors Trucks&amp;Trains'!#REF!*(2-$AS$82)</f>
        <v>#REF!</v>
      </c>
      <c r="Q179" s="142" t="e">
        <f>Q95*'Emission factors Trucks&amp;Trains'!#REF!*(2-$AS$82)</f>
        <v>#REF!</v>
      </c>
      <c r="R179" s="142" t="e">
        <f>R95*'Emission factors Trucks&amp;Trains'!#REF!*(2-$AS$82)</f>
        <v>#REF!</v>
      </c>
      <c r="S179" s="142" t="e">
        <f>S95*'Emission factors Trucks&amp;Trains'!#REF!*(2-$AS$82)</f>
        <v>#REF!</v>
      </c>
      <c r="T179" s="142" t="e">
        <f>T95*'Emission factors Trucks&amp;Trains'!#REF!*(2-$AS$82)</f>
        <v>#REF!</v>
      </c>
      <c r="U179" s="142" t="e">
        <f>U95*'Emission factors Trucks&amp;Trains'!#REF!*(2-$AS$82)</f>
        <v>#REF!</v>
      </c>
      <c r="V179" s="142" t="e">
        <f>V95*'Emission factors Trucks&amp;Trains'!#REF!*(2-$AS$82)</f>
        <v>#REF!</v>
      </c>
      <c r="W179" s="142" t="e">
        <f>W95*'Emission factors Trucks&amp;Trains'!#REF!*(2-$AS$82)</f>
        <v>#REF!</v>
      </c>
      <c r="X179" s="142" t="e">
        <f>X95*'Emission factors Trucks&amp;Trains'!#REF!*(2-$AS$82)</f>
        <v>#REF!</v>
      </c>
      <c r="Y179" s="142" t="e">
        <f>Y95*'Emission factors Trucks&amp;Trains'!#REF!*(2-$AS$82)</f>
        <v>#REF!</v>
      </c>
      <c r="Z179" s="142" t="e">
        <f>Z95*'Emission factors Trucks&amp;Trains'!#REF!*(2-$AS$82)</f>
        <v>#REF!</v>
      </c>
      <c r="AA179" s="142" t="e">
        <f>AA95*'Emission factors Trucks&amp;Trains'!#REF!*(2-$AS$82)</f>
        <v>#REF!</v>
      </c>
      <c r="AB179" s="142" t="e">
        <f>AB95*'Emission factors Trucks&amp;Trains'!#REF!*(2-$AS$82)</f>
        <v>#REF!</v>
      </c>
      <c r="AF179" s="464"/>
      <c r="AG179" s="12" t="s">
        <v>104</v>
      </c>
      <c r="AI179" s="21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9"/>
    </row>
    <row r="180" spans="1:59" ht="15" customHeight="1">
      <c r="A180" s="476"/>
      <c r="B180" s="136" t="s">
        <v>345</v>
      </c>
      <c r="C180" s="112" t="s">
        <v>344</v>
      </c>
      <c r="D180" s="142" t="e">
        <f>D95*'Emission factors Trucks&amp;Trains'!#REF!*(2-$AS$82)</f>
        <v>#REF!</v>
      </c>
      <c r="E180" s="142" t="e">
        <f>E95*'Emission factors Trucks&amp;Trains'!#REF!*(2-$AS$82)</f>
        <v>#REF!</v>
      </c>
      <c r="F180" s="142" t="e">
        <f>F95*'Emission factors Trucks&amp;Trains'!#REF!*(2-$AS$82)</f>
        <v>#REF!</v>
      </c>
      <c r="G180" s="142" t="e">
        <f>G95*'Emission factors Trucks&amp;Trains'!#REF!*(2-$AS$82)</f>
        <v>#REF!</v>
      </c>
      <c r="H180" s="142" t="e">
        <f>H95*'Emission factors Trucks&amp;Trains'!#REF!*(2-$AS$82)</f>
        <v>#REF!</v>
      </c>
      <c r="I180" s="142" t="e">
        <f>I95*'Emission factors Trucks&amp;Trains'!#REF!*(2-$AS$82)</f>
        <v>#REF!</v>
      </c>
      <c r="J180" s="142" t="e">
        <f>J95*'Emission factors Trucks&amp;Trains'!#REF!*(2-$AS$82)</f>
        <v>#REF!</v>
      </c>
      <c r="K180" s="142" t="e">
        <f>K95*'Emission factors Trucks&amp;Trains'!#REF!*(2-$AS$82)</f>
        <v>#REF!</v>
      </c>
      <c r="L180" s="142" t="e">
        <f>L95*'Emission factors Trucks&amp;Trains'!#REF!*(2-$AS$82)</f>
        <v>#REF!</v>
      </c>
      <c r="M180" s="142" t="e">
        <f>M95*'Emission factors Trucks&amp;Trains'!#REF!*(2-$AS$82)</f>
        <v>#REF!</v>
      </c>
      <c r="N180" s="142" t="e">
        <f>N95*'Emission factors Trucks&amp;Trains'!#REF!*(2-$AS$82)</f>
        <v>#REF!</v>
      </c>
      <c r="O180" s="142" t="e">
        <f>O95*'Emission factors Trucks&amp;Trains'!#REF!*(2-$AS$82)</f>
        <v>#REF!</v>
      </c>
      <c r="P180" s="142" t="e">
        <f>P95*'Emission factors Trucks&amp;Trains'!#REF!*(2-$AS$82)</f>
        <v>#REF!</v>
      </c>
      <c r="Q180" s="142" t="e">
        <f>Q95*'Emission factors Trucks&amp;Trains'!#REF!*(2-$AS$82)</f>
        <v>#REF!</v>
      </c>
      <c r="R180" s="142" t="e">
        <f>R95*'Emission factors Trucks&amp;Trains'!#REF!*(2-$AS$82)</f>
        <v>#REF!</v>
      </c>
      <c r="S180" s="142" t="e">
        <f>S95*'Emission factors Trucks&amp;Trains'!#REF!*(2-$AS$82)</f>
        <v>#REF!</v>
      </c>
      <c r="T180" s="142" t="e">
        <f>T95*'Emission factors Trucks&amp;Trains'!#REF!*(2-$AS$82)</f>
        <v>#REF!</v>
      </c>
      <c r="U180" s="142" t="e">
        <f>U95*'Emission factors Trucks&amp;Trains'!#REF!*(2-$AS$82)</f>
        <v>#REF!</v>
      </c>
      <c r="V180" s="142" t="e">
        <f>V95*'Emission factors Trucks&amp;Trains'!#REF!*(2-$AS$82)</f>
        <v>#REF!</v>
      </c>
      <c r="W180" s="142" t="e">
        <f>W95*'Emission factors Trucks&amp;Trains'!#REF!*(2-$AS$82)</f>
        <v>#REF!</v>
      </c>
      <c r="X180" s="142" t="e">
        <f>X95*'Emission factors Trucks&amp;Trains'!#REF!*(2-$AS$82)</f>
        <v>#REF!</v>
      </c>
      <c r="Y180" s="142" t="e">
        <f>Y95*'Emission factors Trucks&amp;Trains'!#REF!*(2-$AS$82)</f>
        <v>#REF!</v>
      </c>
      <c r="Z180" s="142" t="e">
        <f>Z95*'Emission factors Trucks&amp;Trains'!#REF!*(2-$AS$82)</f>
        <v>#REF!</v>
      </c>
      <c r="AA180" s="142" t="e">
        <f>AA95*'Emission factors Trucks&amp;Trains'!#REF!*(2-$AS$82)</f>
        <v>#REF!</v>
      </c>
      <c r="AB180" s="142" t="e">
        <f>AB95*'Emission factors Trucks&amp;Trains'!#REF!*(2-$AS$82)</f>
        <v>#REF!</v>
      </c>
      <c r="AF180" s="464"/>
      <c r="AG180" s="136" t="s">
        <v>343</v>
      </c>
      <c r="AH180" s="6" t="s">
        <v>344</v>
      </c>
      <c r="AI180" s="21" t="e">
        <f>#REF!*'Emission factors Trucks&amp;Trains'!#REF!*(2-$AS$82)</f>
        <v>#REF!</v>
      </c>
      <c r="AJ180" s="8" t="e">
        <f>#REF!*'Emission factors Trucks&amp;Trains'!#REF!*(2-$AS$82)</f>
        <v>#REF!</v>
      </c>
      <c r="AK180" s="8" t="e">
        <f>#REF!*'Emission factors Trucks&amp;Trains'!#REF!*(2-$AS$82)</f>
        <v>#REF!</v>
      </c>
      <c r="AL180" s="8" t="e">
        <f>#REF!*'Emission factors Trucks&amp;Trains'!#REF!*(2-$AS$82)</f>
        <v>#REF!</v>
      </c>
      <c r="AM180" s="8" t="e">
        <f>#REF!*'Emission factors Trucks&amp;Trains'!#REF!*(2-$AS$82)</f>
        <v>#REF!</v>
      </c>
      <c r="AN180" s="8" t="e">
        <f>#REF!*'Emission factors Trucks&amp;Trains'!#REF!*(2-$AS$82)</f>
        <v>#REF!</v>
      </c>
      <c r="AO180" s="8" t="e">
        <f>#REF!*'Emission factors Trucks&amp;Trains'!#REF!*(2-$AS$82)</f>
        <v>#REF!</v>
      </c>
      <c r="AP180" s="8" t="e">
        <f>#REF!*'Emission factors Trucks&amp;Trains'!#REF!*(2-$AS$82)</f>
        <v>#REF!</v>
      </c>
      <c r="AQ180" s="8" t="e">
        <f>#REF!*'Emission factors Trucks&amp;Trains'!#REF!*(2-$AS$82)</f>
        <v>#REF!</v>
      </c>
      <c r="AR180" s="8" t="e">
        <f>#REF!*'Emission factors Trucks&amp;Trains'!#REF!*(2-$AS$82)</f>
        <v>#REF!</v>
      </c>
      <c r="AS180" s="8" t="e">
        <f>#REF!*'Emission factors Trucks&amp;Trains'!#REF!*(2-$AS$82)</f>
        <v>#REF!</v>
      </c>
      <c r="AT180" s="8" t="e">
        <f>#REF!*'Emission factors Trucks&amp;Trains'!#REF!*(2-$AS$82)</f>
        <v>#REF!</v>
      </c>
      <c r="AU180" s="8" t="e">
        <f>#REF!*'Emission factors Trucks&amp;Trains'!#REF!*(2-$AS$82)</f>
        <v>#REF!</v>
      </c>
      <c r="AV180" s="8" t="e">
        <f>#REF!*'Emission factors Trucks&amp;Trains'!#REF!*(2-$AS$82)</f>
        <v>#REF!</v>
      </c>
      <c r="AW180" s="8" t="e">
        <f>#REF!*'Emission factors Trucks&amp;Trains'!#REF!*(2-$AS$82)</f>
        <v>#REF!</v>
      </c>
      <c r="AX180" s="8" t="e">
        <f>#REF!*'Emission factors Trucks&amp;Trains'!#REF!*(2-$AS$82)</f>
        <v>#REF!</v>
      </c>
      <c r="AY180" s="8" t="e">
        <f>#REF!*'Emission factors Trucks&amp;Trains'!#REF!*(2-$AS$82)</f>
        <v>#REF!</v>
      </c>
      <c r="AZ180" s="8" t="e">
        <f>#REF!*'Emission factors Trucks&amp;Trains'!#REF!*(2-$AS$82)</f>
        <v>#REF!</v>
      </c>
      <c r="BA180" s="8" t="e">
        <f>#REF!*'Emission factors Trucks&amp;Trains'!#REF!*(2-$AS$82)</f>
        <v>#REF!</v>
      </c>
      <c r="BB180" s="8" t="e">
        <f>#REF!*'Emission factors Trucks&amp;Trains'!#REF!*(2-$AS$82)</f>
        <v>#REF!</v>
      </c>
      <c r="BC180" s="8" t="e">
        <f>#REF!*'Emission factors Trucks&amp;Trains'!#REF!*(2-$AS$82)</f>
        <v>#REF!</v>
      </c>
      <c r="BD180" s="8" t="e">
        <f>#REF!*'Emission factors Trucks&amp;Trains'!#REF!*(2-$AS$82)</f>
        <v>#REF!</v>
      </c>
      <c r="BE180" s="8" t="e">
        <f>#REF!*'Emission factors Trucks&amp;Trains'!#REF!*(2-$AS$82)</f>
        <v>#REF!</v>
      </c>
      <c r="BF180" s="8" t="e">
        <f>#REF!*'Emission factors Trucks&amp;Trains'!#REF!*(2-$AS$82)</f>
        <v>#REF!</v>
      </c>
      <c r="BG180" s="9" t="e">
        <f>#REF!*'Emission factors Trucks&amp;Trains'!#REF!*(2-$AS$82)</f>
        <v>#REF!</v>
      </c>
    </row>
    <row r="181" spans="1:59" ht="15" customHeight="1">
      <c r="A181" s="476"/>
      <c r="B181" s="136" t="s">
        <v>346</v>
      </c>
      <c r="C181" s="112" t="s">
        <v>344</v>
      </c>
      <c r="D181" s="142" t="e">
        <f>D95*'Emission factors Trucks&amp;Trains'!#REF!*(2-$AS$82)</f>
        <v>#REF!</v>
      </c>
      <c r="E181" s="142" t="e">
        <f>E95*'Emission factors Trucks&amp;Trains'!#REF!*(2-$AS$82)</f>
        <v>#REF!</v>
      </c>
      <c r="F181" s="142" t="e">
        <f>F95*'Emission factors Trucks&amp;Trains'!#REF!*(2-$AS$82)</f>
        <v>#REF!</v>
      </c>
      <c r="G181" s="142" t="e">
        <f>G95*'Emission factors Trucks&amp;Trains'!#REF!*(2-$AS$82)</f>
        <v>#REF!</v>
      </c>
      <c r="H181" s="142" t="e">
        <f>H95*'Emission factors Trucks&amp;Trains'!#REF!*(2-$AS$82)</f>
        <v>#REF!</v>
      </c>
      <c r="I181" s="142" t="e">
        <f>I95*'Emission factors Trucks&amp;Trains'!#REF!*(2-$AS$82)</f>
        <v>#REF!</v>
      </c>
      <c r="J181" s="142" t="e">
        <f>J95*'Emission factors Trucks&amp;Trains'!#REF!*(2-$AS$82)</f>
        <v>#REF!</v>
      </c>
      <c r="K181" s="142" t="e">
        <f>K95*'Emission factors Trucks&amp;Trains'!#REF!*(2-$AS$82)</f>
        <v>#REF!</v>
      </c>
      <c r="L181" s="142" t="e">
        <f>L95*'Emission factors Trucks&amp;Trains'!#REF!*(2-$AS$82)</f>
        <v>#REF!</v>
      </c>
      <c r="M181" s="142" t="e">
        <f>M95*'Emission factors Trucks&amp;Trains'!#REF!*(2-$AS$82)</f>
        <v>#REF!</v>
      </c>
      <c r="N181" s="142" t="e">
        <f>N95*'Emission factors Trucks&amp;Trains'!#REF!*(2-$AS$82)</f>
        <v>#REF!</v>
      </c>
      <c r="O181" s="142" t="e">
        <f>O95*'Emission factors Trucks&amp;Trains'!#REF!*(2-$AS$82)</f>
        <v>#REF!</v>
      </c>
      <c r="P181" s="142" t="e">
        <f>P95*'Emission factors Trucks&amp;Trains'!#REF!*(2-$AS$82)</f>
        <v>#REF!</v>
      </c>
      <c r="Q181" s="142" t="e">
        <f>Q95*'Emission factors Trucks&amp;Trains'!#REF!*(2-$AS$82)</f>
        <v>#REF!</v>
      </c>
      <c r="R181" s="142" t="e">
        <f>R95*'Emission factors Trucks&amp;Trains'!#REF!*(2-$AS$82)</f>
        <v>#REF!</v>
      </c>
      <c r="S181" s="142" t="e">
        <f>S95*'Emission factors Trucks&amp;Trains'!#REF!*(2-$AS$82)</f>
        <v>#REF!</v>
      </c>
      <c r="T181" s="142" t="e">
        <f>T95*'Emission factors Trucks&amp;Trains'!#REF!*(2-$AS$82)</f>
        <v>#REF!</v>
      </c>
      <c r="U181" s="142" t="e">
        <f>U95*'Emission factors Trucks&amp;Trains'!#REF!*(2-$AS$82)</f>
        <v>#REF!</v>
      </c>
      <c r="V181" s="142" t="e">
        <f>V95*'Emission factors Trucks&amp;Trains'!#REF!*(2-$AS$82)</f>
        <v>#REF!</v>
      </c>
      <c r="W181" s="142" t="e">
        <f>W95*'Emission factors Trucks&amp;Trains'!#REF!*(2-$AS$82)</f>
        <v>#REF!</v>
      </c>
      <c r="X181" s="142" t="e">
        <f>X95*'Emission factors Trucks&amp;Trains'!#REF!*(2-$AS$82)</f>
        <v>#REF!</v>
      </c>
      <c r="Y181" s="142" t="e">
        <f>Y95*'Emission factors Trucks&amp;Trains'!#REF!*(2-$AS$82)</f>
        <v>#REF!</v>
      </c>
      <c r="Z181" s="142" t="e">
        <f>Z95*'Emission factors Trucks&amp;Trains'!#REF!*(2-$AS$82)</f>
        <v>#REF!</v>
      </c>
      <c r="AA181" s="142" t="e">
        <f>AA95*'Emission factors Trucks&amp;Trains'!#REF!*(2-$AS$82)</f>
        <v>#REF!</v>
      </c>
      <c r="AB181" s="142" t="e">
        <f>AB95*'Emission factors Trucks&amp;Trains'!#REF!*(2-$AS$82)</f>
        <v>#REF!</v>
      </c>
      <c r="AF181" s="464"/>
      <c r="AG181" s="136" t="s">
        <v>345</v>
      </c>
      <c r="AH181" s="6" t="s">
        <v>344</v>
      </c>
      <c r="AI181" s="21" t="e">
        <f>#REF!*'Emission factors Trucks&amp;Trains'!#REF!*(2-$AS$82)</f>
        <v>#REF!</v>
      </c>
      <c r="AJ181" s="8" t="e">
        <f>#REF!*'Emission factors Trucks&amp;Trains'!#REF!*(2-$AS$82)</f>
        <v>#REF!</v>
      </c>
      <c r="AK181" s="8" t="e">
        <f>#REF!*'Emission factors Trucks&amp;Trains'!#REF!*(2-$AS$82)</f>
        <v>#REF!</v>
      </c>
      <c r="AL181" s="8" t="e">
        <f>#REF!*'Emission factors Trucks&amp;Trains'!#REF!*(2-$AS$82)</f>
        <v>#REF!</v>
      </c>
      <c r="AM181" s="8" t="e">
        <f>#REF!*'Emission factors Trucks&amp;Trains'!#REF!*(2-$AS$82)</f>
        <v>#REF!</v>
      </c>
      <c r="AN181" s="8" t="e">
        <f>#REF!*'Emission factors Trucks&amp;Trains'!#REF!*(2-$AS$82)</f>
        <v>#REF!</v>
      </c>
      <c r="AO181" s="8" t="e">
        <f>#REF!*'Emission factors Trucks&amp;Trains'!#REF!*(2-$AS$82)</f>
        <v>#REF!</v>
      </c>
      <c r="AP181" s="8" t="e">
        <f>#REF!*'Emission factors Trucks&amp;Trains'!#REF!*(2-$AS$82)</f>
        <v>#REF!</v>
      </c>
      <c r="AQ181" s="8" t="e">
        <f>#REF!*'Emission factors Trucks&amp;Trains'!#REF!*(2-$AS$82)</f>
        <v>#REF!</v>
      </c>
      <c r="AR181" s="8" t="e">
        <f>#REF!*'Emission factors Trucks&amp;Trains'!#REF!*(2-$AS$82)</f>
        <v>#REF!</v>
      </c>
      <c r="AS181" s="8" t="e">
        <f>#REF!*'Emission factors Trucks&amp;Trains'!#REF!*(2-$AS$82)</f>
        <v>#REF!</v>
      </c>
      <c r="AT181" s="8" t="e">
        <f>#REF!*'Emission factors Trucks&amp;Trains'!#REF!*(2-$AS$82)</f>
        <v>#REF!</v>
      </c>
      <c r="AU181" s="8" t="e">
        <f>#REF!*'Emission factors Trucks&amp;Trains'!#REF!*(2-$AS$82)</f>
        <v>#REF!</v>
      </c>
      <c r="AV181" s="8" t="e">
        <f>#REF!*'Emission factors Trucks&amp;Trains'!#REF!*(2-$AS$82)</f>
        <v>#REF!</v>
      </c>
      <c r="AW181" s="8" t="e">
        <f>#REF!*'Emission factors Trucks&amp;Trains'!#REF!*(2-$AS$82)</f>
        <v>#REF!</v>
      </c>
      <c r="AX181" s="8" t="e">
        <f>#REF!*'Emission factors Trucks&amp;Trains'!#REF!*(2-$AS$82)</f>
        <v>#REF!</v>
      </c>
      <c r="AY181" s="8" t="e">
        <f>#REF!*'Emission factors Trucks&amp;Trains'!#REF!*(2-$AS$82)</f>
        <v>#REF!</v>
      </c>
      <c r="AZ181" s="8" t="e">
        <f>#REF!*'Emission factors Trucks&amp;Trains'!#REF!*(2-$AS$82)</f>
        <v>#REF!</v>
      </c>
      <c r="BA181" s="8" t="e">
        <f>#REF!*'Emission factors Trucks&amp;Trains'!#REF!*(2-$AS$82)</f>
        <v>#REF!</v>
      </c>
      <c r="BB181" s="8" t="e">
        <f>#REF!*'Emission factors Trucks&amp;Trains'!#REF!*(2-$AS$82)</f>
        <v>#REF!</v>
      </c>
      <c r="BC181" s="8" t="e">
        <f>#REF!*'Emission factors Trucks&amp;Trains'!#REF!*(2-$AS$82)</f>
        <v>#REF!</v>
      </c>
      <c r="BD181" s="8" t="e">
        <f>#REF!*'Emission factors Trucks&amp;Trains'!#REF!*(2-$AS$82)</f>
        <v>#REF!</v>
      </c>
      <c r="BE181" s="8" t="e">
        <f>#REF!*'Emission factors Trucks&amp;Trains'!#REF!*(2-$AS$82)</f>
        <v>#REF!</v>
      </c>
      <c r="BF181" s="8" t="e">
        <f>#REF!*'Emission factors Trucks&amp;Trains'!#REF!*(2-$AS$82)</f>
        <v>#REF!</v>
      </c>
      <c r="BG181" s="9" t="e">
        <f>#REF!*'Emission factors Trucks&amp;Trains'!#REF!*(2-$AS$82)</f>
        <v>#REF!</v>
      </c>
    </row>
    <row r="182" spans="1:59" ht="15" customHeight="1">
      <c r="A182" s="476"/>
      <c r="B182" s="136" t="s">
        <v>278</v>
      </c>
      <c r="C182" s="112" t="s">
        <v>344</v>
      </c>
      <c r="D182" s="142">
        <f>D95*'Emission factors Trucks&amp;Trains'!B12*(2-$AS$82)</f>
        <v>0</v>
      </c>
      <c r="E182" s="142">
        <f>E95*'Emission factors Trucks&amp;Trains'!C12*(2-$AS$82)</f>
        <v>0</v>
      </c>
      <c r="F182" s="142">
        <f>F95*'Emission factors Trucks&amp;Trains'!D12*(2-$AS$82)</f>
        <v>0</v>
      </c>
      <c r="G182" s="142">
        <f>G95*'Emission factors Trucks&amp;Trains'!E12*(2-$AS$82)</f>
        <v>0</v>
      </c>
      <c r="H182" s="142">
        <f>H95*'Emission factors Trucks&amp;Trains'!F12*(2-$AS$82)</f>
        <v>4276951.8025429081</v>
      </c>
      <c r="I182" s="142">
        <f>I95*'Emission factors Trucks&amp;Trains'!G12*(2-$AS$82)</f>
        <v>35121504.225046806</v>
      </c>
      <c r="J182" s="142">
        <f>J95*'Emission factors Trucks&amp;Trains'!H12*(2-$AS$82)</f>
        <v>50633380.118854389</v>
      </c>
      <c r="K182" s="142">
        <f>K95*'Emission factors Trucks&amp;Trains'!I12*(2-$AS$82)</f>
        <v>58018400.832113311</v>
      </c>
      <c r="L182" s="142">
        <f>L95*'Emission factors Trucks&amp;Trains'!J12*(2-$AS$82)</f>
        <v>33698301.410303265</v>
      </c>
      <c r="M182" s="142">
        <f>M95*'Emission factors Trucks&amp;Trains'!K12*(2-$AS$82)</f>
        <v>31495949.021842781</v>
      </c>
      <c r="N182" s="142">
        <f>N95*'Emission factors Trucks&amp;Trains'!L12*(2-$AS$82)</f>
        <v>30766265.891503382</v>
      </c>
      <c r="O182" s="142">
        <f>O95*'Emission factors Trucks&amp;Trains'!M12*(2-$AS$82)</f>
        <v>29530448.979257617</v>
      </c>
      <c r="P182" s="142">
        <f>P95*'Emission factors Trucks&amp;Trains'!N12*(2-$AS$82)</f>
        <v>28773671.435212336</v>
      </c>
      <c r="Q182" s="142">
        <f>Q95*'Emission factors Trucks&amp;Trains'!O12*(2-$AS$82)</f>
        <v>20513091.004918985</v>
      </c>
      <c r="R182" s="142">
        <f>R95*'Emission factors Trucks&amp;Trains'!P12*(2-$AS$82)</f>
        <v>15536722.52531863</v>
      </c>
      <c r="S182" s="142">
        <f>S95*'Emission factors Trucks&amp;Trains'!Q12*(2-$AS$82)</f>
        <v>10366351.312750069</v>
      </c>
      <c r="T182" s="142">
        <f>T95*'Emission factors Trucks&amp;Trains'!R12*(2-$AS$82)</f>
        <v>9908998.2323582359</v>
      </c>
      <c r="U182" s="142">
        <f>U95*'Emission factors Trucks&amp;Trains'!S12*(2-$AS$82)</f>
        <v>9364782.4037741534</v>
      </c>
      <c r="V182" s="142">
        <f>V95*'Emission factors Trucks&amp;Trains'!T12*(2-$AS$82)</f>
        <v>8986264.04541054</v>
      </c>
      <c r="W182" s="142">
        <f>W95*'Emission factors Trucks&amp;Trains'!U12*(2-$AS$82)</f>
        <v>8612180.4507252406</v>
      </c>
      <c r="X182" s="142">
        <f>X95*'Emission factors Trucks&amp;Trains'!V12*(2-$AS$82)</f>
        <v>8215613.3581753112</v>
      </c>
      <c r="Y182" s="142">
        <f>Y95*'Emission factors Trucks&amp;Trains'!W12*(2-$AS$82)</f>
        <v>7896918.3765996657</v>
      </c>
      <c r="Z182" s="142">
        <f>Z95*'Emission factors Trucks&amp;Trains'!X12*(2-$AS$82)</f>
        <v>7571562.3828912331</v>
      </c>
      <c r="AA182" s="142">
        <f>AA95*'Emission factors Trucks&amp;Trains'!Y12*(2-$AS$82)</f>
        <v>7254249.4107197169</v>
      </c>
      <c r="AB182" s="142">
        <f>AB95*'Emission factors Trucks&amp;Trains'!Z12*(2-$AS$82)</f>
        <v>6906184.5828896118</v>
      </c>
      <c r="AF182" s="464"/>
      <c r="AG182" s="136" t="s">
        <v>346</v>
      </c>
      <c r="AH182" s="6" t="s">
        <v>344</v>
      </c>
      <c r="AI182" s="21" t="e">
        <f>#REF!*'Emission factors Trucks&amp;Trains'!#REF!*(2-$AS$82)</f>
        <v>#REF!</v>
      </c>
      <c r="AJ182" s="8" t="e">
        <f>#REF!*'Emission factors Trucks&amp;Trains'!#REF!*(2-$AS$82)</f>
        <v>#REF!</v>
      </c>
      <c r="AK182" s="8" t="e">
        <f>#REF!*'Emission factors Trucks&amp;Trains'!#REF!*(2-$AS$82)</f>
        <v>#REF!</v>
      </c>
      <c r="AL182" s="8" t="e">
        <f>#REF!*'Emission factors Trucks&amp;Trains'!#REF!*(2-$AS$82)</f>
        <v>#REF!</v>
      </c>
      <c r="AM182" s="8" t="e">
        <f>#REF!*'Emission factors Trucks&amp;Trains'!#REF!*(2-$AS$82)</f>
        <v>#REF!</v>
      </c>
      <c r="AN182" s="8" t="e">
        <f>#REF!*'Emission factors Trucks&amp;Trains'!#REF!*(2-$AS$82)</f>
        <v>#REF!</v>
      </c>
      <c r="AO182" s="8" t="e">
        <f>#REF!*'Emission factors Trucks&amp;Trains'!#REF!*(2-$AS$82)</f>
        <v>#REF!</v>
      </c>
      <c r="AP182" s="8" t="e">
        <f>#REF!*'Emission factors Trucks&amp;Trains'!#REF!*(2-$AS$82)</f>
        <v>#REF!</v>
      </c>
      <c r="AQ182" s="8" t="e">
        <f>#REF!*'Emission factors Trucks&amp;Trains'!#REF!*(2-$AS$82)</f>
        <v>#REF!</v>
      </c>
      <c r="AR182" s="8" t="e">
        <f>#REF!*'Emission factors Trucks&amp;Trains'!#REF!*(2-$AS$82)</f>
        <v>#REF!</v>
      </c>
      <c r="AS182" s="8" t="e">
        <f>#REF!*'Emission factors Trucks&amp;Trains'!#REF!*(2-$AS$82)</f>
        <v>#REF!</v>
      </c>
      <c r="AT182" s="8" t="e">
        <f>#REF!*'Emission factors Trucks&amp;Trains'!#REF!*(2-$AS$82)</f>
        <v>#REF!</v>
      </c>
      <c r="AU182" s="8" t="e">
        <f>#REF!*'Emission factors Trucks&amp;Trains'!#REF!*(2-$AS$82)</f>
        <v>#REF!</v>
      </c>
      <c r="AV182" s="8" t="e">
        <f>#REF!*'Emission factors Trucks&amp;Trains'!#REF!*(2-$AS$82)</f>
        <v>#REF!</v>
      </c>
      <c r="AW182" s="8" t="e">
        <f>#REF!*'Emission factors Trucks&amp;Trains'!#REF!*(2-$AS$82)</f>
        <v>#REF!</v>
      </c>
      <c r="AX182" s="8" t="e">
        <f>#REF!*'Emission factors Trucks&amp;Trains'!#REF!*(2-$AS$82)</f>
        <v>#REF!</v>
      </c>
      <c r="AY182" s="8" t="e">
        <f>#REF!*'Emission factors Trucks&amp;Trains'!#REF!*(2-$AS$82)</f>
        <v>#REF!</v>
      </c>
      <c r="AZ182" s="8" t="e">
        <f>#REF!*'Emission factors Trucks&amp;Trains'!#REF!*(2-$AS$82)</f>
        <v>#REF!</v>
      </c>
      <c r="BA182" s="8" t="e">
        <f>#REF!*'Emission factors Trucks&amp;Trains'!#REF!*(2-$AS$82)</f>
        <v>#REF!</v>
      </c>
      <c r="BB182" s="8" t="e">
        <f>#REF!*'Emission factors Trucks&amp;Trains'!#REF!*(2-$AS$82)</f>
        <v>#REF!</v>
      </c>
      <c r="BC182" s="8" t="e">
        <f>#REF!*'Emission factors Trucks&amp;Trains'!#REF!*(2-$AS$82)</f>
        <v>#REF!</v>
      </c>
      <c r="BD182" s="8" t="e">
        <f>#REF!*'Emission factors Trucks&amp;Trains'!#REF!*(2-$AS$82)</f>
        <v>#REF!</v>
      </c>
      <c r="BE182" s="8" t="e">
        <f>#REF!*'Emission factors Trucks&amp;Trains'!#REF!*(2-$AS$82)</f>
        <v>#REF!</v>
      </c>
      <c r="BF182" s="8" t="e">
        <f>#REF!*'Emission factors Trucks&amp;Trains'!#REF!*(2-$AS$82)</f>
        <v>#REF!</v>
      </c>
      <c r="BG182" s="9" t="e">
        <f>#REF!*'Emission factors Trucks&amp;Trains'!#REF!*(2-$AS$82)</f>
        <v>#REF!</v>
      </c>
    </row>
    <row r="183" spans="1:59" ht="15" customHeight="1">
      <c r="A183" s="476"/>
      <c r="B183" s="136" t="s">
        <v>347</v>
      </c>
      <c r="C183" s="112" t="s">
        <v>344</v>
      </c>
      <c r="D183" s="142" t="e">
        <f>D95*'Emission factors Trucks&amp;Trains'!#REF!*(2-$AS$82)</f>
        <v>#REF!</v>
      </c>
      <c r="E183" s="142" t="e">
        <f>E95*'Emission factors Trucks&amp;Trains'!#REF!*(2-$AS$82)</f>
        <v>#REF!</v>
      </c>
      <c r="F183" s="142" t="e">
        <f>F95*'Emission factors Trucks&amp;Trains'!#REF!*(2-$AS$82)</f>
        <v>#REF!</v>
      </c>
      <c r="G183" s="142" t="e">
        <f>G95*'Emission factors Trucks&amp;Trains'!#REF!*(2-$AS$82)</f>
        <v>#REF!</v>
      </c>
      <c r="H183" s="142" t="e">
        <f>H95*'Emission factors Trucks&amp;Trains'!#REF!*(2-$AS$82)</f>
        <v>#REF!</v>
      </c>
      <c r="I183" s="142" t="e">
        <f>I95*'Emission factors Trucks&amp;Trains'!#REF!*(2-$AS$82)</f>
        <v>#REF!</v>
      </c>
      <c r="J183" s="142" t="e">
        <f>J95*'Emission factors Trucks&amp;Trains'!#REF!*(2-$AS$82)</f>
        <v>#REF!</v>
      </c>
      <c r="K183" s="142" t="e">
        <f>K95*'Emission factors Trucks&amp;Trains'!#REF!*(2-$AS$82)</f>
        <v>#REF!</v>
      </c>
      <c r="L183" s="142" t="e">
        <f>L95*'Emission factors Trucks&amp;Trains'!#REF!*(2-$AS$82)</f>
        <v>#REF!</v>
      </c>
      <c r="M183" s="142" t="e">
        <f>M95*'Emission factors Trucks&amp;Trains'!#REF!*(2-$AS$82)</f>
        <v>#REF!</v>
      </c>
      <c r="N183" s="142" t="e">
        <f>N95*'Emission factors Trucks&amp;Trains'!#REF!*(2-$AS$82)</f>
        <v>#REF!</v>
      </c>
      <c r="O183" s="142" t="e">
        <f>O95*'Emission factors Trucks&amp;Trains'!#REF!*(2-$AS$82)</f>
        <v>#REF!</v>
      </c>
      <c r="P183" s="142" t="e">
        <f>P95*'Emission factors Trucks&amp;Trains'!#REF!*(2-$AS$82)</f>
        <v>#REF!</v>
      </c>
      <c r="Q183" s="142" t="e">
        <f>Q95*'Emission factors Trucks&amp;Trains'!#REF!*(2-$AS$82)</f>
        <v>#REF!</v>
      </c>
      <c r="R183" s="142" t="e">
        <f>R95*'Emission factors Trucks&amp;Trains'!#REF!*(2-$AS$82)</f>
        <v>#REF!</v>
      </c>
      <c r="S183" s="142" t="e">
        <f>S95*'Emission factors Trucks&amp;Trains'!#REF!*(2-$AS$82)</f>
        <v>#REF!</v>
      </c>
      <c r="T183" s="142" t="e">
        <f>T95*'Emission factors Trucks&amp;Trains'!#REF!*(2-$AS$82)</f>
        <v>#REF!</v>
      </c>
      <c r="U183" s="142" t="e">
        <f>U95*'Emission factors Trucks&amp;Trains'!#REF!*(2-$AS$82)</f>
        <v>#REF!</v>
      </c>
      <c r="V183" s="142" t="e">
        <f>V95*'Emission factors Trucks&amp;Trains'!#REF!*(2-$AS$82)</f>
        <v>#REF!</v>
      </c>
      <c r="W183" s="142" t="e">
        <f>W95*'Emission factors Trucks&amp;Trains'!#REF!*(2-$AS$82)</f>
        <v>#REF!</v>
      </c>
      <c r="X183" s="142" t="e">
        <f>X95*'Emission factors Trucks&amp;Trains'!#REF!*(2-$AS$82)</f>
        <v>#REF!</v>
      </c>
      <c r="Y183" s="142" t="e">
        <f>Y95*'Emission factors Trucks&amp;Trains'!#REF!*(2-$AS$82)</f>
        <v>#REF!</v>
      </c>
      <c r="Z183" s="142" t="e">
        <f>Z95*'Emission factors Trucks&amp;Trains'!#REF!*(2-$AS$82)</f>
        <v>#REF!</v>
      </c>
      <c r="AA183" s="142" t="e">
        <f>AA95*'Emission factors Trucks&amp;Trains'!#REF!*(2-$AS$82)</f>
        <v>#REF!</v>
      </c>
      <c r="AB183" s="142" t="e">
        <f>AB95*'Emission factors Trucks&amp;Trains'!#REF!*(2-$AS$82)</f>
        <v>#REF!</v>
      </c>
      <c r="AF183" s="464"/>
      <c r="AG183" s="136" t="s">
        <v>278</v>
      </c>
      <c r="AH183" s="6" t="s">
        <v>344</v>
      </c>
      <c r="AI183" s="21">
        <f>AI91*'Emission factors Trucks&amp;Trains'!B12*(2-$AS$82)</f>
        <v>0</v>
      </c>
      <c r="AJ183" s="21">
        <f>AJ91*'Emission factors Trucks&amp;Trains'!C12*(2-$AS$82)</f>
        <v>0</v>
      </c>
      <c r="AK183" s="21">
        <f>AK91*'Emission factors Trucks&amp;Trains'!D12*(2-$AS$82)</f>
        <v>0</v>
      </c>
      <c r="AL183" s="21">
        <f>AL91*'Emission factors Trucks&amp;Trains'!E12*(2-$AS$82)</f>
        <v>0</v>
      </c>
      <c r="AM183" s="21">
        <f>AM91*'Emission factors Trucks&amp;Trains'!F12*(2-$AS$82)</f>
        <v>0</v>
      </c>
      <c r="AN183" s="21">
        <f>AN91*'Emission factors Trucks&amp;Trains'!G12*(2-$AS$82)</f>
        <v>0</v>
      </c>
      <c r="AO183" s="21">
        <f>AO91*'Emission factors Trucks&amp;Trains'!H12*(2-$AS$82)</f>
        <v>0</v>
      </c>
      <c r="AP183" s="21">
        <f>AP91*'Emission factors Trucks&amp;Trains'!I12*(2-$AS$82)</f>
        <v>0</v>
      </c>
      <c r="AQ183" s="21">
        <f>AQ91*'Emission factors Trucks&amp;Trains'!J12*(2-$AS$82)</f>
        <v>0</v>
      </c>
      <c r="AR183" s="21">
        <f>AR91*'Emission factors Trucks&amp;Trains'!K12*(2-$AS$82)</f>
        <v>0</v>
      </c>
      <c r="AS183" s="21">
        <f>AS91*'Emission factors Trucks&amp;Trains'!L12*(2-$AS$82)</f>
        <v>0</v>
      </c>
      <c r="AT183" s="21">
        <f>AT91*'Emission factors Trucks&amp;Trains'!M12*(2-$AS$82)</f>
        <v>0</v>
      </c>
      <c r="AU183" s="21">
        <f>AU91*'Emission factors Trucks&amp;Trains'!N12*(2-$AS$82)</f>
        <v>0</v>
      </c>
      <c r="AV183" s="21">
        <f>AV91*'Emission factors Trucks&amp;Trains'!O12*(2-$AS$82)</f>
        <v>0</v>
      </c>
      <c r="AW183" s="21">
        <f>AW91*'Emission factors Trucks&amp;Trains'!P12*(2-$AS$82)</f>
        <v>0</v>
      </c>
      <c r="AX183" s="21">
        <f>AX91*'Emission factors Trucks&amp;Trains'!Q12*(2-$AS$82)</f>
        <v>0</v>
      </c>
      <c r="AY183" s="21">
        <f>AY91*'Emission factors Trucks&amp;Trains'!R12*(2-$AS$82)</f>
        <v>0</v>
      </c>
      <c r="AZ183" s="21">
        <f>AZ91*'Emission factors Trucks&amp;Trains'!S12*(2-$AS$82)</f>
        <v>0</v>
      </c>
      <c r="BA183" s="21">
        <f>BA91*'Emission factors Trucks&amp;Trains'!T12*(2-$AS$82)</f>
        <v>0</v>
      </c>
      <c r="BB183" s="21">
        <f>BB91*'Emission factors Trucks&amp;Trains'!U12*(2-$AS$82)</f>
        <v>0</v>
      </c>
      <c r="BC183" s="21">
        <f>BC91*'Emission factors Trucks&amp;Trains'!V12*(2-$AS$82)</f>
        <v>0</v>
      </c>
      <c r="BD183" s="21">
        <f>BD91*'Emission factors Trucks&amp;Trains'!W12*(2-$AS$82)</f>
        <v>0</v>
      </c>
      <c r="BE183" s="21">
        <f>BE91*'Emission factors Trucks&amp;Trains'!X12*(2-$AS$82)</f>
        <v>0</v>
      </c>
      <c r="BF183" s="21">
        <f>BF91*'Emission factors Trucks&amp;Trains'!Y12*(2-$AS$82)</f>
        <v>0</v>
      </c>
      <c r="BG183" s="21">
        <f>BG91*'Emission factors Trucks&amp;Trains'!Z12*(2-$AS$82)</f>
        <v>0</v>
      </c>
    </row>
    <row r="184" spans="1:59" ht="15" customHeight="1">
      <c r="A184" s="476"/>
      <c r="B184" s="136" t="s">
        <v>348</v>
      </c>
      <c r="C184" s="112" t="s">
        <v>344</v>
      </c>
      <c r="D184" s="142" t="e">
        <f>D95*'Emission factors Trucks&amp;Trains'!#REF!*(2-$AS$82)</f>
        <v>#REF!</v>
      </c>
      <c r="E184" s="142" t="e">
        <f>E95*'Emission factors Trucks&amp;Trains'!#REF!*(2-$AS$82)</f>
        <v>#REF!</v>
      </c>
      <c r="F184" s="142" t="e">
        <f>F95*'Emission factors Trucks&amp;Trains'!#REF!*(2-$AS$82)</f>
        <v>#REF!</v>
      </c>
      <c r="G184" s="142" t="e">
        <f>G95*'Emission factors Trucks&amp;Trains'!#REF!*(2-$AS$82)</f>
        <v>#REF!</v>
      </c>
      <c r="H184" s="142" t="e">
        <f>H95*'Emission factors Trucks&amp;Trains'!#REF!*(2-$AS$82)</f>
        <v>#REF!</v>
      </c>
      <c r="I184" s="142" t="e">
        <f>I95*'Emission factors Trucks&amp;Trains'!#REF!*(2-$AS$82)</f>
        <v>#REF!</v>
      </c>
      <c r="J184" s="142" t="e">
        <f>J95*'Emission factors Trucks&amp;Trains'!#REF!*(2-$AS$82)</f>
        <v>#REF!</v>
      </c>
      <c r="K184" s="142" t="e">
        <f>K95*'Emission factors Trucks&amp;Trains'!#REF!*(2-$AS$82)</f>
        <v>#REF!</v>
      </c>
      <c r="L184" s="142" t="e">
        <f>L95*'Emission factors Trucks&amp;Trains'!#REF!*(2-$AS$82)</f>
        <v>#REF!</v>
      </c>
      <c r="M184" s="142" t="e">
        <f>M95*'Emission factors Trucks&amp;Trains'!#REF!*(2-$AS$82)</f>
        <v>#REF!</v>
      </c>
      <c r="N184" s="142" t="e">
        <f>N95*'Emission factors Trucks&amp;Trains'!#REF!*(2-$AS$82)</f>
        <v>#REF!</v>
      </c>
      <c r="O184" s="142" t="e">
        <f>O95*'Emission factors Trucks&amp;Trains'!#REF!*(2-$AS$82)</f>
        <v>#REF!</v>
      </c>
      <c r="P184" s="142" t="e">
        <f>P95*'Emission factors Trucks&amp;Trains'!#REF!*(2-$AS$82)</f>
        <v>#REF!</v>
      </c>
      <c r="Q184" s="142" t="e">
        <f>Q95*'Emission factors Trucks&amp;Trains'!#REF!*(2-$AS$82)</f>
        <v>#REF!</v>
      </c>
      <c r="R184" s="142" t="e">
        <f>R95*'Emission factors Trucks&amp;Trains'!#REF!*(2-$AS$82)</f>
        <v>#REF!</v>
      </c>
      <c r="S184" s="142" t="e">
        <f>S95*'Emission factors Trucks&amp;Trains'!#REF!*(2-$AS$82)</f>
        <v>#REF!</v>
      </c>
      <c r="T184" s="142" t="e">
        <f>T95*'Emission factors Trucks&amp;Trains'!#REF!*(2-$AS$82)</f>
        <v>#REF!</v>
      </c>
      <c r="U184" s="142" t="e">
        <f>U95*'Emission factors Trucks&amp;Trains'!#REF!*(2-$AS$82)</f>
        <v>#REF!</v>
      </c>
      <c r="V184" s="142" t="e">
        <f>V95*'Emission factors Trucks&amp;Trains'!#REF!*(2-$AS$82)</f>
        <v>#REF!</v>
      </c>
      <c r="W184" s="142" t="e">
        <f>W95*'Emission factors Trucks&amp;Trains'!#REF!*(2-$AS$82)</f>
        <v>#REF!</v>
      </c>
      <c r="X184" s="142" t="e">
        <f>X95*'Emission factors Trucks&amp;Trains'!#REF!*(2-$AS$82)</f>
        <v>#REF!</v>
      </c>
      <c r="Y184" s="142" t="e">
        <f>Y95*'Emission factors Trucks&amp;Trains'!#REF!*(2-$AS$82)</f>
        <v>#REF!</v>
      </c>
      <c r="Z184" s="142" t="e">
        <f>Z95*'Emission factors Trucks&amp;Trains'!#REF!*(2-$AS$82)</f>
        <v>#REF!</v>
      </c>
      <c r="AA184" s="142" t="e">
        <f>AA95*'Emission factors Trucks&amp;Trains'!#REF!*(2-$AS$82)</f>
        <v>#REF!</v>
      </c>
      <c r="AB184" s="142" t="e">
        <f>AB95*'Emission factors Trucks&amp;Trains'!#REF!*(2-$AS$82)</f>
        <v>#REF!</v>
      </c>
      <c r="AF184" s="464"/>
      <c r="AG184" s="136" t="s">
        <v>347</v>
      </c>
      <c r="AH184" s="6" t="s">
        <v>344</v>
      </c>
      <c r="AI184" s="21" t="e">
        <f>#REF!*'Emission factors Trucks&amp;Trains'!#REF!*(2-$AS$82)</f>
        <v>#REF!</v>
      </c>
      <c r="AJ184" s="8" t="e">
        <f>#REF!*'Emission factors Trucks&amp;Trains'!#REF!*(2-$AS$82)</f>
        <v>#REF!</v>
      </c>
      <c r="AK184" s="8" t="e">
        <f>#REF!*'Emission factors Trucks&amp;Trains'!#REF!*(2-$AS$82)</f>
        <v>#REF!</v>
      </c>
      <c r="AL184" s="8" t="e">
        <f>#REF!*'Emission factors Trucks&amp;Trains'!#REF!*(2-$AS$82)</f>
        <v>#REF!</v>
      </c>
      <c r="AM184" s="8" t="e">
        <f>#REF!*'Emission factors Trucks&amp;Trains'!#REF!*(2-$AS$82)</f>
        <v>#REF!</v>
      </c>
      <c r="AN184" s="8" t="e">
        <f>#REF!*'Emission factors Trucks&amp;Trains'!#REF!*(2-$AS$82)</f>
        <v>#REF!</v>
      </c>
      <c r="AO184" s="8" t="e">
        <f>#REF!*'Emission factors Trucks&amp;Trains'!#REF!*(2-$AS$82)</f>
        <v>#REF!</v>
      </c>
      <c r="AP184" s="8" t="e">
        <f>#REF!*'Emission factors Trucks&amp;Trains'!#REF!*(2-$AS$82)</f>
        <v>#REF!</v>
      </c>
      <c r="AQ184" s="8" t="e">
        <f>#REF!*'Emission factors Trucks&amp;Trains'!#REF!*(2-$AS$82)</f>
        <v>#REF!</v>
      </c>
      <c r="AR184" s="8" t="e">
        <f>#REF!*'Emission factors Trucks&amp;Trains'!#REF!*(2-$AS$82)</f>
        <v>#REF!</v>
      </c>
      <c r="AS184" s="8" t="e">
        <f>#REF!*'Emission factors Trucks&amp;Trains'!#REF!*(2-$AS$82)</f>
        <v>#REF!</v>
      </c>
      <c r="AT184" s="8" t="e">
        <f>#REF!*'Emission factors Trucks&amp;Trains'!#REF!*(2-$AS$82)</f>
        <v>#REF!</v>
      </c>
      <c r="AU184" s="8" t="e">
        <f>#REF!*'Emission factors Trucks&amp;Trains'!#REF!*(2-$AS$82)</f>
        <v>#REF!</v>
      </c>
      <c r="AV184" s="8" t="e">
        <f>#REF!*'Emission factors Trucks&amp;Trains'!#REF!*(2-$AS$82)</f>
        <v>#REF!</v>
      </c>
      <c r="AW184" s="8" t="e">
        <f>#REF!*'Emission factors Trucks&amp;Trains'!#REF!*(2-$AS$82)</f>
        <v>#REF!</v>
      </c>
      <c r="AX184" s="8" t="e">
        <f>#REF!*'Emission factors Trucks&amp;Trains'!#REF!*(2-$AS$82)</f>
        <v>#REF!</v>
      </c>
      <c r="AY184" s="8" t="e">
        <f>#REF!*'Emission factors Trucks&amp;Trains'!#REF!*(2-$AS$82)</f>
        <v>#REF!</v>
      </c>
      <c r="AZ184" s="8" t="e">
        <f>#REF!*'Emission factors Trucks&amp;Trains'!#REF!*(2-$AS$82)</f>
        <v>#REF!</v>
      </c>
      <c r="BA184" s="8" t="e">
        <f>#REF!*'Emission factors Trucks&amp;Trains'!#REF!*(2-$AS$82)</f>
        <v>#REF!</v>
      </c>
      <c r="BB184" s="8" t="e">
        <f>#REF!*'Emission factors Trucks&amp;Trains'!#REF!*(2-$AS$82)</f>
        <v>#REF!</v>
      </c>
      <c r="BC184" s="8" t="e">
        <f>#REF!*'Emission factors Trucks&amp;Trains'!#REF!*(2-$AS$82)</f>
        <v>#REF!</v>
      </c>
      <c r="BD184" s="8" t="e">
        <f>#REF!*'Emission factors Trucks&amp;Trains'!#REF!*(2-$AS$82)</f>
        <v>#REF!</v>
      </c>
      <c r="BE184" s="8" t="e">
        <f>#REF!*'Emission factors Trucks&amp;Trains'!#REF!*(2-$AS$82)</f>
        <v>#REF!</v>
      </c>
      <c r="BF184" s="8" t="e">
        <f>#REF!*'Emission factors Trucks&amp;Trains'!#REF!*(2-$AS$82)</f>
        <v>#REF!</v>
      </c>
      <c r="BG184" s="9" t="e">
        <f>#REF!*'Emission factors Trucks&amp;Trains'!#REF!*(2-$AS$82)</f>
        <v>#REF!</v>
      </c>
    </row>
    <row r="185" spans="1:59" ht="15" customHeight="1">
      <c r="A185" s="476"/>
      <c r="B185" s="136" t="s">
        <v>349</v>
      </c>
      <c r="C185" s="112" t="s">
        <v>344</v>
      </c>
      <c r="D185" s="142" t="e">
        <f>D95*'Emission factors Trucks&amp;Trains'!#REF!*(2-$AS$82)</f>
        <v>#REF!</v>
      </c>
      <c r="E185" s="142" t="e">
        <f>E95*'Emission factors Trucks&amp;Trains'!#REF!*(2-$AS$82)</f>
        <v>#REF!</v>
      </c>
      <c r="F185" s="142" t="e">
        <f>F95*'Emission factors Trucks&amp;Trains'!#REF!*(2-$AS$82)</f>
        <v>#REF!</v>
      </c>
      <c r="G185" s="142" t="e">
        <f>G95*'Emission factors Trucks&amp;Trains'!#REF!*(2-$AS$82)</f>
        <v>#REF!</v>
      </c>
      <c r="H185" s="142" t="e">
        <f>H95*'Emission factors Trucks&amp;Trains'!#REF!*(2-$AS$82)</f>
        <v>#REF!</v>
      </c>
      <c r="I185" s="142" t="e">
        <f>I95*'Emission factors Trucks&amp;Trains'!#REF!*(2-$AS$82)</f>
        <v>#REF!</v>
      </c>
      <c r="J185" s="142" t="e">
        <f>J95*'Emission factors Trucks&amp;Trains'!#REF!*(2-$AS$82)</f>
        <v>#REF!</v>
      </c>
      <c r="K185" s="142" t="e">
        <f>K95*'Emission factors Trucks&amp;Trains'!#REF!*(2-$AS$82)</f>
        <v>#REF!</v>
      </c>
      <c r="L185" s="142" t="e">
        <f>L95*'Emission factors Trucks&amp;Trains'!#REF!*(2-$AS$82)</f>
        <v>#REF!</v>
      </c>
      <c r="M185" s="142" t="e">
        <f>M95*'Emission factors Trucks&amp;Trains'!#REF!*(2-$AS$82)</f>
        <v>#REF!</v>
      </c>
      <c r="N185" s="142" t="e">
        <f>N95*'Emission factors Trucks&amp;Trains'!#REF!*(2-$AS$82)</f>
        <v>#REF!</v>
      </c>
      <c r="O185" s="142" t="e">
        <f>O95*'Emission factors Trucks&amp;Trains'!#REF!*(2-$AS$82)</f>
        <v>#REF!</v>
      </c>
      <c r="P185" s="142" t="e">
        <f>P95*'Emission factors Trucks&amp;Trains'!#REF!*(2-$AS$82)</f>
        <v>#REF!</v>
      </c>
      <c r="Q185" s="142" t="e">
        <f>Q95*'Emission factors Trucks&amp;Trains'!#REF!*(2-$AS$82)</f>
        <v>#REF!</v>
      </c>
      <c r="R185" s="142" t="e">
        <f>R95*'Emission factors Trucks&amp;Trains'!#REF!*(2-$AS$82)</f>
        <v>#REF!</v>
      </c>
      <c r="S185" s="142" t="e">
        <f>S95*'Emission factors Trucks&amp;Trains'!#REF!*(2-$AS$82)</f>
        <v>#REF!</v>
      </c>
      <c r="T185" s="142" t="e">
        <f>T95*'Emission factors Trucks&amp;Trains'!#REF!*(2-$AS$82)</f>
        <v>#REF!</v>
      </c>
      <c r="U185" s="142" t="e">
        <f>U95*'Emission factors Trucks&amp;Trains'!#REF!*(2-$AS$82)</f>
        <v>#REF!</v>
      </c>
      <c r="V185" s="142" t="e">
        <f>V95*'Emission factors Trucks&amp;Trains'!#REF!*(2-$AS$82)</f>
        <v>#REF!</v>
      </c>
      <c r="W185" s="142" t="e">
        <f>W95*'Emission factors Trucks&amp;Trains'!#REF!*(2-$AS$82)</f>
        <v>#REF!</v>
      </c>
      <c r="X185" s="142" t="e">
        <f>X95*'Emission factors Trucks&amp;Trains'!#REF!*(2-$AS$82)</f>
        <v>#REF!</v>
      </c>
      <c r="Y185" s="142" t="e">
        <f>Y95*'Emission factors Trucks&amp;Trains'!#REF!*(2-$AS$82)</f>
        <v>#REF!</v>
      </c>
      <c r="Z185" s="142" t="e">
        <f>Z95*'Emission factors Trucks&amp;Trains'!#REF!*(2-$AS$82)</f>
        <v>#REF!</v>
      </c>
      <c r="AA185" s="142" t="e">
        <f>AA95*'Emission factors Trucks&amp;Trains'!#REF!*(2-$AS$82)</f>
        <v>#REF!</v>
      </c>
      <c r="AB185" s="142" t="e">
        <f>AB95*'Emission factors Trucks&amp;Trains'!#REF!*(2-$AS$82)</f>
        <v>#REF!</v>
      </c>
      <c r="AF185" s="464"/>
      <c r="AG185" s="136" t="s">
        <v>348</v>
      </c>
      <c r="AH185" s="6" t="s">
        <v>344</v>
      </c>
      <c r="AI185" s="21" t="e">
        <f>#REF!*'Emission factors Trucks&amp;Trains'!#REF!*(2-$AS$82)</f>
        <v>#REF!</v>
      </c>
      <c r="AJ185" s="8" t="e">
        <f>#REF!*'Emission factors Trucks&amp;Trains'!#REF!*(2-$AS$82)</f>
        <v>#REF!</v>
      </c>
      <c r="AK185" s="8" t="e">
        <f>#REF!*'Emission factors Trucks&amp;Trains'!#REF!*(2-$AS$82)</f>
        <v>#REF!</v>
      </c>
      <c r="AL185" s="8" t="e">
        <f>#REF!*'Emission factors Trucks&amp;Trains'!#REF!*(2-$AS$82)</f>
        <v>#REF!</v>
      </c>
      <c r="AM185" s="8" t="e">
        <f>#REF!*'Emission factors Trucks&amp;Trains'!#REF!*(2-$AS$82)</f>
        <v>#REF!</v>
      </c>
      <c r="AN185" s="8" t="e">
        <f>#REF!*'Emission factors Trucks&amp;Trains'!#REF!*(2-$AS$82)</f>
        <v>#REF!</v>
      </c>
      <c r="AO185" s="8" t="e">
        <f>#REF!*'Emission factors Trucks&amp;Trains'!#REF!*(2-$AS$82)</f>
        <v>#REF!</v>
      </c>
      <c r="AP185" s="8" t="e">
        <f>#REF!*'Emission factors Trucks&amp;Trains'!#REF!*(2-$AS$82)</f>
        <v>#REF!</v>
      </c>
      <c r="AQ185" s="8" t="e">
        <f>#REF!*'Emission factors Trucks&amp;Trains'!#REF!*(2-$AS$82)</f>
        <v>#REF!</v>
      </c>
      <c r="AR185" s="8" t="e">
        <f>#REF!*'Emission factors Trucks&amp;Trains'!#REF!*(2-$AS$82)</f>
        <v>#REF!</v>
      </c>
      <c r="AS185" s="8" t="e">
        <f>#REF!*'Emission factors Trucks&amp;Trains'!#REF!*(2-$AS$82)</f>
        <v>#REF!</v>
      </c>
      <c r="AT185" s="8" t="e">
        <f>#REF!*'Emission factors Trucks&amp;Trains'!#REF!*(2-$AS$82)</f>
        <v>#REF!</v>
      </c>
      <c r="AU185" s="8" t="e">
        <f>#REF!*'Emission factors Trucks&amp;Trains'!#REF!*(2-$AS$82)</f>
        <v>#REF!</v>
      </c>
      <c r="AV185" s="8" t="e">
        <f>#REF!*'Emission factors Trucks&amp;Trains'!#REF!*(2-$AS$82)</f>
        <v>#REF!</v>
      </c>
      <c r="AW185" s="8" t="e">
        <f>#REF!*'Emission factors Trucks&amp;Trains'!#REF!*(2-$AS$82)</f>
        <v>#REF!</v>
      </c>
      <c r="AX185" s="8" t="e">
        <f>#REF!*'Emission factors Trucks&amp;Trains'!#REF!*(2-$AS$82)</f>
        <v>#REF!</v>
      </c>
      <c r="AY185" s="8" t="e">
        <f>#REF!*'Emission factors Trucks&amp;Trains'!#REF!*(2-$AS$82)</f>
        <v>#REF!</v>
      </c>
      <c r="AZ185" s="8" t="e">
        <f>#REF!*'Emission factors Trucks&amp;Trains'!#REF!*(2-$AS$82)</f>
        <v>#REF!</v>
      </c>
      <c r="BA185" s="8" t="e">
        <f>#REF!*'Emission factors Trucks&amp;Trains'!#REF!*(2-$AS$82)</f>
        <v>#REF!</v>
      </c>
      <c r="BB185" s="8" t="e">
        <f>#REF!*'Emission factors Trucks&amp;Trains'!#REF!*(2-$AS$82)</f>
        <v>#REF!</v>
      </c>
      <c r="BC185" s="8" t="e">
        <f>#REF!*'Emission factors Trucks&amp;Trains'!#REF!*(2-$AS$82)</f>
        <v>#REF!</v>
      </c>
      <c r="BD185" s="8" t="e">
        <f>#REF!*'Emission factors Trucks&amp;Trains'!#REF!*(2-$AS$82)</f>
        <v>#REF!</v>
      </c>
      <c r="BE185" s="8" t="e">
        <f>#REF!*'Emission factors Trucks&amp;Trains'!#REF!*(2-$AS$82)</f>
        <v>#REF!</v>
      </c>
      <c r="BF185" s="8" t="e">
        <f>#REF!*'Emission factors Trucks&amp;Trains'!#REF!*(2-$AS$82)</f>
        <v>#REF!</v>
      </c>
      <c r="BG185" s="9" t="e">
        <f>#REF!*'Emission factors Trucks&amp;Trains'!#REF!*(2-$AS$82)</f>
        <v>#REF!</v>
      </c>
    </row>
    <row r="186" spans="1:59" ht="15" customHeight="1">
      <c r="A186" s="476"/>
      <c r="B186" s="137" t="s">
        <v>246</v>
      </c>
      <c r="C186" s="138" t="s">
        <v>344</v>
      </c>
      <c r="D186" s="142">
        <f>D95*'Emission factors Trucks&amp;Trains'!B13*(2-$AS$82)</f>
        <v>0</v>
      </c>
      <c r="E186" s="142">
        <f>E95*'Emission factors Trucks&amp;Trains'!C13*(2-$AS$82)</f>
        <v>0</v>
      </c>
      <c r="F186" s="142">
        <f>F95*'Emission factors Trucks&amp;Trains'!D13*(2-$AS$82)</f>
        <v>0</v>
      </c>
      <c r="G186" s="142">
        <f>G95*'Emission factors Trucks&amp;Trains'!E13*(2-$AS$82)</f>
        <v>0</v>
      </c>
      <c r="H186" s="142">
        <f>H95*'Emission factors Trucks&amp;Trains'!F13*(2-$AS$82)</f>
        <v>89196.332921570764</v>
      </c>
      <c r="I186" s="142">
        <f>I95*'Emission factors Trucks&amp;Trains'!G13*(2-$AS$82)</f>
        <v>724247.32347999839</v>
      </c>
      <c r="J186" s="142">
        <f>J95*'Emission factors Trucks&amp;Trains'!H13*(2-$AS$82)</f>
        <v>1031436.8355753047</v>
      </c>
      <c r="K186" s="142">
        <f>K95*'Emission factors Trucks&amp;Trains'!I13*(2-$AS$82)</f>
        <v>1170175.0654933832</v>
      </c>
      <c r="L186" s="142">
        <f>L95*'Emission factors Trucks&amp;Trains'!J13*(2-$AS$82)</f>
        <v>494301.45306093292</v>
      </c>
      <c r="M186" s="142">
        <f>M95*'Emission factors Trucks&amp;Trains'!K13*(2-$AS$82)</f>
        <v>458157.64945503586</v>
      </c>
      <c r="N186" s="142">
        <f>N95*'Emission factors Trucks&amp;Trains'!L13*(2-$AS$82)</f>
        <v>446346.9702122056</v>
      </c>
      <c r="O186" s="142">
        <f>O95*'Emission factors Trucks&amp;Trains'!M13*(2-$AS$82)</f>
        <v>427256.47996882134</v>
      </c>
      <c r="P186" s="142">
        <f>P95*'Emission factors Trucks&amp;Trains'!N13*(2-$AS$82)</f>
        <v>415338.82183500839</v>
      </c>
      <c r="Q186" s="142">
        <f>Q95*'Emission factors Trucks&amp;Trains'!O13*(2-$AS$82)</f>
        <v>292996.20637962222</v>
      </c>
      <c r="R186" s="142">
        <f>R95*'Emission factors Trucks&amp;Trains'!P13*(2-$AS$82)</f>
        <v>219474.00919849845</v>
      </c>
      <c r="S186" s="142">
        <f>S95*'Emission factors Trucks&amp;Trains'!Q13*(2-$AS$82)</f>
        <v>143055.64811595096</v>
      </c>
      <c r="T186" s="142">
        <f>T95*'Emission factors Trucks&amp;Trains'!R13*(2-$AS$82)</f>
        <v>136744.17560654363</v>
      </c>
      <c r="U186" s="142">
        <f>U95*'Emission factors Trucks&amp;Trains'!S13*(2-$AS$82)</f>
        <v>129233.9971720833</v>
      </c>
      <c r="V186" s="142">
        <f>V95*'Emission factors Trucks&amp;Trains'!T13*(2-$AS$82)</f>
        <v>124010.44382666548</v>
      </c>
      <c r="W186" s="142">
        <f>W95*'Emission factors Trucks&amp;Trains'!U13*(2-$AS$82)</f>
        <v>118848.09022000832</v>
      </c>
      <c r="X186" s="142">
        <f>X95*'Emission factors Trucks&amp;Trains'!V13*(2-$AS$82)</f>
        <v>113375.46434281928</v>
      </c>
      <c r="Y186" s="142">
        <f>Y95*'Emission factors Trucks&amp;Trains'!W13*(2-$AS$82)</f>
        <v>108977.47359707541</v>
      </c>
      <c r="Z186" s="142">
        <f>Z95*'Emission factors Trucks&amp;Trains'!X13*(2-$AS$82)</f>
        <v>104487.56088389904</v>
      </c>
      <c r="AA186" s="142">
        <f>AA95*'Emission factors Trucks&amp;Trains'!Y13*(2-$AS$82)</f>
        <v>100108.64186793208</v>
      </c>
      <c r="AB186" s="142">
        <f>AB95*'Emission factors Trucks&amp;Trains'!Z13*(2-$AS$82)</f>
        <v>95305.347243876648</v>
      </c>
      <c r="AF186" s="464"/>
      <c r="AG186" s="136" t="s">
        <v>349</v>
      </c>
      <c r="AH186" s="6" t="s">
        <v>344</v>
      </c>
      <c r="AI186" s="21" t="e">
        <f>#REF!*'Emission factors Trucks&amp;Trains'!#REF!*(2-$AS$82)</f>
        <v>#REF!</v>
      </c>
      <c r="AJ186" s="8" t="e">
        <f>#REF!*'Emission factors Trucks&amp;Trains'!#REF!*(2-$AS$82)</f>
        <v>#REF!</v>
      </c>
      <c r="AK186" s="8" t="e">
        <f>#REF!*'Emission factors Trucks&amp;Trains'!#REF!*(2-$AS$82)</f>
        <v>#REF!</v>
      </c>
      <c r="AL186" s="8" t="e">
        <f>#REF!*'Emission factors Trucks&amp;Trains'!#REF!*(2-$AS$82)</f>
        <v>#REF!</v>
      </c>
      <c r="AM186" s="8" t="e">
        <f>#REF!*'Emission factors Trucks&amp;Trains'!#REF!*(2-$AS$82)</f>
        <v>#REF!</v>
      </c>
      <c r="AN186" s="8" t="e">
        <f>#REF!*'Emission factors Trucks&amp;Trains'!#REF!*(2-$AS$82)</f>
        <v>#REF!</v>
      </c>
      <c r="AO186" s="8" t="e">
        <f>#REF!*'Emission factors Trucks&amp;Trains'!#REF!*(2-$AS$82)</f>
        <v>#REF!</v>
      </c>
      <c r="AP186" s="8" t="e">
        <f>#REF!*'Emission factors Trucks&amp;Trains'!#REF!*(2-$AS$82)</f>
        <v>#REF!</v>
      </c>
      <c r="AQ186" s="8" t="e">
        <f>#REF!*'Emission factors Trucks&amp;Trains'!#REF!*(2-$AS$82)</f>
        <v>#REF!</v>
      </c>
      <c r="AR186" s="8" t="e">
        <f>#REF!*'Emission factors Trucks&amp;Trains'!#REF!*(2-$AS$82)</f>
        <v>#REF!</v>
      </c>
      <c r="AS186" s="8" t="e">
        <f>#REF!*'Emission factors Trucks&amp;Trains'!#REF!*(2-$AS$82)</f>
        <v>#REF!</v>
      </c>
      <c r="AT186" s="8" t="e">
        <f>#REF!*'Emission factors Trucks&amp;Trains'!#REF!*(2-$AS$82)</f>
        <v>#REF!</v>
      </c>
      <c r="AU186" s="8" t="e">
        <f>#REF!*'Emission factors Trucks&amp;Trains'!#REF!*(2-$AS$82)</f>
        <v>#REF!</v>
      </c>
      <c r="AV186" s="8" t="e">
        <f>#REF!*'Emission factors Trucks&amp;Trains'!#REF!*(2-$AS$82)</f>
        <v>#REF!</v>
      </c>
      <c r="AW186" s="8" t="e">
        <f>#REF!*'Emission factors Trucks&amp;Trains'!#REF!*(2-$AS$82)</f>
        <v>#REF!</v>
      </c>
      <c r="AX186" s="8" t="e">
        <f>#REF!*'Emission factors Trucks&amp;Trains'!#REF!*(2-$AS$82)</f>
        <v>#REF!</v>
      </c>
      <c r="AY186" s="8" t="e">
        <f>#REF!*'Emission factors Trucks&amp;Trains'!#REF!*(2-$AS$82)</f>
        <v>#REF!</v>
      </c>
      <c r="AZ186" s="8" t="e">
        <f>#REF!*'Emission factors Trucks&amp;Trains'!#REF!*(2-$AS$82)</f>
        <v>#REF!</v>
      </c>
      <c r="BA186" s="8" t="e">
        <f>#REF!*'Emission factors Trucks&amp;Trains'!#REF!*(2-$AS$82)</f>
        <v>#REF!</v>
      </c>
      <c r="BB186" s="8" t="e">
        <f>#REF!*'Emission factors Trucks&amp;Trains'!#REF!*(2-$AS$82)</f>
        <v>#REF!</v>
      </c>
      <c r="BC186" s="8" t="e">
        <f>#REF!*'Emission factors Trucks&amp;Trains'!#REF!*(2-$AS$82)</f>
        <v>#REF!</v>
      </c>
      <c r="BD186" s="8" t="e">
        <f>#REF!*'Emission factors Trucks&amp;Trains'!#REF!*(2-$AS$82)</f>
        <v>#REF!</v>
      </c>
      <c r="BE186" s="8" t="e">
        <f>#REF!*'Emission factors Trucks&amp;Trains'!#REF!*(2-$AS$82)</f>
        <v>#REF!</v>
      </c>
      <c r="BF186" s="8" t="e">
        <f>#REF!*'Emission factors Trucks&amp;Trains'!#REF!*(2-$AS$82)</f>
        <v>#REF!</v>
      </c>
      <c r="BG186" s="9" t="e">
        <f>#REF!*'Emission factors Trucks&amp;Trains'!#REF!*(2-$AS$82)</f>
        <v>#REF!</v>
      </c>
    </row>
    <row r="187" spans="1:59" ht="15" customHeight="1">
      <c r="A187" s="476"/>
      <c r="B187" s="2" t="s">
        <v>122</v>
      </c>
      <c r="C187" s="11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F187" s="464"/>
      <c r="AG187" s="137" t="s">
        <v>246</v>
      </c>
      <c r="AH187" s="19" t="s">
        <v>344</v>
      </c>
      <c r="AI187" s="22">
        <f>AI91*'Emission factors Trucks&amp;Trains'!B13*(2-$AS$82)</f>
        <v>0</v>
      </c>
      <c r="AJ187" s="22">
        <f>AJ91*'Emission factors Trucks&amp;Trains'!C13*(2-$AS$82)</f>
        <v>0</v>
      </c>
      <c r="AK187" s="22">
        <f>AK91*'Emission factors Trucks&amp;Trains'!D13*(2-$AS$82)</f>
        <v>0</v>
      </c>
      <c r="AL187" s="22">
        <f>AL91*'Emission factors Trucks&amp;Trains'!E13*(2-$AS$82)</f>
        <v>0</v>
      </c>
      <c r="AM187" s="22">
        <f>AM91*'Emission factors Trucks&amp;Trains'!F13*(2-$AS$82)</f>
        <v>0</v>
      </c>
      <c r="AN187" s="22">
        <f>AN91*'Emission factors Trucks&amp;Trains'!G13*(2-$AS$82)</f>
        <v>0</v>
      </c>
      <c r="AO187" s="22">
        <f>AO91*'Emission factors Trucks&amp;Trains'!H13*(2-$AS$82)</f>
        <v>0</v>
      </c>
      <c r="AP187" s="22">
        <f>AP91*'Emission factors Trucks&amp;Trains'!I13*(2-$AS$82)</f>
        <v>0</v>
      </c>
      <c r="AQ187" s="22">
        <f>AQ91*'Emission factors Trucks&amp;Trains'!J13*(2-$AS$82)</f>
        <v>0</v>
      </c>
      <c r="AR187" s="22">
        <f>AR91*'Emission factors Trucks&amp;Trains'!K13*(2-$AS$82)</f>
        <v>0</v>
      </c>
      <c r="AS187" s="22">
        <f>AS91*'Emission factors Trucks&amp;Trains'!L13*(2-$AS$82)</f>
        <v>0</v>
      </c>
      <c r="AT187" s="22">
        <f>AT91*'Emission factors Trucks&amp;Trains'!M13*(2-$AS$82)</f>
        <v>0</v>
      </c>
      <c r="AU187" s="22">
        <f>AU91*'Emission factors Trucks&amp;Trains'!N13*(2-$AS$82)</f>
        <v>0</v>
      </c>
      <c r="AV187" s="22">
        <f>AV91*'Emission factors Trucks&amp;Trains'!O13*(2-$AS$82)</f>
        <v>0</v>
      </c>
      <c r="AW187" s="22">
        <f>AW91*'Emission factors Trucks&amp;Trains'!P13*(2-$AS$82)</f>
        <v>0</v>
      </c>
      <c r="AX187" s="22">
        <f>AX91*'Emission factors Trucks&amp;Trains'!Q13*(2-$AS$82)</f>
        <v>0</v>
      </c>
      <c r="AY187" s="22">
        <f>AY91*'Emission factors Trucks&amp;Trains'!R13*(2-$AS$82)</f>
        <v>0</v>
      </c>
      <c r="AZ187" s="22">
        <f>AZ91*'Emission factors Trucks&amp;Trains'!S13*(2-$AS$82)</f>
        <v>0</v>
      </c>
      <c r="BA187" s="22">
        <f>BA91*'Emission factors Trucks&amp;Trains'!T13*(2-$AS$82)</f>
        <v>0</v>
      </c>
      <c r="BB187" s="22">
        <f>BB91*'Emission factors Trucks&amp;Trains'!U13*(2-$AS$82)</f>
        <v>0</v>
      </c>
      <c r="BC187" s="22">
        <f>BC91*'Emission factors Trucks&amp;Trains'!V13*(2-$AS$82)</f>
        <v>0</v>
      </c>
      <c r="BD187" s="22">
        <f>BD91*'Emission factors Trucks&amp;Trains'!W13*(2-$AS$82)</f>
        <v>0</v>
      </c>
      <c r="BE187" s="22">
        <f>BE91*'Emission factors Trucks&amp;Trains'!X13*(2-$AS$82)</f>
        <v>0</v>
      </c>
      <c r="BF187" s="22">
        <f>BF91*'Emission factors Trucks&amp;Trains'!Y13*(2-$AS$82)</f>
        <v>0</v>
      </c>
      <c r="BG187" s="22">
        <f>BG91*'Emission factors Trucks&amp;Trains'!AD13*(2-$AS$82)</f>
        <v>0</v>
      </c>
    </row>
    <row r="188" spans="1:59" ht="15" customHeight="1">
      <c r="A188" s="476"/>
      <c r="B188" s="136" t="s">
        <v>343</v>
      </c>
      <c r="C188" s="112" t="s">
        <v>344</v>
      </c>
      <c r="D188" s="142" t="e">
        <f>D100*'Emission factors Trucks&amp;Trains'!#REF!*(2-$AS$82)</f>
        <v>#REF!</v>
      </c>
      <c r="E188" s="142" t="e">
        <f>E100*'Emission factors Trucks&amp;Trains'!#REF!*(2-$AS$82)</f>
        <v>#REF!</v>
      </c>
      <c r="F188" s="142" t="e">
        <f>F100*'Emission factors Trucks&amp;Trains'!#REF!*(2-$AS$82)</f>
        <v>#REF!</v>
      </c>
      <c r="G188" s="142" t="e">
        <f>G100*'Emission factors Trucks&amp;Trains'!#REF!*(2-$AS$82)</f>
        <v>#REF!</v>
      </c>
      <c r="H188" s="142" t="e">
        <f>H100*'Emission factors Trucks&amp;Trains'!#REF!*(2-$AS$82)</f>
        <v>#REF!</v>
      </c>
      <c r="I188" s="142" t="e">
        <f>I100*'Emission factors Trucks&amp;Trains'!#REF!*(2-$AS$82)</f>
        <v>#REF!</v>
      </c>
      <c r="J188" s="142" t="e">
        <f>J100*'Emission factors Trucks&amp;Trains'!#REF!*(2-$AS$82)</f>
        <v>#REF!</v>
      </c>
      <c r="K188" s="142" t="e">
        <f>K100*'Emission factors Trucks&amp;Trains'!#REF!*(2-$AS$82)</f>
        <v>#REF!</v>
      </c>
      <c r="L188" s="142" t="e">
        <f>L100*'Emission factors Trucks&amp;Trains'!#REF!*(2-$AS$82)</f>
        <v>#REF!</v>
      </c>
      <c r="M188" s="142" t="e">
        <f>M100*'Emission factors Trucks&amp;Trains'!#REF!*(2-$AS$82)</f>
        <v>#REF!</v>
      </c>
      <c r="N188" s="142" t="e">
        <f>N100*'Emission factors Trucks&amp;Trains'!#REF!*(2-$AS$82)</f>
        <v>#REF!</v>
      </c>
      <c r="O188" s="142" t="e">
        <f>O100*'Emission factors Trucks&amp;Trains'!#REF!*(2-$AS$82)</f>
        <v>#REF!</v>
      </c>
      <c r="P188" s="142" t="e">
        <f>P100*'Emission factors Trucks&amp;Trains'!#REF!*(2-$AS$82)</f>
        <v>#REF!</v>
      </c>
      <c r="Q188" s="142" t="e">
        <f>Q100*'Emission factors Trucks&amp;Trains'!#REF!*(2-$AS$82)</f>
        <v>#REF!</v>
      </c>
      <c r="R188" s="142" t="e">
        <f>R100*'Emission factors Trucks&amp;Trains'!#REF!*(2-$AS$82)</f>
        <v>#REF!</v>
      </c>
      <c r="S188" s="142" t="e">
        <f>S100*'Emission factors Trucks&amp;Trains'!#REF!*(2-$AS$82)</f>
        <v>#REF!</v>
      </c>
      <c r="T188" s="142" t="e">
        <f>T100*'Emission factors Trucks&amp;Trains'!#REF!*(2-$AS$82)</f>
        <v>#REF!</v>
      </c>
      <c r="U188" s="142" t="e">
        <f>U100*'Emission factors Trucks&amp;Trains'!#REF!*(2-$AS$82)</f>
        <v>#REF!</v>
      </c>
      <c r="V188" s="142" t="e">
        <f>V100*'Emission factors Trucks&amp;Trains'!#REF!*(2-$AS$82)</f>
        <v>#REF!</v>
      </c>
      <c r="W188" s="142" t="e">
        <f>W100*'Emission factors Trucks&amp;Trains'!#REF!*(2-$AS$82)</f>
        <v>#REF!</v>
      </c>
      <c r="X188" s="142" t="e">
        <f>X100*'Emission factors Trucks&amp;Trains'!#REF!*(2-$AS$82)</f>
        <v>#REF!</v>
      </c>
      <c r="Y188" s="142" t="e">
        <f>Y100*'Emission factors Trucks&amp;Trains'!#REF!*(2-$AS$82)</f>
        <v>#REF!</v>
      </c>
      <c r="Z188" s="142" t="e">
        <f>Z100*'Emission factors Trucks&amp;Trains'!#REF!*(2-$AS$82)</f>
        <v>#REF!</v>
      </c>
      <c r="AA188" s="142" t="e">
        <f>AA100*'Emission factors Trucks&amp;Trains'!#REF!*(2-$AS$82)</f>
        <v>#REF!</v>
      </c>
      <c r="AB188" s="142" t="e">
        <f>AB100*'Emission factors Trucks&amp;Trains'!#REF!*(2-$AS$82)</f>
        <v>#REF!</v>
      </c>
      <c r="AF188" s="464"/>
      <c r="AG188" s="2" t="s">
        <v>9</v>
      </c>
      <c r="AH188" s="53"/>
      <c r="AI188" s="21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9"/>
    </row>
    <row r="189" spans="1:59" ht="15" customHeight="1">
      <c r="A189" s="476"/>
      <c r="B189" s="136" t="s">
        <v>345</v>
      </c>
      <c r="C189" s="112" t="s">
        <v>344</v>
      </c>
      <c r="D189" s="142" t="e">
        <f>D100*'Emission factors Trucks&amp;Trains'!#REF!*(2-$AS$82)</f>
        <v>#REF!</v>
      </c>
      <c r="E189" s="142" t="e">
        <f>E100*'Emission factors Trucks&amp;Trains'!#REF!*(2-$AS$82)</f>
        <v>#REF!</v>
      </c>
      <c r="F189" s="142" t="e">
        <f>F100*'Emission factors Trucks&amp;Trains'!#REF!*(2-$AS$82)</f>
        <v>#REF!</v>
      </c>
      <c r="G189" s="142" t="e">
        <f>G100*'Emission factors Trucks&amp;Trains'!#REF!*(2-$AS$82)</f>
        <v>#REF!</v>
      </c>
      <c r="H189" s="142" t="e">
        <f>H100*'Emission factors Trucks&amp;Trains'!#REF!*(2-$AS$82)</f>
        <v>#REF!</v>
      </c>
      <c r="I189" s="142" t="e">
        <f>I100*'Emission factors Trucks&amp;Trains'!#REF!*(2-$AS$82)</f>
        <v>#REF!</v>
      </c>
      <c r="J189" s="142" t="e">
        <f>J100*'Emission factors Trucks&amp;Trains'!#REF!*(2-$AS$82)</f>
        <v>#REF!</v>
      </c>
      <c r="K189" s="142" t="e">
        <f>K100*'Emission factors Trucks&amp;Trains'!#REF!*(2-$AS$82)</f>
        <v>#REF!</v>
      </c>
      <c r="L189" s="142" t="e">
        <f>L100*'Emission factors Trucks&amp;Trains'!#REF!*(2-$AS$82)</f>
        <v>#REF!</v>
      </c>
      <c r="M189" s="142" t="e">
        <f>M100*'Emission factors Trucks&amp;Trains'!#REF!*(2-$AS$82)</f>
        <v>#REF!</v>
      </c>
      <c r="N189" s="142" t="e">
        <f>N100*'Emission factors Trucks&amp;Trains'!#REF!*(2-$AS$82)</f>
        <v>#REF!</v>
      </c>
      <c r="O189" s="142" t="e">
        <f>O100*'Emission factors Trucks&amp;Trains'!#REF!*(2-$AS$82)</f>
        <v>#REF!</v>
      </c>
      <c r="P189" s="142" t="e">
        <f>P100*'Emission factors Trucks&amp;Trains'!#REF!*(2-$AS$82)</f>
        <v>#REF!</v>
      </c>
      <c r="Q189" s="142" t="e">
        <f>Q100*'Emission factors Trucks&amp;Trains'!#REF!*(2-$AS$82)</f>
        <v>#REF!</v>
      </c>
      <c r="R189" s="142" t="e">
        <f>R100*'Emission factors Trucks&amp;Trains'!#REF!*(2-$AS$82)</f>
        <v>#REF!</v>
      </c>
      <c r="S189" s="142" t="e">
        <f>S100*'Emission factors Trucks&amp;Trains'!#REF!*(2-$AS$82)</f>
        <v>#REF!</v>
      </c>
      <c r="T189" s="142" t="e">
        <f>T100*'Emission factors Trucks&amp;Trains'!#REF!*(2-$AS$82)</f>
        <v>#REF!</v>
      </c>
      <c r="U189" s="142" t="e">
        <f>U100*'Emission factors Trucks&amp;Trains'!#REF!*(2-$AS$82)</f>
        <v>#REF!</v>
      </c>
      <c r="V189" s="142" t="e">
        <f>V100*'Emission factors Trucks&amp;Trains'!#REF!*(2-$AS$82)</f>
        <v>#REF!</v>
      </c>
      <c r="W189" s="142" t="e">
        <f>W100*'Emission factors Trucks&amp;Trains'!#REF!*(2-$AS$82)</f>
        <v>#REF!</v>
      </c>
      <c r="X189" s="142" t="e">
        <f>X100*'Emission factors Trucks&amp;Trains'!#REF!*(2-$AS$82)</f>
        <v>#REF!</v>
      </c>
      <c r="Y189" s="142" t="e">
        <f>Y100*'Emission factors Trucks&amp;Trains'!#REF!*(2-$AS$82)</f>
        <v>#REF!</v>
      </c>
      <c r="Z189" s="142" t="e">
        <f>Z100*'Emission factors Trucks&amp;Trains'!#REF!*(2-$AS$82)</f>
        <v>#REF!</v>
      </c>
      <c r="AA189" s="142" t="e">
        <f>AA100*'Emission factors Trucks&amp;Trains'!#REF!*(2-$AS$82)</f>
        <v>#REF!</v>
      </c>
      <c r="AB189" s="142" t="e">
        <f>AB100*'Emission factors Trucks&amp;Trains'!#REF!*(2-$AS$82)</f>
        <v>#REF!</v>
      </c>
      <c r="AF189" s="464"/>
      <c r="AG189" s="136" t="s">
        <v>343</v>
      </c>
      <c r="AH189" s="6" t="s">
        <v>344</v>
      </c>
      <c r="AI189" s="21" t="e">
        <f>AI94*'Emission factors Trucks&amp;Trains'!#REF!*(2-$AS$82)</f>
        <v>#REF!</v>
      </c>
      <c r="AJ189" s="8" t="e">
        <f>AJ94*'Emission factors Trucks&amp;Trains'!#REF!*(2-$AS$82)</f>
        <v>#REF!</v>
      </c>
      <c r="AK189" s="8" t="e">
        <f>AK94*'Emission factors Trucks&amp;Trains'!#REF!*(2-$AS$82)</f>
        <v>#REF!</v>
      </c>
      <c r="AL189" s="8" t="e">
        <f>AL94*'Emission factors Trucks&amp;Trains'!#REF!*(2-$AS$82)</f>
        <v>#REF!</v>
      </c>
      <c r="AM189" s="8" t="e">
        <f>AM94*'Emission factors Trucks&amp;Trains'!#REF!*(2-$AS$82)</f>
        <v>#REF!</v>
      </c>
      <c r="AN189" s="8" t="e">
        <f>AN94*'Emission factors Trucks&amp;Trains'!#REF!*(2-$AS$82)</f>
        <v>#REF!</v>
      </c>
      <c r="AO189" s="8" t="e">
        <f>AO94*'Emission factors Trucks&amp;Trains'!#REF!*(2-$AS$82)</f>
        <v>#REF!</v>
      </c>
      <c r="AP189" s="8" t="e">
        <f>AP94*'Emission factors Trucks&amp;Trains'!#REF!*(2-$AS$82)</f>
        <v>#REF!</v>
      </c>
      <c r="AQ189" s="8" t="e">
        <f>AQ94*'Emission factors Trucks&amp;Trains'!#REF!*(2-$AS$82)</f>
        <v>#REF!</v>
      </c>
      <c r="AR189" s="8" t="e">
        <f>AR94*'Emission factors Trucks&amp;Trains'!#REF!*(2-$AS$82)</f>
        <v>#REF!</v>
      </c>
      <c r="AS189" s="8" t="e">
        <f>AS94*'Emission factors Trucks&amp;Trains'!#REF!*(2-$AS$82)</f>
        <v>#REF!</v>
      </c>
      <c r="AT189" s="8" t="e">
        <f>AT94*'Emission factors Trucks&amp;Trains'!#REF!*(2-$AS$82)</f>
        <v>#REF!</v>
      </c>
      <c r="AU189" s="8" t="e">
        <f>AU94*'Emission factors Trucks&amp;Trains'!#REF!*(2-$AS$82)</f>
        <v>#REF!</v>
      </c>
      <c r="AV189" s="8" t="e">
        <f>AV94*'Emission factors Trucks&amp;Trains'!#REF!*(2-$AS$82)</f>
        <v>#REF!</v>
      </c>
      <c r="AW189" s="8" t="e">
        <f>AW94*'Emission factors Trucks&amp;Trains'!#REF!*(2-$AS$82)</f>
        <v>#REF!</v>
      </c>
      <c r="AX189" s="8" t="e">
        <f>AX94*'Emission factors Trucks&amp;Trains'!#REF!*(2-$AS$82)</f>
        <v>#REF!</v>
      </c>
      <c r="AY189" s="8" t="e">
        <f>AY94*'Emission factors Trucks&amp;Trains'!#REF!*(2-$AS$82)</f>
        <v>#REF!</v>
      </c>
      <c r="AZ189" s="8" t="e">
        <f>AZ94*'Emission factors Trucks&amp;Trains'!#REF!*(2-$AS$82)</f>
        <v>#REF!</v>
      </c>
      <c r="BA189" s="8" t="e">
        <f>BA94*'Emission factors Trucks&amp;Trains'!#REF!*(2-$AS$82)</f>
        <v>#REF!</v>
      </c>
      <c r="BB189" s="8" t="e">
        <f>BB94*'Emission factors Trucks&amp;Trains'!#REF!*(2-$AS$82)</f>
        <v>#REF!</v>
      </c>
      <c r="BC189" s="8" t="e">
        <f>BC94*'Emission factors Trucks&amp;Trains'!#REF!*(2-$AS$82)</f>
        <v>#REF!</v>
      </c>
      <c r="BD189" s="8" t="e">
        <f>BD94*'Emission factors Trucks&amp;Trains'!#REF!*(2-$AS$82)</f>
        <v>#REF!</v>
      </c>
      <c r="BE189" s="8" t="e">
        <f>BE94*'Emission factors Trucks&amp;Trains'!#REF!*(2-$AS$82)</f>
        <v>#REF!</v>
      </c>
      <c r="BF189" s="8" t="e">
        <f>BF94*'Emission factors Trucks&amp;Trains'!#REF!*(2-$AS$82)</f>
        <v>#REF!</v>
      </c>
      <c r="BG189" s="9" t="e">
        <f>BG94*'Emission factors Trucks&amp;Trains'!#REF!*(2-$AS$82)</f>
        <v>#REF!</v>
      </c>
    </row>
    <row r="190" spans="1:59" ht="15" customHeight="1">
      <c r="A190" s="476"/>
      <c r="B190" s="136" t="s">
        <v>346</v>
      </c>
      <c r="C190" s="112" t="s">
        <v>344</v>
      </c>
      <c r="D190" s="142" t="e">
        <f>D100*'Emission factors Trucks&amp;Trains'!#REF!*(2-$AS$82)</f>
        <v>#REF!</v>
      </c>
      <c r="E190" s="142" t="e">
        <f>E100*'Emission factors Trucks&amp;Trains'!#REF!*(2-$AS$82)</f>
        <v>#REF!</v>
      </c>
      <c r="F190" s="142" t="e">
        <f>F100*'Emission factors Trucks&amp;Trains'!#REF!*(2-$AS$82)</f>
        <v>#REF!</v>
      </c>
      <c r="G190" s="142" t="e">
        <f>G100*'Emission factors Trucks&amp;Trains'!#REF!*(2-$AS$82)</f>
        <v>#REF!</v>
      </c>
      <c r="H190" s="142" t="e">
        <f>H100*'Emission factors Trucks&amp;Trains'!#REF!*(2-$AS$82)</f>
        <v>#REF!</v>
      </c>
      <c r="I190" s="142" t="e">
        <f>I100*'Emission factors Trucks&amp;Trains'!#REF!*(2-$AS$82)</f>
        <v>#REF!</v>
      </c>
      <c r="J190" s="142" t="e">
        <f>J100*'Emission factors Trucks&amp;Trains'!#REF!*(2-$AS$82)</f>
        <v>#REF!</v>
      </c>
      <c r="K190" s="142" t="e">
        <f>K100*'Emission factors Trucks&amp;Trains'!#REF!*(2-$AS$82)</f>
        <v>#REF!</v>
      </c>
      <c r="L190" s="142" t="e">
        <f>L100*'Emission factors Trucks&amp;Trains'!#REF!*(2-$AS$82)</f>
        <v>#REF!</v>
      </c>
      <c r="M190" s="142" t="e">
        <f>M100*'Emission factors Trucks&amp;Trains'!#REF!*(2-$AS$82)</f>
        <v>#REF!</v>
      </c>
      <c r="N190" s="142" t="e">
        <f>N100*'Emission factors Trucks&amp;Trains'!#REF!*(2-$AS$82)</f>
        <v>#REF!</v>
      </c>
      <c r="O190" s="142" t="e">
        <f>O100*'Emission factors Trucks&amp;Trains'!#REF!*(2-$AS$82)</f>
        <v>#REF!</v>
      </c>
      <c r="P190" s="142" t="e">
        <f>P100*'Emission factors Trucks&amp;Trains'!#REF!*(2-$AS$82)</f>
        <v>#REF!</v>
      </c>
      <c r="Q190" s="142" t="e">
        <f>Q100*'Emission factors Trucks&amp;Trains'!#REF!*(2-$AS$82)</f>
        <v>#REF!</v>
      </c>
      <c r="R190" s="142" t="e">
        <f>R100*'Emission factors Trucks&amp;Trains'!#REF!*(2-$AS$82)</f>
        <v>#REF!</v>
      </c>
      <c r="S190" s="142" t="e">
        <f>S100*'Emission factors Trucks&amp;Trains'!#REF!*(2-$AS$82)</f>
        <v>#REF!</v>
      </c>
      <c r="T190" s="142" t="e">
        <f>T100*'Emission factors Trucks&amp;Trains'!#REF!*(2-$AS$82)</f>
        <v>#REF!</v>
      </c>
      <c r="U190" s="142" t="e">
        <f>U100*'Emission factors Trucks&amp;Trains'!#REF!*(2-$AS$82)</f>
        <v>#REF!</v>
      </c>
      <c r="V190" s="142" t="e">
        <f>V100*'Emission factors Trucks&amp;Trains'!#REF!*(2-$AS$82)</f>
        <v>#REF!</v>
      </c>
      <c r="W190" s="142" t="e">
        <f>W100*'Emission factors Trucks&amp;Trains'!#REF!*(2-$AS$82)</f>
        <v>#REF!</v>
      </c>
      <c r="X190" s="142" t="e">
        <f>X100*'Emission factors Trucks&amp;Trains'!#REF!*(2-$AS$82)</f>
        <v>#REF!</v>
      </c>
      <c r="Y190" s="142" t="e">
        <f>Y100*'Emission factors Trucks&amp;Trains'!#REF!*(2-$AS$82)</f>
        <v>#REF!</v>
      </c>
      <c r="Z190" s="142" t="e">
        <f>Z100*'Emission factors Trucks&amp;Trains'!#REF!*(2-$AS$82)</f>
        <v>#REF!</v>
      </c>
      <c r="AA190" s="142" t="e">
        <f>AA100*'Emission factors Trucks&amp;Trains'!#REF!*(2-$AS$82)</f>
        <v>#REF!</v>
      </c>
      <c r="AB190" s="142" t="e">
        <f>AB100*'Emission factors Trucks&amp;Trains'!#REF!*(2-$AS$82)</f>
        <v>#REF!</v>
      </c>
      <c r="AF190" s="464"/>
      <c r="AG190" s="136" t="s">
        <v>345</v>
      </c>
      <c r="AH190" s="6" t="s">
        <v>344</v>
      </c>
      <c r="AI190" s="21" t="e">
        <f>AI94*'Emission factors Trucks&amp;Trains'!#REF!*(2-$AS$82)</f>
        <v>#REF!</v>
      </c>
      <c r="AJ190" s="8" t="e">
        <f>AJ94*'Emission factors Trucks&amp;Trains'!#REF!*(2-$AS$82)</f>
        <v>#REF!</v>
      </c>
      <c r="AK190" s="8" t="e">
        <f>AK94*'Emission factors Trucks&amp;Trains'!#REF!*(2-$AS$82)</f>
        <v>#REF!</v>
      </c>
      <c r="AL190" s="8" t="e">
        <f>AL94*'Emission factors Trucks&amp;Trains'!#REF!*(2-$AS$82)</f>
        <v>#REF!</v>
      </c>
      <c r="AM190" s="8" t="e">
        <f>AM94*'Emission factors Trucks&amp;Trains'!#REF!*(2-$AS$82)</f>
        <v>#REF!</v>
      </c>
      <c r="AN190" s="8" t="e">
        <f>AN94*'Emission factors Trucks&amp;Trains'!#REF!*(2-$AS$82)</f>
        <v>#REF!</v>
      </c>
      <c r="AO190" s="8" t="e">
        <f>AO94*'Emission factors Trucks&amp;Trains'!#REF!*(2-$AS$82)</f>
        <v>#REF!</v>
      </c>
      <c r="AP190" s="8" t="e">
        <f>AP94*'Emission factors Trucks&amp;Trains'!#REF!*(2-$AS$82)</f>
        <v>#REF!</v>
      </c>
      <c r="AQ190" s="8" t="e">
        <f>AQ94*'Emission factors Trucks&amp;Trains'!#REF!*(2-$AS$82)</f>
        <v>#REF!</v>
      </c>
      <c r="AR190" s="8" t="e">
        <f>AR94*'Emission factors Trucks&amp;Trains'!#REF!*(2-$AS$82)</f>
        <v>#REF!</v>
      </c>
      <c r="AS190" s="8" t="e">
        <f>AS94*'Emission factors Trucks&amp;Trains'!#REF!*(2-$AS$82)</f>
        <v>#REF!</v>
      </c>
      <c r="AT190" s="8" t="e">
        <f>AT94*'Emission factors Trucks&amp;Trains'!#REF!*(2-$AS$82)</f>
        <v>#REF!</v>
      </c>
      <c r="AU190" s="8" t="e">
        <f>AU94*'Emission factors Trucks&amp;Trains'!#REF!*(2-$AS$82)</f>
        <v>#REF!</v>
      </c>
      <c r="AV190" s="8" t="e">
        <f>AV94*'Emission factors Trucks&amp;Trains'!#REF!*(2-$AS$82)</f>
        <v>#REF!</v>
      </c>
      <c r="AW190" s="8" t="e">
        <f>AW94*'Emission factors Trucks&amp;Trains'!#REF!*(2-$AS$82)</f>
        <v>#REF!</v>
      </c>
      <c r="AX190" s="8" t="e">
        <f>AX94*'Emission factors Trucks&amp;Trains'!#REF!*(2-$AS$82)</f>
        <v>#REF!</v>
      </c>
      <c r="AY190" s="8" t="e">
        <f>AY94*'Emission factors Trucks&amp;Trains'!#REF!*(2-$AS$82)</f>
        <v>#REF!</v>
      </c>
      <c r="AZ190" s="8" t="e">
        <f>AZ94*'Emission factors Trucks&amp;Trains'!#REF!*(2-$AS$82)</f>
        <v>#REF!</v>
      </c>
      <c r="BA190" s="8" t="e">
        <f>BA94*'Emission factors Trucks&amp;Trains'!#REF!*(2-$AS$82)</f>
        <v>#REF!</v>
      </c>
      <c r="BB190" s="8" t="e">
        <f>BB94*'Emission factors Trucks&amp;Trains'!#REF!*(2-$AS$82)</f>
        <v>#REF!</v>
      </c>
      <c r="BC190" s="8" t="e">
        <f>BC94*'Emission factors Trucks&amp;Trains'!#REF!*(2-$AS$82)</f>
        <v>#REF!</v>
      </c>
      <c r="BD190" s="8" t="e">
        <f>BD94*'Emission factors Trucks&amp;Trains'!#REF!*(2-$AS$82)</f>
        <v>#REF!</v>
      </c>
      <c r="BE190" s="8" t="e">
        <f>BE94*'Emission factors Trucks&amp;Trains'!#REF!*(2-$AS$82)</f>
        <v>#REF!</v>
      </c>
      <c r="BF190" s="8" t="e">
        <f>BF94*'Emission factors Trucks&amp;Trains'!#REF!*(2-$AS$82)</f>
        <v>#REF!</v>
      </c>
      <c r="BG190" s="9" t="e">
        <f>BG94*'Emission factors Trucks&amp;Trains'!#REF!*(2-$AS$82)</f>
        <v>#REF!</v>
      </c>
    </row>
    <row r="191" spans="1:59" ht="15" customHeight="1">
      <c r="A191" s="476"/>
      <c r="B191" s="136" t="s">
        <v>278</v>
      </c>
      <c r="C191" s="112" t="s">
        <v>344</v>
      </c>
      <c r="D191" s="142">
        <f>D100*'Emission factors Trucks&amp;Trains'!B12*(2-$AS$82)</f>
        <v>0</v>
      </c>
      <c r="E191" s="142">
        <f>E100*'Emission factors Trucks&amp;Trains'!C12*(2-$AS$82)</f>
        <v>0</v>
      </c>
      <c r="F191" s="142">
        <f>F100*'Emission factors Trucks&amp;Trains'!D12*(2-$AS$82)</f>
        <v>0</v>
      </c>
      <c r="G191" s="142">
        <f>G100*'Emission factors Trucks&amp;Trains'!E12*(2-$AS$82)</f>
        <v>0</v>
      </c>
      <c r="H191" s="142">
        <f>H100*'Emission factors Trucks&amp;Trains'!F12*(2-$AS$82)</f>
        <v>273036.79791502404</v>
      </c>
      <c r="I191" s="142">
        <f>I100*'Emission factors Trucks&amp;Trains'!G12*(2-$AS$82)</f>
        <v>2595973.8315379075</v>
      </c>
      <c r="J191" s="142">
        <f>J100*'Emission factors Trucks&amp;Trains'!H12*(2-$AS$82)</f>
        <v>4692217.5730595365</v>
      </c>
      <c r="K191" s="142">
        <f>K100*'Emission factors Trucks&amp;Trains'!I12*(2-$AS$82)</f>
        <v>6162268.742072559</v>
      </c>
      <c r="L191" s="142">
        <f>L100*'Emission factors Trucks&amp;Trains'!J12*(2-$AS$82)</f>
        <v>4088202.1980873179</v>
      </c>
      <c r="M191" s="142">
        <f>M100*'Emission factors Trucks&amp;Trains'!K12*(2-$AS$82)</f>
        <v>4341432.590624054</v>
      </c>
      <c r="N191" s="142">
        <f>N100*'Emission factors Trucks&amp;Trains'!L12*(2-$AS$82)</f>
        <v>4790150.1577802552</v>
      </c>
      <c r="O191" s="142">
        <f>O100*'Emission factors Trucks&amp;Trains'!M12*(2-$AS$82)</f>
        <v>5162785.5831102561</v>
      </c>
      <c r="P191" s="142">
        <f>P100*'Emission factors Trucks&amp;Trains'!N12*(2-$AS$82)</f>
        <v>5589099.0814081626</v>
      </c>
      <c r="Q191" s="142">
        <f>Q100*'Emission factors Trucks&amp;Trains'!O12*(2-$AS$82)</f>
        <v>4434762.5915861297</v>
      </c>
      <c r="R191" s="142">
        <f>R100*'Emission factors Trucks&amp;Trains'!P12*(2-$AS$82)</f>
        <v>3718123.5735131805</v>
      </c>
      <c r="S191" s="142">
        <f>S100*'Emission factors Trucks&amp;Trains'!Q12*(2-$AS$82)</f>
        <v>2733144.6975145815</v>
      </c>
      <c r="T191" s="142">
        <f>T100*'Emission factors Trucks&amp;Trains'!R12*(2-$AS$82)</f>
        <v>2866432.8528311406</v>
      </c>
      <c r="U191" s="142">
        <f>U100*'Emission factors Trucks&amp;Trains'!S12*(2-$AS$82)</f>
        <v>2779792.5918234247</v>
      </c>
      <c r="V191" s="142">
        <f>V100*'Emission factors Trucks&amp;Trains'!T12*(2-$AS$82)</f>
        <v>2751846.6000014222</v>
      </c>
      <c r="W191" s="142">
        <f>W100*'Emission factors Trucks&amp;Trains'!U12*(2-$AS$82)</f>
        <v>2814120.8532509916</v>
      </c>
      <c r="X191" s="142">
        <f>X100*'Emission factors Trucks&amp;Trains'!V12*(2-$AS$82)</f>
        <v>2935725.9384250967</v>
      </c>
      <c r="Y191" s="142">
        <f>Y100*'Emission factors Trucks&amp;Trains'!W12*(2-$AS$82)</f>
        <v>2981838.8253857959</v>
      </c>
      <c r="Z191" s="142">
        <f>Z100*'Emission factors Trucks&amp;Trains'!X12*(2-$AS$82)</f>
        <v>3040281.4048948302</v>
      </c>
      <c r="AA191" s="142">
        <f>AA100*'Emission factors Trucks&amp;Trains'!Y12*(2-$AS$82)</f>
        <v>3095782.0661957352</v>
      </c>
      <c r="AB191" s="142">
        <f>AB100*'Emission factors Trucks&amp;Trains'!Z12*(2-$AS$82)</f>
        <v>3188602.7930983109</v>
      </c>
      <c r="AF191" s="464"/>
      <c r="AG191" s="136" t="s">
        <v>346</v>
      </c>
      <c r="AH191" s="6" t="s">
        <v>344</v>
      </c>
      <c r="AI191" s="21" t="e">
        <f>AI94*'Emission factors Trucks&amp;Trains'!#REF!*(2-$AS$82)</f>
        <v>#REF!</v>
      </c>
      <c r="AJ191" s="8" t="e">
        <f>AJ94*'Emission factors Trucks&amp;Trains'!#REF!*(2-$AS$82)</f>
        <v>#REF!</v>
      </c>
      <c r="AK191" s="8" t="e">
        <f>AK94*'Emission factors Trucks&amp;Trains'!#REF!*(2-$AS$82)</f>
        <v>#REF!</v>
      </c>
      <c r="AL191" s="8" t="e">
        <f>AL94*'Emission factors Trucks&amp;Trains'!#REF!*(2-$AS$82)</f>
        <v>#REF!</v>
      </c>
      <c r="AM191" s="8" t="e">
        <f>AM94*'Emission factors Trucks&amp;Trains'!#REF!*(2-$AS$82)</f>
        <v>#REF!</v>
      </c>
      <c r="AN191" s="8" t="e">
        <f>AN94*'Emission factors Trucks&amp;Trains'!#REF!*(2-$AS$82)</f>
        <v>#REF!</v>
      </c>
      <c r="AO191" s="8" t="e">
        <f>AO94*'Emission factors Trucks&amp;Trains'!#REF!*(2-$AS$82)</f>
        <v>#REF!</v>
      </c>
      <c r="AP191" s="8" t="e">
        <f>AP94*'Emission factors Trucks&amp;Trains'!#REF!*(2-$AS$82)</f>
        <v>#REF!</v>
      </c>
      <c r="AQ191" s="8" t="e">
        <f>AQ94*'Emission factors Trucks&amp;Trains'!#REF!*(2-$AS$82)</f>
        <v>#REF!</v>
      </c>
      <c r="AR191" s="8" t="e">
        <f>AR94*'Emission factors Trucks&amp;Trains'!#REF!*(2-$AS$82)</f>
        <v>#REF!</v>
      </c>
      <c r="AS191" s="8" t="e">
        <f>AS94*'Emission factors Trucks&amp;Trains'!#REF!*(2-$AS$82)</f>
        <v>#REF!</v>
      </c>
      <c r="AT191" s="8" t="e">
        <f>AT94*'Emission factors Trucks&amp;Trains'!#REF!*(2-$AS$82)</f>
        <v>#REF!</v>
      </c>
      <c r="AU191" s="8" t="e">
        <f>AU94*'Emission factors Trucks&amp;Trains'!#REF!*(2-$AS$82)</f>
        <v>#REF!</v>
      </c>
      <c r="AV191" s="8" t="e">
        <f>AV94*'Emission factors Trucks&amp;Trains'!#REF!*(2-$AS$82)</f>
        <v>#REF!</v>
      </c>
      <c r="AW191" s="8" t="e">
        <f>AW94*'Emission factors Trucks&amp;Trains'!#REF!*(2-$AS$82)</f>
        <v>#REF!</v>
      </c>
      <c r="AX191" s="8" t="e">
        <f>AX94*'Emission factors Trucks&amp;Trains'!#REF!*(2-$AS$82)</f>
        <v>#REF!</v>
      </c>
      <c r="AY191" s="8" t="e">
        <f>AY94*'Emission factors Trucks&amp;Trains'!#REF!*(2-$AS$82)</f>
        <v>#REF!</v>
      </c>
      <c r="AZ191" s="8" t="e">
        <f>AZ94*'Emission factors Trucks&amp;Trains'!#REF!*(2-$AS$82)</f>
        <v>#REF!</v>
      </c>
      <c r="BA191" s="8" t="e">
        <f>BA94*'Emission factors Trucks&amp;Trains'!#REF!*(2-$AS$82)</f>
        <v>#REF!</v>
      </c>
      <c r="BB191" s="8" t="e">
        <f>BB94*'Emission factors Trucks&amp;Trains'!#REF!*(2-$AS$82)</f>
        <v>#REF!</v>
      </c>
      <c r="BC191" s="8" t="e">
        <f>BC94*'Emission factors Trucks&amp;Trains'!#REF!*(2-$AS$82)</f>
        <v>#REF!</v>
      </c>
      <c r="BD191" s="8" t="e">
        <f>BD94*'Emission factors Trucks&amp;Trains'!#REF!*(2-$AS$82)</f>
        <v>#REF!</v>
      </c>
      <c r="BE191" s="8" t="e">
        <f>BE94*'Emission factors Trucks&amp;Trains'!#REF!*(2-$AS$82)</f>
        <v>#REF!</v>
      </c>
      <c r="BF191" s="8" t="e">
        <f>BF94*'Emission factors Trucks&amp;Trains'!#REF!*(2-$AS$82)</f>
        <v>#REF!</v>
      </c>
      <c r="BG191" s="9" t="e">
        <f>BG94*'Emission factors Trucks&amp;Trains'!#REF!*(2-$AS$82)</f>
        <v>#REF!</v>
      </c>
    </row>
    <row r="192" spans="1:59" ht="15" customHeight="1">
      <c r="A192" s="476"/>
      <c r="B192" s="136" t="s">
        <v>347</v>
      </c>
      <c r="C192" s="112" t="s">
        <v>344</v>
      </c>
      <c r="D192" s="142" t="e">
        <f>D100*'Emission factors Trucks&amp;Trains'!#REF!*(2-$AS$82)</f>
        <v>#REF!</v>
      </c>
      <c r="E192" s="142" t="e">
        <f>E100*'Emission factors Trucks&amp;Trains'!#REF!*(2-$AS$82)</f>
        <v>#REF!</v>
      </c>
      <c r="F192" s="142" t="e">
        <f>F100*'Emission factors Trucks&amp;Trains'!#REF!*(2-$AS$82)</f>
        <v>#REF!</v>
      </c>
      <c r="G192" s="142" t="e">
        <f>G100*'Emission factors Trucks&amp;Trains'!#REF!*(2-$AS$82)</f>
        <v>#REF!</v>
      </c>
      <c r="H192" s="142" t="e">
        <f>H100*'Emission factors Trucks&amp;Trains'!#REF!*(2-$AS$82)</f>
        <v>#REF!</v>
      </c>
      <c r="I192" s="142" t="e">
        <f>I100*'Emission factors Trucks&amp;Trains'!#REF!*(2-$AS$82)</f>
        <v>#REF!</v>
      </c>
      <c r="J192" s="142" t="e">
        <f>J100*'Emission factors Trucks&amp;Trains'!#REF!*(2-$AS$82)</f>
        <v>#REF!</v>
      </c>
      <c r="K192" s="142" t="e">
        <f>K100*'Emission factors Trucks&amp;Trains'!#REF!*(2-$AS$82)</f>
        <v>#REF!</v>
      </c>
      <c r="L192" s="142" t="e">
        <f>L100*'Emission factors Trucks&amp;Trains'!#REF!*(2-$AS$82)</f>
        <v>#REF!</v>
      </c>
      <c r="M192" s="142" t="e">
        <f>M100*'Emission factors Trucks&amp;Trains'!#REF!*(2-$AS$82)</f>
        <v>#REF!</v>
      </c>
      <c r="N192" s="142" t="e">
        <f>N100*'Emission factors Trucks&amp;Trains'!#REF!*(2-$AS$82)</f>
        <v>#REF!</v>
      </c>
      <c r="O192" s="142" t="e">
        <f>O100*'Emission factors Trucks&amp;Trains'!#REF!*(2-$AS$82)</f>
        <v>#REF!</v>
      </c>
      <c r="P192" s="142" t="e">
        <f>P100*'Emission factors Trucks&amp;Trains'!#REF!*(2-$AS$82)</f>
        <v>#REF!</v>
      </c>
      <c r="Q192" s="142" t="e">
        <f>Q100*'Emission factors Trucks&amp;Trains'!#REF!*(2-$AS$82)</f>
        <v>#REF!</v>
      </c>
      <c r="R192" s="142" t="e">
        <f>R100*'Emission factors Trucks&amp;Trains'!#REF!*(2-$AS$82)</f>
        <v>#REF!</v>
      </c>
      <c r="S192" s="142" t="e">
        <f>S100*'Emission factors Trucks&amp;Trains'!#REF!*(2-$AS$82)</f>
        <v>#REF!</v>
      </c>
      <c r="T192" s="142" t="e">
        <f>T100*'Emission factors Trucks&amp;Trains'!#REF!*(2-$AS$82)</f>
        <v>#REF!</v>
      </c>
      <c r="U192" s="142" t="e">
        <f>U100*'Emission factors Trucks&amp;Trains'!#REF!*(2-$AS$82)</f>
        <v>#REF!</v>
      </c>
      <c r="V192" s="142" t="e">
        <f>V100*'Emission factors Trucks&amp;Trains'!#REF!*(2-$AS$82)</f>
        <v>#REF!</v>
      </c>
      <c r="W192" s="142" t="e">
        <f>W100*'Emission factors Trucks&amp;Trains'!#REF!*(2-$AS$82)</f>
        <v>#REF!</v>
      </c>
      <c r="X192" s="142" t="e">
        <f>X100*'Emission factors Trucks&amp;Trains'!#REF!*(2-$AS$82)</f>
        <v>#REF!</v>
      </c>
      <c r="Y192" s="142" t="e">
        <f>Y100*'Emission factors Trucks&amp;Trains'!#REF!*(2-$AS$82)</f>
        <v>#REF!</v>
      </c>
      <c r="Z192" s="142" t="e">
        <f>Z100*'Emission factors Trucks&amp;Trains'!#REF!*(2-$AS$82)</f>
        <v>#REF!</v>
      </c>
      <c r="AA192" s="142" t="e">
        <f>AA100*'Emission factors Trucks&amp;Trains'!#REF!*(2-$AS$82)</f>
        <v>#REF!</v>
      </c>
      <c r="AB192" s="142" t="e">
        <f>AB100*'Emission factors Trucks&amp;Trains'!#REF!*(2-$AS$82)</f>
        <v>#REF!</v>
      </c>
      <c r="AF192" s="464"/>
      <c r="AG192" s="136" t="s">
        <v>278</v>
      </c>
      <c r="AH192" s="6" t="s">
        <v>344</v>
      </c>
      <c r="AI192" s="21">
        <f>AI94*'Emission factors Trucks&amp;Trains'!F12*(2-$AS$82)</f>
        <v>0</v>
      </c>
      <c r="AJ192" s="8">
        <f>AJ94*'Emission factors Trucks&amp;Trains'!G12*(2-$AS$82)</f>
        <v>0</v>
      </c>
      <c r="AK192" s="8">
        <f>AK94*'Emission factors Trucks&amp;Trains'!H12*(2-$AS$82)</f>
        <v>0</v>
      </c>
      <c r="AL192" s="8">
        <f>AL94*'Emission factors Trucks&amp;Trains'!I12*(2-$AS$82)</f>
        <v>0</v>
      </c>
      <c r="AM192" s="8">
        <f>AM94*'Emission factors Trucks&amp;Trains'!J12*(2-$AS$82)</f>
        <v>0</v>
      </c>
      <c r="AN192" s="8">
        <f>AN94*'Emission factors Trucks&amp;Trains'!K12*(2-$AS$82)</f>
        <v>0</v>
      </c>
      <c r="AO192" s="8">
        <f>AO94*'Emission factors Trucks&amp;Trains'!L12*(2-$AS$82)</f>
        <v>0</v>
      </c>
      <c r="AP192" s="8">
        <f>AP94*'Emission factors Trucks&amp;Trains'!M12*(2-$AS$82)</f>
        <v>0</v>
      </c>
      <c r="AQ192" s="8">
        <f>AQ94*'Emission factors Trucks&amp;Trains'!N12*(2-$AS$82)</f>
        <v>0</v>
      </c>
      <c r="AR192" s="8">
        <f>AR94*'Emission factors Trucks&amp;Trains'!O12*(2-$AS$82)</f>
        <v>0</v>
      </c>
      <c r="AS192" s="8">
        <f>AS94*'Emission factors Trucks&amp;Trains'!P12*(2-$AS$82)</f>
        <v>0</v>
      </c>
      <c r="AT192" s="8">
        <f>AT94*'Emission factors Trucks&amp;Trains'!Q12*(2-$AS$82)</f>
        <v>0</v>
      </c>
      <c r="AU192" s="8">
        <f>AU94*'Emission factors Trucks&amp;Trains'!R12*(2-$AS$82)</f>
        <v>0</v>
      </c>
      <c r="AV192" s="8">
        <f>AV94*'Emission factors Trucks&amp;Trains'!S12*(2-$AS$82)</f>
        <v>0</v>
      </c>
      <c r="AW192" s="8">
        <f>AW94*'Emission factors Trucks&amp;Trains'!T12*(2-$AS$82)</f>
        <v>0</v>
      </c>
      <c r="AX192" s="8">
        <f>AX94*'Emission factors Trucks&amp;Trains'!U12*(2-$AS$82)</f>
        <v>0</v>
      </c>
      <c r="AY192" s="8">
        <f>AY94*'Emission factors Trucks&amp;Trains'!V12*(2-$AS$82)</f>
        <v>0</v>
      </c>
      <c r="AZ192" s="8">
        <f>AZ94*'Emission factors Trucks&amp;Trains'!W12*(2-$AS$82)</f>
        <v>0</v>
      </c>
      <c r="BA192" s="8">
        <f>BA94*'Emission factors Trucks&amp;Trains'!X12*(2-$AS$82)</f>
        <v>0</v>
      </c>
      <c r="BB192" s="8">
        <f>BB94*'Emission factors Trucks&amp;Trains'!Y12*(2-$AS$82)</f>
        <v>0</v>
      </c>
      <c r="BC192" s="8">
        <f>BC94*'Emission factors Trucks&amp;Trains'!Z12*(2-$AS$82)</f>
        <v>0</v>
      </c>
      <c r="BD192" s="8">
        <f>BD94*'Emission factors Trucks&amp;Trains'!AA12*(2-$AS$82)</f>
        <v>0</v>
      </c>
      <c r="BE192" s="8">
        <f>BE94*'Emission factors Trucks&amp;Trains'!AB12*(2-$AS$82)</f>
        <v>0</v>
      </c>
      <c r="BF192" s="8">
        <f>BF94*'Emission factors Trucks&amp;Trains'!AC12*(2-$AS$82)</f>
        <v>0</v>
      </c>
      <c r="BG192" s="9">
        <f>BG94*'Emission factors Trucks&amp;Trains'!AD12*(2-$AS$82)</f>
        <v>0</v>
      </c>
    </row>
    <row r="193" spans="1:59" ht="15" customHeight="1">
      <c r="A193" s="476"/>
      <c r="B193" s="136" t="s">
        <v>348</v>
      </c>
      <c r="C193" s="112" t="s">
        <v>344</v>
      </c>
      <c r="D193" s="142" t="e">
        <f>D100*'Emission factors Trucks&amp;Trains'!#REF!*(2-$AS$82)</f>
        <v>#REF!</v>
      </c>
      <c r="E193" s="142" t="e">
        <f>E100*'Emission factors Trucks&amp;Trains'!#REF!*(2-$AS$82)</f>
        <v>#REF!</v>
      </c>
      <c r="F193" s="142" t="e">
        <f>F100*'Emission factors Trucks&amp;Trains'!#REF!*(2-$AS$82)</f>
        <v>#REF!</v>
      </c>
      <c r="G193" s="142" t="e">
        <f>G100*'Emission factors Trucks&amp;Trains'!#REF!*(2-$AS$82)</f>
        <v>#REF!</v>
      </c>
      <c r="H193" s="142" t="e">
        <f>H100*'Emission factors Trucks&amp;Trains'!#REF!*(2-$AS$82)</f>
        <v>#REF!</v>
      </c>
      <c r="I193" s="142" t="e">
        <f>I100*'Emission factors Trucks&amp;Trains'!#REF!*(2-$AS$82)</f>
        <v>#REF!</v>
      </c>
      <c r="J193" s="142" t="e">
        <f>J100*'Emission factors Trucks&amp;Trains'!#REF!*(2-$AS$82)</f>
        <v>#REF!</v>
      </c>
      <c r="K193" s="142" t="e">
        <f>K100*'Emission factors Trucks&amp;Trains'!#REF!*(2-$AS$82)</f>
        <v>#REF!</v>
      </c>
      <c r="L193" s="142" t="e">
        <f>L100*'Emission factors Trucks&amp;Trains'!#REF!*(2-$AS$82)</f>
        <v>#REF!</v>
      </c>
      <c r="M193" s="142" t="e">
        <f>M100*'Emission factors Trucks&amp;Trains'!#REF!*(2-$AS$82)</f>
        <v>#REF!</v>
      </c>
      <c r="N193" s="142" t="e">
        <f>N100*'Emission factors Trucks&amp;Trains'!#REF!*(2-$AS$82)</f>
        <v>#REF!</v>
      </c>
      <c r="O193" s="142" t="e">
        <f>O100*'Emission factors Trucks&amp;Trains'!#REF!*(2-$AS$82)</f>
        <v>#REF!</v>
      </c>
      <c r="P193" s="142" t="e">
        <f>P100*'Emission factors Trucks&amp;Trains'!#REF!*(2-$AS$82)</f>
        <v>#REF!</v>
      </c>
      <c r="Q193" s="142" t="e">
        <f>Q100*'Emission factors Trucks&amp;Trains'!#REF!*(2-$AS$82)</f>
        <v>#REF!</v>
      </c>
      <c r="R193" s="142" t="e">
        <f>R100*'Emission factors Trucks&amp;Trains'!#REF!*(2-$AS$82)</f>
        <v>#REF!</v>
      </c>
      <c r="S193" s="142" t="e">
        <f>S100*'Emission factors Trucks&amp;Trains'!#REF!*(2-$AS$82)</f>
        <v>#REF!</v>
      </c>
      <c r="T193" s="142" t="e">
        <f>T100*'Emission factors Trucks&amp;Trains'!#REF!*(2-$AS$82)</f>
        <v>#REF!</v>
      </c>
      <c r="U193" s="142" t="e">
        <f>U100*'Emission factors Trucks&amp;Trains'!#REF!*(2-$AS$82)</f>
        <v>#REF!</v>
      </c>
      <c r="V193" s="142" t="e">
        <f>V100*'Emission factors Trucks&amp;Trains'!#REF!*(2-$AS$82)</f>
        <v>#REF!</v>
      </c>
      <c r="W193" s="142" t="e">
        <f>W100*'Emission factors Trucks&amp;Trains'!#REF!*(2-$AS$82)</f>
        <v>#REF!</v>
      </c>
      <c r="X193" s="142" t="e">
        <f>X100*'Emission factors Trucks&amp;Trains'!#REF!*(2-$AS$82)</f>
        <v>#REF!</v>
      </c>
      <c r="Y193" s="142" t="e">
        <f>Y100*'Emission factors Trucks&amp;Trains'!#REF!*(2-$AS$82)</f>
        <v>#REF!</v>
      </c>
      <c r="Z193" s="142" t="e">
        <f>Z100*'Emission factors Trucks&amp;Trains'!#REF!*(2-$AS$82)</f>
        <v>#REF!</v>
      </c>
      <c r="AA193" s="142" t="e">
        <f>AA100*'Emission factors Trucks&amp;Trains'!#REF!*(2-$AS$82)</f>
        <v>#REF!</v>
      </c>
      <c r="AB193" s="142" t="e">
        <f>AB100*'Emission factors Trucks&amp;Trains'!#REF!*(2-$AS$82)</f>
        <v>#REF!</v>
      </c>
      <c r="AF193" s="464"/>
      <c r="AG193" s="136" t="s">
        <v>347</v>
      </c>
      <c r="AH193" s="6" t="s">
        <v>344</v>
      </c>
      <c r="AI193" s="21" t="e">
        <f>AI94*'Emission factors Trucks&amp;Trains'!#REF!*(2-$AS$82)</f>
        <v>#REF!</v>
      </c>
      <c r="AJ193" s="8" t="e">
        <f>AJ94*'Emission factors Trucks&amp;Trains'!#REF!*(2-$AS$82)</f>
        <v>#REF!</v>
      </c>
      <c r="AK193" s="8" t="e">
        <f>AK94*'Emission factors Trucks&amp;Trains'!#REF!*(2-$AS$82)</f>
        <v>#REF!</v>
      </c>
      <c r="AL193" s="8" t="e">
        <f>AL94*'Emission factors Trucks&amp;Trains'!#REF!*(2-$AS$82)</f>
        <v>#REF!</v>
      </c>
      <c r="AM193" s="8" t="e">
        <f>AM94*'Emission factors Trucks&amp;Trains'!#REF!*(2-$AS$82)</f>
        <v>#REF!</v>
      </c>
      <c r="AN193" s="8" t="e">
        <f>AN94*'Emission factors Trucks&amp;Trains'!#REF!*(2-$AS$82)</f>
        <v>#REF!</v>
      </c>
      <c r="AO193" s="8" t="e">
        <f>AO94*'Emission factors Trucks&amp;Trains'!#REF!*(2-$AS$82)</f>
        <v>#REF!</v>
      </c>
      <c r="AP193" s="8" t="e">
        <f>AP94*'Emission factors Trucks&amp;Trains'!#REF!*(2-$AS$82)</f>
        <v>#REF!</v>
      </c>
      <c r="AQ193" s="8" t="e">
        <f>AQ94*'Emission factors Trucks&amp;Trains'!#REF!*(2-$AS$82)</f>
        <v>#REF!</v>
      </c>
      <c r="AR193" s="8" t="e">
        <f>AR94*'Emission factors Trucks&amp;Trains'!#REF!*(2-$AS$82)</f>
        <v>#REF!</v>
      </c>
      <c r="AS193" s="8" t="e">
        <f>AS94*'Emission factors Trucks&amp;Trains'!#REF!*(2-$AS$82)</f>
        <v>#REF!</v>
      </c>
      <c r="AT193" s="8" t="e">
        <f>AT94*'Emission factors Trucks&amp;Trains'!#REF!*(2-$AS$82)</f>
        <v>#REF!</v>
      </c>
      <c r="AU193" s="8" t="e">
        <f>AU94*'Emission factors Trucks&amp;Trains'!#REF!*(2-$AS$82)</f>
        <v>#REF!</v>
      </c>
      <c r="AV193" s="8" t="e">
        <f>AV94*'Emission factors Trucks&amp;Trains'!#REF!*(2-$AS$82)</f>
        <v>#REF!</v>
      </c>
      <c r="AW193" s="8" t="e">
        <f>AW94*'Emission factors Trucks&amp;Trains'!#REF!*(2-$AS$82)</f>
        <v>#REF!</v>
      </c>
      <c r="AX193" s="8" t="e">
        <f>AX94*'Emission factors Trucks&amp;Trains'!#REF!*(2-$AS$82)</f>
        <v>#REF!</v>
      </c>
      <c r="AY193" s="8" t="e">
        <f>AY94*'Emission factors Trucks&amp;Trains'!#REF!*(2-$AS$82)</f>
        <v>#REF!</v>
      </c>
      <c r="AZ193" s="8" t="e">
        <f>AZ94*'Emission factors Trucks&amp;Trains'!#REF!*(2-$AS$82)</f>
        <v>#REF!</v>
      </c>
      <c r="BA193" s="8" t="e">
        <f>BA94*'Emission factors Trucks&amp;Trains'!#REF!*(2-$AS$82)</f>
        <v>#REF!</v>
      </c>
      <c r="BB193" s="8" t="e">
        <f>BB94*'Emission factors Trucks&amp;Trains'!#REF!*(2-$AS$82)</f>
        <v>#REF!</v>
      </c>
      <c r="BC193" s="8" t="e">
        <f>BC94*'Emission factors Trucks&amp;Trains'!#REF!*(2-$AS$82)</f>
        <v>#REF!</v>
      </c>
      <c r="BD193" s="8" t="e">
        <f>BD94*'Emission factors Trucks&amp;Trains'!#REF!*(2-$AS$82)</f>
        <v>#REF!</v>
      </c>
      <c r="BE193" s="8" t="e">
        <f>BE94*'Emission factors Trucks&amp;Trains'!#REF!*(2-$AS$82)</f>
        <v>#REF!</v>
      </c>
      <c r="BF193" s="8" t="e">
        <f>BF94*'Emission factors Trucks&amp;Trains'!#REF!*(2-$AS$82)</f>
        <v>#REF!</v>
      </c>
      <c r="BG193" s="9" t="e">
        <f>BG94*'Emission factors Trucks&amp;Trains'!#REF!*(2-$AS$82)</f>
        <v>#REF!</v>
      </c>
    </row>
    <row r="194" spans="1:59" ht="15" customHeight="1">
      <c r="A194" s="476"/>
      <c r="B194" s="136" t="s">
        <v>349</v>
      </c>
      <c r="C194" s="112" t="s">
        <v>344</v>
      </c>
      <c r="D194" s="142" t="e">
        <f>D100*'Emission factors Trucks&amp;Trains'!#REF!*(2-$AS$82)</f>
        <v>#REF!</v>
      </c>
      <c r="E194" s="142" t="e">
        <f>E100*'Emission factors Trucks&amp;Trains'!#REF!*(2-$AS$82)</f>
        <v>#REF!</v>
      </c>
      <c r="F194" s="142" t="e">
        <f>F100*'Emission factors Trucks&amp;Trains'!#REF!*(2-$AS$82)</f>
        <v>#REF!</v>
      </c>
      <c r="G194" s="142" t="e">
        <f>G100*'Emission factors Trucks&amp;Trains'!#REF!*(2-$AS$82)</f>
        <v>#REF!</v>
      </c>
      <c r="H194" s="142" t="e">
        <f>H100*'Emission factors Trucks&amp;Trains'!#REF!*(2-$AS$82)</f>
        <v>#REF!</v>
      </c>
      <c r="I194" s="142" t="e">
        <f>I100*'Emission factors Trucks&amp;Trains'!#REF!*(2-$AS$82)</f>
        <v>#REF!</v>
      </c>
      <c r="J194" s="142" t="e">
        <f>J100*'Emission factors Trucks&amp;Trains'!#REF!*(2-$AS$82)</f>
        <v>#REF!</v>
      </c>
      <c r="K194" s="142" t="e">
        <f>K100*'Emission factors Trucks&amp;Trains'!#REF!*(2-$AS$82)</f>
        <v>#REF!</v>
      </c>
      <c r="L194" s="142" t="e">
        <f>L100*'Emission factors Trucks&amp;Trains'!#REF!*(2-$AS$82)</f>
        <v>#REF!</v>
      </c>
      <c r="M194" s="142" t="e">
        <f>M100*'Emission factors Trucks&amp;Trains'!#REF!*(2-$AS$82)</f>
        <v>#REF!</v>
      </c>
      <c r="N194" s="142" t="e">
        <f>N100*'Emission factors Trucks&amp;Trains'!#REF!*(2-$AS$82)</f>
        <v>#REF!</v>
      </c>
      <c r="O194" s="142" t="e">
        <f>O100*'Emission factors Trucks&amp;Trains'!#REF!*(2-$AS$82)</f>
        <v>#REF!</v>
      </c>
      <c r="P194" s="142" t="e">
        <f>P100*'Emission factors Trucks&amp;Trains'!#REF!*(2-$AS$82)</f>
        <v>#REF!</v>
      </c>
      <c r="Q194" s="142" t="e">
        <f>Q100*'Emission factors Trucks&amp;Trains'!#REF!*(2-$AS$82)</f>
        <v>#REF!</v>
      </c>
      <c r="R194" s="142" t="e">
        <f>R100*'Emission factors Trucks&amp;Trains'!#REF!*(2-$AS$82)</f>
        <v>#REF!</v>
      </c>
      <c r="S194" s="142" t="e">
        <f>S100*'Emission factors Trucks&amp;Trains'!#REF!*(2-$AS$82)</f>
        <v>#REF!</v>
      </c>
      <c r="T194" s="142" t="e">
        <f>T100*'Emission factors Trucks&amp;Trains'!#REF!*(2-$AS$82)</f>
        <v>#REF!</v>
      </c>
      <c r="U194" s="142" t="e">
        <f>U100*'Emission factors Trucks&amp;Trains'!#REF!*(2-$AS$82)</f>
        <v>#REF!</v>
      </c>
      <c r="V194" s="142" t="e">
        <f>V100*'Emission factors Trucks&amp;Trains'!#REF!*(2-$AS$82)</f>
        <v>#REF!</v>
      </c>
      <c r="W194" s="142" t="e">
        <f>W100*'Emission factors Trucks&amp;Trains'!#REF!*(2-$AS$82)</f>
        <v>#REF!</v>
      </c>
      <c r="X194" s="142" t="e">
        <f>X100*'Emission factors Trucks&amp;Trains'!#REF!*(2-$AS$82)</f>
        <v>#REF!</v>
      </c>
      <c r="Y194" s="142" t="e">
        <f>Y100*'Emission factors Trucks&amp;Trains'!#REF!*(2-$AS$82)</f>
        <v>#REF!</v>
      </c>
      <c r="Z194" s="142" t="e">
        <f>Z100*'Emission factors Trucks&amp;Trains'!#REF!*(2-$AS$82)</f>
        <v>#REF!</v>
      </c>
      <c r="AA194" s="142" t="e">
        <f>AA100*'Emission factors Trucks&amp;Trains'!#REF!*(2-$AS$82)</f>
        <v>#REF!</v>
      </c>
      <c r="AB194" s="142" t="e">
        <f>AB100*'Emission factors Trucks&amp;Trains'!#REF!*(2-$AS$82)</f>
        <v>#REF!</v>
      </c>
      <c r="AF194" s="464"/>
      <c r="AG194" s="136" t="s">
        <v>348</v>
      </c>
      <c r="AH194" s="6" t="s">
        <v>344</v>
      </c>
      <c r="AI194" s="21" t="e">
        <f>AI94*'Emission factors Trucks&amp;Trains'!#REF!*(2-$AS$82)</f>
        <v>#REF!</v>
      </c>
      <c r="AJ194" s="8" t="e">
        <f>AJ94*'Emission factors Trucks&amp;Trains'!#REF!*(2-$AS$82)</f>
        <v>#REF!</v>
      </c>
      <c r="AK194" s="8" t="e">
        <f>AK94*'Emission factors Trucks&amp;Trains'!#REF!*(2-$AS$82)</f>
        <v>#REF!</v>
      </c>
      <c r="AL194" s="8" t="e">
        <f>AL94*'Emission factors Trucks&amp;Trains'!#REF!*(2-$AS$82)</f>
        <v>#REF!</v>
      </c>
      <c r="AM194" s="8" t="e">
        <f>AM94*'Emission factors Trucks&amp;Trains'!#REF!*(2-$AS$82)</f>
        <v>#REF!</v>
      </c>
      <c r="AN194" s="8" t="e">
        <f>AN94*'Emission factors Trucks&amp;Trains'!#REF!*(2-$AS$82)</f>
        <v>#REF!</v>
      </c>
      <c r="AO194" s="8" t="e">
        <f>AO94*'Emission factors Trucks&amp;Trains'!#REF!*(2-$AS$82)</f>
        <v>#REF!</v>
      </c>
      <c r="AP194" s="8" t="e">
        <f>AP94*'Emission factors Trucks&amp;Trains'!#REF!*(2-$AS$82)</f>
        <v>#REF!</v>
      </c>
      <c r="AQ194" s="8" t="e">
        <f>AQ94*'Emission factors Trucks&amp;Trains'!#REF!*(2-$AS$82)</f>
        <v>#REF!</v>
      </c>
      <c r="AR194" s="8" t="e">
        <f>AR94*'Emission factors Trucks&amp;Trains'!#REF!*(2-$AS$82)</f>
        <v>#REF!</v>
      </c>
      <c r="AS194" s="8" t="e">
        <f>AS94*'Emission factors Trucks&amp;Trains'!#REF!*(2-$AS$82)</f>
        <v>#REF!</v>
      </c>
      <c r="AT194" s="8" t="e">
        <f>AT94*'Emission factors Trucks&amp;Trains'!#REF!*(2-$AS$82)</f>
        <v>#REF!</v>
      </c>
      <c r="AU194" s="8" t="e">
        <f>AU94*'Emission factors Trucks&amp;Trains'!#REF!*(2-$AS$82)</f>
        <v>#REF!</v>
      </c>
      <c r="AV194" s="8" t="e">
        <f>AV94*'Emission factors Trucks&amp;Trains'!#REF!*(2-$AS$82)</f>
        <v>#REF!</v>
      </c>
      <c r="AW194" s="8" t="e">
        <f>AW94*'Emission factors Trucks&amp;Trains'!#REF!*(2-$AS$82)</f>
        <v>#REF!</v>
      </c>
      <c r="AX194" s="8" t="e">
        <f>AX94*'Emission factors Trucks&amp;Trains'!#REF!*(2-$AS$82)</f>
        <v>#REF!</v>
      </c>
      <c r="AY194" s="8" t="e">
        <f>AY94*'Emission factors Trucks&amp;Trains'!#REF!*(2-$AS$82)</f>
        <v>#REF!</v>
      </c>
      <c r="AZ194" s="8" t="e">
        <f>AZ94*'Emission factors Trucks&amp;Trains'!#REF!*(2-$AS$82)</f>
        <v>#REF!</v>
      </c>
      <c r="BA194" s="8" t="e">
        <f>BA94*'Emission factors Trucks&amp;Trains'!#REF!*(2-$AS$82)</f>
        <v>#REF!</v>
      </c>
      <c r="BB194" s="8" t="e">
        <f>BB94*'Emission factors Trucks&amp;Trains'!#REF!*(2-$AS$82)</f>
        <v>#REF!</v>
      </c>
      <c r="BC194" s="8" t="e">
        <f>BC94*'Emission factors Trucks&amp;Trains'!#REF!*(2-$AS$82)</f>
        <v>#REF!</v>
      </c>
      <c r="BD194" s="8" t="e">
        <f>BD94*'Emission factors Trucks&amp;Trains'!#REF!*(2-$AS$82)</f>
        <v>#REF!</v>
      </c>
      <c r="BE194" s="8" t="e">
        <f>BE94*'Emission factors Trucks&amp;Trains'!#REF!*(2-$AS$82)</f>
        <v>#REF!</v>
      </c>
      <c r="BF194" s="8" t="e">
        <f>BF94*'Emission factors Trucks&amp;Trains'!#REF!*(2-$AS$82)</f>
        <v>#REF!</v>
      </c>
      <c r="BG194" s="9" t="e">
        <f>BG94*'Emission factors Trucks&amp;Trains'!#REF!*(2-$AS$82)</f>
        <v>#REF!</v>
      </c>
    </row>
    <row r="195" spans="1:59" ht="15" customHeight="1">
      <c r="A195" s="476"/>
      <c r="B195" s="137" t="s">
        <v>246</v>
      </c>
      <c r="C195" s="138" t="s">
        <v>344</v>
      </c>
      <c r="D195" s="142">
        <f>D100*'Emission factors Trucks&amp;Trains'!B13*(2-$AS$82)</f>
        <v>0</v>
      </c>
      <c r="E195" s="142">
        <f>E100*'Emission factors Trucks&amp;Trains'!C13*(2-$AS$82)</f>
        <v>0</v>
      </c>
      <c r="F195" s="142">
        <f>F100*'Emission factors Trucks&amp;Trains'!D13*(2-$AS$82)</f>
        <v>0</v>
      </c>
      <c r="G195" s="142">
        <f>G100*'Emission factors Trucks&amp;Trains'!E13*(2-$AS$82)</f>
        <v>0</v>
      </c>
      <c r="H195" s="142">
        <f>H100*'Emission factors Trucks&amp;Trains'!F13*(2-$AS$82)</f>
        <v>5694.2145366679733</v>
      </c>
      <c r="I195" s="142">
        <f>I100*'Emission factors Trucks&amp;Trains'!G13*(2-$AS$82)</f>
        <v>53532.077876511852</v>
      </c>
      <c r="J195" s="142">
        <f>J100*'Emission factors Trucks&amp;Trains'!H13*(2-$AS$82)</f>
        <v>95583.704544844179</v>
      </c>
      <c r="K195" s="142">
        <f>K100*'Emission factors Trucks&amp;Trains'!I13*(2-$AS$82)</f>
        <v>124287.00421627818</v>
      </c>
      <c r="L195" s="142">
        <f>L100*'Emission factors Trucks&amp;Trains'!J13*(2-$AS$82)</f>
        <v>59967.541459036263</v>
      </c>
      <c r="M195" s="142">
        <f>M100*'Emission factors Trucks&amp;Trains'!K13*(2-$AS$82)</f>
        <v>63152.90101620269</v>
      </c>
      <c r="N195" s="142">
        <f>N100*'Emission factors Trucks&amp;Trains'!L13*(2-$AS$82)</f>
        <v>69493.939151621234</v>
      </c>
      <c r="O195" s="142">
        <f>O100*'Emission factors Trucks&amp;Trains'!M13*(2-$AS$82)</f>
        <v>74696.920342215555</v>
      </c>
      <c r="P195" s="142">
        <f>P100*'Emission factors Trucks&amp;Trains'!N13*(2-$AS$82)</f>
        <v>80676.872703508154</v>
      </c>
      <c r="Q195" s="142">
        <f>Q100*'Emission factors Trucks&amp;Trains'!O13*(2-$AS$82)</f>
        <v>63343.384730141988</v>
      </c>
      <c r="R195" s="142">
        <f>R100*'Emission factors Trucks&amp;Trains'!P13*(2-$AS$82)</f>
        <v>52522.756073205353</v>
      </c>
      <c r="S195" s="142">
        <f>S100*'Emission factors Trucks&amp;Trains'!Q13*(2-$AS$82)</f>
        <v>37717.396825701231</v>
      </c>
      <c r="T195" s="142">
        <f>T100*'Emission factors Trucks&amp;Trains'!R13*(2-$AS$82)</f>
        <v>39556.773369069742</v>
      </c>
      <c r="U195" s="142">
        <f>U100*'Emission factors Trucks&amp;Trains'!S13*(2-$AS$82)</f>
        <v>38361.137767163265</v>
      </c>
      <c r="V195" s="142">
        <f>V100*'Emission factors Trucks&amp;Trains'!T13*(2-$AS$82)</f>
        <v>37975.483080019629</v>
      </c>
      <c r="W195" s="142">
        <f>W100*'Emission factors Trucks&amp;Trains'!U13*(2-$AS$82)</f>
        <v>38834.867774863684</v>
      </c>
      <c r="X195" s="142">
        <f>X100*'Emission factors Trucks&amp;Trains'!V13*(2-$AS$82)</f>
        <v>40513.017950266338</v>
      </c>
      <c r="Y195" s="142">
        <f>Y100*'Emission factors Trucks&amp;Trains'!W13*(2-$AS$82)</f>
        <v>41149.375790323982</v>
      </c>
      <c r="Z195" s="142">
        <f>Z100*'Emission factors Trucks&amp;Trains'!X13*(2-$AS$82)</f>
        <v>41955.883387548667</v>
      </c>
      <c r="AA195" s="142">
        <f>AA100*'Emission factors Trucks&amp;Trains'!Y13*(2-$AS$82)</f>
        <v>42721.792513501139</v>
      </c>
      <c r="AB195" s="142">
        <f>AB100*'Emission factors Trucks&amp;Trains'!Z13*(2-$AS$82)</f>
        <v>44002.718544756688</v>
      </c>
      <c r="AF195" s="464"/>
      <c r="AG195" s="136" t="s">
        <v>349</v>
      </c>
      <c r="AH195" s="6" t="s">
        <v>344</v>
      </c>
      <c r="AI195" s="21" t="e">
        <f>AI94*'Emission factors Trucks&amp;Trains'!#REF!*(2-$AS$82)</f>
        <v>#REF!</v>
      </c>
      <c r="AJ195" s="8" t="e">
        <f>AJ94*'Emission factors Trucks&amp;Trains'!#REF!*(2-$AS$82)</f>
        <v>#REF!</v>
      </c>
      <c r="AK195" s="8" t="e">
        <f>AK94*'Emission factors Trucks&amp;Trains'!#REF!*(2-$AS$82)</f>
        <v>#REF!</v>
      </c>
      <c r="AL195" s="8" t="e">
        <f>AL94*'Emission factors Trucks&amp;Trains'!#REF!*(2-$AS$82)</f>
        <v>#REF!</v>
      </c>
      <c r="AM195" s="8" t="e">
        <f>AM94*'Emission factors Trucks&amp;Trains'!#REF!*(2-$AS$82)</f>
        <v>#REF!</v>
      </c>
      <c r="AN195" s="8" t="e">
        <f>AN94*'Emission factors Trucks&amp;Trains'!#REF!*(2-$AS$82)</f>
        <v>#REF!</v>
      </c>
      <c r="AO195" s="8" t="e">
        <f>AO94*'Emission factors Trucks&amp;Trains'!#REF!*(2-$AS$82)</f>
        <v>#REF!</v>
      </c>
      <c r="AP195" s="8" t="e">
        <f>AP94*'Emission factors Trucks&amp;Trains'!#REF!*(2-$AS$82)</f>
        <v>#REF!</v>
      </c>
      <c r="AQ195" s="8" t="e">
        <f>AQ94*'Emission factors Trucks&amp;Trains'!#REF!*(2-$AS$82)</f>
        <v>#REF!</v>
      </c>
      <c r="AR195" s="8" t="e">
        <f>AR94*'Emission factors Trucks&amp;Trains'!#REF!*(2-$AS$82)</f>
        <v>#REF!</v>
      </c>
      <c r="AS195" s="8" t="e">
        <f>AS94*'Emission factors Trucks&amp;Trains'!#REF!*(2-$AS$82)</f>
        <v>#REF!</v>
      </c>
      <c r="AT195" s="8" t="e">
        <f>AT94*'Emission factors Trucks&amp;Trains'!#REF!*(2-$AS$82)</f>
        <v>#REF!</v>
      </c>
      <c r="AU195" s="8" t="e">
        <f>AU94*'Emission factors Trucks&amp;Trains'!#REF!*(2-$AS$82)</f>
        <v>#REF!</v>
      </c>
      <c r="AV195" s="8" t="e">
        <f>AV94*'Emission factors Trucks&amp;Trains'!#REF!*(2-$AS$82)</f>
        <v>#REF!</v>
      </c>
      <c r="AW195" s="8" t="e">
        <f>AW94*'Emission factors Trucks&amp;Trains'!#REF!*(2-$AS$82)</f>
        <v>#REF!</v>
      </c>
      <c r="AX195" s="8" t="e">
        <f>AX94*'Emission factors Trucks&amp;Trains'!#REF!*(2-$AS$82)</f>
        <v>#REF!</v>
      </c>
      <c r="AY195" s="8" t="e">
        <f>AY94*'Emission factors Trucks&amp;Trains'!#REF!*(2-$AS$82)</f>
        <v>#REF!</v>
      </c>
      <c r="AZ195" s="8" t="e">
        <f>AZ94*'Emission factors Trucks&amp;Trains'!#REF!*(2-$AS$82)</f>
        <v>#REF!</v>
      </c>
      <c r="BA195" s="8" t="e">
        <f>BA94*'Emission factors Trucks&amp;Trains'!#REF!*(2-$AS$82)</f>
        <v>#REF!</v>
      </c>
      <c r="BB195" s="8" t="e">
        <f>BB94*'Emission factors Trucks&amp;Trains'!#REF!*(2-$AS$82)</f>
        <v>#REF!</v>
      </c>
      <c r="BC195" s="8" t="e">
        <f>BC94*'Emission factors Trucks&amp;Trains'!#REF!*(2-$AS$82)</f>
        <v>#REF!</v>
      </c>
      <c r="BD195" s="8" t="e">
        <f>BD94*'Emission factors Trucks&amp;Trains'!#REF!*(2-$AS$82)</f>
        <v>#REF!</v>
      </c>
      <c r="BE195" s="8" t="e">
        <f>BE94*'Emission factors Trucks&amp;Trains'!#REF!*(2-$AS$82)</f>
        <v>#REF!</v>
      </c>
      <c r="BF195" s="8" t="e">
        <f>BF94*'Emission factors Trucks&amp;Trains'!#REF!*(2-$AS$82)</f>
        <v>#REF!</v>
      </c>
      <c r="BG195" s="9" t="e">
        <f>BG94*'Emission factors Trucks&amp;Trains'!#REF!*(2-$AS$82)</f>
        <v>#REF!</v>
      </c>
    </row>
    <row r="196" spans="1:59" ht="15" customHeight="1">
      <c r="A196" s="476"/>
      <c r="B196" s="12" t="s">
        <v>104</v>
      </c>
      <c r="C196" s="11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F196" s="464"/>
      <c r="AG196" s="136" t="s">
        <v>246</v>
      </c>
      <c r="AH196" s="6" t="s">
        <v>344</v>
      </c>
      <c r="AI196" s="21">
        <f>AI94*'Emission factors Trucks&amp;Trains'!F13*(2-$AS$82)</f>
        <v>0</v>
      </c>
      <c r="AJ196" s="8">
        <f>AJ94*'Emission factors Trucks&amp;Trains'!G13*(2-$AS$82)</f>
        <v>0</v>
      </c>
      <c r="AK196" s="8">
        <f>AK94*'Emission factors Trucks&amp;Trains'!H13*(2-$AS$82)</f>
        <v>0</v>
      </c>
      <c r="AL196" s="8">
        <f>AL94*'Emission factors Trucks&amp;Trains'!I13*(2-$AS$82)</f>
        <v>0</v>
      </c>
      <c r="AM196" s="8">
        <f>AM94*'Emission factors Trucks&amp;Trains'!J13*(2-$AS$82)</f>
        <v>0</v>
      </c>
      <c r="AN196" s="8">
        <f>AN94*'Emission factors Trucks&amp;Trains'!K13*(2-$AS$82)</f>
        <v>0</v>
      </c>
      <c r="AO196" s="8">
        <f>AO94*'Emission factors Trucks&amp;Trains'!L13*(2-$AS$82)</f>
        <v>0</v>
      </c>
      <c r="AP196" s="8">
        <f>AP94*'Emission factors Trucks&amp;Trains'!M13*(2-$AS$82)</f>
        <v>0</v>
      </c>
      <c r="AQ196" s="8">
        <f>AQ94*'Emission factors Trucks&amp;Trains'!N13*(2-$AS$82)</f>
        <v>0</v>
      </c>
      <c r="AR196" s="8">
        <f>AR94*'Emission factors Trucks&amp;Trains'!O13*(2-$AS$82)</f>
        <v>0</v>
      </c>
      <c r="AS196" s="8">
        <f>AS94*'Emission factors Trucks&amp;Trains'!P13*(2-$AS$82)</f>
        <v>0</v>
      </c>
      <c r="AT196" s="8">
        <f>AT94*'Emission factors Trucks&amp;Trains'!Q13*(2-$AS$82)</f>
        <v>0</v>
      </c>
      <c r="AU196" s="8">
        <f>AU94*'Emission factors Trucks&amp;Trains'!R13*(2-$AS$82)</f>
        <v>0</v>
      </c>
      <c r="AV196" s="8">
        <f>AV94*'Emission factors Trucks&amp;Trains'!S13*(2-$AS$82)</f>
        <v>0</v>
      </c>
      <c r="AW196" s="8">
        <f>AW94*'Emission factors Trucks&amp;Trains'!T13*(2-$AS$82)</f>
        <v>0</v>
      </c>
      <c r="AX196" s="8">
        <f>AX94*'Emission factors Trucks&amp;Trains'!U13*(2-$AS$82)</f>
        <v>0</v>
      </c>
      <c r="AY196" s="8">
        <f>AY94*'Emission factors Trucks&amp;Trains'!V13*(2-$AS$82)</f>
        <v>0</v>
      </c>
      <c r="AZ196" s="8">
        <f>AZ94*'Emission factors Trucks&amp;Trains'!W13*(2-$AS$82)</f>
        <v>0</v>
      </c>
      <c r="BA196" s="8">
        <f>BA94*'Emission factors Trucks&amp;Trains'!X13*(2-$AS$82)</f>
        <v>0</v>
      </c>
      <c r="BB196" s="8">
        <f>BB94*'Emission factors Trucks&amp;Trains'!Y13*(2-$AS$82)</f>
        <v>0</v>
      </c>
      <c r="BC196" s="8">
        <f>BC94*'Emission factors Trucks&amp;Trains'!Z13*(2-$AS$82)</f>
        <v>0</v>
      </c>
      <c r="BD196" s="8">
        <f>BD94*'Emission factors Trucks&amp;Trains'!AA13*(2-$AS$82)</f>
        <v>0</v>
      </c>
      <c r="BE196" s="8">
        <f>BE94*'Emission factors Trucks&amp;Trains'!AB13*(2-$AS$82)</f>
        <v>0</v>
      </c>
      <c r="BF196" s="8">
        <f>BF94*'Emission factors Trucks&amp;Trains'!AC13*(2-$AS$82)</f>
        <v>0</v>
      </c>
      <c r="BG196" s="9">
        <f>BG94*'Emission factors Trucks&amp;Trains'!AD13*(2-$AS$82)</f>
        <v>0</v>
      </c>
    </row>
    <row r="197" spans="1:59" ht="15" customHeight="1">
      <c r="A197" s="476"/>
      <c r="B197" s="136" t="s">
        <v>343</v>
      </c>
      <c r="C197" s="112" t="s">
        <v>344</v>
      </c>
      <c r="D197" s="142" t="e">
        <f>#REF!*'Emission factors Trucks&amp;Trains'!#REF!*(2-$AS$82)</f>
        <v>#REF!</v>
      </c>
      <c r="E197" s="142" t="e">
        <f>#REF!*'Emission factors Trucks&amp;Trains'!#REF!*(2-$AS$82)</f>
        <v>#REF!</v>
      </c>
      <c r="F197" s="142" t="e">
        <f>#REF!*'Emission factors Trucks&amp;Trains'!#REF!*(2-$AS$82)</f>
        <v>#REF!</v>
      </c>
      <c r="G197" s="142" t="e">
        <f>#REF!*'Emission factors Trucks&amp;Trains'!#REF!*(2-$AS$82)</f>
        <v>#REF!</v>
      </c>
      <c r="H197" s="142" t="e">
        <f>#REF!*'Emission factors Trucks&amp;Trains'!#REF!*(2-$AS$82)</f>
        <v>#REF!</v>
      </c>
      <c r="I197" s="142" t="e">
        <f>#REF!*'Emission factors Trucks&amp;Trains'!#REF!*(2-$AS$82)</f>
        <v>#REF!</v>
      </c>
      <c r="J197" s="142" t="e">
        <f>#REF!*'Emission factors Trucks&amp;Trains'!#REF!*(2-$AS$82)</f>
        <v>#REF!</v>
      </c>
      <c r="K197" s="142" t="e">
        <f>#REF!*'Emission factors Trucks&amp;Trains'!#REF!*(2-$AS$82)</f>
        <v>#REF!</v>
      </c>
      <c r="L197" s="142" t="e">
        <f>#REF!*'Emission factors Trucks&amp;Trains'!#REF!*(2-$AS$82)</f>
        <v>#REF!</v>
      </c>
      <c r="M197" s="142" t="e">
        <f>#REF!*'Emission factors Trucks&amp;Trains'!#REF!*(2-$AS$82)</f>
        <v>#REF!</v>
      </c>
      <c r="N197" s="142" t="e">
        <f>#REF!*'Emission factors Trucks&amp;Trains'!#REF!*(2-$AS$82)</f>
        <v>#REF!</v>
      </c>
      <c r="O197" s="142" t="e">
        <f>#REF!*'Emission factors Trucks&amp;Trains'!#REF!*(2-$AS$82)</f>
        <v>#REF!</v>
      </c>
      <c r="P197" s="142" t="e">
        <f>#REF!*'Emission factors Trucks&amp;Trains'!#REF!*(2-$AS$82)</f>
        <v>#REF!</v>
      </c>
      <c r="Q197" s="142" t="e">
        <f>#REF!*'Emission factors Trucks&amp;Trains'!#REF!*(2-$AS$82)</f>
        <v>#REF!</v>
      </c>
      <c r="R197" s="142" t="e">
        <f>#REF!*'Emission factors Trucks&amp;Trains'!#REF!*(2-$AS$82)</f>
        <v>#REF!</v>
      </c>
      <c r="S197" s="142" t="e">
        <f>#REF!*'Emission factors Trucks&amp;Trains'!#REF!*(2-$AS$82)</f>
        <v>#REF!</v>
      </c>
      <c r="T197" s="142" t="e">
        <f>#REF!*'Emission factors Trucks&amp;Trains'!#REF!*(2-$AS$82)</f>
        <v>#REF!</v>
      </c>
      <c r="U197" s="142" t="e">
        <f>#REF!*'Emission factors Trucks&amp;Trains'!#REF!*(2-$AS$82)</f>
        <v>#REF!</v>
      </c>
      <c r="V197" s="142" t="e">
        <f>#REF!*'Emission factors Trucks&amp;Trains'!#REF!*(2-$AS$82)</f>
        <v>#REF!</v>
      </c>
      <c r="W197" s="142" t="e">
        <f>#REF!*'Emission factors Trucks&amp;Trains'!#REF!*(2-$AS$82)</f>
        <v>#REF!</v>
      </c>
      <c r="X197" s="142" t="e">
        <f>#REF!*'Emission factors Trucks&amp;Trains'!#REF!*(2-$AS$82)</f>
        <v>#REF!</v>
      </c>
      <c r="Y197" s="142" t="e">
        <f>#REF!*'Emission factors Trucks&amp;Trains'!#REF!*(2-$AS$82)</f>
        <v>#REF!</v>
      </c>
      <c r="Z197" s="142" t="e">
        <f>#REF!*'Emission factors Trucks&amp;Trains'!#REF!*(2-$AS$82)</f>
        <v>#REF!</v>
      </c>
      <c r="AA197" s="142" t="e">
        <f>#REF!*'Emission factors Trucks&amp;Trains'!#REF!*(2-$AS$82)</f>
        <v>#REF!</v>
      </c>
      <c r="AB197" s="142" t="e">
        <f>#REF!*'Emission factors Trucks&amp;Trains'!#REF!*(2-$AS$82)</f>
        <v>#REF!</v>
      </c>
      <c r="AF197" s="464"/>
      <c r="AG197" s="2" t="s">
        <v>34</v>
      </c>
      <c r="AI197" s="21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9"/>
    </row>
    <row r="198" spans="1:59" ht="15" customHeight="1">
      <c r="A198" s="476"/>
      <c r="B198" s="136" t="s">
        <v>345</v>
      </c>
      <c r="C198" s="112" t="s">
        <v>344</v>
      </c>
      <c r="D198" s="142" t="e">
        <f>#REF!*'Emission factors Trucks&amp;Trains'!#REF!*(2-$AS$82)</f>
        <v>#REF!</v>
      </c>
      <c r="E198" s="142" t="e">
        <f>#REF!*'Emission factors Trucks&amp;Trains'!#REF!*(2-$AS$82)</f>
        <v>#REF!</v>
      </c>
      <c r="F198" s="142" t="e">
        <f>#REF!*'Emission factors Trucks&amp;Trains'!#REF!*(2-$AS$82)</f>
        <v>#REF!</v>
      </c>
      <c r="G198" s="142" t="e">
        <f>#REF!*'Emission factors Trucks&amp;Trains'!#REF!*(2-$AS$82)</f>
        <v>#REF!</v>
      </c>
      <c r="H198" s="142" t="e">
        <f>#REF!*'Emission factors Trucks&amp;Trains'!#REF!*(2-$AS$82)</f>
        <v>#REF!</v>
      </c>
      <c r="I198" s="142" t="e">
        <f>#REF!*'Emission factors Trucks&amp;Trains'!#REF!*(2-$AS$82)</f>
        <v>#REF!</v>
      </c>
      <c r="J198" s="142" t="e">
        <f>#REF!*'Emission factors Trucks&amp;Trains'!#REF!*(2-$AS$82)</f>
        <v>#REF!</v>
      </c>
      <c r="K198" s="142" t="e">
        <f>#REF!*'Emission factors Trucks&amp;Trains'!#REF!*(2-$AS$82)</f>
        <v>#REF!</v>
      </c>
      <c r="L198" s="142" t="e">
        <f>#REF!*'Emission factors Trucks&amp;Trains'!#REF!*(2-$AS$82)</f>
        <v>#REF!</v>
      </c>
      <c r="M198" s="142" t="e">
        <f>#REF!*'Emission factors Trucks&amp;Trains'!#REF!*(2-$AS$82)</f>
        <v>#REF!</v>
      </c>
      <c r="N198" s="142" t="e">
        <f>#REF!*'Emission factors Trucks&amp;Trains'!#REF!*(2-$AS$82)</f>
        <v>#REF!</v>
      </c>
      <c r="O198" s="142" t="e">
        <f>#REF!*'Emission factors Trucks&amp;Trains'!#REF!*(2-$AS$82)</f>
        <v>#REF!</v>
      </c>
      <c r="P198" s="142" t="e">
        <f>#REF!*'Emission factors Trucks&amp;Trains'!#REF!*(2-$AS$82)</f>
        <v>#REF!</v>
      </c>
      <c r="Q198" s="142" t="e">
        <f>#REF!*'Emission factors Trucks&amp;Trains'!#REF!*(2-$AS$82)</f>
        <v>#REF!</v>
      </c>
      <c r="R198" s="142" t="e">
        <f>#REF!*'Emission factors Trucks&amp;Trains'!#REF!*(2-$AS$82)</f>
        <v>#REF!</v>
      </c>
      <c r="S198" s="142" t="e">
        <f>#REF!*'Emission factors Trucks&amp;Trains'!#REF!*(2-$AS$82)</f>
        <v>#REF!</v>
      </c>
      <c r="T198" s="142" t="e">
        <f>#REF!*'Emission factors Trucks&amp;Trains'!#REF!*(2-$AS$82)</f>
        <v>#REF!</v>
      </c>
      <c r="U198" s="142" t="e">
        <f>#REF!*'Emission factors Trucks&amp;Trains'!#REF!*(2-$AS$82)</f>
        <v>#REF!</v>
      </c>
      <c r="V198" s="142" t="e">
        <f>#REF!*'Emission factors Trucks&amp;Trains'!#REF!*(2-$AS$82)</f>
        <v>#REF!</v>
      </c>
      <c r="W198" s="142" t="e">
        <f>#REF!*'Emission factors Trucks&amp;Trains'!#REF!*(2-$AS$82)</f>
        <v>#REF!</v>
      </c>
      <c r="X198" s="142" t="e">
        <f>#REF!*'Emission factors Trucks&amp;Trains'!#REF!*(2-$AS$82)</f>
        <v>#REF!</v>
      </c>
      <c r="Y198" s="142" t="e">
        <f>#REF!*'Emission factors Trucks&amp;Trains'!#REF!*(2-$AS$82)</f>
        <v>#REF!</v>
      </c>
      <c r="Z198" s="142" t="e">
        <f>#REF!*'Emission factors Trucks&amp;Trains'!#REF!*(2-$AS$82)</f>
        <v>#REF!</v>
      </c>
      <c r="AA198" s="142" t="e">
        <f>#REF!*'Emission factors Trucks&amp;Trains'!#REF!*(2-$AS$82)</f>
        <v>#REF!</v>
      </c>
      <c r="AB198" s="142" t="e">
        <f>#REF!*'Emission factors Trucks&amp;Trains'!#REF!*(2-$AS$82)</f>
        <v>#REF!</v>
      </c>
      <c r="AF198" s="464"/>
      <c r="AG198" s="136" t="s">
        <v>343</v>
      </c>
      <c r="AH198" s="6" t="s">
        <v>344</v>
      </c>
      <c r="AI198" s="21" t="e">
        <f>AI95*'Emission factors Trucks&amp;Trains'!#REF!*(2-$AS$82)</f>
        <v>#REF!</v>
      </c>
      <c r="AJ198" s="8" t="e">
        <f>AJ95*'Emission factors Trucks&amp;Trains'!#REF!*(2-$AS$82)</f>
        <v>#REF!</v>
      </c>
      <c r="AK198" s="8" t="e">
        <f>AK95*'Emission factors Trucks&amp;Trains'!#REF!*(2-$AS$82)</f>
        <v>#REF!</v>
      </c>
      <c r="AL198" s="8" t="e">
        <f>AL95*'Emission factors Trucks&amp;Trains'!#REF!*(2-$AS$82)</f>
        <v>#REF!</v>
      </c>
      <c r="AM198" s="8" t="e">
        <f>AM95*'Emission factors Trucks&amp;Trains'!#REF!*(2-$AS$82)</f>
        <v>#REF!</v>
      </c>
      <c r="AN198" s="8" t="e">
        <f>AN95*'Emission factors Trucks&amp;Trains'!#REF!*(2-$AS$82)</f>
        <v>#REF!</v>
      </c>
      <c r="AO198" s="8" t="e">
        <f>AO95*'Emission factors Trucks&amp;Trains'!#REF!*(2-$AS$82)</f>
        <v>#REF!</v>
      </c>
      <c r="AP198" s="8" t="e">
        <f>AP95*'Emission factors Trucks&amp;Trains'!#REF!*(2-$AS$82)</f>
        <v>#REF!</v>
      </c>
      <c r="AQ198" s="8" t="e">
        <f>AQ95*'Emission factors Trucks&amp;Trains'!#REF!*(2-$AS$82)</f>
        <v>#REF!</v>
      </c>
      <c r="AR198" s="8" t="e">
        <f>AR95*'Emission factors Trucks&amp;Trains'!#REF!*(2-$AS$82)</f>
        <v>#REF!</v>
      </c>
      <c r="AS198" s="8" t="e">
        <f>AS95*'Emission factors Trucks&amp;Trains'!#REF!*(2-$AS$82)</f>
        <v>#REF!</v>
      </c>
      <c r="AT198" s="8" t="e">
        <f>AT95*'Emission factors Trucks&amp;Trains'!#REF!*(2-$AS$82)</f>
        <v>#REF!</v>
      </c>
      <c r="AU198" s="8" t="e">
        <f>AU95*'Emission factors Trucks&amp;Trains'!#REF!*(2-$AS$82)</f>
        <v>#REF!</v>
      </c>
      <c r="AV198" s="8" t="e">
        <f>AV95*'Emission factors Trucks&amp;Trains'!#REF!*(2-$AS$82)</f>
        <v>#REF!</v>
      </c>
      <c r="AW198" s="8" t="e">
        <f>AW95*'Emission factors Trucks&amp;Trains'!#REF!*(2-$AS$82)</f>
        <v>#REF!</v>
      </c>
      <c r="AX198" s="8" t="e">
        <f>AX95*'Emission factors Trucks&amp;Trains'!#REF!*(2-$AS$82)</f>
        <v>#REF!</v>
      </c>
      <c r="AY198" s="8" t="e">
        <f>AY95*'Emission factors Trucks&amp;Trains'!#REF!*(2-$AS$82)</f>
        <v>#REF!</v>
      </c>
      <c r="AZ198" s="8" t="e">
        <f>AZ95*'Emission factors Trucks&amp;Trains'!#REF!*(2-$AS$82)</f>
        <v>#REF!</v>
      </c>
      <c r="BA198" s="8" t="e">
        <f>BA95*'Emission factors Trucks&amp;Trains'!#REF!*(2-$AS$82)</f>
        <v>#REF!</v>
      </c>
      <c r="BB198" s="8" t="e">
        <f>BB95*'Emission factors Trucks&amp;Trains'!#REF!*(2-$AS$82)</f>
        <v>#REF!</v>
      </c>
      <c r="BC198" s="8" t="e">
        <f>BC95*'Emission factors Trucks&amp;Trains'!#REF!*(2-$AS$82)</f>
        <v>#REF!</v>
      </c>
      <c r="BD198" s="8" t="e">
        <f>BD95*'Emission factors Trucks&amp;Trains'!#REF!*(2-$AS$82)</f>
        <v>#REF!</v>
      </c>
      <c r="BE198" s="8" t="e">
        <f>BE95*'Emission factors Trucks&amp;Trains'!#REF!*(2-$AS$82)</f>
        <v>#REF!</v>
      </c>
      <c r="BF198" s="8" t="e">
        <f>BF95*'Emission factors Trucks&amp;Trains'!#REF!*(2-$AS$82)</f>
        <v>#REF!</v>
      </c>
      <c r="BG198" s="9" t="e">
        <f>BG95*'Emission factors Trucks&amp;Trains'!#REF!*(2-$AS$82)</f>
        <v>#REF!</v>
      </c>
    </row>
    <row r="199" spans="1:59" ht="15" customHeight="1">
      <c r="A199" s="476"/>
      <c r="B199" s="136" t="s">
        <v>346</v>
      </c>
      <c r="C199" s="112" t="s">
        <v>344</v>
      </c>
      <c r="D199" s="142" t="e">
        <f>#REF!*'Emission factors Trucks&amp;Trains'!#REF!*(2-$AS$82)</f>
        <v>#REF!</v>
      </c>
      <c r="E199" s="142" t="e">
        <f>#REF!*'Emission factors Trucks&amp;Trains'!#REF!*(2-$AS$82)</f>
        <v>#REF!</v>
      </c>
      <c r="F199" s="142" t="e">
        <f>#REF!*'Emission factors Trucks&amp;Trains'!#REF!*(2-$AS$82)</f>
        <v>#REF!</v>
      </c>
      <c r="G199" s="142" t="e">
        <f>#REF!*'Emission factors Trucks&amp;Trains'!#REF!*(2-$AS$82)</f>
        <v>#REF!</v>
      </c>
      <c r="H199" s="142" t="e">
        <f>#REF!*'Emission factors Trucks&amp;Trains'!#REF!*(2-$AS$82)</f>
        <v>#REF!</v>
      </c>
      <c r="I199" s="142" t="e">
        <f>#REF!*'Emission factors Trucks&amp;Trains'!#REF!*(2-$AS$82)</f>
        <v>#REF!</v>
      </c>
      <c r="J199" s="142" t="e">
        <f>#REF!*'Emission factors Trucks&amp;Trains'!#REF!*(2-$AS$82)</f>
        <v>#REF!</v>
      </c>
      <c r="K199" s="142" t="e">
        <f>#REF!*'Emission factors Trucks&amp;Trains'!#REF!*(2-$AS$82)</f>
        <v>#REF!</v>
      </c>
      <c r="L199" s="142" t="e">
        <f>#REF!*'Emission factors Trucks&amp;Trains'!#REF!*(2-$AS$82)</f>
        <v>#REF!</v>
      </c>
      <c r="M199" s="142" t="e">
        <f>#REF!*'Emission factors Trucks&amp;Trains'!#REF!*(2-$AS$82)</f>
        <v>#REF!</v>
      </c>
      <c r="N199" s="142" t="e">
        <f>#REF!*'Emission factors Trucks&amp;Trains'!#REF!*(2-$AS$82)</f>
        <v>#REF!</v>
      </c>
      <c r="O199" s="142" t="e">
        <f>#REF!*'Emission factors Trucks&amp;Trains'!#REF!*(2-$AS$82)</f>
        <v>#REF!</v>
      </c>
      <c r="P199" s="142" t="e">
        <f>#REF!*'Emission factors Trucks&amp;Trains'!#REF!*(2-$AS$82)</f>
        <v>#REF!</v>
      </c>
      <c r="Q199" s="142" t="e">
        <f>#REF!*'Emission factors Trucks&amp;Trains'!#REF!*(2-$AS$82)</f>
        <v>#REF!</v>
      </c>
      <c r="R199" s="142" t="e">
        <f>#REF!*'Emission factors Trucks&amp;Trains'!#REF!*(2-$AS$82)</f>
        <v>#REF!</v>
      </c>
      <c r="S199" s="142" t="e">
        <f>#REF!*'Emission factors Trucks&amp;Trains'!#REF!*(2-$AS$82)</f>
        <v>#REF!</v>
      </c>
      <c r="T199" s="142" t="e">
        <f>#REF!*'Emission factors Trucks&amp;Trains'!#REF!*(2-$AS$82)</f>
        <v>#REF!</v>
      </c>
      <c r="U199" s="142" t="e">
        <f>#REF!*'Emission factors Trucks&amp;Trains'!#REF!*(2-$AS$82)</f>
        <v>#REF!</v>
      </c>
      <c r="V199" s="142" t="e">
        <f>#REF!*'Emission factors Trucks&amp;Trains'!#REF!*(2-$AS$82)</f>
        <v>#REF!</v>
      </c>
      <c r="W199" s="142" t="e">
        <f>#REF!*'Emission factors Trucks&amp;Trains'!#REF!*(2-$AS$82)</f>
        <v>#REF!</v>
      </c>
      <c r="X199" s="142" t="e">
        <f>#REF!*'Emission factors Trucks&amp;Trains'!#REF!*(2-$AS$82)</f>
        <v>#REF!</v>
      </c>
      <c r="Y199" s="142" t="e">
        <f>#REF!*'Emission factors Trucks&amp;Trains'!#REF!*(2-$AS$82)</f>
        <v>#REF!</v>
      </c>
      <c r="Z199" s="142" t="e">
        <f>#REF!*'Emission factors Trucks&amp;Trains'!#REF!*(2-$AS$82)</f>
        <v>#REF!</v>
      </c>
      <c r="AA199" s="142" t="e">
        <f>#REF!*'Emission factors Trucks&amp;Trains'!#REF!*(2-$AS$82)</f>
        <v>#REF!</v>
      </c>
      <c r="AB199" s="142" t="e">
        <f>#REF!*'Emission factors Trucks&amp;Trains'!#REF!*(2-$AS$82)</f>
        <v>#REF!</v>
      </c>
      <c r="AF199" s="464"/>
      <c r="AG199" s="136" t="s">
        <v>345</v>
      </c>
      <c r="AH199" s="6" t="s">
        <v>344</v>
      </c>
      <c r="AI199" s="21" t="e">
        <f>AI95*'Emission factors Trucks&amp;Trains'!#REF!*(2-$AS$82)</f>
        <v>#REF!</v>
      </c>
      <c r="AJ199" s="8" t="e">
        <f>AJ95*'Emission factors Trucks&amp;Trains'!#REF!*(2-$AS$82)</f>
        <v>#REF!</v>
      </c>
      <c r="AK199" s="8" t="e">
        <f>AK95*'Emission factors Trucks&amp;Trains'!#REF!*(2-$AS$82)</f>
        <v>#REF!</v>
      </c>
      <c r="AL199" s="8" t="e">
        <f>AL95*'Emission factors Trucks&amp;Trains'!#REF!*(2-$AS$82)</f>
        <v>#REF!</v>
      </c>
      <c r="AM199" s="8" t="e">
        <f>AM95*'Emission factors Trucks&amp;Trains'!#REF!*(2-$AS$82)</f>
        <v>#REF!</v>
      </c>
      <c r="AN199" s="8" t="e">
        <f>AN95*'Emission factors Trucks&amp;Trains'!#REF!*(2-$AS$82)</f>
        <v>#REF!</v>
      </c>
      <c r="AO199" s="8" t="e">
        <f>AO95*'Emission factors Trucks&amp;Trains'!#REF!*(2-$AS$82)</f>
        <v>#REF!</v>
      </c>
      <c r="AP199" s="8" t="e">
        <f>AP95*'Emission factors Trucks&amp;Trains'!#REF!*(2-$AS$82)</f>
        <v>#REF!</v>
      </c>
      <c r="AQ199" s="8" t="e">
        <f>AQ95*'Emission factors Trucks&amp;Trains'!#REF!*(2-$AS$82)</f>
        <v>#REF!</v>
      </c>
      <c r="AR199" s="8" t="e">
        <f>AR95*'Emission factors Trucks&amp;Trains'!#REF!*(2-$AS$82)</f>
        <v>#REF!</v>
      </c>
      <c r="AS199" s="8" t="e">
        <f>AS95*'Emission factors Trucks&amp;Trains'!#REF!*(2-$AS$82)</f>
        <v>#REF!</v>
      </c>
      <c r="AT199" s="8" t="e">
        <f>AT95*'Emission factors Trucks&amp;Trains'!#REF!*(2-$AS$82)</f>
        <v>#REF!</v>
      </c>
      <c r="AU199" s="8" t="e">
        <f>AU95*'Emission factors Trucks&amp;Trains'!#REF!*(2-$AS$82)</f>
        <v>#REF!</v>
      </c>
      <c r="AV199" s="8" t="e">
        <f>AV95*'Emission factors Trucks&amp;Trains'!#REF!*(2-$AS$82)</f>
        <v>#REF!</v>
      </c>
      <c r="AW199" s="8" t="e">
        <f>AW95*'Emission factors Trucks&amp;Trains'!#REF!*(2-$AS$82)</f>
        <v>#REF!</v>
      </c>
      <c r="AX199" s="8" t="e">
        <f>AX95*'Emission factors Trucks&amp;Trains'!#REF!*(2-$AS$82)</f>
        <v>#REF!</v>
      </c>
      <c r="AY199" s="8" t="e">
        <f>AY95*'Emission factors Trucks&amp;Trains'!#REF!*(2-$AS$82)</f>
        <v>#REF!</v>
      </c>
      <c r="AZ199" s="8" t="e">
        <f>AZ95*'Emission factors Trucks&amp;Trains'!#REF!*(2-$AS$82)</f>
        <v>#REF!</v>
      </c>
      <c r="BA199" s="8" t="e">
        <f>BA95*'Emission factors Trucks&amp;Trains'!#REF!*(2-$AS$82)</f>
        <v>#REF!</v>
      </c>
      <c r="BB199" s="8" t="e">
        <f>BB95*'Emission factors Trucks&amp;Trains'!#REF!*(2-$AS$82)</f>
        <v>#REF!</v>
      </c>
      <c r="BC199" s="8" t="e">
        <f>BC95*'Emission factors Trucks&amp;Trains'!#REF!*(2-$AS$82)</f>
        <v>#REF!</v>
      </c>
      <c r="BD199" s="8" t="e">
        <f>BD95*'Emission factors Trucks&amp;Trains'!#REF!*(2-$AS$82)</f>
        <v>#REF!</v>
      </c>
      <c r="BE199" s="8" t="e">
        <f>BE95*'Emission factors Trucks&amp;Trains'!#REF!*(2-$AS$82)</f>
        <v>#REF!</v>
      </c>
      <c r="BF199" s="8" t="e">
        <f>BF95*'Emission factors Trucks&amp;Trains'!#REF!*(2-$AS$82)</f>
        <v>#REF!</v>
      </c>
      <c r="BG199" s="9" t="e">
        <f>BG95*'Emission factors Trucks&amp;Trains'!#REF!*(2-$AS$82)</f>
        <v>#REF!</v>
      </c>
    </row>
    <row r="200" spans="1:59" ht="15" customHeight="1">
      <c r="A200" s="476"/>
      <c r="B200" s="136" t="s">
        <v>278</v>
      </c>
      <c r="C200" s="112" t="s">
        <v>344</v>
      </c>
      <c r="D200" s="142">
        <f>D91*'Emission factors Trucks&amp;Trains'!B12*(2-$AS$82)</f>
        <v>0</v>
      </c>
      <c r="E200" s="142">
        <f>E91*'Emission factors Trucks&amp;Trains'!C12*(2-$AS$82)</f>
        <v>0</v>
      </c>
      <c r="F200" s="142">
        <f>F91*'Emission factors Trucks&amp;Trains'!D12*(2-$AS$82)</f>
        <v>0</v>
      </c>
      <c r="G200" s="142">
        <f>G91*'Emission factors Trucks&amp;Trains'!E12*(2-$AS$82)</f>
        <v>0</v>
      </c>
      <c r="H200" s="142">
        <f>H91*'Emission factors Trucks&amp;Trains'!F12*(2-$AS$82)</f>
        <v>0</v>
      </c>
      <c r="I200" s="142">
        <f>I91*'Emission factors Trucks&amp;Trains'!G12*(2-$AS$82)</f>
        <v>0</v>
      </c>
      <c r="J200" s="142">
        <f>J91*'Emission factors Trucks&amp;Trains'!H12*(2-$AS$82)</f>
        <v>0</v>
      </c>
      <c r="K200" s="142">
        <f>K91*'Emission factors Trucks&amp;Trains'!I12*(2-$AS$82)</f>
        <v>0</v>
      </c>
      <c r="L200" s="142">
        <f>L91*'Emission factors Trucks&amp;Trains'!J12*(2-$AS$82)</f>
        <v>0</v>
      </c>
      <c r="M200" s="142">
        <f>M91*'Emission factors Trucks&amp;Trains'!K12*(2-$AS$82)</f>
        <v>0</v>
      </c>
      <c r="N200" s="142">
        <f>N91*'Emission factors Trucks&amp;Trains'!L12*(2-$AS$82)</f>
        <v>0</v>
      </c>
      <c r="O200" s="142">
        <f>O91*'Emission factors Trucks&amp;Trains'!M12*(2-$AS$82)</f>
        <v>0</v>
      </c>
      <c r="P200" s="142">
        <f>P91*'Emission factors Trucks&amp;Trains'!N12*(2-$AS$82)</f>
        <v>0</v>
      </c>
      <c r="Q200" s="142">
        <f>Q91*'Emission factors Trucks&amp;Trains'!O12*(2-$AS$82)</f>
        <v>0</v>
      </c>
      <c r="R200" s="142">
        <f>R91*'Emission factors Trucks&amp;Trains'!P12*(2-$AS$82)</f>
        <v>0</v>
      </c>
      <c r="S200" s="142">
        <f>S91*'Emission factors Trucks&amp;Trains'!Q12*(2-$AS$82)</f>
        <v>0</v>
      </c>
      <c r="T200" s="142">
        <f>T91*'Emission factors Trucks&amp;Trains'!R12*(2-$AS$82)</f>
        <v>0</v>
      </c>
      <c r="U200" s="142">
        <f>U91*'Emission factors Trucks&amp;Trains'!S12*(2-$AS$82)</f>
        <v>0</v>
      </c>
      <c r="V200" s="142">
        <f>V91*'Emission factors Trucks&amp;Trains'!T12*(2-$AS$82)</f>
        <v>0</v>
      </c>
      <c r="W200" s="142">
        <f>W91*'Emission factors Trucks&amp;Trains'!U12*(2-$AS$82)</f>
        <v>0</v>
      </c>
      <c r="X200" s="142">
        <f>X91*'Emission factors Trucks&amp;Trains'!V12*(2-$AS$82)</f>
        <v>0</v>
      </c>
      <c r="Y200" s="142">
        <f>Y91*'Emission factors Trucks&amp;Trains'!W12*(2-$AS$82)</f>
        <v>0</v>
      </c>
      <c r="Z200" s="142">
        <f>Z91*'Emission factors Trucks&amp;Trains'!X12*(2-$AS$82)</f>
        <v>0</v>
      </c>
      <c r="AA200" s="142">
        <f>AA91*'Emission factors Trucks&amp;Trains'!Y12*(2-$AS$82)</f>
        <v>0</v>
      </c>
      <c r="AB200" s="142">
        <f>AB91*'Emission factors Trucks&amp;Trains'!Z12*(2-$AS$82)</f>
        <v>0</v>
      </c>
      <c r="AF200" s="464"/>
      <c r="AG200" s="136" t="s">
        <v>346</v>
      </c>
      <c r="AH200" s="6" t="s">
        <v>344</v>
      </c>
      <c r="AI200" s="21" t="e">
        <f>AI95*'Emission factors Trucks&amp;Trains'!#REF!*(2-$AS$82)</f>
        <v>#REF!</v>
      </c>
      <c r="AJ200" s="8" t="e">
        <f>AJ95*'Emission factors Trucks&amp;Trains'!#REF!*(2-$AS$82)</f>
        <v>#REF!</v>
      </c>
      <c r="AK200" s="8" t="e">
        <f>AK95*'Emission factors Trucks&amp;Trains'!#REF!*(2-$AS$82)</f>
        <v>#REF!</v>
      </c>
      <c r="AL200" s="8" t="e">
        <f>AL95*'Emission factors Trucks&amp;Trains'!#REF!*(2-$AS$82)</f>
        <v>#REF!</v>
      </c>
      <c r="AM200" s="8" t="e">
        <f>AM95*'Emission factors Trucks&amp;Trains'!#REF!*(2-$AS$82)</f>
        <v>#REF!</v>
      </c>
      <c r="AN200" s="8" t="e">
        <f>AN95*'Emission factors Trucks&amp;Trains'!#REF!*(2-$AS$82)</f>
        <v>#REF!</v>
      </c>
      <c r="AO200" s="8" t="e">
        <f>AO95*'Emission factors Trucks&amp;Trains'!#REF!*(2-$AS$82)</f>
        <v>#REF!</v>
      </c>
      <c r="AP200" s="8" t="e">
        <f>AP95*'Emission factors Trucks&amp;Trains'!#REF!*(2-$AS$82)</f>
        <v>#REF!</v>
      </c>
      <c r="AQ200" s="8" t="e">
        <f>AQ95*'Emission factors Trucks&amp;Trains'!#REF!*(2-$AS$82)</f>
        <v>#REF!</v>
      </c>
      <c r="AR200" s="8" t="e">
        <f>AR95*'Emission factors Trucks&amp;Trains'!#REF!*(2-$AS$82)</f>
        <v>#REF!</v>
      </c>
      <c r="AS200" s="8" t="e">
        <f>AS95*'Emission factors Trucks&amp;Trains'!#REF!*(2-$AS$82)</f>
        <v>#REF!</v>
      </c>
      <c r="AT200" s="8" t="e">
        <f>AT95*'Emission factors Trucks&amp;Trains'!#REF!*(2-$AS$82)</f>
        <v>#REF!</v>
      </c>
      <c r="AU200" s="8" t="e">
        <f>AU95*'Emission factors Trucks&amp;Trains'!#REF!*(2-$AS$82)</f>
        <v>#REF!</v>
      </c>
      <c r="AV200" s="8" t="e">
        <f>AV95*'Emission factors Trucks&amp;Trains'!#REF!*(2-$AS$82)</f>
        <v>#REF!</v>
      </c>
      <c r="AW200" s="8" t="e">
        <f>AW95*'Emission factors Trucks&amp;Trains'!#REF!*(2-$AS$82)</f>
        <v>#REF!</v>
      </c>
      <c r="AX200" s="8" t="e">
        <f>AX95*'Emission factors Trucks&amp;Trains'!#REF!*(2-$AS$82)</f>
        <v>#REF!</v>
      </c>
      <c r="AY200" s="8" t="e">
        <f>AY95*'Emission factors Trucks&amp;Trains'!#REF!*(2-$AS$82)</f>
        <v>#REF!</v>
      </c>
      <c r="AZ200" s="8" t="e">
        <f>AZ95*'Emission factors Trucks&amp;Trains'!#REF!*(2-$AS$82)</f>
        <v>#REF!</v>
      </c>
      <c r="BA200" s="8" t="e">
        <f>BA95*'Emission factors Trucks&amp;Trains'!#REF!*(2-$AS$82)</f>
        <v>#REF!</v>
      </c>
      <c r="BB200" s="8" t="e">
        <f>BB95*'Emission factors Trucks&amp;Trains'!#REF!*(2-$AS$82)</f>
        <v>#REF!</v>
      </c>
      <c r="BC200" s="8" t="e">
        <f>BC95*'Emission factors Trucks&amp;Trains'!#REF!*(2-$AS$82)</f>
        <v>#REF!</v>
      </c>
      <c r="BD200" s="8" t="e">
        <f>BD95*'Emission factors Trucks&amp;Trains'!#REF!*(2-$AS$82)</f>
        <v>#REF!</v>
      </c>
      <c r="BE200" s="8" t="e">
        <f>BE95*'Emission factors Trucks&amp;Trains'!#REF!*(2-$AS$82)</f>
        <v>#REF!</v>
      </c>
      <c r="BF200" s="8" t="e">
        <f>BF95*'Emission factors Trucks&amp;Trains'!#REF!*(2-$AS$82)</f>
        <v>#REF!</v>
      </c>
      <c r="BG200" s="9" t="e">
        <f>BG95*'Emission factors Trucks&amp;Trains'!#REF!*(2-$AS$82)</f>
        <v>#REF!</v>
      </c>
    </row>
    <row r="201" spans="1:59" ht="15" customHeight="1">
      <c r="A201" s="476"/>
      <c r="B201" s="136" t="s">
        <v>347</v>
      </c>
      <c r="C201" s="112" t="s">
        <v>344</v>
      </c>
      <c r="D201" s="142" t="e">
        <f>#REF!*'Emission factors Trucks&amp;Trains'!#REF!*(2-$AS$82)</f>
        <v>#REF!</v>
      </c>
      <c r="E201" s="142" t="e">
        <f>#REF!*'Emission factors Trucks&amp;Trains'!#REF!*(2-$AS$82)</f>
        <v>#REF!</v>
      </c>
      <c r="F201" s="142" t="e">
        <f>#REF!*'Emission factors Trucks&amp;Trains'!#REF!*(2-$AS$82)</f>
        <v>#REF!</v>
      </c>
      <c r="G201" s="142" t="e">
        <f>#REF!*'Emission factors Trucks&amp;Trains'!#REF!*(2-$AS$82)</f>
        <v>#REF!</v>
      </c>
      <c r="H201" s="142" t="e">
        <f>#REF!*'Emission factors Trucks&amp;Trains'!#REF!*(2-$AS$82)</f>
        <v>#REF!</v>
      </c>
      <c r="I201" s="142" t="e">
        <f>#REF!*'Emission factors Trucks&amp;Trains'!#REF!*(2-$AS$82)</f>
        <v>#REF!</v>
      </c>
      <c r="J201" s="142" t="e">
        <f>#REF!*'Emission factors Trucks&amp;Trains'!#REF!*(2-$AS$82)</f>
        <v>#REF!</v>
      </c>
      <c r="K201" s="142" t="e">
        <f>#REF!*'Emission factors Trucks&amp;Trains'!#REF!*(2-$AS$82)</f>
        <v>#REF!</v>
      </c>
      <c r="L201" s="142" t="e">
        <f>#REF!*'Emission factors Trucks&amp;Trains'!#REF!*(2-$AS$82)</f>
        <v>#REF!</v>
      </c>
      <c r="M201" s="142" t="e">
        <f>#REF!*'Emission factors Trucks&amp;Trains'!#REF!*(2-$AS$82)</f>
        <v>#REF!</v>
      </c>
      <c r="N201" s="142" t="e">
        <f>#REF!*'Emission factors Trucks&amp;Trains'!#REF!*(2-$AS$82)</f>
        <v>#REF!</v>
      </c>
      <c r="O201" s="142" t="e">
        <f>#REF!*'Emission factors Trucks&amp;Trains'!#REF!*(2-$AS$82)</f>
        <v>#REF!</v>
      </c>
      <c r="P201" s="142" t="e">
        <f>#REF!*'Emission factors Trucks&amp;Trains'!#REF!*(2-$AS$82)</f>
        <v>#REF!</v>
      </c>
      <c r="Q201" s="142" t="e">
        <f>#REF!*'Emission factors Trucks&amp;Trains'!#REF!*(2-$AS$82)</f>
        <v>#REF!</v>
      </c>
      <c r="R201" s="142" t="e">
        <f>#REF!*'Emission factors Trucks&amp;Trains'!#REF!*(2-$AS$82)</f>
        <v>#REF!</v>
      </c>
      <c r="S201" s="142" t="e">
        <f>#REF!*'Emission factors Trucks&amp;Trains'!#REF!*(2-$AS$82)</f>
        <v>#REF!</v>
      </c>
      <c r="T201" s="142" t="e">
        <f>#REF!*'Emission factors Trucks&amp;Trains'!#REF!*(2-$AS$82)</f>
        <v>#REF!</v>
      </c>
      <c r="U201" s="142" t="e">
        <f>#REF!*'Emission factors Trucks&amp;Trains'!#REF!*(2-$AS$82)</f>
        <v>#REF!</v>
      </c>
      <c r="V201" s="142" t="e">
        <f>#REF!*'Emission factors Trucks&amp;Trains'!#REF!*(2-$AS$82)</f>
        <v>#REF!</v>
      </c>
      <c r="W201" s="142" t="e">
        <f>#REF!*'Emission factors Trucks&amp;Trains'!#REF!*(2-$AS$82)</f>
        <v>#REF!</v>
      </c>
      <c r="X201" s="142" t="e">
        <f>#REF!*'Emission factors Trucks&amp;Trains'!#REF!*(2-$AS$82)</f>
        <v>#REF!</v>
      </c>
      <c r="Y201" s="142" t="e">
        <f>#REF!*'Emission factors Trucks&amp;Trains'!#REF!*(2-$AS$82)</f>
        <v>#REF!</v>
      </c>
      <c r="Z201" s="142" t="e">
        <f>#REF!*'Emission factors Trucks&amp;Trains'!#REF!*(2-$AS$82)</f>
        <v>#REF!</v>
      </c>
      <c r="AA201" s="142" t="e">
        <f>#REF!*'Emission factors Trucks&amp;Trains'!#REF!*(2-$AS$82)</f>
        <v>#REF!</v>
      </c>
      <c r="AB201" s="142" t="e">
        <f>#REF!*'Emission factors Trucks&amp;Trains'!#REF!*(2-$AS$82)</f>
        <v>#REF!</v>
      </c>
      <c r="AF201" s="464"/>
      <c r="AG201" s="136" t="s">
        <v>278</v>
      </c>
      <c r="AH201" s="6" t="s">
        <v>344</v>
      </c>
      <c r="AI201" s="21">
        <f>AI95*'Emission factors Trucks&amp;Trains'!B12*(2-$AS$82)</f>
        <v>0</v>
      </c>
      <c r="AJ201" s="21">
        <f>AJ95*'Emission factors Trucks&amp;Trains'!C12*(2-$AS$82)</f>
        <v>0</v>
      </c>
      <c r="AK201" s="21">
        <f>AK95*'Emission factors Trucks&amp;Trains'!D12*(2-$AS$82)</f>
        <v>78691836.217299402</v>
      </c>
      <c r="AL201" s="21">
        <f>AL95*'Emission factors Trucks&amp;Trains'!E12*(2-$AS$82)</f>
        <v>223027797.47323209</v>
      </c>
      <c r="AM201" s="21">
        <f>AM95*'Emission factors Trucks&amp;Trains'!F12*(2-$AS$82)</f>
        <v>247533030.53127185</v>
      </c>
      <c r="AN201" s="21">
        <f>AN95*'Emission factors Trucks&amp;Trains'!G12*(2-$AS$82)</f>
        <v>226774884.12066483</v>
      </c>
      <c r="AO201" s="21">
        <f>AO95*'Emission factors Trucks&amp;Trains'!H12*(2-$AS$82)</f>
        <v>189123212.72944853</v>
      </c>
      <c r="AP201" s="21">
        <f>AP95*'Emission factors Trucks&amp;Trains'!I12*(2-$AS$82)</f>
        <v>175529660.22814551</v>
      </c>
      <c r="AQ201" s="21">
        <f>AQ95*'Emission factors Trucks&amp;Trains'!J12*(2-$AS$82)</f>
        <v>90473417.337793857</v>
      </c>
      <c r="AR201" s="21">
        <f>AR95*'Emission factors Trucks&amp;Trains'!K12*(2-$AS$82)</f>
        <v>78442139.672725856</v>
      </c>
      <c r="AS201" s="21">
        <f>AS95*'Emission factors Trucks&amp;Trains'!L12*(2-$AS$82)</f>
        <v>72802961.20208469</v>
      </c>
      <c r="AT201" s="21">
        <f>AT95*'Emission factors Trucks&amp;Trains'!M12*(2-$AS$82)</f>
        <v>67312191.942425668</v>
      </c>
      <c r="AU201" s="21">
        <f>AU95*'Emission factors Trucks&amp;Trains'!N12*(2-$AS$82)</f>
        <v>62684905.927412137</v>
      </c>
      <c r="AV201" s="21">
        <f>AV95*'Emission factors Trucks&amp;Trains'!O12*(2-$AS$82)</f>
        <v>43911214.749056339</v>
      </c>
      <c r="AW201" s="21">
        <f>AW95*'Emission factors Trucks&amp;Trains'!P12*(2-$AS$82)</f>
        <v>32704706.270315845</v>
      </c>
      <c r="AX201" s="21">
        <f>AX95*'Emission factors Trucks&amp;Trains'!Q12*(2-$AS$82)</f>
        <v>21474252.855159946</v>
      </c>
      <c r="AY201" s="21">
        <f>AY95*'Emission factors Trucks&amp;Trains'!R12*(2-$AS$82)</f>
        <v>20216329.508502144</v>
      </c>
      <c r="AZ201" s="21">
        <f>AZ95*'Emission factors Trucks&amp;Trains'!S12*(2-$AS$82)</f>
        <v>20165298.883770011</v>
      </c>
      <c r="BA201" s="21">
        <f>BA95*'Emission factors Trucks&amp;Trains'!T12*(2-$AS$82)</f>
        <v>20203541.939200241</v>
      </c>
      <c r="BB201" s="21">
        <f>BB95*'Emission factors Trucks&amp;Trains'!U12*(2-$AS$82)</f>
        <v>19436000.711035058</v>
      </c>
      <c r="BC201" s="21">
        <f>BC95*'Emission factors Trucks&amp;Trains'!V12*(2-$AS$82)</f>
        <v>18103161.082507119</v>
      </c>
      <c r="BD201" s="21">
        <f>BD95*'Emission factors Trucks&amp;Trains'!W12*(2-$AS$82)</f>
        <v>17563693.375244532</v>
      </c>
      <c r="BE201" s="21">
        <f>BE95*'Emission factors Trucks&amp;Trains'!X12*(2-$AS$82)</f>
        <v>16854733.492250349</v>
      </c>
      <c r="BF201" s="21">
        <f>BF95*'Emission factors Trucks&amp;Trains'!Y12*(2-$AS$82)</f>
        <v>16144686.826125711</v>
      </c>
      <c r="BG201" s="21">
        <f>BG95*'Emission factors Trucks&amp;Trains'!Z12*(2-$AS$82)</f>
        <v>15086091.466973765</v>
      </c>
    </row>
    <row r="202" spans="1:59" ht="15" customHeight="1">
      <c r="A202" s="476"/>
      <c r="B202" s="136" t="s">
        <v>348</v>
      </c>
      <c r="C202" s="112" t="s">
        <v>344</v>
      </c>
      <c r="D202" s="142" t="e">
        <f>#REF!*'Emission factors Trucks&amp;Trains'!#REF!*(2-$AS$82)</f>
        <v>#REF!</v>
      </c>
      <c r="E202" s="142" t="e">
        <f>#REF!*'Emission factors Trucks&amp;Trains'!#REF!*(2-$AS$82)</f>
        <v>#REF!</v>
      </c>
      <c r="F202" s="142" t="e">
        <f>#REF!*'Emission factors Trucks&amp;Trains'!#REF!*(2-$AS$82)</f>
        <v>#REF!</v>
      </c>
      <c r="G202" s="142" t="e">
        <f>#REF!*'Emission factors Trucks&amp;Trains'!#REF!*(2-$AS$82)</f>
        <v>#REF!</v>
      </c>
      <c r="H202" s="142" t="e">
        <f>#REF!*'Emission factors Trucks&amp;Trains'!#REF!*(2-$AS$82)</f>
        <v>#REF!</v>
      </c>
      <c r="I202" s="142" t="e">
        <f>#REF!*'Emission factors Trucks&amp;Trains'!#REF!*(2-$AS$82)</f>
        <v>#REF!</v>
      </c>
      <c r="J202" s="142" t="e">
        <f>#REF!*'Emission factors Trucks&amp;Trains'!#REF!*(2-$AS$82)</f>
        <v>#REF!</v>
      </c>
      <c r="K202" s="142" t="e">
        <f>#REF!*'Emission factors Trucks&amp;Trains'!#REF!*(2-$AS$82)</f>
        <v>#REF!</v>
      </c>
      <c r="L202" s="142" t="e">
        <f>#REF!*'Emission factors Trucks&amp;Trains'!#REF!*(2-$AS$82)</f>
        <v>#REF!</v>
      </c>
      <c r="M202" s="142" t="e">
        <f>#REF!*'Emission factors Trucks&amp;Trains'!#REF!*(2-$AS$82)</f>
        <v>#REF!</v>
      </c>
      <c r="N202" s="142" t="e">
        <f>#REF!*'Emission factors Trucks&amp;Trains'!#REF!*(2-$AS$82)</f>
        <v>#REF!</v>
      </c>
      <c r="O202" s="142" t="e">
        <f>#REF!*'Emission factors Trucks&amp;Trains'!#REF!*(2-$AS$82)</f>
        <v>#REF!</v>
      </c>
      <c r="P202" s="142" t="e">
        <f>#REF!*'Emission factors Trucks&amp;Trains'!#REF!*(2-$AS$82)</f>
        <v>#REF!</v>
      </c>
      <c r="Q202" s="142" t="e">
        <f>#REF!*'Emission factors Trucks&amp;Trains'!#REF!*(2-$AS$82)</f>
        <v>#REF!</v>
      </c>
      <c r="R202" s="142" t="e">
        <f>#REF!*'Emission factors Trucks&amp;Trains'!#REF!*(2-$AS$82)</f>
        <v>#REF!</v>
      </c>
      <c r="S202" s="142" t="e">
        <f>#REF!*'Emission factors Trucks&amp;Trains'!#REF!*(2-$AS$82)</f>
        <v>#REF!</v>
      </c>
      <c r="T202" s="142" t="e">
        <f>#REF!*'Emission factors Trucks&amp;Trains'!#REF!*(2-$AS$82)</f>
        <v>#REF!</v>
      </c>
      <c r="U202" s="142" t="e">
        <f>#REF!*'Emission factors Trucks&amp;Trains'!#REF!*(2-$AS$82)</f>
        <v>#REF!</v>
      </c>
      <c r="V202" s="142" t="e">
        <f>#REF!*'Emission factors Trucks&amp;Trains'!#REF!*(2-$AS$82)</f>
        <v>#REF!</v>
      </c>
      <c r="W202" s="142" t="e">
        <f>#REF!*'Emission factors Trucks&amp;Trains'!#REF!*(2-$AS$82)</f>
        <v>#REF!</v>
      </c>
      <c r="X202" s="142" t="e">
        <f>#REF!*'Emission factors Trucks&amp;Trains'!#REF!*(2-$AS$82)</f>
        <v>#REF!</v>
      </c>
      <c r="Y202" s="142" t="e">
        <f>#REF!*'Emission factors Trucks&amp;Trains'!#REF!*(2-$AS$82)</f>
        <v>#REF!</v>
      </c>
      <c r="Z202" s="142" t="e">
        <f>#REF!*'Emission factors Trucks&amp;Trains'!#REF!*(2-$AS$82)</f>
        <v>#REF!</v>
      </c>
      <c r="AA202" s="142" t="e">
        <f>#REF!*'Emission factors Trucks&amp;Trains'!#REF!*(2-$AS$82)</f>
        <v>#REF!</v>
      </c>
      <c r="AB202" s="142" t="e">
        <f>#REF!*'Emission factors Trucks&amp;Trains'!#REF!*(2-$AS$82)</f>
        <v>#REF!</v>
      </c>
      <c r="AF202" s="464"/>
      <c r="AG202" s="136" t="s">
        <v>347</v>
      </c>
      <c r="AH202" s="6" t="s">
        <v>344</v>
      </c>
      <c r="AI202" s="21" t="e">
        <f>AI95*'Emission factors Trucks&amp;Trains'!#REF!*(2-$AS$82)</f>
        <v>#REF!</v>
      </c>
      <c r="AJ202" s="8" t="e">
        <f>AJ95*'Emission factors Trucks&amp;Trains'!#REF!*(2-$AS$82)</f>
        <v>#REF!</v>
      </c>
      <c r="AK202" s="8" t="e">
        <f>AK95*'Emission factors Trucks&amp;Trains'!#REF!*(2-$AS$82)</f>
        <v>#REF!</v>
      </c>
      <c r="AL202" s="8" t="e">
        <f>AL95*'Emission factors Trucks&amp;Trains'!#REF!*(2-$AS$82)</f>
        <v>#REF!</v>
      </c>
      <c r="AM202" s="8" t="e">
        <f>AM95*'Emission factors Trucks&amp;Trains'!#REF!*(2-$AS$82)</f>
        <v>#REF!</v>
      </c>
      <c r="AN202" s="8" t="e">
        <f>AN95*'Emission factors Trucks&amp;Trains'!#REF!*(2-$AS$82)</f>
        <v>#REF!</v>
      </c>
      <c r="AO202" s="8" t="e">
        <f>AO95*'Emission factors Trucks&amp;Trains'!#REF!*(2-$AS$82)</f>
        <v>#REF!</v>
      </c>
      <c r="AP202" s="8" t="e">
        <f>AP95*'Emission factors Trucks&amp;Trains'!#REF!*(2-$AS$82)</f>
        <v>#REF!</v>
      </c>
      <c r="AQ202" s="8" t="e">
        <f>AQ95*'Emission factors Trucks&amp;Trains'!#REF!*(2-$AS$82)</f>
        <v>#REF!</v>
      </c>
      <c r="AR202" s="8" t="e">
        <f>AR95*'Emission factors Trucks&amp;Trains'!#REF!*(2-$AS$82)</f>
        <v>#REF!</v>
      </c>
      <c r="AS202" s="8" t="e">
        <f>AS95*'Emission factors Trucks&amp;Trains'!#REF!*(2-$AS$82)</f>
        <v>#REF!</v>
      </c>
      <c r="AT202" s="8" t="e">
        <f>AT95*'Emission factors Trucks&amp;Trains'!#REF!*(2-$AS$82)</f>
        <v>#REF!</v>
      </c>
      <c r="AU202" s="8" t="e">
        <f>AU95*'Emission factors Trucks&amp;Trains'!#REF!*(2-$AS$82)</f>
        <v>#REF!</v>
      </c>
      <c r="AV202" s="8" t="e">
        <f>AV95*'Emission factors Trucks&amp;Trains'!#REF!*(2-$AS$82)</f>
        <v>#REF!</v>
      </c>
      <c r="AW202" s="8" t="e">
        <f>AW95*'Emission factors Trucks&amp;Trains'!#REF!*(2-$AS$82)</f>
        <v>#REF!</v>
      </c>
      <c r="AX202" s="8" t="e">
        <f>AX95*'Emission factors Trucks&amp;Trains'!#REF!*(2-$AS$82)</f>
        <v>#REF!</v>
      </c>
      <c r="AY202" s="8" t="e">
        <f>AY95*'Emission factors Trucks&amp;Trains'!#REF!*(2-$AS$82)</f>
        <v>#REF!</v>
      </c>
      <c r="AZ202" s="8" t="e">
        <f>AZ95*'Emission factors Trucks&amp;Trains'!#REF!*(2-$AS$82)</f>
        <v>#REF!</v>
      </c>
      <c r="BA202" s="8" t="e">
        <f>BA95*'Emission factors Trucks&amp;Trains'!#REF!*(2-$AS$82)</f>
        <v>#REF!</v>
      </c>
      <c r="BB202" s="8" t="e">
        <f>BB95*'Emission factors Trucks&amp;Trains'!#REF!*(2-$AS$82)</f>
        <v>#REF!</v>
      </c>
      <c r="BC202" s="8" t="e">
        <f>BC95*'Emission factors Trucks&amp;Trains'!#REF!*(2-$AS$82)</f>
        <v>#REF!</v>
      </c>
      <c r="BD202" s="8" t="e">
        <f>BD95*'Emission factors Trucks&amp;Trains'!#REF!*(2-$AS$82)</f>
        <v>#REF!</v>
      </c>
      <c r="BE202" s="8" t="e">
        <f>BE95*'Emission factors Trucks&amp;Trains'!#REF!*(2-$AS$82)</f>
        <v>#REF!</v>
      </c>
      <c r="BF202" s="8" t="e">
        <f>BF95*'Emission factors Trucks&amp;Trains'!#REF!*(2-$AS$82)</f>
        <v>#REF!</v>
      </c>
      <c r="BG202" s="9" t="e">
        <f>BG95*'Emission factors Trucks&amp;Trains'!#REF!*(2-$AS$82)</f>
        <v>#REF!</v>
      </c>
    </row>
    <row r="203" spans="1:59" ht="15" customHeight="1">
      <c r="A203" s="476"/>
      <c r="B203" s="136" t="s">
        <v>349</v>
      </c>
      <c r="C203" s="112" t="s">
        <v>344</v>
      </c>
      <c r="D203" s="142" t="e">
        <f>#REF!*'Emission factors Trucks&amp;Trains'!#REF!*(2-$AS$82)</f>
        <v>#REF!</v>
      </c>
      <c r="E203" s="142" t="e">
        <f>#REF!*'Emission factors Trucks&amp;Trains'!#REF!*(2-$AS$82)</f>
        <v>#REF!</v>
      </c>
      <c r="F203" s="142" t="e">
        <f>#REF!*'Emission factors Trucks&amp;Trains'!#REF!*(2-$AS$82)</f>
        <v>#REF!</v>
      </c>
      <c r="G203" s="142" t="e">
        <f>#REF!*'Emission factors Trucks&amp;Trains'!#REF!*(2-$AS$82)</f>
        <v>#REF!</v>
      </c>
      <c r="H203" s="142" t="e">
        <f>#REF!*'Emission factors Trucks&amp;Trains'!#REF!*(2-$AS$82)</f>
        <v>#REF!</v>
      </c>
      <c r="I203" s="142" t="e">
        <f>#REF!*'Emission factors Trucks&amp;Trains'!#REF!*(2-$AS$82)</f>
        <v>#REF!</v>
      </c>
      <c r="J203" s="142" t="e">
        <f>#REF!*'Emission factors Trucks&amp;Trains'!#REF!*(2-$AS$82)</f>
        <v>#REF!</v>
      </c>
      <c r="K203" s="142" t="e">
        <f>#REF!*'Emission factors Trucks&amp;Trains'!#REF!*(2-$AS$82)</f>
        <v>#REF!</v>
      </c>
      <c r="L203" s="142" t="e">
        <f>#REF!*'Emission factors Trucks&amp;Trains'!#REF!*(2-$AS$82)</f>
        <v>#REF!</v>
      </c>
      <c r="M203" s="142" t="e">
        <f>#REF!*'Emission factors Trucks&amp;Trains'!#REF!*(2-$AS$82)</f>
        <v>#REF!</v>
      </c>
      <c r="N203" s="142" t="e">
        <f>#REF!*'Emission factors Trucks&amp;Trains'!#REF!*(2-$AS$82)</f>
        <v>#REF!</v>
      </c>
      <c r="O203" s="142" t="e">
        <f>#REF!*'Emission factors Trucks&amp;Trains'!#REF!*(2-$AS$82)</f>
        <v>#REF!</v>
      </c>
      <c r="P203" s="142" t="e">
        <f>#REF!*'Emission factors Trucks&amp;Trains'!#REF!*(2-$AS$82)</f>
        <v>#REF!</v>
      </c>
      <c r="Q203" s="142" t="e">
        <f>#REF!*'Emission factors Trucks&amp;Trains'!#REF!*(2-$AS$82)</f>
        <v>#REF!</v>
      </c>
      <c r="R203" s="142" t="e">
        <f>#REF!*'Emission factors Trucks&amp;Trains'!#REF!*(2-$AS$82)</f>
        <v>#REF!</v>
      </c>
      <c r="S203" s="142" t="e">
        <f>#REF!*'Emission factors Trucks&amp;Trains'!#REF!*(2-$AS$82)</f>
        <v>#REF!</v>
      </c>
      <c r="T203" s="142" t="e">
        <f>#REF!*'Emission factors Trucks&amp;Trains'!#REF!*(2-$AS$82)</f>
        <v>#REF!</v>
      </c>
      <c r="U203" s="142" t="e">
        <f>#REF!*'Emission factors Trucks&amp;Trains'!#REF!*(2-$AS$82)</f>
        <v>#REF!</v>
      </c>
      <c r="V203" s="142" t="e">
        <f>#REF!*'Emission factors Trucks&amp;Trains'!#REF!*(2-$AS$82)</f>
        <v>#REF!</v>
      </c>
      <c r="W203" s="142" t="e">
        <f>#REF!*'Emission factors Trucks&amp;Trains'!#REF!*(2-$AS$82)</f>
        <v>#REF!</v>
      </c>
      <c r="X203" s="142" t="e">
        <f>#REF!*'Emission factors Trucks&amp;Trains'!#REF!*(2-$AS$82)</f>
        <v>#REF!</v>
      </c>
      <c r="Y203" s="142" t="e">
        <f>#REF!*'Emission factors Trucks&amp;Trains'!#REF!*(2-$AS$82)</f>
        <v>#REF!</v>
      </c>
      <c r="Z203" s="142" t="e">
        <f>#REF!*'Emission factors Trucks&amp;Trains'!#REF!*(2-$AS$82)</f>
        <v>#REF!</v>
      </c>
      <c r="AA203" s="142" t="e">
        <f>#REF!*'Emission factors Trucks&amp;Trains'!#REF!*(2-$AS$82)</f>
        <v>#REF!</v>
      </c>
      <c r="AB203" s="142" t="e">
        <f>#REF!*'Emission factors Trucks&amp;Trains'!#REF!*(2-$AS$82)</f>
        <v>#REF!</v>
      </c>
      <c r="AF203" s="464"/>
      <c r="AG203" s="136" t="s">
        <v>348</v>
      </c>
      <c r="AH203" s="6" t="s">
        <v>344</v>
      </c>
      <c r="AI203" s="21" t="e">
        <f>AI95*'Emission factors Trucks&amp;Trains'!#REF!*(2-$AS$82)</f>
        <v>#REF!</v>
      </c>
      <c r="AJ203" s="8" t="e">
        <f>AJ95*'Emission factors Trucks&amp;Trains'!#REF!*(2-$AS$82)</f>
        <v>#REF!</v>
      </c>
      <c r="AK203" s="8" t="e">
        <f>AK95*'Emission factors Trucks&amp;Trains'!#REF!*(2-$AS$82)</f>
        <v>#REF!</v>
      </c>
      <c r="AL203" s="8" t="e">
        <f>AL95*'Emission factors Trucks&amp;Trains'!#REF!*(2-$AS$82)</f>
        <v>#REF!</v>
      </c>
      <c r="AM203" s="8" t="e">
        <f>AM95*'Emission factors Trucks&amp;Trains'!#REF!*(2-$AS$82)</f>
        <v>#REF!</v>
      </c>
      <c r="AN203" s="8" t="e">
        <f>AN95*'Emission factors Trucks&amp;Trains'!#REF!*(2-$AS$82)</f>
        <v>#REF!</v>
      </c>
      <c r="AO203" s="8" t="e">
        <f>AO95*'Emission factors Trucks&amp;Trains'!#REF!*(2-$AS$82)</f>
        <v>#REF!</v>
      </c>
      <c r="AP203" s="8" t="e">
        <f>AP95*'Emission factors Trucks&amp;Trains'!#REF!*(2-$AS$82)</f>
        <v>#REF!</v>
      </c>
      <c r="AQ203" s="8" t="e">
        <f>AQ95*'Emission factors Trucks&amp;Trains'!#REF!*(2-$AS$82)</f>
        <v>#REF!</v>
      </c>
      <c r="AR203" s="8" t="e">
        <f>AR95*'Emission factors Trucks&amp;Trains'!#REF!*(2-$AS$82)</f>
        <v>#REF!</v>
      </c>
      <c r="AS203" s="8" t="e">
        <f>AS95*'Emission factors Trucks&amp;Trains'!#REF!*(2-$AS$82)</f>
        <v>#REF!</v>
      </c>
      <c r="AT203" s="8" t="e">
        <f>AT95*'Emission factors Trucks&amp;Trains'!#REF!*(2-$AS$82)</f>
        <v>#REF!</v>
      </c>
      <c r="AU203" s="8" t="e">
        <f>AU95*'Emission factors Trucks&amp;Trains'!#REF!*(2-$AS$82)</f>
        <v>#REF!</v>
      </c>
      <c r="AV203" s="8" t="e">
        <f>AV95*'Emission factors Trucks&amp;Trains'!#REF!*(2-$AS$82)</f>
        <v>#REF!</v>
      </c>
      <c r="AW203" s="8" t="e">
        <f>AW95*'Emission factors Trucks&amp;Trains'!#REF!*(2-$AS$82)</f>
        <v>#REF!</v>
      </c>
      <c r="AX203" s="8" t="e">
        <f>AX95*'Emission factors Trucks&amp;Trains'!#REF!*(2-$AS$82)</f>
        <v>#REF!</v>
      </c>
      <c r="AY203" s="8" t="e">
        <f>AY95*'Emission factors Trucks&amp;Trains'!#REF!*(2-$AS$82)</f>
        <v>#REF!</v>
      </c>
      <c r="AZ203" s="8" t="e">
        <f>AZ95*'Emission factors Trucks&amp;Trains'!#REF!*(2-$AS$82)</f>
        <v>#REF!</v>
      </c>
      <c r="BA203" s="8" t="e">
        <f>BA95*'Emission factors Trucks&amp;Trains'!#REF!*(2-$AS$82)</f>
        <v>#REF!</v>
      </c>
      <c r="BB203" s="8" t="e">
        <f>BB95*'Emission factors Trucks&amp;Trains'!#REF!*(2-$AS$82)</f>
        <v>#REF!</v>
      </c>
      <c r="BC203" s="8" t="e">
        <f>BC95*'Emission factors Trucks&amp;Trains'!#REF!*(2-$AS$82)</f>
        <v>#REF!</v>
      </c>
      <c r="BD203" s="8" t="e">
        <f>BD95*'Emission factors Trucks&amp;Trains'!#REF!*(2-$AS$82)</f>
        <v>#REF!</v>
      </c>
      <c r="BE203" s="8" t="e">
        <f>BE95*'Emission factors Trucks&amp;Trains'!#REF!*(2-$AS$82)</f>
        <v>#REF!</v>
      </c>
      <c r="BF203" s="8" t="e">
        <f>BF95*'Emission factors Trucks&amp;Trains'!#REF!*(2-$AS$82)</f>
        <v>#REF!</v>
      </c>
      <c r="BG203" s="9" t="e">
        <f>BG95*'Emission factors Trucks&amp;Trains'!#REF!*(2-$AS$82)</f>
        <v>#REF!</v>
      </c>
    </row>
    <row r="204" spans="1:59" ht="15" customHeight="1">
      <c r="A204" s="478"/>
      <c r="B204" s="137" t="s">
        <v>246</v>
      </c>
      <c r="C204" s="138" t="s">
        <v>344</v>
      </c>
      <c r="D204" s="143">
        <f>D91*'Emission factors Trucks&amp;Trains'!B13*(2-$AS$82)</f>
        <v>0</v>
      </c>
      <c r="E204" s="143">
        <f>E91*'Emission factors Trucks&amp;Trains'!C13*(2-$AS$82)</f>
        <v>0</v>
      </c>
      <c r="F204" s="143">
        <f>F91*'Emission factors Trucks&amp;Trains'!D13*(2-$AS$82)</f>
        <v>0</v>
      </c>
      <c r="G204" s="143">
        <f>G91*'Emission factors Trucks&amp;Trains'!E13*(2-$AS$82)</f>
        <v>0</v>
      </c>
      <c r="H204" s="143">
        <f>H91*'Emission factors Trucks&amp;Trains'!F13*(2-$AS$82)</f>
        <v>0</v>
      </c>
      <c r="I204" s="143">
        <f>I91*'Emission factors Trucks&amp;Trains'!G13*(2-$AS$82)</f>
        <v>0</v>
      </c>
      <c r="J204" s="143">
        <f>J91*'Emission factors Trucks&amp;Trains'!H13*(2-$AS$82)</f>
        <v>0</v>
      </c>
      <c r="K204" s="143">
        <f>K91*'Emission factors Trucks&amp;Trains'!I13*(2-$AS$82)</f>
        <v>0</v>
      </c>
      <c r="L204" s="143">
        <f>L91*'Emission factors Trucks&amp;Trains'!J13*(2-$AS$82)</f>
        <v>0</v>
      </c>
      <c r="M204" s="143">
        <f>M91*'Emission factors Trucks&amp;Trains'!K13*(2-$AS$82)</f>
        <v>0</v>
      </c>
      <c r="N204" s="143">
        <f>N91*'Emission factors Trucks&amp;Trains'!L13*(2-$AS$82)</f>
        <v>0</v>
      </c>
      <c r="O204" s="143">
        <f>O91*'Emission factors Trucks&amp;Trains'!M13*(2-$AS$82)</f>
        <v>0</v>
      </c>
      <c r="P204" s="143">
        <f>P91*'Emission factors Trucks&amp;Trains'!N13*(2-$AS$82)</f>
        <v>0</v>
      </c>
      <c r="Q204" s="143">
        <f>Q91*'Emission factors Trucks&amp;Trains'!O13*(2-$AS$82)</f>
        <v>0</v>
      </c>
      <c r="R204" s="143">
        <f>R91*'Emission factors Trucks&amp;Trains'!P13*(2-$AS$82)</f>
        <v>0</v>
      </c>
      <c r="S204" s="143">
        <f>S91*'Emission factors Trucks&amp;Trains'!Q13*(2-$AS$82)</f>
        <v>0</v>
      </c>
      <c r="T204" s="143">
        <f>T91*'Emission factors Trucks&amp;Trains'!R13*(2-$AS$82)</f>
        <v>0</v>
      </c>
      <c r="U204" s="143">
        <f>U91*'Emission factors Trucks&amp;Trains'!S13*(2-$AS$82)</f>
        <v>0</v>
      </c>
      <c r="V204" s="143">
        <f>V91*'Emission factors Trucks&amp;Trains'!T13*(2-$AS$82)</f>
        <v>0</v>
      </c>
      <c r="W204" s="143">
        <f>W91*'Emission factors Trucks&amp;Trains'!U13*(2-$AS$82)</f>
        <v>0</v>
      </c>
      <c r="X204" s="143">
        <f>X91*'Emission factors Trucks&amp;Trains'!V13*(2-$AS$82)</f>
        <v>0</v>
      </c>
      <c r="Y204" s="143">
        <f>Y91*'Emission factors Trucks&amp;Trains'!W13*(2-$AS$82)</f>
        <v>0</v>
      </c>
      <c r="Z204" s="143">
        <f>Z91*'Emission factors Trucks&amp;Trains'!X13*(2-$AS$82)</f>
        <v>0</v>
      </c>
      <c r="AA204" s="143">
        <f>AA91*'Emission factors Trucks&amp;Trains'!Y13*(2-$AS$82)</f>
        <v>0</v>
      </c>
      <c r="AB204" s="143">
        <f>AB91*'Emission factors Trucks&amp;Trains'!Z13*(2-$AS$82)</f>
        <v>0</v>
      </c>
      <c r="AF204" s="464"/>
      <c r="AG204" s="136" t="s">
        <v>349</v>
      </c>
      <c r="AH204" s="6" t="s">
        <v>344</v>
      </c>
      <c r="AI204" s="21" t="e">
        <f>AI95*'Emission factors Trucks&amp;Trains'!#REF!*(2-$AS$82)</f>
        <v>#REF!</v>
      </c>
      <c r="AJ204" s="8" t="e">
        <f>AJ95*'Emission factors Trucks&amp;Trains'!#REF!*(2-$AS$82)</f>
        <v>#REF!</v>
      </c>
      <c r="AK204" s="8" t="e">
        <f>AK95*'Emission factors Trucks&amp;Trains'!#REF!*(2-$AS$82)</f>
        <v>#REF!</v>
      </c>
      <c r="AL204" s="8" t="e">
        <f>AL95*'Emission factors Trucks&amp;Trains'!#REF!*(2-$AS$82)</f>
        <v>#REF!</v>
      </c>
      <c r="AM204" s="8" t="e">
        <f>AM95*'Emission factors Trucks&amp;Trains'!#REF!*(2-$AS$82)</f>
        <v>#REF!</v>
      </c>
      <c r="AN204" s="8" t="e">
        <f>AN95*'Emission factors Trucks&amp;Trains'!#REF!*(2-$AS$82)</f>
        <v>#REF!</v>
      </c>
      <c r="AO204" s="8" t="e">
        <f>AO95*'Emission factors Trucks&amp;Trains'!#REF!*(2-$AS$82)</f>
        <v>#REF!</v>
      </c>
      <c r="AP204" s="8" t="e">
        <f>AP95*'Emission factors Trucks&amp;Trains'!#REF!*(2-$AS$82)</f>
        <v>#REF!</v>
      </c>
      <c r="AQ204" s="8" t="e">
        <f>AQ95*'Emission factors Trucks&amp;Trains'!#REF!*(2-$AS$82)</f>
        <v>#REF!</v>
      </c>
      <c r="AR204" s="8" t="e">
        <f>AR95*'Emission factors Trucks&amp;Trains'!#REF!*(2-$AS$82)</f>
        <v>#REF!</v>
      </c>
      <c r="AS204" s="8" t="e">
        <f>AS95*'Emission factors Trucks&amp;Trains'!#REF!*(2-$AS$82)</f>
        <v>#REF!</v>
      </c>
      <c r="AT204" s="8" t="e">
        <f>AT95*'Emission factors Trucks&amp;Trains'!#REF!*(2-$AS$82)</f>
        <v>#REF!</v>
      </c>
      <c r="AU204" s="8" t="e">
        <f>AU95*'Emission factors Trucks&amp;Trains'!#REF!*(2-$AS$82)</f>
        <v>#REF!</v>
      </c>
      <c r="AV204" s="8" t="e">
        <f>AV95*'Emission factors Trucks&amp;Trains'!#REF!*(2-$AS$82)</f>
        <v>#REF!</v>
      </c>
      <c r="AW204" s="8" t="e">
        <f>AW95*'Emission factors Trucks&amp;Trains'!#REF!*(2-$AS$82)</f>
        <v>#REF!</v>
      </c>
      <c r="AX204" s="8" t="e">
        <f>AX95*'Emission factors Trucks&amp;Trains'!#REF!*(2-$AS$82)</f>
        <v>#REF!</v>
      </c>
      <c r="AY204" s="8" t="e">
        <f>AY95*'Emission factors Trucks&amp;Trains'!#REF!*(2-$AS$82)</f>
        <v>#REF!</v>
      </c>
      <c r="AZ204" s="8" t="e">
        <f>AZ95*'Emission factors Trucks&amp;Trains'!#REF!*(2-$AS$82)</f>
        <v>#REF!</v>
      </c>
      <c r="BA204" s="8" t="e">
        <f>BA95*'Emission factors Trucks&amp;Trains'!#REF!*(2-$AS$82)</f>
        <v>#REF!</v>
      </c>
      <c r="BB204" s="8" t="e">
        <f>BB95*'Emission factors Trucks&amp;Trains'!#REF!*(2-$AS$82)</f>
        <v>#REF!</v>
      </c>
      <c r="BC204" s="8" t="e">
        <f>BC95*'Emission factors Trucks&amp;Trains'!#REF!*(2-$AS$82)</f>
        <v>#REF!</v>
      </c>
      <c r="BD204" s="8" t="e">
        <f>BD95*'Emission factors Trucks&amp;Trains'!#REF!*(2-$AS$82)</f>
        <v>#REF!</v>
      </c>
      <c r="BE204" s="8" t="e">
        <f>BE95*'Emission factors Trucks&amp;Trains'!#REF!*(2-$AS$82)</f>
        <v>#REF!</v>
      </c>
      <c r="BF204" s="8" t="e">
        <f>BF95*'Emission factors Trucks&amp;Trains'!#REF!*(2-$AS$82)</f>
        <v>#REF!</v>
      </c>
      <c r="BG204" s="9" t="e">
        <f>BG95*'Emission factors Trucks&amp;Trains'!#REF!*(2-$AS$82)</f>
        <v>#REF!</v>
      </c>
    </row>
    <row r="205" spans="1:59" ht="15" customHeight="1">
      <c r="A205" s="102"/>
      <c r="B205" s="136"/>
      <c r="D205" s="142"/>
      <c r="E205" s="142"/>
      <c r="F205" s="142"/>
      <c r="G205" s="142"/>
      <c r="H205" s="142"/>
      <c r="I205" s="142"/>
      <c r="J205" s="142"/>
      <c r="K205" s="142"/>
      <c r="L205" s="142"/>
      <c r="AF205" s="464"/>
      <c r="AG205" s="136" t="s">
        <v>246</v>
      </c>
      <c r="AH205" s="6" t="s">
        <v>344</v>
      </c>
      <c r="AI205" s="21">
        <f>AI95*'Emission factors Trucks&amp;Trains'!B13*(2-$AS$82)</f>
        <v>0</v>
      </c>
      <c r="AJ205" s="21">
        <f>AJ95*'Emission factors Trucks&amp;Trains'!C13*(2-$AS$82)</f>
        <v>0</v>
      </c>
      <c r="AK205" s="21">
        <f>AK95*'Emission factors Trucks&amp;Trains'!D13*(2-$AS$82)</f>
        <v>1691170.9103893018</v>
      </c>
      <c r="AL205" s="21">
        <f>AL95*'Emission factors Trucks&amp;Trains'!E13*(2-$AS$82)</f>
        <v>4713847.2336591193</v>
      </c>
      <c r="AM205" s="21">
        <f>AM95*'Emission factors Trucks&amp;Trains'!F13*(2-$AS$82)</f>
        <v>5162330.4679808011</v>
      </c>
      <c r="AN205" s="21">
        <f>AN95*'Emission factors Trucks&amp;Trains'!G13*(2-$AS$82)</f>
        <v>4676368.6943610515</v>
      </c>
      <c r="AO205" s="21">
        <f>AO95*'Emission factors Trucks&amp;Trains'!H13*(2-$AS$82)</f>
        <v>3852570.1348320558</v>
      </c>
      <c r="AP205" s="21">
        <f>AP95*'Emission factors Trucks&amp;Trains'!I13*(2-$AS$82)</f>
        <v>3540263.5837527588</v>
      </c>
      <c r="AQ205" s="21">
        <f>AQ95*'Emission factors Trucks&amp;Trains'!J13*(2-$AS$82)</f>
        <v>1327103.7346643889</v>
      </c>
      <c r="AR205" s="21">
        <f>AR95*'Emission factors Trucks&amp;Trains'!K13*(2-$AS$82)</f>
        <v>1141063.1350004948</v>
      </c>
      <c r="AS205" s="21">
        <f>AS95*'Emission factors Trucks&amp;Trains'!L13*(2-$AS$82)</f>
        <v>1056201.6615738019</v>
      </c>
      <c r="AT205" s="21">
        <f>AT95*'Emission factors Trucks&amp;Trains'!M13*(2-$AS$82)</f>
        <v>973895.45985255297</v>
      </c>
      <c r="AU205" s="21">
        <f>AU95*'Emission factors Trucks&amp;Trains'!N13*(2-$AS$82)</f>
        <v>904836.73706193361</v>
      </c>
      <c r="AV205" s="21">
        <f>AV95*'Emission factors Trucks&amp;Trains'!O13*(2-$AS$82)</f>
        <v>627200.42220400786</v>
      </c>
      <c r="AW205" s="21">
        <f>AW95*'Emission factors Trucks&amp;Trains'!P13*(2-$AS$82)</f>
        <v>461991.45238698181</v>
      </c>
      <c r="AX205" s="21">
        <f>AX95*'Emission factors Trucks&amp;Trains'!Q13*(2-$AS$82)</f>
        <v>296344.68940120726</v>
      </c>
      <c r="AY205" s="21">
        <f>AY95*'Emission factors Trucks&amp;Trains'!R13*(2-$AS$82)</f>
        <v>278985.34721732954</v>
      </c>
      <c r="AZ205" s="21">
        <f>AZ95*'Emission factors Trucks&amp;Trains'!S13*(2-$AS$82)</f>
        <v>278281.12459602614</v>
      </c>
      <c r="BA205" s="21">
        <f>BA95*'Emission factors Trucks&amp;Trains'!T13*(2-$AS$82)</f>
        <v>278808.87876096333</v>
      </c>
      <c r="BB205" s="21">
        <f>BB95*'Emission factors Trucks&amp;Trains'!U13*(2-$AS$82)</f>
        <v>268216.80981228384</v>
      </c>
      <c r="BC205" s="21">
        <f>BC95*'Emission factors Trucks&amp;Trains'!V13*(2-$AS$82)</f>
        <v>249823.62293859822</v>
      </c>
      <c r="BD205" s="21">
        <f>BD95*'Emission factors Trucks&amp;Trains'!W13*(2-$AS$82)</f>
        <v>242378.9685783746</v>
      </c>
      <c r="BE205" s="21">
        <f>BE95*'Emission factors Trucks&amp;Trains'!X13*(2-$AS$82)</f>
        <v>232595.32219305486</v>
      </c>
      <c r="BF205" s="21">
        <f>BF95*'Emission factors Trucks&amp;Trains'!Y13*(2-$AS$82)</f>
        <v>222796.67820053478</v>
      </c>
      <c r="BG205" s="21">
        <f>BG95*'Emission factors Trucks&amp;Trains'!Z13*(2-$AS$82)</f>
        <v>208188.06224423795</v>
      </c>
    </row>
    <row r="206" spans="1:59" ht="15" customHeight="1">
      <c r="A206" s="100"/>
      <c r="B206" s="136"/>
      <c r="AF206" s="464"/>
      <c r="AG206" s="2" t="s">
        <v>122</v>
      </c>
      <c r="AH206" s="53"/>
      <c r="AI206" s="21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9"/>
    </row>
    <row r="207" spans="1:59" ht="15" customHeight="1">
      <c r="A207" s="457" t="s">
        <v>352</v>
      </c>
      <c r="B207" s="78" t="s">
        <v>3</v>
      </c>
      <c r="C207" s="117" t="s">
        <v>1</v>
      </c>
      <c r="D207" s="115">
        <v>2022</v>
      </c>
      <c r="E207" s="115">
        <v>2023</v>
      </c>
      <c r="F207" s="115">
        <v>2024</v>
      </c>
      <c r="G207" s="115">
        <v>2025</v>
      </c>
      <c r="H207" s="115">
        <v>2026</v>
      </c>
      <c r="I207" s="115">
        <v>2027</v>
      </c>
      <c r="J207" s="115">
        <v>2028</v>
      </c>
      <c r="K207" s="115">
        <v>2029</v>
      </c>
      <c r="L207" s="116">
        <v>2030</v>
      </c>
      <c r="M207" s="115">
        <v>2031</v>
      </c>
      <c r="N207" s="115">
        <v>2032</v>
      </c>
      <c r="O207" s="115">
        <v>2033</v>
      </c>
      <c r="P207" s="115">
        <v>2034</v>
      </c>
      <c r="Q207" s="115">
        <v>2035</v>
      </c>
      <c r="R207" s="115">
        <v>2036</v>
      </c>
      <c r="S207" s="115">
        <v>2037</v>
      </c>
      <c r="T207" s="115">
        <v>2038</v>
      </c>
      <c r="U207" s="116">
        <v>2039</v>
      </c>
      <c r="V207" s="115">
        <v>2040</v>
      </c>
      <c r="W207" s="115">
        <v>2041</v>
      </c>
      <c r="X207" s="115">
        <v>2042</v>
      </c>
      <c r="Y207" s="115">
        <v>2043</v>
      </c>
      <c r="Z207" s="115">
        <v>2044</v>
      </c>
      <c r="AA207" s="115">
        <v>2045</v>
      </c>
      <c r="AB207" s="115">
        <v>2046</v>
      </c>
      <c r="AF207" s="464"/>
      <c r="AG207" s="136" t="s">
        <v>343</v>
      </c>
      <c r="AH207" s="6" t="s">
        <v>344</v>
      </c>
      <c r="AI207" s="21" t="e">
        <f>AI100*'Emission factors Trucks&amp;Trains'!#REF!*(2-$AS$82)</f>
        <v>#REF!</v>
      </c>
      <c r="AJ207" s="8" t="e">
        <f>AJ100*'Emission factors Trucks&amp;Trains'!#REF!*(2-$AS$82)</f>
        <v>#REF!</v>
      </c>
      <c r="AK207" s="8" t="e">
        <f>AK100*'Emission factors Trucks&amp;Trains'!#REF!*(2-$AS$82)</f>
        <v>#REF!</v>
      </c>
      <c r="AL207" s="8" t="e">
        <f>AL100*'Emission factors Trucks&amp;Trains'!#REF!*(2-$AS$82)</f>
        <v>#REF!</v>
      </c>
      <c r="AM207" s="8" t="e">
        <f>AM100*'Emission factors Trucks&amp;Trains'!#REF!*(2-$AS$82)</f>
        <v>#REF!</v>
      </c>
      <c r="AN207" s="8" t="e">
        <f>AN100*'Emission factors Trucks&amp;Trains'!#REF!*(2-$AS$82)</f>
        <v>#REF!</v>
      </c>
      <c r="AO207" s="8" t="e">
        <f>AO100*'Emission factors Trucks&amp;Trains'!#REF!*(2-$AS$82)</f>
        <v>#REF!</v>
      </c>
      <c r="AP207" s="8" t="e">
        <f>AP100*'Emission factors Trucks&amp;Trains'!#REF!*(2-$AS$82)</f>
        <v>#REF!</v>
      </c>
      <c r="AQ207" s="8" t="e">
        <f>AQ100*'Emission factors Trucks&amp;Trains'!#REF!*(2-$AS$82)</f>
        <v>#REF!</v>
      </c>
      <c r="AR207" s="8" t="e">
        <f>AR100*'Emission factors Trucks&amp;Trains'!#REF!*(2-$AS$82)</f>
        <v>#REF!</v>
      </c>
      <c r="AS207" s="8" t="e">
        <f>AS100*'Emission factors Trucks&amp;Trains'!#REF!*(2-$AS$82)</f>
        <v>#REF!</v>
      </c>
      <c r="AT207" s="8" t="e">
        <f>AT100*'Emission factors Trucks&amp;Trains'!#REF!*(2-$AS$82)</f>
        <v>#REF!</v>
      </c>
      <c r="AU207" s="8" t="e">
        <f>AU100*'Emission factors Trucks&amp;Trains'!#REF!*(2-$AS$82)</f>
        <v>#REF!</v>
      </c>
      <c r="AV207" s="8" t="e">
        <f>AV100*'Emission factors Trucks&amp;Trains'!#REF!*(2-$AS$82)</f>
        <v>#REF!</v>
      </c>
      <c r="AW207" s="8" t="e">
        <f>AW100*'Emission factors Trucks&amp;Trains'!#REF!*(2-$AS$82)</f>
        <v>#REF!</v>
      </c>
      <c r="AX207" s="8" t="e">
        <f>AX100*'Emission factors Trucks&amp;Trains'!#REF!*(2-$AS$82)</f>
        <v>#REF!</v>
      </c>
      <c r="AY207" s="8" t="e">
        <f>AY100*'Emission factors Trucks&amp;Trains'!#REF!*(2-$AS$82)</f>
        <v>#REF!</v>
      </c>
      <c r="AZ207" s="8" t="e">
        <f>AZ100*'Emission factors Trucks&amp;Trains'!#REF!*(2-$AS$82)</f>
        <v>#REF!</v>
      </c>
      <c r="BA207" s="8" t="e">
        <f>BA100*'Emission factors Trucks&amp;Trains'!#REF!*(2-$AS$82)</f>
        <v>#REF!</v>
      </c>
      <c r="BB207" s="8" t="e">
        <f>BB100*'Emission factors Trucks&amp;Trains'!#REF!*(2-$AS$82)</f>
        <v>#REF!</v>
      </c>
      <c r="BC207" s="8" t="e">
        <f>BC100*'Emission factors Trucks&amp;Trains'!#REF!*(2-$AS$82)</f>
        <v>#REF!</v>
      </c>
      <c r="BD207" s="8" t="e">
        <f>BD100*'Emission factors Trucks&amp;Trains'!#REF!*(2-$AS$82)</f>
        <v>#REF!</v>
      </c>
      <c r="BE207" s="8" t="e">
        <f>BE100*'Emission factors Trucks&amp;Trains'!#REF!*(2-$AS$82)</f>
        <v>#REF!</v>
      </c>
      <c r="BF207" s="8" t="e">
        <f>BF100*'Emission factors Trucks&amp;Trains'!#REF!*(2-$AS$82)</f>
        <v>#REF!</v>
      </c>
      <c r="BG207" s="9" t="e">
        <f>BG100*'Emission factors Trucks&amp;Trains'!#REF!*(2-$AS$82)</f>
        <v>#REF!</v>
      </c>
    </row>
    <row r="208" spans="1:59" ht="15" customHeight="1">
      <c r="A208" s="457"/>
      <c r="B208" s="2" t="s">
        <v>19</v>
      </c>
      <c r="C208" s="111"/>
      <c r="D208" s="109"/>
      <c r="E208" s="109"/>
      <c r="F208" s="109"/>
      <c r="G208" s="109"/>
      <c r="H208" s="109"/>
      <c r="I208" s="109"/>
      <c r="J208" s="109"/>
      <c r="K208" s="109"/>
      <c r="L208" s="110"/>
      <c r="M208" s="109"/>
      <c r="N208" s="109"/>
      <c r="O208" s="109"/>
      <c r="P208" s="109"/>
      <c r="Q208" s="109"/>
      <c r="R208" s="109"/>
      <c r="S208" s="109"/>
      <c r="T208" s="109"/>
      <c r="U208" s="110"/>
      <c r="V208" s="109"/>
      <c r="W208" s="109"/>
      <c r="X208" s="109"/>
      <c r="Y208" s="109"/>
      <c r="Z208" s="109"/>
      <c r="AA208" s="109"/>
      <c r="AB208" s="109"/>
      <c r="AF208" s="464"/>
      <c r="AG208" s="136" t="s">
        <v>345</v>
      </c>
      <c r="AH208" s="6" t="s">
        <v>344</v>
      </c>
      <c r="AI208" s="21" t="e">
        <f>AI100*'Emission factors Trucks&amp;Trains'!#REF!*(2-$AS$82)</f>
        <v>#REF!</v>
      </c>
      <c r="AJ208" s="8" t="e">
        <f>AJ100*'Emission factors Trucks&amp;Trains'!#REF!*(2-$AS$82)</f>
        <v>#REF!</v>
      </c>
      <c r="AK208" s="8" t="e">
        <f>AK100*'Emission factors Trucks&amp;Trains'!#REF!*(2-$AS$82)</f>
        <v>#REF!</v>
      </c>
      <c r="AL208" s="8" t="e">
        <f>AL100*'Emission factors Trucks&amp;Trains'!#REF!*(2-$AS$82)</f>
        <v>#REF!</v>
      </c>
      <c r="AM208" s="8" t="e">
        <f>AM100*'Emission factors Trucks&amp;Trains'!#REF!*(2-$AS$82)</f>
        <v>#REF!</v>
      </c>
      <c r="AN208" s="8" t="e">
        <f>AN100*'Emission factors Trucks&amp;Trains'!#REF!*(2-$AS$82)</f>
        <v>#REF!</v>
      </c>
      <c r="AO208" s="8" t="e">
        <f>AO100*'Emission factors Trucks&amp;Trains'!#REF!*(2-$AS$82)</f>
        <v>#REF!</v>
      </c>
      <c r="AP208" s="8" t="e">
        <f>AP100*'Emission factors Trucks&amp;Trains'!#REF!*(2-$AS$82)</f>
        <v>#REF!</v>
      </c>
      <c r="AQ208" s="8" t="e">
        <f>AQ100*'Emission factors Trucks&amp;Trains'!#REF!*(2-$AS$82)</f>
        <v>#REF!</v>
      </c>
      <c r="AR208" s="8" t="e">
        <f>AR100*'Emission factors Trucks&amp;Trains'!#REF!*(2-$AS$82)</f>
        <v>#REF!</v>
      </c>
      <c r="AS208" s="8" t="e">
        <f>AS100*'Emission factors Trucks&amp;Trains'!#REF!*(2-$AS$82)</f>
        <v>#REF!</v>
      </c>
      <c r="AT208" s="8" t="e">
        <f>AT100*'Emission factors Trucks&amp;Trains'!#REF!*(2-$AS$82)</f>
        <v>#REF!</v>
      </c>
      <c r="AU208" s="8" t="e">
        <f>AU100*'Emission factors Trucks&amp;Trains'!#REF!*(2-$AS$82)</f>
        <v>#REF!</v>
      </c>
      <c r="AV208" s="8" t="e">
        <f>AV100*'Emission factors Trucks&amp;Trains'!#REF!*(2-$AS$82)</f>
        <v>#REF!</v>
      </c>
      <c r="AW208" s="8" t="e">
        <f>AW100*'Emission factors Trucks&amp;Trains'!#REF!*(2-$AS$82)</f>
        <v>#REF!</v>
      </c>
      <c r="AX208" s="8" t="e">
        <f>AX100*'Emission factors Trucks&amp;Trains'!#REF!*(2-$AS$82)</f>
        <v>#REF!</v>
      </c>
      <c r="AY208" s="8" t="e">
        <f>AY100*'Emission factors Trucks&amp;Trains'!#REF!*(2-$AS$82)</f>
        <v>#REF!</v>
      </c>
      <c r="AZ208" s="8" t="e">
        <f>AZ100*'Emission factors Trucks&amp;Trains'!#REF!*(2-$AS$82)</f>
        <v>#REF!</v>
      </c>
      <c r="BA208" s="8" t="e">
        <f>BA100*'Emission factors Trucks&amp;Trains'!#REF!*(2-$AS$82)</f>
        <v>#REF!</v>
      </c>
      <c r="BB208" s="8" t="e">
        <f>BB100*'Emission factors Trucks&amp;Trains'!#REF!*(2-$AS$82)</f>
        <v>#REF!</v>
      </c>
      <c r="BC208" s="8" t="e">
        <f>BC100*'Emission factors Trucks&amp;Trains'!#REF!*(2-$AS$82)</f>
        <v>#REF!</v>
      </c>
      <c r="BD208" s="8" t="e">
        <f>BD100*'Emission factors Trucks&amp;Trains'!#REF!*(2-$AS$82)</f>
        <v>#REF!</v>
      </c>
      <c r="BE208" s="8" t="e">
        <f>BE100*'Emission factors Trucks&amp;Trains'!#REF!*(2-$AS$82)</f>
        <v>#REF!</v>
      </c>
      <c r="BF208" s="8" t="e">
        <f>BF100*'Emission factors Trucks&amp;Trains'!#REF!*(2-$AS$82)</f>
        <v>#REF!</v>
      </c>
      <c r="BG208" s="9" t="e">
        <f>BG100*'Emission factors Trucks&amp;Trains'!#REF!*(2-$AS$82)</f>
        <v>#REF!</v>
      </c>
    </row>
    <row r="209" spans="1:59" ht="15" customHeight="1">
      <c r="A209" s="457"/>
      <c r="B209" s="136" t="s">
        <v>343</v>
      </c>
      <c r="C209" s="112" t="s">
        <v>344</v>
      </c>
      <c r="D209" s="8" t="e">
        <f t="shared" ref="D209:L209" si="61">D124</f>
        <v>#REF!</v>
      </c>
      <c r="E209" s="8" t="e">
        <f t="shared" si="61"/>
        <v>#REF!</v>
      </c>
      <c r="F209" s="8" t="e">
        <f t="shared" si="61"/>
        <v>#REF!</v>
      </c>
      <c r="G209" s="8" t="e">
        <f t="shared" si="61"/>
        <v>#REF!</v>
      </c>
      <c r="H209" s="8" t="e">
        <f t="shared" si="61"/>
        <v>#REF!</v>
      </c>
      <c r="I209" s="8" t="e">
        <f t="shared" si="61"/>
        <v>#REF!</v>
      </c>
      <c r="J209" s="8" t="e">
        <f t="shared" si="61"/>
        <v>#REF!</v>
      </c>
      <c r="K209" s="8" t="e">
        <f t="shared" si="61"/>
        <v>#REF!</v>
      </c>
      <c r="L209" s="9" t="e">
        <f t="shared" si="61"/>
        <v>#REF!</v>
      </c>
      <c r="M209" s="8" t="e">
        <f t="shared" ref="M209:AB209" si="62">M124</f>
        <v>#REF!</v>
      </c>
      <c r="N209" s="8" t="e">
        <f t="shared" si="62"/>
        <v>#REF!</v>
      </c>
      <c r="O209" s="8" t="e">
        <f t="shared" si="62"/>
        <v>#REF!</v>
      </c>
      <c r="P209" s="8" t="e">
        <f t="shared" si="62"/>
        <v>#REF!</v>
      </c>
      <c r="Q209" s="8" t="e">
        <f t="shared" si="62"/>
        <v>#REF!</v>
      </c>
      <c r="R209" s="8" t="e">
        <f t="shared" si="62"/>
        <v>#REF!</v>
      </c>
      <c r="S209" s="8" t="e">
        <f t="shared" si="62"/>
        <v>#REF!</v>
      </c>
      <c r="T209" s="8" t="e">
        <f t="shared" si="62"/>
        <v>#REF!</v>
      </c>
      <c r="U209" s="9" t="e">
        <f t="shared" si="62"/>
        <v>#REF!</v>
      </c>
      <c r="V209" s="8" t="e">
        <f t="shared" si="62"/>
        <v>#REF!</v>
      </c>
      <c r="W209" s="8" t="e">
        <f t="shared" si="62"/>
        <v>#REF!</v>
      </c>
      <c r="X209" s="8" t="e">
        <f t="shared" si="62"/>
        <v>#REF!</v>
      </c>
      <c r="Y209" s="8" t="e">
        <f t="shared" si="62"/>
        <v>#REF!</v>
      </c>
      <c r="Z209" s="8" t="e">
        <f t="shared" si="62"/>
        <v>#REF!</v>
      </c>
      <c r="AA209" s="8" t="e">
        <f t="shared" si="62"/>
        <v>#REF!</v>
      </c>
      <c r="AB209" s="8" t="e">
        <f t="shared" si="62"/>
        <v>#REF!</v>
      </c>
      <c r="AF209" s="464"/>
      <c r="AG209" s="136" t="s">
        <v>346</v>
      </c>
      <c r="AH209" s="6" t="s">
        <v>344</v>
      </c>
      <c r="AI209" s="21" t="e">
        <f>AI100*'Emission factors Trucks&amp;Trains'!#REF!*(2-$AS$82)</f>
        <v>#REF!</v>
      </c>
      <c r="AJ209" s="8" t="e">
        <f>AJ100*'Emission factors Trucks&amp;Trains'!#REF!*(2-$AS$82)</f>
        <v>#REF!</v>
      </c>
      <c r="AK209" s="8" t="e">
        <f>AK100*'Emission factors Trucks&amp;Trains'!#REF!*(2-$AS$82)</f>
        <v>#REF!</v>
      </c>
      <c r="AL209" s="8" t="e">
        <f>AL100*'Emission factors Trucks&amp;Trains'!#REF!*(2-$AS$82)</f>
        <v>#REF!</v>
      </c>
      <c r="AM209" s="8" t="e">
        <f>AM100*'Emission factors Trucks&amp;Trains'!#REF!*(2-$AS$82)</f>
        <v>#REF!</v>
      </c>
      <c r="AN209" s="8" t="e">
        <f>AN100*'Emission factors Trucks&amp;Trains'!#REF!*(2-$AS$82)</f>
        <v>#REF!</v>
      </c>
      <c r="AO209" s="8" t="e">
        <f>AO100*'Emission factors Trucks&amp;Trains'!#REF!*(2-$AS$82)</f>
        <v>#REF!</v>
      </c>
      <c r="AP209" s="8" t="e">
        <f>AP100*'Emission factors Trucks&amp;Trains'!#REF!*(2-$AS$82)</f>
        <v>#REF!</v>
      </c>
      <c r="AQ209" s="8" t="e">
        <f>AQ100*'Emission factors Trucks&amp;Trains'!#REF!*(2-$AS$82)</f>
        <v>#REF!</v>
      </c>
      <c r="AR209" s="8" t="e">
        <f>AR100*'Emission factors Trucks&amp;Trains'!#REF!*(2-$AS$82)</f>
        <v>#REF!</v>
      </c>
      <c r="AS209" s="8" t="e">
        <f>AS100*'Emission factors Trucks&amp;Trains'!#REF!*(2-$AS$82)</f>
        <v>#REF!</v>
      </c>
      <c r="AT209" s="8" t="e">
        <f>AT100*'Emission factors Trucks&amp;Trains'!#REF!*(2-$AS$82)</f>
        <v>#REF!</v>
      </c>
      <c r="AU209" s="8" t="e">
        <f>AU100*'Emission factors Trucks&amp;Trains'!#REF!*(2-$AS$82)</f>
        <v>#REF!</v>
      </c>
      <c r="AV209" s="8" t="e">
        <f>AV100*'Emission factors Trucks&amp;Trains'!#REF!*(2-$AS$82)</f>
        <v>#REF!</v>
      </c>
      <c r="AW209" s="8" t="e">
        <f>AW100*'Emission factors Trucks&amp;Trains'!#REF!*(2-$AS$82)</f>
        <v>#REF!</v>
      </c>
      <c r="AX209" s="8" t="e">
        <f>AX100*'Emission factors Trucks&amp;Trains'!#REF!*(2-$AS$82)</f>
        <v>#REF!</v>
      </c>
      <c r="AY209" s="8" t="e">
        <f>AY100*'Emission factors Trucks&amp;Trains'!#REF!*(2-$AS$82)</f>
        <v>#REF!</v>
      </c>
      <c r="AZ209" s="8" t="e">
        <f>AZ100*'Emission factors Trucks&amp;Trains'!#REF!*(2-$AS$82)</f>
        <v>#REF!</v>
      </c>
      <c r="BA209" s="8" t="e">
        <f>BA100*'Emission factors Trucks&amp;Trains'!#REF!*(2-$AS$82)</f>
        <v>#REF!</v>
      </c>
      <c r="BB209" s="8" t="e">
        <f>BB100*'Emission factors Trucks&amp;Trains'!#REF!*(2-$AS$82)</f>
        <v>#REF!</v>
      </c>
      <c r="BC209" s="8" t="e">
        <f>BC100*'Emission factors Trucks&amp;Trains'!#REF!*(2-$AS$82)</f>
        <v>#REF!</v>
      </c>
      <c r="BD209" s="8" t="e">
        <f>BD100*'Emission factors Trucks&amp;Trains'!#REF!*(2-$AS$82)</f>
        <v>#REF!</v>
      </c>
      <c r="BE209" s="8" t="e">
        <f>BE100*'Emission factors Trucks&amp;Trains'!#REF!*(2-$AS$82)</f>
        <v>#REF!</v>
      </c>
      <c r="BF209" s="8" t="e">
        <f>BF100*'Emission factors Trucks&amp;Trains'!#REF!*(2-$AS$82)</f>
        <v>#REF!</v>
      </c>
      <c r="BG209" s="9" t="e">
        <f>BG100*'Emission factors Trucks&amp;Trains'!#REF!*(2-$AS$82)</f>
        <v>#REF!</v>
      </c>
    </row>
    <row r="210" spans="1:59" ht="15" customHeight="1">
      <c r="A210" s="457"/>
      <c r="B210" s="136" t="s">
        <v>345</v>
      </c>
      <c r="C210" s="112" t="s">
        <v>344</v>
      </c>
      <c r="D210" s="8" t="e">
        <f t="shared" ref="D210:L210" si="63">D125</f>
        <v>#REF!</v>
      </c>
      <c r="E210" s="8" t="e">
        <f t="shared" si="63"/>
        <v>#REF!</v>
      </c>
      <c r="F210" s="8" t="e">
        <f t="shared" si="63"/>
        <v>#REF!</v>
      </c>
      <c r="G210" s="8" t="e">
        <f t="shared" si="63"/>
        <v>#REF!</v>
      </c>
      <c r="H210" s="8" t="e">
        <f t="shared" si="63"/>
        <v>#REF!</v>
      </c>
      <c r="I210" s="8" t="e">
        <f t="shared" si="63"/>
        <v>#REF!</v>
      </c>
      <c r="J210" s="8" t="e">
        <f t="shared" si="63"/>
        <v>#REF!</v>
      </c>
      <c r="K210" s="8" t="e">
        <f t="shared" si="63"/>
        <v>#REF!</v>
      </c>
      <c r="L210" s="9" t="e">
        <f t="shared" si="63"/>
        <v>#REF!</v>
      </c>
      <c r="M210" s="8" t="e">
        <f t="shared" ref="M210:AB210" si="64">M125</f>
        <v>#REF!</v>
      </c>
      <c r="N210" s="8" t="e">
        <f t="shared" si="64"/>
        <v>#REF!</v>
      </c>
      <c r="O210" s="8" t="e">
        <f t="shared" si="64"/>
        <v>#REF!</v>
      </c>
      <c r="P210" s="8" t="e">
        <f t="shared" si="64"/>
        <v>#REF!</v>
      </c>
      <c r="Q210" s="8" t="e">
        <f t="shared" si="64"/>
        <v>#REF!</v>
      </c>
      <c r="R210" s="8" t="e">
        <f t="shared" si="64"/>
        <v>#REF!</v>
      </c>
      <c r="S210" s="8" t="e">
        <f t="shared" si="64"/>
        <v>#REF!</v>
      </c>
      <c r="T210" s="8" t="e">
        <f t="shared" si="64"/>
        <v>#REF!</v>
      </c>
      <c r="U210" s="9" t="e">
        <f t="shared" si="64"/>
        <v>#REF!</v>
      </c>
      <c r="V210" s="8" t="e">
        <f t="shared" si="64"/>
        <v>#REF!</v>
      </c>
      <c r="W210" s="8" t="e">
        <f t="shared" si="64"/>
        <v>#REF!</v>
      </c>
      <c r="X210" s="8" t="e">
        <f t="shared" si="64"/>
        <v>#REF!</v>
      </c>
      <c r="Y210" s="8" t="e">
        <f t="shared" si="64"/>
        <v>#REF!</v>
      </c>
      <c r="Z210" s="8" t="e">
        <f t="shared" si="64"/>
        <v>#REF!</v>
      </c>
      <c r="AA210" s="8" t="e">
        <f t="shared" si="64"/>
        <v>#REF!</v>
      </c>
      <c r="AB210" s="8" t="e">
        <f t="shared" si="64"/>
        <v>#REF!</v>
      </c>
      <c r="AF210" s="464"/>
      <c r="AG210" s="136" t="s">
        <v>278</v>
      </c>
      <c r="AH210" s="6" t="s">
        <v>344</v>
      </c>
      <c r="AI210" s="21">
        <f>AI100*'Emission factors Trucks&amp;Trains'!B12*(2-$AS$82)</f>
        <v>0</v>
      </c>
      <c r="AJ210" s="21">
        <f>AJ100*'Emission factors Trucks&amp;Trains'!C12*(2-$AS$82)</f>
        <v>-7.7060241529440978E-9</v>
      </c>
      <c r="AK210" s="21">
        <f>AK100*'Emission factors Trucks&amp;Trains'!D12*(2-$AS$82)</f>
        <v>7719154.8198504113</v>
      </c>
      <c r="AL210" s="21">
        <f>AL100*'Emission factors Trucks&amp;Trains'!E12*(2-$AS$82)</f>
        <v>12064282.576259926</v>
      </c>
      <c r="AM210" s="21">
        <f>AM100*'Emission factors Trucks&amp;Trains'!F12*(2-$AS$82)</f>
        <v>14793066.034398658</v>
      </c>
      <c r="AN210" s="21">
        <f>AN100*'Emission factors Trucks&amp;Trains'!G12*(2-$AS$82)</f>
        <v>15691352.074575026</v>
      </c>
      <c r="AO210" s="21">
        <f>AO100*'Emission factors Trucks&amp;Trains'!H12*(2-$AS$82)</f>
        <v>16406814.550202426</v>
      </c>
      <c r="AP210" s="21">
        <f>AP100*'Emission factors Trucks&amp;Trains'!I12*(2-$AS$82)</f>
        <v>17452739.382837474</v>
      </c>
      <c r="AQ210" s="21">
        <f>AQ100*'Emission factors Trucks&amp;Trains'!J12*(2-$AS$82)</f>
        <v>10275040.981872141</v>
      </c>
      <c r="AR210" s="21">
        <f>AR100*'Emission factors Trucks&amp;Trains'!K12*(2-$AS$82)</f>
        <v>10121992.375475453</v>
      </c>
      <c r="AS210" s="21">
        <f>AS100*'Emission factors Trucks&amp;Trains'!L12*(2-$AS$82)</f>
        <v>10611128.989656815</v>
      </c>
      <c r="AT210" s="21">
        <f>AT100*'Emission factors Trucks&amp;Trains'!M12*(2-$AS$82)</f>
        <v>11016559.459924787</v>
      </c>
      <c r="AU210" s="21">
        <f>AU100*'Emission factors Trucks&amp;Trains'!N12*(2-$AS$82)</f>
        <v>11398500.382402573</v>
      </c>
      <c r="AV210" s="21">
        <f>AV100*'Emission factors Trucks&amp;Trains'!O12*(2-$AS$82)</f>
        <v>8886953.9821000509</v>
      </c>
      <c r="AW210" s="21">
        <f>AW100*'Emission factors Trucks&amp;Trains'!P12*(2-$AS$82)</f>
        <v>7326775.3246446457</v>
      </c>
      <c r="AX210" s="21">
        <f>AX100*'Emission factors Trucks&amp;Trains'!Q12*(2-$AS$82)</f>
        <v>5300208.7581753377</v>
      </c>
      <c r="AY210" s="21">
        <f>AY100*'Emission factors Trucks&amp;Trains'!R12*(2-$AS$82)</f>
        <v>5474601.8583974307</v>
      </c>
      <c r="AZ210" s="21">
        <f>AZ100*'Emission factors Trucks&amp;Trains'!S12*(2-$AS$82)</f>
        <v>5603476.7840374298</v>
      </c>
      <c r="BA210" s="21">
        <f>BA100*'Emission factors Trucks&amp;Trains'!T12*(2-$AS$82)</f>
        <v>5791762.8374521891</v>
      </c>
      <c r="BB210" s="21">
        <f>BB100*'Emission factors Trucks&amp;Trains'!U12*(2-$AS$82)</f>
        <v>5945313.2347413497</v>
      </c>
      <c r="BC210" s="21">
        <f>BC100*'Emission factors Trucks&amp;Trains'!V12*(2-$AS$82)</f>
        <v>6055752.8825641517</v>
      </c>
      <c r="BD210" s="21">
        <f>BD100*'Emission factors Trucks&amp;Trains'!W12*(2-$AS$82)</f>
        <v>6208412.6317060376</v>
      </c>
      <c r="BE210" s="21">
        <f>BE100*'Emission factors Trucks&amp;Trains'!X12*(2-$AS$82)</f>
        <v>6335609.1785203936</v>
      </c>
      <c r="BF210" s="21">
        <f>BF100*'Emission factors Trucks&amp;Trains'!Y12*(2-$AS$82)</f>
        <v>6449792.353525077</v>
      </c>
      <c r="BG210" s="21">
        <f>BG100*'Emission factors Trucks&amp;Trains'!Z12*(2-$AS$82)</f>
        <v>6520444.2822635919</v>
      </c>
    </row>
    <row r="211" spans="1:59" ht="15" customHeight="1">
      <c r="A211" s="457"/>
      <c r="B211" s="136" t="s">
        <v>346</v>
      </c>
      <c r="C211" s="112" t="s">
        <v>344</v>
      </c>
      <c r="D211" s="8" t="e">
        <f t="shared" ref="D211:L211" si="65">D126</f>
        <v>#REF!</v>
      </c>
      <c r="E211" s="8" t="e">
        <f t="shared" si="65"/>
        <v>#REF!</v>
      </c>
      <c r="F211" s="8" t="e">
        <f t="shared" si="65"/>
        <v>#REF!</v>
      </c>
      <c r="G211" s="8" t="e">
        <f t="shared" si="65"/>
        <v>#REF!</v>
      </c>
      <c r="H211" s="8" t="e">
        <f t="shared" si="65"/>
        <v>#REF!</v>
      </c>
      <c r="I211" s="8" t="e">
        <f t="shared" si="65"/>
        <v>#REF!</v>
      </c>
      <c r="J211" s="8" t="e">
        <f t="shared" si="65"/>
        <v>#REF!</v>
      </c>
      <c r="K211" s="8" t="e">
        <f t="shared" si="65"/>
        <v>#REF!</v>
      </c>
      <c r="L211" s="9" t="e">
        <f t="shared" si="65"/>
        <v>#REF!</v>
      </c>
      <c r="M211" s="8" t="e">
        <f t="shared" ref="M211:AB211" si="66">M126</f>
        <v>#REF!</v>
      </c>
      <c r="N211" s="8" t="e">
        <f t="shared" si="66"/>
        <v>#REF!</v>
      </c>
      <c r="O211" s="8" t="e">
        <f t="shared" si="66"/>
        <v>#REF!</v>
      </c>
      <c r="P211" s="8" t="e">
        <f t="shared" si="66"/>
        <v>#REF!</v>
      </c>
      <c r="Q211" s="8" t="e">
        <f t="shared" si="66"/>
        <v>#REF!</v>
      </c>
      <c r="R211" s="8" t="e">
        <f t="shared" si="66"/>
        <v>#REF!</v>
      </c>
      <c r="S211" s="8" t="e">
        <f t="shared" si="66"/>
        <v>#REF!</v>
      </c>
      <c r="T211" s="8" t="e">
        <f t="shared" si="66"/>
        <v>#REF!</v>
      </c>
      <c r="U211" s="9" t="e">
        <f t="shared" si="66"/>
        <v>#REF!</v>
      </c>
      <c r="V211" s="8" t="e">
        <f t="shared" si="66"/>
        <v>#REF!</v>
      </c>
      <c r="W211" s="8" t="e">
        <f t="shared" si="66"/>
        <v>#REF!</v>
      </c>
      <c r="X211" s="8" t="e">
        <f t="shared" si="66"/>
        <v>#REF!</v>
      </c>
      <c r="Y211" s="8" t="e">
        <f t="shared" si="66"/>
        <v>#REF!</v>
      </c>
      <c r="Z211" s="8" t="e">
        <f t="shared" si="66"/>
        <v>#REF!</v>
      </c>
      <c r="AA211" s="8" t="e">
        <f t="shared" si="66"/>
        <v>#REF!</v>
      </c>
      <c r="AB211" s="8" t="e">
        <f t="shared" si="66"/>
        <v>#REF!</v>
      </c>
      <c r="AF211" s="464"/>
      <c r="AG211" s="136" t="s">
        <v>347</v>
      </c>
      <c r="AH211" s="6" t="s">
        <v>344</v>
      </c>
      <c r="AI211" s="21" t="e">
        <f>AI100*'Emission factors Trucks&amp;Trains'!#REF!*(2-$AS$82)</f>
        <v>#REF!</v>
      </c>
      <c r="AJ211" s="8" t="e">
        <f>AJ100*'Emission factors Trucks&amp;Trains'!#REF!*(2-$AS$82)</f>
        <v>#REF!</v>
      </c>
      <c r="AK211" s="8" t="e">
        <f>AK100*'Emission factors Trucks&amp;Trains'!#REF!*(2-$AS$82)</f>
        <v>#REF!</v>
      </c>
      <c r="AL211" s="8" t="e">
        <f>AL100*'Emission factors Trucks&amp;Trains'!#REF!*(2-$AS$82)</f>
        <v>#REF!</v>
      </c>
      <c r="AM211" s="8" t="e">
        <f>AM100*'Emission factors Trucks&amp;Trains'!#REF!*(2-$AS$82)</f>
        <v>#REF!</v>
      </c>
      <c r="AN211" s="8" t="e">
        <f>AN100*'Emission factors Trucks&amp;Trains'!#REF!*(2-$AS$82)</f>
        <v>#REF!</v>
      </c>
      <c r="AO211" s="8" t="e">
        <f>AO100*'Emission factors Trucks&amp;Trains'!#REF!*(2-$AS$82)</f>
        <v>#REF!</v>
      </c>
      <c r="AP211" s="8" t="e">
        <f>AP100*'Emission factors Trucks&amp;Trains'!#REF!*(2-$AS$82)</f>
        <v>#REF!</v>
      </c>
      <c r="AQ211" s="8" t="e">
        <f>AQ100*'Emission factors Trucks&amp;Trains'!#REF!*(2-$AS$82)</f>
        <v>#REF!</v>
      </c>
      <c r="AR211" s="8" t="e">
        <f>AR100*'Emission factors Trucks&amp;Trains'!#REF!*(2-$AS$82)</f>
        <v>#REF!</v>
      </c>
      <c r="AS211" s="8" t="e">
        <f>AS100*'Emission factors Trucks&amp;Trains'!#REF!*(2-$AS$82)</f>
        <v>#REF!</v>
      </c>
      <c r="AT211" s="8" t="e">
        <f>AT100*'Emission factors Trucks&amp;Trains'!#REF!*(2-$AS$82)</f>
        <v>#REF!</v>
      </c>
      <c r="AU211" s="8" t="e">
        <f>AU100*'Emission factors Trucks&amp;Trains'!#REF!*(2-$AS$82)</f>
        <v>#REF!</v>
      </c>
      <c r="AV211" s="8" t="e">
        <f>AV100*'Emission factors Trucks&amp;Trains'!#REF!*(2-$AS$82)</f>
        <v>#REF!</v>
      </c>
      <c r="AW211" s="8" t="e">
        <f>AW100*'Emission factors Trucks&amp;Trains'!#REF!*(2-$AS$82)</f>
        <v>#REF!</v>
      </c>
      <c r="AX211" s="8" t="e">
        <f>AX100*'Emission factors Trucks&amp;Trains'!#REF!*(2-$AS$82)</f>
        <v>#REF!</v>
      </c>
      <c r="AY211" s="8" t="e">
        <f>AY100*'Emission factors Trucks&amp;Trains'!#REF!*(2-$AS$82)</f>
        <v>#REF!</v>
      </c>
      <c r="AZ211" s="8" t="e">
        <f>AZ100*'Emission factors Trucks&amp;Trains'!#REF!*(2-$AS$82)</f>
        <v>#REF!</v>
      </c>
      <c r="BA211" s="8" t="e">
        <f>BA100*'Emission factors Trucks&amp;Trains'!#REF!*(2-$AS$82)</f>
        <v>#REF!</v>
      </c>
      <c r="BB211" s="8" t="e">
        <f>BB100*'Emission factors Trucks&amp;Trains'!#REF!*(2-$AS$82)</f>
        <v>#REF!</v>
      </c>
      <c r="BC211" s="8" t="e">
        <f>BC100*'Emission factors Trucks&amp;Trains'!#REF!*(2-$AS$82)</f>
        <v>#REF!</v>
      </c>
      <c r="BD211" s="8" t="e">
        <f>BD100*'Emission factors Trucks&amp;Trains'!#REF!*(2-$AS$82)</f>
        <v>#REF!</v>
      </c>
      <c r="BE211" s="8" t="e">
        <f>BE100*'Emission factors Trucks&amp;Trains'!#REF!*(2-$AS$82)</f>
        <v>#REF!</v>
      </c>
      <c r="BF211" s="8" t="e">
        <f>BF100*'Emission factors Trucks&amp;Trains'!#REF!*(2-$AS$82)</f>
        <v>#REF!</v>
      </c>
      <c r="BG211" s="9" t="e">
        <f>BG100*'Emission factors Trucks&amp;Trains'!#REF!*(2-$AS$82)</f>
        <v>#REF!</v>
      </c>
    </row>
    <row r="212" spans="1:59" ht="15" customHeight="1">
      <c r="A212" s="457"/>
      <c r="B212" s="136" t="s">
        <v>278</v>
      </c>
      <c r="C212" s="112" t="s">
        <v>344</v>
      </c>
      <c r="D212" s="8">
        <f>AI127+AI174</f>
        <v>0</v>
      </c>
      <c r="E212" s="8">
        <f t="shared" ref="E212:AB212" si="67">AJ127+AJ174</f>
        <v>0</v>
      </c>
      <c r="F212" s="8">
        <f t="shared" si="67"/>
        <v>0</v>
      </c>
      <c r="G212" s="8">
        <f t="shared" si="67"/>
        <v>0</v>
      </c>
      <c r="H212" s="8">
        <f>AM127+AM174</f>
        <v>0</v>
      </c>
      <c r="I212" s="8">
        <f>AN127+AN174</f>
        <v>0</v>
      </c>
      <c r="J212" s="8">
        <f t="shared" si="67"/>
        <v>0</v>
      </c>
      <c r="K212" s="8">
        <f t="shared" si="67"/>
        <v>0</v>
      </c>
      <c r="L212" s="8">
        <f t="shared" si="67"/>
        <v>0</v>
      </c>
      <c r="M212" s="8">
        <f t="shared" si="67"/>
        <v>0</v>
      </c>
      <c r="N212" s="8">
        <f t="shared" si="67"/>
        <v>0</v>
      </c>
      <c r="O212" s="8">
        <f t="shared" si="67"/>
        <v>0</v>
      </c>
      <c r="P212" s="8">
        <f t="shared" si="67"/>
        <v>0</v>
      </c>
      <c r="Q212" s="8">
        <f t="shared" si="67"/>
        <v>0</v>
      </c>
      <c r="R212" s="8">
        <f t="shared" si="67"/>
        <v>0</v>
      </c>
      <c r="S212" s="8">
        <f t="shared" si="67"/>
        <v>0</v>
      </c>
      <c r="T212" s="8">
        <f t="shared" si="67"/>
        <v>0</v>
      </c>
      <c r="U212" s="8">
        <f t="shared" si="67"/>
        <v>0</v>
      </c>
      <c r="V212" s="8">
        <f t="shared" si="67"/>
        <v>0</v>
      </c>
      <c r="W212" s="8">
        <f t="shared" si="67"/>
        <v>0</v>
      </c>
      <c r="X212" s="8">
        <f t="shared" si="67"/>
        <v>0</v>
      </c>
      <c r="Y212" s="8">
        <f t="shared" si="67"/>
        <v>0</v>
      </c>
      <c r="Z212" s="8">
        <f t="shared" si="67"/>
        <v>0</v>
      </c>
      <c r="AA212" s="8">
        <f t="shared" si="67"/>
        <v>0</v>
      </c>
      <c r="AB212" s="8">
        <f t="shared" si="67"/>
        <v>0</v>
      </c>
      <c r="AF212" s="464"/>
      <c r="AG212" s="136" t="s">
        <v>348</v>
      </c>
      <c r="AH212" s="6" t="s">
        <v>344</v>
      </c>
      <c r="AI212" s="21" t="e">
        <f>AI100*'Emission factors Trucks&amp;Trains'!#REF!*(2-$AS$82)</f>
        <v>#REF!</v>
      </c>
      <c r="AJ212" s="8" t="e">
        <f>AJ100*'Emission factors Trucks&amp;Trains'!#REF!*(2-$AS$82)</f>
        <v>#REF!</v>
      </c>
      <c r="AK212" s="8" t="e">
        <f>AK100*'Emission factors Trucks&amp;Trains'!#REF!*(2-$AS$82)</f>
        <v>#REF!</v>
      </c>
      <c r="AL212" s="8" t="e">
        <f>AL100*'Emission factors Trucks&amp;Trains'!#REF!*(2-$AS$82)</f>
        <v>#REF!</v>
      </c>
      <c r="AM212" s="8" t="e">
        <f>AM100*'Emission factors Trucks&amp;Trains'!#REF!*(2-$AS$82)</f>
        <v>#REF!</v>
      </c>
      <c r="AN212" s="8" t="e">
        <f>AN100*'Emission factors Trucks&amp;Trains'!#REF!*(2-$AS$82)</f>
        <v>#REF!</v>
      </c>
      <c r="AO212" s="8" t="e">
        <f>AO100*'Emission factors Trucks&amp;Trains'!#REF!*(2-$AS$82)</f>
        <v>#REF!</v>
      </c>
      <c r="AP212" s="8" t="e">
        <f>AP100*'Emission factors Trucks&amp;Trains'!#REF!*(2-$AS$82)</f>
        <v>#REF!</v>
      </c>
      <c r="AQ212" s="8" t="e">
        <f>AQ100*'Emission factors Trucks&amp;Trains'!#REF!*(2-$AS$82)</f>
        <v>#REF!</v>
      </c>
      <c r="AR212" s="8" t="e">
        <f>AR100*'Emission factors Trucks&amp;Trains'!#REF!*(2-$AS$82)</f>
        <v>#REF!</v>
      </c>
      <c r="AS212" s="8" t="e">
        <f>AS100*'Emission factors Trucks&amp;Trains'!#REF!*(2-$AS$82)</f>
        <v>#REF!</v>
      </c>
      <c r="AT212" s="8" t="e">
        <f>AT100*'Emission factors Trucks&amp;Trains'!#REF!*(2-$AS$82)</f>
        <v>#REF!</v>
      </c>
      <c r="AU212" s="8" t="e">
        <f>AU100*'Emission factors Trucks&amp;Trains'!#REF!*(2-$AS$82)</f>
        <v>#REF!</v>
      </c>
      <c r="AV212" s="8" t="e">
        <f>AV100*'Emission factors Trucks&amp;Trains'!#REF!*(2-$AS$82)</f>
        <v>#REF!</v>
      </c>
      <c r="AW212" s="8" t="e">
        <f>AW100*'Emission factors Trucks&amp;Trains'!#REF!*(2-$AS$82)</f>
        <v>#REF!</v>
      </c>
      <c r="AX212" s="8" t="e">
        <f>AX100*'Emission factors Trucks&amp;Trains'!#REF!*(2-$AS$82)</f>
        <v>#REF!</v>
      </c>
      <c r="AY212" s="8" t="e">
        <f>AY100*'Emission factors Trucks&amp;Trains'!#REF!*(2-$AS$82)</f>
        <v>#REF!</v>
      </c>
      <c r="AZ212" s="8" t="e">
        <f>AZ100*'Emission factors Trucks&amp;Trains'!#REF!*(2-$AS$82)</f>
        <v>#REF!</v>
      </c>
      <c r="BA212" s="8" t="e">
        <f>BA100*'Emission factors Trucks&amp;Trains'!#REF!*(2-$AS$82)</f>
        <v>#REF!</v>
      </c>
      <c r="BB212" s="8" t="e">
        <f>BB100*'Emission factors Trucks&amp;Trains'!#REF!*(2-$AS$82)</f>
        <v>#REF!</v>
      </c>
      <c r="BC212" s="8" t="e">
        <f>BC100*'Emission factors Trucks&amp;Trains'!#REF!*(2-$AS$82)</f>
        <v>#REF!</v>
      </c>
      <c r="BD212" s="8" t="e">
        <f>BD100*'Emission factors Trucks&amp;Trains'!#REF!*(2-$AS$82)</f>
        <v>#REF!</v>
      </c>
      <c r="BE212" s="8" t="e">
        <f>BE100*'Emission factors Trucks&amp;Trains'!#REF!*(2-$AS$82)</f>
        <v>#REF!</v>
      </c>
      <c r="BF212" s="8" t="e">
        <f>BF100*'Emission factors Trucks&amp;Trains'!#REF!*(2-$AS$82)</f>
        <v>#REF!</v>
      </c>
      <c r="BG212" s="9" t="e">
        <f>BG100*'Emission factors Trucks&amp;Trains'!#REF!*(2-$AS$82)</f>
        <v>#REF!</v>
      </c>
    </row>
    <row r="213" spans="1:59" ht="15" customHeight="1">
      <c r="A213" s="457"/>
      <c r="B213" s="136" t="s">
        <v>347</v>
      </c>
      <c r="C213" s="112" t="s">
        <v>344</v>
      </c>
      <c r="D213" s="8" t="e">
        <f t="shared" ref="D213:L213" si="68">D128</f>
        <v>#REF!</v>
      </c>
      <c r="E213" s="8" t="e">
        <f t="shared" si="68"/>
        <v>#REF!</v>
      </c>
      <c r="F213" s="8" t="e">
        <f t="shared" si="68"/>
        <v>#REF!</v>
      </c>
      <c r="G213" s="8" t="e">
        <f t="shared" si="68"/>
        <v>#REF!</v>
      </c>
      <c r="H213" s="8" t="e">
        <f t="shared" si="68"/>
        <v>#REF!</v>
      </c>
      <c r="I213" s="8" t="e">
        <f t="shared" si="68"/>
        <v>#REF!</v>
      </c>
      <c r="J213" s="8" t="e">
        <f t="shared" si="68"/>
        <v>#REF!</v>
      </c>
      <c r="K213" s="8" t="e">
        <f t="shared" si="68"/>
        <v>#REF!</v>
      </c>
      <c r="L213" s="9" t="e">
        <f t="shared" si="68"/>
        <v>#REF!</v>
      </c>
      <c r="M213" s="8" t="e">
        <f t="shared" ref="M213:AB213" si="69">M128</f>
        <v>#REF!</v>
      </c>
      <c r="N213" s="8" t="e">
        <f t="shared" si="69"/>
        <v>#REF!</v>
      </c>
      <c r="O213" s="8" t="e">
        <f t="shared" si="69"/>
        <v>#REF!</v>
      </c>
      <c r="P213" s="8" t="e">
        <f t="shared" si="69"/>
        <v>#REF!</v>
      </c>
      <c r="Q213" s="8" t="e">
        <f t="shared" si="69"/>
        <v>#REF!</v>
      </c>
      <c r="R213" s="8" t="e">
        <f t="shared" si="69"/>
        <v>#REF!</v>
      </c>
      <c r="S213" s="8" t="e">
        <f t="shared" si="69"/>
        <v>#REF!</v>
      </c>
      <c r="T213" s="8" t="e">
        <f t="shared" si="69"/>
        <v>#REF!</v>
      </c>
      <c r="U213" s="9" t="e">
        <f t="shared" si="69"/>
        <v>#REF!</v>
      </c>
      <c r="V213" s="8" t="e">
        <f t="shared" si="69"/>
        <v>#REF!</v>
      </c>
      <c r="W213" s="8" t="e">
        <f t="shared" si="69"/>
        <v>#REF!</v>
      </c>
      <c r="X213" s="8" t="e">
        <f t="shared" si="69"/>
        <v>#REF!</v>
      </c>
      <c r="Y213" s="8" t="e">
        <f t="shared" si="69"/>
        <v>#REF!</v>
      </c>
      <c r="Z213" s="8" t="e">
        <f t="shared" si="69"/>
        <v>#REF!</v>
      </c>
      <c r="AA213" s="8" t="e">
        <f t="shared" si="69"/>
        <v>#REF!</v>
      </c>
      <c r="AB213" s="8" t="e">
        <f t="shared" si="69"/>
        <v>#REF!</v>
      </c>
      <c r="AF213" s="464"/>
      <c r="AG213" s="136" t="s">
        <v>349</v>
      </c>
      <c r="AH213" s="6" t="s">
        <v>344</v>
      </c>
      <c r="AI213" s="21" t="e">
        <f>AI100*'Emission factors Trucks&amp;Trains'!#REF!*(2-$AS$82)</f>
        <v>#REF!</v>
      </c>
      <c r="AJ213" s="8" t="e">
        <f>AJ100*'Emission factors Trucks&amp;Trains'!#REF!*(2-$AS$82)</f>
        <v>#REF!</v>
      </c>
      <c r="AK213" s="8" t="e">
        <f>AK100*'Emission factors Trucks&amp;Trains'!#REF!*(2-$AS$82)</f>
        <v>#REF!</v>
      </c>
      <c r="AL213" s="8" t="e">
        <f>AL100*'Emission factors Trucks&amp;Trains'!#REF!*(2-$AS$82)</f>
        <v>#REF!</v>
      </c>
      <c r="AM213" s="8" t="e">
        <f>AM100*'Emission factors Trucks&amp;Trains'!#REF!*(2-$AS$82)</f>
        <v>#REF!</v>
      </c>
      <c r="AN213" s="8" t="e">
        <f>AN100*'Emission factors Trucks&amp;Trains'!#REF!*(2-$AS$82)</f>
        <v>#REF!</v>
      </c>
      <c r="AO213" s="8" t="e">
        <f>AO100*'Emission factors Trucks&amp;Trains'!#REF!*(2-$AS$82)</f>
        <v>#REF!</v>
      </c>
      <c r="AP213" s="8" t="e">
        <f>AP100*'Emission factors Trucks&amp;Trains'!#REF!*(2-$AS$82)</f>
        <v>#REF!</v>
      </c>
      <c r="AQ213" s="8" t="e">
        <f>AQ100*'Emission factors Trucks&amp;Trains'!#REF!*(2-$AS$82)</f>
        <v>#REF!</v>
      </c>
      <c r="AR213" s="8" t="e">
        <f>AR100*'Emission factors Trucks&amp;Trains'!#REF!*(2-$AS$82)</f>
        <v>#REF!</v>
      </c>
      <c r="AS213" s="8" t="e">
        <f>AS100*'Emission factors Trucks&amp;Trains'!#REF!*(2-$AS$82)</f>
        <v>#REF!</v>
      </c>
      <c r="AT213" s="8" t="e">
        <f>AT100*'Emission factors Trucks&amp;Trains'!#REF!*(2-$AS$82)</f>
        <v>#REF!</v>
      </c>
      <c r="AU213" s="8" t="e">
        <f>AU100*'Emission factors Trucks&amp;Trains'!#REF!*(2-$AS$82)</f>
        <v>#REF!</v>
      </c>
      <c r="AV213" s="8" t="e">
        <f>AV100*'Emission factors Trucks&amp;Trains'!#REF!*(2-$AS$82)</f>
        <v>#REF!</v>
      </c>
      <c r="AW213" s="8" t="e">
        <f>AW100*'Emission factors Trucks&amp;Trains'!#REF!*(2-$AS$82)</f>
        <v>#REF!</v>
      </c>
      <c r="AX213" s="8" t="e">
        <f>AX100*'Emission factors Trucks&amp;Trains'!#REF!*(2-$AS$82)</f>
        <v>#REF!</v>
      </c>
      <c r="AY213" s="8" t="e">
        <f>AY100*'Emission factors Trucks&amp;Trains'!#REF!*(2-$AS$82)</f>
        <v>#REF!</v>
      </c>
      <c r="AZ213" s="8" t="e">
        <f>AZ100*'Emission factors Trucks&amp;Trains'!#REF!*(2-$AS$82)</f>
        <v>#REF!</v>
      </c>
      <c r="BA213" s="8" t="e">
        <f>BA100*'Emission factors Trucks&amp;Trains'!#REF!*(2-$AS$82)</f>
        <v>#REF!</v>
      </c>
      <c r="BB213" s="8" t="e">
        <f>BB100*'Emission factors Trucks&amp;Trains'!#REF!*(2-$AS$82)</f>
        <v>#REF!</v>
      </c>
      <c r="BC213" s="8" t="e">
        <f>BC100*'Emission factors Trucks&amp;Trains'!#REF!*(2-$AS$82)</f>
        <v>#REF!</v>
      </c>
      <c r="BD213" s="8" t="e">
        <f>BD100*'Emission factors Trucks&amp;Trains'!#REF!*(2-$AS$82)</f>
        <v>#REF!</v>
      </c>
      <c r="BE213" s="8" t="e">
        <f>BE100*'Emission factors Trucks&amp;Trains'!#REF!*(2-$AS$82)</f>
        <v>#REF!</v>
      </c>
      <c r="BF213" s="8" t="e">
        <f>BF100*'Emission factors Trucks&amp;Trains'!#REF!*(2-$AS$82)</f>
        <v>#REF!</v>
      </c>
      <c r="BG213" s="9" t="e">
        <f>BG100*'Emission factors Trucks&amp;Trains'!#REF!*(2-$AS$82)</f>
        <v>#REF!</v>
      </c>
    </row>
    <row r="214" spans="1:59" ht="15" customHeight="1" thickBot="1">
      <c r="A214" s="457"/>
      <c r="B214" s="136" t="s">
        <v>348</v>
      </c>
      <c r="C214" s="112" t="s">
        <v>344</v>
      </c>
      <c r="D214" s="8" t="e">
        <f t="shared" ref="D214:L214" si="70">D129</f>
        <v>#REF!</v>
      </c>
      <c r="E214" s="8" t="e">
        <f t="shared" si="70"/>
        <v>#REF!</v>
      </c>
      <c r="F214" s="8" t="e">
        <f t="shared" si="70"/>
        <v>#REF!</v>
      </c>
      <c r="G214" s="8" t="e">
        <f t="shared" si="70"/>
        <v>#REF!</v>
      </c>
      <c r="H214" s="8" t="e">
        <f t="shared" si="70"/>
        <v>#REF!</v>
      </c>
      <c r="I214" s="8" t="e">
        <f t="shared" si="70"/>
        <v>#REF!</v>
      </c>
      <c r="J214" s="8" t="e">
        <f t="shared" si="70"/>
        <v>#REF!</v>
      </c>
      <c r="K214" s="8" t="e">
        <f t="shared" si="70"/>
        <v>#REF!</v>
      </c>
      <c r="L214" s="9" t="e">
        <f t="shared" si="70"/>
        <v>#REF!</v>
      </c>
      <c r="M214" s="8" t="e">
        <f t="shared" ref="M214:AB214" si="71">M129</f>
        <v>#REF!</v>
      </c>
      <c r="N214" s="8" t="e">
        <f t="shared" si="71"/>
        <v>#REF!</v>
      </c>
      <c r="O214" s="8" t="e">
        <f t="shared" si="71"/>
        <v>#REF!</v>
      </c>
      <c r="P214" s="8" t="e">
        <f t="shared" si="71"/>
        <v>#REF!</v>
      </c>
      <c r="Q214" s="8" t="e">
        <f t="shared" si="71"/>
        <v>#REF!</v>
      </c>
      <c r="R214" s="8" t="e">
        <f t="shared" si="71"/>
        <v>#REF!</v>
      </c>
      <c r="S214" s="8" t="e">
        <f t="shared" si="71"/>
        <v>#REF!</v>
      </c>
      <c r="T214" s="8" t="e">
        <f t="shared" si="71"/>
        <v>#REF!</v>
      </c>
      <c r="U214" s="9" t="e">
        <f t="shared" si="71"/>
        <v>#REF!</v>
      </c>
      <c r="V214" s="8" t="e">
        <f t="shared" si="71"/>
        <v>#REF!</v>
      </c>
      <c r="W214" s="8" t="e">
        <f t="shared" si="71"/>
        <v>#REF!</v>
      </c>
      <c r="X214" s="8" t="e">
        <f t="shared" si="71"/>
        <v>#REF!</v>
      </c>
      <c r="Y214" s="8" t="e">
        <f t="shared" si="71"/>
        <v>#REF!</v>
      </c>
      <c r="Z214" s="8" t="e">
        <f t="shared" si="71"/>
        <v>#REF!</v>
      </c>
      <c r="AA214" s="8" t="e">
        <f t="shared" si="71"/>
        <v>#REF!</v>
      </c>
      <c r="AB214" s="8" t="e">
        <f t="shared" si="71"/>
        <v>#REF!</v>
      </c>
      <c r="AF214" s="465"/>
      <c r="AG214" s="136" t="s">
        <v>246</v>
      </c>
      <c r="AH214" s="6" t="s">
        <v>344</v>
      </c>
      <c r="AI214" s="21">
        <f>AI100*'Emission factors Trucks&amp;Trains'!B13*(2-$AS$82)</f>
        <v>0</v>
      </c>
      <c r="AJ214" s="21">
        <f>AJ100*'Emission factors Trucks&amp;Trains'!C13*(2-$AS$82)</f>
        <v>-1.6825501576631544E-10</v>
      </c>
      <c r="AK214" s="21">
        <f>AK100*'Emission factors Trucks&amp;Trains'!D13*(2-$AS$82)</f>
        <v>165892.8131766296</v>
      </c>
      <c r="AL214" s="21">
        <f>AL100*'Emission factors Trucks&amp;Trains'!E13*(2-$AS$82)</f>
        <v>254986.98230658998</v>
      </c>
      <c r="AM214" s="21">
        <f>AM100*'Emission factors Trucks&amp;Trains'!F13*(2-$AS$82)</f>
        <v>308511.13219243847</v>
      </c>
      <c r="AN214" s="21">
        <f>AN100*'Emission factors Trucks&amp;Trains'!G13*(2-$AS$82)</f>
        <v>323574.4024223421</v>
      </c>
      <c r="AO214" s="21">
        <f>AO100*'Emission factors Trucks&amp;Trains'!H13*(2-$AS$82)</f>
        <v>334218.11543705687</v>
      </c>
      <c r="AP214" s="21">
        <f>AP100*'Emission factors Trucks&amp;Trains'!I13*(2-$AS$82)</f>
        <v>352004.88392376975</v>
      </c>
      <c r="AQ214" s="21">
        <f>AQ100*'Emission factors Trucks&amp;Trains'!J13*(2-$AS$82)</f>
        <v>150718.8040655111</v>
      </c>
      <c r="AR214" s="21">
        <f>AR100*'Emission factors Trucks&amp;Trains'!K13*(2-$AS$82)</f>
        <v>147240.14924374857</v>
      </c>
      <c r="AS214" s="21">
        <f>AS100*'Emission factors Trucks&amp;Trains'!L13*(2-$AS$82)</f>
        <v>153942.80514140052</v>
      </c>
      <c r="AT214" s="21">
        <f>AT100*'Emission factors Trucks&amp;Trains'!M13*(2-$AS$82)</f>
        <v>159391.2920023952</v>
      </c>
      <c r="AU214" s="21">
        <f>AU100*'Emission factors Trucks&amp;Trains'!N13*(2-$AS$82)</f>
        <v>164533.73807971412</v>
      </c>
      <c r="AV214" s="21">
        <f>AV100*'Emission factors Trucks&amp;Trains'!O13*(2-$AS$82)</f>
        <v>126935.71156103183</v>
      </c>
      <c r="AW214" s="21">
        <f>AW100*'Emission factors Trucks&amp;Trains'!P13*(2-$AS$82)</f>
        <v>103499.0972115216</v>
      </c>
      <c r="AX214" s="21">
        <f>AX100*'Emission factors Trucks&amp;Trains'!Q13*(2-$AS$82)</f>
        <v>73142.880862819657</v>
      </c>
      <c r="AY214" s="21">
        <f>AY100*'Emission factors Trucks&amp;Trains'!R13*(2-$AS$82)</f>
        <v>75549.505645884536</v>
      </c>
      <c r="AZ214" s="21">
        <f>AZ100*'Emission factors Trucks&amp;Trains'!S13*(2-$AS$82)</f>
        <v>77327.979619716527</v>
      </c>
      <c r="BA214" s="21">
        <f>BA100*'Emission factors Trucks&amp;Trains'!T13*(2-$AS$82)</f>
        <v>79926.327156840212</v>
      </c>
      <c r="BB214" s="21">
        <f>BB100*'Emission factors Trucks&amp;Trains'!U13*(2-$AS$82)</f>
        <v>82045.322639430626</v>
      </c>
      <c r="BC214" s="21">
        <f>BC100*'Emission factors Trucks&amp;Trains'!V13*(2-$AS$82)</f>
        <v>83569.389779385296</v>
      </c>
      <c r="BD214" s="21">
        <f>BD100*'Emission factors Trucks&amp;Trains'!W13*(2-$AS$82)</f>
        <v>85676.09431754332</v>
      </c>
      <c r="BE214" s="21">
        <f>BE100*'Emission factors Trucks&amp;Trains'!X13*(2-$AS$82)</f>
        <v>87431.406663581452</v>
      </c>
      <c r="BF214" s="21">
        <f>BF100*'Emission factors Trucks&amp;Trains'!Y13*(2-$AS$82)</f>
        <v>89007.134478646054</v>
      </c>
      <c r="BG214" s="21">
        <f>BG100*'Emission factors Trucks&amp;Trains'!Z13*(2-$AS$82)</f>
        <v>89982.131095237564</v>
      </c>
    </row>
    <row r="215" spans="1:59" ht="15" customHeight="1">
      <c r="A215" s="457"/>
      <c r="B215" s="136" t="s">
        <v>349</v>
      </c>
      <c r="C215" s="112" t="s">
        <v>344</v>
      </c>
      <c r="D215" s="8" t="e">
        <f t="shared" ref="D215:L215" si="72">D130</f>
        <v>#REF!</v>
      </c>
      <c r="E215" s="8" t="e">
        <f t="shared" si="72"/>
        <v>#REF!</v>
      </c>
      <c r="F215" s="8" t="e">
        <f t="shared" si="72"/>
        <v>#REF!</v>
      </c>
      <c r="G215" s="8" t="e">
        <f t="shared" si="72"/>
        <v>#REF!</v>
      </c>
      <c r="H215" s="8" t="e">
        <f t="shared" si="72"/>
        <v>#REF!</v>
      </c>
      <c r="I215" s="8" t="e">
        <f t="shared" si="72"/>
        <v>#REF!</v>
      </c>
      <c r="J215" s="8" t="e">
        <f t="shared" si="72"/>
        <v>#REF!</v>
      </c>
      <c r="K215" s="8" t="e">
        <f t="shared" si="72"/>
        <v>#REF!</v>
      </c>
      <c r="L215" s="9" t="e">
        <f t="shared" si="72"/>
        <v>#REF!</v>
      </c>
      <c r="M215" s="8" t="e">
        <f t="shared" ref="M215:AB215" si="73">M130</f>
        <v>#REF!</v>
      </c>
      <c r="N215" s="8" t="e">
        <f t="shared" si="73"/>
        <v>#REF!</v>
      </c>
      <c r="O215" s="8" t="e">
        <f t="shared" si="73"/>
        <v>#REF!</v>
      </c>
      <c r="P215" s="8" t="e">
        <f t="shared" si="73"/>
        <v>#REF!</v>
      </c>
      <c r="Q215" s="8" t="e">
        <f t="shared" si="73"/>
        <v>#REF!</v>
      </c>
      <c r="R215" s="8" t="e">
        <f t="shared" si="73"/>
        <v>#REF!</v>
      </c>
      <c r="S215" s="8" t="e">
        <f t="shared" si="73"/>
        <v>#REF!</v>
      </c>
      <c r="T215" s="8" t="e">
        <f t="shared" si="73"/>
        <v>#REF!</v>
      </c>
      <c r="U215" s="9" t="e">
        <f t="shared" si="73"/>
        <v>#REF!</v>
      </c>
      <c r="V215" s="8" t="e">
        <f t="shared" si="73"/>
        <v>#REF!</v>
      </c>
      <c r="W215" s="8" t="e">
        <f t="shared" si="73"/>
        <v>#REF!</v>
      </c>
      <c r="X215" s="8" t="e">
        <f t="shared" si="73"/>
        <v>#REF!</v>
      </c>
      <c r="Y215" s="8" t="e">
        <f t="shared" si="73"/>
        <v>#REF!</v>
      </c>
      <c r="Z215" s="8" t="e">
        <f t="shared" si="73"/>
        <v>#REF!</v>
      </c>
      <c r="AA215" s="8" t="e">
        <f t="shared" si="73"/>
        <v>#REF!</v>
      </c>
      <c r="AB215" s="8" t="e">
        <f t="shared" si="73"/>
        <v>#REF!</v>
      </c>
    </row>
    <row r="216" spans="1:59" ht="15" customHeight="1">
      <c r="A216" s="457"/>
      <c r="B216" s="136" t="s">
        <v>246</v>
      </c>
      <c r="C216" s="112" t="s">
        <v>344</v>
      </c>
      <c r="D216" s="8">
        <f>AI131+AI178</f>
        <v>0</v>
      </c>
      <c r="E216" s="8">
        <f t="shared" ref="E216:AB216" si="74">AJ131+AJ178</f>
        <v>0</v>
      </c>
      <c r="F216" s="8">
        <f t="shared" si="74"/>
        <v>0</v>
      </c>
      <c r="G216" s="8">
        <f>AL131+AL178</f>
        <v>0</v>
      </c>
      <c r="H216" s="8">
        <f>AM131+AM178</f>
        <v>0</v>
      </c>
      <c r="I216" s="8">
        <f t="shared" si="74"/>
        <v>0</v>
      </c>
      <c r="J216" s="8">
        <f t="shared" si="74"/>
        <v>0</v>
      </c>
      <c r="K216" s="8">
        <f t="shared" si="74"/>
        <v>0</v>
      </c>
      <c r="L216" s="8">
        <f t="shared" si="74"/>
        <v>0</v>
      </c>
      <c r="M216" s="8">
        <f t="shared" si="74"/>
        <v>0</v>
      </c>
      <c r="N216" s="8">
        <f t="shared" si="74"/>
        <v>0</v>
      </c>
      <c r="O216" s="8">
        <f t="shared" si="74"/>
        <v>0</v>
      </c>
      <c r="P216" s="8">
        <f t="shared" si="74"/>
        <v>0</v>
      </c>
      <c r="Q216" s="8">
        <f t="shared" si="74"/>
        <v>0</v>
      </c>
      <c r="R216" s="8">
        <f t="shared" si="74"/>
        <v>0</v>
      </c>
      <c r="S216" s="8">
        <f t="shared" si="74"/>
        <v>0</v>
      </c>
      <c r="T216" s="8">
        <f t="shared" si="74"/>
        <v>0</v>
      </c>
      <c r="U216" s="8">
        <f t="shared" si="74"/>
        <v>0</v>
      </c>
      <c r="V216" s="8">
        <f t="shared" si="74"/>
        <v>0</v>
      </c>
      <c r="W216" s="8">
        <f t="shared" si="74"/>
        <v>0</v>
      </c>
      <c r="X216" s="8">
        <f t="shared" si="74"/>
        <v>0</v>
      </c>
      <c r="Y216" s="8">
        <f t="shared" si="74"/>
        <v>0</v>
      </c>
      <c r="Z216" s="8">
        <f t="shared" si="74"/>
        <v>0</v>
      </c>
      <c r="AA216" s="8">
        <f t="shared" si="74"/>
        <v>0</v>
      </c>
      <c r="AB216" s="8">
        <f t="shared" si="74"/>
        <v>0</v>
      </c>
    </row>
    <row r="217" spans="1:59" ht="15" customHeight="1">
      <c r="A217" s="457"/>
      <c r="B217" s="2" t="s">
        <v>9</v>
      </c>
      <c r="C217" s="13"/>
      <c r="D217" s="8"/>
      <c r="E217" s="8"/>
      <c r="F217" s="8"/>
      <c r="G217" s="8"/>
      <c r="H217" s="8"/>
      <c r="I217" s="8"/>
      <c r="J217" s="8"/>
      <c r="K217" s="8"/>
      <c r="L217" s="9"/>
      <c r="M217" s="8"/>
      <c r="N217" s="8"/>
      <c r="O217" s="8"/>
      <c r="P217" s="8"/>
      <c r="Q217" s="8"/>
      <c r="R217" s="8"/>
      <c r="S217" s="8"/>
      <c r="T217" s="8"/>
      <c r="U217" s="9"/>
      <c r="V217" s="8"/>
      <c r="W217" s="8"/>
      <c r="X217" s="8"/>
      <c r="Y217" s="8"/>
      <c r="Z217" s="8"/>
      <c r="AA217" s="8"/>
      <c r="AB217" s="8"/>
    </row>
    <row r="218" spans="1:59" ht="15" customHeight="1">
      <c r="A218" s="457"/>
      <c r="B218" s="136" t="s">
        <v>343</v>
      </c>
      <c r="C218" s="112" t="s">
        <v>344</v>
      </c>
      <c r="D218" s="8" t="e">
        <f t="shared" ref="D218:M225" si="75">D133+D170+AI142+AI189</f>
        <v>#REF!</v>
      </c>
      <c r="E218" s="8" t="e">
        <f t="shared" si="75"/>
        <v>#REF!</v>
      </c>
      <c r="F218" s="8" t="e">
        <f t="shared" si="75"/>
        <v>#REF!</v>
      </c>
      <c r="G218" s="8" t="e">
        <f t="shared" si="75"/>
        <v>#REF!</v>
      </c>
      <c r="H218" s="8" t="e">
        <f t="shared" si="75"/>
        <v>#REF!</v>
      </c>
      <c r="I218" s="8" t="e">
        <f t="shared" si="75"/>
        <v>#REF!</v>
      </c>
      <c r="J218" s="8" t="e">
        <f t="shared" si="75"/>
        <v>#REF!</v>
      </c>
      <c r="K218" s="8" t="e">
        <f t="shared" si="75"/>
        <v>#REF!</v>
      </c>
      <c r="L218" s="9" t="e">
        <f t="shared" si="75"/>
        <v>#REF!</v>
      </c>
      <c r="M218" s="8" t="e">
        <f t="shared" si="75"/>
        <v>#REF!</v>
      </c>
      <c r="N218" s="8" t="e">
        <f t="shared" ref="N218:W225" si="76">N133+N170+AS142+AS189</f>
        <v>#REF!</v>
      </c>
      <c r="O218" s="8" t="e">
        <f t="shared" si="76"/>
        <v>#REF!</v>
      </c>
      <c r="P218" s="8" t="e">
        <f t="shared" si="76"/>
        <v>#REF!</v>
      </c>
      <c r="Q218" s="8" t="e">
        <f t="shared" si="76"/>
        <v>#REF!</v>
      </c>
      <c r="R218" s="8" t="e">
        <f t="shared" si="76"/>
        <v>#REF!</v>
      </c>
      <c r="S218" s="8" t="e">
        <f t="shared" si="76"/>
        <v>#REF!</v>
      </c>
      <c r="T218" s="8" t="e">
        <f t="shared" si="76"/>
        <v>#REF!</v>
      </c>
      <c r="U218" s="9" t="e">
        <f t="shared" si="76"/>
        <v>#REF!</v>
      </c>
      <c r="V218" s="8" t="e">
        <f t="shared" si="76"/>
        <v>#REF!</v>
      </c>
      <c r="W218" s="8" t="e">
        <f t="shared" si="76"/>
        <v>#REF!</v>
      </c>
      <c r="X218" s="8" t="e">
        <f t="shared" ref="X218:AB225" si="77">X133+X170+BC142+BC189</f>
        <v>#REF!</v>
      </c>
      <c r="Y218" s="8" t="e">
        <f t="shared" si="77"/>
        <v>#REF!</v>
      </c>
      <c r="Z218" s="8" t="e">
        <f t="shared" si="77"/>
        <v>#REF!</v>
      </c>
      <c r="AA218" s="8" t="e">
        <f t="shared" si="77"/>
        <v>#REF!</v>
      </c>
      <c r="AB218" s="8" t="e">
        <f t="shared" si="77"/>
        <v>#REF!</v>
      </c>
    </row>
    <row r="219" spans="1:59" ht="15" customHeight="1">
      <c r="A219" s="457"/>
      <c r="B219" s="136" t="s">
        <v>345</v>
      </c>
      <c r="C219" s="112" t="s">
        <v>344</v>
      </c>
      <c r="D219" s="8" t="e">
        <f t="shared" si="75"/>
        <v>#REF!</v>
      </c>
      <c r="E219" s="8" t="e">
        <f t="shared" si="75"/>
        <v>#REF!</v>
      </c>
      <c r="F219" s="8" t="e">
        <f t="shared" si="75"/>
        <v>#REF!</v>
      </c>
      <c r="G219" s="8" t="e">
        <f t="shared" si="75"/>
        <v>#REF!</v>
      </c>
      <c r="H219" s="8" t="e">
        <f t="shared" si="75"/>
        <v>#REF!</v>
      </c>
      <c r="I219" s="8" t="e">
        <f t="shared" si="75"/>
        <v>#REF!</v>
      </c>
      <c r="J219" s="8" t="e">
        <f t="shared" si="75"/>
        <v>#REF!</v>
      </c>
      <c r="K219" s="8" t="e">
        <f t="shared" si="75"/>
        <v>#REF!</v>
      </c>
      <c r="L219" s="9" t="e">
        <f t="shared" si="75"/>
        <v>#REF!</v>
      </c>
      <c r="M219" s="8" t="e">
        <f t="shared" si="75"/>
        <v>#REF!</v>
      </c>
      <c r="N219" s="8" t="e">
        <f t="shared" si="76"/>
        <v>#REF!</v>
      </c>
      <c r="O219" s="8" t="e">
        <f t="shared" si="76"/>
        <v>#REF!</v>
      </c>
      <c r="P219" s="8" t="e">
        <f t="shared" si="76"/>
        <v>#REF!</v>
      </c>
      <c r="Q219" s="8" t="e">
        <f t="shared" si="76"/>
        <v>#REF!</v>
      </c>
      <c r="R219" s="8" t="e">
        <f t="shared" si="76"/>
        <v>#REF!</v>
      </c>
      <c r="S219" s="8" t="e">
        <f t="shared" si="76"/>
        <v>#REF!</v>
      </c>
      <c r="T219" s="8" t="e">
        <f t="shared" si="76"/>
        <v>#REF!</v>
      </c>
      <c r="U219" s="9" t="e">
        <f t="shared" si="76"/>
        <v>#REF!</v>
      </c>
      <c r="V219" s="8" t="e">
        <f t="shared" si="76"/>
        <v>#REF!</v>
      </c>
      <c r="W219" s="8" t="e">
        <f t="shared" si="76"/>
        <v>#REF!</v>
      </c>
      <c r="X219" s="8" t="e">
        <f t="shared" si="77"/>
        <v>#REF!</v>
      </c>
      <c r="Y219" s="8" t="e">
        <f t="shared" si="77"/>
        <v>#REF!</v>
      </c>
      <c r="Z219" s="8" t="e">
        <f t="shared" si="77"/>
        <v>#REF!</v>
      </c>
      <c r="AA219" s="8" t="e">
        <f t="shared" si="77"/>
        <v>#REF!</v>
      </c>
      <c r="AB219" s="8" t="e">
        <f t="shared" si="77"/>
        <v>#REF!</v>
      </c>
    </row>
    <row r="220" spans="1:59" ht="15" customHeight="1">
      <c r="A220" s="457"/>
      <c r="B220" s="136" t="s">
        <v>346</v>
      </c>
      <c r="C220" s="112" t="s">
        <v>344</v>
      </c>
      <c r="D220" s="8" t="e">
        <f t="shared" si="75"/>
        <v>#REF!</v>
      </c>
      <c r="E220" s="8" t="e">
        <f t="shared" si="75"/>
        <v>#REF!</v>
      </c>
      <c r="F220" s="8" t="e">
        <f t="shared" si="75"/>
        <v>#REF!</v>
      </c>
      <c r="G220" s="8" t="e">
        <f t="shared" si="75"/>
        <v>#REF!</v>
      </c>
      <c r="H220" s="8" t="e">
        <f t="shared" si="75"/>
        <v>#REF!</v>
      </c>
      <c r="I220" s="8" t="e">
        <f t="shared" si="75"/>
        <v>#REF!</v>
      </c>
      <c r="J220" s="8" t="e">
        <f t="shared" si="75"/>
        <v>#REF!</v>
      </c>
      <c r="K220" s="8" t="e">
        <f t="shared" si="75"/>
        <v>#REF!</v>
      </c>
      <c r="L220" s="9" t="e">
        <f t="shared" si="75"/>
        <v>#REF!</v>
      </c>
      <c r="M220" s="8" t="e">
        <f t="shared" si="75"/>
        <v>#REF!</v>
      </c>
      <c r="N220" s="8" t="e">
        <f t="shared" si="76"/>
        <v>#REF!</v>
      </c>
      <c r="O220" s="8" t="e">
        <f t="shared" si="76"/>
        <v>#REF!</v>
      </c>
      <c r="P220" s="8" t="e">
        <f t="shared" si="76"/>
        <v>#REF!</v>
      </c>
      <c r="Q220" s="8" t="e">
        <f t="shared" si="76"/>
        <v>#REF!</v>
      </c>
      <c r="R220" s="8" t="e">
        <f t="shared" si="76"/>
        <v>#REF!</v>
      </c>
      <c r="S220" s="8" t="e">
        <f t="shared" si="76"/>
        <v>#REF!</v>
      </c>
      <c r="T220" s="8" t="e">
        <f t="shared" si="76"/>
        <v>#REF!</v>
      </c>
      <c r="U220" s="9" t="e">
        <f t="shared" si="76"/>
        <v>#REF!</v>
      </c>
      <c r="V220" s="8" t="e">
        <f t="shared" si="76"/>
        <v>#REF!</v>
      </c>
      <c r="W220" s="8" t="e">
        <f t="shared" si="76"/>
        <v>#REF!</v>
      </c>
      <c r="X220" s="8" t="e">
        <f t="shared" si="77"/>
        <v>#REF!</v>
      </c>
      <c r="Y220" s="8" t="e">
        <f t="shared" si="77"/>
        <v>#REF!</v>
      </c>
      <c r="Z220" s="8" t="e">
        <f t="shared" si="77"/>
        <v>#REF!</v>
      </c>
      <c r="AA220" s="8" t="e">
        <f t="shared" si="77"/>
        <v>#REF!</v>
      </c>
      <c r="AB220" s="8" t="e">
        <f t="shared" si="77"/>
        <v>#REF!</v>
      </c>
    </row>
    <row r="221" spans="1:59" ht="15" customHeight="1">
      <c r="A221" s="457"/>
      <c r="B221" s="136" t="s">
        <v>278</v>
      </c>
      <c r="C221" s="112" t="s">
        <v>344</v>
      </c>
      <c r="D221" s="8">
        <f t="shared" si="75"/>
        <v>0</v>
      </c>
      <c r="E221" s="8">
        <f t="shared" si="75"/>
        <v>0</v>
      </c>
      <c r="F221" s="8">
        <f t="shared" si="75"/>
        <v>0</v>
      </c>
      <c r="G221" s="8">
        <f t="shared" si="75"/>
        <v>0</v>
      </c>
      <c r="H221" s="8">
        <f t="shared" si="75"/>
        <v>0</v>
      </c>
      <c r="I221" s="8">
        <f t="shared" si="75"/>
        <v>0</v>
      </c>
      <c r="J221" s="8">
        <f t="shared" si="75"/>
        <v>0</v>
      </c>
      <c r="K221" s="8">
        <f t="shared" si="75"/>
        <v>0</v>
      </c>
      <c r="L221" s="9">
        <f t="shared" si="75"/>
        <v>0</v>
      </c>
      <c r="M221" s="8">
        <f t="shared" si="75"/>
        <v>0</v>
      </c>
      <c r="N221" s="8">
        <f t="shared" si="76"/>
        <v>0</v>
      </c>
      <c r="O221" s="8">
        <f t="shared" si="76"/>
        <v>0</v>
      </c>
      <c r="P221" s="8">
        <f t="shared" si="76"/>
        <v>0</v>
      </c>
      <c r="Q221" s="8">
        <f t="shared" si="76"/>
        <v>0</v>
      </c>
      <c r="R221" s="8">
        <f t="shared" si="76"/>
        <v>0</v>
      </c>
      <c r="S221" s="8">
        <f t="shared" si="76"/>
        <v>0</v>
      </c>
      <c r="T221" s="8">
        <f t="shared" si="76"/>
        <v>0</v>
      </c>
      <c r="U221" s="9">
        <f t="shared" si="76"/>
        <v>0</v>
      </c>
      <c r="V221" s="8">
        <f t="shared" si="76"/>
        <v>0</v>
      </c>
      <c r="W221" s="8">
        <f t="shared" si="76"/>
        <v>0</v>
      </c>
      <c r="X221" s="8">
        <f t="shared" si="77"/>
        <v>0</v>
      </c>
      <c r="Y221" s="8">
        <f t="shared" si="77"/>
        <v>0</v>
      </c>
      <c r="Z221" s="8">
        <f t="shared" si="77"/>
        <v>0</v>
      </c>
      <c r="AA221" s="8">
        <f t="shared" si="77"/>
        <v>0</v>
      </c>
      <c r="AB221" s="8">
        <f t="shared" si="77"/>
        <v>0</v>
      </c>
    </row>
    <row r="222" spans="1:59" ht="15" customHeight="1">
      <c r="A222" s="457"/>
      <c r="B222" s="136" t="s">
        <v>347</v>
      </c>
      <c r="C222" s="112" t="s">
        <v>344</v>
      </c>
      <c r="D222" s="8" t="e">
        <f t="shared" si="75"/>
        <v>#REF!</v>
      </c>
      <c r="E222" s="8" t="e">
        <f t="shared" si="75"/>
        <v>#REF!</v>
      </c>
      <c r="F222" s="8" t="e">
        <f t="shared" si="75"/>
        <v>#REF!</v>
      </c>
      <c r="G222" s="8" t="e">
        <f t="shared" si="75"/>
        <v>#REF!</v>
      </c>
      <c r="H222" s="8" t="e">
        <f t="shared" si="75"/>
        <v>#REF!</v>
      </c>
      <c r="I222" s="8" t="e">
        <f t="shared" si="75"/>
        <v>#REF!</v>
      </c>
      <c r="J222" s="8" t="e">
        <f t="shared" si="75"/>
        <v>#REF!</v>
      </c>
      <c r="K222" s="8" t="e">
        <f t="shared" si="75"/>
        <v>#REF!</v>
      </c>
      <c r="L222" s="9" t="e">
        <f t="shared" si="75"/>
        <v>#REF!</v>
      </c>
      <c r="M222" s="8" t="e">
        <f t="shared" si="75"/>
        <v>#REF!</v>
      </c>
      <c r="N222" s="8" t="e">
        <f t="shared" si="76"/>
        <v>#REF!</v>
      </c>
      <c r="O222" s="8" t="e">
        <f t="shared" si="76"/>
        <v>#REF!</v>
      </c>
      <c r="P222" s="8" t="e">
        <f t="shared" si="76"/>
        <v>#REF!</v>
      </c>
      <c r="Q222" s="8" t="e">
        <f t="shared" si="76"/>
        <v>#REF!</v>
      </c>
      <c r="R222" s="8" t="e">
        <f t="shared" si="76"/>
        <v>#REF!</v>
      </c>
      <c r="S222" s="8" t="e">
        <f t="shared" si="76"/>
        <v>#REF!</v>
      </c>
      <c r="T222" s="8" t="e">
        <f t="shared" si="76"/>
        <v>#REF!</v>
      </c>
      <c r="U222" s="9" t="e">
        <f t="shared" si="76"/>
        <v>#REF!</v>
      </c>
      <c r="V222" s="8" t="e">
        <f t="shared" si="76"/>
        <v>#REF!</v>
      </c>
      <c r="W222" s="8" t="e">
        <f t="shared" si="76"/>
        <v>#REF!</v>
      </c>
      <c r="X222" s="8" t="e">
        <f t="shared" si="77"/>
        <v>#REF!</v>
      </c>
      <c r="Y222" s="8" t="e">
        <f t="shared" si="77"/>
        <v>#REF!</v>
      </c>
      <c r="Z222" s="8" t="e">
        <f t="shared" si="77"/>
        <v>#REF!</v>
      </c>
      <c r="AA222" s="8" t="e">
        <f t="shared" si="77"/>
        <v>#REF!</v>
      </c>
      <c r="AB222" s="8" t="e">
        <f t="shared" si="77"/>
        <v>#REF!</v>
      </c>
    </row>
    <row r="223" spans="1:59" ht="15" customHeight="1">
      <c r="A223" s="457"/>
      <c r="B223" s="136" t="s">
        <v>348</v>
      </c>
      <c r="C223" s="112" t="s">
        <v>344</v>
      </c>
      <c r="D223" s="8" t="e">
        <f t="shared" si="75"/>
        <v>#REF!</v>
      </c>
      <c r="E223" s="8" t="e">
        <f t="shared" si="75"/>
        <v>#REF!</v>
      </c>
      <c r="F223" s="8" t="e">
        <f t="shared" si="75"/>
        <v>#REF!</v>
      </c>
      <c r="G223" s="8" t="e">
        <f t="shared" si="75"/>
        <v>#REF!</v>
      </c>
      <c r="H223" s="8" t="e">
        <f t="shared" si="75"/>
        <v>#REF!</v>
      </c>
      <c r="I223" s="8" t="e">
        <f t="shared" si="75"/>
        <v>#REF!</v>
      </c>
      <c r="J223" s="8" t="e">
        <f t="shared" si="75"/>
        <v>#REF!</v>
      </c>
      <c r="K223" s="8" t="e">
        <f t="shared" si="75"/>
        <v>#REF!</v>
      </c>
      <c r="L223" s="9" t="e">
        <f t="shared" si="75"/>
        <v>#REF!</v>
      </c>
      <c r="M223" s="8" t="e">
        <f t="shared" si="75"/>
        <v>#REF!</v>
      </c>
      <c r="N223" s="8" t="e">
        <f t="shared" si="76"/>
        <v>#REF!</v>
      </c>
      <c r="O223" s="8" t="e">
        <f t="shared" si="76"/>
        <v>#REF!</v>
      </c>
      <c r="P223" s="8" t="e">
        <f t="shared" si="76"/>
        <v>#REF!</v>
      </c>
      <c r="Q223" s="8" t="e">
        <f t="shared" si="76"/>
        <v>#REF!</v>
      </c>
      <c r="R223" s="8" t="e">
        <f t="shared" si="76"/>
        <v>#REF!</v>
      </c>
      <c r="S223" s="8" t="e">
        <f t="shared" si="76"/>
        <v>#REF!</v>
      </c>
      <c r="T223" s="8" t="e">
        <f t="shared" si="76"/>
        <v>#REF!</v>
      </c>
      <c r="U223" s="9" t="e">
        <f t="shared" si="76"/>
        <v>#REF!</v>
      </c>
      <c r="V223" s="8" t="e">
        <f t="shared" si="76"/>
        <v>#REF!</v>
      </c>
      <c r="W223" s="8" t="e">
        <f t="shared" si="76"/>
        <v>#REF!</v>
      </c>
      <c r="X223" s="8" t="e">
        <f t="shared" si="77"/>
        <v>#REF!</v>
      </c>
      <c r="Y223" s="8" t="e">
        <f t="shared" si="77"/>
        <v>#REF!</v>
      </c>
      <c r="Z223" s="8" t="e">
        <f t="shared" si="77"/>
        <v>#REF!</v>
      </c>
      <c r="AA223" s="8" t="e">
        <f t="shared" si="77"/>
        <v>#REF!</v>
      </c>
      <c r="AB223" s="8" t="e">
        <f t="shared" si="77"/>
        <v>#REF!</v>
      </c>
    </row>
    <row r="224" spans="1:59" ht="15" customHeight="1">
      <c r="A224" s="457"/>
      <c r="B224" s="136" t="s">
        <v>349</v>
      </c>
      <c r="C224" s="112" t="s">
        <v>344</v>
      </c>
      <c r="D224" s="8" t="e">
        <f t="shared" si="75"/>
        <v>#REF!</v>
      </c>
      <c r="E224" s="8" t="e">
        <f t="shared" si="75"/>
        <v>#REF!</v>
      </c>
      <c r="F224" s="8" t="e">
        <f t="shared" si="75"/>
        <v>#REF!</v>
      </c>
      <c r="G224" s="8" t="e">
        <f t="shared" si="75"/>
        <v>#REF!</v>
      </c>
      <c r="H224" s="8" t="e">
        <f t="shared" si="75"/>
        <v>#REF!</v>
      </c>
      <c r="I224" s="8" t="e">
        <f t="shared" si="75"/>
        <v>#REF!</v>
      </c>
      <c r="J224" s="8" t="e">
        <f t="shared" si="75"/>
        <v>#REF!</v>
      </c>
      <c r="K224" s="8" t="e">
        <f t="shared" si="75"/>
        <v>#REF!</v>
      </c>
      <c r="L224" s="9" t="e">
        <f t="shared" si="75"/>
        <v>#REF!</v>
      </c>
      <c r="M224" s="8" t="e">
        <f t="shared" si="75"/>
        <v>#REF!</v>
      </c>
      <c r="N224" s="8" t="e">
        <f t="shared" si="76"/>
        <v>#REF!</v>
      </c>
      <c r="O224" s="8" t="e">
        <f t="shared" si="76"/>
        <v>#REF!</v>
      </c>
      <c r="P224" s="8" t="e">
        <f t="shared" si="76"/>
        <v>#REF!</v>
      </c>
      <c r="Q224" s="8" t="e">
        <f t="shared" si="76"/>
        <v>#REF!</v>
      </c>
      <c r="R224" s="8" t="e">
        <f t="shared" si="76"/>
        <v>#REF!</v>
      </c>
      <c r="S224" s="8" t="e">
        <f t="shared" si="76"/>
        <v>#REF!</v>
      </c>
      <c r="T224" s="8" t="e">
        <f t="shared" si="76"/>
        <v>#REF!</v>
      </c>
      <c r="U224" s="9" t="e">
        <f t="shared" si="76"/>
        <v>#REF!</v>
      </c>
      <c r="V224" s="8" t="e">
        <f t="shared" si="76"/>
        <v>#REF!</v>
      </c>
      <c r="W224" s="8" t="e">
        <f t="shared" si="76"/>
        <v>#REF!</v>
      </c>
      <c r="X224" s="8" t="e">
        <f t="shared" si="77"/>
        <v>#REF!</v>
      </c>
      <c r="Y224" s="8" t="e">
        <f t="shared" si="77"/>
        <v>#REF!</v>
      </c>
      <c r="Z224" s="8" t="e">
        <f t="shared" si="77"/>
        <v>#REF!</v>
      </c>
      <c r="AA224" s="8" t="e">
        <f t="shared" si="77"/>
        <v>#REF!</v>
      </c>
      <c r="AB224" s="8" t="e">
        <f t="shared" si="77"/>
        <v>#REF!</v>
      </c>
    </row>
    <row r="225" spans="1:33" ht="15" customHeight="1">
      <c r="A225" s="457"/>
      <c r="B225" s="136" t="s">
        <v>246</v>
      </c>
      <c r="C225" s="112" t="s">
        <v>344</v>
      </c>
      <c r="D225" s="8">
        <f t="shared" si="75"/>
        <v>0</v>
      </c>
      <c r="E225" s="8">
        <f t="shared" si="75"/>
        <v>0</v>
      </c>
      <c r="F225" s="8">
        <f t="shared" si="75"/>
        <v>0</v>
      </c>
      <c r="G225" s="8">
        <f t="shared" si="75"/>
        <v>0</v>
      </c>
      <c r="H225" s="8">
        <f t="shared" si="75"/>
        <v>0</v>
      </c>
      <c r="I225" s="8">
        <f t="shared" si="75"/>
        <v>0</v>
      </c>
      <c r="J225" s="8">
        <f t="shared" si="75"/>
        <v>0</v>
      </c>
      <c r="K225" s="8">
        <f t="shared" si="75"/>
        <v>0</v>
      </c>
      <c r="L225" s="9">
        <f t="shared" si="75"/>
        <v>0</v>
      </c>
      <c r="M225" s="8">
        <f t="shared" si="75"/>
        <v>0</v>
      </c>
      <c r="N225" s="8">
        <f t="shared" si="76"/>
        <v>0</v>
      </c>
      <c r="O225" s="8">
        <f t="shared" si="76"/>
        <v>0</v>
      </c>
      <c r="P225" s="8">
        <f t="shared" si="76"/>
        <v>0</v>
      </c>
      <c r="Q225" s="8">
        <f t="shared" si="76"/>
        <v>0</v>
      </c>
      <c r="R225" s="8">
        <f t="shared" si="76"/>
        <v>0</v>
      </c>
      <c r="S225" s="8">
        <f t="shared" si="76"/>
        <v>0</v>
      </c>
      <c r="T225" s="8">
        <f t="shared" si="76"/>
        <v>0</v>
      </c>
      <c r="U225" s="9">
        <f t="shared" si="76"/>
        <v>0</v>
      </c>
      <c r="V225" s="8">
        <f t="shared" si="76"/>
        <v>0</v>
      </c>
      <c r="W225" s="8">
        <f t="shared" si="76"/>
        <v>0</v>
      </c>
      <c r="X225" s="8">
        <f t="shared" si="77"/>
        <v>0</v>
      </c>
      <c r="Y225" s="8">
        <f t="shared" si="77"/>
        <v>0</v>
      </c>
      <c r="Z225" s="8">
        <f t="shared" si="77"/>
        <v>0</v>
      </c>
      <c r="AA225" s="8">
        <f t="shared" si="77"/>
        <v>0</v>
      </c>
      <c r="AB225" s="8">
        <f t="shared" si="77"/>
        <v>0</v>
      </c>
    </row>
    <row r="226" spans="1:33" ht="15" customHeight="1">
      <c r="A226" s="457"/>
      <c r="B226" s="2" t="s">
        <v>34</v>
      </c>
      <c r="C226" s="5"/>
      <c r="L226" s="5"/>
      <c r="U226" s="5"/>
    </row>
    <row r="227" spans="1:33" ht="15" customHeight="1">
      <c r="A227" s="457"/>
      <c r="B227" s="136" t="s">
        <v>343</v>
      </c>
      <c r="C227" s="112" t="s">
        <v>344</v>
      </c>
      <c r="D227" s="8" t="e">
        <f t="shared" ref="D227:M234" si="78">D142+D179+AI151+AI198</f>
        <v>#REF!</v>
      </c>
      <c r="E227" s="8" t="e">
        <f t="shared" si="78"/>
        <v>#REF!</v>
      </c>
      <c r="F227" s="8" t="e">
        <f t="shared" si="78"/>
        <v>#REF!</v>
      </c>
      <c r="G227" s="8" t="e">
        <f t="shared" si="78"/>
        <v>#REF!</v>
      </c>
      <c r="H227" s="8" t="e">
        <f t="shared" si="78"/>
        <v>#REF!</v>
      </c>
      <c r="I227" s="8" t="e">
        <f t="shared" si="78"/>
        <v>#REF!</v>
      </c>
      <c r="J227" s="8" t="e">
        <f t="shared" si="78"/>
        <v>#REF!</v>
      </c>
      <c r="K227" s="8" t="e">
        <f t="shared" si="78"/>
        <v>#REF!</v>
      </c>
      <c r="L227" s="9" t="e">
        <f t="shared" si="78"/>
        <v>#REF!</v>
      </c>
      <c r="M227" s="8" t="e">
        <f t="shared" si="78"/>
        <v>#REF!</v>
      </c>
      <c r="N227" s="8" t="e">
        <f t="shared" ref="N227:W234" si="79">N142+N179+AS151+AS198</f>
        <v>#REF!</v>
      </c>
      <c r="O227" s="8" t="e">
        <f t="shared" si="79"/>
        <v>#REF!</v>
      </c>
      <c r="P227" s="8" t="e">
        <f t="shared" si="79"/>
        <v>#REF!</v>
      </c>
      <c r="Q227" s="8" t="e">
        <f t="shared" si="79"/>
        <v>#REF!</v>
      </c>
      <c r="R227" s="8" t="e">
        <f t="shared" si="79"/>
        <v>#REF!</v>
      </c>
      <c r="S227" s="8" t="e">
        <f t="shared" si="79"/>
        <v>#REF!</v>
      </c>
      <c r="T227" s="8" t="e">
        <f t="shared" si="79"/>
        <v>#REF!</v>
      </c>
      <c r="U227" s="9" t="e">
        <f t="shared" si="79"/>
        <v>#REF!</v>
      </c>
      <c r="V227" s="8" t="e">
        <f t="shared" si="79"/>
        <v>#REF!</v>
      </c>
      <c r="W227" s="8" t="e">
        <f t="shared" si="79"/>
        <v>#REF!</v>
      </c>
      <c r="X227" s="8" t="e">
        <f t="shared" ref="X227:AB234" si="80">X142+X179+BC151+BC198</f>
        <v>#REF!</v>
      </c>
      <c r="Y227" s="8" t="e">
        <f t="shared" si="80"/>
        <v>#REF!</v>
      </c>
      <c r="Z227" s="8" t="e">
        <f t="shared" si="80"/>
        <v>#REF!</v>
      </c>
      <c r="AA227" s="8" t="e">
        <f t="shared" si="80"/>
        <v>#REF!</v>
      </c>
      <c r="AB227" s="8" t="e">
        <f t="shared" si="80"/>
        <v>#REF!</v>
      </c>
    </row>
    <row r="228" spans="1:33" ht="15" customHeight="1">
      <c r="A228" s="457"/>
      <c r="B228" s="136" t="s">
        <v>345</v>
      </c>
      <c r="C228" s="112" t="s">
        <v>344</v>
      </c>
      <c r="D228" s="8" t="e">
        <f t="shared" si="78"/>
        <v>#REF!</v>
      </c>
      <c r="E228" s="8" t="e">
        <f t="shared" si="78"/>
        <v>#REF!</v>
      </c>
      <c r="F228" s="8" t="e">
        <f t="shared" si="78"/>
        <v>#REF!</v>
      </c>
      <c r="G228" s="8" t="e">
        <f t="shared" si="78"/>
        <v>#REF!</v>
      </c>
      <c r="H228" s="8" t="e">
        <f t="shared" si="78"/>
        <v>#REF!</v>
      </c>
      <c r="I228" s="8" t="e">
        <f t="shared" si="78"/>
        <v>#REF!</v>
      </c>
      <c r="J228" s="8" t="e">
        <f t="shared" si="78"/>
        <v>#REF!</v>
      </c>
      <c r="K228" s="8" t="e">
        <f t="shared" si="78"/>
        <v>#REF!</v>
      </c>
      <c r="L228" s="9" t="e">
        <f t="shared" si="78"/>
        <v>#REF!</v>
      </c>
      <c r="M228" s="8" t="e">
        <f t="shared" si="78"/>
        <v>#REF!</v>
      </c>
      <c r="N228" s="8" t="e">
        <f t="shared" si="79"/>
        <v>#REF!</v>
      </c>
      <c r="O228" s="8" t="e">
        <f t="shared" si="79"/>
        <v>#REF!</v>
      </c>
      <c r="P228" s="8" t="e">
        <f t="shared" si="79"/>
        <v>#REF!</v>
      </c>
      <c r="Q228" s="8" t="e">
        <f t="shared" si="79"/>
        <v>#REF!</v>
      </c>
      <c r="R228" s="8" t="e">
        <f t="shared" si="79"/>
        <v>#REF!</v>
      </c>
      <c r="S228" s="8" t="e">
        <f t="shared" si="79"/>
        <v>#REF!</v>
      </c>
      <c r="T228" s="8" t="e">
        <f t="shared" si="79"/>
        <v>#REF!</v>
      </c>
      <c r="U228" s="9" t="e">
        <f t="shared" si="79"/>
        <v>#REF!</v>
      </c>
      <c r="V228" s="8" t="e">
        <f t="shared" si="79"/>
        <v>#REF!</v>
      </c>
      <c r="W228" s="8" t="e">
        <f t="shared" si="79"/>
        <v>#REF!</v>
      </c>
      <c r="X228" s="8" t="e">
        <f t="shared" si="80"/>
        <v>#REF!</v>
      </c>
      <c r="Y228" s="8" t="e">
        <f t="shared" si="80"/>
        <v>#REF!</v>
      </c>
      <c r="Z228" s="8" t="e">
        <f t="shared" si="80"/>
        <v>#REF!</v>
      </c>
      <c r="AA228" s="8" t="e">
        <f t="shared" si="80"/>
        <v>#REF!</v>
      </c>
      <c r="AB228" s="8" t="e">
        <f t="shared" si="80"/>
        <v>#REF!</v>
      </c>
    </row>
    <row r="229" spans="1:33" ht="15" customHeight="1">
      <c r="A229" s="457"/>
      <c r="B229" s="136" t="s">
        <v>346</v>
      </c>
      <c r="C229" s="112" t="s">
        <v>344</v>
      </c>
      <c r="D229" s="8" t="e">
        <f t="shared" si="78"/>
        <v>#REF!</v>
      </c>
      <c r="E229" s="8" t="e">
        <f t="shared" si="78"/>
        <v>#REF!</v>
      </c>
      <c r="F229" s="8" t="e">
        <f t="shared" si="78"/>
        <v>#REF!</v>
      </c>
      <c r="G229" s="8" t="e">
        <f t="shared" si="78"/>
        <v>#REF!</v>
      </c>
      <c r="H229" s="8" t="e">
        <f t="shared" si="78"/>
        <v>#REF!</v>
      </c>
      <c r="I229" s="8" t="e">
        <f t="shared" si="78"/>
        <v>#REF!</v>
      </c>
      <c r="J229" s="8" t="e">
        <f t="shared" si="78"/>
        <v>#REF!</v>
      </c>
      <c r="K229" s="8" t="e">
        <f t="shared" si="78"/>
        <v>#REF!</v>
      </c>
      <c r="L229" s="9" t="e">
        <f t="shared" si="78"/>
        <v>#REF!</v>
      </c>
      <c r="M229" s="8" t="e">
        <f t="shared" si="78"/>
        <v>#REF!</v>
      </c>
      <c r="N229" s="8" t="e">
        <f t="shared" si="79"/>
        <v>#REF!</v>
      </c>
      <c r="O229" s="8" t="e">
        <f t="shared" si="79"/>
        <v>#REF!</v>
      </c>
      <c r="P229" s="8" t="e">
        <f t="shared" si="79"/>
        <v>#REF!</v>
      </c>
      <c r="Q229" s="8" t="e">
        <f t="shared" si="79"/>
        <v>#REF!</v>
      </c>
      <c r="R229" s="8" t="e">
        <f t="shared" si="79"/>
        <v>#REF!</v>
      </c>
      <c r="S229" s="8" t="e">
        <f t="shared" si="79"/>
        <v>#REF!</v>
      </c>
      <c r="T229" s="8" t="e">
        <f t="shared" si="79"/>
        <v>#REF!</v>
      </c>
      <c r="U229" s="9" t="e">
        <f t="shared" si="79"/>
        <v>#REF!</v>
      </c>
      <c r="V229" s="8" t="e">
        <f t="shared" si="79"/>
        <v>#REF!</v>
      </c>
      <c r="W229" s="8" t="e">
        <f t="shared" si="79"/>
        <v>#REF!</v>
      </c>
      <c r="X229" s="8" t="e">
        <f t="shared" si="80"/>
        <v>#REF!</v>
      </c>
      <c r="Y229" s="8" t="e">
        <f t="shared" si="80"/>
        <v>#REF!</v>
      </c>
      <c r="Z229" s="8" t="e">
        <f t="shared" si="80"/>
        <v>#REF!</v>
      </c>
      <c r="AA229" s="8" t="e">
        <f t="shared" si="80"/>
        <v>#REF!</v>
      </c>
      <c r="AB229" s="8" t="e">
        <f t="shared" si="80"/>
        <v>#REF!</v>
      </c>
    </row>
    <row r="230" spans="1:33" ht="15" customHeight="1">
      <c r="A230" s="457"/>
      <c r="B230" s="136" t="s">
        <v>278</v>
      </c>
      <c r="C230" s="112" t="s">
        <v>344</v>
      </c>
      <c r="D230" s="8">
        <f t="shared" si="78"/>
        <v>0</v>
      </c>
      <c r="E230" s="8">
        <f>E145+E182+AJ154+AJ201</f>
        <v>0</v>
      </c>
      <c r="F230" s="8">
        <f t="shared" si="78"/>
        <v>93287135.596500844</v>
      </c>
      <c r="G230" s="8">
        <f t="shared" si="78"/>
        <v>253602406.11579046</v>
      </c>
      <c r="H230" s="8">
        <f t="shared" si="78"/>
        <v>283280131.75854236</v>
      </c>
      <c r="I230" s="8">
        <f>I145+I182+AN154+AN201</f>
        <v>289080239.15236163</v>
      </c>
      <c r="J230" s="8">
        <f t="shared" si="78"/>
        <v>260904794.42213374</v>
      </c>
      <c r="K230" s="8">
        <f t="shared" si="78"/>
        <v>252264362.01026291</v>
      </c>
      <c r="L230" s="9">
        <f t="shared" si="78"/>
        <v>140720078.0658952</v>
      </c>
      <c r="M230" s="8">
        <f t="shared" si="78"/>
        <v>124517866.39899883</v>
      </c>
      <c r="N230" s="8">
        <f t="shared" si="79"/>
        <v>116463037.90331158</v>
      </c>
      <c r="O230" s="8">
        <f t="shared" si="79"/>
        <v>108345881.18183151</v>
      </c>
      <c r="P230" s="8">
        <f t="shared" si="79"/>
        <v>101731996.65816033</v>
      </c>
      <c r="Q230" s="8">
        <f t="shared" si="79"/>
        <v>73553745.634485811</v>
      </c>
      <c r="R230" s="8">
        <f t="shared" si="79"/>
        <v>56777865.848699257</v>
      </c>
      <c r="S230" s="8">
        <f t="shared" si="79"/>
        <v>39530723.311292186</v>
      </c>
      <c r="T230" s="8">
        <f t="shared" si="79"/>
        <v>37091637.887670547</v>
      </c>
      <c r="U230" s="9">
        <f t="shared" si="79"/>
        <v>36382277.82022807</v>
      </c>
      <c r="V230" s="8">
        <f t="shared" si="79"/>
        <v>36016627.747851677</v>
      </c>
      <c r="W230" s="8">
        <f t="shared" si="79"/>
        <v>34596336.018889338</v>
      </c>
      <c r="X230" s="8">
        <f t="shared" si="80"/>
        <v>32429619.394582555</v>
      </c>
      <c r="Y230" s="8">
        <f t="shared" si="80"/>
        <v>31404368.020257324</v>
      </c>
      <c r="Z230" s="8">
        <f t="shared" si="80"/>
        <v>30165554.545447882</v>
      </c>
      <c r="AA230" s="8">
        <f t="shared" si="80"/>
        <v>28949876.621935252</v>
      </c>
      <c r="AB230" s="8">
        <f t="shared" si="80"/>
        <v>27241232.873381503</v>
      </c>
    </row>
    <row r="231" spans="1:33" ht="15" customHeight="1">
      <c r="A231" s="457"/>
      <c r="B231" s="136" t="s">
        <v>347</v>
      </c>
      <c r="C231" s="112" t="s">
        <v>344</v>
      </c>
      <c r="D231" s="8" t="e">
        <f t="shared" si="78"/>
        <v>#REF!</v>
      </c>
      <c r="E231" s="8" t="e">
        <f t="shared" si="78"/>
        <v>#REF!</v>
      </c>
      <c r="F231" s="8" t="e">
        <f t="shared" si="78"/>
        <v>#REF!</v>
      </c>
      <c r="G231" s="8" t="e">
        <f t="shared" si="78"/>
        <v>#REF!</v>
      </c>
      <c r="H231" s="8" t="e">
        <f t="shared" si="78"/>
        <v>#REF!</v>
      </c>
      <c r="I231" s="8" t="e">
        <f t="shared" si="78"/>
        <v>#REF!</v>
      </c>
      <c r="J231" s="8" t="e">
        <f t="shared" si="78"/>
        <v>#REF!</v>
      </c>
      <c r="K231" s="8" t="e">
        <f t="shared" si="78"/>
        <v>#REF!</v>
      </c>
      <c r="L231" s="9" t="e">
        <f t="shared" si="78"/>
        <v>#REF!</v>
      </c>
      <c r="M231" s="8" t="e">
        <f t="shared" si="78"/>
        <v>#REF!</v>
      </c>
      <c r="N231" s="8" t="e">
        <f t="shared" si="79"/>
        <v>#REF!</v>
      </c>
      <c r="O231" s="8" t="e">
        <f t="shared" si="79"/>
        <v>#REF!</v>
      </c>
      <c r="P231" s="8" t="e">
        <f t="shared" si="79"/>
        <v>#REF!</v>
      </c>
      <c r="Q231" s="8" t="e">
        <f t="shared" si="79"/>
        <v>#REF!</v>
      </c>
      <c r="R231" s="8" t="e">
        <f t="shared" si="79"/>
        <v>#REF!</v>
      </c>
      <c r="S231" s="8" t="e">
        <f t="shared" si="79"/>
        <v>#REF!</v>
      </c>
      <c r="T231" s="8" t="e">
        <f t="shared" si="79"/>
        <v>#REF!</v>
      </c>
      <c r="U231" s="9" t="e">
        <f t="shared" si="79"/>
        <v>#REF!</v>
      </c>
      <c r="V231" s="8" t="e">
        <f t="shared" si="79"/>
        <v>#REF!</v>
      </c>
      <c r="W231" s="8" t="e">
        <f t="shared" si="79"/>
        <v>#REF!</v>
      </c>
      <c r="X231" s="8" t="e">
        <f t="shared" si="80"/>
        <v>#REF!</v>
      </c>
      <c r="Y231" s="8" t="e">
        <f t="shared" si="80"/>
        <v>#REF!</v>
      </c>
      <c r="Z231" s="8" t="e">
        <f t="shared" si="80"/>
        <v>#REF!</v>
      </c>
      <c r="AA231" s="8" t="e">
        <f t="shared" si="80"/>
        <v>#REF!</v>
      </c>
      <c r="AB231" s="8" t="e">
        <f t="shared" si="80"/>
        <v>#REF!</v>
      </c>
    </row>
    <row r="232" spans="1:33" ht="15" customHeight="1">
      <c r="A232" s="457"/>
      <c r="B232" s="136" t="s">
        <v>348</v>
      </c>
      <c r="C232" s="112" t="s">
        <v>344</v>
      </c>
      <c r="D232" s="8" t="e">
        <f t="shared" si="78"/>
        <v>#REF!</v>
      </c>
      <c r="E232" s="8" t="e">
        <f t="shared" si="78"/>
        <v>#REF!</v>
      </c>
      <c r="F232" s="8" t="e">
        <f t="shared" si="78"/>
        <v>#REF!</v>
      </c>
      <c r="G232" s="8" t="e">
        <f t="shared" si="78"/>
        <v>#REF!</v>
      </c>
      <c r="H232" s="8" t="e">
        <f t="shared" si="78"/>
        <v>#REF!</v>
      </c>
      <c r="I232" s="8" t="e">
        <f t="shared" si="78"/>
        <v>#REF!</v>
      </c>
      <c r="J232" s="8" t="e">
        <f t="shared" si="78"/>
        <v>#REF!</v>
      </c>
      <c r="K232" s="8" t="e">
        <f t="shared" si="78"/>
        <v>#REF!</v>
      </c>
      <c r="L232" s="9" t="e">
        <f t="shared" si="78"/>
        <v>#REF!</v>
      </c>
      <c r="M232" s="8" t="e">
        <f t="shared" si="78"/>
        <v>#REF!</v>
      </c>
      <c r="N232" s="8" t="e">
        <f t="shared" si="79"/>
        <v>#REF!</v>
      </c>
      <c r="O232" s="8" t="e">
        <f t="shared" si="79"/>
        <v>#REF!</v>
      </c>
      <c r="P232" s="8" t="e">
        <f t="shared" si="79"/>
        <v>#REF!</v>
      </c>
      <c r="Q232" s="8" t="e">
        <f t="shared" si="79"/>
        <v>#REF!</v>
      </c>
      <c r="R232" s="8" t="e">
        <f t="shared" si="79"/>
        <v>#REF!</v>
      </c>
      <c r="S232" s="8" t="e">
        <f t="shared" si="79"/>
        <v>#REF!</v>
      </c>
      <c r="T232" s="8" t="e">
        <f t="shared" si="79"/>
        <v>#REF!</v>
      </c>
      <c r="U232" s="9" t="e">
        <f t="shared" si="79"/>
        <v>#REF!</v>
      </c>
      <c r="V232" s="8" t="e">
        <f t="shared" si="79"/>
        <v>#REF!</v>
      </c>
      <c r="W232" s="8" t="e">
        <f t="shared" si="79"/>
        <v>#REF!</v>
      </c>
      <c r="X232" s="8" t="e">
        <f t="shared" si="80"/>
        <v>#REF!</v>
      </c>
      <c r="Y232" s="8" t="e">
        <f t="shared" si="80"/>
        <v>#REF!</v>
      </c>
      <c r="Z232" s="8" t="e">
        <f t="shared" si="80"/>
        <v>#REF!</v>
      </c>
      <c r="AA232" s="8" t="e">
        <f t="shared" si="80"/>
        <v>#REF!</v>
      </c>
      <c r="AB232" s="8" t="e">
        <f t="shared" si="80"/>
        <v>#REF!</v>
      </c>
    </row>
    <row r="233" spans="1:33" ht="15" customHeight="1">
      <c r="A233" s="457"/>
      <c r="B233" s="136" t="s">
        <v>349</v>
      </c>
      <c r="C233" s="112" t="s">
        <v>344</v>
      </c>
      <c r="D233" s="8" t="e">
        <f t="shared" si="78"/>
        <v>#REF!</v>
      </c>
      <c r="E233" s="8" t="e">
        <f t="shared" si="78"/>
        <v>#REF!</v>
      </c>
      <c r="F233" s="8" t="e">
        <f t="shared" si="78"/>
        <v>#REF!</v>
      </c>
      <c r="G233" s="8" t="e">
        <f t="shared" si="78"/>
        <v>#REF!</v>
      </c>
      <c r="H233" s="8" t="e">
        <f t="shared" si="78"/>
        <v>#REF!</v>
      </c>
      <c r="I233" s="8" t="e">
        <f t="shared" si="78"/>
        <v>#REF!</v>
      </c>
      <c r="J233" s="8" t="e">
        <f t="shared" si="78"/>
        <v>#REF!</v>
      </c>
      <c r="K233" s="8" t="e">
        <f t="shared" si="78"/>
        <v>#REF!</v>
      </c>
      <c r="L233" s="9" t="e">
        <f t="shared" si="78"/>
        <v>#REF!</v>
      </c>
      <c r="M233" s="8" t="e">
        <f t="shared" si="78"/>
        <v>#REF!</v>
      </c>
      <c r="N233" s="8" t="e">
        <f t="shared" si="79"/>
        <v>#REF!</v>
      </c>
      <c r="O233" s="8" t="e">
        <f t="shared" si="79"/>
        <v>#REF!</v>
      </c>
      <c r="P233" s="8" t="e">
        <f t="shared" si="79"/>
        <v>#REF!</v>
      </c>
      <c r="Q233" s="8" t="e">
        <f t="shared" si="79"/>
        <v>#REF!</v>
      </c>
      <c r="R233" s="8" t="e">
        <f t="shared" si="79"/>
        <v>#REF!</v>
      </c>
      <c r="S233" s="8" t="e">
        <f t="shared" si="79"/>
        <v>#REF!</v>
      </c>
      <c r="T233" s="8" t="e">
        <f t="shared" si="79"/>
        <v>#REF!</v>
      </c>
      <c r="U233" s="9" t="e">
        <f t="shared" si="79"/>
        <v>#REF!</v>
      </c>
      <c r="V233" s="8" t="e">
        <f t="shared" si="79"/>
        <v>#REF!</v>
      </c>
      <c r="W233" s="8" t="e">
        <f t="shared" si="79"/>
        <v>#REF!</v>
      </c>
      <c r="X233" s="8" t="e">
        <f t="shared" si="80"/>
        <v>#REF!</v>
      </c>
      <c r="Y233" s="8" t="e">
        <f t="shared" si="80"/>
        <v>#REF!</v>
      </c>
      <c r="Z233" s="8" t="e">
        <f t="shared" si="80"/>
        <v>#REF!</v>
      </c>
      <c r="AA233" s="8" t="e">
        <f t="shared" si="80"/>
        <v>#REF!</v>
      </c>
      <c r="AB233" s="8" t="e">
        <f t="shared" si="80"/>
        <v>#REF!</v>
      </c>
    </row>
    <row r="234" spans="1:33" ht="15" customHeight="1">
      <c r="A234" s="457"/>
      <c r="B234" s="136" t="s">
        <v>246</v>
      </c>
      <c r="C234" s="112" t="s">
        <v>344</v>
      </c>
      <c r="D234" s="8">
        <f t="shared" si="78"/>
        <v>0</v>
      </c>
      <c r="E234" s="8">
        <f t="shared" si="78"/>
        <v>0</v>
      </c>
      <c r="F234" s="8">
        <f t="shared" si="78"/>
        <v>2170845.149420552</v>
      </c>
      <c r="G234" s="8">
        <f t="shared" si="78"/>
        <v>6088050.0239786189</v>
      </c>
      <c r="H234" s="8">
        <f t="shared" si="78"/>
        <v>6836043.5957518322</v>
      </c>
      <c r="I234" s="8">
        <f t="shared" si="78"/>
        <v>6943370.1796801975</v>
      </c>
      <c r="J234" s="8">
        <f t="shared" si="78"/>
        <v>6245980.9331592117</v>
      </c>
      <c r="K234" s="8">
        <f t="shared" si="78"/>
        <v>6025360.3317176104</v>
      </c>
      <c r="L234" s="9">
        <f t="shared" si="78"/>
        <v>3077371.9874105859</v>
      </c>
      <c r="M234" s="8">
        <f t="shared" si="78"/>
        <v>2793416.2580322037</v>
      </c>
      <c r="N234" s="8">
        <f t="shared" si="79"/>
        <v>2636578.0267581223</v>
      </c>
      <c r="O234" s="8">
        <f t="shared" si="79"/>
        <v>2480471.5648700162</v>
      </c>
      <c r="P234" s="8">
        <f t="shared" si="79"/>
        <v>2341016.1136904582</v>
      </c>
      <c r="Q234" s="8">
        <f t="shared" si="79"/>
        <v>1881988.7035408621</v>
      </c>
      <c r="R234" s="8">
        <f t="shared" si="79"/>
        <v>1581015.4151640015</v>
      </c>
      <c r="S234" s="8">
        <f t="shared" si="79"/>
        <v>1279765.7079845187</v>
      </c>
      <c r="T234" s="8">
        <f t="shared" si="79"/>
        <v>1199855.2764482195</v>
      </c>
      <c r="U234" s="9">
        <f t="shared" si="79"/>
        <v>1198280.5668235649</v>
      </c>
      <c r="V234" s="8">
        <f t="shared" si="79"/>
        <v>1197471.5923878825</v>
      </c>
      <c r="W234" s="8">
        <f t="shared" si="79"/>
        <v>1151596.5101689277</v>
      </c>
      <c r="X234" s="8">
        <f t="shared" si="80"/>
        <v>1075381.0265336491</v>
      </c>
      <c r="Y234" s="8">
        <f t="shared" si="80"/>
        <v>1054741.6653124481</v>
      </c>
      <c r="Z234" s="8">
        <f t="shared" si="80"/>
        <v>1025728.0949084597</v>
      </c>
      <c r="AA234" s="8">
        <f t="shared" si="80"/>
        <v>996876.74654503888</v>
      </c>
      <c r="AB234" s="8">
        <f t="shared" si="80"/>
        <v>948524.73673544393</v>
      </c>
    </row>
    <row r="235" spans="1:33" ht="15" customHeight="1">
      <c r="A235" s="457"/>
      <c r="B235" s="2" t="s">
        <v>122</v>
      </c>
      <c r="C235" s="13"/>
      <c r="D235" s="8"/>
      <c r="E235" s="8"/>
      <c r="F235" s="8"/>
      <c r="G235" s="8"/>
      <c r="H235" s="8"/>
      <c r="I235" s="8"/>
      <c r="J235" s="8"/>
      <c r="K235" s="8"/>
      <c r="L235" s="9"/>
      <c r="M235" s="8"/>
      <c r="N235" s="8"/>
      <c r="O235" s="8"/>
      <c r="P235" s="8"/>
      <c r="Q235" s="8"/>
      <c r="R235" s="8"/>
      <c r="S235" s="8"/>
      <c r="T235" s="8"/>
      <c r="U235" s="9"/>
      <c r="V235" s="8"/>
      <c r="W235" s="8"/>
      <c r="X235" s="8"/>
      <c r="Y235" s="8"/>
      <c r="Z235" s="8"/>
      <c r="AA235" s="8"/>
      <c r="AB235" s="8"/>
    </row>
    <row r="236" spans="1:33" ht="15" customHeight="1">
      <c r="A236" s="457"/>
      <c r="B236" s="136" t="s">
        <v>343</v>
      </c>
      <c r="C236" s="112" t="s">
        <v>344</v>
      </c>
      <c r="D236" s="8" t="e">
        <f t="shared" ref="D236:M243" si="81">D151+D188+AI160+AI207</f>
        <v>#REF!</v>
      </c>
      <c r="E236" s="8" t="e">
        <f t="shared" si="81"/>
        <v>#REF!</v>
      </c>
      <c r="F236" s="8" t="e">
        <f t="shared" si="81"/>
        <v>#REF!</v>
      </c>
      <c r="G236" s="8" t="e">
        <f t="shared" si="81"/>
        <v>#REF!</v>
      </c>
      <c r="H236" s="8" t="e">
        <f t="shared" si="81"/>
        <v>#REF!</v>
      </c>
      <c r="I236" s="8" t="e">
        <f t="shared" si="81"/>
        <v>#REF!</v>
      </c>
      <c r="J236" s="8" t="e">
        <f t="shared" si="81"/>
        <v>#REF!</v>
      </c>
      <c r="K236" s="8" t="e">
        <f t="shared" si="81"/>
        <v>#REF!</v>
      </c>
      <c r="L236" s="9" t="e">
        <f t="shared" si="81"/>
        <v>#REF!</v>
      </c>
      <c r="M236" s="8" t="e">
        <f t="shared" si="81"/>
        <v>#REF!</v>
      </c>
      <c r="N236" s="8" t="e">
        <f t="shared" ref="N236:W243" si="82">N151+N188+AS160+AS207</f>
        <v>#REF!</v>
      </c>
      <c r="O236" s="8" t="e">
        <f t="shared" si="82"/>
        <v>#REF!</v>
      </c>
      <c r="P236" s="8" t="e">
        <f t="shared" si="82"/>
        <v>#REF!</v>
      </c>
      <c r="Q236" s="8" t="e">
        <f t="shared" si="82"/>
        <v>#REF!</v>
      </c>
      <c r="R236" s="8" t="e">
        <f t="shared" si="82"/>
        <v>#REF!</v>
      </c>
      <c r="S236" s="8" t="e">
        <f t="shared" si="82"/>
        <v>#REF!</v>
      </c>
      <c r="T236" s="8" t="e">
        <f t="shared" si="82"/>
        <v>#REF!</v>
      </c>
      <c r="U236" s="9" t="e">
        <f t="shared" si="82"/>
        <v>#REF!</v>
      </c>
      <c r="V236" s="8" t="e">
        <f t="shared" si="82"/>
        <v>#REF!</v>
      </c>
      <c r="W236" s="8" t="e">
        <f t="shared" si="82"/>
        <v>#REF!</v>
      </c>
      <c r="X236" s="8" t="e">
        <f t="shared" ref="X236:AB243" si="83">X151+X188+BC160+BC207</f>
        <v>#REF!</v>
      </c>
      <c r="Y236" s="8" t="e">
        <f t="shared" si="83"/>
        <v>#REF!</v>
      </c>
      <c r="Z236" s="8" t="e">
        <f t="shared" si="83"/>
        <v>#REF!</v>
      </c>
      <c r="AA236" s="8" t="e">
        <f t="shared" si="83"/>
        <v>#REF!</v>
      </c>
      <c r="AB236" s="8" t="e">
        <f t="shared" si="83"/>
        <v>#REF!</v>
      </c>
    </row>
    <row r="237" spans="1:33" ht="15" customHeight="1">
      <c r="A237" s="457"/>
      <c r="B237" s="136" t="s">
        <v>345</v>
      </c>
      <c r="C237" s="112" t="s">
        <v>344</v>
      </c>
      <c r="D237" s="8" t="e">
        <f t="shared" si="81"/>
        <v>#REF!</v>
      </c>
      <c r="E237" s="8" t="e">
        <f t="shared" si="81"/>
        <v>#REF!</v>
      </c>
      <c r="F237" s="8" t="e">
        <f t="shared" si="81"/>
        <v>#REF!</v>
      </c>
      <c r="G237" s="8" t="e">
        <f t="shared" si="81"/>
        <v>#REF!</v>
      </c>
      <c r="H237" s="8" t="e">
        <f t="shared" si="81"/>
        <v>#REF!</v>
      </c>
      <c r="I237" s="8" t="e">
        <f t="shared" si="81"/>
        <v>#REF!</v>
      </c>
      <c r="J237" s="8" t="e">
        <f t="shared" si="81"/>
        <v>#REF!</v>
      </c>
      <c r="K237" s="8" t="e">
        <f t="shared" si="81"/>
        <v>#REF!</v>
      </c>
      <c r="L237" s="9" t="e">
        <f t="shared" si="81"/>
        <v>#REF!</v>
      </c>
      <c r="M237" s="8" t="e">
        <f t="shared" si="81"/>
        <v>#REF!</v>
      </c>
      <c r="N237" s="8" t="e">
        <f t="shared" si="82"/>
        <v>#REF!</v>
      </c>
      <c r="O237" s="8" t="e">
        <f t="shared" si="82"/>
        <v>#REF!</v>
      </c>
      <c r="P237" s="8" t="e">
        <f t="shared" si="82"/>
        <v>#REF!</v>
      </c>
      <c r="Q237" s="8" t="e">
        <f t="shared" si="82"/>
        <v>#REF!</v>
      </c>
      <c r="R237" s="8" t="e">
        <f t="shared" si="82"/>
        <v>#REF!</v>
      </c>
      <c r="S237" s="8" t="e">
        <f t="shared" si="82"/>
        <v>#REF!</v>
      </c>
      <c r="T237" s="8" t="e">
        <f t="shared" si="82"/>
        <v>#REF!</v>
      </c>
      <c r="U237" s="9" t="e">
        <f t="shared" si="82"/>
        <v>#REF!</v>
      </c>
      <c r="V237" s="8" t="e">
        <f t="shared" si="82"/>
        <v>#REF!</v>
      </c>
      <c r="W237" s="8" t="e">
        <f t="shared" si="82"/>
        <v>#REF!</v>
      </c>
      <c r="X237" s="8" t="e">
        <f t="shared" si="83"/>
        <v>#REF!</v>
      </c>
      <c r="Y237" s="8" t="e">
        <f t="shared" si="83"/>
        <v>#REF!</v>
      </c>
      <c r="Z237" s="8" t="e">
        <f t="shared" si="83"/>
        <v>#REF!</v>
      </c>
      <c r="AA237" s="8" t="e">
        <f t="shared" si="83"/>
        <v>#REF!</v>
      </c>
      <c r="AB237" s="8" t="e">
        <f t="shared" si="83"/>
        <v>#REF!</v>
      </c>
      <c r="AG237" t="s">
        <v>353</v>
      </c>
    </row>
    <row r="238" spans="1:33" ht="15" customHeight="1">
      <c r="A238" s="457"/>
      <c r="B238" s="136" t="s">
        <v>346</v>
      </c>
      <c r="C238" s="112" t="s">
        <v>344</v>
      </c>
      <c r="D238" s="8" t="e">
        <f t="shared" si="81"/>
        <v>#REF!</v>
      </c>
      <c r="E238" s="8" t="e">
        <f t="shared" si="81"/>
        <v>#REF!</v>
      </c>
      <c r="F238" s="8" t="e">
        <f t="shared" si="81"/>
        <v>#REF!</v>
      </c>
      <c r="G238" s="8" t="e">
        <f t="shared" si="81"/>
        <v>#REF!</v>
      </c>
      <c r="H238" s="8" t="e">
        <f t="shared" si="81"/>
        <v>#REF!</v>
      </c>
      <c r="I238" s="8" t="e">
        <f t="shared" si="81"/>
        <v>#REF!</v>
      </c>
      <c r="J238" s="8" t="e">
        <f t="shared" si="81"/>
        <v>#REF!</v>
      </c>
      <c r="K238" s="8" t="e">
        <f t="shared" si="81"/>
        <v>#REF!</v>
      </c>
      <c r="L238" s="9" t="e">
        <f t="shared" si="81"/>
        <v>#REF!</v>
      </c>
      <c r="M238" s="8" t="e">
        <f t="shared" si="81"/>
        <v>#REF!</v>
      </c>
      <c r="N238" s="8" t="e">
        <f t="shared" si="82"/>
        <v>#REF!</v>
      </c>
      <c r="O238" s="8" t="e">
        <f t="shared" si="82"/>
        <v>#REF!</v>
      </c>
      <c r="P238" s="8" t="e">
        <f t="shared" si="82"/>
        <v>#REF!</v>
      </c>
      <c r="Q238" s="8" t="e">
        <f t="shared" si="82"/>
        <v>#REF!</v>
      </c>
      <c r="R238" s="8" t="e">
        <f t="shared" si="82"/>
        <v>#REF!</v>
      </c>
      <c r="S238" s="8" t="e">
        <f t="shared" si="82"/>
        <v>#REF!</v>
      </c>
      <c r="T238" s="8" t="e">
        <f t="shared" si="82"/>
        <v>#REF!</v>
      </c>
      <c r="U238" s="9" t="e">
        <f t="shared" si="82"/>
        <v>#REF!</v>
      </c>
      <c r="V238" s="8" t="e">
        <f t="shared" si="82"/>
        <v>#REF!</v>
      </c>
      <c r="W238" s="8" t="e">
        <f t="shared" si="82"/>
        <v>#REF!</v>
      </c>
      <c r="X238" s="8" t="e">
        <f t="shared" si="83"/>
        <v>#REF!</v>
      </c>
      <c r="Y238" s="8" t="e">
        <f t="shared" si="83"/>
        <v>#REF!</v>
      </c>
      <c r="Z238" s="8" t="e">
        <f t="shared" si="83"/>
        <v>#REF!</v>
      </c>
      <c r="AA238" s="8" t="e">
        <f t="shared" si="83"/>
        <v>#REF!</v>
      </c>
      <c r="AB238" s="8" t="e">
        <f t="shared" si="83"/>
        <v>#REF!</v>
      </c>
      <c r="AG238" t="s">
        <v>354</v>
      </c>
    </row>
    <row r="239" spans="1:33" ht="15" customHeight="1">
      <c r="A239" s="457"/>
      <c r="B239" s="136" t="s">
        <v>278</v>
      </c>
      <c r="C239" s="112" t="s">
        <v>344</v>
      </c>
      <c r="D239" s="8">
        <f t="shared" si="81"/>
        <v>0</v>
      </c>
      <c r="E239" s="8">
        <f t="shared" si="81"/>
        <v>-7.7060241529440978E-9</v>
      </c>
      <c r="F239" s="8">
        <f t="shared" si="81"/>
        <v>9191821.2019792609</v>
      </c>
      <c r="G239" s="8">
        <f t="shared" si="81"/>
        <v>13765479.956670009</v>
      </c>
      <c r="H239" s="8">
        <f t="shared" si="81"/>
        <v>17000811.357722521</v>
      </c>
      <c r="I239" s="8">
        <f t="shared" si="81"/>
        <v>20223654.941250514</v>
      </c>
      <c r="J239" s="8">
        <f t="shared" si="81"/>
        <v>22988751.519842904</v>
      </c>
      <c r="K239" s="8">
        <f t="shared" si="81"/>
        <v>25532383.53911503</v>
      </c>
      <c r="L239" s="9">
        <f t="shared" si="81"/>
        <v>16300004.988988459</v>
      </c>
      <c r="M239" s="8">
        <f t="shared" si="81"/>
        <v>16402452.51944213</v>
      </c>
      <c r="N239" s="8">
        <f t="shared" si="82"/>
        <v>17338378.317309372</v>
      </c>
      <c r="O239" s="8">
        <f t="shared" si="82"/>
        <v>18120060.845110454</v>
      </c>
      <c r="P239" s="8">
        <f t="shared" si="82"/>
        <v>18913476.965496071</v>
      </c>
      <c r="Q239" s="8">
        <f t="shared" si="82"/>
        <v>15226590.327201493</v>
      </c>
      <c r="R239" s="8">
        <f t="shared" si="82"/>
        <v>13016590.828600714</v>
      </c>
      <c r="S239" s="8">
        <f t="shared" si="82"/>
        <v>9990315.8631509058</v>
      </c>
      <c r="T239" s="8">
        <f t="shared" si="82"/>
        <v>10286133.696665827</v>
      </c>
      <c r="U239" s="9">
        <f t="shared" si="82"/>
        <v>10346277.124601161</v>
      </c>
      <c r="V239" s="8">
        <f t="shared" si="82"/>
        <v>10561061.143086411</v>
      </c>
      <c r="W239" s="8">
        <f t="shared" si="82"/>
        <v>10824266.614709403</v>
      </c>
      <c r="X239" s="8">
        <f t="shared" si="83"/>
        <v>11098815.108044278</v>
      </c>
      <c r="Y239" s="8">
        <f t="shared" si="83"/>
        <v>11356141.582922621</v>
      </c>
      <c r="Z239" s="8">
        <f t="shared" si="83"/>
        <v>11599877.51661372</v>
      </c>
      <c r="AA239" s="8">
        <f t="shared" si="83"/>
        <v>11831661.731241051</v>
      </c>
      <c r="AB239" s="8">
        <f t="shared" si="83"/>
        <v>12047884.153561881</v>
      </c>
      <c r="AG239" t="s">
        <v>355</v>
      </c>
    </row>
    <row r="240" spans="1:33" ht="15" customHeight="1">
      <c r="A240" s="457"/>
      <c r="B240" s="136" t="s">
        <v>347</v>
      </c>
      <c r="C240" s="112" t="s">
        <v>344</v>
      </c>
      <c r="D240" s="8" t="e">
        <f t="shared" si="81"/>
        <v>#REF!</v>
      </c>
      <c r="E240" s="8" t="e">
        <f t="shared" si="81"/>
        <v>#REF!</v>
      </c>
      <c r="F240" s="8" t="e">
        <f t="shared" si="81"/>
        <v>#REF!</v>
      </c>
      <c r="G240" s="8" t="e">
        <f t="shared" si="81"/>
        <v>#REF!</v>
      </c>
      <c r="H240" s="8" t="e">
        <f t="shared" si="81"/>
        <v>#REF!</v>
      </c>
      <c r="I240" s="8" t="e">
        <f t="shared" si="81"/>
        <v>#REF!</v>
      </c>
      <c r="J240" s="8" t="e">
        <f t="shared" si="81"/>
        <v>#REF!</v>
      </c>
      <c r="K240" s="8" t="e">
        <f t="shared" si="81"/>
        <v>#REF!</v>
      </c>
      <c r="L240" s="9" t="e">
        <f t="shared" si="81"/>
        <v>#REF!</v>
      </c>
      <c r="M240" s="8" t="e">
        <f t="shared" si="81"/>
        <v>#REF!</v>
      </c>
      <c r="N240" s="8" t="e">
        <f t="shared" si="82"/>
        <v>#REF!</v>
      </c>
      <c r="O240" s="8" t="e">
        <f t="shared" si="82"/>
        <v>#REF!</v>
      </c>
      <c r="P240" s="8" t="e">
        <f t="shared" si="82"/>
        <v>#REF!</v>
      </c>
      <c r="Q240" s="8" t="e">
        <f t="shared" si="82"/>
        <v>#REF!</v>
      </c>
      <c r="R240" s="8" t="e">
        <f t="shared" si="82"/>
        <v>#REF!</v>
      </c>
      <c r="S240" s="8" t="e">
        <f t="shared" si="82"/>
        <v>#REF!</v>
      </c>
      <c r="T240" s="8" t="e">
        <f t="shared" si="82"/>
        <v>#REF!</v>
      </c>
      <c r="U240" s="9" t="e">
        <f t="shared" si="82"/>
        <v>#REF!</v>
      </c>
      <c r="V240" s="8" t="e">
        <f t="shared" si="82"/>
        <v>#REF!</v>
      </c>
      <c r="W240" s="8" t="e">
        <f t="shared" si="82"/>
        <v>#REF!</v>
      </c>
      <c r="X240" s="8" t="e">
        <f t="shared" si="83"/>
        <v>#REF!</v>
      </c>
      <c r="Y240" s="8" t="e">
        <f t="shared" si="83"/>
        <v>#REF!</v>
      </c>
      <c r="Z240" s="8" t="e">
        <f t="shared" si="83"/>
        <v>#REF!</v>
      </c>
      <c r="AA240" s="8" t="e">
        <f t="shared" si="83"/>
        <v>#REF!</v>
      </c>
      <c r="AB240" s="8" t="e">
        <f t="shared" si="83"/>
        <v>#REF!</v>
      </c>
      <c r="AG240" t="s">
        <v>356</v>
      </c>
    </row>
    <row r="241" spans="1:46" ht="15" customHeight="1">
      <c r="A241" s="457"/>
      <c r="B241" s="136" t="s">
        <v>348</v>
      </c>
      <c r="C241" s="112" t="s">
        <v>344</v>
      </c>
      <c r="D241" s="8" t="e">
        <f t="shared" si="81"/>
        <v>#REF!</v>
      </c>
      <c r="E241" s="8" t="e">
        <f t="shared" si="81"/>
        <v>#REF!</v>
      </c>
      <c r="F241" s="8" t="e">
        <f t="shared" si="81"/>
        <v>#REF!</v>
      </c>
      <c r="G241" s="8" t="e">
        <f t="shared" si="81"/>
        <v>#REF!</v>
      </c>
      <c r="H241" s="8" t="e">
        <f t="shared" si="81"/>
        <v>#REF!</v>
      </c>
      <c r="I241" s="8" t="e">
        <f t="shared" si="81"/>
        <v>#REF!</v>
      </c>
      <c r="J241" s="8" t="e">
        <f t="shared" si="81"/>
        <v>#REF!</v>
      </c>
      <c r="K241" s="8" t="e">
        <f t="shared" si="81"/>
        <v>#REF!</v>
      </c>
      <c r="L241" s="9" t="e">
        <f t="shared" si="81"/>
        <v>#REF!</v>
      </c>
      <c r="M241" s="8" t="e">
        <f t="shared" si="81"/>
        <v>#REF!</v>
      </c>
      <c r="N241" s="8" t="e">
        <f t="shared" si="82"/>
        <v>#REF!</v>
      </c>
      <c r="O241" s="8" t="e">
        <f t="shared" si="82"/>
        <v>#REF!</v>
      </c>
      <c r="P241" s="8" t="e">
        <f t="shared" si="82"/>
        <v>#REF!</v>
      </c>
      <c r="Q241" s="8" t="e">
        <f t="shared" si="82"/>
        <v>#REF!</v>
      </c>
      <c r="R241" s="8" t="e">
        <f t="shared" si="82"/>
        <v>#REF!</v>
      </c>
      <c r="S241" s="8" t="e">
        <f t="shared" si="82"/>
        <v>#REF!</v>
      </c>
      <c r="T241" s="8" t="e">
        <f t="shared" si="82"/>
        <v>#REF!</v>
      </c>
      <c r="U241" s="9" t="e">
        <f t="shared" si="82"/>
        <v>#REF!</v>
      </c>
      <c r="V241" s="8" t="e">
        <f t="shared" si="82"/>
        <v>#REF!</v>
      </c>
      <c r="W241" s="8" t="e">
        <f t="shared" si="82"/>
        <v>#REF!</v>
      </c>
      <c r="X241" s="8" t="e">
        <f t="shared" si="83"/>
        <v>#REF!</v>
      </c>
      <c r="Y241" s="8" t="e">
        <f t="shared" si="83"/>
        <v>#REF!</v>
      </c>
      <c r="Z241" s="8" t="e">
        <f t="shared" si="83"/>
        <v>#REF!</v>
      </c>
      <c r="AA241" s="8" t="e">
        <f t="shared" si="83"/>
        <v>#REF!</v>
      </c>
      <c r="AB241" s="8" t="e">
        <f t="shared" si="83"/>
        <v>#REF!</v>
      </c>
      <c r="AG241" t="s">
        <v>357</v>
      </c>
    </row>
    <row r="242" spans="1:46" ht="15" customHeight="1" thickBot="1">
      <c r="A242" s="457"/>
      <c r="B242" s="136" t="s">
        <v>349</v>
      </c>
      <c r="C242" s="112" t="s">
        <v>344</v>
      </c>
      <c r="D242" s="8" t="e">
        <f t="shared" si="81"/>
        <v>#REF!</v>
      </c>
      <c r="E242" s="8" t="e">
        <f t="shared" si="81"/>
        <v>#REF!</v>
      </c>
      <c r="F242" s="8" t="e">
        <f t="shared" si="81"/>
        <v>#REF!</v>
      </c>
      <c r="G242" s="8" t="e">
        <f t="shared" si="81"/>
        <v>#REF!</v>
      </c>
      <c r="H242" s="8" t="e">
        <f t="shared" si="81"/>
        <v>#REF!</v>
      </c>
      <c r="I242" s="8" t="e">
        <f t="shared" si="81"/>
        <v>#REF!</v>
      </c>
      <c r="J242" s="8" t="e">
        <f t="shared" si="81"/>
        <v>#REF!</v>
      </c>
      <c r="K242" s="8" t="e">
        <f t="shared" si="81"/>
        <v>#REF!</v>
      </c>
      <c r="L242" s="9" t="e">
        <f t="shared" si="81"/>
        <v>#REF!</v>
      </c>
      <c r="M242" s="8" t="e">
        <f t="shared" si="81"/>
        <v>#REF!</v>
      </c>
      <c r="N242" s="8" t="e">
        <f t="shared" si="82"/>
        <v>#REF!</v>
      </c>
      <c r="O242" s="8" t="e">
        <f t="shared" si="82"/>
        <v>#REF!</v>
      </c>
      <c r="P242" s="8" t="e">
        <f t="shared" si="82"/>
        <v>#REF!</v>
      </c>
      <c r="Q242" s="8" t="e">
        <f t="shared" si="82"/>
        <v>#REF!</v>
      </c>
      <c r="R242" s="8" t="e">
        <f t="shared" si="82"/>
        <v>#REF!</v>
      </c>
      <c r="S242" s="8" t="e">
        <f t="shared" si="82"/>
        <v>#REF!</v>
      </c>
      <c r="T242" s="8" t="e">
        <f t="shared" si="82"/>
        <v>#REF!</v>
      </c>
      <c r="U242" s="9" t="e">
        <f t="shared" si="82"/>
        <v>#REF!</v>
      </c>
      <c r="V242" s="8" t="e">
        <f t="shared" si="82"/>
        <v>#REF!</v>
      </c>
      <c r="W242" s="8" t="e">
        <f t="shared" si="82"/>
        <v>#REF!</v>
      </c>
      <c r="X242" s="8" t="e">
        <f t="shared" si="83"/>
        <v>#REF!</v>
      </c>
      <c r="Y242" s="8" t="e">
        <f t="shared" si="83"/>
        <v>#REF!</v>
      </c>
      <c r="Z242" s="8" t="e">
        <f t="shared" si="83"/>
        <v>#REF!</v>
      </c>
      <c r="AA242" s="8" t="e">
        <f t="shared" si="83"/>
        <v>#REF!</v>
      </c>
      <c r="AB242" s="8" t="e">
        <f t="shared" si="83"/>
        <v>#REF!</v>
      </c>
    </row>
    <row r="243" spans="1:46" ht="15" customHeight="1">
      <c r="A243" s="457"/>
      <c r="B243" s="136" t="s">
        <v>246</v>
      </c>
      <c r="C243" s="112" t="s">
        <v>344</v>
      </c>
      <c r="D243" s="8">
        <f t="shared" si="81"/>
        <v>0</v>
      </c>
      <c r="E243" s="8">
        <f t="shared" si="81"/>
        <v>-1.6825501576631544E-10</v>
      </c>
      <c r="F243" s="8">
        <f t="shared" si="81"/>
        <v>214291.96607110137</v>
      </c>
      <c r="G243" s="8">
        <f t="shared" si="81"/>
        <v>331448.80114373012</v>
      </c>
      <c r="H243" s="8">
        <f t="shared" si="81"/>
        <v>411617.59953652299</v>
      </c>
      <c r="I243" s="8">
        <f t="shared" si="81"/>
        <v>486998.18397601327</v>
      </c>
      <c r="J243" s="8">
        <f t="shared" si="81"/>
        <v>551502.41026921826</v>
      </c>
      <c r="K243" s="8">
        <f t="shared" si="81"/>
        <v>610997.9132414083</v>
      </c>
      <c r="L243" s="9">
        <f t="shared" si="81"/>
        <v>357680.28518493334</v>
      </c>
      <c r="M243" s="8">
        <f t="shared" si="81"/>
        <v>369214.25962850038</v>
      </c>
      <c r="N243" s="8">
        <f t="shared" si="82"/>
        <v>393807.43082075252</v>
      </c>
      <c r="O243" s="8">
        <f t="shared" si="82"/>
        <v>416180.6145244306</v>
      </c>
      <c r="P243" s="8">
        <f t="shared" si="82"/>
        <v>436579.5991140214</v>
      </c>
      <c r="Q243" s="8">
        <f t="shared" si="82"/>
        <v>390958.711240631</v>
      </c>
      <c r="R243" s="8">
        <f t="shared" si="82"/>
        <v>363794.17954633379</v>
      </c>
      <c r="S243" s="8">
        <f t="shared" si="82"/>
        <v>324714.36861660477</v>
      </c>
      <c r="T243" s="8">
        <f t="shared" si="82"/>
        <v>334046.02985684312</v>
      </c>
      <c r="U243" s="9">
        <f t="shared" si="82"/>
        <v>342226.50414684915</v>
      </c>
      <c r="V243" s="8">
        <f t="shared" si="82"/>
        <v>352736.20795408171</v>
      </c>
      <c r="W243" s="8">
        <f t="shared" si="82"/>
        <v>361960.27644720528</v>
      </c>
      <c r="X243" s="8">
        <f t="shared" si="83"/>
        <v>369679.6786297402</v>
      </c>
      <c r="Y243" s="8">
        <f t="shared" si="83"/>
        <v>383137.31074369559</v>
      </c>
      <c r="Z243" s="8">
        <f t="shared" si="83"/>
        <v>396240.2131728619</v>
      </c>
      <c r="AA243" s="8">
        <f t="shared" si="83"/>
        <v>409295.86511561519</v>
      </c>
      <c r="AB243" s="8">
        <f t="shared" si="83"/>
        <v>421398.75596270594</v>
      </c>
      <c r="AG243" s="489" t="s">
        <v>324</v>
      </c>
      <c r="AH243" t="s">
        <v>358</v>
      </c>
      <c r="AI243" t="s">
        <v>101</v>
      </c>
      <c r="AJ243" t="s">
        <v>359</v>
      </c>
      <c r="AK243" t="s">
        <v>360</v>
      </c>
      <c r="AL243" t="s">
        <v>361</v>
      </c>
      <c r="AM243" t="s">
        <v>362</v>
      </c>
      <c r="AN243" t="s">
        <v>363</v>
      </c>
      <c r="AO243" t="s">
        <v>364</v>
      </c>
      <c r="AP243" t="s">
        <v>365</v>
      </c>
      <c r="AQ243" t="s">
        <v>366</v>
      </c>
      <c r="AR243" t="s">
        <v>367</v>
      </c>
      <c r="AS243" t="s">
        <v>368</v>
      </c>
      <c r="AT243" t="s">
        <v>369</v>
      </c>
    </row>
    <row r="244" spans="1:46" ht="15" customHeight="1">
      <c r="A244" s="457"/>
      <c r="B244" s="12" t="s">
        <v>125</v>
      </c>
      <c r="C244" s="5"/>
      <c r="L244" s="5"/>
      <c r="U244" s="5"/>
      <c r="AG244" s="490"/>
      <c r="AH244" t="s">
        <v>370</v>
      </c>
      <c r="AI244">
        <v>15</v>
      </c>
      <c r="AJ244">
        <v>0.4</v>
      </c>
      <c r="AR244">
        <v>0.6</v>
      </c>
      <c r="AT244" t="s">
        <v>371</v>
      </c>
    </row>
    <row r="245" spans="1:46" ht="15" customHeight="1">
      <c r="A245" s="457"/>
      <c r="B245" s="136" t="s">
        <v>343</v>
      </c>
      <c r="C245" s="112" t="s">
        <v>344</v>
      </c>
      <c r="D245" s="8" t="e">
        <f t="shared" ref="D245:M252" si="84">D160+D197+AI133+AI180</f>
        <v>#REF!</v>
      </c>
      <c r="E245" s="8" t="e">
        <f t="shared" si="84"/>
        <v>#REF!</v>
      </c>
      <c r="F245" s="8" t="e">
        <f t="shared" si="84"/>
        <v>#REF!</v>
      </c>
      <c r="G245" s="8" t="e">
        <f t="shared" si="84"/>
        <v>#REF!</v>
      </c>
      <c r="H245" s="8" t="e">
        <f t="shared" si="84"/>
        <v>#REF!</v>
      </c>
      <c r="I245" s="8" t="e">
        <f t="shared" si="84"/>
        <v>#REF!</v>
      </c>
      <c r="J245" s="8" t="e">
        <f t="shared" si="84"/>
        <v>#REF!</v>
      </c>
      <c r="K245" s="8" t="e">
        <f t="shared" si="84"/>
        <v>#REF!</v>
      </c>
      <c r="L245" s="9" t="e">
        <f t="shared" si="84"/>
        <v>#REF!</v>
      </c>
      <c r="M245" s="8" t="e">
        <f t="shared" si="84"/>
        <v>#REF!</v>
      </c>
      <c r="N245" s="8" t="e">
        <f t="shared" ref="N245:W252" si="85">N160+N197+AS133+AS180</f>
        <v>#REF!</v>
      </c>
      <c r="O245" s="8" t="e">
        <f t="shared" si="85"/>
        <v>#REF!</v>
      </c>
      <c r="P245" s="8" t="e">
        <f t="shared" si="85"/>
        <v>#REF!</v>
      </c>
      <c r="Q245" s="8" t="e">
        <f t="shared" si="85"/>
        <v>#REF!</v>
      </c>
      <c r="R245" s="8" t="e">
        <f t="shared" si="85"/>
        <v>#REF!</v>
      </c>
      <c r="S245" s="8" t="e">
        <f t="shared" si="85"/>
        <v>#REF!</v>
      </c>
      <c r="T245" s="8" t="e">
        <f t="shared" si="85"/>
        <v>#REF!</v>
      </c>
      <c r="U245" s="9" t="e">
        <f t="shared" si="85"/>
        <v>#REF!</v>
      </c>
      <c r="V245" s="8" t="e">
        <f t="shared" si="85"/>
        <v>#REF!</v>
      </c>
      <c r="W245" s="8" t="e">
        <f t="shared" si="85"/>
        <v>#REF!</v>
      </c>
      <c r="X245" s="8" t="e">
        <f t="shared" ref="X245:AB252" si="86">X160+X197+BC133+BC180</f>
        <v>#REF!</v>
      </c>
      <c r="Y245" s="8" t="e">
        <f t="shared" si="86"/>
        <v>#REF!</v>
      </c>
      <c r="Z245" s="8" t="e">
        <f t="shared" si="86"/>
        <v>#REF!</v>
      </c>
      <c r="AA245" s="8" t="e">
        <f t="shared" si="86"/>
        <v>#REF!</v>
      </c>
      <c r="AB245" s="8" t="e">
        <f t="shared" si="86"/>
        <v>#REF!</v>
      </c>
      <c r="AG245" s="490"/>
      <c r="AH245" t="s">
        <v>372</v>
      </c>
      <c r="AI245">
        <v>15</v>
      </c>
      <c r="AJ245">
        <v>0.3</v>
      </c>
      <c r="AR245">
        <v>0.7</v>
      </c>
      <c r="AT245" t="s">
        <v>371</v>
      </c>
    </row>
    <row r="246" spans="1:46" ht="15" customHeight="1">
      <c r="A246" s="457"/>
      <c r="B246" s="136" t="s">
        <v>345</v>
      </c>
      <c r="C246" s="112" t="s">
        <v>344</v>
      </c>
      <c r="D246" s="8" t="e">
        <f t="shared" si="84"/>
        <v>#REF!</v>
      </c>
      <c r="E246" s="8" t="e">
        <f t="shared" si="84"/>
        <v>#REF!</v>
      </c>
      <c r="F246" s="8" t="e">
        <f t="shared" si="84"/>
        <v>#REF!</v>
      </c>
      <c r="G246" s="8" t="e">
        <f t="shared" si="84"/>
        <v>#REF!</v>
      </c>
      <c r="H246" s="8" t="e">
        <f t="shared" si="84"/>
        <v>#REF!</v>
      </c>
      <c r="I246" s="8" t="e">
        <f t="shared" si="84"/>
        <v>#REF!</v>
      </c>
      <c r="J246" s="8" t="e">
        <f t="shared" si="84"/>
        <v>#REF!</v>
      </c>
      <c r="K246" s="8" t="e">
        <f t="shared" si="84"/>
        <v>#REF!</v>
      </c>
      <c r="L246" s="9" t="e">
        <f t="shared" si="84"/>
        <v>#REF!</v>
      </c>
      <c r="M246" s="8" t="e">
        <f t="shared" si="84"/>
        <v>#REF!</v>
      </c>
      <c r="N246" s="8" t="e">
        <f t="shared" si="85"/>
        <v>#REF!</v>
      </c>
      <c r="O246" s="8" t="e">
        <f t="shared" si="85"/>
        <v>#REF!</v>
      </c>
      <c r="P246" s="8" t="e">
        <f t="shared" si="85"/>
        <v>#REF!</v>
      </c>
      <c r="Q246" s="8" t="e">
        <f t="shared" si="85"/>
        <v>#REF!</v>
      </c>
      <c r="R246" s="8" t="e">
        <f t="shared" si="85"/>
        <v>#REF!</v>
      </c>
      <c r="S246" s="8" t="e">
        <f t="shared" si="85"/>
        <v>#REF!</v>
      </c>
      <c r="T246" s="8" t="e">
        <f t="shared" si="85"/>
        <v>#REF!</v>
      </c>
      <c r="U246" s="9" t="e">
        <f t="shared" si="85"/>
        <v>#REF!</v>
      </c>
      <c r="V246" s="8" t="e">
        <f t="shared" si="85"/>
        <v>#REF!</v>
      </c>
      <c r="W246" s="8" t="e">
        <f t="shared" si="85"/>
        <v>#REF!</v>
      </c>
      <c r="X246" s="8" t="e">
        <f t="shared" si="86"/>
        <v>#REF!</v>
      </c>
      <c r="Y246" s="8" t="e">
        <f t="shared" si="86"/>
        <v>#REF!</v>
      </c>
      <c r="Z246" s="8" t="e">
        <f t="shared" si="86"/>
        <v>#REF!</v>
      </c>
      <c r="AA246" s="8" t="e">
        <f t="shared" si="86"/>
        <v>#REF!</v>
      </c>
      <c r="AB246" s="8" t="e">
        <f t="shared" si="86"/>
        <v>#REF!</v>
      </c>
      <c r="AG246" s="490"/>
      <c r="AH246" t="s">
        <v>373</v>
      </c>
      <c r="AI246">
        <v>10</v>
      </c>
      <c r="AL246">
        <v>0.5</v>
      </c>
      <c r="AO246">
        <v>0.5</v>
      </c>
      <c r="AT246" t="s">
        <v>374</v>
      </c>
    </row>
    <row r="247" spans="1:46" ht="15" customHeight="1">
      <c r="A247" s="457"/>
      <c r="B247" s="136" t="s">
        <v>346</v>
      </c>
      <c r="C247" s="112" t="s">
        <v>344</v>
      </c>
      <c r="D247" s="8" t="e">
        <f t="shared" si="84"/>
        <v>#REF!</v>
      </c>
      <c r="E247" s="8" t="e">
        <f t="shared" si="84"/>
        <v>#REF!</v>
      </c>
      <c r="F247" s="8" t="e">
        <f t="shared" si="84"/>
        <v>#REF!</v>
      </c>
      <c r="G247" s="8" t="e">
        <f t="shared" si="84"/>
        <v>#REF!</v>
      </c>
      <c r="H247" s="8" t="e">
        <f t="shared" si="84"/>
        <v>#REF!</v>
      </c>
      <c r="I247" s="8" t="e">
        <f t="shared" si="84"/>
        <v>#REF!</v>
      </c>
      <c r="J247" s="8" t="e">
        <f t="shared" si="84"/>
        <v>#REF!</v>
      </c>
      <c r="K247" s="8" t="e">
        <f t="shared" si="84"/>
        <v>#REF!</v>
      </c>
      <c r="L247" s="9" t="e">
        <f t="shared" si="84"/>
        <v>#REF!</v>
      </c>
      <c r="M247" s="8" t="e">
        <f t="shared" si="84"/>
        <v>#REF!</v>
      </c>
      <c r="N247" s="8" t="e">
        <f t="shared" si="85"/>
        <v>#REF!</v>
      </c>
      <c r="O247" s="8" t="e">
        <f t="shared" si="85"/>
        <v>#REF!</v>
      </c>
      <c r="P247" s="8" t="e">
        <f t="shared" si="85"/>
        <v>#REF!</v>
      </c>
      <c r="Q247" s="8" t="e">
        <f t="shared" si="85"/>
        <v>#REF!</v>
      </c>
      <c r="R247" s="8" t="e">
        <f t="shared" si="85"/>
        <v>#REF!</v>
      </c>
      <c r="S247" s="8" t="e">
        <f t="shared" si="85"/>
        <v>#REF!</v>
      </c>
      <c r="T247" s="8" t="e">
        <f t="shared" si="85"/>
        <v>#REF!</v>
      </c>
      <c r="U247" s="9" t="e">
        <f t="shared" si="85"/>
        <v>#REF!</v>
      </c>
      <c r="V247" s="8" t="e">
        <f t="shared" si="85"/>
        <v>#REF!</v>
      </c>
      <c r="W247" s="8" t="e">
        <f t="shared" si="85"/>
        <v>#REF!</v>
      </c>
      <c r="X247" s="8" t="e">
        <f t="shared" si="86"/>
        <v>#REF!</v>
      </c>
      <c r="Y247" s="8" t="e">
        <f t="shared" si="86"/>
        <v>#REF!</v>
      </c>
      <c r="Z247" s="8" t="e">
        <f t="shared" si="86"/>
        <v>#REF!</v>
      </c>
      <c r="AA247" s="8" t="e">
        <f t="shared" si="86"/>
        <v>#REF!</v>
      </c>
      <c r="AB247" s="8" t="e">
        <f t="shared" si="86"/>
        <v>#REF!</v>
      </c>
      <c r="AG247" s="490"/>
      <c r="AH247" t="s">
        <v>375</v>
      </c>
      <c r="AI247">
        <v>5</v>
      </c>
      <c r="AK247">
        <v>0.1</v>
      </c>
      <c r="AM247">
        <v>0.1</v>
      </c>
      <c r="AN247">
        <v>0.45</v>
      </c>
      <c r="AS247">
        <v>0.35</v>
      </c>
      <c r="AT247" t="s">
        <v>376</v>
      </c>
    </row>
    <row r="248" spans="1:46" ht="15" customHeight="1">
      <c r="A248" s="457"/>
      <c r="B248" s="136" t="s">
        <v>278</v>
      </c>
      <c r="C248" s="112" t="s">
        <v>344</v>
      </c>
      <c r="D248" s="8">
        <f t="shared" si="84"/>
        <v>0</v>
      </c>
      <c r="E248" s="8">
        <f t="shared" si="84"/>
        <v>0</v>
      </c>
      <c r="F248" s="8">
        <f t="shared" si="84"/>
        <v>0</v>
      </c>
      <c r="G248" s="8">
        <f t="shared" si="84"/>
        <v>0</v>
      </c>
      <c r="H248" s="8">
        <f t="shared" si="84"/>
        <v>0</v>
      </c>
      <c r="I248" s="8">
        <f t="shared" si="84"/>
        <v>0</v>
      </c>
      <c r="J248" s="8">
        <f t="shared" si="84"/>
        <v>0</v>
      </c>
      <c r="K248" s="8">
        <f t="shared" si="84"/>
        <v>0</v>
      </c>
      <c r="L248" s="9">
        <f t="shared" si="84"/>
        <v>0</v>
      </c>
      <c r="M248" s="8">
        <f t="shared" si="84"/>
        <v>0</v>
      </c>
      <c r="N248" s="8">
        <f t="shared" si="85"/>
        <v>0</v>
      </c>
      <c r="O248" s="8">
        <f t="shared" si="85"/>
        <v>0</v>
      </c>
      <c r="P248" s="8">
        <f t="shared" si="85"/>
        <v>0</v>
      </c>
      <c r="Q248" s="8">
        <f t="shared" si="85"/>
        <v>0</v>
      </c>
      <c r="R248" s="8">
        <f t="shared" si="85"/>
        <v>0</v>
      </c>
      <c r="S248" s="8">
        <f t="shared" si="85"/>
        <v>0</v>
      </c>
      <c r="T248" s="8">
        <f t="shared" si="85"/>
        <v>0</v>
      </c>
      <c r="U248" s="9">
        <f t="shared" si="85"/>
        <v>0</v>
      </c>
      <c r="V248" s="8">
        <f t="shared" si="85"/>
        <v>0</v>
      </c>
      <c r="W248" s="8">
        <f t="shared" si="85"/>
        <v>0</v>
      </c>
      <c r="X248" s="8">
        <f t="shared" si="86"/>
        <v>0</v>
      </c>
      <c r="Y248" s="8">
        <f t="shared" si="86"/>
        <v>0</v>
      </c>
      <c r="Z248" s="8">
        <f t="shared" si="86"/>
        <v>0</v>
      </c>
      <c r="AA248" s="8">
        <f t="shared" si="86"/>
        <v>0</v>
      </c>
      <c r="AB248" s="8">
        <f t="shared" si="86"/>
        <v>0</v>
      </c>
      <c r="AG248" s="490"/>
      <c r="AH248" t="s">
        <v>377</v>
      </c>
      <c r="AI248">
        <v>5</v>
      </c>
      <c r="AK248">
        <v>0.1</v>
      </c>
      <c r="AM248">
        <v>0.3</v>
      </c>
      <c r="AN248">
        <v>0.3</v>
      </c>
      <c r="AS248">
        <v>0.3</v>
      </c>
      <c r="AT248" t="s">
        <v>376</v>
      </c>
    </row>
    <row r="249" spans="1:46" ht="15" customHeight="1">
      <c r="A249" s="457"/>
      <c r="B249" s="136" t="s">
        <v>347</v>
      </c>
      <c r="C249" s="112" t="s">
        <v>344</v>
      </c>
      <c r="D249" s="8" t="e">
        <f t="shared" si="84"/>
        <v>#REF!</v>
      </c>
      <c r="E249" s="8" t="e">
        <f t="shared" si="84"/>
        <v>#REF!</v>
      </c>
      <c r="F249" s="8" t="e">
        <f t="shared" si="84"/>
        <v>#REF!</v>
      </c>
      <c r="G249" s="8" t="e">
        <f t="shared" si="84"/>
        <v>#REF!</v>
      </c>
      <c r="H249" s="8" t="e">
        <f t="shared" si="84"/>
        <v>#REF!</v>
      </c>
      <c r="I249" s="8" t="e">
        <f t="shared" si="84"/>
        <v>#REF!</v>
      </c>
      <c r="J249" s="8" t="e">
        <f t="shared" si="84"/>
        <v>#REF!</v>
      </c>
      <c r="K249" s="8" t="e">
        <f t="shared" si="84"/>
        <v>#REF!</v>
      </c>
      <c r="L249" s="9" t="e">
        <f t="shared" si="84"/>
        <v>#REF!</v>
      </c>
      <c r="M249" s="8" t="e">
        <f t="shared" si="84"/>
        <v>#REF!</v>
      </c>
      <c r="N249" s="8" t="e">
        <f t="shared" si="85"/>
        <v>#REF!</v>
      </c>
      <c r="O249" s="8" t="e">
        <f t="shared" si="85"/>
        <v>#REF!</v>
      </c>
      <c r="P249" s="8" t="e">
        <f t="shared" si="85"/>
        <v>#REF!</v>
      </c>
      <c r="Q249" s="8" t="e">
        <f t="shared" si="85"/>
        <v>#REF!</v>
      </c>
      <c r="R249" s="8" t="e">
        <f t="shared" si="85"/>
        <v>#REF!</v>
      </c>
      <c r="S249" s="8" t="e">
        <f t="shared" si="85"/>
        <v>#REF!</v>
      </c>
      <c r="T249" s="8" t="e">
        <f t="shared" si="85"/>
        <v>#REF!</v>
      </c>
      <c r="U249" s="9" t="e">
        <f t="shared" si="85"/>
        <v>#REF!</v>
      </c>
      <c r="V249" s="8" t="e">
        <f t="shared" si="85"/>
        <v>#REF!</v>
      </c>
      <c r="W249" s="8" t="e">
        <f t="shared" si="85"/>
        <v>#REF!</v>
      </c>
      <c r="X249" s="8" t="e">
        <f t="shared" si="86"/>
        <v>#REF!</v>
      </c>
      <c r="Y249" s="8" t="e">
        <f t="shared" si="86"/>
        <v>#REF!</v>
      </c>
      <c r="Z249" s="8" t="e">
        <f t="shared" si="86"/>
        <v>#REF!</v>
      </c>
      <c r="AA249" s="8" t="e">
        <f t="shared" si="86"/>
        <v>#REF!</v>
      </c>
      <c r="AB249" s="8" t="e">
        <f t="shared" si="86"/>
        <v>#REF!</v>
      </c>
      <c r="AG249" s="490"/>
      <c r="AH249" t="s">
        <v>378</v>
      </c>
      <c r="AI249">
        <v>5</v>
      </c>
      <c r="AM249">
        <v>0.5</v>
      </c>
      <c r="AR249">
        <v>0.5</v>
      </c>
      <c r="AT249" t="s">
        <v>371</v>
      </c>
    </row>
    <row r="250" spans="1:46" ht="15" customHeight="1">
      <c r="A250" s="457"/>
      <c r="B250" s="136" t="s">
        <v>348</v>
      </c>
      <c r="C250" s="112" t="s">
        <v>344</v>
      </c>
      <c r="D250" s="8" t="e">
        <f t="shared" si="84"/>
        <v>#REF!</v>
      </c>
      <c r="E250" s="8" t="e">
        <f t="shared" si="84"/>
        <v>#REF!</v>
      </c>
      <c r="F250" s="8" t="e">
        <f t="shared" si="84"/>
        <v>#REF!</v>
      </c>
      <c r="G250" s="8" t="e">
        <f t="shared" si="84"/>
        <v>#REF!</v>
      </c>
      <c r="H250" s="8" t="e">
        <f t="shared" si="84"/>
        <v>#REF!</v>
      </c>
      <c r="I250" s="8" t="e">
        <f t="shared" si="84"/>
        <v>#REF!</v>
      </c>
      <c r="J250" s="8" t="e">
        <f t="shared" si="84"/>
        <v>#REF!</v>
      </c>
      <c r="K250" s="8" t="e">
        <f t="shared" si="84"/>
        <v>#REF!</v>
      </c>
      <c r="L250" s="9" t="e">
        <f t="shared" si="84"/>
        <v>#REF!</v>
      </c>
      <c r="M250" s="8" t="e">
        <f t="shared" si="84"/>
        <v>#REF!</v>
      </c>
      <c r="N250" s="8" t="e">
        <f t="shared" si="85"/>
        <v>#REF!</v>
      </c>
      <c r="O250" s="8" t="e">
        <f t="shared" si="85"/>
        <v>#REF!</v>
      </c>
      <c r="P250" s="8" t="e">
        <f t="shared" si="85"/>
        <v>#REF!</v>
      </c>
      <c r="Q250" s="8" t="e">
        <f t="shared" si="85"/>
        <v>#REF!</v>
      </c>
      <c r="R250" s="8" t="e">
        <f t="shared" si="85"/>
        <v>#REF!</v>
      </c>
      <c r="S250" s="8" t="e">
        <f t="shared" si="85"/>
        <v>#REF!</v>
      </c>
      <c r="T250" s="8" t="e">
        <f t="shared" si="85"/>
        <v>#REF!</v>
      </c>
      <c r="U250" s="9" t="e">
        <f t="shared" si="85"/>
        <v>#REF!</v>
      </c>
      <c r="V250" s="8" t="e">
        <f t="shared" si="85"/>
        <v>#REF!</v>
      </c>
      <c r="W250" s="8" t="e">
        <f t="shared" si="85"/>
        <v>#REF!</v>
      </c>
      <c r="X250" s="8" t="e">
        <f t="shared" si="86"/>
        <v>#REF!</v>
      </c>
      <c r="Y250" s="8" t="e">
        <f t="shared" si="86"/>
        <v>#REF!</v>
      </c>
      <c r="Z250" s="8" t="e">
        <f t="shared" si="86"/>
        <v>#REF!</v>
      </c>
      <c r="AA250" s="8" t="e">
        <f t="shared" si="86"/>
        <v>#REF!</v>
      </c>
      <c r="AB250" s="8" t="e">
        <f t="shared" si="86"/>
        <v>#REF!</v>
      </c>
      <c r="AG250" s="490"/>
      <c r="AH250" t="s">
        <v>379</v>
      </c>
      <c r="AI250">
        <v>15</v>
      </c>
      <c r="AK250">
        <v>0.1</v>
      </c>
      <c r="AN250">
        <v>0.5</v>
      </c>
      <c r="AS250">
        <v>0.4</v>
      </c>
      <c r="AT250" t="s">
        <v>376</v>
      </c>
    </row>
    <row r="251" spans="1:46" ht="15" customHeight="1">
      <c r="A251" s="457"/>
      <c r="B251" s="136" t="s">
        <v>349</v>
      </c>
      <c r="C251" s="112" t="s">
        <v>344</v>
      </c>
      <c r="D251" s="8" t="e">
        <f t="shared" si="84"/>
        <v>#REF!</v>
      </c>
      <c r="E251" s="8" t="e">
        <f t="shared" si="84"/>
        <v>#REF!</v>
      </c>
      <c r="F251" s="8" t="e">
        <f t="shared" si="84"/>
        <v>#REF!</v>
      </c>
      <c r="G251" s="8" t="e">
        <f t="shared" si="84"/>
        <v>#REF!</v>
      </c>
      <c r="H251" s="8" t="e">
        <f t="shared" si="84"/>
        <v>#REF!</v>
      </c>
      <c r="I251" s="8" t="e">
        <f t="shared" si="84"/>
        <v>#REF!</v>
      </c>
      <c r="J251" s="8" t="e">
        <f t="shared" si="84"/>
        <v>#REF!</v>
      </c>
      <c r="K251" s="8" t="e">
        <f t="shared" si="84"/>
        <v>#REF!</v>
      </c>
      <c r="L251" s="9" t="e">
        <f t="shared" si="84"/>
        <v>#REF!</v>
      </c>
      <c r="M251" s="8" t="e">
        <f t="shared" si="84"/>
        <v>#REF!</v>
      </c>
      <c r="N251" s="8" t="e">
        <f t="shared" si="85"/>
        <v>#REF!</v>
      </c>
      <c r="O251" s="8" t="e">
        <f t="shared" si="85"/>
        <v>#REF!</v>
      </c>
      <c r="P251" s="8" t="e">
        <f t="shared" si="85"/>
        <v>#REF!</v>
      </c>
      <c r="Q251" s="8" t="e">
        <f t="shared" si="85"/>
        <v>#REF!</v>
      </c>
      <c r="R251" s="8" t="e">
        <f t="shared" si="85"/>
        <v>#REF!</v>
      </c>
      <c r="S251" s="8" t="e">
        <f t="shared" si="85"/>
        <v>#REF!</v>
      </c>
      <c r="T251" s="8" t="e">
        <f t="shared" si="85"/>
        <v>#REF!</v>
      </c>
      <c r="U251" s="9" t="e">
        <f t="shared" si="85"/>
        <v>#REF!</v>
      </c>
      <c r="V251" s="8" t="e">
        <f t="shared" si="85"/>
        <v>#REF!</v>
      </c>
      <c r="W251" s="8" t="e">
        <f t="shared" si="85"/>
        <v>#REF!</v>
      </c>
      <c r="X251" s="8" t="e">
        <f t="shared" si="86"/>
        <v>#REF!</v>
      </c>
      <c r="Y251" s="8" t="e">
        <f t="shared" si="86"/>
        <v>#REF!</v>
      </c>
      <c r="Z251" s="8" t="e">
        <f t="shared" si="86"/>
        <v>#REF!</v>
      </c>
      <c r="AA251" s="8" t="e">
        <f t="shared" si="86"/>
        <v>#REF!</v>
      </c>
      <c r="AB251" s="8" t="e">
        <f t="shared" si="86"/>
        <v>#REF!</v>
      </c>
      <c r="AG251" s="490"/>
      <c r="AH251" t="s">
        <v>380</v>
      </c>
      <c r="AI251">
        <v>15</v>
      </c>
      <c r="AK251">
        <v>0.1</v>
      </c>
      <c r="AN251">
        <v>0.5</v>
      </c>
      <c r="AS251">
        <v>0.4</v>
      </c>
      <c r="AT251" t="s">
        <v>376</v>
      </c>
    </row>
    <row r="252" spans="1:46" ht="15" customHeight="1" thickBot="1">
      <c r="A252" s="457"/>
      <c r="B252" s="137" t="s">
        <v>246</v>
      </c>
      <c r="C252" s="138" t="s">
        <v>344</v>
      </c>
      <c r="D252" s="23">
        <f t="shared" si="84"/>
        <v>0</v>
      </c>
      <c r="E252" s="23">
        <f t="shared" si="84"/>
        <v>0</v>
      </c>
      <c r="F252" s="23">
        <f t="shared" si="84"/>
        <v>0</v>
      </c>
      <c r="G252" s="23">
        <f t="shared" si="84"/>
        <v>0</v>
      </c>
      <c r="H252" s="23">
        <f t="shared" si="84"/>
        <v>0</v>
      </c>
      <c r="I252" s="23">
        <f t="shared" si="84"/>
        <v>0</v>
      </c>
      <c r="J252" s="23">
        <f t="shared" si="84"/>
        <v>0</v>
      </c>
      <c r="K252" s="23">
        <f t="shared" si="84"/>
        <v>0</v>
      </c>
      <c r="L252" s="24">
        <f t="shared" si="84"/>
        <v>0</v>
      </c>
      <c r="M252" s="23">
        <f t="shared" si="84"/>
        <v>0</v>
      </c>
      <c r="N252" s="23">
        <f t="shared" si="85"/>
        <v>0</v>
      </c>
      <c r="O252" s="23">
        <f t="shared" si="85"/>
        <v>0</v>
      </c>
      <c r="P252" s="23">
        <f t="shared" si="85"/>
        <v>0</v>
      </c>
      <c r="Q252" s="23">
        <f t="shared" si="85"/>
        <v>0</v>
      </c>
      <c r="R252" s="23">
        <f t="shared" si="85"/>
        <v>0</v>
      </c>
      <c r="S252" s="23">
        <f t="shared" si="85"/>
        <v>0</v>
      </c>
      <c r="T252" s="23">
        <f t="shared" si="85"/>
        <v>0</v>
      </c>
      <c r="U252" s="24">
        <f t="shared" si="85"/>
        <v>0</v>
      </c>
      <c r="V252" s="23">
        <f t="shared" si="85"/>
        <v>0</v>
      </c>
      <c r="W252" s="23">
        <f t="shared" si="85"/>
        <v>0</v>
      </c>
      <c r="X252" s="23">
        <f t="shared" si="86"/>
        <v>0</v>
      </c>
      <c r="Y252" s="23">
        <f t="shared" si="86"/>
        <v>0</v>
      </c>
      <c r="Z252" s="23">
        <f t="shared" si="86"/>
        <v>0</v>
      </c>
      <c r="AA252" s="23">
        <f t="shared" si="86"/>
        <v>0</v>
      </c>
      <c r="AB252" s="23">
        <f t="shared" si="86"/>
        <v>0</v>
      </c>
      <c r="AG252" s="491"/>
      <c r="AH252" t="s">
        <v>381</v>
      </c>
      <c r="AI252">
        <v>15</v>
      </c>
      <c r="AN252">
        <v>0.5</v>
      </c>
      <c r="AS252">
        <v>0.5</v>
      </c>
      <c r="AT252" t="s">
        <v>376</v>
      </c>
    </row>
    <row r="253" spans="1:46" ht="15" customHeight="1" thickBot="1">
      <c r="A253" s="475"/>
    </row>
    <row r="254" spans="1:46" ht="15" customHeight="1">
      <c r="A254" s="482" t="s">
        <v>382</v>
      </c>
      <c r="B254" s="78" t="s">
        <v>3</v>
      </c>
      <c r="C254" s="117" t="s">
        <v>1</v>
      </c>
      <c r="D254" s="115">
        <v>2022</v>
      </c>
      <c r="E254" s="115">
        <v>2023</v>
      </c>
      <c r="F254" s="115">
        <v>2024</v>
      </c>
      <c r="G254" s="115">
        <v>2025</v>
      </c>
      <c r="H254" s="115">
        <v>2026</v>
      </c>
      <c r="I254" s="115">
        <v>2027</v>
      </c>
      <c r="J254" s="115">
        <v>2028</v>
      </c>
      <c r="K254" s="115">
        <v>2029</v>
      </c>
      <c r="L254" s="116">
        <v>2030</v>
      </c>
      <c r="M254" s="115">
        <v>2031</v>
      </c>
      <c r="N254" s="115">
        <v>2032</v>
      </c>
      <c r="O254" s="115">
        <v>2033</v>
      </c>
      <c r="P254" s="115">
        <v>2034</v>
      </c>
      <c r="Q254" s="115">
        <v>2035</v>
      </c>
      <c r="R254" s="115">
        <v>2036</v>
      </c>
      <c r="S254" s="115">
        <v>2037</v>
      </c>
      <c r="T254" s="115">
        <v>2038</v>
      </c>
      <c r="U254" s="116">
        <v>2039</v>
      </c>
      <c r="V254" s="115">
        <v>2040</v>
      </c>
      <c r="W254" s="115">
        <v>2041</v>
      </c>
      <c r="X254" s="115">
        <v>2042</v>
      </c>
      <c r="Y254" s="115">
        <v>2043</v>
      </c>
      <c r="Z254" s="115">
        <v>2044</v>
      </c>
      <c r="AA254" s="115">
        <v>2045</v>
      </c>
      <c r="AB254" s="115">
        <v>2046</v>
      </c>
      <c r="AG254" s="489" t="s">
        <v>383</v>
      </c>
      <c r="AH254" t="s">
        <v>358</v>
      </c>
      <c r="AT254" t="s">
        <v>384</v>
      </c>
    </row>
    <row r="255" spans="1:46" ht="15" customHeight="1">
      <c r="A255" s="483"/>
      <c r="B255" s="162" t="s">
        <v>343</v>
      </c>
      <c r="C255" s="133" t="s">
        <v>65</v>
      </c>
      <c r="D255" s="163" t="e">
        <f t="shared" ref="D255:L255" si="87">SUM(D209,D218,D227,D236,D245)/907185</f>
        <v>#REF!</v>
      </c>
      <c r="E255" s="163" t="e">
        <f t="shared" si="87"/>
        <v>#REF!</v>
      </c>
      <c r="F255" s="163" t="e">
        <f t="shared" si="87"/>
        <v>#REF!</v>
      </c>
      <c r="G255" s="163" t="e">
        <f t="shared" si="87"/>
        <v>#REF!</v>
      </c>
      <c r="H255" s="163" t="e">
        <f t="shared" si="87"/>
        <v>#REF!</v>
      </c>
      <c r="I255" s="163" t="e">
        <f t="shared" si="87"/>
        <v>#REF!</v>
      </c>
      <c r="J255" s="163" t="e">
        <f t="shared" si="87"/>
        <v>#REF!</v>
      </c>
      <c r="K255" s="163" t="e">
        <f t="shared" si="87"/>
        <v>#REF!</v>
      </c>
      <c r="L255" s="163" t="e">
        <f t="shared" si="87"/>
        <v>#REF!</v>
      </c>
      <c r="M255" s="163" t="e">
        <f t="shared" ref="M255:AB255" si="88">SUM(M209,M218,M227,M236,M245)/907185</f>
        <v>#REF!</v>
      </c>
      <c r="N255" s="163" t="e">
        <f t="shared" si="88"/>
        <v>#REF!</v>
      </c>
      <c r="O255" s="163" t="e">
        <f t="shared" si="88"/>
        <v>#REF!</v>
      </c>
      <c r="P255" s="163" t="e">
        <f t="shared" si="88"/>
        <v>#REF!</v>
      </c>
      <c r="Q255" s="163" t="e">
        <f t="shared" si="88"/>
        <v>#REF!</v>
      </c>
      <c r="R255" s="163" t="e">
        <f t="shared" si="88"/>
        <v>#REF!</v>
      </c>
      <c r="S255" s="163" t="e">
        <f t="shared" si="88"/>
        <v>#REF!</v>
      </c>
      <c r="T255" s="163" t="e">
        <f t="shared" si="88"/>
        <v>#REF!</v>
      </c>
      <c r="U255" s="163" t="e">
        <f t="shared" si="88"/>
        <v>#REF!</v>
      </c>
      <c r="V255" s="163" t="e">
        <f t="shared" si="88"/>
        <v>#REF!</v>
      </c>
      <c r="W255" s="163" t="e">
        <f t="shared" si="88"/>
        <v>#REF!</v>
      </c>
      <c r="X255" s="163" t="e">
        <f t="shared" si="88"/>
        <v>#REF!</v>
      </c>
      <c r="Y255" s="163" t="e">
        <f t="shared" si="88"/>
        <v>#REF!</v>
      </c>
      <c r="Z255" s="163" t="e">
        <f t="shared" si="88"/>
        <v>#REF!</v>
      </c>
      <c r="AA255" s="163" t="e">
        <f t="shared" si="88"/>
        <v>#REF!</v>
      </c>
      <c r="AB255" s="163" t="e">
        <f t="shared" si="88"/>
        <v>#REF!</v>
      </c>
      <c r="AG255" s="490"/>
      <c r="AH255" t="s">
        <v>370</v>
      </c>
      <c r="AI255">
        <v>30</v>
      </c>
      <c r="AJ255">
        <v>0.4</v>
      </c>
      <c r="AM255">
        <v>0.4</v>
      </c>
      <c r="AP255">
        <v>0.2</v>
      </c>
    </row>
    <row r="256" spans="1:46" ht="15" customHeight="1">
      <c r="A256" s="483"/>
      <c r="B256" s="164" t="s">
        <v>345</v>
      </c>
      <c r="C256" s="6" t="s">
        <v>65</v>
      </c>
      <c r="D256" s="114" t="e">
        <f t="shared" ref="D256:L256" si="89">SUM(D210,D219,D228,D237,D246)/907185</f>
        <v>#REF!</v>
      </c>
      <c r="E256" s="114" t="e">
        <f t="shared" si="89"/>
        <v>#REF!</v>
      </c>
      <c r="F256" s="114" t="e">
        <f t="shared" si="89"/>
        <v>#REF!</v>
      </c>
      <c r="G256" s="114" t="e">
        <f t="shared" si="89"/>
        <v>#REF!</v>
      </c>
      <c r="H256" s="114" t="e">
        <f t="shared" si="89"/>
        <v>#REF!</v>
      </c>
      <c r="I256" s="114" t="e">
        <f t="shared" si="89"/>
        <v>#REF!</v>
      </c>
      <c r="J256" s="114" t="e">
        <f t="shared" si="89"/>
        <v>#REF!</v>
      </c>
      <c r="K256" s="114" t="e">
        <f t="shared" si="89"/>
        <v>#REF!</v>
      </c>
      <c r="L256" s="114" t="e">
        <f t="shared" si="89"/>
        <v>#REF!</v>
      </c>
      <c r="M256" s="114" t="e">
        <f t="shared" ref="M256:AB256" si="90">SUM(M210,M219,M228,M237,M246)/907185</f>
        <v>#REF!</v>
      </c>
      <c r="N256" s="114" t="e">
        <f t="shared" si="90"/>
        <v>#REF!</v>
      </c>
      <c r="O256" s="114" t="e">
        <f t="shared" si="90"/>
        <v>#REF!</v>
      </c>
      <c r="P256" s="114" t="e">
        <f t="shared" si="90"/>
        <v>#REF!</v>
      </c>
      <c r="Q256" s="114" t="e">
        <f t="shared" si="90"/>
        <v>#REF!</v>
      </c>
      <c r="R256" s="114" t="e">
        <f t="shared" si="90"/>
        <v>#REF!</v>
      </c>
      <c r="S256" s="114" t="e">
        <f t="shared" si="90"/>
        <v>#REF!</v>
      </c>
      <c r="T256" s="114" t="e">
        <f t="shared" si="90"/>
        <v>#REF!</v>
      </c>
      <c r="U256" s="114" t="e">
        <f t="shared" si="90"/>
        <v>#REF!</v>
      </c>
      <c r="V256" s="114" t="e">
        <f t="shared" si="90"/>
        <v>#REF!</v>
      </c>
      <c r="W256" s="114" t="e">
        <f t="shared" si="90"/>
        <v>#REF!</v>
      </c>
      <c r="X256" s="114" t="e">
        <f t="shared" si="90"/>
        <v>#REF!</v>
      </c>
      <c r="Y256" s="114" t="e">
        <f t="shared" si="90"/>
        <v>#REF!</v>
      </c>
      <c r="Z256" s="114" t="e">
        <f t="shared" si="90"/>
        <v>#REF!</v>
      </c>
      <c r="AA256" s="114" t="e">
        <f t="shared" si="90"/>
        <v>#REF!</v>
      </c>
      <c r="AB256" s="114" t="e">
        <f t="shared" si="90"/>
        <v>#REF!</v>
      </c>
      <c r="AG256" s="490"/>
      <c r="AH256" t="s">
        <v>373</v>
      </c>
      <c r="AI256">
        <v>10</v>
      </c>
      <c r="AJ256">
        <v>0.2</v>
      </c>
      <c r="AL256">
        <v>0.25</v>
      </c>
      <c r="AM256">
        <v>0.2</v>
      </c>
      <c r="AO256">
        <v>0.2</v>
      </c>
      <c r="AP256">
        <v>0.15</v>
      </c>
    </row>
    <row r="257" spans="1:46" ht="15" customHeight="1">
      <c r="A257" s="483"/>
      <c r="B257" s="164" t="s">
        <v>346</v>
      </c>
      <c r="C257" s="6" t="s">
        <v>65</v>
      </c>
      <c r="D257" s="114" t="e">
        <f t="shared" ref="D257:L257" si="91">SUM(D211,D220,D229,D238,D247)/907185</f>
        <v>#REF!</v>
      </c>
      <c r="E257" s="114" t="e">
        <f t="shared" si="91"/>
        <v>#REF!</v>
      </c>
      <c r="F257" s="114" t="e">
        <f t="shared" si="91"/>
        <v>#REF!</v>
      </c>
      <c r="G257" s="114" t="e">
        <f t="shared" si="91"/>
        <v>#REF!</v>
      </c>
      <c r="H257" s="114" t="e">
        <f t="shared" si="91"/>
        <v>#REF!</v>
      </c>
      <c r="I257" s="114" t="e">
        <f t="shared" si="91"/>
        <v>#REF!</v>
      </c>
      <c r="J257" s="114" t="e">
        <f t="shared" si="91"/>
        <v>#REF!</v>
      </c>
      <c r="K257" s="114" t="e">
        <f t="shared" si="91"/>
        <v>#REF!</v>
      </c>
      <c r="L257" s="114" t="e">
        <f t="shared" si="91"/>
        <v>#REF!</v>
      </c>
      <c r="M257" s="114" t="e">
        <f t="shared" ref="M257:AB257" si="92">SUM(M211,M220,M229,M238,M247)/907185</f>
        <v>#REF!</v>
      </c>
      <c r="N257" s="114" t="e">
        <f t="shared" si="92"/>
        <v>#REF!</v>
      </c>
      <c r="O257" s="114" t="e">
        <f t="shared" si="92"/>
        <v>#REF!</v>
      </c>
      <c r="P257" s="114" t="e">
        <f t="shared" si="92"/>
        <v>#REF!</v>
      </c>
      <c r="Q257" s="114" t="e">
        <f t="shared" si="92"/>
        <v>#REF!</v>
      </c>
      <c r="R257" s="114" t="e">
        <f t="shared" si="92"/>
        <v>#REF!</v>
      </c>
      <c r="S257" s="114" t="e">
        <f t="shared" si="92"/>
        <v>#REF!</v>
      </c>
      <c r="T257" s="114" t="e">
        <f t="shared" si="92"/>
        <v>#REF!</v>
      </c>
      <c r="U257" s="114" t="e">
        <f t="shared" si="92"/>
        <v>#REF!</v>
      </c>
      <c r="V257" s="114" t="e">
        <f t="shared" si="92"/>
        <v>#REF!</v>
      </c>
      <c r="W257" s="114" t="e">
        <f t="shared" si="92"/>
        <v>#REF!</v>
      </c>
      <c r="X257" s="114" t="e">
        <f t="shared" si="92"/>
        <v>#REF!</v>
      </c>
      <c r="Y257" s="114" t="e">
        <f t="shared" si="92"/>
        <v>#REF!</v>
      </c>
      <c r="Z257" s="114" t="e">
        <f t="shared" si="92"/>
        <v>#REF!</v>
      </c>
      <c r="AA257" s="114" t="e">
        <f t="shared" si="92"/>
        <v>#REF!</v>
      </c>
      <c r="AB257" s="114" t="e">
        <f t="shared" si="92"/>
        <v>#REF!</v>
      </c>
      <c r="AG257" s="490"/>
      <c r="AH257" t="s">
        <v>379</v>
      </c>
      <c r="AI257">
        <v>10</v>
      </c>
      <c r="AK257">
        <v>0.3</v>
      </c>
      <c r="AM257">
        <v>0.4</v>
      </c>
      <c r="AQ257">
        <v>0.3</v>
      </c>
    </row>
    <row r="258" spans="1:46" ht="15" customHeight="1">
      <c r="A258" s="483"/>
      <c r="B258" s="164" t="s">
        <v>278</v>
      </c>
      <c r="C258" s="6" t="s">
        <v>65</v>
      </c>
      <c r="D258" s="114">
        <f t="shared" ref="D258:L258" si="93">SUM(D212,D221,D230,D239,D248)/907185</f>
        <v>0</v>
      </c>
      <c r="E258" s="114">
        <f t="shared" si="93"/>
        <v>-8.4944351515336988E-15</v>
      </c>
      <c r="F258" s="114">
        <f t="shared" si="93"/>
        <v>112.96368083519911</v>
      </c>
      <c r="G258" s="114">
        <f>SUM(G212,G221,G230,G239,G248)/907185</f>
        <v>294.72256052785315</v>
      </c>
      <c r="H258" s="114">
        <f>SUM(H212,H221,H230,H239,H248)/907185</f>
        <v>331.00298518633451</v>
      </c>
      <c r="I258" s="114">
        <f>SUM(I212,I221,I230,I239,I248)/907185</f>
        <v>340.94908325601961</v>
      </c>
      <c r="J258" s="114">
        <f t="shared" si="93"/>
        <v>312.938977101668</v>
      </c>
      <c r="K258" s="114">
        <f t="shared" si="93"/>
        <v>306.21840699457982</v>
      </c>
      <c r="L258" s="114">
        <f t="shared" si="93"/>
        <v>173.08496398737154</v>
      </c>
      <c r="M258" s="114">
        <f t="shared" ref="M258:AB258" si="94">SUM(M212,M221,M230,M239,M248)/907185</f>
        <v>155.33801696284766</v>
      </c>
      <c r="N258" s="114">
        <f t="shared" si="94"/>
        <v>147.49077224669827</v>
      </c>
      <c r="O258" s="114">
        <f t="shared" si="94"/>
        <v>139.40479838945964</v>
      </c>
      <c r="P258" s="114">
        <f t="shared" si="94"/>
        <v>132.98883207246195</v>
      </c>
      <c r="Q258" s="114">
        <f t="shared" si="94"/>
        <v>97.863540470452335</v>
      </c>
      <c r="R258" s="114">
        <f t="shared" si="94"/>
        <v>76.935196985510089</v>
      </c>
      <c r="S258" s="114">
        <f t="shared" si="94"/>
        <v>54.587585965864839</v>
      </c>
      <c r="T258" s="114">
        <f t="shared" si="94"/>
        <v>52.225038536060858</v>
      </c>
      <c r="U258" s="114">
        <f t="shared" si="94"/>
        <v>51.50939989619453</v>
      </c>
      <c r="V258" s="114">
        <f t="shared" si="94"/>
        <v>51.343098586217906</v>
      </c>
      <c r="W258" s="114">
        <f t="shared" si="94"/>
        <v>50.067629682588162</v>
      </c>
      <c r="X258" s="114">
        <f t="shared" si="94"/>
        <v>47.981871947427301</v>
      </c>
      <c r="Y258" s="114">
        <f t="shared" si="94"/>
        <v>47.135379887431945</v>
      </c>
      <c r="Z258" s="114">
        <f t="shared" si="94"/>
        <v>46.038494972978611</v>
      </c>
      <c r="AA258" s="114">
        <f t="shared" si="94"/>
        <v>44.953938119762014</v>
      </c>
      <c r="AB258" s="114">
        <f t="shared" si="94"/>
        <v>43.308825682681466</v>
      </c>
      <c r="AG258" s="490"/>
      <c r="AH258" t="s">
        <v>380</v>
      </c>
      <c r="AI258">
        <v>10</v>
      </c>
      <c r="AK258">
        <v>0.3</v>
      </c>
      <c r="AM258">
        <v>0.4</v>
      </c>
      <c r="AQ258">
        <v>0.3</v>
      </c>
    </row>
    <row r="259" spans="1:46" ht="15" customHeight="1">
      <c r="A259" s="483"/>
      <c r="B259" s="164" t="s">
        <v>347</v>
      </c>
      <c r="C259" s="6" t="s">
        <v>65</v>
      </c>
      <c r="D259" s="114" t="e">
        <f t="shared" ref="D259:L259" si="95">SUM(D213,D222,D231,D240,D249)/907185</f>
        <v>#REF!</v>
      </c>
      <c r="E259" s="114" t="e">
        <f t="shared" si="95"/>
        <v>#REF!</v>
      </c>
      <c r="F259" s="114" t="e">
        <f t="shared" si="95"/>
        <v>#REF!</v>
      </c>
      <c r="G259" s="114" t="e">
        <f t="shared" si="95"/>
        <v>#REF!</v>
      </c>
      <c r="H259" s="114" t="e">
        <f t="shared" si="95"/>
        <v>#REF!</v>
      </c>
      <c r="I259" s="114" t="e">
        <f t="shared" si="95"/>
        <v>#REF!</v>
      </c>
      <c r="J259" s="114" t="e">
        <f t="shared" si="95"/>
        <v>#REF!</v>
      </c>
      <c r="K259" s="114" t="e">
        <f t="shared" si="95"/>
        <v>#REF!</v>
      </c>
      <c r="L259" s="114" t="e">
        <f t="shared" si="95"/>
        <v>#REF!</v>
      </c>
      <c r="M259" s="114" t="e">
        <f t="shared" ref="M259:AB259" si="96">SUM(M213,M222,M231,M240,M249)/907185</f>
        <v>#REF!</v>
      </c>
      <c r="N259" s="114" t="e">
        <f t="shared" si="96"/>
        <v>#REF!</v>
      </c>
      <c r="O259" s="114" t="e">
        <f t="shared" si="96"/>
        <v>#REF!</v>
      </c>
      <c r="P259" s="114" t="e">
        <f t="shared" si="96"/>
        <v>#REF!</v>
      </c>
      <c r="Q259" s="114" t="e">
        <f t="shared" si="96"/>
        <v>#REF!</v>
      </c>
      <c r="R259" s="114" t="e">
        <f t="shared" si="96"/>
        <v>#REF!</v>
      </c>
      <c r="S259" s="114" t="e">
        <f t="shared" si="96"/>
        <v>#REF!</v>
      </c>
      <c r="T259" s="114" t="e">
        <f t="shared" si="96"/>
        <v>#REF!</v>
      </c>
      <c r="U259" s="114" t="e">
        <f t="shared" si="96"/>
        <v>#REF!</v>
      </c>
      <c r="V259" s="114" t="e">
        <f t="shared" si="96"/>
        <v>#REF!</v>
      </c>
      <c r="W259" s="114" t="e">
        <f t="shared" si="96"/>
        <v>#REF!</v>
      </c>
      <c r="X259" s="114" t="e">
        <f t="shared" si="96"/>
        <v>#REF!</v>
      </c>
      <c r="Y259" s="114" t="e">
        <f t="shared" si="96"/>
        <v>#REF!</v>
      </c>
      <c r="Z259" s="114" t="e">
        <f t="shared" si="96"/>
        <v>#REF!</v>
      </c>
      <c r="AA259" s="114" t="e">
        <f t="shared" si="96"/>
        <v>#REF!</v>
      </c>
      <c r="AB259" s="114" t="e">
        <f t="shared" si="96"/>
        <v>#REF!</v>
      </c>
      <c r="AG259" s="490"/>
      <c r="AH259" t="s">
        <v>378</v>
      </c>
      <c r="AI259">
        <v>30</v>
      </c>
      <c r="AM259">
        <v>1</v>
      </c>
    </row>
    <row r="260" spans="1:46" ht="15" customHeight="1" thickBot="1">
      <c r="A260" s="483"/>
      <c r="B260" s="164" t="s">
        <v>348</v>
      </c>
      <c r="C260" s="6" t="s">
        <v>65</v>
      </c>
      <c r="D260" s="114" t="e">
        <f t="shared" ref="D260:L260" si="97">SUM(D214,D223,D232,D241,D250)/907185</f>
        <v>#REF!</v>
      </c>
      <c r="E260" s="114" t="e">
        <f t="shared" si="97"/>
        <v>#REF!</v>
      </c>
      <c r="F260" s="114" t="e">
        <f t="shared" si="97"/>
        <v>#REF!</v>
      </c>
      <c r="G260" s="114" t="e">
        <f t="shared" si="97"/>
        <v>#REF!</v>
      </c>
      <c r="H260" s="114" t="e">
        <f t="shared" si="97"/>
        <v>#REF!</v>
      </c>
      <c r="I260" s="114" t="e">
        <f t="shared" si="97"/>
        <v>#REF!</v>
      </c>
      <c r="J260" s="114" t="e">
        <f t="shared" si="97"/>
        <v>#REF!</v>
      </c>
      <c r="K260" s="114" t="e">
        <f t="shared" si="97"/>
        <v>#REF!</v>
      </c>
      <c r="L260" s="114" t="e">
        <f t="shared" si="97"/>
        <v>#REF!</v>
      </c>
      <c r="M260" s="114" t="e">
        <f t="shared" ref="M260:AB260" si="98">SUM(M214,M223,M232,M241,M250)/907185</f>
        <v>#REF!</v>
      </c>
      <c r="N260" s="114" t="e">
        <f t="shared" si="98"/>
        <v>#REF!</v>
      </c>
      <c r="O260" s="114" t="e">
        <f t="shared" si="98"/>
        <v>#REF!</v>
      </c>
      <c r="P260" s="114" t="e">
        <f t="shared" si="98"/>
        <v>#REF!</v>
      </c>
      <c r="Q260" s="114" t="e">
        <f t="shared" si="98"/>
        <v>#REF!</v>
      </c>
      <c r="R260" s="114" t="e">
        <f t="shared" si="98"/>
        <v>#REF!</v>
      </c>
      <c r="S260" s="114" t="e">
        <f t="shared" si="98"/>
        <v>#REF!</v>
      </c>
      <c r="T260" s="114" t="e">
        <f t="shared" si="98"/>
        <v>#REF!</v>
      </c>
      <c r="U260" s="114" t="e">
        <f t="shared" si="98"/>
        <v>#REF!</v>
      </c>
      <c r="V260" s="114" t="e">
        <f t="shared" si="98"/>
        <v>#REF!</v>
      </c>
      <c r="W260" s="114" t="e">
        <f t="shared" si="98"/>
        <v>#REF!</v>
      </c>
      <c r="X260" s="114" t="e">
        <f t="shared" si="98"/>
        <v>#REF!</v>
      </c>
      <c r="Y260" s="114" t="e">
        <f t="shared" si="98"/>
        <v>#REF!</v>
      </c>
      <c r="Z260" s="114" t="e">
        <f t="shared" si="98"/>
        <v>#REF!</v>
      </c>
      <c r="AA260" s="114" t="e">
        <f t="shared" si="98"/>
        <v>#REF!</v>
      </c>
      <c r="AB260" s="114" t="e">
        <f t="shared" si="98"/>
        <v>#REF!</v>
      </c>
      <c r="AG260" s="491"/>
      <c r="AH260" t="s">
        <v>385</v>
      </c>
      <c r="AI260">
        <v>10</v>
      </c>
      <c r="AM260">
        <v>0.5</v>
      </c>
      <c r="AN260">
        <v>0.5</v>
      </c>
    </row>
    <row r="261" spans="1:46" ht="15" customHeight="1" thickBot="1">
      <c r="A261" s="483"/>
      <c r="B261" s="164" t="s">
        <v>349</v>
      </c>
      <c r="C261" s="6" t="s">
        <v>65</v>
      </c>
      <c r="D261" s="114" t="e">
        <f t="shared" ref="D261:L261" si="99">SUM(D215,D224,D233,D242,D251)/907185</f>
        <v>#REF!</v>
      </c>
      <c r="E261" s="114" t="e">
        <f t="shared" si="99"/>
        <v>#REF!</v>
      </c>
      <c r="F261" s="114" t="e">
        <f t="shared" si="99"/>
        <v>#REF!</v>
      </c>
      <c r="G261" s="114" t="e">
        <f t="shared" si="99"/>
        <v>#REF!</v>
      </c>
      <c r="H261" s="114" t="e">
        <f t="shared" si="99"/>
        <v>#REF!</v>
      </c>
      <c r="I261" s="114" t="e">
        <f t="shared" si="99"/>
        <v>#REF!</v>
      </c>
      <c r="J261" s="114" t="e">
        <f t="shared" si="99"/>
        <v>#REF!</v>
      </c>
      <c r="K261" s="114" t="e">
        <f t="shared" si="99"/>
        <v>#REF!</v>
      </c>
      <c r="L261" s="114" t="e">
        <f t="shared" si="99"/>
        <v>#REF!</v>
      </c>
      <c r="M261" s="114" t="e">
        <f t="shared" ref="M261:AB261" si="100">SUM(M215,M224,M233,M242,M251)/907185</f>
        <v>#REF!</v>
      </c>
      <c r="N261" s="114" t="e">
        <f t="shared" si="100"/>
        <v>#REF!</v>
      </c>
      <c r="O261" s="114" t="e">
        <f t="shared" si="100"/>
        <v>#REF!</v>
      </c>
      <c r="P261" s="114" t="e">
        <f t="shared" si="100"/>
        <v>#REF!</v>
      </c>
      <c r="Q261" s="114" t="e">
        <f t="shared" si="100"/>
        <v>#REF!</v>
      </c>
      <c r="R261" s="114" t="e">
        <f t="shared" si="100"/>
        <v>#REF!</v>
      </c>
      <c r="S261" s="114" t="e">
        <f t="shared" si="100"/>
        <v>#REF!</v>
      </c>
      <c r="T261" s="114" t="e">
        <f t="shared" si="100"/>
        <v>#REF!</v>
      </c>
      <c r="U261" s="114" t="e">
        <f t="shared" si="100"/>
        <v>#REF!</v>
      </c>
      <c r="V261" s="114" t="e">
        <f t="shared" si="100"/>
        <v>#REF!</v>
      </c>
      <c r="W261" s="114" t="e">
        <f t="shared" si="100"/>
        <v>#REF!</v>
      </c>
      <c r="X261" s="114" t="e">
        <f t="shared" si="100"/>
        <v>#REF!</v>
      </c>
      <c r="Y261" s="114" t="e">
        <f t="shared" si="100"/>
        <v>#REF!</v>
      </c>
      <c r="Z261" s="114" t="e">
        <f t="shared" si="100"/>
        <v>#REF!</v>
      </c>
      <c r="AA261" s="114" t="e">
        <f t="shared" si="100"/>
        <v>#REF!</v>
      </c>
      <c r="AB261" s="114" t="e">
        <f t="shared" si="100"/>
        <v>#REF!</v>
      </c>
    </row>
    <row r="262" spans="1:46" ht="15" customHeight="1">
      <c r="A262" s="484"/>
      <c r="B262" s="165" t="s">
        <v>246</v>
      </c>
      <c r="C262" s="19" t="s">
        <v>65</v>
      </c>
      <c r="D262" s="166">
        <f t="shared" ref="D262:L262" si="101">SUM(D216,D225,D234,D243,D252)/907185</f>
        <v>0</v>
      </c>
      <c r="E262" s="166">
        <f t="shared" si="101"/>
        <v>-1.8546935384327943E-16</v>
      </c>
      <c r="F262" s="166">
        <f t="shared" si="101"/>
        <v>2.6291628669914662</v>
      </c>
      <c r="G262" s="166">
        <f t="shared" si="101"/>
        <v>7.0762841373284928</v>
      </c>
      <c r="H262" s="166">
        <f t="shared" si="101"/>
        <v>7.9891766236085866</v>
      </c>
      <c r="I262" s="166">
        <f t="shared" si="101"/>
        <v>8.1905767441659751</v>
      </c>
      <c r="J262" s="166">
        <f t="shared" si="101"/>
        <v>7.4929406277974504</v>
      </c>
      <c r="K262" s="166">
        <f t="shared" si="101"/>
        <v>7.3153306601839967</v>
      </c>
      <c r="L262" s="166">
        <f t="shared" si="101"/>
        <v>3.7864958884852804</v>
      </c>
      <c r="M262" s="166">
        <f t="shared" ref="M262:AB262" si="102">SUM(M216,M225,M234,M243,M252)/907185</f>
        <v>3.4862023927431602</v>
      </c>
      <c r="N262" s="166">
        <f t="shared" si="102"/>
        <v>3.3404272089803895</v>
      </c>
      <c r="O262" s="166">
        <f t="shared" si="102"/>
        <v>3.1930115460401645</v>
      </c>
      <c r="P262" s="166">
        <f t="shared" si="102"/>
        <v>3.0617742938920722</v>
      </c>
      <c r="Q262" s="166">
        <f t="shared" si="102"/>
        <v>2.505494926372783</v>
      </c>
      <c r="R262" s="166">
        <f t="shared" si="102"/>
        <v>2.1437849994326794</v>
      </c>
      <c r="S262" s="166">
        <f t="shared" si="102"/>
        <v>1.7686360296974966</v>
      </c>
      <c r="T262" s="166">
        <f t="shared" si="102"/>
        <v>1.6908362751864976</v>
      </c>
      <c r="U262" s="166">
        <f t="shared" si="102"/>
        <v>1.6981178822075036</v>
      </c>
      <c r="V262" s="166">
        <f t="shared" si="102"/>
        <v>1.7088111028532926</v>
      </c>
      <c r="W262" s="166">
        <f t="shared" si="102"/>
        <v>1.6684102874453757</v>
      </c>
      <c r="X262" s="166">
        <f t="shared" si="102"/>
        <v>1.5929063037455307</v>
      </c>
      <c r="Y262" s="166">
        <f t="shared" si="102"/>
        <v>1.5849898047874951</v>
      </c>
      <c r="Z262" s="166">
        <f t="shared" si="102"/>
        <v>1.5674513005410382</v>
      </c>
      <c r="AA262" s="166">
        <f t="shared" si="102"/>
        <v>1.5500395307028381</v>
      </c>
      <c r="AB262" s="166">
        <f t="shared" si="102"/>
        <v>1.5100817283113694</v>
      </c>
      <c r="AG262" s="489" t="s">
        <v>386</v>
      </c>
      <c r="AH262" t="s">
        <v>359</v>
      </c>
      <c r="AI262">
        <v>30</v>
      </c>
      <c r="AT262" t="s">
        <v>384</v>
      </c>
    </row>
    <row r="263" spans="1:46" ht="15" customHeight="1">
      <c r="A263" s="100"/>
      <c r="AG263" s="490"/>
      <c r="AH263" t="s">
        <v>360</v>
      </c>
      <c r="AI263">
        <v>20</v>
      </c>
    </row>
    <row r="264" spans="1:46">
      <c r="AG264" s="490"/>
      <c r="AH264" t="s">
        <v>361</v>
      </c>
      <c r="AI264">
        <v>10</v>
      </c>
    </row>
    <row r="265" spans="1:46">
      <c r="A265" s="493" t="s">
        <v>382</v>
      </c>
      <c r="B265" s="78" t="s">
        <v>3</v>
      </c>
      <c r="C265" s="117" t="s">
        <v>1</v>
      </c>
      <c r="D265" s="115">
        <v>2022</v>
      </c>
      <c r="E265" s="115">
        <v>2023</v>
      </c>
      <c r="F265" s="115">
        <v>2024</v>
      </c>
      <c r="G265" s="115">
        <v>2025</v>
      </c>
      <c r="H265" s="115">
        <v>2026</v>
      </c>
      <c r="I265" s="115">
        <v>2027</v>
      </c>
      <c r="J265" s="115">
        <v>2028</v>
      </c>
      <c r="K265" s="115">
        <v>2029</v>
      </c>
      <c r="L265" s="116">
        <v>2030</v>
      </c>
      <c r="M265" s="115">
        <v>2031</v>
      </c>
      <c r="N265" s="115">
        <v>2032</v>
      </c>
      <c r="O265" s="115">
        <v>2033</v>
      </c>
      <c r="P265" s="115">
        <v>2034</v>
      </c>
      <c r="Q265" s="115">
        <v>2035</v>
      </c>
      <c r="R265" s="115">
        <v>2036</v>
      </c>
      <c r="S265" s="115">
        <v>2037</v>
      </c>
      <c r="T265" s="115">
        <v>2038</v>
      </c>
      <c r="U265" s="116">
        <v>2039</v>
      </c>
      <c r="V265" s="115">
        <v>2040</v>
      </c>
      <c r="W265" s="115">
        <v>2041</v>
      </c>
      <c r="X265" s="115">
        <v>2042</v>
      </c>
      <c r="Y265" s="115">
        <v>2043</v>
      </c>
      <c r="Z265" s="115">
        <v>2044</v>
      </c>
      <c r="AA265" s="115">
        <v>2045</v>
      </c>
      <c r="AB265" s="115">
        <v>2046</v>
      </c>
      <c r="AG265" s="490"/>
      <c r="AH265" t="s">
        <v>366</v>
      </c>
      <c r="AI265">
        <v>0</v>
      </c>
    </row>
    <row r="266" spans="1:46">
      <c r="A266" s="494"/>
      <c r="B266" s="162" t="s">
        <v>343</v>
      </c>
      <c r="C266" s="133" t="s">
        <v>65</v>
      </c>
      <c r="D266" s="163" t="e">
        <f t="shared" ref="D266:L273" si="103">SUM(AH287,AH297,AH307,AH317,AH327)/907185</f>
        <v>#REF!</v>
      </c>
      <c r="E266" s="163" t="e">
        <f t="shared" si="103"/>
        <v>#REF!</v>
      </c>
      <c r="F266" s="163" t="e">
        <f t="shared" si="103"/>
        <v>#REF!</v>
      </c>
      <c r="G266" s="163" t="e">
        <f t="shared" si="103"/>
        <v>#REF!</v>
      </c>
      <c r="H266" s="163" t="e">
        <f t="shared" si="103"/>
        <v>#REF!</v>
      </c>
      <c r="I266" s="163" t="e">
        <f t="shared" si="103"/>
        <v>#REF!</v>
      </c>
      <c r="J266" s="163" t="e">
        <f t="shared" si="103"/>
        <v>#REF!</v>
      </c>
      <c r="K266" s="163" t="e">
        <f t="shared" si="103"/>
        <v>#REF!</v>
      </c>
      <c r="L266" s="163" t="e">
        <f t="shared" si="103"/>
        <v>#REF!</v>
      </c>
      <c r="M266" s="163" t="e">
        <f t="shared" ref="M266:AB268" si="104">SUM(AT287,AT297,AT307,AT317,AT327)/907185</f>
        <v>#REF!</v>
      </c>
      <c r="N266" s="163" t="e">
        <f t="shared" si="104"/>
        <v>#REF!</v>
      </c>
      <c r="O266" s="163" t="e">
        <f t="shared" si="104"/>
        <v>#REF!</v>
      </c>
      <c r="P266" s="163" t="e">
        <f t="shared" si="104"/>
        <v>#REF!</v>
      </c>
      <c r="Q266" s="163" t="e">
        <f t="shared" si="104"/>
        <v>#REF!</v>
      </c>
      <c r="R266" s="163" t="e">
        <f t="shared" si="104"/>
        <v>#REF!</v>
      </c>
      <c r="S266" s="163" t="e">
        <f t="shared" si="104"/>
        <v>#REF!</v>
      </c>
      <c r="T266" s="163" t="e">
        <f t="shared" si="104"/>
        <v>#REF!</v>
      </c>
      <c r="U266" s="163" t="e">
        <f t="shared" si="104"/>
        <v>#REF!</v>
      </c>
      <c r="V266" s="163" t="e">
        <f t="shared" si="104"/>
        <v>#REF!</v>
      </c>
      <c r="W266" s="163" t="e">
        <f t="shared" si="104"/>
        <v>#REF!</v>
      </c>
      <c r="X266" s="163" t="e">
        <f t="shared" si="104"/>
        <v>#REF!</v>
      </c>
      <c r="Y266" s="163" t="e">
        <f t="shared" si="104"/>
        <v>#REF!</v>
      </c>
      <c r="Z266" s="163">
        <f t="shared" si="104"/>
        <v>0</v>
      </c>
      <c r="AA266" s="163">
        <f t="shared" si="104"/>
        <v>0</v>
      </c>
      <c r="AB266" s="163">
        <f t="shared" si="104"/>
        <v>0</v>
      </c>
      <c r="AG266" s="490"/>
      <c r="AH266" t="s">
        <v>365</v>
      </c>
      <c r="AI266">
        <v>0</v>
      </c>
    </row>
    <row r="267" spans="1:46">
      <c r="A267" s="494"/>
      <c r="B267" s="164" t="s">
        <v>345</v>
      </c>
      <c r="C267" s="6" t="s">
        <v>65</v>
      </c>
      <c r="D267" s="163" t="e">
        <f t="shared" si="103"/>
        <v>#REF!</v>
      </c>
      <c r="E267" s="163" t="e">
        <f t="shared" si="103"/>
        <v>#REF!</v>
      </c>
      <c r="F267" s="163" t="e">
        <f t="shared" si="103"/>
        <v>#REF!</v>
      </c>
      <c r="G267" s="163" t="e">
        <f t="shared" si="103"/>
        <v>#REF!</v>
      </c>
      <c r="H267" s="163" t="e">
        <f t="shared" si="103"/>
        <v>#REF!</v>
      </c>
      <c r="I267" s="163" t="e">
        <f t="shared" si="103"/>
        <v>#REF!</v>
      </c>
      <c r="J267" s="163" t="e">
        <f t="shared" si="103"/>
        <v>#REF!</v>
      </c>
      <c r="K267" s="163" t="e">
        <f t="shared" si="103"/>
        <v>#REF!</v>
      </c>
      <c r="L267" s="163" t="e">
        <f t="shared" si="103"/>
        <v>#REF!</v>
      </c>
      <c r="M267" s="163" t="e">
        <f t="shared" si="104"/>
        <v>#REF!</v>
      </c>
      <c r="N267" s="163" t="e">
        <f t="shared" si="104"/>
        <v>#REF!</v>
      </c>
      <c r="O267" s="163" t="e">
        <f t="shared" si="104"/>
        <v>#REF!</v>
      </c>
      <c r="P267" s="163" t="e">
        <f t="shared" si="104"/>
        <v>#REF!</v>
      </c>
      <c r="Q267" s="163" t="e">
        <f t="shared" si="104"/>
        <v>#REF!</v>
      </c>
      <c r="R267" s="163" t="e">
        <f t="shared" si="104"/>
        <v>#REF!</v>
      </c>
      <c r="S267" s="163" t="e">
        <f t="shared" si="104"/>
        <v>#REF!</v>
      </c>
      <c r="T267" s="163" t="e">
        <f t="shared" si="104"/>
        <v>#REF!</v>
      </c>
      <c r="U267" s="163" t="e">
        <f t="shared" si="104"/>
        <v>#REF!</v>
      </c>
      <c r="V267" s="163" t="e">
        <f t="shared" si="104"/>
        <v>#REF!</v>
      </c>
      <c r="W267" s="163" t="e">
        <f t="shared" si="104"/>
        <v>#REF!</v>
      </c>
      <c r="X267" s="163" t="e">
        <f t="shared" si="104"/>
        <v>#REF!</v>
      </c>
      <c r="Y267" s="163" t="e">
        <f t="shared" si="104"/>
        <v>#REF!</v>
      </c>
      <c r="Z267" s="163">
        <f t="shared" si="104"/>
        <v>0</v>
      </c>
      <c r="AA267" s="163">
        <f t="shared" si="104"/>
        <v>0</v>
      </c>
      <c r="AB267" s="163">
        <f t="shared" si="104"/>
        <v>0</v>
      </c>
      <c r="AG267" s="490"/>
      <c r="AH267" t="s">
        <v>387</v>
      </c>
      <c r="AI267">
        <v>5</v>
      </c>
    </row>
    <row r="268" spans="1:46">
      <c r="A268" s="494"/>
      <c r="B268" s="164" t="s">
        <v>346</v>
      </c>
      <c r="C268" s="6" t="s">
        <v>65</v>
      </c>
      <c r="D268" s="163" t="e">
        <f t="shared" si="103"/>
        <v>#REF!</v>
      </c>
      <c r="E268" s="163" t="e">
        <f t="shared" si="103"/>
        <v>#REF!</v>
      </c>
      <c r="F268" s="163" t="e">
        <f t="shared" si="103"/>
        <v>#REF!</v>
      </c>
      <c r="G268" s="163" t="e">
        <f t="shared" si="103"/>
        <v>#REF!</v>
      </c>
      <c r="H268" s="163" t="e">
        <f t="shared" si="103"/>
        <v>#REF!</v>
      </c>
      <c r="I268" s="163" t="e">
        <f t="shared" si="103"/>
        <v>#REF!</v>
      </c>
      <c r="J268" s="163" t="e">
        <f t="shared" si="103"/>
        <v>#REF!</v>
      </c>
      <c r="K268" s="163" t="e">
        <f t="shared" si="103"/>
        <v>#REF!</v>
      </c>
      <c r="L268" s="163" t="e">
        <f t="shared" si="103"/>
        <v>#REF!</v>
      </c>
      <c r="M268" s="163" t="e">
        <f t="shared" si="104"/>
        <v>#REF!</v>
      </c>
      <c r="N268" s="163" t="e">
        <f t="shared" si="104"/>
        <v>#REF!</v>
      </c>
      <c r="O268" s="163" t="e">
        <f t="shared" si="104"/>
        <v>#REF!</v>
      </c>
      <c r="P268" s="163" t="e">
        <f t="shared" si="104"/>
        <v>#REF!</v>
      </c>
      <c r="Q268" s="163" t="e">
        <f t="shared" si="104"/>
        <v>#REF!</v>
      </c>
      <c r="R268" s="163" t="e">
        <f t="shared" si="104"/>
        <v>#REF!</v>
      </c>
      <c r="S268" s="163" t="e">
        <f t="shared" si="104"/>
        <v>#REF!</v>
      </c>
      <c r="T268" s="163" t="e">
        <f t="shared" si="104"/>
        <v>#REF!</v>
      </c>
      <c r="U268" s="163" t="e">
        <f t="shared" si="104"/>
        <v>#REF!</v>
      </c>
      <c r="V268" s="163" t="e">
        <f t="shared" si="104"/>
        <v>#REF!</v>
      </c>
      <c r="W268" s="163" t="e">
        <f t="shared" si="104"/>
        <v>#REF!</v>
      </c>
      <c r="X268" s="163" t="e">
        <f t="shared" si="104"/>
        <v>#REF!</v>
      </c>
      <c r="Y268" s="163" t="e">
        <f t="shared" si="104"/>
        <v>#REF!</v>
      </c>
      <c r="Z268" s="163">
        <f t="shared" si="104"/>
        <v>0</v>
      </c>
      <c r="AA268" s="163">
        <f t="shared" si="104"/>
        <v>0</v>
      </c>
      <c r="AB268" s="163">
        <f t="shared" si="104"/>
        <v>0</v>
      </c>
      <c r="AG268" s="490"/>
      <c r="AH268" t="s">
        <v>388</v>
      </c>
      <c r="AI268">
        <v>30</v>
      </c>
    </row>
    <row r="269" spans="1:46" ht="15.75" thickBot="1">
      <c r="A269" s="494"/>
      <c r="B269" s="164" t="s">
        <v>278</v>
      </c>
      <c r="C269" s="6" t="s">
        <v>65</v>
      </c>
      <c r="D269" s="163">
        <f t="shared" si="103"/>
        <v>0</v>
      </c>
      <c r="E269" s="163">
        <f t="shared" si="103"/>
        <v>-8.4944351515336988E-15</v>
      </c>
      <c r="F269" s="163">
        <f t="shared" si="103"/>
        <v>112.96368083519911</v>
      </c>
      <c r="G269" s="163">
        <f>SUM(AK290,AK300,AK310,AK320,AK330)/907185</f>
        <v>294.72256052785315</v>
      </c>
      <c r="H269" s="163">
        <f t="shared" si="103"/>
        <v>331.00298518633451</v>
      </c>
      <c r="I269" s="163">
        <f t="shared" si="103"/>
        <v>340.94908325601961</v>
      </c>
      <c r="J269" s="163">
        <f t="shared" si="103"/>
        <v>312.938977101668</v>
      </c>
      <c r="K269" s="163">
        <f t="shared" si="103"/>
        <v>306.21840699457982</v>
      </c>
      <c r="L269" s="163">
        <f t="shared" si="103"/>
        <v>173.08496398737154</v>
      </c>
      <c r="M269" s="163">
        <f t="shared" ref="M269:AB269" si="105">SUM(AQ290,AQ300,AQ310,AQ320,AQ330)/907185</f>
        <v>155.33801696284763</v>
      </c>
      <c r="N269" s="163">
        <f t="shared" si="105"/>
        <v>147.49077224669824</v>
      </c>
      <c r="O269" s="163">
        <f t="shared" si="105"/>
        <v>139.40479838945964</v>
      </c>
      <c r="P269" s="163">
        <f t="shared" si="105"/>
        <v>132.98883207246197</v>
      </c>
      <c r="Q269" s="163">
        <f t="shared" si="105"/>
        <v>97.863540470452335</v>
      </c>
      <c r="R269" s="163">
        <f t="shared" si="105"/>
        <v>76.935196985510075</v>
      </c>
      <c r="S269" s="163">
        <f t="shared" si="105"/>
        <v>54.587585965864832</v>
      </c>
      <c r="T269" s="163">
        <f t="shared" si="105"/>
        <v>52.225038536060858</v>
      </c>
      <c r="U269" s="163">
        <f t="shared" si="105"/>
        <v>51.509399896194537</v>
      </c>
      <c r="V269" s="163">
        <f t="shared" si="105"/>
        <v>51.343098586217906</v>
      </c>
      <c r="W269" s="163">
        <f t="shared" si="105"/>
        <v>50.067629682588155</v>
      </c>
      <c r="X269" s="163">
        <f t="shared" si="105"/>
        <v>47.981871947427301</v>
      </c>
      <c r="Y269" s="163">
        <f t="shared" si="105"/>
        <v>47.135379887431945</v>
      </c>
      <c r="Z269" s="163">
        <f t="shared" si="105"/>
        <v>46.038494972978611</v>
      </c>
      <c r="AA269" s="163">
        <f t="shared" si="105"/>
        <v>44.953938119762007</v>
      </c>
      <c r="AB269" s="163">
        <f t="shared" si="105"/>
        <v>43.308825682681466</v>
      </c>
      <c r="AG269" s="491"/>
      <c r="AH269" t="s">
        <v>389</v>
      </c>
      <c r="AI269">
        <v>5</v>
      </c>
    </row>
    <row r="270" spans="1:46" ht="15.75" thickBot="1">
      <c r="A270" s="494"/>
      <c r="B270" s="164" t="s">
        <v>347</v>
      </c>
      <c r="C270" s="6" t="s">
        <v>65</v>
      </c>
      <c r="D270" s="163" t="e">
        <f t="shared" si="103"/>
        <v>#REF!</v>
      </c>
      <c r="E270" s="163" t="e">
        <f t="shared" si="103"/>
        <v>#REF!</v>
      </c>
      <c r="F270" s="163" t="e">
        <f t="shared" si="103"/>
        <v>#REF!</v>
      </c>
      <c r="G270" s="163" t="e">
        <f t="shared" si="103"/>
        <v>#REF!</v>
      </c>
      <c r="H270" s="163" t="e">
        <f t="shared" si="103"/>
        <v>#REF!</v>
      </c>
      <c r="I270" s="163" t="e">
        <f t="shared" si="103"/>
        <v>#REF!</v>
      </c>
      <c r="J270" s="163" t="e">
        <f t="shared" si="103"/>
        <v>#REF!</v>
      </c>
      <c r="K270" s="163" t="e">
        <f t="shared" si="103"/>
        <v>#REF!</v>
      </c>
      <c r="L270" s="163" t="e">
        <f t="shared" si="103"/>
        <v>#REF!</v>
      </c>
      <c r="M270" s="163" t="e">
        <f t="shared" ref="M270:AB272" si="106">SUM(AT291,AT301,AT311,AT321,AT331)/907185</f>
        <v>#REF!</v>
      </c>
      <c r="N270" s="163" t="e">
        <f t="shared" si="106"/>
        <v>#REF!</v>
      </c>
      <c r="O270" s="163" t="e">
        <f t="shared" si="106"/>
        <v>#REF!</v>
      </c>
      <c r="P270" s="163" t="e">
        <f t="shared" si="106"/>
        <v>#REF!</v>
      </c>
      <c r="Q270" s="163" t="e">
        <f t="shared" si="106"/>
        <v>#REF!</v>
      </c>
      <c r="R270" s="163" t="e">
        <f t="shared" si="106"/>
        <v>#REF!</v>
      </c>
      <c r="S270" s="163" t="e">
        <f t="shared" si="106"/>
        <v>#REF!</v>
      </c>
      <c r="T270" s="163" t="e">
        <f t="shared" si="106"/>
        <v>#REF!</v>
      </c>
      <c r="U270" s="163" t="e">
        <f t="shared" si="106"/>
        <v>#REF!</v>
      </c>
      <c r="V270" s="163" t="e">
        <f t="shared" si="106"/>
        <v>#REF!</v>
      </c>
      <c r="W270" s="163" t="e">
        <f t="shared" si="106"/>
        <v>#REF!</v>
      </c>
      <c r="X270" s="163" t="e">
        <f t="shared" si="106"/>
        <v>#REF!</v>
      </c>
      <c r="Y270" s="163" t="e">
        <f t="shared" si="106"/>
        <v>#REF!</v>
      </c>
      <c r="Z270" s="163">
        <f t="shared" si="106"/>
        <v>0</v>
      </c>
      <c r="AA270" s="163">
        <f t="shared" si="106"/>
        <v>0</v>
      </c>
      <c r="AB270" s="163">
        <f t="shared" si="106"/>
        <v>0</v>
      </c>
    </row>
    <row r="271" spans="1:46">
      <c r="A271" s="494"/>
      <c r="B271" s="164" t="s">
        <v>348</v>
      </c>
      <c r="C271" s="6" t="s">
        <v>65</v>
      </c>
      <c r="D271" s="163" t="e">
        <f t="shared" si="103"/>
        <v>#REF!</v>
      </c>
      <c r="E271" s="163" t="e">
        <f t="shared" si="103"/>
        <v>#REF!</v>
      </c>
      <c r="F271" s="163" t="e">
        <f t="shared" si="103"/>
        <v>#REF!</v>
      </c>
      <c r="G271" s="163" t="e">
        <f t="shared" si="103"/>
        <v>#REF!</v>
      </c>
      <c r="H271" s="163" t="e">
        <f t="shared" si="103"/>
        <v>#REF!</v>
      </c>
      <c r="I271" s="163" t="e">
        <f t="shared" si="103"/>
        <v>#REF!</v>
      </c>
      <c r="J271" s="163" t="e">
        <f t="shared" si="103"/>
        <v>#REF!</v>
      </c>
      <c r="K271" s="163" t="e">
        <f t="shared" si="103"/>
        <v>#REF!</v>
      </c>
      <c r="L271" s="163" t="e">
        <f t="shared" si="103"/>
        <v>#REF!</v>
      </c>
      <c r="M271" s="163" t="e">
        <f t="shared" si="106"/>
        <v>#REF!</v>
      </c>
      <c r="N271" s="163" t="e">
        <f t="shared" si="106"/>
        <v>#REF!</v>
      </c>
      <c r="O271" s="163" t="e">
        <f t="shared" si="106"/>
        <v>#REF!</v>
      </c>
      <c r="P271" s="163" t="e">
        <f t="shared" si="106"/>
        <v>#REF!</v>
      </c>
      <c r="Q271" s="163" t="e">
        <f t="shared" si="106"/>
        <v>#REF!</v>
      </c>
      <c r="R271" s="163" t="e">
        <f t="shared" si="106"/>
        <v>#REF!</v>
      </c>
      <c r="S271" s="163" t="e">
        <f t="shared" si="106"/>
        <v>#REF!</v>
      </c>
      <c r="T271" s="163" t="e">
        <f t="shared" si="106"/>
        <v>#REF!</v>
      </c>
      <c r="U271" s="163" t="e">
        <f t="shared" si="106"/>
        <v>#REF!</v>
      </c>
      <c r="V271" s="163" t="e">
        <f t="shared" si="106"/>
        <v>#REF!</v>
      </c>
      <c r="W271" s="163" t="e">
        <f t="shared" si="106"/>
        <v>#REF!</v>
      </c>
      <c r="X271" s="163" t="e">
        <f t="shared" si="106"/>
        <v>#REF!</v>
      </c>
      <c r="Y271" s="163" t="e">
        <f t="shared" si="106"/>
        <v>#REF!</v>
      </c>
      <c r="Z271" s="163">
        <f t="shared" si="106"/>
        <v>0</v>
      </c>
      <c r="AA271" s="163">
        <f t="shared" si="106"/>
        <v>0</v>
      </c>
      <c r="AB271" s="163">
        <f t="shared" si="106"/>
        <v>0</v>
      </c>
      <c r="AG271" s="489" t="s">
        <v>390</v>
      </c>
      <c r="AH271" t="s">
        <v>359</v>
      </c>
      <c r="AI271">
        <v>30</v>
      </c>
      <c r="AT271" t="s">
        <v>391</v>
      </c>
    </row>
    <row r="272" spans="1:46">
      <c r="A272" s="494"/>
      <c r="B272" s="164" t="s">
        <v>349</v>
      </c>
      <c r="C272" s="6" t="s">
        <v>65</v>
      </c>
      <c r="D272" s="163" t="e">
        <f t="shared" si="103"/>
        <v>#REF!</v>
      </c>
      <c r="E272" s="163" t="e">
        <f t="shared" si="103"/>
        <v>#REF!</v>
      </c>
      <c r="F272" s="163" t="e">
        <f t="shared" si="103"/>
        <v>#REF!</v>
      </c>
      <c r="G272" s="163" t="e">
        <f t="shared" si="103"/>
        <v>#REF!</v>
      </c>
      <c r="H272" s="163" t="e">
        <f t="shared" si="103"/>
        <v>#REF!</v>
      </c>
      <c r="I272" s="163" t="e">
        <f t="shared" si="103"/>
        <v>#REF!</v>
      </c>
      <c r="J272" s="163" t="e">
        <f t="shared" si="103"/>
        <v>#REF!</v>
      </c>
      <c r="K272" s="163" t="e">
        <f t="shared" si="103"/>
        <v>#REF!</v>
      </c>
      <c r="L272" s="163" t="e">
        <f t="shared" si="103"/>
        <v>#REF!</v>
      </c>
      <c r="M272" s="163" t="e">
        <f t="shared" si="106"/>
        <v>#REF!</v>
      </c>
      <c r="N272" s="163" t="e">
        <f t="shared" si="106"/>
        <v>#REF!</v>
      </c>
      <c r="O272" s="163" t="e">
        <f t="shared" si="106"/>
        <v>#REF!</v>
      </c>
      <c r="P272" s="163" t="e">
        <f t="shared" si="106"/>
        <v>#REF!</v>
      </c>
      <c r="Q272" s="163" t="e">
        <f t="shared" si="106"/>
        <v>#REF!</v>
      </c>
      <c r="R272" s="163" t="e">
        <f t="shared" si="106"/>
        <v>#REF!</v>
      </c>
      <c r="S272" s="163" t="e">
        <f t="shared" si="106"/>
        <v>#REF!</v>
      </c>
      <c r="T272" s="163" t="e">
        <f t="shared" si="106"/>
        <v>#REF!</v>
      </c>
      <c r="U272" s="163" t="e">
        <f t="shared" si="106"/>
        <v>#REF!</v>
      </c>
      <c r="V272" s="163" t="e">
        <f t="shared" si="106"/>
        <v>#REF!</v>
      </c>
      <c r="W272" s="163" t="e">
        <f t="shared" si="106"/>
        <v>#REF!</v>
      </c>
      <c r="X272" s="163" t="e">
        <f t="shared" si="106"/>
        <v>#REF!</v>
      </c>
      <c r="Y272" s="163" t="e">
        <f t="shared" si="106"/>
        <v>#REF!</v>
      </c>
      <c r="Z272" s="163">
        <f t="shared" si="106"/>
        <v>0</v>
      </c>
      <c r="AA272" s="163">
        <f t="shared" si="106"/>
        <v>0</v>
      </c>
      <c r="AB272" s="163">
        <f t="shared" si="106"/>
        <v>0</v>
      </c>
      <c r="AG272" s="490"/>
      <c r="AH272" t="s">
        <v>360</v>
      </c>
      <c r="AI272">
        <v>25</v>
      </c>
    </row>
    <row r="273" spans="1:58">
      <c r="A273" s="495"/>
      <c r="B273" s="165" t="s">
        <v>246</v>
      </c>
      <c r="C273" s="19" t="s">
        <v>65</v>
      </c>
      <c r="D273" s="163">
        <f t="shared" si="103"/>
        <v>0</v>
      </c>
      <c r="E273" s="163">
        <f t="shared" si="103"/>
        <v>-1.8546935384327943E-16</v>
      </c>
      <c r="F273" s="163">
        <f t="shared" si="103"/>
        <v>2.6291628669914657</v>
      </c>
      <c r="G273" s="163">
        <f t="shared" si="103"/>
        <v>7.0762841373284928</v>
      </c>
      <c r="H273" s="163">
        <f t="shared" si="103"/>
        <v>7.9891766236085866</v>
      </c>
      <c r="I273" s="163">
        <f t="shared" si="103"/>
        <v>8.1905767441659769</v>
      </c>
      <c r="J273" s="163">
        <f t="shared" si="103"/>
        <v>7.4929406277974513</v>
      </c>
      <c r="K273" s="163">
        <f t="shared" si="103"/>
        <v>7.3153306601839967</v>
      </c>
      <c r="L273" s="163">
        <f t="shared" si="103"/>
        <v>3.7864958884852804</v>
      </c>
      <c r="M273" s="163">
        <f t="shared" ref="M273:AB273" si="107">SUM(AQ294,AQ304,AQ314,AQ324,AQ334)/907185</f>
        <v>3.4862023927431602</v>
      </c>
      <c r="N273" s="163">
        <f t="shared" si="107"/>
        <v>3.340427208980389</v>
      </c>
      <c r="O273" s="163">
        <f t="shared" si="107"/>
        <v>3.1930115460401645</v>
      </c>
      <c r="P273" s="163">
        <f t="shared" si="107"/>
        <v>3.0617742938920727</v>
      </c>
      <c r="Q273" s="163">
        <f t="shared" si="107"/>
        <v>2.505494926372783</v>
      </c>
      <c r="R273" s="163">
        <f t="shared" si="107"/>
        <v>2.1437849994326794</v>
      </c>
      <c r="S273" s="163">
        <f t="shared" si="107"/>
        <v>1.7686360296974966</v>
      </c>
      <c r="T273" s="163">
        <f t="shared" si="107"/>
        <v>1.6908362751864972</v>
      </c>
      <c r="U273" s="163">
        <f t="shared" si="107"/>
        <v>1.6981178822075036</v>
      </c>
      <c r="V273" s="163">
        <f t="shared" si="107"/>
        <v>1.7088111028532926</v>
      </c>
      <c r="W273" s="163">
        <f t="shared" si="107"/>
        <v>1.6684102874453755</v>
      </c>
      <c r="X273" s="163">
        <f t="shared" si="107"/>
        <v>1.5929063037455307</v>
      </c>
      <c r="Y273" s="163">
        <f t="shared" si="107"/>
        <v>1.5849898047874951</v>
      </c>
      <c r="Z273" s="163">
        <f t="shared" si="107"/>
        <v>1.5674513005410378</v>
      </c>
      <c r="AA273" s="163">
        <f t="shared" si="107"/>
        <v>1.5500395307028381</v>
      </c>
      <c r="AB273" s="163">
        <f t="shared" si="107"/>
        <v>1.5100817283113694</v>
      </c>
      <c r="AG273" s="490"/>
      <c r="AH273" t="s">
        <v>361</v>
      </c>
      <c r="AI273">
        <v>10</v>
      </c>
    </row>
    <row r="274" spans="1:58">
      <c r="D274" s="60"/>
      <c r="E274" s="60"/>
      <c r="F274" s="60"/>
      <c r="G274" s="60"/>
      <c r="H274" s="60"/>
      <c r="M274" s="60"/>
      <c r="N274" s="60"/>
      <c r="O274" s="60"/>
      <c r="P274" s="60"/>
      <c r="Q274" s="60"/>
      <c r="V274" s="60"/>
      <c r="W274" s="60"/>
      <c r="X274" s="60"/>
      <c r="Y274" s="60"/>
      <c r="Z274" s="60"/>
      <c r="AG274" s="490"/>
      <c r="AH274" t="s">
        <v>366</v>
      </c>
      <c r="AI274">
        <v>0</v>
      </c>
    </row>
    <row r="275" spans="1:58">
      <c r="D275" s="60"/>
      <c r="E275" s="60"/>
      <c r="F275" s="60"/>
      <c r="G275" s="60"/>
      <c r="H275" s="60"/>
      <c r="M275" s="60"/>
      <c r="N275" s="60"/>
      <c r="O275" s="60"/>
      <c r="P275" s="60"/>
      <c r="Q275" s="60"/>
      <c r="V275" s="60"/>
      <c r="W275" s="60"/>
      <c r="X275" s="60"/>
      <c r="Y275" s="60"/>
      <c r="Z275" s="60"/>
      <c r="AG275" s="490"/>
      <c r="AH275" t="s">
        <v>365</v>
      </c>
      <c r="AI275">
        <v>0</v>
      </c>
    </row>
    <row r="276" spans="1:58">
      <c r="A276" s="496" t="s">
        <v>382</v>
      </c>
      <c r="B276" s="78" t="s">
        <v>3</v>
      </c>
      <c r="C276" s="117" t="s">
        <v>1</v>
      </c>
      <c r="D276" s="115">
        <v>2022</v>
      </c>
      <c r="E276" s="115">
        <v>2023</v>
      </c>
      <c r="F276" s="115">
        <v>2024</v>
      </c>
      <c r="G276" s="115">
        <v>2025</v>
      </c>
      <c r="H276" s="115">
        <v>2026</v>
      </c>
      <c r="I276" s="115">
        <v>2027</v>
      </c>
      <c r="J276" s="115">
        <v>2028</v>
      </c>
      <c r="K276" s="115">
        <v>2029</v>
      </c>
      <c r="L276" s="116">
        <v>2030</v>
      </c>
      <c r="M276" s="115">
        <v>2031</v>
      </c>
      <c r="N276" s="115">
        <v>2032</v>
      </c>
      <c r="O276" s="115">
        <v>2033</v>
      </c>
      <c r="P276" s="115">
        <v>2034</v>
      </c>
      <c r="Q276" s="115">
        <v>2035</v>
      </c>
      <c r="R276" s="115">
        <v>2036</v>
      </c>
      <c r="S276" s="115">
        <v>2037</v>
      </c>
      <c r="T276" s="115">
        <v>2038</v>
      </c>
      <c r="U276" s="116">
        <v>2039</v>
      </c>
      <c r="V276" s="115">
        <v>2040</v>
      </c>
      <c r="W276" s="115">
        <v>2041</v>
      </c>
      <c r="X276" s="115">
        <v>2042</v>
      </c>
      <c r="Y276" s="115">
        <v>2043</v>
      </c>
      <c r="Z276" s="115">
        <v>2044</v>
      </c>
      <c r="AA276" s="115">
        <v>2045</v>
      </c>
      <c r="AB276" s="115">
        <v>2046</v>
      </c>
      <c r="AG276" s="490"/>
      <c r="AH276" t="s">
        <v>387</v>
      </c>
      <c r="AI276">
        <v>15</v>
      </c>
    </row>
    <row r="277" spans="1:58" ht="15.75" thickBot="1">
      <c r="A277" s="497"/>
      <c r="B277" s="162" t="s">
        <v>343</v>
      </c>
      <c r="C277" s="133" t="s">
        <v>65</v>
      </c>
      <c r="D277" s="163" t="e">
        <f t="shared" ref="D277:M284" si="108">SUM(AH337,AH346,AH355,AH364,AH373,AH382,AH391,AH400,AH409,AH418)/907185</f>
        <v>#REF!</v>
      </c>
      <c r="E277" s="163" t="e">
        <f t="shared" si="108"/>
        <v>#REF!</v>
      </c>
      <c r="F277" s="163" t="e">
        <f t="shared" si="108"/>
        <v>#REF!</v>
      </c>
      <c r="G277" s="163" t="e">
        <f t="shared" si="108"/>
        <v>#REF!</v>
      </c>
      <c r="H277" s="163" t="e">
        <f t="shared" si="108"/>
        <v>#REF!</v>
      </c>
      <c r="I277" s="163" t="e">
        <f t="shared" si="108"/>
        <v>#REF!</v>
      </c>
      <c r="J277" s="163" t="e">
        <f t="shared" si="108"/>
        <v>#REF!</v>
      </c>
      <c r="K277" s="163" t="e">
        <f t="shared" si="108"/>
        <v>#REF!</v>
      </c>
      <c r="L277" s="163" t="e">
        <f t="shared" si="108"/>
        <v>#REF!</v>
      </c>
      <c r="M277" s="163" t="e">
        <f t="shared" si="108"/>
        <v>#REF!</v>
      </c>
      <c r="N277" s="163" t="e">
        <f t="shared" ref="N277:W284" si="109">SUM(AR337,AR346,AR355,AR364,AR373,AR382,AR391,AR400,AR409,AR418)/907185</f>
        <v>#REF!</v>
      </c>
      <c r="O277" s="163" t="e">
        <f t="shared" si="109"/>
        <v>#REF!</v>
      </c>
      <c r="P277" s="163" t="e">
        <f t="shared" si="109"/>
        <v>#REF!</v>
      </c>
      <c r="Q277" s="163" t="e">
        <f t="shared" si="109"/>
        <v>#REF!</v>
      </c>
      <c r="R277" s="163" t="e">
        <f t="shared" si="109"/>
        <v>#REF!</v>
      </c>
      <c r="S277" s="163" t="e">
        <f t="shared" si="109"/>
        <v>#REF!</v>
      </c>
      <c r="T277" s="163" t="e">
        <f t="shared" si="109"/>
        <v>#REF!</v>
      </c>
      <c r="U277" s="163" t="e">
        <f t="shared" si="109"/>
        <v>#REF!</v>
      </c>
      <c r="V277" s="163" t="e">
        <f t="shared" si="109"/>
        <v>#REF!</v>
      </c>
      <c r="W277" s="163" t="e">
        <f t="shared" si="109"/>
        <v>#REF!</v>
      </c>
      <c r="X277" s="163" t="e">
        <f t="shared" ref="X277:AB284" si="110">SUM(BB337,BB346,BB355,BB364,BB373,BB382,BB391,BB400,BB409,BB418)/907185</f>
        <v>#REF!</v>
      </c>
      <c r="Y277" s="163" t="e">
        <f t="shared" si="110"/>
        <v>#REF!</v>
      </c>
      <c r="Z277" s="163" t="e">
        <f t="shared" si="110"/>
        <v>#REF!</v>
      </c>
      <c r="AA277" s="163" t="e">
        <f t="shared" si="110"/>
        <v>#REF!</v>
      </c>
      <c r="AB277" s="163" t="e">
        <f t="shared" si="110"/>
        <v>#REF!</v>
      </c>
      <c r="AG277" s="491"/>
      <c r="AH277" t="s">
        <v>388</v>
      </c>
      <c r="AI277">
        <v>20</v>
      </c>
    </row>
    <row r="278" spans="1:58">
      <c r="A278" s="497"/>
      <c r="B278" s="164" t="s">
        <v>345</v>
      </c>
      <c r="C278" s="6" t="s">
        <v>65</v>
      </c>
      <c r="D278" s="163" t="e">
        <f t="shared" si="108"/>
        <v>#REF!</v>
      </c>
      <c r="E278" s="163" t="e">
        <f t="shared" si="108"/>
        <v>#REF!</v>
      </c>
      <c r="F278" s="163" t="e">
        <f t="shared" si="108"/>
        <v>#REF!</v>
      </c>
      <c r="G278" s="163" t="e">
        <f t="shared" si="108"/>
        <v>#REF!</v>
      </c>
      <c r="H278" s="163" t="e">
        <f t="shared" si="108"/>
        <v>#REF!</v>
      </c>
      <c r="I278" s="163" t="e">
        <f t="shared" si="108"/>
        <v>#REF!</v>
      </c>
      <c r="J278" s="163" t="e">
        <f t="shared" si="108"/>
        <v>#REF!</v>
      </c>
      <c r="K278" s="163" t="e">
        <f t="shared" si="108"/>
        <v>#REF!</v>
      </c>
      <c r="L278" s="163" t="e">
        <f t="shared" si="108"/>
        <v>#REF!</v>
      </c>
      <c r="M278" s="163" t="e">
        <f t="shared" si="108"/>
        <v>#REF!</v>
      </c>
      <c r="N278" s="163" t="e">
        <f t="shared" si="109"/>
        <v>#REF!</v>
      </c>
      <c r="O278" s="163" t="e">
        <f t="shared" si="109"/>
        <v>#REF!</v>
      </c>
      <c r="P278" s="163" t="e">
        <f t="shared" si="109"/>
        <v>#REF!</v>
      </c>
      <c r="Q278" s="163" t="e">
        <f t="shared" si="109"/>
        <v>#REF!</v>
      </c>
      <c r="R278" s="163" t="e">
        <f t="shared" si="109"/>
        <v>#REF!</v>
      </c>
      <c r="S278" s="163" t="e">
        <f t="shared" si="109"/>
        <v>#REF!</v>
      </c>
      <c r="T278" s="163" t="e">
        <f t="shared" si="109"/>
        <v>#REF!</v>
      </c>
      <c r="U278" s="163" t="e">
        <f t="shared" si="109"/>
        <v>#REF!</v>
      </c>
      <c r="V278" s="163" t="e">
        <f t="shared" si="109"/>
        <v>#REF!</v>
      </c>
      <c r="W278" s="163" t="e">
        <f t="shared" si="109"/>
        <v>#REF!</v>
      </c>
      <c r="X278" s="163" t="e">
        <f t="shared" si="110"/>
        <v>#REF!</v>
      </c>
      <c r="Y278" s="163" t="e">
        <f t="shared" si="110"/>
        <v>#REF!</v>
      </c>
      <c r="Z278" s="163" t="e">
        <f t="shared" si="110"/>
        <v>#REF!</v>
      </c>
      <c r="AA278" s="163" t="e">
        <f t="shared" si="110"/>
        <v>#REF!</v>
      </c>
      <c r="AB278" s="163" t="e">
        <f t="shared" si="110"/>
        <v>#REF!</v>
      </c>
    </row>
    <row r="279" spans="1:58">
      <c r="A279" s="497"/>
      <c r="B279" s="164" t="s">
        <v>346</v>
      </c>
      <c r="C279" s="6" t="s">
        <v>65</v>
      </c>
      <c r="D279" s="163" t="e">
        <f t="shared" si="108"/>
        <v>#REF!</v>
      </c>
      <c r="E279" s="163" t="e">
        <f t="shared" si="108"/>
        <v>#REF!</v>
      </c>
      <c r="F279" s="163" t="e">
        <f t="shared" si="108"/>
        <v>#REF!</v>
      </c>
      <c r="G279" s="163" t="e">
        <f t="shared" si="108"/>
        <v>#REF!</v>
      </c>
      <c r="H279" s="163" t="e">
        <f t="shared" si="108"/>
        <v>#REF!</v>
      </c>
      <c r="I279" s="163" t="e">
        <f t="shared" si="108"/>
        <v>#REF!</v>
      </c>
      <c r="J279" s="163" t="e">
        <f t="shared" si="108"/>
        <v>#REF!</v>
      </c>
      <c r="K279" s="163" t="e">
        <f t="shared" si="108"/>
        <v>#REF!</v>
      </c>
      <c r="L279" s="163" t="e">
        <f t="shared" si="108"/>
        <v>#REF!</v>
      </c>
      <c r="M279" s="163" t="e">
        <f t="shared" si="108"/>
        <v>#REF!</v>
      </c>
      <c r="N279" s="163" t="e">
        <f t="shared" si="109"/>
        <v>#REF!</v>
      </c>
      <c r="O279" s="163" t="e">
        <f t="shared" si="109"/>
        <v>#REF!</v>
      </c>
      <c r="P279" s="163" t="e">
        <f t="shared" si="109"/>
        <v>#REF!</v>
      </c>
      <c r="Q279" s="163" t="e">
        <f t="shared" si="109"/>
        <v>#REF!</v>
      </c>
      <c r="R279" s="163" t="e">
        <f t="shared" si="109"/>
        <v>#REF!</v>
      </c>
      <c r="S279" s="163" t="e">
        <f t="shared" si="109"/>
        <v>#REF!</v>
      </c>
      <c r="T279" s="163" t="e">
        <f t="shared" si="109"/>
        <v>#REF!</v>
      </c>
      <c r="U279" s="163" t="e">
        <f t="shared" si="109"/>
        <v>#REF!</v>
      </c>
      <c r="V279" s="163" t="e">
        <f t="shared" si="109"/>
        <v>#REF!</v>
      </c>
      <c r="W279" s="163" t="e">
        <f t="shared" si="109"/>
        <v>#REF!</v>
      </c>
      <c r="X279" s="163" t="e">
        <f t="shared" si="110"/>
        <v>#REF!</v>
      </c>
      <c r="Y279" s="163" t="e">
        <f t="shared" si="110"/>
        <v>#REF!</v>
      </c>
      <c r="Z279" s="163" t="e">
        <f t="shared" si="110"/>
        <v>#REF!</v>
      </c>
      <c r="AA279" s="163" t="e">
        <f t="shared" si="110"/>
        <v>#REF!</v>
      </c>
      <c r="AB279" s="163" t="e">
        <f t="shared" si="110"/>
        <v>#REF!</v>
      </c>
    </row>
    <row r="280" spans="1:58">
      <c r="A280" s="497"/>
      <c r="B280" s="164" t="s">
        <v>278</v>
      </c>
      <c r="C280" s="6" t="s">
        <v>65</v>
      </c>
      <c r="D280" s="163">
        <f t="shared" si="108"/>
        <v>0</v>
      </c>
      <c r="E280" s="163">
        <f t="shared" si="108"/>
        <v>-8.4944351515336988E-15</v>
      </c>
      <c r="F280" s="163">
        <f t="shared" si="108"/>
        <v>112.96368083519911</v>
      </c>
      <c r="G280" s="163">
        <f>SUM(AK340,AK349,AK358,AK367,AK376,AK385,AK394,AK403,AK412,AK421)/907185</f>
        <v>294.72256052785315</v>
      </c>
      <c r="H280" s="163">
        <f t="shared" si="108"/>
        <v>331.00298518633446</v>
      </c>
      <c r="I280" s="163">
        <f t="shared" si="108"/>
        <v>340.94908325601961</v>
      </c>
      <c r="J280" s="163">
        <f t="shared" si="108"/>
        <v>312.938977101668</v>
      </c>
      <c r="K280" s="163">
        <f t="shared" si="108"/>
        <v>306.21840699457994</v>
      </c>
      <c r="L280" s="163">
        <f t="shared" si="108"/>
        <v>173.08496398737154</v>
      </c>
      <c r="M280" s="163">
        <f t="shared" si="108"/>
        <v>155.33801696284763</v>
      </c>
      <c r="N280" s="163">
        <f t="shared" si="109"/>
        <v>147.49077224669824</v>
      </c>
      <c r="O280" s="163">
        <f t="shared" si="109"/>
        <v>139.40479838945964</v>
      </c>
      <c r="P280" s="163">
        <f t="shared" si="109"/>
        <v>132.98883207246197</v>
      </c>
      <c r="Q280" s="163">
        <f t="shared" si="109"/>
        <v>97.863540470452364</v>
      </c>
      <c r="R280" s="163">
        <f t="shared" si="109"/>
        <v>76.935196985510075</v>
      </c>
      <c r="S280" s="163">
        <f t="shared" si="109"/>
        <v>54.587585965864839</v>
      </c>
      <c r="T280" s="163">
        <f t="shared" si="109"/>
        <v>52.225038536060865</v>
      </c>
      <c r="U280" s="163">
        <f t="shared" si="109"/>
        <v>51.50939989619453</v>
      </c>
      <c r="V280" s="163">
        <f t="shared" si="109"/>
        <v>51.343098586217906</v>
      </c>
      <c r="W280" s="163">
        <f t="shared" si="109"/>
        <v>50.067629682588155</v>
      </c>
      <c r="X280" s="163">
        <f t="shared" si="110"/>
        <v>47.981871947427301</v>
      </c>
      <c r="Y280" s="163">
        <f t="shared" si="110"/>
        <v>47.135379887431945</v>
      </c>
      <c r="Z280" s="163">
        <f t="shared" si="110"/>
        <v>46.038494972978611</v>
      </c>
      <c r="AA280" s="163">
        <f t="shared" si="110"/>
        <v>44.953938119762007</v>
      </c>
      <c r="AB280" s="163">
        <f t="shared" si="110"/>
        <v>43.308825682681466</v>
      </c>
      <c r="AG280" s="492" t="s">
        <v>392</v>
      </c>
      <c r="AH280" t="s">
        <v>359</v>
      </c>
      <c r="AI280">
        <f>AI244+AI245</f>
        <v>30</v>
      </c>
    </row>
    <row r="281" spans="1:58">
      <c r="A281" s="497"/>
      <c r="B281" s="164" t="s">
        <v>347</v>
      </c>
      <c r="C281" s="6" t="s">
        <v>65</v>
      </c>
      <c r="D281" s="163" t="e">
        <f t="shared" si="108"/>
        <v>#REF!</v>
      </c>
      <c r="E281" s="163" t="e">
        <f t="shared" si="108"/>
        <v>#REF!</v>
      </c>
      <c r="F281" s="163" t="e">
        <f t="shared" si="108"/>
        <v>#REF!</v>
      </c>
      <c r="G281" s="163" t="e">
        <f t="shared" si="108"/>
        <v>#REF!</v>
      </c>
      <c r="H281" s="163" t="e">
        <f t="shared" si="108"/>
        <v>#REF!</v>
      </c>
      <c r="I281" s="163" t="e">
        <f t="shared" si="108"/>
        <v>#REF!</v>
      </c>
      <c r="J281" s="163" t="e">
        <f t="shared" si="108"/>
        <v>#REF!</v>
      </c>
      <c r="K281" s="163" t="e">
        <f t="shared" si="108"/>
        <v>#REF!</v>
      </c>
      <c r="L281" s="163" t="e">
        <f t="shared" si="108"/>
        <v>#REF!</v>
      </c>
      <c r="M281" s="163" t="e">
        <f t="shared" si="108"/>
        <v>#REF!</v>
      </c>
      <c r="N281" s="163" t="e">
        <f t="shared" si="109"/>
        <v>#REF!</v>
      </c>
      <c r="O281" s="163" t="e">
        <f t="shared" si="109"/>
        <v>#REF!</v>
      </c>
      <c r="P281" s="163" t="e">
        <f t="shared" si="109"/>
        <v>#REF!</v>
      </c>
      <c r="Q281" s="163" t="e">
        <f t="shared" si="109"/>
        <v>#REF!</v>
      </c>
      <c r="R281" s="163" t="e">
        <f t="shared" si="109"/>
        <v>#REF!</v>
      </c>
      <c r="S281" s="163" t="e">
        <f t="shared" si="109"/>
        <v>#REF!</v>
      </c>
      <c r="T281" s="163" t="e">
        <f t="shared" si="109"/>
        <v>#REF!</v>
      </c>
      <c r="U281" s="163" t="e">
        <f t="shared" si="109"/>
        <v>#REF!</v>
      </c>
      <c r="V281" s="163" t="e">
        <f t="shared" si="109"/>
        <v>#REF!</v>
      </c>
      <c r="W281" s="163" t="e">
        <f t="shared" si="109"/>
        <v>#REF!</v>
      </c>
      <c r="X281" s="163" t="e">
        <f t="shared" si="110"/>
        <v>#REF!</v>
      </c>
      <c r="Y281" s="163" t="e">
        <f t="shared" si="110"/>
        <v>#REF!</v>
      </c>
      <c r="Z281" s="163" t="e">
        <f t="shared" si="110"/>
        <v>#REF!</v>
      </c>
      <c r="AA281" s="163" t="e">
        <f t="shared" si="110"/>
        <v>#REF!</v>
      </c>
      <c r="AB281" s="163" t="e">
        <f t="shared" si="110"/>
        <v>#REF!</v>
      </c>
      <c r="AG281" s="492"/>
      <c r="AH281" t="s">
        <v>360</v>
      </c>
      <c r="AI281">
        <f>AI250+AI251</f>
        <v>30</v>
      </c>
    </row>
    <row r="282" spans="1:58">
      <c r="A282" s="497"/>
      <c r="B282" s="164" t="s">
        <v>348</v>
      </c>
      <c r="C282" s="6" t="s">
        <v>65</v>
      </c>
      <c r="D282" s="163" t="e">
        <f t="shared" si="108"/>
        <v>#REF!</v>
      </c>
      <c r="E282" s="163" t="e">
        <f t="shared" si="108"/>
        <v>#REF!</v>
      </c>
      <c r="F282" s="163" t="e">
        <f t="shared" si="108"/>
        <v>#REF!</v>
      </c>
      <c r="G282" s="163" t="e">
        <f t="shared" si="108"/>
        <v>#REF!</v>
      </c>
      <c r="H282" s="163" t="e">
        <f t="shared" si="108"/>
        <v>#REF!</v>
      </c>
      <c r="I282" s="163" t="e">
        <f t="shared" si="108"/>
        <v>#REF!</v>
      </c>
      <c r="J282" s="163" t="e">
        <f t="shared" si="108"/>
        <v>#REF!</v>
      </c>
      <c r="K282" s="163" t="e">
        <f t="shared" si="108"/>
        <v>#REF!</v>
      </c>
      <c r="L282" s="163" t="e">
        <f t="shared" si="108"/>
        <v>#REF!</v>
      </c>
      <c r="M282" s="163" t="e">
        <f t="shared" si="108"/>
        <v>#REF!</v>
      </c>
      <c r="N282" s="163" t="e">
        <f t="shared" si="109"/>
        <v>#REF!</v>
      </c>
      <c r="O282" s="163" t="e">
        <f t="shared" si="109"/>
        <v>#REF!</v>
      </c>
      <c r="P282" s="163" t="e">
        <f t="shared" si="109"/>
        <v>#REF!</v>
      </c>
      <c r="Q282" s="163" t="e">
        <f t="shared" si="109"/>
        <v>#REF!</v>
      </c>
      <c r="R282" s="163" t="e">
        <f t="shared" si="109"/>
        <v>#REF!</v>
      </c>
      <c r="S282" s="163" t="e">
        <f t="shared" si="109"/>
        <v>#REF!</v>
      </c>
      <c r="T282" s="163" t="e">
        <f t="shared" si="109"/>
        <v>#REF!</v>
      </c>
      <c r="U282" s="163" t="e">
        <f t="shared" si="109"/>
        <v>#REF!</v>
      </c>
      <c r="V282" s="163" t="e">
        <f t="shared" si="109"/>
        <v>#REF!</v>
      </c>
      <c r="W282" s="163" t="e">
        <f t="shared" si="109"/>
        <v>#REF!</v>
      </c>
      <c r="X282" s="163" t="e">
        <f t="shared" si="110"/>
        <v>#REF!</v>
      </c>
      <c r="Y282" s="163" t="e">
        <f t="shared" si="110"/>
        <v>#REF!</v>
      </c>
      <c r="Z282" s="163" t="e">
        <f t="shared" si="110"/>
        <v>#REF!</v>
      </c>
      <c r="AA282" s="163" t="e">
        <f t="shared" si="110"/>
        <v>#REF!</v>
      </c>
      <c r="AB282" s="163" t="e">
        <f t="shared" si="110"/>
        <v>#REF!</v>
      </c>
      <c r="AG282" s="492"/>
      <c r="AH282" t="s">
        <v>361</v>
      </c>
      <c r="AI282">
        <f>AI246</f>
        <v>10</v>
      </c>
    </row>
    <row r="283" spans="1:58">
      <c r="A283" s="497"/>
      <c r="B283" s="164" t="s">
        <v>349</v>
      </c>
      <c r="C283" s="6" t="s">
        <v>65</v>
      </c>
      <c r="D283" s="163" t="e">
        <f t="shared" si="108"/>
        <v>#REF!</v>
      </c>
      <c r="E283" s="163" t="e">
        <f t="shared" si="108"/>
        <v>#REF!</v>
      </c>
      <c r="F283" s="163" t="e">
        <f t="shared" si="108"/>
        <v>#REF!</v>
      </c>
      <c r="G283" s="163" t="e">
        <f t="shared" si="108"/>
        <v>#REF!</v>
      </c>
      <c r="H283" s="163" t="e">
        <f t="shared" si="108"/>
        <v>#REF!</v>
      </c>
      <c r="I283" s="163" t="e">
        <f t="shared" si="108"/>
        <v>#REF!</v>
      </c>
      <c r="J283" s="163" t="e">
        <f t="shared" si="108"/>
        <v>#REF!</v>
      </c>
      <c r="K283" s="163" t="e">
        <f t="shared" si="108"/>
        <v>#REF!</v>
      </c>
      <c r="L283" s="163" t="e">
        <f t="shared" si="108"/>
        <v>#REF!</v>
      </c>
      <c r="M283" s="163" t="e">
        <f t="shared" si="108"/>
        <v>#REF!</v>
      </c>
      <c r="N283" s="163" t="e">
        <f t="shared" si="109"/>
        <v>#REF!</v>
      </c>
      <c r="O283" s="163" t="e">
        <f t="shared" si="109"/>
        <v>#REF!</v>
      </c>
      <c r="P283" s="163" t="e">
        <f t="shared" si="109"/>
        <v>#REF!</v>
      </c>
      <c r="Q283" s="163" t="e">
        <f t="shared" si="109"/>
        <v>#REF!</v>
      </c>
      <c r="R283" s="163" t="e">
        <f t="shared" si="109"/>
        <v>#REF!</v>
      </c>
      <c r="S283" s="163" t="e">
        <f t="shared" si="109"/>
        <v>#REF!</v>
      </c>
      <c r="T283" s="163" t="e">
        <f t="shared" si="109"/>
        <v>#REF!</v>
      </c>
      <c r="U283" s="163" t="e">
        <f t="shared" si="109"/>
        <v>#REF!</v>
      </c>
      <c r="V283" s="163" t="e">
        <f t="shared" si="109"/>
        <v>#REF!</v>
      </c>
      <c r="W283" s="163" t="e">
        <f t="shared" si="109"/>
        <v>#REF!</v>
      </c>
      <c r="X283" s="163" t="e">
        <f t="shared" si="110"/>
        <v>#REF!</v>
      </c>
      <c r="Y283" s="163" t="e">
        <f t="shared" si="110"/>
        <v>#REF!</v>
      </c>
      <c r="Z283" s="163" t="e">
        <f t="shared" si="110"/>
        <v>#REF!</v>
      </c>
      <c r="AA283" s="163" t="e">
        <f t="shared" si="110"/>
        <v>#REF!</v>
      </c>
      <c r="AB283" s="163" t="e">
        <f t="shared" si="110"/>
        <v>#REF!</v>
      </c>
      <c r="AG283" s="492"/>
      <c r="AH283" t="s">
        <v>393</v>
      </c>
      <c r="AI283">
        <f>AI247+AI248+AI249</f>
        <v>15</v>
      </c>
    </row>
    <row r="284" spans="1:58">
      <c r="A284" s="498"/>
      <c r="B284" s="165" t="s">
        <v>246</v>
      </c>
      <c r="C284" s="19" t="s">
        <v>65</v>
      </c>
      <c r="D284" s="163">
        <f t="shared" si="108"/>
        <v>0</v>
      </c>
      <c r="E284" s="163">
        <f t="shared" si="108"/>
        <v>-1.854693538432794E-16</v>
      </c>
      <c r="F284" s="163">
        <f t="shared" si="108"/>
        <v>2.6291628669914662</v>
      </c>
      <c r="G284" s="163">
        <f t="shared" si="108"/>
        <v>7.0762841373284928</v>
      </c>
      <c r="H284" s="163">
        <f t="shared" si="108"/>
        <v>7.9891766236085875</v>
      </c>
      <c r="I284" s="163">
        <f t="shared" si="108"/>
        <v>8.1905767441659769</v>
      </c>
      <c r="J284" s="163">
        <f t="shared" si="108"/>
        <v>7.4929406277974513</v>
      </c>
      <c r="K284" s="163">
        <f t="shared" si="108"/>
        <v>7.3153306601839958</v>
      </c>
      <c r="L284" s="163">
        <f t="shared" si="108"/>
        <v>3.78649588848528</v>
      </c>
      <c r="M284" s="163">
        <f t="shared" si="108"/>
        <v>3.4862023927431611</v>
      </c>
      <c r="N284" s="163">
        <f t="shared" si="109"/>
        <v>3.340427208980389</v>
      </c>
      <c r="O284" s="163">
        <f t="shared" si="109"/>
        <v>3.1930115460401645</v>
      </c>
      <c r="P284" s="163">
        <f t="shared" si="109"/>
        <v>3.0617742938920727</v>
      </c>
      <c r="Q284" s="163">
        <f t="shared" si="109"/>
        <v>2.505494926372783</v>
      </c>
      <c r="R284" s="163">
        <f t="shared" si="109"/>
        <v>2.1437849994326794</v>
      </c>
      <c r="S284" s="163">
        <f t="shared" si="109"/>
        <v>1.7686360296974963</v>
      </c>
      <c r="T284" s="163">
        <f t="shared" si="109"/>
        <v>1.6908362751864972</v>
      </c>
      <c r="U284" s="163">
        <f t="shared" si="109"/>
        <v>1.6981178822075038</v>
      </c>
      <c r="V284" s="163">
        <f t="shared" si="109"/>
        <v>1.7088111028532929</v>
      </c>
      <c r="W284" s="163">
        <f t="shared" si="109"/>
        <v>1.6684102874453755</v>
      </c>
      <c r="X284" s="163">
        <f t="shared" si="110"/>
        <v>1.5929063037455307</v>
      </c>
      <c r="Y284" s="163">
        <f t="shared" si="110"/>
        <v>1.5849898047874953</v>
      </c>
      <c r="Z284" s="163">
        <f t="shared" si="110"/>
        <v>1.5674513005410384</v>
      </c>
      <c r="AA284" s="163">
        <f t="shared" si="110"/>
        <v>1.5500395307028381</v>
      </c>
      <c r="AB284" s="163">
        <f t="shared" si="110"/>
        <v>1.5100817283113701</v>
      </c>
      <c r="AG284" s="492"/>
      <c r="AH284" t="s">
        <v>363</v>
      </c>
      <c r="AI284">
        <f>AI252</f>
        <v>15</v>
      </c>
    </row>
    <row r="286" spans="1:58" ht="40.15" customHeight="1">
      <c r="AF286" s="471" t="s">
        <v>394</v>
      </c>
      <c r="AG286" s="471"/>
      <c r="AH286">
        <v>2022</v>
      </c>
      <c r="AI286">
        <v>2023</v>
      </c>
      <c r="AJ286">
        <v>2024</v>
      </c>
      <c r="AK286">
        <v>2025</v>
      </c>
      <c r="AL286">
        <v>2026</v>
      </c>
      <c r="AM286">
        <v>2027</v>
      </c>
      <c r="AN286">
        <v>2028</v>
      </c>
      <c r="AO286">
        <v>2029</v>
      </c>
      <c r="AP286">
        <v>2030</v>
      </c>
      <c r="AQ286">
        <v>2031</v>
      </c>
      <c r="AR286">
        <v>2032</v>
      </c>
      <c r="AS286">
        <v>2033</v>
      </c>
      <c r="AT286">
        <v>2034</v>
      </c>
      <c r="AU286">
        <v>2035</v>
      </c>
      <c r="AV286">
        <v>2036</v>
      </c>
      <c r="AW286">
        <v>2037</v>
      </c>
      <c r="AX286">
        <v>2038</v>
      </c>
      <c r="AY286">
        <v>2039</v>
      </c>
      <c r="AZ286">
        <v>2040</v>
      </c>
      <c r="BA286">
        <v>2041</v>
      </c>
      <c r="BB286">
        <v>2042</v>
      </c>
      <c r="BC286">
        <v>2043</v>
      </c>
      <c r="BD286">
        <v>2044</v>
      </c>
      <c r="BE286">
        <v>2045</v>
      </c>
      <c r="BF286">
        <v>2046</v>
      </c>
    </row>
    <row r="287" spans="1:58" ht="15" customHeight="1">
      <c r="AG287" s="153" t="s">
        <v>343</v>
      </c>
      <c r="AH287" s="8" t="e">
        <f>(D71+D76+D77+D82)*'Emission factors Trucks&amp;Trains'!#REF!*(2-$AS$81)</f>
        <v>#REF!</v>
      </c>
      <c r="AI287" s="8" t="e">
        <f>(E71+E76+E77+E82)*'Emission factors Trucks&amp;Trains'!#REF!*(2-$AS$81)</f>
        <v>#REF!</v>
      </c>
      <c r="AJ287" s="8" t="e">
        <f>(F71+F76+F77+F82)*'Emission factors Trucks&amp;Trains'!#REF!*(2-$AS$81)</f>
        <v>#REF!</v>
      </c>
      <c r="AK287" s="8" t="e">
        <f>(G71+G76+G77+G82)*'Emission factors Trucks&amp;Trains'!#REF!*(2-$AS$81)</f>
        <v>#REF!</v>
      </c>
      <c r="AL287" s="8" t="e">
        <f>(H71+H76+H77+H82)*'Emission factors Trucks&amp;Trains'!#REF!*(2-$AS$81)</f>
        <v>#REF!</v>
      </c>
      <c r="AM287" s="8" t="e">
        <f>(I71+I76+I77+I82)*'Emission factors Trucks&amp;Trains'!#REF!*(2-$AS$81)</f>
        <v>#REF!</v>
      </c>
      <c r="AN287" s="8" t="e">
        <f>(J71+J76+J77+J82)*'Emission factors Trucks&amp;Trains'!#REF!*(2-$AS$81)</f>
        <v>#REF!</v>
      </c>
      <c r="AO287" s="8" t="e">
        <f>(K71+K76+K77+K82)*'Emission factors Trucks&amp;Trains'!#REF!*(2-$AS$81)</f>
        <v>#REF!</v>
      </c>
      <c r="AP287" s="8" t="e">
        <f>(L71+L76+L77+L82)*'Emission factors Trucks&amp;Trains'!#REF!*(2-$AS$81)</f>
        <v>#REF!</v>
      </c>
      <c r="AQ287" s="8" t="e">
        <f>(M71+M76+M77+M82)*'Emission factors Trucks&amp;Trains'!#REF!*(2-$AS$81)</f>
        <v>#REF!</v>
      </c>
      <c r="AR287" s="8" t="e">
        <f>(N71+N76+N77+N82)*'Emission factors Trucks&amp;Trains'!#REF!*(2-$AS$81)</f>
        <v>#REF!</v>
      </c>
      <c r="AS287" s="8" t="e">
        <f>(O71+O76+O77+O82)*'Emission factors Trucks&amp;Trains'!#REF!*(2-$AS$81)</f>
        <v>#REF!</v>
      </c>
      <c r="AT287" s="8" t="e">
        <f>(P71+P76+P77+P82)*'Emission factors Trucks&amp;Trains'!#REF!*(2-$AS$81)</f>
        <v>#REF!</v>
      </c>
      <c r="AU287" s="8" t="e">
        <f>(Q71+Q76+Q77+Q82)*'Emission factors Trucks&amp;Trains'!#REF!*(2-$AS$81)</f>
        <v>#REF!</v>
      </c>
      <c r="AV287" s="8" t="e">
        <f>(R71+R76+R77+R82)*'Emission factors Trucks&amp;Trains'!#REF!*(2-$AS$81)</f>
        <v>#REF!</v>
      </c>
      <c r="AW287" s="8" t="e">
        <f>(S71+S76+S77+S82)*'Emission factors Trucks&amp;Trains'!#REF!*(2-$AS$81)</f>
        <v>#REF!</v>
      </c>
      <c r="AX287" s="8" t="e">
        <f>(T71+T76+T77+T82)*'Emission factors Trucks&amp;Trains'!#REF!*(2-$AS$81)</f>
        <v>#REF!</v>
      </c>
      <c r="AY287" s="8" t="e">
        <f>(U71+U76+U77+U82)*'Emission factors Trucks&amp;Trains'!#REF!*(2-$AS$81)</f>
        <v>#REF!</v>
      </c>
      <c r="AZ287" s="8" t="e">
        <f>(V71+V76+V77+V82)*'Emission factors Trucks&amp;Trains'!#REF!*(2-$AS$81)</f>
        <v>#REF!</v>
      </c>
      <c r="BA287" s="8" t="e">
        <f>(W71+W76+W77+W82)*'Emission factors Trucks&amp;Trains'!#REF!*(2-$AS$81)</f>
        <v>#REF!</v>
      </c>
      <c r="BB287" s="8" t="e">
        <f>(X71+X76+X77+X82)*'Emission factors Trucks&amp;Trains'!#REF!*(2-$AS$81)</f>
        <v>#REF!</v>
      </c>
      <c r="BC287" s="8" t="e">
        <f>(Y71+Y76+Y77+Y82)*'Emission factors Trucks&amp;Trains'!#REF!*(2-$AS$81)</f>
        <v>#REF!</v>
      </c>
      <c r="BD287" s="8" t="e">
        <f>(Z71+Z76+Z77+Z82)*'Emission factors Trucks&amp;Trains'!#REF!*(2-$AS$81)</f>
        <v>#REF!</v>
      </c>
      <c r="BE287" s="8" t="e">
        <f>(AA71+AA76+AA77+AA82)*'Emission factors Trucks&amp;Trains'!#REF!*(2-$AS$81)</f>
        <v>#REF!</v>
      </c>
      <c r="BF287" s="8" t="e">
        <f>(AB71+AB76+AB77+AB82)*'Emission factors Trucks&amp;Trains'!#REF!*(2-$AS$81)</f>
        <v>#REF!</v>
      </c>
    </row>
    <row r="288" spans="1:58" ht="15" customHeight="1">
      <c r="AG288" s="153" t="s">
        <v>345</v>
      </c>
      <c r="AH288" s="8" t="e">
        <f>(D71+D76+D77+D82)*'Emission factors Trucks&amp;Trains'!#REF!*(2-$AS$81)</f>
        <v>#REF!</v>
      </c>
      <c r="AI288" s="8" t="e">
        <f>(E71+E76+E77+E82)*'Emission factors Trucks&amp;Trains'!#REF!*(2-$AS$81)</f>
        <v>#REF!</v>
      </c>
      <c r="AJ288" s="8" t="e">
        <f>(F71+F76+F77+F82)*'Emission factors Trucks&amp;Trains'!#REF!*(2-$AS$81)</f>
        <v>#REF!</v>
      </c>
      <c r="AK288" s="8" t="e">
        <f>(G71+G76+G77+G82)*'Emission factors Trucks&amp;Trains'!#REF!*(2-$AS$81)</f>
        <v>#REF!</v>
      </c>
      <c r="AL288" s="8" t="e">
        <f>(H71+H76+H77+H82)*'Emission factors Trucks&amp;Trains'!#REF!*(2-$AS$81)</f>
        <v>#REF!</v>
      </c>
      <c r="AM288" s="8" t="e">
        <f>(I71+I76+I77+I82)*'Emission factors Trucks&amp;Trains'!#REF!*(2-$AS$81)</f>
        <v>#REF!</v>
      </c>
      <c r="AN288" s="8" t="e">
        <f>(J71+J76+J77+J82)*'Emission factors Trucks&amp;Trains'!#REF!*(2-$AS$81)</f>
        <v>#REF!</v>
      </c>
      <c r="AO288" s="8" t="e">
        <f>(K71+K76+K77+K82)*'Emission factors Trucks&amp;Trains'!#REF!*(2-$AS$81)</f>
        <v>#REF!</v>
      </c>
      <c r="AP288" s="8" t="e">
        <f>(L71+L76+L77+L82)*'Emission factors Trucks&amp;Trains'!#REF!*(2-$AS$81)</f>
        <v>#REF!</v>
      </c>
      <c r="AQ288" s="8" t="e">
        <f>(M71+M76+M77+M82)*'Emission factors Trucks&amp;Trains'!#REF!*(2-$AS$81)</f>
        <v>#REF!</v>
      </c>
      <c r="AR288" s="8" t="e">
        <f>(N71+N76+N77+N82)*'Emission factors Trucks&amp;Trains'!#REF!*(2-$AS$81)</f>
        <v>#REF!</v>
      </c>
      <c r="AS288" s="8" t="e">
        <f>(O71+O76+O77+O82)*'Emission factors Trucks&amp;Trains'!#REF!*(2-$AS$81)</f>
        <v>#REF!</v>
      </c>
      <c r="AT288" s="8" t="e">
        <f>(P71+P76+P77+P82)*'Emission factors Trucks&amp;Trains'!#REF!*(2-$AS$81)</f>
        <v>#REF!</v>
      </c>
      <c r="AU288" s="8" t="e">
        <f>(Q71+Q76+Q77+Q82)*'Emission factors Trucks&amp;Trains'!#REF!*(2-$AS$81)</f>
        <v>#REF!</v>
      </c>
      <c r="AV288" s="8" t="e">
        <f>(R71+R76+R77+R82)*'Emission factors Trucks&amp;Trains'!#REF!*(2-$AS$81)</f>
        <v>#REF!</v>
      </c>
      <c r="AW288" s="8" t="e">
        <f>(S71+S76+S77+S82)*'Emission factors Trucks&amp;Trains'!#REF!*(2-$AS$81)</f>
        <v>#REF!</v>
      </c>
      <c r="AX288" s="8" t="e">
        <f>(T71+T76+T77+T82)*'Emission factors Trucks&amp;Trains'!#REF!*(2-$AS$81)</f>
        <v>#REF!</v>
      </c>
      <c r="AY288" s="8" t="e">
        <f>(U71+U76+U77+U82)*'Emission factors Trucks&amp;Trains'!#REF!*(2-$AS$81)</f>
        <v>#REF!</v>
      </c>
      <c r="AZ288" s="8" t="e">
        <f>(V71+V76+V77+V82)*'Emission factors Trucks&amp;Trains'!#REF!*(2-$AS$81)</f>
        <v>#REF!</v>
      </c>
      <c r="BA288" s="8" t="e">
        <f>(W71+W76+W77+W82)*'Emission factors Trucks&amp;Trains'!#REF!*(2-$AS$81)</f>
        <v>#REF!</v>
      </c>
      <c r="BB288" s="8" t="e">
        <f>(X71+X76+X77+X82)*'Emission factors Trucks&amp;Trains'!#REF!*(2-$AS$81)</f>
        <v>#REF!</v>
      </c>
      <c r="BC288" s="8" t="e">
        <f>(Y71+Y76+Y77+Y82)*'Emission factors Trucks&amp;Trains'!#REF!*(2-$AS$81)</f>
        <v>#REF!</v>
      </c>
      <c r="BD288" s="8" t="e">
        <f>(Z71+Z76+Z77+Z82)*'Emission factors Trucks&amp;Trains'!#REF!*(2-$AS$81)</f>
        <v>#REF!</v>
      </c>
      <c r="BE288" s="8" t="e">
        <f>(AA71+AA76+AA77+AA82)*'Emission factors Trucks&amp;Trains'!#REF!*(2-$AS$81)</f>
        <v>#REF!</v>
      </c>
      <c r="BF288" s="8" t="e">
        <f>(AB71+AB76+AB77+AB82)*'Emission factors Trucks&amp;Trains'!#REF!*(2-$AS$81)</f>
        <v>#REF!</v>
      </c>
    </row>
    <row r="289" spans="1:58" ht="15" customHeight="1">
      <c r="A289" s="486" t="s">
        <v>382</v>
      </c>
      <c r="B289" s="78" t="s">
        <v>3</v>
      </c>
      <c r="C289" s="117" t="s">
        <v>1</v>
      </c>
      <c r="D289" s="115">
        <v>2022</v>
      </c>
      <c r="E289" s="115">
        <v>2023</v>
      </c>
      <c r="F289" s="115">
        <v>2024</v>
      </c>
      <c r="G289" s="115">
        <v>2025</v>
      </c>
      <c r="H289" s="115">
        <v>2026</v>
      </c>
      <c r="I289" s="115">
        <v>2027</v>
      </c>
      <c r="J289" s="115">
        <v>2028</v>
      </c>
      <c r="K289" s="115">
        <v>2029</v>
      </c>
      <c r="L289" s="116">
        <v>2030</v>
      </c>
      <c r="M289" s="115">
        <v>2031</v>
      </c>
      <c r="N289" s="115">
        <v>2032</v>
      </c>
      <c r="O289" s="115">
        <v>2033</v>
      </c>
      <c r="P289" s="115">
        <v>2034</v>
      </c>
      <c r="Q289" s="115">
        <v>2035</v>
      </c>
      <c r="R289" s="115">
        <v>2036</v>
      </c>
      <c r="S289" s="115">
        <v>2037</v>
      </c>
      <c r="T289" s="115">
        <v>2038</v>
      </c>
      <c r="U289" s="116">
        <v>2039</v>
      </c>
      <c r="V289" s="115">
        <v>2040</v>
      </c>
      <c r="W289" s="115">
        <v>2041</v>
      </c>
      <c r="X289" s="115">
        <v>2042</v>
      </c>
      <c r="Y289" s="115">
        <v>2043</v>
      </c>
      <c r="Z289" s="115">
        <v>2044</v>
      </c>
      <c r="AA289" s="115">
        <v>2045</v>
      </c>
      <c r="AB289" s="115">
        <v>2046</v>
      </c>
      <c r="AG289" s="153" t="s">
        <v>346</v>
      </c>
      <c r="AH289" s="8" t="e">
        <f>(D71+D76+D77+D82)*'Emission factors Trucks&amp;Trains'!#REF!*(2-$AS$81)</f>
        <v>#REF!</v>
      </c>
      <c r="AI289" s="8" t="e">
        <f>(E71+E76+E77+E82)*'Emission factors Trucks&amp;Trains'!#REF!*(2-$AS$81)</f>
        <v>#REF!</v>
      </c>
      <c r="AJ289" s="8" t="e">
        <f>(F71+F76+F77+F82)*'Emission factors Trucks&amp;Trains'!#REF!*(2-$AS$81)</f>
        <v>#REF!</v>
      </c>
      <c r="AK289" s="8" t="e">
        <f>(G71+G76+G77+G82)*'Emission factors Trucks&amp;Trains'!#REF!*(2-$AS$81)</f>
        <v>#REF!</v>
      </c>
      <c r="AL289" s="8" t="e">
        <f>(H71+H76+H77+H82)*'Emission factors Trucks&amp;Trains'!#REF!*(2-$AS$81)</f>
        <v>#REF!</v>
      </c>
      <c r="AM289" s="8" t="e">
        <f>(I71+I76+I77+I82)*'Emission factors Trucks&amp;Trains'!#REF!*(2-$AS$81)</f>
        <v>#REF!</v>
      </c>
      <c r="AN289" s="8" t="e">
        <f>(J71+J76+J77+J82)*'Emission factors Trucks&amp;Trains'!#REF!*(2-$AS$81)</f>
        <v>#REF!</v>
      </c>
      <c r="AO289" s="8" t="e">
        <f>(K71+K76+K77+K82)*'Emission factors Trucks&amp;Trains'!#REF!*(2-$AS$81)</f>
        <v>#REF!</v>
      </c>
      <c r="AP289" s="8" t="e">
        <f>(L71+L76+L77+L82)*'Emission factors Trucks&amp;Trains'!#REF!*(2-$AS$81)</f>
        <v>#REF!</v>
      </c>
      <c r="AQ289" s="8" t="e">
        <f>(M71+M76+M77+M82)*'Emission factors Trucks&amp;Trains'!#REF!*(2-$AS$81)</f>
        <v>#REF!</v>
      </c>
      <c r="AR289" s="8" t="e">
        <f>(N71+N76+N77+N82)*'Emission factors Trucks&amp;Trains'!#REF!*(2-$AS$81)</f>
        <v>#REF!</v>
      </c>
      <c r="AS289" s="8" t="e">
        <f>(O71+O76+O77+O82)*'Emission factors Trucks&amp;Trains'!#REF!*(2-$AS$81)</f>
        <v>#REF!</v>
      </c>
      <c r="AT289" s="8" t="e">
        <f>(P71+P76+P77+P82)*'Emission factors Trucks&amp;Trains'!#REF!*(2-$AS$81)</f>
        <v>#REF!</v>
      </c>
      <c r="AU289" s="8" t="e">
        <f>(Q71+Q76+Q77+Q82)*'Emission factors Trucks&amp;Trains'!#REF!*(2-$AS$81)</f>
        <v>#REF!</v>
      </c>
      <c r="AV289" s="8" t="e">
        <f>(R71+R76+R77+R82)*'Emission factors Trucks&amp;Trains'!#REF!*(2-$AS$81)</f>
        <v>#REF!</v>
      </c>
      <c r="AW289" s="8" t="e">
        <f>(S71+S76+S77+S82)*'Emission factors Trucks&amp;Trains'!#REF!*(2-$AS$81)</f>
        <v>#REF!</v>
      </c>
      <c r="AX289" s="8" t="e">
        <f>(T71+T76+T77+T82)*'Emission factors Trucks&amp;Trains'!#REF!*(2-$AS$81)</f>
        <v>#REF!</v>
      </c>
      <c r="AY289" s="8" t="e">
        <f>(U71+U76+U77+U82)*'Emission factors Trucks&amp;Trains'!#REF!*(2-$AS$81)</f>
        <v>#REF!</v>
      </c>
      <c r="AZ289" s="8" t="e">
        <f>(V71+V76+V77+V82)*'Emission factors Trucks&amp;Trains'!#REF!*(2-$AS$81)</f>
        <v>#REF!</v>
      </c>
      <c r="BA289" s="8" t="e">
        <f>(W71+W76+W77+W82)*'Emission factors Trucks&amp;Trains'!#REF!*(2-$AS$81)</f>
        <v>#REF!</v>
      </c>
      <c r="BB289" s="8" t="e">
        <f>(X71+X76+X77+X82)*'Emission factors Trucks&amp;Trains'!#REF!*(2-$AS$81)</f>
        <v>#REF!</v>
      </c>
      <c r="BC289" s="8" t="e">
        <f>(Y71+Y76+Y77+Y82)*'Emission factors Trucks&amp;Trains'!#REF!*(2-$AS$81)</f>
        <v>#REF!</v>
      </c>
      <c r="BD289" s="8" t="e">
        <f>(Z71+Z76+Z77+Z82)*'Emission factors Trucks&amp;Trains'!#REF!*(2-$AS$81)</f>
        <v>#REF!</v>
      </c>
      <c r="BE289" s="8" t="e">
        <f>(AA71+AA76+AA77+AA82)*'Emission factors Trucks&amp;Trains'!#REF!*(2-$AS$81)</f>
        <v>#REF!</v>
      </c>
      <c r="BF289" s="8" t="e">
        <f>(AB71+AB76+AB77+AB82)*'Emission factors Trucks&amp;Trains'!#REF!*(2-$AS$81)</f>
        <v>#REF!</v>
      </c>
    </row>
    <row r="290" spans="1:58" ht="15" customHeight="1">
      <c r="A290" s="487"/>
      <c r="B290" s="162" t="s">
        <v>343</v>
      </c>
      <c r="C290" s="133" t="s">
        <v>65</v>
      </c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G290" s="153" t="s">
        <v>278</v>
      </c>
      <c r="AH290" s="8">
        <f>(D71+D76+D77+D82+D73)*'Emission factors Trucks&amp;Trains'!B5*(2-$AS$81)</f>
        <v>0</v>
      </c>
      <c r="AI290" s="8">
        <f>(E71+E76+E77+E82+E73)*'Emission factors Trucks&amp;Trains'!C5*(2-$AS$81)</f>
        <v>0</v>
      </c>
      <c r="AJ290" s="8">
        <f>(F71+F76+F77+F82+F73)*'Emission factors Trucks&amp;Trains'!D5*(2-$AS$81)</f>
        <v>0</v>
      </c>
      <c r="AK290" s="8">
        <f>(G71+G76+G77+G82+G73)*'Emission factors Trucks&amp;Trains'!E5*(2-$AS$81)</f>
        <v>0</v>
      </c>
      <c r="AL290" s="8">
        <f>(H71+H76+H77+H82+H73)*'Emission factors Trucks&amp;Trains'!F5*(2-$AS$81)</f>
        <v>80897.314069543107</v>
      </c>
      <c r="AM290" s="8">
        <f>(I71+I76+I77+I82+I73)*'Emission factors Trucks&amp;Trains'!G5*(2-$AS$81)</f>
        <v>613756.1200063756</v>
      </c>
      <c r="AN290" s="8">
        <f>(J71+J76+J77+J82+J73)*'Emission factors Trucks&amp;Trains'!H5*(2-$AS$81)</f>
        <v>820113.5627289085</v>
      </c>
      <c r="AO290" s="8">
        <f>(K71+K76+K77+K82+K73)*'Emission factors Trucks&amp;Trains'!I5*(2-$AS$81)</f>
        <v>895478.60873738141</v>
      </c>
      <c r="AP290" s="8">
        <f>(L71+L76+L77+L82+L73)*'Emission factors Trucks&amp;Trains'!J5*(2-$AS$81)</f>
        <v>896661.12823899533</v>
      </c>
      <c r="AQ290" s="8">
        <f>(M71+M76+M77+M82+M73)*'Emission factors Trucks&amp;Trains'!K5*(2-$AS$81)</f>
        <v>859081.02953602676</v>
      </c>
      <c r="AR290" s="8">
        <f>(N71+N76+N77+N82+N73)*'Emission factors Trucks&amp;Trains'!L5*(2-$AS$81)</f>
        <v>808719.13104544056</v>
      </c>
      <c r="AS290" s="8">
        <f>(O71+O76+O77+O82+O73)*'Emission factors Trucks&amp;Trains'!M5*(2-$AS$81)</f>
        <v>758945.69752138748</v>
      </c>
      <c r="AT290" s="8">
        <f>(P71+P76+P77+P82+P73)*'Emission factors Trucks&amp;Trains'!N5*(2-$AS$81)</f>
        <v>717977.96328597574</v>
      </c>
      <c r="AU290" s="8">
        <f>(Q71+Q76+Q77+Q82+Q73)*'Emission factors Trucks&amp;Trains'!O5*(2-$AS$81)</f>
        <v>660187.11794525653</v>
      </c>
      <c r="AV290" s="8">
        <f>(R71+R76+R77+R82+R73)*'Emission factors Trucks&amp;Trains'!P5*(2-$AS$81)</f>
        <v>638683.69432986341</v>
      </c>
      <c r="AW290" s="8">
        <f>(S71+S76+S77+S82+S73)*'Emission factors Trucks&amp;Trains'!Q5*(2-$AS$81)</f>
        <v>595230.09316415468</v>
      </c>
      <c r="AX290" s="8">
        <f>(T71+T76+T77+T82+T73)*'Emission factors Trucks&amp;Trains'!R5*(2-$AS$81)</f>
        <v>557764.18300078379</v>
      </c>
      <c r="AY290" s="8">
        <f>(U71+U76+U77+U82+U73)*'Emission factors Trucks&amp;Trains'!S5*(2-$AS$81)</f>
        <v>525546.48522450041</v>
      </c>
      <c r="AZ290" s="8">
        <f>(V71+V76+V77+V82+V73)*'Emission factors Trucks&amp;Trains'!T5*(2-$AS$81)</f>
        <v>507106.01152426616</v>
      </c>
      <c r="BA290" s="8">
        <f>(W71+W76+W77+W82+W73)*'Emission factors Trucks&amp;Trains'!U5*(2-$AS$81)</f>
        <v>492349.85234182613</v>
      </c>
      <c r="BB290" s="8">
        <f>(X71+X76+X77+X82+X73)*'Emission factors Trucks&amp;Trains'!V5*(2-$AS$81)</f>
        <v>480393.08578428865</v>
      </c>
      <c r="BC290" s="8">
        <f>(Y71+Y76+Y77+Y82+Y73)*'Emission factors Trucks&amp;Trains'!W5*(2-$AS$81)</f>
        <v>470233.21290109656</v>
      </c>
      <c r="BD290" s="8">
        <f>(Z71+Z76+Z77+Z82+Z73)*'Emission factors Trucks&amp;Trains'!X5*(2-$AS$81)</f>
        <v>461580.7618365236</v>
      </c>
      <c r="BE290" s="8">
        <f>(AA71+AA76+AA77+AA82+AA73)*'Emission factors Trucks&amp;Trains'!Y5*(2-$AS$81)</f>
        <v>454561.46138047153</v>
      </c>
      <c r="BF290" s="8">
        <f>(AB71+AB76+AB77+AB82+AB73)*'Emission factors Trucks&amp;Trains'!Z5*(2-$AS$81)</f>
        <v>447890.39248792827</v>
      </c>
    </row>
    <row r="291" spans="1:58" ht="15" customHeight="1">
      <c r="A291" s="487"/>
      <c r="B291" s="164" t="s">
        <v>345</v>
      </c>
      <c r="C291" s="6" t="s">
        <v>65</v>
      </c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G291" s="153" t="s">
        <v>347</v>
      </c>
      <c r="AH291" s="8" t="e">
        <f>(D71+D76+D77+D82)*'Emission factors Trucks&amp;Trains'!#REF!*(2-$AS$81)</f>
        <v>#REF!</v>
      </c>
      <c r="AI291" s="8" t="e">
        <f>(E71+E76+E77+E82)*'Emission factors Trucks&amp;Trains'!#REF!*(2-$AS$81)</f>
        <v>#REF!</v>
      </c>
      <c r="AJ291" s="8" t="e">
        <f>(F71+F76+F77+F82)*'Emission factors Trucks&amp;Trains'!#REF!*(2-$AS$81)</f>
        <v>#REF!</v>
      </c>
      <c r="AK291" s="8" t="e">
        <f>(G71+G76+G77+G82)*'Emission factors Trucks&amp;Trains'!#REF!*(2-$AS$81)</f>
        <v>#REF!</v>
      </c>
      <c r="AL291" s="8" t="e">
        <f>(H71+H76+H77+H82)*'Emission factors Trucks&amp;Trains'!#REF!*(2-$AS$81)</f>
        <v>#REF!</v>
      </c>
      <c r="AM291" s="8" t="e">
        <f>(I71+I76+I77+I82)*'Emission factors Trucks&amp;Trains'!#REF!*(2-$AS$81)</f>
        <v>#REF!</v>
      </c>
      <c r="AN291" s="8" t="e">
        <f>(J71+J76+J77+J82)*'Emission factors Trucks&amp;Trains'!#REF!*(2-$AS$81)</f>
        <v>#REF!</v>
      </c>
      <c r="AO291" s="8" t="e">
        <f>(K71+K76+K77+K82)*'Emission factors Trucks&amp;Trains'!#REF!*(2-$AS$81)</f>
        <v>#REF!</v>
      </c>
      <c r="AP291" s="8" t="e">
        <f>(L71+L76+L77+L82)*'Emission factors Trucks&amp;Trains'!#REF!*(2-$AS$81)</f>
        <v>#REF!</v>
      </c>
      <c r="AQ291" s="8" t="e">
        <f>(M71+M76+M77+M82)*'Emission factors Trucks&amp;Trains'!#REF!*(2-$AS$81)</f>
        <v>#REF!</v>
      </c>
      <c r="AR291" s="8" t="e">
        <f>(N71+N76+N77+N82)*'Emission factors Trucks&amp;Trains'!#REF!*(2-$AS$81)</f>
        <v>#REF!</v>
      </c>
      <c r="AS291" s="8" t="e">
        <f>(O71+O76+O77+O82)*'Emission factors Trucks&amp;Trains'!#REF!*(2-$AS$81)</f>
        <v>#REF!</v>
      </c>
      <c r="AT291" s="8" t="e">
        <f>(P71+P76+P77+P82)*'Emission factors Trucks&amp;Trains'!#REF!*(2-$AS$81)</f>
        <v>#REF!</v>
      </c>
      <c r="AU291" s="8" t="e">
        <f>(Q71+Q76+Q77+Q82)*'Emission factors Trucks&amp;Trains'!#REF!*(2-$AS$81)</f>
        <v>#REF!</v>
      </c>
      <c r="AV291" s="8" t="e">
        <f>(R71+R76+R77+R82)*'Emission factors Trucks&amp;Trains'!#REF!*(2-$AS$81)</f>
        <v>#REF!</v>
      </c>
      <c r="AW291" s="8" t="e">
        <f>(S71+S76+S77+S82)*'Emission factors Trucks&amp;Trains'!#REF!*(2-$AS$81)</f>
        <v>#REF!</v>
      </c>
      <c r="AX291" s="8" t="e">
        <f>(T71+T76+T77+T82)*'Emission factors Trucks&amp;Trains'!#REF!*(2-$AS$81)</f>
        <v>#REF!</v>
      </c>
      <c r="AY291" s="8" t="e">
        <f>(U71+U76+U77+U82)*'Emission factors Trucks&amp;Trains'!#REF!*(2-$AS$81)</f>
        <v>#REF!</v>
      </c>
      <c r="AZ291" s="8" t="e">
        <f>(V71+V76+V77+V82)*'Emission factors Trucks&amp;Trains'!#REF!*(2-$AS$81)</f>
        <v>#REF!</v>
      </c>
      <c r="BA291" s="8" t="e">
        <f>(W71+W76+W77+W82)*'Emission factors Trucks&amp;Trains'!#REF!*(2-$AS$81)</f>
        <v>#REF!</v>
      </c>
      <c r="BB291" s="8" t="e">
        <f>(X71+X76+X77+X82)*'Emission factors Trucks&amp;Trains'!#REF!*(2-$AS$81)</f>
        <v>#REF!</v>
      </c>
      <c r="BC291" s="8" t="e">
        <f>(Y71+Y76+Y77+Y82)*'Emission factors Trucks&amp;Trains'!#REF!*(2-$AS$81)</f>
        <v>#REF!</v>
      </c>
      <c r="BD291" s="8" t="e">
        <f>(Z71+Z76+Z77+Z82)*'Emission factors Trucks&amp;Trains'!#REF!*(2-$AS$81)</f>
        <v>#REF!</v>
      </c>
      <c r="BE291" s="8" t="e">
        <f>(AA71+AA76+AA77+AA82)*'Emission factors Trucks&amp;Trains'!#REF!*(2-$AS$81)</f>
        <v>#REF!</v>
      </c>
      <c r="BF291" s="8" t="e">
        <f>(AB71+AB76+AB77+AB82)*'Emission factors Trucks&amp;Trains'!#REF!*(2-$AS$81)</f>
        <v>#REF!</v>
      </c>
    </row>
    <row r="292" spans="1:58" ht="15" customHeight="1">
      <c r="A292" s="487"/>
      <c r="B292" s="164" t="s">
        <v>346</v>
      </c>
      <c r="C292" s="6" t="s">
        <v>65</v>
      </c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G292" s="153" t="s">
        <v>348</v>
      </c>
      <c r="AH292" s="8" t="e">
        <f>(D71+D76+D77+D82)*'Emission factors Trucks&amp;Trains'!#REF!*(2-$AS$81)</f>
        <v>#REF!</v>
      </c>
      <c r="AI292" s="8" t="e">
        <f>(E71+E76+E77+E82)*'Emission factors Trucks&amp;Trains'!#REF!*(2-$AS$81)</f>
        <v>#REF!</v>
      </c>
      <c r="AJ292" s="8" t="e">
        <f>(F71+F76+F77+F82)*'Emission factors Trucks&amp;Trains'!#REF!*(2-$AS$81)</f>
        <v>#REF!</v>
      </c>
      <c r="AK292" s="8" t="e">
        <f>(G71+G76+G77+G82)*'Emission factors Trucks&amp;Trains'!#REF!*(2-$AS$81)</f>
        <v>#REF!</v>
      </c>
      <c r="AL292" s="8" t="e">
        <f>(H71+H76+H77+H82)*'Emission factors Trucks&amp;Trains'!#REF!*(2-$AS$81)</f>
        <v>#REF!</v>
      </c>
      <c r="AM292" s="8" t="e">
        <f>(I71+I76+I77+I82)*'Emission factors Trucks&amp;Trains'!#REF!*(2-$AS$81)</f>
        <v>#REF!</v>
      </c>
      <c r="AN292" s="8" t="e">
        <f>(J71+J76+J77+J82)*'Emission factors Trucks&amp;Trains'!#REF!*(2-$AS$81)</f>
        <v>#REF!</v>
      </c>
      <c r="AO292" s="8" t="e">
        <f>(K71+K76+K77+K82)*'Emission factors Trucks&amp;Trains'!#REF!*(2-$AS$81)</f>
        <v>#REF!</v>
      </c>
      <c r="AP292" s="8" t="e">
        <f>(L71+L76+L77+L82)*'Emission factors Trucks&amp;Trains'!#REF!*(2-$AS$81)</f>
        <v>#REF!</v>
      </c>
      <c r="AQ292" s="8" t="e">
        <f>(M71+M76+M77+M82)*'Emission factors Trucks&amp;Trains'!#REF!*(2-$AS$81)</f>
        <v>#REF!</v>
      </c>
      <c r="AR292" s="8" t="e">
        <f>(N71+N76+N77+N82)*'Emission factors Trucks&amp;Trains'!#REF!*(2-$AS$81)</f>
        <v>#REF!</v>
      </c>
      <c r="AS292" s="8" t="e">
        <f>(O71+O76+O77+O82)*'Emission factors Trucks&amp;Trains'!#REF!*(2-$AS$81)</f>
        <v>#REF!</v>
      </c>
      <c r="AT292" s="8" t="e">
        <f>(P71+P76+P77+P82)*'Emission factors Trucks&amp;Trains'!#REF!*(2-$AS$81)</f>
        <v>#REF!</v>
      </c>
      <c r="AU292" s="8" t="e">
        <f>(Q71+Q76+Q77+Q82)*'Emission factors Trucks&amp;Trains'!#REF!*(2-$AS$81)</f>
        <v>#REF!</v>
      </c>
      <c r="AV292" s="8" t="e">
        <f>(R71+R76+R77+R82)*'Emission factors Trucks&amp;Trains'!#REF!*(2-$AS$81)</f>
        <v>#REF!</v>
      </c>
      <c r="AW292" s="8" t="e">
        <f>(S71+S76+S77+S82)*'Emission factors Trucks&amp;Trains'!#REF!*(2-$AS$81)</f>
        <v>#REF!</v>
      </c>
      <c r="AX292" s="8" t="e">
        <f>(T71+T76+T77+T82)*'Emission factors Trucks&amp;Trains'!#REF!*(2-$AS$81)</f>
        <v>#REF!</v>
      </c>
      <c r="AY292" s="8" t="e">
        <f>(U71+U76+U77+U82)*'Emission factors Trucks&amp;Trains'!#REF!*(2-$AS$81)</f>
        <v>#REF!</v>
      </c>
      <c r="AZ292" s="8" t="e">
        <f>(V71+V76+V77+V82)*'Emission factors Trucks&amp;Trains'!#REF!*(2-$AS$81)</f>
        <v>#REF!</v>
      </c>
      <c r="BA292" s="8" t="e">
        <f>(W71+W76+W77+W82)*'Emission factors Trucks&amp;Trains'!#REF!*(2-$AS$81)</f>
        <v>#REF!</v>
      </c>
      <c r="BB292" s="8" t="e">
        <f>(X71+X76+X77+X82)*'Emission factors Trucks&amp;Trains'!#REF!*(2-$AS$81)</f>
        <v>#REF!</v>
      </c>
      <c r="BC292" s="8" t="e">
        <f>(Y71+Y76+Y77+Y82)*'Emission factors Trucks&amp;Trains'!#REF!*(2-$AS$81)</f>
        <v>#REF!</v>
      </c>
      <c r="BD292" s="8" t="e">
        <f>(Z71+Z76+Z77+Z82)*'Emission factors Trucks&amp;Trains'!#REF!*(2-$AS$81)</f>
        <v>#REF!</v>
      </c>
      <c r="BE292" s="8" t="e">
        <f>(AA71+AA76+AA77+AA82)*'Emission factors Trucks&amp;Trains'!#REF!*(2-$AS$81)</f>
        <v>#REF!</v>
      </c>
      <c r="BF292" s="8" t="e">
        <f>(AB71+AB76+AB77+AB82)*'Emission factors Trucks&amp;Trains'!#REF!*(2-$AS$81)</f>
        <v>#REF!</v>
      </c>
    </row>
    <row r="293" spans="1:58" ht="15" customHeight="1">
      <c r="A293" s="487"/>
      <c r="B293" s="164" t="s">
        <v>278</v>
      </c>
      <c r="C293" s="6" t="s">
        <v>65</v>
      </c>
      <c r="D293" s="163">
        <f>SUM('Air Basin Summary NOx BAU'!D132,'Air Basin Summary NOx BAU'!D151)</f>
        <v>0</v>
      </c>
      <c r="E293" s="163">
        <f>SUM('Air Basin Summary NOx BAU'!E132,'Air Basin Summary NOx BAU'!E151)</f>
        <v>-8.4944351515336972E-15</v>
      </c>
      <c r="F293" s="163">
        <f>SUM('Air Basin Summary NOx BAU'!F132,'Air Basin Summary NOx BAU'!F151)</f>
        <v>112.96368083519911</v>
      </c>
      <c r="G293" s="163">
        <f>SUM('Air Basin Summary NOx BAU'!G132,'Air Basin Summary NOx BAU'!G151)</f>
        <v>294.72256052785315</v>
      </c>
      <c r="H293" s="163">
        <f>SUM('Air Basin Summary NOx BAU'!H132,'Air Basin Summary NOx BAU'!H151)</f>
        <v>331.00298518633451</v>
      </c>
      <c r="I293" s="163">
        <f>SUM('Air Basin Summary NOx BAU'!I132,'Air Basin Summary NOx BAU'!I151)</f>
        <v>340.94908325601961</v>
      </c>
      <c r="J293" s="163">
        <f>SUM('Air Basin Summary NOx BAU'!J132,'Air Basin Summary NOx BAU'!J151)</f>
        <v>312.938977101668</v>
      </c>
      <c r="K293" s="163">
        <f>SUM('Air Basin Summary NOx BAU'!K132,'Air Basin Summary NOx BAU'!K151)</f>
        <v>306.21840699457988</v>
      </c>
      <c r="L293" s="163">
        <f>SUM('Air Basin Summary NOx BAU'!L132,'Air Basin Summary NOx BAU'!L151)</f>
        <v>173.08496398737154</v>
      </c>
      <c r="M293" s="163">
        <f>SUM('Air Basin Summary NOx BAU'!M132,'Air Basin Summary NOx BAU'!M151)</f>
        <v>155.33801696284769</v>
      </c>
      <c r="N293" s="163">
        <f>SUM('Air Basin Summary NOx BAU'!N132,'Air Basin Summary NOx BAU'!N151)</f>
        <v>147.49077224669824</v>
      </c>
      <c r="O293" s="163">
        <f>SUM('Air Basin Summary NOx BAU'!O132,'Air Basin Summary NOx BAU'!O151)</f>
        <v>139.40479838945964</v>
      </c>
      <c r="P293" s="163">
        <f>SUM('Air Basin Summary NOx BAU'!P132,'Air Basin Summary NOx BAU'!P151)</f>
        <v>132.98883207246195</v>
      </c>
      <c r="Q293" s="163">
        <f>SUM('Air Basin Summary NOx BAU'!Q132,'Air Basin Summary NOx BAU'!Q151)</f>
        <v>97.863540470452349</v>
      </c>
      <c r="R293" s="163">
        <f>SUM('Air Basin Summary NOx BAU'!R132,'Air Basin Summary NOx BAU'!R151)</f>
        <v>76.935196985510089</v>
      </c>
      <c r="S293" s="163">
        <f>SUM('Air Basin Summary NOx BAU'!S132,'Air Basin Summary NOx BAU'!S151)</f>
        <v>54.587585965864832</v>
      </c>
      <c r="T293" s="163">
        <f>SUM('Air Basin Summary NOx BAU'!T132,'Air Basin Summary NOx BAU'!T151)</f>
        <v>52.225038536060865</v>
      </c>
      <c r="U293" s="163">
        <f>SUM('Air Basin Summary NOx BAU'!U132,'Air Basin Summary NOx BAU'!U151)</f>
        <v>51.50939989619453</v>
      </c>
      <c r="V293" s="163">
        <f>SUM('Air Basin Summary NOx BAU'!V132,'Air Basin Summary NOx BAU'!V151)</f>
        <v>51.343098586217913</v>
      </c>
      <c r="W293" s="163">
        <f>SUM('Air Basin Summary NOx BAU'!W132,'Air Basin Summary NOx BAU'!W151)</f>
        <v>50.067629682588162</v>
      </c>
      <c r="X293" s="163">
        <f>SUM('Air Basin Summary NOx BAU'!X132,'Air Basin Summary NOx BAU'!X151)</f>
        <v>47.981871947427294</v>
      </c>
      <c r="Y293" s="163">
        <f>SUM('Air Basin Summary NOx BAU'!Y132,'Air Basin Summary NOx BAU'!Y151)</f>
        <v>47.135379887431924</v>
      </c>
      <c r="Z293" s="163">
        <f>SUM('Air Basin Summary NOx BAU'!Z132,'Air Basin Summary NOx BAU'!Z151)</f>
        <v>46.038494972978611</v>
      </c>
      <c r="AA293" s="163">
        <f>SUM('Air Basin Summary NOx BAU'!AA132,'Air Basin Summary NOx BAU'!AA151)</f>
        <v>44.953938119762014</v>
      </c>
      <c r="AB293" s="163">
        <f>SUM('Air Basin Summary NOx BAU'!AB132,'Air Basin Summary NOx BAU'!AB151)</f>
        <v>43.308825682681473</v>
      </c>
      <c r="AG293" s="153" t="s">
        <v>349</v>
      </c>
      <c r="AH293" s="8" t="e">
        <f>(D71+D76+D77+D82)*'Emission factors Trucks&amp;Trains'!#REF!*(2-$AS$81)</f>
        <v>#REF!</v>
      </c>
      <c r="AI293" s="8" t="e">
        <f>(E71+E76+E77+E82)*'Emission factors Trucks&amp;Trains'!#REF!*(2-$AS$81)</f>
        <v>#REF!</v>
      </c>
      <c r="AJ293" s="8" t="e">
        <f>(F71+F76+F77+F82)*'Emission factors Trucks&amp;Trains'!#REF!*(2-$AS$81)</f>
        <v>#REF!</v>
      </c>
      <c r="AK293" s="8" t="e">
        <f>(G71+G76+G77+G82)*'Emission factors Trucks&amp;Trains'!#REF!*(2-$AS$81)</f>
        <v>#REF!</v>
      </c>
      <c r="AL293" s="8" t="e">
        <f>(H71+H76+H77+H82)*'Emission factors Trucks&amp;Trains'!#REF!*(2-$AS$81)</f>
        <v>#REF!</v>
      </c>
      <c r="AM293" s="8" t="e">
        <f>(I71+I76+I77+I82)*'Emission factors Trucks&amp;Trains'!#REF!*(2-$AS$81)</f>
        <v>#REF!</v>
      </c>
      <c r="AN293" s="8" t="e">
        <f>(J71+J76+J77+J82)*'Emission factors Trucks&amp;Trains'!#REF!*(2-$AS$81)</f>
        <v>#REF!</v>
      </c>
      <c r="AO293" s="8" t="e">
        <f>(K71+K76+K77+K82)*'Emission factors Trucks&amp;Trains'!#REF!*(2-$AS$81)</f>
        <v>#REF!</v>
      </c>
      <c r="AP293" s="8" t="e">
        <f>(L71+L76+L77+L82)*'Emission factors Trucks&amp;Trains'!#REF!*(2-$AS$81)</f>
        <v>#REF!</v>
      </c>
      <c r="AQ293" s="8" t="e">
        <f>(M71+M76+M77+M82)*'Emission factors Trucks&amp;Trains'!#REF!*(2-$AS$81)</f>
        <v>#REF!</v>
      </c>
      <c r="AR293" s="8" t="e">
        <f>(N71+N76+N77+N82)*'Emission factors Trucks&amp;Trains'!#REF!*(2-$AS$81)</f>
        <v>#REF!</v>
      </c>
      <c r="AS293" s="8" t="e">
        <f>(O71+O76+O77+O82)*'Emission factors Trucks&amp;Trains'!#REF!*(2-$AS$81)</f>
        <v>#REF!</v>
      </c>
      <c r="AT293" s="8" t="e">
        <f>(P71+P76+P77+P82)*'Emission factors Trucks&amp;Trains'!#REF!*(2-$AS$81)</f>
        <v>#REF!</v>
      </c>
      <c r="AU293" s="8" t="e">
        <f>(Q71+Q76+Q77+Q82)*'Emission factors Trucks&amp;Trains'!#REF!*(2-$AS$81)</f>
        <v>#REF!</v>
      </c>
      <c r="AV293" s="8" t="e">
        <f>(R71+R76+R77+R82)*'Emission factors Trucks&amp;Trains'!#REF!*(2-$AS$81)</f>
        <v>#REF!</v>
      </c>
      <c r="AW293" s="8" t="e">
        <f>(S71+S76+S77+S82)*'Emission factors Trucks&amp;Trains'!#REF!*(2-$AS$81)</f>
        <v>#REF!</v>
      </c>
      <c r="AX293" s="8" t="e">
        <f>(T71+T76+T77+T82)*'Emission factors Trucks&amp;Trains'!#REF!*(2-$AS$81)</f>
        <v>#REF!</v>
      </c>
      <c r="AY293" s="8" t="e">
        <f>(U71+U76+U77+U82)*'Emission factors Trucks&amp;Trains'!#REF!*(2-$AS$81)</f>
        <v>#REF!</v>
      </c>
      <c r="AZ293" s="8" t="e">
        <f>(V71+V76+V77+V82)*'Emission factors Trucks&amp;Trains'!#REF!*(2-$AS$81)</f>
        <v>#REF!</v>
      </c>
      <c r="BA293" s="8" t="e">
        <f>(W71+W76+W77+W82)*'Emission factors Trucks&amp;Trains'!#REF!*(2-$AS$81)</f>
        <v>#REF!</v>
      </c>
      <c r="BB293" s="8" t="e">
        <f>(X71+X76+X77+X82)*'Emission factors Trucks&amp;Trains'!#REF!*(2-$AS$81)</f>
        <v>#REF!</v>
      </c>
      <c r="BC293" s="8" t="e">
        <f>(Y71+Y76+Y77+Y82)*'Emission factors Trucks&amp;Trains'!#REF!*(2-$AS$81)</f>
        <v>#REF!</v>
      </c>
      <c r="BD293" s="8" t="e">
        <f>(Z71+Z76+Z77+Z82)*'Emission factors Trucks&amp;Trains'!#REF!*(2-$AS$81)</f>
        <v>#REF!</v>
      </c>
      <c r="BE293" s="8" t="e">
        <f>(AA71+AA76+AA77+AA82)*'Emission factors Trucks&amp;Trains'!#REF!*(2-$AS$81)</f>
        <v>#REF!</v>
      </c>
      <c r="BF293" s="8" t="e">
        <f>(AB71+AB76+AB77+AB82)*'Emission factors Trucks&amp;Trains'!#REF!*(2-$AS$81)</f>
        <v>#REF!</v>
      </c>
    </row>
    <row r="294" spans="1:58" ht="15" customHeight="1">
      <c r="A294" s="487"/>
      <c r="B294" s="164" t="s">
        <v>347</v>
      </c>
      <c r="C294" s="6" t="s">
        <v>65</v>
      </c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G294" s="153" t="s">
        <v>246</v>
      </c>
      <c r="AH294" s="8">
        <f>(D71+D76+D77+D82+D73)*'Emission factors Trucks&amp;Trains'!B6*(2-$AS$81)</f>
        <v>0</v>
      </c>
      <c r="AI294" s="8">
        <f>(E71+E76+E77+E82+E73)*'Emission factors Trucks&amp;Trains'!C6*(2-$AS$81)</f>
        <v>0</v>
      </c>
      <c r="AJ294" s="8">
        <f>(F71+F76+F77+F82+F73)*'Emission factors Trucks&amp;Trains'!D6*(2-$AS$81)</f>
        <v>0</v>
      </c>
      <c r="AK294" s="8">
        <f>(G71+G76+G77+G82+G73)*'Emission factors Trucks&amp;Trains'!E6*(2-$AS$81)</f>
        <v>0</v>
      </c>
      <c r="AL294" s="8">
        <f>(H71+H76+H77+H82+H73)*'Emission factors Trucks&amp;Trains'!F6*(2-$AS$81)</f>
        <v>4073.1663225177745</v>
      </c>
      <c r="AM294" s="8">
        <f>(I71+I76+I77+I82+I73)*'Emission factors Trucks&amp;Trains'!G6*(2-$AS$81)</f>
        <v>34832.254459785741</v>
      </c>
      <c r="AN294" s="8">
        <f>(J71+J76+J77+J82+J73)*'Emission factors Trucks&amp;Trains'!H6*(2-$AS$81)</f>
        <v>52816.468343038367</v>
      </c>
      <c r="AO294" s="8">
        <f>(K71+K76+K77+K82+K73)*'Emission factors Trucks&amp;Trains'!I6*(2-$AS$81)</f>
        <v>62912.230464957895</v>
      </c>
      <c r="AP294" s="8">
        <f>(L71+L76+L77+L82+L73)*'Emission factors Trucks&amp;Trains'!J6*(2-$AS$81)</f>
        <v>68053.671425014632</v>
      </c>
      <c r="AQ294" s="8">
        <f>(M71+M76+M77+M82+M73)*'Emission factors Trucks&amp;Trains'!K6*(2-$AS$81)</f>
        <v>70365.316790514567</v>
      </c>
      <c r="AR294" s="8">
        <f>(N71+N76+N77+N82+N73)*'Emission factors Trucks&amp;Trains'!L6*(2-$AS$81)</f>
        <v>71128.022616108341</v>
      </c>
      <c r="AS294" s="8">
        <f>(O71+O76+O77+O82+O73)*'Emission factors Trucks&amp;Trains'!M6*(2-$AS$81)</f>
        <v>71209.934518963899</v>
      </c>
      <c r="AT294" s="8">
        <f>(P71+P76+P77+P82+P73)*'Emission factors Trucks&amp;Trains'!N6*(2-$AS$81)</f>
        <v>71343.435061475713</v>
      </c>
      <c r="AU294" s="8">
        <f>(Q71+Q76+Q77+Q82+Q73)*'Emission factors Trucks&amp;Trains'!O6*(2-$AS$81)</f>
        <v>69551.116644529393</v>
      </c>
      <c r="AV294" s="8">
        <f>(R71+R76+R77+R82+R73)*'Emission factors Trucks&amp;Trains'!P6*(2-$AS$81)</f>
        <v>67303.007567954643</v>
      </c>
      <c r="AW294" s="8">
        <f>(S71+S76+S77+S82+S73)*'Emission factors Trucks&amp;Trains'!Q6*(2-$AS$81)</f>
        <v>65045.904807037885</v>
      </c>
      <c r="AX294" s="8">
        <f>(T71+T76+T77+T82+T73)*'Emission factors Trucks&amp;Trains'!R6*(2-$AS$81)</f>
        <v>62781.766978953812</v>
      </c>
      <c r="AY294" s="8">
        <f>(U71+U76+U77+U82+U73)*'Emission factors Trucks&amp;Trains'!S6*(2-$AS$81)</f>
        <v>60649.749070040758</v>
      </c>
      <c r="AZ294" s="8">
        <f>(V71+V76+V77+V82+V73)*'Emission factors Trucks&amp;Trains'!T6*(2-$AS$81)</f>
        <v>59027.898641930922</v>
      </c>
      <c r="BA294" s="8">
        <f>(W71+W76+W77+W82+W73)*'Emission factors Trucks&amp;Trains'!U6*(2-$AS$81)</f>
        <v>57484.441583054853</v>
      </c>
      <c r="BB294" s="8">
        <f>(X71+X76+X77+X82+X73)*'Emission factors Trucks&amp;Trains'!V6*(2-$AS$81)</f>
        <v>55986.902305361618</v>
      </c>
      <c r="BC294" s="8">
        <f>(Y71+Y76+Y77+Y82+Y73)*'Emission factors Trucks&amp;Trains'!W6*(2-$AS$81)</f>
        <v>55647.485940935308</v>
      </c>
      <c r="BD294" s="8">
        <f>(Z71+Z76+Z77+Z82+Z73)*'Emission factors Trucks&amp;Trains'!X6*(2-$AS$81)</f>
        <v>55384.39714467452</v>
      </c>
      <c r="BE294" s="8">
        <f>(AA71+AA76+AA77+AA82+AA73)*'Emission factors Trucks&amp;Trains'!Y6*(2-$AS$81)</f>
        <v>55190.907358828386</v>
      </c>
      <c r="BF294" s="8">
        <f>(AB71+AB76+AB77+AB82+AB73)*'Emission factors Trucks&amp;Trains'!Z6*(2-$AS$81)</f>
        <v>55040.143030587446</v>
      </c>
    </row>
    <row r="295" spans="1:58" ht="15" customHeight="1">
      <c r="A295" s="487"/>
      <c r="B295" s="164" t="s">
        <v>348</v>
      </c>
      <c r="C295" s="6" t="s">
        <v>65</v>
      </c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G295" s="152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ht="43.9" customHeight="1">
      <c r="A296" s="487"/>
      <c r="B296" s="164" t="s">
        <v>349</v>
      </c>
      <c r="C296" s="6" t="s">
        <v>65</v>
      </c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F296" s="471" t="s">
        <v>395</v>
      </c>
      <c r="AG296" s="471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>
      <c r="A297" s="488"/>
      <c r="B297" s="165" t="s">
        <v>246</v>
      </c>
      <c r="C297" s="19" t="s">
        <v>65</v>
      </c>
      <c r="D297" s="163">
        <f>SUM('Air Basin Summary PM2.5 BAU'!D132,'Air Basin Summary PM2.5 BAU'!D151)</f>
        <v>0</v>
      </c>
      <c r="E297" s="163">
        <f>SUM('Air Basin Summary PM2.5 BAU'!E132,'Air Basin Summary PM2.5 BAU'!E151)</f>
        <v>-1.854693538432794E-16</v>
      </c>
      <c r="F297" s="163">
        <f>SUM('Air Basin Summary PM2.5 BAU'!F132,'Air Basin Summary PM2.5 BAU'!F151)</f>
        <v>2.6291628669914662</v>
      </c>
      <c r="G297" s="163">
        <f>SUM('Air Basin Summary PM2.5 BAU'!G132,'Air Basin Summary PM2.5 BAU'!G151)</f>
        <v>7.0762841373284919</v>
      </c>
      <c r="H297" s="163">
        <f>SUM('Air Basin Summary PM2.5 BAU'!H132,'Air Basin Summary PM2.5 BAU'!H151)</f>
        <v>7.9891766236085875</v>
      </c>
      <c r="I297" s="163">
        <f>SUM('Air Basin Summary PM2.5 BAU'!I132,'Air Basin Summary PM2.5 BAU'!I151)</f>
        <v>8.1905767441659769</v>
      </c>
      <c r="J297" s="163">
        <f>SUM('Air Basin Summary PM2.5 BAU'!J132,'Air Basin Summary PM2.5 BAU'!J151)</f>
        <v>7.4929406277974513</v>
      </c>
      <c r="K297" s="163">
        <f>SUM('Air Basin Summary PM2.5 BAU'!K132,'Air Basin Summary PM2.5 BAU'!K151)</f>
        <v>7.3153306601839958</v>
      </c>
      <c r="L297" s="163">
        <f>SUM('Air Basin Summary PM2.5 BAU'!L132,'Air Basin Summary PM2.5 BAU'!L151)</f>
        <v>3.7864958884852804</v>
      </c>
      <c r="M297" s="163">
        <f>SUM('Air Basin Summary PM2.5 BAU'!M132,'Air Basin Summary PM2.5 BAU'!M151)</f>
        <v>3.4862023927431611</v>
      </c>
      <c r="N297" s="163">
        <f>SUM('Air Basin Summary PM2.5 BAU'!N132,'Air Basin Summary PM2.5 BAU'!N151)</f>
        <v>3.3404272089803895</v>
      </c>
      <c r="O297" s="163">
        <f>SUM('Air Basin Summary PM2.5 BAU'!O132,'Air Basin Summary PM2.5 BAU'!O151)</f>
        <v>3.1930115460401645</v>
      </c>
      <c r="P297" s="163">
        <f>SUM('Air Basin Summary PM2.5 BAU'!P132,'Air Basin Summary PM2.5 BAU'!P151)</f>
        <v>3.0617742938920731</v>
      </c>
      <c r="Q297" s="163">
        <f>SUM('Air Basin Summary PM2.5 BAU'!Q132,'Air Basin Summary PM2.5 BAU'!Q151)</f>
        <v>2.5054949263727826</v>
      </c>
      <c r="R297" s="163">
        <f>SUM('Air Basin Summary PM2.5 BAU'!R132,'Air Basin Summary PM2.5 BAU'!R151)</f>
        <v>2.1437849994326794</v>
      </c>
      <c r="S297" s="163">
        <f>SUM('Air Basin Summary PM2.5 BAU'!S132,'Air Basin Summary PM2.5 BAU'!S151)</f>
        <v>1.7686360296974968</v>
      </c>
      <c r="T297" s="163">
        <f>SUM('Air Basin Summary PM2.5 BAU'!T132,'Air Basin Summary PM2.5 BAU'!T151)</f>
        <v>1.6908362751864972</v>
      </c>
      <c r="U297" s="163">
        <f>SUM('Air Basin Summary PM2.5 BAU'!U132,'Air Basin Summary PM2.5 BAU'!U151)</f>
        <v>1.6981178822075038</v>
      </c>
      <c r="V297" s="163">
        <f>SUM('Air Basin Summary PM2.5 BAU'!V132,'Air Basin Summary PM2.5 BAU'!V151)</f>
        <v>1.7088111028532926</v>
      </c>
      <c r="W297" s="163">
        <f>SUM('Air Basin Summary PM2.5 BAU'!W132,'Air Basin Summary PM2.5 BAU'!W151)</f>
        <v>1.6684102874453755</v>
      </c>
      <c r="X297" s="163">
        <f>SUM('Air Basin Summary PM2.5 BAU'!X132,'Air Basin Summary PM2.5 BAU'!X151)</f>
        <v>1.5929063037455307</v>
      </c>
      <c r="Y297" s="163">
        <f>SUM('Air Basin Summary PM2.5 BAU'!Y132,'Air Basin Summary PM2.5 BAU'!Y151)</f>
        <v>1.5849898047874951</v>
      </c>
      <c r="Z297" s="163">
        <f>SUM('Air Basin Summary PM2.5 BAU'!Z132,'Air Basin Summary PM2.5 BAU'!Z151)</f>
        <v>1.5674513005410382</v>
      </c>
      <c r="AA297" s="163">
        <f>SUM('Air Basin Summary PM2.5 BAU'!AA132,'Air Basin Summary PM2.5 BAU'!AA151)</f>
        <v>1.5500395307028381</v>
      </c>
      <c r="AB297" s="163">
        <f>SUM('Air Basin Summary PM2.5 BAU'!AB132,'Air Basin Summary PM2.5 BAU'!AB151)</f>
        <v>1.5100817283113697</v>
      </c>
      <c r="AG297" s="153" t="s">
        <v>343</v>
      </c>
      <c r="AH297" s="8" t="e">
        <f>(D106+D111+D112+D117+#REF!)*'Emission factors Trucks&amp;Trains'!#REF!*(2-$AS$81)</f>
        <v>#REF!</v>
      </c>
      <c r="AI297" s="8" t="e">
        <f>(E106+E111+E112+E117+#REF!)*'Emission factors Trucks&amp;Trains'!#REF!*(2-$AS$81)</f>
        <v>#REF!</v>
      </c>
      <c r="AJ297" s="8" t="e">
        <f>(F106+F111+F112+F117+#REF!)*'Emission factors Trucks&amp;Trains'!#REF!*(2-$AS$81)</f>
        <v>#REF!</v>
      </c>
      <c r="AK297" s="8" t="e">
        <f>(G106+G111+G112+G117+#REF!)*'Emission factors Trucks&amp;Trains'!#REF!*(2-$AS$81)</f>
        <v>#REF!</v>
      </c>
      <c r="AL297" s="8" t="e">
        <f>(H106+H111+H112+H117+#REF!)*'Emission factors Trucks&amp;Trains'!#REF!*(2-$AS$81)</f>
        <v>#REF!</v>
      </c>
      <c r="AM297" s="8" t="e">
        <f>(I106+I111+I112+I117+#REF!)*'Emission factors Trucks&amp;Trains'!#REF!*(2-$AS$81)</f>
        <v>#REF!</v>
      </c>
      <c r="AN297" s="8" t="e">
        <f>(J106+J111+J112+J117+#REF!)*'Emission factors Trucks&amp;Trains'!#REF!*(2-$AS$81)</f>
        <v>#REF!</v>
      </c>
      <c r="AO297" s="8" t="e">
        <f>(K106+K111+K112+K117+#REF!)*'Emission factors Trucks&amp;Trains'!#REF!*(2-$AS$81)</f>
        <v>#REF!</v>
      </c>
      <c r="AP297" s="8" t="e">
        <f>(L106+L111+L112+L117+#REF!)*'Emission factors Trucks&amp;Trains'!#REF!*(2-$AS$81)</f>
        <v>#REF!</v>
      </c>
      <c r="AQ297" s="8" t="e">
        <f>(M106+M111+M112+M117+#REF!)*'Emission factors Trucks&amp;Trains'!#REF!*(2-$AS$81)</f>
        <v>#REF!</v>
      </c>
      <c r="AR297" s="8" t="e">
        <f>(N106+N111+N112+N117+#REF!)*'Emission factors Trucks&amp;Trains'!#REF!*(2-$AS$81)</f>
        <v>#REF!</v>
      </c>
      <c r="AS297" s="8" t="e">
        <f>(O106+O111+O112+O117+#REF!)*'Emission factors Trucks&amp;Trains'!#REF!*(2-$AS$81)</f>
        <v>#REF!</v>
      </c>
      <c r="AT297" s="8" t="e">
        <f>(P106+P111+P112+P117+#REF!)*'Emission factors Trucks&amp;Trains'!#REF!*(2-$AS$81)</f>
        <v>#REF!</v>
      </c>
      <c r="AU297" s="8" t="e">
        <f>(Q106+Q111+Q112+Q117+#REF!)*'Emission factors Trucks&amp;Trains'!#REF!*(2-$AS$81)</f>
        <v>#REF!</v>
      </c>
      <c r="AV297" s="8" t="e">
        <f>(R106+R111+R112+R117+#REF!)*'Emission factors Trucks&amp;Trains'!#REF!*(2-$AS$81)</f>
        <v>#REF!</v>
      </c>
      <c r="AW297" s="8" t="e">
        <f>(S106+S111+S112+S117+#REF!)*'Emission factors Trucks&amp;Trains'!#REF!*(2-$AS$81)</f>
        <v>#REF!</v>
      </c>
      <c r="AX297" s="8" t="e">
        <f>(T106+T111+T112+T117+#REF!)*'Emission factors Trucks&amp;Trains'!#REF!*(2-$AS$81)</f>
        <v>#REF!</v>
      </c>
      <c r="AY297" s="8" t="e">
        <f>(U106+U111+U112+U117+#REF!)*'Emission factors Trucks&amp;Trains'!#REF!*(2-$AS$81)</f>
        <v>#REF!</v>
      </c>
      <c r="AZ297" s="8" t="e">
        <f>(V106+V111+V112+V117+#REF!)*'Emission factors Trucks&amp;Trains'!#REF!*(2-$AS$81)</f>
        <v>#REF!</v>
      </c>
      <c r="BA297" s="8" t="e">
        <f>(W106+W111+W112+W117+#REF!)*'Emission factors Trucks&amp;Trains'!#REF!*(2-$AS$81)</f>
        <v>#REF!</v>
      </c>
      <c r="BB297" s="8" t="e">
        <f>(X106+X111+X112+X117+#REF!)*'Emission factors Trucks&amp;Trains'!#REF!*(2-$AS$81)</f>
        <v>#REF!</v>
      </c>
      <c r="BC297" s="8" t="e">
        <f>(Y106+Y111+Y112+Y117+#REF!)*'Emission factors Trucks&amp;Trains'!#REF!*(2-$AS$81)</f>
        <v>#REF!</v>
      </c>
      <c r="BD297" s="8" t="e">
        <f>(Z106+Z111+Z112+Z117+#REF!)*'Emission factors Trucks&amp;Trains'!#REF!*(2-$AS$81)</f>
        <v>#REF!</v>
      </c>
      <c r="BE297" s="8" t="e">
        <f>(AA106+AA111+AA112+AA117+#REF!)*'Emission factors Trucks&amp;Trains'!#REF!*(2-$AS$81)</f>
        <v>#REF!</v>
      </c>
      <c r="BF297" s="8" t="e">
        <f>(AB106+AB111+AB112+AB117+#REF!)*'Emission factors Trucks&amp;Trains'!#REF!*(2-$AS$81)</f>
        <v>#REF!</v>
      </c>
    </row>
    <row r="298" spans="1:58">
      <c r="AG298" s="153" t="s">
        <v>345</v>
      </c>
      <c r="AH298" s="8" t="e">
        <f>(D106+D111+D112+D117+#REF!)*'Emission factors Trucks&amp;Trains'!#REF!*(2-$AS$81)</f>
        <v>#REF!</v>
      </c>
      <c r="AI298" s="8" t="e">
        <f>(E106+E111+E112+E117+#REF!)*'Emission factors Trucks&amp;Trains'!#REF!*(2-$AS$81)</f>
        <v>#REF!</v>
      </c>
      <c r="AJ298" s="8" t="e">
        <f>(F106+F111+F112+F117+#REF!)*'Emission factors Trucks&amp;Trains'!#REF!*(2-$AS$81)</f>
        <v>#REF!</v>
      </c>
      <c r="AK298" s="8" t="e">
        <f>(G106+G111+G112+G117+#REF!)*'Emission factors Trucks&amp;Trains'!#REF!*(2-$AS$81)</f>
        <v>#REF!</v>
      </c>
      <c r="AL298" s="8" t="e">
        <f>(H106+H111+H112+H117+#REF!)*'Emission factors Trucks&amp;Trains'!#REF!*(2-$AS$81)</f>
        <v>#REF!</v>
      </c>
      <c r="AM298" s="8" t="e">
        <f>(I106+I111+I112+I117+#REF!)*'Emission factors Trucks&amp;Trains'!#REF!*(2-$AS$81)</f>
        <v>#REF!</v>
      </c>
      <c r="AN298" s="8" t="e">
        <f>(J106+J111+J112+J117+#REF!)*'Emission factors Trucks&amp;Trains'!#REF!*(2-$AS$81)</f>
        <v>#REF!</v>
      </c>
      <c r="AO298" s="8" t="e">
        <f>(K106+K111+K112+K117+#REF!)*'Emission factors Trucks&amp;Trains'!#REF!*(2-$AS$81)</f>
        <v>#REF!</v>
      </c>
      <c r="AP298" s="8" t="e">
        <f>(L106+L111+L112+L117+#REF!)*'Emission factors Trucks&amp;Trains'!#REF!*(2-$AS$81)</f>
        <v>#REF!</v>
      </c>
      <c r="AQ298" s="8" t="e">
        <f>(M106+M111+M112+M117+#REF!)*'Emission factors Trucks&amp;Trains'!#REF!*(2-$AS$81)</f>
        <v>#REF!</v>
      </c>
      <c r="AR298" s="8" t="e">
        <f>(N106+N111+N112+N117+#REF!)*'Emission factors Trucks&amp;Trains'!#REF!*(2-$AS$81)</f>
        <v>#REF!</v>
      </c>
      <c r="AS298" s="8" t="e">
        <f>(O106+O111+O112+O117+#REF!)*'Emission factors Trucks&amp;Trains'!#REF!*(2-$AS$81)</f>
        <v>#REF!</v>
      </c>
      <c r="AT298" s="8" t="e">
        <f>(P106+P111+P112+P117+#REF!)*'Emission factors Trucks&amp;Trains'!#REF!*(2-$AS$81)</f>
        <v>#REF!</v>
      </c>
      <c r="AU298" s="8" t="e">
        <f>(Q106+Q111+Q112+Q117+#REF!)*'Emission factors Trucks&amp;Trains'!#REF!*(2-$AS$81)</f>
        <v>#REF!</v>
      </c>
      <c r="AV298" s="8" t="e">
        <f>(R106+R111+R112+R117+#REF!)*'Emission factors Trucks&amp;Trains'!#REF!*(2-$AS$81)</f>
        <v>#REF!</v>
      </c>
      <c r="AW298" s="8" t="e">
        <f>(S106+S111+S112+S117+#REF!)*'Emission factors Trucks&amp;Trains'!#REF!*(2-$AS$81)</f>
        <v>#REF!</v>
      </c>
      <c r="AX298" s="8" t="e">
        <f>(T106+T111+T112+T117+#REF!)*'Emission factors Trucks&amp;Trains'!#REF!*(2-$AS$81)</f>
        <v>#REF!</v>
      </c>
      <c r="AY298" s="8" t="e">
        <f>(U106+U111+U112+U117+#REF!)*'Emission factors Trucks&amp;Trains'!#REF!*(2-$AS$81)</f>
        <v>#REF!</v>
      </c>
      <c r="AZ298" s="8" t="e">
        <f>(V106+V111+V112+V117+#REF!)*'Emission factors Trucks&amp;Trains'!#REF!*(2-$AS$81)</f>
        <v>#REF!</v>
      </c>
      <c r="BA298" s="8" t="e">
        <f>(W106+W111+W112+W117+#REF!)*'Emission factors Trucks&amp;Trains'!#REF!*(2-$AS$81)</f>
        <v>#REF!</v>
      </c>
      <c r="BB298" s="8" t="e">
        <f>(X106+X111+X112+X117+#REF!)*'Emission factors Trucks&amp;Trains'!#REF!*(2-$AS$81)</f>
        <v>#REF!</v>
      </c>
      <c r="BC298" s="8" t="e">
        <f>(Y106+Y111+Y112+Y117+#REF!)*'Emission factors Trucks&amp;Trains'!#REF!*(2-$AS$81)</f>
        <v>#REF!</v>
      </c>
      <c r="BD298" s="8" t="e">
        <f>(Z106+Z111+Z112+Z117+#REF!)*'Emission factors Trucks&amp;Trains'!#REF!*(2-$AS$81)</f>
        <v>#REF!</v>
      </c>
      <c r="BE298" s="8" t="e">
        <f>(AA106+AA111+AA112+AA117+#REF!)*'Emission factors Trucks&amp;Trains'!#REF!*(2-$AS$81)</f>
        <v>#REF!</v>
      </c>
      <c r="BF298" s="8" t="e">
        <f>(AB106+AB111+AB112+AB117+#REF!)*'Emission factors Trucks&amp;Trains'!#REF!*(2-$AS$81)</f>
        <v>#REF!</v>
      </c>
    </row>
    <row r="299" spans="1:58">
      <c r="AG299" s="153" t="s">
        <v>346</v>
      </c>
      <c r="AH299" s="8" t="e">
        <f>(D106+D111+D112+D117+#REF!)*'Emission factors Trucks&amp;Trains'!#REF!*(2-$AS$81)</f>
        <v>#REF!</v>
      </c>
      <c r="AI299" s="8" t="e">
        <f>(E106+E111+E112+E117+#REF!)*'Emission factors Trucks&amp;Trains'!#REF!*(2-$AS$81)</f>
        <v>#REF!</v>
      </c>
      <c r="AJ299" s="8" t="e">
        <f>(F106+F111+F112+F117+#REF!)*'Emission factors Trucks&amp;Trains'!#REF!*(2-$AS$81)</f>
        <v>#REF!</v>
      </c>
      <c r="AK299" s="8" t="e">
        <f>(G106+G111+G112+G117+#REF!)*'Emission factors Trucks&amp;Trains'!#REF!*(2-$AS$81)</f>
        <v>#REF!</v>
      </c>
      <c r="AL299" s="8" t="e">
        <f>(H106+H111+H112+H117+#REF!)*'Emission factors Trucks&amp;Trains'!#REF!*(2-$AS$81)</f>
        <v>#REF!</v>
      </c>
      <c r="AM299" s="8" t="e">
        <f>(I106+I111+I112+I117+#REF!)*'Emission factors Trucks&amp;Trains'!#REF!*(2-$AS$81)</f>
        <v>#REF!</v>
      </c>
      <c r="AN299" s="8" t="e">
        <f>(J106+J111+J112+J117+#REF!)*'Emission factors Trucks&amp;Trains'!#REF!*(2-$AS$81)</f>
        <v>#REF!</v>
      </c>
      <c r="AO299" s="8" t="e">
        <f>(K106+K111+K112+K117+#REF!)*'Emission factors Trucks&amp;Trains'!#REF!*(2-$AS$81)</f>
        <v>#REF!</v>
      </c>
      <c r="AP299" s="8" t="e">
        <f>(L106+L111+L112+L117+#REF!)*'Emission factors Trucks&amp;Trains'!#REF!*(2-$AS$81)</f>
        <v>#REF!</v>
      </c>
      <c r="AQ299" s="8" t="e">
        <f>(M106+M111+M112+M117+#REF!)*'Emission factors Trucks&amp;Trains'!#REF!*(2-$AS$81)</f>
        <v>#REF!</v>
      </c>
      <c r="AR299" s="8" t="e">
        <f>(N106+N111+N112+N117+#REF!)*'Emission factors Trucks&amp;Trains'!#REF!*(2-$AS$81)</f>
        <v>#REF!</v>
      </c>
      <c r="AS299" s="8" t="e">
        <f>(O106+O111+O112+O117+#REF!)*'Emission factors Trucks&amp;Trains'!#REF!*(2-$AS$81)</f>
        <v>#REF!</v>
      </c>
      <c r="AT299" s="8" t="e">
        <f>(P106+P111+P112+P117+#REF!)*'Emission factors Trucks&amp;Trains'!#REF!*(2-$AS$81)</f>
        <v>#REF!</v>
      </c>
      <c r="AU299" s="8" t="e">
        <f>(Q106+Q111+Q112+Q117+#REF!)*'Emission factors Trucks&amp;Trains'!#REF!*(2-$AS$81)</f>
        <v>#REF!</v>
      </c>
      <c r="AV299" s="8" t="e">
        <f>(R106+R111+R112+R117+#REF!)*'Emission factors Trucks&amp;Trains'!#REF!*(2-$AS$81)</f>
        <v>#REF!</v>
      </c>
      <c r="AW299" s="8" t="e">
        <f>(S106+S111+S112+S117+#REF!)*'Emission factors Trucks&amp;Trains'!#REF!*(2-$AS$81)</f>
        <v>#REF!</v>
      </c>
      <c r="AX299" s="8" t="e">
        <f>(T106+T111+T112+T117+#REF!)*'Emission factors Trucks&amp;Trains'!#REF!*(2-$AS$81)</f>
        <v>#REF!</v>
      </c>
      <c r="AY299" s="8" t="e">
        <f>(U106+U111+U112+U117+#REF!)*'Emission factors Trucks&amp;Trains'!#REF!*(2-$AS$81)</f>
        <v>#REF!</v>
      </c>
      <c r="AZ299" s="8" t="e">
        <f>(V106+V111+V112+V117+#REF!)*'Emission factors Trucks&amp;Trains'!#REF!*(2-$AS$81)</f>
        <v>#REF!</v>
      </c>
      <c r="BA299" s="8" t="e">
        <f>(W106+W111+W112+W117+#REF!)*'Emission factors Trucks&amp;Trains'!#REF!*(2-$AS$81)</f>
        <v>#REF!</v>
      </c>
      <c r="BB299" s="8" t="e">
        <f>(X106+X111+X112+X117+#REF!)*'Emission factors Trucks&amp;Trains'!#REF!*(2-$AS$81)</f>
        <v>#REF!</v>
      </c>
      <c r="BC299" s="8" t="e">
        <f>(Y106+Y111+Y112+Y117+#REF!)*'Emission factors Trucks&amp;Trains'!#REF!*(2-$AS$81)</f>
        <v>#REF!</v>
      </c>
      <c r="BD299" s="8" t="e">
        <f>(Z106+Z111+Z112+Z117+#REF!)*'Emission factors Trucks&amp;Trains'!#REF!*(2-$AS$81)</f>
        <v>#REF!</v>
      </c>
      <c r="BE299" s="8" t="e">
        <f>(AA106+AA111+AA112+AA117+#REF!)*'Emission factors Trucks&amp;Trains'!#REF!*(2-$AS$81)</f>
        <v>#REF!</v>
      </c>
      <c r="BF299" s="8" t="e">
        <f>(AB106+AB111+AB112+AB117+#REF!)*'Emission factors Trucks&amp;Trains'!#REF!*(2-$AS$81)</f>
        <v>#REF!</v>
      </c>
    </row>
    <row r="300" spans="1:58" ht="30" customHeight="1">
      <c r="AG300" s="153" t="s">
        <v>278</v>
      </c>
      <c r="AH300" s="8">
        <f>(D108+D111+D112+D117)*'Emission factors Trucks&amp;Trains'!B5*(2-$AS$81)</f>
        <v>0</v>
      </c>
      <c r="AI300" s="8">
        <f>(E108+E111+E112+E117)*'Emission factors Trucks&amp;Trains'!C5*(2-$AS$81)</f>
        <v>0</v>
      </c>
      <c r="AJ300" s="8">
        <f>(F108+F111+F112+F117)*'Emission factors Trucks&amp;Trains'!D5*(2-$AS$81)</f>
        <v>0</v>
      </c>
      <c r="AK300" s="8">
        <f>(G108+G111+G112+G117)*'Emission factors Trucks&amp;Trains'!E5*(2-$AS$81)</f>
        <v>0</v>
      </c>
      <c r="AL300" s="8">
        <f>(H108+H111+H112+H117)*'Emission factors Trucks&amp;Trains'!F5*(2-$AS$81)</f>
        <v>45957.95730547102</v>
      </c>
      <c r="AM300" s="8">
        <f>(I108+I111+I112+I117)*'Emission factors Trucks&amp;Trains'!G5*(2-$AS$81)</f>
        <v>348562.04370754742</v>
      </c>
      <c r="AN300" s="8">
        <f>(J108+J111+J112+J117)*'Emission factors Trucks&amp;Trains'!H5*(2-$AS$81)</f>
        <v>465479.01059649984</v>
      </c>
      <c r="AO300" s="8">
        <f>(K108+K111+K112+K117)*'Emission factors Trucks&amp;Trains'!I5*(2-$AS$81)</f>
        <v>508042.79149330017</v>
      </c>
      <c r="AP300" s="8">
        <f>(L108+L111+L112+L117)*'Emission factors Trucks&amp;Trains'!J5*(2-$AS$81)</f>
        <v>508483.14458327979</v>
      </c>
      <c r="AQ300" s="8">
        <f>(M108+M111+M112+M117)*'Emission factors Trucks&amp;Trains'!K5*(2-$AS$81)</f>
        <v>486937.13799093972</v>
      </c>
      <c r="AR300" s="8">
        <f>(N108+N111+N112+N117)*'Emission factors Trucks&amp;Trains'!L5*(2-$AS$81)</f>
        <v>458159.60324516939</v>
      </c>
      <c r="AS300" s="8">
        <f>(O108+O111+O112+O117)*'Emission factors Trucks&amp;Trains'!M5*(2-$AS$81)</f>
        <v>429735.89103593043</v>
      </c>
      <c r="AT300" s="8">
        <f>(P108+P111+P112+P117)*'Emission factors Trucks&amp;Trains'!N5*(2-$AS$81)</f>
        <v>406329.07786948158</v>
      </c>
      <c r="AU300" s="8">
        <f>(Q108+Q111+Q112+Q117)*'Emission factors Trucks&amp;Trains'!O5*(2-$AS$81)</f>
        <v>373412.56574006344</v>
      </c>
      <c r="AV300" s="8">
        <f>(R108+R111+R112+R117)*'Emission factors Trucks&amp;Trains'!P5*(2-$AS$81)</f>
        <v>361043.03452116699</v>
      </c>
      <c r="AW300" s="8">
        <f>(S108+S111+S112+S117)*'Emission factors Trucks&amp;Trains'!Q5*(2-$AS$81)</f>
        <v>336283.69589358993</v>
      </c>
      <c r="AX300" s="8">
        <f>(T108+T111+T112+T117)*'Emission factors Trucks&amp;Trains'!R5*(2-$AS$81)</f>
        <v>314931.60976014909</v>
      </c>
      <c r="AY300" s="8">
        <f>(U108+U111+U112+U117)*'Emission factors Trucks&amp;Trains'!S5*(2-$AS$81)</f>
        <v>296690.29622523492</v>
      </c>
      <c r="AZ300" s="8">
        <f>(V108+V111+V112+V117)*'Emission factors Trucks&amp;Trains'!T5*(2-$AS$81)</f>
        <v>286220.60115295771</v>
      </c>
      <c r="BA300" s="8">
        <f>(W108+W111+W112+W117)*'Emission factors Trucks&amp;Trains'!U5*(2-$AS$81)</f>
        <v>277768.77898968983</v>
      </c>
      <c r="BB300" s="8">
        <f>(X108+X111+X112+X117)*'Emission factors Trucks&amp;Trains'!V5*(2-$AS$81)</f>
        <v>270850.93805198686</v>
      </c>
      <c r="BC300" s="8">
        <f>(Y108+Y111+Y112+Y117)*'Emission factors Trucks&amp;Trains'!W5*(2-$AS$81)</f>
        <v>265015.11658976617</v>
      </c>
      <c r="BD300" s="8">
        <f>(Z108+Z111+Z112+Z117)*'Emission factors Trucks&amp;Trains'!X5*(2-$AS$81)</f>
        <v>260017.89063685815</v>
      </c>
      <c r="BE300" s="8">
        <f>(AA108+AA111+AA112+AA117)*'Emission factors Trucks&amp;Trains'!Y5*(2-$AS$81)</f>
        <v>255942.75828080607</v>
      </c>
      <c r="BF300" s="8">
        <f>(AB108+AB111+AB112+AB117)*'Emission factors Trucks&amp;Trains'!Z5*(2-$AS$81)</f>
        <v>252028.11695998741</v>
      </c>
    </row>
    <row r="301" spans="1:58">
      <c r="AG301" s="153" t="s">
        <v>347</v>
      </c>
      <c r="AH301" s="8" t="e">
        <f>(D106+D111+D112+D117+#REF!)*'Emission factors Trucks&amp;Trains'!#REF!*(2-$AS$81)</f>
        <v>#REF!</v>
      </c>
      <c r="AI301" s="8" t="e">
        <f>(E106+E111+E112+E117+#REF!)*'Emission factors Trucks&amp;Trains'!#REF!*(2-$AS$81)</f>
        <v>#REF!</v>
      </c>
      <c r="AJ301" s="8" t="e">
        <f>(F106+F111+F112+F117+#REF!)*'Emission factors Trucks&amp;Trains'!#REF!*(2-$AS$81)</f>
        <v>#REF!</v>
      </c>
      <c r="AK301" s="8" t="e">
        <f>(G106+G111+G112+G117+#REF!)*'Emission factors Trucks&amp;Trains'!#REF!*(2-$AS$81)</f>
        <v>#REF!</v>
      </c>
      <c r="AL301" s="8" t="e">
        <f>(H106+H111+H112+H117+#REF!)*'Emission factors Trucks&amp;Trains'!#REF!*(2-$AS$81)</f>
        <v>#REF!</v>
      </c>
      <c r="AM301" s="8" t="e">
        <f>(I106+I111+I112+I117+#REF!)*'Emission factors Trucks&amp;Trains'!#REF!*(2-$AS$81)</f>
        <v>#REF!</v>
      </c>
      <c r="AN301" s="8" t="e">
        <f>(J106+J111+J112+J117+#REF!)*'Emission factors Trucks&amp;Trains'!#REF!*(2-$AS$81)</f>
        <v>#REF!</v>
      </c>
      <c r="AO301" s="8" t="e">
        <f>(K106+K111+K112+K117+#REF!)*'Emission factors Trucks&amp;Trains'!#REF!*(2-$AS$81)</f>
        <v>#REF!</v>
      </c>
      <c r="AP301" s="8" t="e">
        <f>(L106+L111+L112+L117+#REF!)*'Emission factors Trucks&amp;Trains'!#REF!*(2-$AS$81)</f>
        <v>#REF!</v>
      </c>
      <c r="AQ301" s="8" t="e">
        <f>(M106+M111+M112+M117+#REF!)*'Emission factors Trucks&amp;Trains'!#REF!*(2-$AS$81)</f>
        <v>#REF!</v>
      </c>
      <c r="AR301" s="8" t="e">
        <f>(N106+N111+N112+N117+#REF!)*'Emission factors Trucks&amp;Trains'!#REF!*(2-$AS$81)</f>
        <v>#REF!</v>
      </c>
      <c r="AS301" s="8" t="e">
        <f>(O106+O111+O112+O117+#REF!)*'Emission factors Trucks&amp;Trains'!#REF!*(2-$AS$81)</f>
        <v>#REF!</v>
      </c>
      <c r="AT301" s="8" t="e">
        <f>(P106+P111+P112+P117+#REF!)*'Emission factors Trucks&amp;Trains'!#REF!*(2-$AS$81)</f>
        <v>#REF!</v>
      </c>
      <c r="AU301" s="8" t="e">
        <f>(Q106+Q111+Q112+Q117+#REF!)*'Emission factors Trucks&amp;Trains'!#REF!*(2-$AS$81)</f>
        <v>#REF!</v>
      </c>
      <c r="AV301" s="8" t="e">
        <f>(R106+R111+R112+R117+#REF!)*'Emission factors Trucks&amp;Trains'!#REF!*(2-$AS$81)</f>
        <v>#REF!</v>
      </c>
      <c r="AW301" s="8" t="e">
        <f>(S106+S111+S112+S117+#REF!)*'Emission factors Trucks&amp;Trains'!#REF!*(2-$AS$81)</f>
        <v>#REF!</v>
      </c>
      <c r="AX301" s="8" t="e">
        <f>(T106+T111+T112+T117+#REF!)*'Emission factors Trucks&amp;Trains'!#REF!*(2-$AS$81)</f>
        <v>#REF!</v>
      </c>
      <c r="AY301" s="8" t="e">
        <f>(U106+U111+U112+U117+#REF!)*'Emission factors Trucks&amp;Trains'!#REF!*(2-$AS$81)</f>
        <v>#REF!</v>
      </c>
      <c r="AZ301" s="8" t="e">
        <f>(V106+V111+V112+V117+#REF!)*'Emission factors Trucks&amp;Trains'!#REF!*(2-$AS$81)</f>
        <v>#REF!</v>
      </c>
      <c r="BA301" s="8" t="e">
        <f>(W106+W111+W112+W117+#REF!)*'Emission factors Trucks&amp;Trains'!#REF!*(2-$AS$81)</f>
        <v>#REF!</v>
      </c>
      <c r="BB301" s="8" t="e">
        <f>(X106+X111+X112+X117+#REF!)*'Emission factors Trucks&amp;Trains'!#REF!*(2-$AS$81)</f>
        <v>#REF!</v>
      </c>
      <c r="BC301" s="8" t="e">
        <f>(Y106+Y111+Y112+Y117+#REF!)*'Emission factors Trucks&amp;Trains'!#REF!*(2-$AS$81)</f>
        <v>#REF!</v>
      </c>
      <c r="BD301" s="8" t="e">
        <f>(Z106+Z111+Z112+Z117+#REF!)*'Emission factors Trucks&amp;Trains'!#REF!*(2-$AS$81)</f>
        <v>#REF!</v>
      </c>
      <c r="BE301" s="8" t="e">
        <f>(AA106+AA111+AA112+AA117+#REF!)*'Emission factors Trucks&amp;Trains'!#REF!*(2-$AS$81)</f>
        <v>#REF!</v>
      </c>
      <c r="BF301" s="8" t="e">
        <f>(AB106+AB111+AB112+AB117+#REF!)*'Emission factors Trucks&amp;Trains'!#REF!*(2-$AS$81)</f>
        <v>#REF!</v>
      </c>
    </row>
    <row r="302" spans="1:58">
      <c r="AG302" s="153" t="s">
        <v>348</v>
      </c>
      <c r="AH302" s="8" t="e">
        <f>(D106+D111+D112+D117+#REF!)*'Emission factors Trucks&amp;Trains'!#REF!*(2-$AS$81)</f>
        <v>#REF!</v>
      </c>
      <c r="AI302" s="8" t="e">
        <f>(E106+E111+E112+E117+#REF!)*'Emission factors Trucks&amp;Trains'!#REF!*(2-$AS$81)</f>
        <v>#REF!</v>
      </c>
      <c r="AJ302" s="8" t="e">
        <f>(F106+F111+F112+F117+#REF!)*'Emission factors Trucks&amp;Trains'!#REF!*(2-$AS$81)</f>
        <v>#REF!</v>
      </c>
      <c r="AK302" s="8" t="e">
        <f>(G106+G111+G112+G117+#REF!)*'Emission factors Trucks&amp;Trains'!#REF!*(2-$AS$81)</f>
        <v>#REF!</v>
      </c>
      <c r="AL302" s="8" t="e">
        <f>(H106+H111+H112+H117+#REF!)*'Emission factors Trucks&amp;Trains'!#REF!*(2-$AS$81)</f>
        <v>#REF!</v>
      </c>
      <c r="AM302" s="8" t="e">
        <f>(I106+I111+I112+I117+#REF!)*'Emission factors Trucks&amp;Trains'!#REF!*(2-$AS$81)</f>
        <v>#REF!</v>
      </c>
      <c r="AN302" s="8" t="e">
        <f>(J106+J111+J112+J117+#REF!)*'Emission factors Trucks&amp;Trains'!#REF!*(2-$AS$81)</f>
        <v>#REF!</v>
      </c>
      <c r="AO302" s="8" t="e">
        <f>(K106+K111+K112+K117+#REF!)*'Emission factors Trucks&amp;Trains'!#REF!*(2-$AS$81)</f>
        <v>#REF!</v>
      </c>
      <c r="AP302" s="8" t="e">
        <f>(L106+L111+L112+L117+#REF!)*'Emission factors Trucks&amp;Trains'!#REF!*(2-$AS$81)</f>
        <v>#REF!</v>
      </c>
      <c r="AQ302" s="8" t="e">
        <f>(M106+M111+M112+M117+#REF!)*'Emission factors Trucks&amp;Trains'!#REF!*(2-$AS$81)</f>
        <v>#REF!</v>
      </c>
      <c r="AR302" s="8" t="e">
        <f>(N106+N111+N112+N117+#REF!)*'Emission factors Trucks&amp;Trains'!#REF!*(2-$AS$81)</f>
        <v>#REF!</v>
      </c>
      <c r="AS302" s="8" t="e">
        <f>(O106+O111+O112+O117+#REF!)*'Emission factors Trucks&amp;Trains'!#REF!*(2-$AS$81)</f>
        <v>#REF!</v>
      </c>
      <c r="AT302" s="8" t="e">
        <f>(P106+P111+P112+P117+#REF!)*'Emission factors Trucks&amp;Trains'!#REF!*(2-$AS$81)</f>
        <v>#REF!</v>
      </c>
      <c r="AU302" s="8" t="e">
        <f>(Q106+Q111+Q112+Q117+#REF!)*'Emission factors Trucks&amp;Trains'!#REF!*(2-$AS$81)</f>
        <v>#REF!</v>
      </c>
      <c r="AV302" s="8" t="e">
        <f>(R106+R111+R112+R117+#REF!)*'Emission factors Trucks&amp;Trains'!#REF!*(2-$AS$81)</f>
        <v>#REF!</v>
      </c>
      <c r="AW302" s="8" t="e">
        <f>(S106+S111+S112+S117+#REF!)*'Emission factors Trucks&amp;Trains'!#REF!*(2-$AS$81)</f>
        <v>#REF!</v>
      </c>
      <c r="AX302" s="8" t="e">
        <f>(T106+T111+T112+T117+#REF!)*'Emission factors Trucks&amp;Trains'!#REF!*(2-$AS$81)</f>
        <v>#REF!</v>
      </c>
      <c r="AY302" s="8" t="e">
        <f>(U106+U111+U112+U117+#REF!)*'Emission factors Trucks&amp;Trains'!#REF!*(2-$AS$81)</f>
        <v>#REF!</v>
      </c>
      <c r="AZ302" s="8" t="e">
        <f>(V106+V111+V112+V117+#REF!)*'Emission factors Trucks&amp;Trains'!#REF!*(2-$AS$81)</f>
        <v>#REF!</v>
      </c>
      <c r="BA302" s="8" t="e">
        <f>(W106+W111+W112+W117+#REF!)*'Emission factors Trucks&amp;Trains'!#REF!*(2-$AS$81)</f>
        <v>#REF!</v>
      </c>
      <c r="BB302" s="8" t="e">
        <f>(X106+X111+X112+X117+#REF!)*'Emission factors Trucks&amp;Trains'!#REF!*(2-$AS$81)</f>
        <v>#REF!</v>
      </c>
      <c r="BC302" s="8" t="e">
        <f>(Y106+Y111+Y112+Y117+#REF!)*'Emission factors Trucks&amp;Trains'!#REF!*(2-$AS$81)</f>
        <v>#REF!</v>
      </c>
      <c r="BD302" s="8" t="e">
        <f>(Z106+Z111+Z112+Z117+#REF!)*'Emission factors Trucks&amp;Trains'!#REF!*(2-$AS$81)</f>
        <v>#REF!</v>
      </c>
      <c r="BE302" s="8" t="e">
        <f>(AA106+AA111+AA112+AA117+#REF!)*'Emission factors Trucks&amp;Trains'!#REF!*(2-$AS$81)</f>
        <v>#REF!</v>
      </c>
      <c r="BF302" s="8" t="e">
        <f>(AB106+AB111+AB112+AB117+#REF!)*'Emission factors Trucks&amp;Trains'!#REF!*(2-$AS$81)</f>
        <v>#REF!</v>
      </c>
    </row>
    <row r="303" spans="1:58">
      <c r="AG303" s="153" t="s">
        <v>349</v>
      </c>
      <c r="AH303" s="8" t="e">
        <f>(D106+D111+D112+D117+#REF!)*'Emission factors Trucks&amp;Trains'!#REF!*(2-$AS$81)</f>
        <v>#REF!</v>
      </c>
      <c r="AI303" s="8" t="e">
        <f>(E106+E111+E112+E117+#REF!)*'Emission factors Trucks&amp;Trains'!#REF!*(2-$AS$81)</f>
        <v>#REF!</v>
      </c>
      <c r="AJ303" s="8" t="e">
        <f>(F106+F111+F112+F117+#REF!)*'Emission factors Trucks&amp;Trains'!#REF!*(2-$AS$81)</f>
        <v>#REF!</v>
      </c>
      <c r="AK303" s="8" t="e">
        <f>(G106+G111+G112+G117+#REF!)*'Emission factors Trucks&amp;Trains'!#REF!*(2-$AS$81)</f>
        <v>#REF!</v>
      </c>
      <c r="AL303" s="8" t="e">
        <f>(H106+H111+H112+H117+#REF!)*'Emission factors Trucks&amp;Trains'!#REF!*(2-$AS$81)</f>
        <v>#REF!</v>
      </c>
      <c r="AM303" s="8" t="e">
        <f>(I106+I111+I112+I117+#REF!)*'Emission factors Trucks&amp;Trains'!#REF!*(2-$AS$81)</f>
        <v>#REF!</v>
      </c>
      <c r="AN303" s="8" t="e">
        <f>(J106+J111+J112+J117+#REF!)*'Emission factors Trucks&amp;Trains'!#REF!*(2-$AS$81)</f>
        <v>#REF!</v>
      </c>
      <c r="AO303" s="8" t="e">
        <f>(K106+K111+K112+K117+#REF!)*'Emission factors Trucks&amp;Trains'!#REF!*(2-$AS$81)</f>
        <v>#REF!</v>
      </c>
      <c r="AP303" s="8" t="e">
        <f>(L106+L111+L112+L117+#REF!)*'Emission factors Trucks&amp;Trains'!#REF!*(2-$AS$81)</f>
        <v>#REF!</v>
      </c>
      <c r="AQ303" s="8" t="e">
        <f>(M106+M111+M112+M117+#REF!)*'Emission factors Trucks&amp;Trains'!#REF!*(2-$AS$81)</f>
        <v>#REF!</v>
      </c>
      <c r="AR303" s="8" t="e">
        <f>(N106+N111+N112+N117+#REF!)*'Emission factors Trucks&amp;Trains'!#REF!*(2-$AS$81)</f>
        <v>#REF!</v>
      </c>
      <c r="AS303" s="8" t="e">
        <f>(O106+O111+O112+O117+#REF!)*'Emission factors Trucks&amp;Trains'!#REF!*(2-$AS$81)</f>
        <v>#REF!</v>
      </c>
      <c r="AT303" s="8" t="e">
        <f>(P106+P111+P112+P117+#REF!)*'Emission factors Trucks&amp;Trains'!#REF!*(2-$AS$81)</f>
        <v>#REF!</v>
      </c>
      <c r="AU303" s="8" t="e">
        <f>(Q106+Q111+Q112+Q117+#REF!)*'Emission factors Trucks&amp;Trains'!#REF!*(2-$AS$81)</f>
        <v>#REF!</v>
      </c>
      <c r="AV303" s="8" t="e">
        <f>(R106+R111+R112+R117+#REF!)*'Emission factors Trucks&amp;Trains'!#REF!*(2-$AS$81)</f>
        <v>#REF!</v>
      </c>
      <c r="AW303" s="8" t="e">
        <f>(S106+S111+S112+S117+#REF!)*'Emission factors Trucks&amp;Trains'!#REF!*(2-$AS$81)</f>
        <v>#REF!</v>
      </c>
      <c r="AX303" s="8" t="e">
        <f>(T106+T111+T112+T117+#REF!)*'Emission factors Trucks&amp;Trains'!#REF!*(2-$AS$81)</f>
        <v>#REF!</v>
      </c>
      <c r="AY303" s="8" t="e">
        <f>(U106+U111+U112+U117+#REF!)*'Emission factors Trucks&amp;Trains'!#REF!*(2-$AS$81)</f>
        <v>#REF!</v>
      </c>
      <c r="AZ303" s="8" t="e">
        <f>(V106+V111+V112+V117+#REF!)*'Emission factors Trucks&amp;Trains'!#REF!*(2-$AS$81)</f>
        <v>#REF!</v>
      </c>
      <c r="BA303" s="8" t="e">
        <f>(W106+W111+W112+W117+#REF!)*'Emission factors Trucks&amp;Trains'!#REF!*(2-$AS$81)</f>
        <v>#REF!</v>
      </c>
      <c r="BB303" s="8" t="e">
        <f>(X106+X111+X112+X117+#REF!)*'Emission factors Trucks&amp;Trains'!#REF!*(2-$AS$81)</f>
        <v>#REF!</v>
      </c>
      <c r="BC303" s="8" t="e">
        <f>(Y106+Y111+Y112+Y117+#REF!)*'Emission factors Trucks&amp;Trains'!#REF!*(2-$AS$81)</f>
        <v>#REF!</v>
      </c>
      <c r="BD303" s="8" t="e">
        <f>(Z106+Z111+Z112+Z117+#REF!)*'Emission factors Trucks&amp;Trains'!#REF!*(2-$AS$81)</f>
        <v>#REF!</v>
      </c>
      <c r="BE303" s="8" t="e">
        <f>(AA106+AA111+AA112+AA117+#REF!)*'Emission factors Trucks&amp;Trains'!#REF!*(2-$AS$81)</f>
        <v>#REF!</v>
      </c>
      <c r="BF303" s="8" t="e">
        <f>(AB106+AB111+AB112+AB117+#REF!)*'Emission factors Trucks&amp;Trains'!#REF!*(2-$AS$81)</f>
        <v>#REF!</v>
      </c>
    </row>
    <row r="304" spans="1:58">
      <c r="AG304" s="153" t="s">
        <v>246</v>
      </c>
      <c r="AH304" s="8">
        <f>(D108+D111+D112+D117)*'Emission factors Trucks&amp;Trains'!B6*(2-$AS$81)</f>
        <v>0</v>
      </c>
      <c r="AI304" s="8">
        <f>(E108+E111+E112+E117)*'Emission factors Trucks&amp;Trains'!C6*(2-$AS$81)</f>
        <v>0</v>
      </c>
      <c r="AJ304" s="8">
        <f>(F108+F111+F112+F117)*'Emission factors Trucks&amp;Trains'!D6*(2-$AS$81)</f>
        <v>0</v>
      </c>
      <c r="AK304" s="8">
        <f>(G108+G111+G112+G117)*'Emission factors Trucks&amp;Trains'!E6*(2-$AS$81)</f>
        <v>0</v>
      </c>
      <c r="AL304" s="8">
        <f>(H108+H111+H112+H117)*'Emission factors Trucks&amp;Trains'!F6*(2-$AS$81)</f>
        <v>2313.975514532327</v>
      </c>
      <c r="AM304" s="8">
        <f>(I108+I111+I112+I117)*'Emission factors Trucks&amp;Trains'!G6*(2-$AS$81)</f>
        <v>19781.801607645277</v>
      </c>
      <c r="AN304" s="8">
        <f>(J108+J111+J112+J117)*'Emission factors Trucks&amp;Trains'!H6*(2-$AS$81)</f>
        <v>29977.503780955642</v>
      </c>
      <c r="AO304" s="8">
        <f>(K108+K111+K112+K117)*'Emission factors Trucks&amp;Trains'!I6*(2-$AS$81)</f>
        <v>35692.762364869202</v>
      </c>
      <c r="AP304" s="8">
        <f>(L108+L111+L112+L117)*'Emission factors Trucks&amp;Trains'!J6*(2-$AS$81)</f>
        <v>38592.221472330144</v>
      </c>
      <c r="AQ304" s="8">
        <f>(M108+M111+M112+M117)*'Emission factors Trucks&amp;Trains'!K6*(2-$AS$81)</f>
        <v>39883.881489391089</v>
      </c>
      <c r="AR304" s="8">
        <f>(N108+N111+N112+N117)*'Emission factors Trucks&amp;Trains'!L6*(2-$AS$81)</f>
        <v>40295.802795320014</v>
      </c>
      <c r="AS304" s="8">
        <f>(O108+O111+O112+O117)*'Emission factors Trucks&amp;Trains'!M6*(2-$AS$81)</f>
        <v>40321.02001639564</v>
      </c>
      <c r="AT304" s="8">
        <f>(P108+P111+P112+P117)*'Emission factors Trucks&amp;Trains'!N6*(2-$AS$81)</f>
        <v>40375.768704511305</v>
      </c>
      <c r="AU304" s="8">
        <f>(Q108+Q111+Q112+Q117)*'Emission factors Trucks&amp;Trains'!O6*(2-$AS$81)</f>
        <v>39339.242179023735</v>
      </c>
      <c r="AV304" s="8">
        <f>(R108+R111+R112+R117)*'Emission factors Trucks&amp;Trains'!P6*(2-$AS$81)</f>
        <v>38045.878265659099</v>
      </c>
      <c r="AW304" s="8">
        <f>(S108+S111+S112+S117)*'Emission factors Trucks&amp;Trains'!Q6*(2-$AS$81)</f>
        <v>36748.607845035265</v>
      </c>
      <c r="AX304" s="8">
        <f>(T108+T111+T112+T117)*'Emission factors Trucks&amp;Trains'!R6*(2-$AS$81)</f>
        <v>35448.606312249911</v>
      </c>
      <c r="AY304" s="8">
        <f>(U108+U111+U112+U117)*'Emission factors Trucks&amp;Trains'!S6*(2-$AS$81)</f>
        <v>34239.011245389433</v>
      </c>
      <c r="AZ304" s="8">
        <f>(V108+V111+V112+V117)*'Emission factors Trucks&amp;Trains'!T6*(2-$AS$81)</f>
        <v>33316.506312567864</v>
      </c>
      <c r="BA304" s="8">
        <f>(W108+W111+W112+W117)*'Emission factors Trucks&amp;Trains'!U6*(2-$AS$81)</f>
        <v>32430.9697128609</v>
      </c>
      <c r="BB304" s="8">
        <f>(X108+X111+X112+X117)*'Emission factors Trucks&amp;Trains'!V6*(2-$AS$81)</f>
        <v>31566.035100765981</v>
      </c>
      <c r="BC304" s="8">
        <f>(Y108+Y111+Y112+Y117)*'Emission factors Trucks&amp;Trains'!W6*(2-$AS$81)</f>
        <v>31361.938225461217</v>
      </c>
      <c r="BD304" s="8">
        <f>(Z108+Z111+Z112+Z117)*'Emission factors Trucks&amp;Trains'!X6*(2-$AS$81)</f>
        <v>31199.164502554864</v>
      </c>
      <c r="BE304" s="8">
        <f>(AA108+AA111+AA112+AA117)*'Emission factors Trucks&amp;Trains'!Y6*(2-$AS$81)</f>
        <v>31075.474411183401</v>
      </c>
      <c r="BF304" s="8">
        <f>(AB108+AB111+AB112+AB117)*'Emission factors Trucks&amp;Trains'!Z6*(2-$AS$81)</f>
        <v>30971.112213757078</v>
      </c>
    </row>
    <row r="305" spans="32:58">
      <c r="AG305" s="152"/>
    </row>
    <row r="306" spans="32:58" ht="43.15" customHeight="1">
      <c r="AF306" s="471" t="s">
        <v>396</v>
      </c>
      <c r="AG306" s="471"/>
    </row>
    <row r="307" spans="32:58">
      <c r="AG307" s="153" t="s">
        <v>343</v>
      </c>
      <c r="AH307" s="8" t="e">
        <f t="shared" ref="AH307:BF307" si="111">AI142+AI151+AI160+AI133</f>
        <v>#REF!</v>
      </c>
      <c r="AI307" s="8" t="e">
        <f t="shared" si="111"/>
        <v>#REF!</v>
      </c>
      <c r="AJ307" s="8" t="e">
        <f t="shared" si="111"/>
        <v>#REF!</v>
      </c>
      <c r="AK307" s="8" t="e">
        <f t="shared" si="111"/>
        <v>#REF!</v>
      </c>
      <c r="AL307" s="8" t="e">
        <f t="shared" si="111"/>
        <v>#REF!</v>
      </c>
      <c r="AM307" s="8" t="e">
        <f t="shared" si="111"/>
        <v>#REF!</v>
      </c>
      <c r="AN307" s="8" t="e">
        <f t="shared" si="111"/>
        <v>#REF!</v>
      </c>
      <c r="AO307" s="8" t="e">
        <f t="shared" si="111"/>
        <v>#REF!</v>
      </c>
      <c r="AP307" s="8" t="e">
        <f t="shared" si="111"/>
        <v>#REF!</v>
      </c>
      <c r="AQ307" s="8" t="e">
        <f t="shared" si="111"/>
        <v>#REF!</v>
      </c>
      <c r="AR307" s="8" t="e">
        <f t="shared" si="111"/>
        <v>#REF!</v>
      </c>
      <c r="AS307" s="8" t="e">
        <f t="shared" si="111"/>
        <v>#REF!</v>
      </c>
      <c r="AT307" s="8" t="e">
        <f t="shared" si="111"/>
        <v>#REF!</v>
      </c>
      <c r="AU307" s="8" t="e">
        <f t="shared" si="111"/>
        <v>#REF!</v>
      </c>
      <c r="AV307" s="8" t="e">
        <f t="shared" si="111"/>
        <v>#REF!</v>
      </c>
      <c r="AW307" s="8" t="e">
        <f t="shared" si="111"/>
        <v>#REF!</v>
      </c>
      <c r="AX307" s="8" t="e">
        <f t="shared" si="111"/>
        <v>#REF!</v>
      </c>
      <c r="AY307" s="8" t="e">
        <f t="shared" si="111"/>
        <v>#REF!</v>
      </c>
      <c r="AZ307" s="8" t="e">
        <f t="shared" si="111"/>
        <v>#REF!</v>
      </c>
      <c r="BA307" s="8" t="e">
        <f t="shared" si="111"/>
        <v>#REF!</v>
      </c>
      <c r="BB307" s="8" t="e">
        <f t="shared" si="111"/>
        <v>#REF!</v>
      </c>
      <c r="BC307" s="8" t="e">
        <f t="shared" si="111"/>
        <v>#REF!</v>
      </c>
      <c r="BD307" s="8" t="e">
        <f t="shared" si="111"/>
        <v>#REF!</v>
      </c>
      <c r="BE307" s="8" t="e">
        <f t="shared" si="111"/>
        <v>#REF!</v>
      </c>
      <c r="BF307" s="8" t="e">
        <f t="shared" si="111"/>
        <v>#REF!</v>
      </c>
    </row>
    <row r="308" spans="32:58">
      <c r="AG308" s="153" t="s">
        <v>345</v>
      </c>
      <c r="AH308" s="8" t="e">
        <f t="shared" ref="AH308:BF308" si="112">AI143+AI152+AI161+AI134</f>
        <v>#REF!</v>
      </c>
      <c r="AI308" s="8" t="e">
        <f t="shared" si="112"/>
        <v>#REF!</v>
      </c>
      <c r="AJ308" s="8" t="e">
        <f t="shared" si="112"/>
        <v>#REF!</v>
      </c>
      <c r="AK308" s="8" t="e">
        <f t="shared" si="112"/>
        <v>#REF!</v>
      </c>
      <c r="AL308" s="8" t="e">
        <f t="shared" si="112"/>
        <v>#REF!</v>
      </c>
      <c r="AM308" s="8" t="e">
        <f t="shared" si="112"/>
        <v>#REF!</v>
      </c>
      <c r="AN308" s="8" t="e">
        <f t="shared" si="112"/>
        <v>#REF!</v>
      </c>
      <c r="AO308" s="8" t="e">
        <f t="shared" si="112"/>
        <v>#REF!</v>
      </c>
      <c r="AP308" s="8" t="e">
        <f t="shared" si="112"/>
        <v>#REF!</v>
      </c>
      <c r="AQ308" s="8" t="e">
        <f t="shared" si="112"/>
        <v>#REF!</v>
      </c>
      <c r="AR308" s="8" t="e">
        <f t="shared" si="112"/>
        <v>#REF!</v>
      </c>
      <c r="AS308" s="8" t="e">
        <f t="shared" si="112"/>
        <v>#REF!</v>
      </c>
      <c r="AT308" s="8" t="e">
        <f t="shared" si="112"/>
        <v>#REF!</v>
      </c>
      <c r="AU308" s="8" t="e">
        <f t="shared" si="112"/>
        <v>#REF!</v>
      </c>
      <c r="AV308" s="8" t="e">
        <f t="shared" si="112"/>
        <v>#REF!</v>
      </c>
      <c r="AW308" s="8" t="e">
        <f t="shared" si="112"/>
        <v>#REF!</v>
      </c>
      <c r="AX308" s="8" t="e">
        <f t="shared" si="112"/>
        <v>#REF!</v>
      </c>
      <c r="AY308" s="8" t="e">
        <f t="shared" si="112"/>
        <v>#REF!</v>
      </c>
      <c r="AZ308" s="8" t="e">
        <f t="shared" si="112"/>
        <v>#REF!</v>
      </c>
      <c r="BA308" s="8" t="e">
        <f t="shared" si="112"/>
        <v>#REF!</v>
      </c>
      <c r="BB308" s="8" t="e">
        <f t="shared" si="112"/>
        <v>#REF!</v>
      </c>
      <c r="BC308" s="8" t="e">
        <f t="shared" si="112"/>
        <v>#REF!</v>
      </c>
      <c r="BD308" s="8" t="e">
        <f t="shared" si="112"/>
        <v>#REF!</v>
      </c>
      <c r="BE308" s="8" t="e">
        <f t="shared" si="112"/>
        <v>#REF!</v>
      </c>
      <c r="BF308" s="8" t="e">
        <f t="shared" si="112"/>
        <v>#REF!</v>
      </c>
    </row>
    <row r="309" spans="32:58">
      <c r="AG309" s="153" t="s">
        <v>346</v>
      </c>
      <c r="AH309" s="8" t="e">
        <f t="shared" ref="AH309:BF309" si="113">AI144+AI153+AI162+AI135</f>
        <v>#REF!</v>
      </c>
      <c r="AI309" s="8" t="e">
        <f t="shared" si="113"/>
        <v>#REF!</v>
      </c>
      <c r="AJ309" s="8" t="e">
        <f t="shared" si="113"/>
        <v>#REF!</v>
      </c>
      <c r="AK309" s="8" t="e">
        <f t="shared" si="113"/>
        <v>#REF!</v>
      </c>
      <c r="AL309" s="8" t="e">
        <f t="shared" si="113"/>
        <v>#REF!</v>
      </c>
      <c r="AM309" s="8" t="e">
        <f t="shared" si="113"/>
        <v>#REF!</v>
      </c>
      <c r="AN309" s="8" t="e">
        <f t="shared" si="113"/>
        <v>#REF!</v>
      </c>
      <c r="AO309" s="8" t="e">
        <f t="shared" si="113"/>
        <v>#REF!</v>
      </c>
      <c r="AP309" s="8" t="e">
        <f t="shared" si="113"/>
        <v>#REF!</v>
      </c>
      <c r="AQ309" s="8" t="e">
        <f t="shared" si="113"/>
        <v>#REF!</v>
      </c>
      <c r="AR309" s="8" t="e">
        <f t="shared" si="113"/>
        <v>#REF!</v>
      </c>
      <c r="AS309" s="8" t="e">
        <f t="shared" si="113"/>
        <v>#REF!</v>
      </c>
      <c r="AT309" s="8" t="e">
        <f t="shared" si="113"/>
        <v>#REF!</v>
      </c>
      <c r="AU309" s="8" t="e">
        <f t="shared" si="113"/>
        <v>#REF!</v>
      </c>
      <c r="AV309" s="8" t="e">
        <f t="shared" si="113"/>
        <v>#REF!</v>
      </c>
      <c r="AW309" s="8" t="e">
        <f t="shared" si="113"/>
        <v>#REF!</v>
      </c>
      <c r="AX309" s="8" t="e">
        <f t="shared" si="113"/>
        <v>#REF!</v>
      </c>
      <c r="AY309" s="8" t="e">
        <f t="shared" si="113"/>
        <v>#REF!</v>
      </c>
      <c r="AZ309" s="8" t="e">
        <f t="shared" si="113"/>
        <v>#REF!</v>
      </c>
      <c r="BA309" s="8" t="e">
        <f t="shared" si="113"/>
        <v>#REF!</v>
      </c>
      <c r="BB309" s="8" t="e">
        <f t="shared" si="113"/>
        <v>#REF!</v>
      </c>
      <c r="BC309" s="8" t="e">
        <f t="shared" si="113"/>
        <v>#REF!</v>
      </c>
      <c r="BD309" s="8" t="e">
        <f t="shared" si="113"/>
        <v>#REF!</v>
      </c>
      <c r="BE309" s="8" t="e">
        <f t="shared" si="113"/>
        <v>#REF!</v>
      </c>
      <c r="BF309" s="8" t="e">
        <f t="shared" si="113"/>
        <v>#REF!</v>
      </c>
    </row>
    <row r="310" spans="32:58">
      <c r="AG310" s="153" t="s">
        <v>278</v>
      </c>
      <c r="AH310" s="8">
        <f>AI127+AI145+AI154+AI163+AI136</f>
        <v>0</v>
      </c>
      <c r="AI310" s="8">
        <f t="shared" ref="AI310:BF310" si="114">AJ127+AJ145+AJ154+AJ163+AJ136</f>
        <v>0</v>
      </c>
      <c r="AJ310" s="8">
        <f t="shared" si="114"/>
        <v>16067965.761330292</v>
      </c>
      <c r="AK310" s="8">
        <f>AL127+AL145+AL154+AL163+AL136</f>
        <v>32275806.022968456</v>
      </c>
      <c r="AL310" s="8">
        <f>AM127+AM145+AM154+AM163+AM136</f>
        <v>33278002.678761441</v>
      </c>
      <c r="AM310" s="8">
        <f t="shared" si="114"/>
        <v>28157861.678073619</v>
      </c>
      <c r="AN310" s="8">
        <f t="shared" si="114"/>
        <v>21752328.397086378</v>
      </c>
      <c r="AO310" s="8">
        <f t="shared" si="114"/>
        <v>19230154.963978399</v>
      </c>
      <c r="AP310" s="8">
        <f t="shared" si="114"/>
        <v>17079976.854004793</v>
      </c>
      <c r="AQ310" s="8">
        <f t="shared" si="114"/>
        <v>15172787.090245845</v>
      </c>
      <c r="AR310" s="8">
        <f t="shared" si="114"/>
        <v>13564031.245305188</v>
      </c>
      <c r="AS310" s="8">
        <f t="shared" si="114"/>
        <v>12255274.473666307</v>
      </c>
      <c r="AT310" s="8">
        <f t="shared" si="114"/>
        <v>11074989.756065741</v>
      </c>
      <c r="AU310" s="8">
        <f t="shared" si="114"/>
        <v>10000713.950340476</v>
      </c>
      <c r="AV310" s="8">
        <f t="shared" si="114"/>
        <v>9508402.2546566352</v>
      </c>
      <c r="AW310" s="8">
        <f t="shared" si="114"/>
        <v>8715567.7617854103</v>
      </c>
      <c r="AX310" s="8">
        <f t="shared" si="114"/>
        <v>8038713.3394864881</v>
      </c>
      <c r="AY310" s="8">
        <f t="shared" si="114"/>
        <v>7992967.4999744799</v>
      </c>
      <c r="AZ310" s="8">
        <f t="shared" si="114"/>
        <v>8050946.8561964743</v>
      </c>
      <c r="BA310" s="8">
        <f t="shared" si="114"/>
        <v>7842868.7525145821</v>
      </c>
      <c r="BB310" s="8">
        <f t="shared" si="114"/>
        <v>7466937.2171188816</v>
      </c>
      <c r="BC310" s="8">
        <f t="shared" si="114"/>
        <v>7374398.0647530491</v>
      </c>
      <c r="BD310" s="8">
        <f t="shared" si="114"/>
        <v>7241646.9510314139</v>
      </c>
      <c r="BE310" s="8">
        <f t="shared" si="114"/>
        <v>7126523.4769487837</v>
      </c>
      <c r="BF310" s="8">
        <f t="shared" si="114"/>
        <v>6887875.3922701888</v>
      </c>
    </row>
    <row r="311" spans="32:58">
      <c r="AG311" s="153" t="s">
        <v>347</v>
      </c>
      <c r="AH311" s="8" t="e">
        <f t="shared" ref="AH311:BF311" si="115">AI146+AI155+AI164+AI137</f>
        <v>#REF!</v>
      </c>
      <c r="AI311" s="8" t="e">
        <f t="shared" si="115"/>
        <v>#REF!</v>
      </c>
      <c r="AJ311" s="8" t="e">
        <f t="shared" si="115"/>
        <v>#REF!</v>
      </c>
      <c r="AK311" s="8" t="e">
        <f t="shared" si="115"/>
        <v>#REF!</v>
      </c>
      <c r="AL311" s="8" t="e">
        <f t="shared" si="115"/>
        <v>#REF!</v>
      </c>
      <c r="AM311" s="8" t="e">
        <f t="shared" si="115"/>
        <v>#REF!</v>
      </c>
      <c r="AN311" s="8" t="e">
        <f t="shared" si="115"/>
        <v>#REF!</v>
      </c>
      <c r="AO311" s="8" t="e">
        <f t="shared" si="115"/>
        <v>#REF!</v>
      </c>
      <c r="AP311" s="8" t="e">
        <f t="shared" si="115"/>
        <v>#REF!</v>
      </c>
      <c r="AQ311" s="8" t="e">
        <f t="shared" si="115"/>
        <v>#REF!</v>
      </c>
      <c r="AR311" s="8" t="e">
        <f t="shared" si="115"/>
        <v>#REF!</v>
      </c>
      <c r="AS311" s="8" t="e">
        <f t="shared" si="115"/>
        <v>#REF!</v>
      </c>
      <c r="AT311" s="8" t="e">
        <f t="shared" si="115"/>
        <v>#REF!</v>
      </c>
      <c r="AU311" s="8" t="e">
        <f t="shared" si="115"/>
        <v>#REF!</v>
      </c>
      <c r="AV311" s="8" t="e">
        <f t="shared" si="115"/>
        <v>#REF!</v>
      </c>
      <c r="AW311" s="8" t="e">
        <f t="shared" si="115"/>
        <v>#REF!</v>
      </c>
      <c r="AX311" s="8" t="e">
        <f t="shared" si="115"/>
        <v>#REF!</v>
      </c>
      <c r="AY311" s="8" t="e">
        <f t="shared" si="115"/>
        <v>#REF!</v>
      </c>
      <c r="AZ311" s="8" t="e">
        <f t="shared" si="115"/>
        <v>#REF!</v>
      </c>
      <c r="BA311" s="8" t="e">
        <f t="shared" si="115"/>
        <v>#REF!</v>
      </c>
      <c r="BB311" s="8" t="e">
        <f t="shared" si="115"/>
        <v>#REF!</v>
      </c>
      <c r="BC311" s="8" t="e">
        <f t="shared" si="115"/>
        <v>#REF!</v>
      </c>
      <c r="BD311" s="8" t="e">
        <f t="shared" si="115"/>
        <v>#REF!</v>
      </c>
      <c r="BE311" s="8" t="e">
        <f t="shared" si="115"/>
        <v>#REF!</v>
      </c>
      <c r="BF311" s="8" t="e">
        <f t="shared" si="115"/>
        <v>#REF!</v>
      </c>
    </row>
    <row r="312" spans="32:58">
      <c r="AG312" s="153" t="s">
        <v>348</v>
      </c>
      <c r="AH312" s="8" t="e">
        <f t="shared" ref="AH312:BF312" si="116">AI147+AI156+AI165+AI138</f>
        <v>#REF!</v>
      </c>
      <c r="AI312" s="8" t="e">
        <f t="shared" si="116"/>
        <v>#REF!</v>
      </c>
      <c r="AJ312" s="8" t="e">
        <f t="shared" si="116"/>
        <v>#REF!</v>
      </c>
      <c r="AK312" s="8" t="e">
        <f t="shared" si="116"/>
        <v>#REF!</v>
      </c>
      <c r="AL312" s="8" t="e">
        <f t="shared" si="116"/>
        <v>#REF!</v>
      </c>
      <c r="AM312" s="8" t="e">
        <f t="shared" si="116"/>
        <v>#REF!</v>
      </c>
      <c r="AN312" s="8" t="e">
        <f t="shared" si="116"/>
        <v>#REF!</v>
      </c>
      <c r="AO312" s="8" t="e">
        <f t="shared" si="116"/>
        <v>#REF!</v>
      </c>
      <c r="AP312" s="8" t="e">
        <f t="shared" si="116"/>
        <v>#REF!</v>
      </c>
      <c r="AQ312" s="8" t="e">
        <f t="shared" si="116"/>
        <v>#REF!</v>
      </c>
      <c r="AR312" s="8" t="e">
        <f t="shared" si="116"/>
        <v>#REF!</v>
      </c>
      <c r="AS312" s="8" t="e">
        <f t="shared" si="116"/>
        <v>#REF!</v>
      </c>
      <c r="AT312" s="8" t="e">
        <f t="shared" si="116"/>
        <v>#REF!</v>
      </c>
      <c r="AU312" s="8" t="e">
        <f t="shared" si="116"/>
        <v>#REF!</v>
      </c>
      <c r="AV312" s="8" t="e">
        <f t="shared" si="116"/>
        <v>#REF!</v>
      </c>
      <c r="AW312" s="8" t="e">
        <f t="shared" si="116"/>
        <v>#REF!</v>
      </c>
      <c r="AX312" s="8" t="e">
        <f t="shared" si="116"/>
        <v>#REF!</v>
      </c>
      <c r="AY312" s="8" t="e">
        <f t="shared" si="116"/>
        <v>#REF!</v>
      </c>
      <c r="AZ312" s="8" t="e">
        <f t="shared" si="116"/>
        <v>#REF!</v>
      </c>
      <c r="BA312" s="8" t="e">
        <f t="shared" si="116"/>
        <v>#REF!</v>
      </c>
      <c r="BB312" s="8" t="e">
        <f t="shared" si="116"/>
        <v>#REF!</v>
      </c>
      <c r="BC312" s="8" t="e">
        <f t="shared" si="116"/>
        <v>#REF!</v>
      </c>
      <c r="BD312" s="8" t="e">
        <f t="shared" si="116"/>
        <v>#REF!</v>
      </c>
      <c r="BE312" s="8" t="e">
        <f t="shared" si="116"/>
        <v>#REF!</v>
      </c>
      <c r="BF312" s="8" t="e">
        <f t="shared" si="116"/>
        <v>#REF!</v>
      </c>
    </row>
    <row r="313" spans="32:58">
      <c r="AG313" s="153" t="s">
        <v>349</v>
      </c>
      <c r="AH313" s="8" t="e">
        <f t="shared" ref="AH313:BF313" si="117">AI148+AI157+AI166+AI139</f>
        <v>#REF!</v>
      </c>
      <c r="AI313" s="8" t="e">
        <f t="shared" si="117"/>
        <v>#REF!</v>
      </c>
      <c r="AJ313" s="8" t="e">
        <f t="shared" si="117"/>
        <v>#REF!</v>
      </c>
      <c r="AK313" s="8" t="e">
        <f t="shared" si="117"/>
        <v>#REF!</v>
      </c>
      <c r="AL313" s="8" t="e">
        <f t="shared" si="117"/>
        <v>#REF!</v>
      </c>
      <c r="AM313" s="8" t="e">
        <f t="shared" si="117"/>
        <v>#REF!</v>
      </c>
      <c r="AN313" s="8" t="e">
        <f t="shared" si="117"/>
        <v>#REF!</v>
      </c>
      <c r="AO313" s="8" t="e">
        <f t="shared" si="117"/>
        <v>#REF!</v>
      </c>
      <c r="AP313" s="8" t="e">
        <f t="shared" si="117"/>
        <v>#REF!</v>
      </c>
      <c r="AQ313" s="8" t="e">
        <f t="shared" si="117"/>
        <v>#REF!</v>
      </c>
      <c r="AR313" s="8" t="e">
        <f t="shared" si="117"/>
        <v>#REF!</v>
      </c>
      <c r="AS313" s="8" t="e">
        <f t="shared" si="117"/>
        <v>#REF!</v>
      </c>
      <c r="AT313" s="8" t="e">
        <f t="shared" si="117"/>
        <v>#REF!</v>
      </c>
      <c r="AU313" s="8" t="e">
        <f t="shared" si="117"/>
        <v>#REF!</v>
      </c>
      <c r="AV313" s="8" t="e">
        <f t="shared" si="117"/>
        <v>#REF!</v>
      </c>
      <c r="AW313" s="8" t="e">
        <f t="shared" si="117"/>
        <v>#REF!</v>
      </c>
      <c r="AX313" s="8" t="e">
        <f t="shared" si="117"/>
        <v>#REF!</v>
      </c>
      <c r="AY313" s="8" t="e">
        <f t="shared" si="117"/>
        <v>#REF!</v>
      </c>
      <c r="AZ313" s="8" t="e">
        <f t="shared" si="117"/>
        <v>#REF!</v>
      </c>
      <c r="BA313" s="8" t="e">
        <f t="shared" si="117"/>
        <v>#REF!</v>
      </c>
      <c r="BB313" s="8" t="e">
        <f t="shared" si="117"/>
        <v>#REF!</v>
      </c>
      <c r="BC313" s="8" t="e">
        <f t="shared" si="117"/>
        <v>#REF!</v>
      </c>
      <c r="BD313" s="8" t="e">
        <f t="shared" si="117"/>
        <v>#REF!</v>
      </c>
      <c r="BE313" s="8" t="e">
        <f t="shared" si="117"/>
        <v>#REF!</v>
      </c>
      <c r="BF313" s="8" t="e">
        <f t="shared" si="117"/>
        <v>#REF!</v>
      </c>
    </row>
    <row r="314" spans="32:58">
      <c r="AG314" s="153" t="s">
        <v>246</v>
      </c>
      <c r="AH314" s="8">
        <f>AI131+AI149+AI158+AI167+AI140</f>
        <v>0</v>
      </c>
      <c r="AI314" s="8">
        <f t="shared" ref="AI314:BF314" si="118">AJ131+AJ149+AJ158+AJ167+AJ140</f>
        <v>0</v>
      </c>
      <c r="AJ314" s="8">
        <f t="shared" si="118"/>
        <v>528073.39192572166</v>
      </c>
      <c r="AK314" s="8">
        <f t="shared" si="118"/>
        <v>1450664.6091566395</v>
      </c>
      <c r="AL314" s="8">
        <f t="shared" si="118"/>
        <v>1675541.905819827</v>
      </c>
      <c r="AM314" s="8">
        <f t="shared" si="118"/>
        <v>1598031.809448876</v>
      </c>
      <c r="AN314" s="8">
        <f t="shared" si="118"/>
        <v>1400880.5809151751</v>
      </c>
      <c r="AO314" s="8">
        <f t="shared" si="118"/>
        <v>1351022.7147430014</v>
      </c>
      <c r="AP314" s="8">
        <f t="shared" si="118"/>
        <v>1296314.8464483053</v>
      </c>
      <c r="AQ314" s="8">
        <f t="shared" si="118"/>
        <v>1242767.4846653165</v>
      </c>
      <c r="AR314" s="8">
        <f t="shared" si="118"/>
        <v>1192976.256088417</v>
      </c>
      <c r="AS314" s="8">
        <f t="shared" si="118"/>
        <v>1149881.0726931021</v>
      </c>
      <c r="AT314" s="8">
        <f t="shared" si="118"/>
        <v>1100490.3393583286</v>
      </c>
      <c r="AU314" s="8">
        <f t="shared" si="118"/>
        <v>1053581.3310831359</v>
      </c>
      <c r="AV314" s="8">
        <f t="shared" si="118"/>
        <v>1001973.3940065143</v>
      </c>
      <c r="AW314" s="8">
        <f t="shared" si="118"/>
        <v>952424.94874337129</v>
      </c>
      <c r="AX314" s="8">
        <f t="shared" si="118"/>
        <v>904835.13117503142</v>
      </c>
      <c r="AY314" s="8">
        <f t="shared" si="118"/>
        <v>922414.07149999472</v>
      </c>
      <c r="AZ314" s="8">
        <f t="shared" si="118"/>
        <v>937142.26256297692</v>
      </c>
      <c r="BA314" s="8">
        <f t="shared" si="118"/>
        <v>915696.28487363062</v>
      </c>
      <c r="BB314" s="8">
        <f t="shared" si="118"/>
        <v>870226.27274619252</v>
      </c>
      <c r="BC314" s="8">
        <f t="shared" si="118"/>
        <v>872687.63960642996</v>
      </c>
      <c r="BD314" s="8">
        <f t="shared" si="118"/>
        <v>868914.57330600824</v>
      </c>
      <c r="BE314" s="8">
        <f t="shared" si="118"/>
        <v>865271.98283002828</v>
      </c>
      <c r="BF314" s="8">
        <f t="shared" si="118"/>
        <v>846433.97832569643</v>
      </c>
    </row>
    <row r="315" spans="32:58">
      <c r="AG315" s="152"/>
    </row>
    <row r="316" spans="32:58" ht="45" customHeight="1">
      <c r="AF316" s="471" t="s">
        <v>397</v>
      </c>
      <c r="AG316" s="471"/>
    </row>
    <row r="317" spans="32:58">
      <c r="AG317" s="153" t="s">
        <v>343</v>
      </c>
      <c r="AH317" s="8" t="e">
        <f t="shared" ref="AH317:AQ319" si="119">D170+D179+D188</f>
        <v>#REF!</v>
      </c>
      <c r="AI317" s="8" t="e">
        <f t="shared" si="119"/>
        <v>#REF!</v>
      </c>
      <c r="AJ317" s="8" t="e">
        <f t="shared" si="119"/>
        <v>#REF!</v>
      </c>
      <c r="AK317" s="8" t="e">
        <f t="shared" si="119"/>
        <v>#REF!</v>
      </c>
      <c r="AL317" s="8" t="e">
        <f t="shared" si="119"/>
        <v>#REF!</v>
      </c>
      <c r="AM317" s="8" t="e">
        <f t="shared" si="119"/>
        <v>#REF!</v>
      </c>
      <c r="AN317" s="8" t="e">
        <f t="shared" si="119"/>
        <v>#REF!</v>
      </c>
      <c r="AO317" s="8" t="e">
        <f t="shared" si="119"/>
        <v>#REF!</v>
      </c>
      <c r="AP317" s="8" t="e">
        <f t="shared" si="119"/>
        <v>#REF!</v>
      </c>
      <c r="AQ317" s="8" t="e">
        <f t="shared" si="119"/>
        <v>#REF!</v>
      </c>
      <c r="AR317" s="8" t="e">
        <f t="shared" ref="AR317:BA319" si="120">N170+N179+N188</f>
        <v>#REF!</v>
      </c>
      <c r="AS317" s="8" t="e">
        <f t="shared" si="120"/>
        <v>#REF!</v>
      </c>
      <c r="AT317" s="8" t="e">
        <f t="shared" si="120"/>
        <v>#REF!</v>
      </c>
      <c r="AU317" s="8" t="e">
        <f t="shared" si="120"/>
        <v>#REF!</v>
      </c>
      <c r="AV317" s="8" t="e">
        <f t="shared" si="120"/>
        <v>#REF!</v>
      </c>
      <c r="AW317" s="8" t="e">
        <f t="shared" si="120"/>
        <v>#REF!</v>
      </c>
      <c r="AX317" s="8" t="e">
        <f t="shared" si="120"/>
        <v>#REF!</v>
      </c>
      <c r="AY317" s="8" t="e">
        <f t="shared" si="120"/>
        <v>#REF!</v>
      </c>
      <c r="AZ317" s="8" t="e">
        <f t="shared" si="120"/>
        <v>#REF!</v>
      </c>
      <c r="BA317" s="8" t="e">
        <f t="shared" si="120"/>
        <v>#REF!</v>
      </c>
      <c r="BB317" s="8" t="e">
        <f t="shared" ref="BB317:BF319" si="121">X170+X179+X188</f>
        <v>#REF!</v>
      </c>
      <c r="BC317" s="8" t="e">
        <f t="shared" si="121"/>
        <v>#REF!</v>
      </c>
      <c r="BD317" s="8" t="e">
        <f t="shared" si="121"/>
        <v>#REF!</v>
      </c>
      <c r="BE317" s="8" t="e">
        <f t="shared" si="121"/>
        <v>#REF!</v>
      </c>
      <c r="BF317" s="8" t="e">
        <f t="shared" si="121"/>
        <v>#REF!</v>
      </c>
    </row>
    <row r="318" spans="32:58">
      <c r="AG318" s="153" t="s">
        <v>345</v>
      </c>
      <c r="AH318" s="8" t="e">
        <f t="shared" si="119"/>
        <v>#REF!</v>
      </c>
      <c r="AI318" s="8" t="e">
        <f t="shared" si="119"/>
        <v>#REF!</v>
      </c>
      <c r="AJ318" s="8" t="e">
        <f t="shared" si="119"/>
        <v>#REF!</v>
      </c>
      <c r="AK318" s="8" t="e">
        <f t="shared" si="119"/>
        <v>#REF!</v>
      </c>
      <c r="AL318" s="8" t="e">
        <f t="shared" si="119"/>
        <v>#REF!</v>
      </c>
      <c r="AM318" s="8" t="e">
        <f t="shared" si="119"/>
        <v>#REF!</v>
      </c>
      <c r="AN318" s="8" t="e">
        <f t="shared" si="119"/>
        <v>#REF!</v>
      </c>
      <c r="AO318" s="8" t="e">
        <f t="shared" si="119"/>
        <v>#REF!</v>
      </c>
      <c r="AP318" s="8" t="e">
        <f t="shared" si="119"/>
        <v>#REF!</v>
      </c>
      <c r="AQ318" s="8" t="e">
        <f t="shared" si="119"/>
        <v>#REF!</v>
      </c>
      <c r="AR318" s="8" t="e">
        <f t="shared" si="120"/>
        <v>#REF!</v>
      </c>
      <c r="AS318" s="8" t="e">
        <f t="shared" si="120"/>
        <v>#REF!</v>
      </c>
      <c r="AT318" s="8" t="e">
        <f t="shared" si="120"/>
        <v>#REF!</v>
      </c>
      <c r="AU318" s="8" t="e">
        <f t="shared" si="120"/>
        <v>#REF!</v>
      </c>
      <c r="AV318" s="8" t="e">
        <f t="shared" si="120"/>
        <v>#REF!</v>
      </c>
      <c r="AW318" s="8" t="e">
        <f t="shared" si="120"/>
        <v>#REF!</v>
      </c>
      <c r="AX318" s="8" t="e">
        <f t="shared" si="120"/>
        <v>#REF!</v>
      </c>
      <c r="AY318" s="8" t="e">
        <f t="shared" si="120"/>
        <v>#REF!</v>
      </c>
      <c r="AZ318" s="8" t="e">
        <f t="shared" si="120"/>
        <v>#REF!</v>
      </c>
      <c r="BA318" s="8" t="e">
        <f t="shared" si="120"/>
        <v>#REF!</v>
      </c>
      <c r="BB318" s="8" t="e">
        <f t="shared" si="121"/>
        <v>#REF!</v>
      </c>
      <c r="BC318" s="8" t="e">
        <f t="shared" si="121"/>
        <v>#REF!</v>
      </c>
      <c r="BD318" s="8" t="e">
        <f t="shared" si="121"/>
        <v>#REF!</v>
      </c>
      <c r="BE318" s="8" t="e">
        <f t="shared" si="121"/>
        <v>#REF!</v>
      </c>
      <c r="BF318" s="8" t="e">
        <f t="shared" si="121"/>
        <v>#REF!</v>
      </c>
    </row>
    <row r="319" spans="32:58">
      <c r="AG319" s="153" t="s">
        <v>346</v>
      </c>
      <c r="AH319" s="8" t="e">
        <f t="shared" si="119"/>
        <v>#REF!</v>
      </c>
      <c r="AI319" s="8" t="e">
        <f t="shared" si="119"/>
        <v>#REF!</v>
      </c>
      <c r="AJ319" s="8" t="e">
        <f t="shared" si="119"/>
        <v>#REF!</v>
      </c>
      <c r="AK319" s="8" t="e">
        <f t="shared" si="119"/>
        <v>#REF!</v>
      </c>
      <c r="AL319" s="8" t="e">
        <f t="shared" si="119"/>
        <v>#REF!</v>
      </c>
      <c r="AM319" s="8" t="e">
        <f t="shared" si="119"/>
        <v>#REF!</v>
      </c>
      <c r="AN319" s="8" t="e">
        <f t="shared" si="119"/>
        <v>#REF!</v>
      </c>
      <c r="AO319" s="8" t="e">
        <f t="shared" si="119"/>
        <v>#REF!</v>
      </c>
      <c r="AP319" s="8" t="e">
        <f t="shared" si="119"/>
        <v>#REF!</v>
      </c>
      <c r="AQ319" s="8" t="e">
        <f t="shared" si="119"/>
        <v>#REF!</v>
      </c>
      <c r="AR319" s="8" t="e">
        <f t="shared" si="120"/>
        <v>#REF!</v>
      </c>
      <c r="AS319" s="8" t="e">
        <f t="shared" si="120"/>
        <v>#REF!</v>
      </c>
      <c r="AT319" s="8" t="e">
        <f t="shared" si="120"/>
        <v>#REF!</v>
      </c>
      <c r="AU319" s="8" t="e">
        <f t="shared" si="120"/>
        <v>#REF!</v>
      </c>
      <c r="AV319" s="8" t="e">
        <f t="shared" si="120"/>
        <v>#REF!</v>
      </c>
      <c r="AW319" s="8" t="e">
        <f t="shared" si="120"/>
        <v>#REF!</v>
      </c>
      <c r="AX319" s="8" t="e">
        <f t="shared" si="120"/>
        <v>#REF!</v>
      </c>
      <c r="AY319" s="8" t="e">
        <f t="shared" si="120"/>
        <v>#REF!</v>
      </c>
      <c r="AZ319" s="8" t="e">
        <f t="shared" si="120"/>
        <v>#REF!</v>
      </c>
      <c r="BA319" s="8" t="e">
        <f t="shared" si="120"/>
        <v>#REF!</v>
      </c>
      <c r="BB319" s="8" t="e">
        <f t="shared" si="121"/>
        <v>#REF!</v>
      </c>
      <c r="BC319" s="8" t="e">
        <f t="shared" si="121"/>
        <v>#REF!</v>
      </c>
      <c r="BD319" s="8" t="e">
        <f t="shared" si="121"/>
        <v>#REF!</v>
      </c>
      <c r="BE319" s="8" t="e">
        <f t="shared" si="121"/>
        <v>#REF!</v>
      </c>
      <c r="BF319" s="8" t="e">
        <f t="shared" si="121"/>
        <v>#REF!</v>
      </c>
    </row>
    <row r="320" spans="32:58">
      <c r="AG320" s="153" t="s">
        <v>278</v>
      </c>
      <c r="AH320" s="8">
        <f>D173+D182+D191+D200</f>
        <v>0</v>
      </c>
      <c r="AI320" s="8">
        <f t="shared" ref="AI320:BF320" si="122">E173+E182+E191+E200</f>
        <v>0</v>
      </c>
      <c r="AJ320" s="8">
        <f>F173+F182+F191+F200</f>
        <v>0</v>
      </c>
      <c r="AK320" s="8">
        <f>G173+G182+G191+G200</f>
        <v>0</v>
      </c>
      <c r="AL320" s="8">
        <f>H173+H182+H191+H200</f>
        <v>4549988.6004579319</v>
      </c>
      <c r="AM320" s="8">
        <f t="shared" si="122"/>
        <v>37717478.056584716</v>
      </c>
      <c r="AN320" s="8">
        <f t="shared" si="122"/>
        <v>55325597.691913925</v>
      </c>
      <c r="AO320" s="8">
        <f t="shared" si="122"/>
        <v>64180669.574185871</v>
      </c>
      <c r="AP320" s="8">
        <f t="shared" si="122"/>
        <v>37786503.608390585</v>
      </c>
      <c r="AQ320" s="8">
        <f t="shared" si="122"/>
        <v>35837381.612466834</v>
      </c>
      <c r="AR320" s="8">
        <f t="shared" si="122"/>
        <v>35556416.049283639</v>
      </c>
      <c r="AS320" s="8">
        <f t="shared" si="122"/>
        <v>34693234.562367871</v>
      </c>
      <c r="AT320" s="8">
        <f t="shared" si="122"/>
        <v>34362770.516620502</v>
      </c>
      <c r="AU320" s="8">
        <f t="shared" si="122"/>
        <v>24947853.596505113</v>
      </c>
      <c r="AV320" s="8">
        <f t="shared" si="122"/>
        <v>19254846.09883181</v>
      </c>
      <c r="AW320" s="8">
        <f t="shared" si="122"/>
        <v>13099496.01026465</v>
      </c>
      <c r="AX320" s="8">
        <f t="shared" si="122"/>
        <v>12775431.085189376</v>
      </c>
      <c r="AY320" s="8">
        <f t="shared" si="122"/>
        <v>12144574.995597579</v>
      </c>
      <c r="AZ320" s="8">
        <f t="shared" si="122"/>
        <v>11738110.645411963</v>
      </c>
      <c r="BA320" s="8">
        <f t="shared" si="122"/>
        <v>11426301.303976232</v>
      </c>
      <c r="BB320" s="8">
        <f t="shared" si="122"/>
        <v>11151339.296600409</v>
      </c>
      <c r="BC320" s="8">
        <f t="shared" si="122"/>
        <v>10878757.201985462</v>
      </c>
      <c r="BD320" s="8">
        <f t="shared" si="122"/>
        <v>10611843.787786063</v>
      </c>
      <c r="BE320" s="8">
        <f t="shared" si="122"/>
        <v>10350031.476915453</v>
      </c>
      <c r="BF320" s="8">
        <f t="shared" si="122"/>
        <v>10094787.375987923</v>
      </c>
    </row>
    <row r="321" spans="32:88">
      <c r="AG321" s="153" t="s">
        <v>347</v>
      </c>
      <c r="AH321" s="8" t="e">
        <f t="shared" ref="AH321:AQ323" si="123">D174+D183+D192</f>
        <v>#REF!</v>
      </c>
      <c r="AI321" s="8" t="e">
        <f t="shared" si="123"/>
        <v>#REF!</v>
      </c>
      <c r="AJ321" s="8" t="e">
        <f t="shared" si="123"/>
        <v>#REF!</v>
      </c>
      <c r="AK321" s="8" t="e">
        <f t="shared" si="123"/>
        <v>#REF!</v>
      </c>
      <c r="AL321" s="8" t="e">
        <f t="shared" si="123"/>
        <v>#REF!</v>
      </c>
      <c r="AM321" s="8" t="e">
        <f t="shared" si="123"/>
        <v>#REF!</v>
      </c>
      <c r="AN321" s="8" t="e">
        <f t="shared" si="123"/>
        <v>#REF!</v>
      </c>
      <c r="AO321" s="8" t="e">
        <f t="shared" si="123"/>
        <v>#REF!</v>
      </c>
      <c r="AP321" s="8" t="e">
        <f t="shared" si="123"/>
        <v>#REF!</v>
      </c>
      <c r="AQ321" s="8" t="e">
        <f t="shared" si="123"/>
        <v>#REF!</v>
      </c>
      <c r="AR321" s="8" t="e">
        <f t="shared" ref="AR321:BA323" si="124">N174+N183+N192</f>
        <v>#REF!</v>
      </c>
      <c r="AS321" s="8" t="e">
        <f t="shared" si="124"/>
        <v>#REF!</v>
      </c>
      <c r="AT321" s="8" t="e">
        <f t="shared" si="124"/>
        <v>#REF!</v>
      </c>
      <c r="AU321" s="8" t="e">
        <f t="shared" si="124"/>
        <v>#REF!</v>
      </c>
      <c r="AV321" s="8" t="e">
        <f t="shared" si="124"/>
        <v>#REF!</v>
      </c>
      <c r="AW321" s="8" t="e">
        <f t="shared" si="124"/>
        <v>#REF!</v>
      </c>
      <c r="AX321" s="8" t="e">
        <f t="shared" si="124"/>
        <v>#REF!</v>
      </c>
      <c r="AY321" s="8" t="e">
        <f t="shared" si="124"/>
        <v>#REF!</v>
      </c>
      <c r="AZ321" s="8" t="e">
        <f t="shared" si="124"/>
        <v>#REF!</v>
      </c>
      <c r="BA321" s="8" t="e">
        <f t="shared" si="124"/>
        <v>#REF!</v>
      </c>
      <c r="BB321" s="8" t="e">
        <f t="shared" ref="BB321:BF323" si="125">X174+X183+X192</f>
        <v>#REF!</v>
      </c>
      <c r="BC321" s="8" t="e">
        <f t="shared" si="125"/>
        <v>#REF!</v>
      </c>
      <c r="BD321" s="8" t="e">
        <f t="shared" si="125"/>
        <v>#REF!</v>
      </c>
      <c r="BE321" s="8" t="e">
        <f t="shared" si="125"/>
        <v>#REF!</v>
      </c>
      <c r="BF321" s="8" t="e">
        <f t="shared" si="125"/>
        <v>#REF!</v>
      </c>
    </row>
    <row r="322" spans="32:88">
      <c r="AG322" s="153" t="s">
        <v>348</v>
      </c>
      <c r="AH322" s="8" t="e">
        <f t="shared" si="123"/>
        <v>#REF!</v>
      </c>
      <c r="AI322" s="8" t="e">
        <f t="shared" si="123"/>
        <v>#REF!</v>
      </c>
      <c r="AJ322" s="8" t="e">
        <f t="shared" si="123"/>
        <v>#REF!</v>
      </c>
      <c r="AK322" s="8" t="e">
        <f t="shared" si="123"/>
        <v>#REF!</v>
      </c>
      <c r="AL322" s="8" t="e">
        <f t="shared" si="123"/>
        <v>#REF!</v>
      </c>
      <c r="AM322" s="8" t="e">
        <f t="shared" si="123"/>
        <v>#REF!</v>
      </c>
      <c r="AN322" s="8" t="e">
        <f t="shared" si="123"/>
        <v>#REF!</v>
      </c>
      <c r="AO322" s="8" t="e">
        <f t="shared" si="123"/>
        <v>#REF!</v>
      </c>
      <c r="AP322" s="8" t="e">
        <f t="shared" si="123"/>
        <v>#REF!</v>
      </c>
      <c r="AQ322" s="8" t="e">
        <f t="shared" si="123"/>
        <v>#REF!</v>
      </c>
      <c r="AR322" s="8" t="e">
        <f t="shared" si="124"/>
        <v>#REF!</v>
      </c>
      <c r="AS322" s="8" t="e">
        <f t="shared" si="124"/>
        <v>#REF!</v>
      </c>
      <c r="AT322" s="8" t="e">
        <f t="shared" si="124"/>
        <v>#REF!</v>
      </c>
      <c r="AU322" s="8" t="e">
        <f t="shared" si="124"/>
        <v>#REF!</v>
      </c>
      <c r="AV322" s="8" t="e">
        <f t="shared" si="124"/>
        <v>#REF!</v>
      </c>
      <c r="AW322" s="8" t="e">
        <f t="shared" si="124"/>
        <v>#REF!</v>
      </c>
      <c r="AX322" s="8" t="e">
        <f t="shared" si="124"/>
        <v>#REF!</v>
      </c>
      <c r="AY322" s="8" t="e">
        <f t="shared" si="124"/>
        <v>#REF!</v>
      </c>
      <c r="AZ322" s="8" t="e">
        <f t="shared" si="124"/>
        <v>#REF!</v>
      </c>
      <c r="BA322" s="8" t="e">
        <f t="shared" si="124"/>
        <v>#REF!</v>
      </c>
      <c r="BB322" s="8" t="e">
        <f t="shared" si="125"/>
        <v>#REF!</v>
      </c>
      <c r="BC322" s="8" t="e">
        <f t="shared" si="125"/>
        <v>#REF!</v>
      </c>
      <c r="BD322" s="8" t="e">
        <f t="shared" si="125"/>
        <v>#REF!</v>
      </c>
      <c r="BE322" s="8" t="e">
        <f t="shared" si="125"/>
        <v>#REF!</v>
      </c>
      <c r="BF322" s="8" t="e">
        <f t="shared" si="125"/>
        <v>#REF!</v>
      </c>
    </row>
    <row r="323" spans="32:88">
      <c r="AG323" s="153" t="s">
        <v>349</v>
      </c>
      <c r="AH323" s="8" t="e">
        <f t="shared" si="123"/>
        <v>#REF!</v>
      </c>
      <c r="AI323" s="8" t="e">
        <f t="shared" si="123"/>
        <v>#REF!</v>
      </c>
      <c r="AJ323" s="8" t="e">
        <f t="shared" si="123"/>
        <v>#REF!</v>
      </c>
      <c r="AK323" s="8" t="e">
        <f t="shared" si="123"/>
        <v>#REF!</v>
      </c>
      <c r="AL323" s="8" t="e">
        <f t="shared" si="123"/>
        <v>#REF!</v>
      </c>
      <c r="AM323" s="8" t="e">
        <f t="shared" si="123"/>
        <v>#REF!</v>
      </c>
      <c r="AN323" s="8" t="e">
        <f t="shared" si="123"/>
        <v>#REF!</v>
      </c>
      <c r="AO323" s="8" t="e">
        <f t="shared" si="123"/>
        <v>#REF!</v>
      </c>
      <c r="AP323" s="8" t="e">
        <f t="shared" si="123"/>
        <v>#REF!</v>
      </c>
      <c r="AQ323" s="8" t="e">
        <f t="shared" si="123"/>
        <v>#REF!</v>
      </c>
      <c r="AR323" s="8" t="e">
        <f t="shared" si="124"/>
        <v>#REF!</v>
      </c>
      <c r="AS323" s="8" t="e">
        <f t="shared" si="124"/>
        <v>#REF!</v>
      </c>
      <c r="AT323" s="8" t="e">
        <f t="shared" si="124"/>
        <v>#REF!</v>
      </c>
      <c r="AU323" s="8" t="e">
        <f t="shared" si="124"/>
        <v>#REF!</v>
      </c>
      <c r="AV323" s="8" t="e">
        <f t="shared" si="124"/>
        <v>#REF!</v>
      </c>
      <c r="AW323" s="8" t="e">
        <f t="shared" si="124"/>
        <v>#REF!</v>
      </c>
      <c r="AX323" s="8" t="e">
        <f t="shared" si="124"/>
        <v>#REF!</v>
      </c>
      <c r="AY323" s="8" t="e">
        <f t="shared" si="124"/>
        <v>#REF!</v>
      </c>
      <c r="AZ323" s="8" t="e">
        <f t="shared" si="124"/>
        <v>#REF!</v>
      </c>
      <c r="BA323" s="8" t="e">
        <f t="shared" si="124"/>
        <v>#REF!</v>
      </c>
      <c r="BB323" s="8" t="e">
        <f t="shared" si="125"/>
        <v>#REF!</v>
      </c>
      <c r="BC323" s="8" t="e">
        <f t="shared" si="125"/>
        <v>#REF!</v>
      </c>
      <c r="BD323" s="8" t="e">
        <f t="shared" si="125"/>
        <v>#REF!</v>
      </c>
      <c r="BE323" s="8" t="e">
        <f t="shared" si="125"/>
        <v>#REF!</v>
      </c>
      <c r="BF323" s="8" t="e">
        <f t="shared" si="125"/>
        <v>#REF!</v>
      </c>
    </row>
    <row r="324" spans="32:88">
      <c r="AG324" s="153" t="s">
        <v>246</v>
      </c>
      <c r="AH324" s="8">
        <f>D204+D177+D186+D195</f>
        <v>0</v>
      </c>
      <c r="AI324" s="8">
        <f t="shared" ref="AI324:BF324" si="126">E204+E177+E186+E195</f>
        <v>0</v>
      </c>
      <c r="AJ324" s="8">
        <f t="shared" si="126"/>
        <v>0</v>
      </c>
      <c r="AK324" s="8">
        <f t="shared" si="126"/>
        <v>0</v>
      </c>
      <c r="AL324" s="8">
        <f t="shared" si="126"/>
        <v>94890.54745823874</v>
      </c>
      <c r="AM324" s="8">
        <f t="shared" si="126"/>
        <v>777779.40135651024</v>
      </c>
      <c r="AN324" s="8">
        <f t="shared" si="126"/>
        <v>1127020.5401201488</v>
      </c>
      <c r="AO324" s="8">
        <f t="shared" si="126"/>
        <v>1294462.0697096614</v>
      </c>
      <c r="AP324" s="8">
        <f t="shared" si="126"/>
        <v>554268.99451996922</v>
      </c>
      <c r="AQ324" s="8">
        <f t="shared" si="126"/>
        <v>521310.55047123856</v>
      </c>
      <c r="AR324" s="8">
        <f t="shared" si="126"/>
        <v>515840.90936382685</v>
      </c>
      <c r="AS324" s="8">
        <f t="shared" si="126"/>
        <v>501953.40031103691</v>
      </c>
      <c r="AT324" s="8">
        <f t="shared" si="126"/>
        <v>496015.69453851657</v>
      </c>
      <c r="AU324" s="8">
        <f t="shared" si="126"/>
        <v>356339.59110976418</v>
      </c>
      <c r="AV324" s="8">
        <f t="shared" si="126"/>
        <v>271996.76527170383</v>
      </c>
      <c r="AW324" s="8">
        <f t="shared" si="126"/>
        <v>180773.04494165219</v>
      </c>
      <c r="AX324" s="8">
        <f t="shared" si="126"/>
        <v>176300.94897561337</v>
      </c>
      <c r="AY324" s="8">
        <f t="shared" si="126"/>
        <v>167595.13493924658</v>
      </c>
      <c r="AZ324" s="8">
        <f t="shared" si="126"/>
        <v>161985.92690668511</v>
      </c>
      <c r="BA324" s="8">
        <f t="shared" si="126"/>
        <v>157682.95799487201</v>
      </c>
      <c r="BB324" s="8">
        <f t="shared" si="126"/>
        <v>153888.4822930856</v>
      </c>
      <c r="BC324" s="8">
        <f t="shared" si="126"/>
        <v>150126.84938739939</v>
      </c>
      <c r="BD324" s="8">
        <f t="shared" si="126"/>
        <v>146443.44427144772</v>
      </c>
      <c r="BE324" s="8">
        <f t="shared" si="126"/>
        <v>142830.43438143321</v>
      </c>
      <c r="BF324" s="8">
        <f t="shared" si="126"/>
        <v>139308.06578863334</v>
      </c>
    </row>
    <row r="325" spans="32:88">
      <c r="AG325" s="152"/>
    </row>
    <row r="326" spans="32:88" ht="31.15" customHeight="1">
      <c r="AF326" s="471" t="s">
        <v>398</v>
      </c>
      <c r="AG326" s="471"/>
    </row>
    <row r="327" spans="32:88" ht="18" customHeight="1">
      <c r="AG327" s="153" t="s">
        <v>343</v>
      </c>
      <c r="AH327" s="8" t="e">
        <f t="shared" ref="AH327:BF327" si="127">AI189+AI198+AI207+AI180</f>
        <v>#REF!</v>
      </c>
      <c r="AI327" s="8" t="e">
        <f t="shared" si="127"/>
        <v>#REF!</v>
      </c>
      <c r="AJ327" s="8" t="e">
        <f t="shared" si="127"/>
        <v>#REF!</v>
      </c>
      <c r="AK327" s="8" t="e">
        <f t="shared" si="127"/>
        <v>#REF!</v>
      </c>
      <c r="AL327" s="8" t="e">
        <f t="shared" si="127"/>
        <v>#REF!</v>
      </c>
      <c r="AM327" s="8" t="e">
        <f t="shared" si="127"/>
        <v>#REF!</v>
      </c>
      <c r="AN327" s="8" t="e">
        <f t="shared" si="127"/>
        <v>#REF!</v>
      </c>
      <c r="AO327" s="8" t="e">
        <f t="shared" si="127"/>
        <v>#REF!</v>
      </c>
      <c r="AP327" s="8" t="e">
        <f t="shared" si="127"/>
        <v>#REF!</v>
      </c>
      <c r="AQ327" s="8" t="e">
        <f t="shared" si="127"/>
        <v>#REF!</v>
      </c>
      <c r="AR327" s="8" t="e">
        <f t="shared" si="127"/>
        <v>#REF!</v>
      </c>
      <c r="AS327" s="8" t="e">
        <f t="shared" si="127"/>
        <v>#REF!</v>
      </c>
      <c r="AT327" s="8" t="e">
        <f t="shared" si="127"/>
        <v>#REF!</v>
      </c>
      <c r="AU327" s="8" t="e">
        <f t="shared" si="127"/>
        <v>#REF!</v>
      </c>
      <c r="AV327" s="8" t="e">
        <f t="shared" si="127"/>
        <v>#REF!</v>
      </c>
      <c r="AW327" s="8" t="e">
        <f t="shared" si="127"/>
        <v>#REF!</v>
      </c>
      <c r="AX327" s="8" t="e">
        <f t="shared" si="127"/>
        <v>#REF!</v>
      </c>
      <c r="AY327" s="8" t="e">
        <f t="shared" si="127"/>
        <v>#REF!</v>
      </c>
      <c r="AZ327" s="8" t="e">
        <f t="shared" si="127"/>
        <v>#REF!</v>
      </c>
      <c r="BA327" s="8" t="e">
        <f t="shared" si="127"/>
        <v>#REF!</v>
      </c>
      <c r="BB327" s="8" t="e">
        <f t="shared" si="127"/>
        <v>#REF!</v>
      </c>
      <c r="BC327" s="8" t="e">
        <f t="shared" si="127"/>
        <v>#REF!</v>
      </c>
      <c r="BD327" s="8" t="e">
        <f t="shared" si="127"/>
        <v>#REF!</v>
      </c>
      <c r="BE327" s="8" t="e">
        <f t="shared" si="127"/>
        <v>#REF!</v>
      </c>
      <c r="BF327" s="8" t="e">
        <f t="shared" si="127"/>
        <v>#REF!</v>
      </c>
    </row>
    <row r="328" spans="32:88">
      <c r="AG328" s="153" t="s">
        <v>345</v>
      </c>
      <c r="AH328" s="8" t="e">
        <f t="shared" ref="AH328:BF328" si="128">AI190+AI199+AI208+AI181</f>
        <v>#REF!</v>
      </c>
      <c r="AI328" s="8" t="e">
        <f t="shared" si="128"/>
        <v>#REF!</v>
      </c>
      <c r="AJ328" s="8" t="e">
        <f t="shared" si="128"/>
        <v>#REF!</v>
      </c>
      <c r="AK328" s="8" t="e">
        <f t="shared" si="128"/>
        <v>#REF!</v>
      </c>
      <c r="AL328" s="8" t="e">
        <f t="shared" si="128"/>
        <v>#REF!</v>
      </c>
      <c r="AM328" s="8" t="e">
        <f t="shared" si="128"/>
        <v>#REF!</v>
      </c>
      <c r="AN328" s="8" t="e">
        <f t="shared" si="128"/>
        <v>#REF!</v>
      </c>
      <c r="AO328" s="8" t="e">
        <f t="shared" si="128"/>
        <v>#REF!</v>
      </c>
      <c r="AP328" s="8" t="e">
        <f t="shared" si="128"/>
        <v>#REF!</v>
      </c>
      <c r="AQ328" s="8" t="e">
        <f t="shared" si="128"/>
        <v>#REF!</v>
      </c>
      <c r="AR328" s="8" t="e">
        <f t="shared" si="128"/>
        <v>#REF!</v>
      </c>
      <c r="AS328" s="8" t="e">
        <f t="shared" si="128"/>
        <v>#REF!</v>
      </c>
      <c r="AT328" s="8" t="e">
        <f t="shared" si="128"/>
        <v>#REF!</v>
      </c>
      <c r="AU328" s="8" t="e">
        <f t="shared" si="128"/>
        <v>#REF!</v>
      </c>
      <c r="AV328" s="8" t="e">
        <f t="shared" si="128"/>
        <v>#REF!</v>
      </c>
      <c r="AW328" s="8" t="e">
        <f t="shared" si="128"/>
        <v>#REF!</v>
      </c>
      <c r="AX328" s="8" t="e">
        <f t="shared" si="128"/>
        <v>#REF!</v>
      </c>
      <c r="AY328" s="8" t="e">
        <f t="shared" si="128"/>
        <v>#REF!</v>
      </c>
      <c r="AZ328" s="8" t="e">
        <f t="shared" si="128"/>
        <v>#REF!</v>
      </c>
      <c r="BA328" s="8" t="e">
        <f t="shared" si="128"/>
        <v>#REF!</v>
      </c>
      <c r="BB328" s="8" t="e">
        <f t="shared" si="128"/>
        <v>#REF!</v>
      </c>
      <c r="BC328" s="8" t="e">
        <f t="shared" si="128"/>
        <v>#REF!</v>
      </c>
      <c r="BD328" s="8" t="e">
        <f t="shared" si="128"/>
        <v>#REF!</v>
      </c>
      <c r="BE328" s="8" t="e">
        <f t="shared" si="128"/>
        <v>#REF!</v>
      </c>
      <c r="BF328" s="8" t="e">
        <f t="shared" si="128"/>
        <v>#REF!</v>
      </c>
    </row>
    <row r="329" spans="32:88">
      <c r="AG329" s="153" t="s">
        <v>346</v>
      </c>
      <c r="AH329" s="8" t="e">
        <f t="shared" ref="AH329:BF329" si="129">AI191+AI200+AI209+AI182</f>
        <v>#REF!</v>
      </c>
      <c r="AI329" s="8" t="e">
        <f t="shared" si="129"/>
        <v>#REF!</v>
      </c>
      <c r="AJ329" s="8" t="e">
        <f t="shared" si="129"/>
        <v>#REF!</v>
      </c>
      <c r="AK329" s="8" t="e">
        <f t="shared" si="129"/>
        <v>#REF!</v>
      </c>
      <c r="AL329" s="8" t="e">
        <f t="shared" si="129"/>
        <v>#REF!</v>
      </c>
      <c r="AM329" s="8" t="e">
        <f t="shared" si="129"/>
        <v>#REF!</v>
      </c>
      <c r="AN329" s="8" t="e">
        <f t="shared" si="129"/>
        <v>#REF!</v>
      </c>
      <c r="AO329" s="8" t="e">
        <f t="shared" si="129"/>
        <v>#REF!</v>
      </c>
      <c r="AP329" s="8" t="e">
        <f t="shared" si="129"/>
        <v>#REF!</v>
      </c>
      <c r="AQ329" s="8" t="e">
        <f t="shared" si="129"/>
        <v>#REF!</v>
      </c>
      <c r="AR329" s="8" t="e">
        <f t="shared" si="129"/>
        <v>#REF!</v>
      </c>
      <c r="AS329" s="8" t="e">
        <f t="shared" si="129"/>
        <v>#REF!</v>
      </c>
      <c r="AT329" s="8" t="e">
        <f t="shared" si="129"/>
        <v>#REF!</v>
      </c>
      <c r="AU329" s="8" t="e">
        <f t="shared" si="129"/>
        <v>#REF!</v>
      </c>
      <c r="AV329" s="8" t="e">
        <f t="shared" si="129"/>
        <v>#REF!</v>
      </c>
      <c r="AW329" s="8" t="e">
        <f t="shared" si="129"/>
        <v>#REF!</v>
      </c>
      <c r="AX329" s="8" t="e">
        <f t="shared" si="129"/>
        <v>#REF!</v>
      </c>
      <c r="AY329" s="8" t="e">
        <f t="shared" si="129"/>
        <v>#REF!</v>
      </c>
      <c r="AZ329" s="8" t="e">
        <f t="shared" si="129"/>
        <v>#REF!</v>
      </c>
      <c r="BA329" s="8" t="e">
        <f t="shared" si="129"/>
        <v>#REF!</v>
      </c>
      <c r="BB329" s="8" t="e">
        <f t="shared" si="129"/>
        <v>#REF!</v>
      </c>
      <c r="BC329" s="8" t="e">
        <f t="shared" si="129"/>
        <v>#REF!</v>
      </c>
      <c r="BD329" s="8" t="e">
        <f t="shared" si="129"/>
        <v>#REF!</v>
      </c>
      <c r="BE329" s="8" t="e">
        <f t="shared" si="129"/>
        <v>#REF!</v>
      </c>
      <c r="BF329" s="8" t="e">
        <f t="shared" si="129"/>
        <v>#REF!</v>
      </c>
    </row>
    <row r="330" spans="32:88">
      <c r="AG330" s="153" t="s">
        <v>278</v>
      </c>
      <c r="AH330" s="8">
        <f>AI174+AI192+AI201+AI210+AI183</f>
        <v>0</v>
      </c>
      <c r="AI330" s="8">
        <f t="shared" ref="AI330:BF330" si="130">AJ174+AJ192+AJ201+AJ210+AJ183</f>
        <v>-7.7060241529440978E-9</v>
      </c>
      <c r="AJ330" s="8">
        <f t="shared" si="130"/>
        <v>86410991.037149817</v>
      </c>
      <c r="AK330" s="8">
        <f>AL174+AL192+AL201+AL210+AL183</f>
        <v>235092080.049492</v>
      </c>
      <c r="AL330" s="8">
        <f t="shared" si="130"/>
        <v>262326096.56567049</v>
      </c>
      <c r="AM330" s="8">
        <f t="shared" si="130"/>
        <v>242466236.19523987</v>
      </c>
      <c r="AN330" s="8">
        <f t="shared" si="130"/>
        <v>205530027.27965096</v>
      </c>
      <c r="AO330" s="8">
        <f t="shared" si="130"/>
        <v>192982399.61098298</v>
      </c>
      <c r="AP330" s="8">
        <f t="shared" si="130"/>
        <v>100748458.319666</v>
      </c>
      <c r="AQ330" s="8">
        <f t="shared" si="130"/>
        <v>88564132.048201308</v>
      </c>
      <c r="AR330" s="8">
        <f t="shared" si="130"/>
        <v>83414090.191741511</v>
      </c>
      <c r="AS330" s="8">
        <f t="shared" si="130"/>
        <v>78328751.402350456</v>
      </c>
      <c r="AT330" s="8">
        <f t="shared" si="130"/>
        <v>74083406.309814706</v>
      </c>
      <c r="AU330" s="8">
        <f t="shared" si="130"/>
        <v>52798168.731156394</v>
      </c>
      <c r="AV330" s="8">
        <f t="shared" si="130"/>
        <v>40031481.594960488</v>
      </c>
      <c r="AW330" s="8">
        <f t="shared" si="130"/>
        <v>26774461.613335282</v>
      </c>
      <c r="AX330" s="8">
        <f t="shared" si="130"/>
        <v>25690931.366899576</v>
      </c>
      <c r="AY330" s="8">
        <f t="shared" si="130"/>
        <v>25768775.667807441</v>
      </c>
      <c r="AZ330" s="8">
        <f t="shared" si="130"/>
        <v>25995304.776652429</v>
      </c>
      <c r="BA330" s="8">
        <f t="shared" si="130"/>
        <v>25381313.945776407</v>
      </c>
      <c r="BB330" s="8">
        <f t="shared" si="130"/>
        <v>24158913.965071268</v>
      </c>
      <c r="BC330" s="8">
        <f t="shared" si="130"/>
        <v>23772106.006950568</v>
      </c>
      <c r="BD330" s="8">
        <f t="shared" si="130"/>
        <v>23190342.670770742</v>
      </c>
      <c r="BE330" s="8">
        <f t="shared" si="130"/>
        <v>22594479.179650787</v>
      </c>
      <c r="BF330" s="8">
        <f t="shared" si="130"/>
        <v>21606535.749237359</v>
      </c>
    </row>
    <row r="331" spans="32:88">
      <c r="AG331" s="153" t="s">
        <v>347</v>
      </c>
      <c r="AH331" s="8" t="e">
        <f t="shared" ref="AH331:BF331" si="131">AI193+AI202+AI211+AI184</f>
        <v>#REF!</v>
      </c>
      <c r="AI331" s="8" t="e">
        <f t="shared" si="131"/>
        <v>#REF!</v>
      </c>
      <c r="AJ331" s="8" t="e">
        <f t="shared" si="131"/>
        <v>#REF!</v>
      </c>
      <c r="AK331" s="8" t="e">
        <f t="shared" si="131"/>
        <v>#REF!</v>
      </c>
      <c r="AL331" s="8" t="e">
        <f t="shared" si="131"/>
        <v>#REF!</v>
      </c>
      <c r="AM331" s="8" t="e">
        <f t="shared" si="131"/>
        <v>#REF!</v>
      </c>
      <c r="AN331" s="8" t="e">
        <f t="shared" si="131"/>
        <v>#REF!</v>
      </c>
      <c r="AO331" s="8" t="e">
        <f t="shared" si="131"/>
        <v>#REF!</v>
      </c>
      <c r="AP331" s="8" t="e">
        <f t="shared" si="131"/>
        <v>#REF!</v>
      </c>
      <c r="AQ331" s="8" t="e">
        <f t="shared" si="131"/>
        <v>#REF!</v>
      </c>
      <c r="AR331" s="8" t="e">
        <f t="shared" si="131"/>
        <v>#REF!</v>
      </c>
      <c r="AS331" s="8" t="e">
        <f t="shared" si="131"/>
        <v>#REF!</v>
      </c>
      <c r="AT331" s="8" t="e">
        <f t="shared" si="131"/>
        <v>#REF!</v>
      </c>
      <c r="AU331" s="8" t="e">
        <f t="shared" si="131"/>
        <v>#REF!</v>
      </c>
      <c r="AV331" s="8" t="e">
        <f t="shared" si="131"/>
        <v>#REF!</v>
      </c>
      <c r="AW331" s="8" t="e">
        <f t="shared" si="131"/>
        <v>#REF!</v>
      </c>
      <c r="AX331" s="8" t="e">
        <f t="shared" si="131"/>
        <v>#REF!</v>
      </c>
      <c r="AY331" s="8" t="e">
        <f t="shared" si="131"/>
        <v>#REF!</v>
      </c>
      <c r="AZ331" s="8" t="e">
        <f t="shared" si="131"/>
        <v>#REF!</v>
      </c>
      <c r="BA331" s="8" t="e">
        <f t="shared" si="131"/>
        <v>#REF!</v>
      </c>
      <c r="BB331" s="8" t="e">
        <f t="shared" si="131"/>
        <v>#REF!</v>
      </c>
      <c r="BC331" s="8" t="e">
        <f t="shared" si="131"/>
        <v>#REF!</v>
      </c>
      <c r="BD331" s="8" t="e">
        <f t="shared" si="131"/>
        <v>#REF!</v>
      </c>
      <c r="BE331" s="8" t="e">
        <f t="shared" si="131"/>
        <v>#REF!</v>
      </c>
      <c r="BF331" s="8" t="e">
        <f t="shared" si="131"/>
        <v>#REF!</v>
      </c>
    </row>
    <row r="332" spans="32:88">
      <c r="AG332" s="153" t="s">
        <v>348</v>
      </c>
      <c r="AH332" s="8" t="e">
        <f t="shared" ref="AH332:BF332" si="132">AI194+AI203+AI212+AI185</f>
        <v>#REF!</v>
      </c>
      <c r="AI332" s="8" t="e">
        <f t="shared" si="132"/>
        <v>#REF!</v>
      </c>
      <c r="AJ332" s="8" t="e">
        <f t="shared" si="132"/>
        <v>#REF!</v>
      </c>
      <c r="AK332" s="8" t="e">
        <f t="shared" si="132"/>
        <v>#REF!</v>
      </c>
      <c r="AL332" s="8" t="e">
        <f t="shared" si="132"/>
        <v>#REF!</v>
      </c>
      <c r="AM332" s="8" t="e">
        <f t="shared" si="132"/>
        <v>#REF!</v>
      </c>
      <c r="AN332" s="8" t="e">
        <f t="shared" si="132"/>
        <v>#REF!</v>
      </c>
      <c r="AO332" s="8" t="e">
        <f t="shared" si="132"/>
        <v>#REF!</v>
      </c>
      <c r="AP332" s="8" t="e">
        <f t="shared" si="132"/>
        <v>#REF!</v>
      </c>
      <c r="AQ332" s="8" t="e">
        <f t="shared" si="132"/>
        <v>#REF!</v>
      </c>
      <c r="AR332" s="8" t="e">
        <f t="shared" si="132"/>
        <v>#REF!</v>
      </c>
      <c r="AS332" s="8" t="e">
        <f t="shared" si="132"/>
        <v>#REF!</v>
      </c>
      <c r="AT332" s="8" t="e">
        <f t="shared" si="132"/>
        <v>#REF!</v>
      </c>
      <c r="AU332" s="8" t="e">
        <f t="shared" si="132"/>
        <v>#REF!</v>
      </c>
      <c r="AV332" s="8" t="e">
        <f t="shared" si="132"/>
        <v>#REF!</v>
      </c>
      <c r="AW332" s="8" t="e">
        <f t="shared" si="132"/>
        <v>#REF!</v>
      </c>
      <c r="AX332" s="8" t="e">
        <f t="shared" si="132"/>
        <v>#REF!</v>
      </c>
      <c r="AY332" s="8" t="e">
        <f t="shared" si="132"/>
        <v>#REF!</v>
      </c>
      <c r="AZ332" s="8" t="e">
        <f t="shared" si="132"/>
        <v>#REF!</v>
      </c>
      <c r="BA332" s="8" t="e">
        <f t="shared" si="132"/>
        <v>#REF!</v>
      </c>
      <c r="BB332" s="8" t="e">
        <f t="shared" si="132"/>
        <v>#REF!</v>
      </c>
      <c r="BC332" s="8" t="e">
        <f t="shared" si="132"/>
        <v>#REF!</v>
      </c>
      <c r="BD332" s="8" t="e">
        <f t="shared" si="132"/>
        <v>#REF!</v>
      </c>
      <c r="BE332" s="8" t="e">
        <f t="shared" si="132"/>
        <v>#REF!</v>
      </c>
      <c r="BF332" s="8" t="e">
        <f t="shared" si="132"/>
        <v>#REF!</v>
      </c>
    </row>
    <row r="333" spans="32:88">
      <c r="AG333" s="153" t="s">
        <v>349</v>
      </c>
      <c r="AH333" s="8" t="e">
        <f t="shared" ref="AH333:BF333" si="133">AI195+AI204+AI213+AI186</f>
        <v>#REF!</v>
      </c>
      <c r="AI333" s="8" t="e">
        <f t="shared" si="133"/>
        <v>#REF!</v>
      </c>
      <c r="AJ333" s="8" t="e">
        <f t="shared" si="133"/>
        <v>#REF!</v>
      </c>
      <c r="AK333" s="8" t="e">
        <f t="shared" si="133"/>
        <v>#REF!</v>
      </c>
      <c r="AL333" s="8" t="e">
        <f t="shared" si="133"/>
        <v>#REF!</v>
      </c>
      <c r="AM333" s="8" t="e">
        <f t="shared" si="133"/>
        <v>#REF!</v>
      </c>
      <c r="AN333" s="8" t="e">
        <f t="shared" si="133"/>
        <v>#REF!</v>
      </c>
      <c r="AO333" s="8" t="e">
        <f t="shared" si="133"/>
        <v>#REF!</v>
      </c>
      <c r="AP333" s="8" t="e">
        <f t="shared" si="133"/>
        <v>#REF!</v>
      </c>
      <c r="AQ333" s="8" t="e">
        <f t="shared" si="133"/>
        <v>#REF!</v>
      </c>
      <c r="AR333" s="8" t="e">
        <f t="shared" si="133"/>
        <v>#REF!</v>
      </c>
      <c r="AS333" s="8" t="e">
        <f t="shared" si="133"/>
        <v>#REF!</v>
      </c>
      <c r="AT333" s="8" t="e">
        <f t="shared" si="133"/>
        <v>#REF!</v>
      </c>
      <c r="AU333" s="8" t="e">
        <f t="shared" si="133"/>
        <v>#REF!</v>
      </c>
      <c r="AV333" s="8" t="e">
        <f t="shared" si="133"/>
        <v>#REF!</v>
      </c>
      <c r="AW333" s="8" t="e">
        <f t="shared" si="133"/>
        <v>#REF!</v>
      </c>
      <c r="AX333" s="8" t="e">
        <f t="shared" si="133"/>
        <v>#REF!</v>
      </c>
      <c r="AY333" s="8" t="e">
        <f t="shared" si="133"/>
        <v>#REF!</v>
      </c>
      <c r="AZ333" s="8" t="e">
        <f t="shared" si="133"/>
        <v>#REF!</v>
      </c>
      <c r="BA333" s="8" t="e">
        <f t="shared" si="133"/>
        <v>#REF!</v>
      </c>
      <c r="BB333" s="8" t="e">
        <f t="shared" si="133"/>
        <v>#REF!</v>
      </c>
      <c r="BC333" s="8" t="e">
        <f t="shared" si="133"/>
        <v>#REF!</v>
      </c>
      <c r="BD333" s="8" t="e">
        <f t="shared" si="133"/>
        <v>#REF!</v>
      </c>
      <c r="BE333" s="8" t="e">
        <f t="shared" si="133"/>
        <v>#REF!</v>
      </c>
      <c r="BF333" s="8" t="e">
        <f t="shared" si="133"/>
        <v>#REF!</v>
      </c>
    </row>
    <row r="334" spans="32:88">
      <c r="AG334" s="153" t="s">
        <v>246</v>
      </c>
      <c r="AH334" s="8">
        <f>AI178+AI196+AI205+AI214+AI187</f>
        <v>0</v>
      </c>
      <c r="AI334" s="8">
        <f t="shared" ref="AI334:BF334" si="134">AJ178+AJ196+AJ205+AJ214+AJ187</f>
        <v>-1.6825501576631544E-10</v>
      </c>
      <c r="AJ334" s="8">
        <f t="shared" si="134"/>
        <v>1857063.7235659314</v>
      </c>
      <c r="AK334" s="8">
        <f t="shared" si="134"/>
        <v>4968834.2159657096</v>
      </c>
      <c r="AL334" s="8">
        <f t="shared" si="134"/>
        <v>5470841.6001732396</v>
      </c>
      <c r="AM334" s="8">
        <f t="shared" si="134"/>
        <v>4999943.096783394</v>
      </c>
      <c r="AN334" s="8">
        <f t="shared" si="134"/>
        <v>4186788.2502691126</v>
      </c>
      <c r="AO334" s="8">
        <f t="shared" si="134"/>
        <v>3892268.4676765287</v>
      </c>
      <c r="AP334" s="8">
        <f t="shared" si="134"/>
        <v>1477822.5387299</v>
      </c>
      <c r="AQ334" s="8">
        <f t="shared" si="134"/>
        <v>1288303.2842442433</v>
      </c>
      <c r="AR334" s="8">
        <f t="shared" si="134"/>
        <v>1210144.4667152024</v>
      </c>
      <c r="AS334" s="8">
        <f t="shared" si="134"/>
        <v>1133286.7518549482</v>
      </c>
      <c r="AT334" s="8">
        <f t="shared" si="134"/>
        <v>1069370.4751416477</v>
      </c>
      <c r="AU334" s="8">
        <f t="shared" si="134"/>
        <v>754136.13376503973</v>
      </c>
      <c r="AV334" s="8">
        <f t="shared" si="134"/>
        <v>565490.54959850339</v>
      </c>
      <c r="AW334" s="8">
        <f t="shared" si="134"/>
        <v>369487.57026402693</v>
      </c>
      <c r="AX334" s="8">
        <f t="shared" si="134"/>
        <v>354534.8528632141</v>
      </c>
      <c r="AY334" s="8">
        <f t="shared" si="134"/>
        <v>355609.10421574267</v>
      </c>
      <c r="AZ334" s="8">
        <f t="shared" si="134"/>
        <v>358735.20591780357</v>
      </c>
      <c r="BA334" s="8">
        <f t="shared" si="134"/>
        <v>350262.13245171448</v>
      </c>
      <c r="BB334" s="8">
        <f t="shared" si="134"/>
        <v>333393.01271798351</v>
      </c>
      <c r="BC334" s="8">
        <f t="shared" si="134"/>
        <v>328055.06289591792</v>
      </c>
      <c r="BD334" s="8">
        <f t="shared" si="134"/>
        <v>320026.72885663633</v>
      </c>
      <c r="BE334" s="8">
        <f t="shared" si="134"/>
        <v>311803.81267918082</v>
      </c>
      <c r="BF334" s="8">
        <f t="shared" si="134"/>
        <v>298170.19333947555</v>
      </c>
    </row>
    <row r="336" spans="32:88" ht="18" customHeight="1">
      <c r="AG336" t="s">
        <v>399</v>
      </c>
      <c r="AH336">
        <v>2022</v>
      </c>
      <c r="AI336">
        <v>2023</v>
      </c>
      <c r="AJ336">
        <v>2024</v>
      </c>
      <c r="AK336">
        <v>2025</v>
      </c>
      <c r="AL336">
        <v>2026</v>
      </c>
      <c r="AM336">
        <v>2027</v>
      </c>
      <c r="AN336">
        <v>2028</v>
      </c>
      <c r="AO336">
        <v>2029</v>
      </c>
      <c r="AP336">
        <v>2030</v>
      </c>
      <c r="AQ336">
        <v>2031</v>
      </c>
      <c r="AR336">
        <v>2032</v>
      </c>
      <c r="AS336">
        <v>2033</v>
      </c>
      <c r="AT336">
        <v>2034</v>
      </c>
      <c r="AU336">
        <v>2035</v>
      </c>
      <c r="AV336">
        <v>2036</v>
      </c>
      <c r="AW336">
        <v>2037</v>
      </c>
      <c r="AX336">
        <v>2038</v>
      </c>
      <c r="AY336">
        <v>2039</v>
      </c>
      <c r="AZ336">
        <v>2040</v>
      </c>
      <c r="BA336">
        <v>2041</v>
      </c>
      <c r="BB336">
        <v>2042</v>
      </c>
      <c r="BC336">
        <v>2043</v>
      </c>
      <c r="BD336">
        <v>2044</v>
      </c>
      <c r="BE336">
        <v>2045</v>
      </c>
      <c r="BF336">
        <v>2046</v>
      </c>
      <c r="BJ336" s="294" t="s">
        <v>400</v>
      </c>
      <c r="BK336" t="s">
        <v>401</v>
      </c>
      <c r="BL336">
        <v>2022</v>
      </c>
      <c r="BM336">
        <v>2023</v>
      </c>
      <c r="BN336">
        <v>2024</v>
      </c>
      <c r="BO336">
        <v>2025</v>
      </c>
      <c r="BP336">
        <v>2026</v>
      </c>
      <c r="BQ336">
        <v>2027</v>
      </c>
      <c r="BR336">
        <v>2028</v>
      </c>
      <c r="BS336">
        <v>2029</v>
      </c>
      <c r="BT336">
        <v>2030</v>
      </c>
      <c r="BU336">
        <v>2031</v>
      </c>
      <c r="BV336">
        <v>2032</v>
      </c>
      <c r="BW336">
        <v>2033</v>
      </c>
      <c r="BX336">
        <v>2034</v>
      </c>
      <c r="BY336">
        <v>2035</v>
      </c>
      <c r="BZ336">
        <v>2036</v>
      </c>
      <c r="CA336">
        <v>2037</v>
      </c>
      <c r="CB336">
        <v>2038</v>
      </c>
      <c r="CC336">
        <v>2039</v>
      </c>
      <c r="CD336">
        <v>2040</v>
      </c>
      <c r="CE336">
        <v>2041</v>
      </c>
      <c r="CF336">
        <v>2042</v>
      </c>
      <c r="CG336">
        <v>2043</v>
      </c>
      <c r="CH336">
        <v>2044</v>
      </c>
      <c r="CI336">
        <v>2045</v>
      </c>
      <c r="CJ336">
        <v>2046</v>
      </c>
    </row>
    <row r="337" spans="32:88">
      <c r="AF337" s="292" t="s">
        <v>402</v>
      </c>
      <c r="AG337" s="136" t="s">
        <v>343</v>
      </c>
      <c r="AH337" s="8" t="e">
        <f t="shared" ref="AH337:BF337" si="135">AH287*$AI$262/100+AH297*$AI$271/100+AH307*$AI$280/100+AH317*($AI$255/100*$AJ$255+$AI$256/100*$AJ$256)+AH327*($AI$244/100*$AJ$244+$AI$245/100*$AJ$245)</f>
        <v>#REF!</v>
      </c>
      <c r="AI337" s="8" t="e">
        <f t="shared" si="135"/>
        <v>#REF!</v>
      </c>
      <c r="AJ337" s="8" t="e">
        <f t="shared" si="135"/>
        <v>#REF!</v>
      </c>
      <c r="AK337" s="8" t="e">
        <f t="shared" si="135"/>
        <v>#REF!</v>
      </c>
      <c r="AL337" s="8" t="e">
        <f t="shared" si="135"/>
        <v>#REF!</v>
      </c>
      <c r="AM337" s="8" t="e">
        <f t="shared" si="135"/>
        <v>#REF!</v>
      </c>
      <c r="AN337" s="8" t="e">
        <f t="shared" si="135"/>
        <v>#REF!</v>
      </c>
      <c r="AO337" s="8" t="e">
        <f t="shared" si="135"/>
        <v>#REF!</v>
      </c>
      <c r="AP337" s="8" t="e">
        <f t="shared" si="135"/>
        <v>#REF!</v>
      </c>
      <c r="AQ337" s="8" t="e">
        <f t="shared" si="135"/>
        <v>#REF!</v>
      </c>
      <c r="AR337" s="8" t="e">
        <f t="shared" si="135"/>
        <v>#REF!</v>
      </c>
      <c r="AS337" s="8" t="e">
        <f t="shared" si="135"/>
        <v>#REF!</v>
      </c>
      <c r="AT337" s="8" t="e">
        <f t="shared" si="135"/>
        <v>#REF!</v>
      </c>
      <c r="AU337" s="8" t="e">
        <f t="shared" si="135"/>
        <v>#REF!</v>
      </c>
      <c r="AV337" s="8" t="e">
        <f t="shared" si="135"/>
        <v>#REF!</v>
      </c>
      <c r="AW337" s="8" t="e">
        <f t="shared" si="135"/>
        <v>#REF!</v>
      </c>
      <c r="AX337" s="8" t="e">
        <f t="shared" si="135"/>
        <v>#REF!</v>
      </c>
      <c r="AY337" s="8" t="e">
        <f t="shared" si="135"/>
        <v>#REF!</v>
      </c>
      <c r="AZ337" s="8" t="e">
        <f t="shared" si="135"/>
        <v>#REF!</v>
      </c>
      <c r="BA337" s="8" t="e">
        <f t="shared" si="135"/>
        <v>#REF!</v>
      </c>
      <c r="BB337" s="8" t="e">
        <f t="shared" si="135"/>
        <v>#REF!</v>
      </c>
      <c r="BC337" s="8" t="e">
        <f t="shared" si="135"/>
        <v>#REF!</v>
      </c>
      <c r="BD337" s="8" t="e">
        <f t="shared" si="135"/>
        <v>#REF!</v>
      </c>
      <c r="BE337" s="8" t="e">
        <f t="shared" si="135"/>
        <v>#REF!</v>
      </c>
      <c r="BF337" s="8" t="e">
        <f t="shared" si="135"/>
        <v>#REF!</v>
      </c>
      <c r="BJ337" s="294"/>
      <c r="BK337" s="136" t="s">
        <v>343</v>
      </c>
      <c r="BL337" s="8" t="e">
        <f t="shared" ref="BL337:BU344" si="136">AH287*$AI$262/100+AH297*$AI$271/100+AH307*$AI$280/100</f>
        <v>#REF!</v>
      </c>
      <c r="BM337" s="8" t="e">
        <f t="shared" si="136"/>
        <v>#REF!</v>
      </c>
      <c r="BN337" s="8" t="e">
        <f t="shared" si="136"/>
        <v>#REF!</v>
      </c>
      <c r="BO337" s="8" t="e">
        <f t="shared" si="136"/>
        <v>#REF!</v>
      </c>
      <c r="BP337" s="8" t="e">
        <f t="shared" si="136"/>
        <v>#REF!</v>
      </c>
      <c r="BQ337" s="8" t="e">
        <f t="shared" si="136"/>
        <v>#REF!</v>
      </c>
      <c r="BR337" s="8" t="e">
        <f t="shared" si="136"/>
        <v>#REF!</v>
      </c>
      <c r="BS337" s="8" t="e">
        <f t="shared" si="136"/>
        <v>#REF!</v>
      </c>
      <c r="BT337" s="8" t="e">
        <f t="shared" si="136"/>
        <v>#REF!</v>
      </c>
      <c r="BU337" s="8" t="e">
        <f t="shared" si="136"/>
        <v>#REF!</v>
      </c>
      <c r="BV337" s="8" t="e">
        <f t="shared" ref="BV337:CE344" si="137">AR287*$AI$262/100+AR297*$AI$271/100+AR307*$AI$280/100</f>
        <v>#REF!</v>
      </c>
      <c r="BW337" s="8" t="e">
        <f t="shared" si="137"/>
        <v>#REF!</v>
      </c>
      <c r="BX337" s="8" t="e">
        <f t="shared" si="137"/>
        <v>#REF!</v>
      </c>
      <c r="BY337" s="8" t="e">
        <f t="shared" si="137"/>
        <v>#REF!</v>
      </c>
      <c r="BZ337" s="8" t="e">
        <f t="shared" si="137"/>
        <v>#REF!</v>
      </c>
      <c r="CA337" s="8" t="e">
        <f t="shared" si="137"/>
        <v>#REF!</v>
      </c>
      <c r="CB337" s="8" t="e">
        <f t="shared" si="137"/>
        <v>#REF!</v>
      </c>
      <c r="CC337" s="8" t="e">
        <f t="shared" si="137"/>
        <v>#REF!</v>
      </c>
      <c r="CD337" s="8" t="e">
        <f t="shared" si="137"/>
        <v>#REF!</v>
      </c>
      <c r="CE337" s="8" t="e">
        <f t="shared" si="137"/>
        <v>#REF!</v>
      </c>
      <c r="CF337" s="8" t="e">
        <f t="shared" ref="CF337:CJ344" si="138">BB287*$AI$262/100+BB297*$AI$271/100+BB307*$AI$280/100</f>
        <v>#REF!</v>
      </c>
      <c r="CG337" s="8" t="e">
        <f t="shared" si="138"/>
        <v>#REF!</v>
      </c>
      <c r="CH337" s="8" t="e">
        <f t="shared" si="138"/>
        <v>#REF!</v>
      </c>
      <c r="CI337" s="8" t="e">
        <f t="shared" si="138"/>
        <v>#REF!</v>
      </c>
      <c r="CJ337" s="8" t="e">
        <f t="shared" si="138"/>
        <v>#REF!</v>
      </c>
    </row>
    <row r="338" spans="32:88">
      <c r="AF338" s="292"/>
      <c r="AG338" s="136" t="s">
        <v>345</v>
      </c>
      <c r="AH338" s="8" t="e">
        <f t="shared" ref="AH338:BF338" si="139">AH288*$AI$262/100+AH298*$AI$271/100+AH308*$AI$280/100+AH318*($AI$255/100*$AJ$255+$AI$256/100*$AJ$256)+AH328*($AI$244/100*$AJ$244+$AI$245/100*$AJ$245)</f>
        <v>#REF!</v>
      </c>
      <c r="AI338" s="8" t="e">
        <f t="shared" si="139"/>
        <v>#REF!</v>
      </c>
      <c r="AJ338" s="8" t="e">
        <f t="shared" si="139"/>
        <v>#REF!</v>
      </c>
      <c r="AK338" s="8" t="e">
        <f t="shared" si="139"/>
        <v>#REF!</v>
      </c>
      <c r="AL338" s="8" t="e">
        <f t="shared" si="139"/>
        <v>#REF!</v>
      </c>
      <c r="AM338" s="8" t="e">
        <f t="shared" si="139"/>
        <v>#REF!</v>
      </c>
      <c r="AN338" s="8" t="e">
        <f t="shared" si="139"/>
        <v>#REF!</v>
      </c>
      <c r="AO338" s="8" t="e">
        <f t="shared" si="139"/>
        <v>#REF!</v>
      </c>
      <c r="AP338" s="8" t="e">
        <f t="shared" si="139"/>
        <v>#REF!</v>
      </c>
      <c r="AQ338" s="8" t="e">
        <f t="shared" si="139"/>
        <v>#REF!</v>
      </c>
      <c r="AR338" s="8" t="e">
        <f t="shared" si="139"/>
        <v>#REF!</v>
      </c>
      <c r="AS338" s="8" t="e">
        <f t="shared" si="139"/>
        <v>#REF!</v>
      </c>
      <c r="AT338" s="8" t="e">
        <f t="shared" si="139"/>
        <v>#REF!</v>
      </c>
      <c r="AU338" s="8" t="e">
        <f t="shared" si="139"/>
        <v>#REF!</v>
      </c>
      <c r="AV338" s="8" t="e">
        <f t="shared" si="139"/>
        <v>#REF!</v>
      </c>
      <c r="AW338" s="8" t="e">
        <f t="shared" si="139"/>
        <v>#REF!</v>
      </c>
      <c r="AX338" s="8" t="e">
        <f t="shared" si="139"/>
        <v>#REF!</v>
      </c>
      <c r="AY338" s="8" t="e">
        <f t="shared" si="139"/>
        <v>#REF!</v>
      </c>
      <c r="AZ338" s="8" t="e">
        <f t="shared" si="139"/>
        <v>#REF!</v>
      </c>
      <c r="BA338" s="8" t="e">
        <f t="shared" si="139"/>
        <v>#REF!</v>
      </c>
      <c r="BB338" s="8" t="e">
        <f t="shared" si="139"/>
        <v>#REF!</v>
      </c>
      <c r="BC338" s="8" t="e">
        <f t="shared" si="139"/>
        <v>#REF!</v>
      </c>
      <c r="BD338" s="8" t="e">
        <f t="shared" si="139"/>
        <v>#REF!</v>
      </c>
      <c r="BE338" s="8" t="e">
        <f t="shared" si="139"/>
        <v>#REF!</v>
      </c>
      <c r="BF338" s="8" t="e">
        <f t="shared" si="139"/>
        <v>#REF!</v>
      </c>
      <c r="BJ338" s="294"/>
      <c r="BK338" s="136" t="s">
        <v>345</v>
      </c>
      <c r="BL338" s="8" t="e">
        <f t="shared" si="136"/>
        <v>#REF!</v>
      </c>
      <c r="BM338" s="8" t="e">
        <f t="shared" si="136"/>
        <v>#REF!</v>
      </c>
      <c r="BN338" s="8" t="e">
        <f t="shared" si="136"/>
        <v>#REF!</v>
      </c>
      <c r="BO338" s="8" t="e">
        <f t="shared" si="136"/>
        <v>#REF!</v>
      </c>
      <c r="BP338" s="8" t="e">
        <f t="shared" si="136"/>
        <v>#REF!</v>
      </c>
      <c r="BQ338" s="8" t="e">
        <f t="shared" si="136"/>
        <v>#REF!</v>
      </c>
      <c r="BR338" s="8" t="e">
        <f t="shared" si="136"/>
        <v>#REF!</v>
      </c>
      <c r="BS338" s="8" t="e">
        <f t="shared" si="136"/>
        <v>#REF!</v>
      </c>
      <c r="BT338" s="8" t="e">
        <f t="shared" si="136"/>
        <v>#REF!</v>
      </c>
      <c r="BU338" s="8" t="e">
        <f t="shared" si="136"/>
        <v>#REF!</v>
      </c>
      <c r="BV338" s="8" t="e">
        <f t="shared" si="137"/>
        <v>#REF!</v>
      </c>
      <c r="BW338" s="8" t="e">
        <f t="shared" si="137"/>
        <v>#REF!</v>
      </c>
      <c r="BX338" s="8" t="e">
        <f t="shared" si="137"/>
        <v>#REF!</v>
      </c>
      <c r="BY338" s="8" t="e">
        <f t="shared" si="137"/>
        <v>#REF!</v>
      </c>
      <c r="BZ338" s="8" t="e">
        <f t="shared" si="137"/>
        <v>#REF!</v>
      </c>
      <c r="CA338" s="8" t="e">
        <f t="shared" si="137"/>
        <v>#REF!</v>
      </c>
      <c r="CB338" s="8" t="e">
        <f t="shared" si="137"/>
        <v>#REF!</v>
      </c>
      <c r="CC338" s="8" t="e">
        <f t="shared" si="137"/>
        <v>#REF!</v>
      </c>
      <c r="CD338" s="8" t="e">
        <f t="shared" si="137"/>
        <v>#REF!</v>
      </c>
      <c r="CE338" s="8" t="e">
        <f t="shared" si="137"/>
        <v>#REF!</v>
      </c>
      <c r="CF338" s="8" t="e">
        <f t="shared" si="138"/>
        <v>#REF!</v>
      </c>
      <c r="CG338" s="8" t="e">
        <f t="shared" si="138"/>
        <v>#REF!</v>
      </c>
      <c r="CH338" s="8" t="e">
        <f t="shared" si="138"/>
        <v>#REF!</v>
      </c>
      <c r="CI338" s="8" t="e">
        <f t="shared" si="138"/>
        <v>#REF!</v>
      </c>
      <c r="CJ338" s="8" t="e">
        <f t="shared" si="138"/>
        <v>#REF!</v>
      </c>
    </row>
    <row r="339" spans="32:88">
      <c r="AF339" s="292"/>
      <c r="AG339" s="136" t="s">
        <v>346</v>
      </c>
      <c r="AH339" s="8" t="e">
        <f t="shared" ref="AH339:BF339" si="140">AH289*$AI$262/100+AH299*$AI$271/100+AH309*$AI$280/100+AH319*($AI$255/100*$AJ$255+$AI$256/100*$AJ$256)+AH329*($AI$244/100*$AJ$244+$AI$245/100*$AJ$245)</f>
        <v>#REF!</v>
      </c>
      <c r="AI339" s="8" t="e">
        <f t="shared" si="140"/>
        <v>#REF!</v>
      </c>
      <c r="AJ339" s="8" t="e">
        <f t="shared" si="140"/>
        <v>#REF!</v>
      </c>
      <c r="AK339" s="8" t="e">
        <f t="shared" si="140"/>
        <v>#REF!</v>
      </c>
      <c r="AL339" s="8" t="e">
        <f t="shared" si="140"/>
        <v>#REF!</v>
      </c>
      <c r="AM339" s="8" t="e">
        <f t="shared" si="140"/>
        <v>#REF!</v>
      </c>
      <c r="AN339" s="8" t="e">
        <f t="shared" si="140"/>
        <v>#REF!</v>
      </c>
      <c r="AO339" s="8" t="e">
        <f t="shared" si="140"/>
        <v>#REF!</v>
      </c>
      <c r="AP339" s="8" t="e">
        <f t="shared" si="140"/>
        <v>#REF!</v>
      </c>
      <c r="AQ339" s="8" t="e">
        <f t="shared" si="140"/>
        <v>#REF!</v>
      </c>
      <c r="AR339" s="8" t="e">
        <f t="shared" si="140"/>
        <v>#REF!</v>
      </c>
      <c r="AS339" s="8" t="e">
        <f t="shared" si="140"/>
        <v>#REF!</v>
      </c>
      <c r="AT339" s="8" t="e">
        <f t="shared" si="140"/>
        <v>#REF!</v>
      </c>
      <c r="AU339" s="8" t="e">
        <f t="shared" si="140"/>
        <v>#REF!</v>
      </c>
      <c r="AV339" s="8" t="e">
        <f t="shared" si="140"/>
        <v>#REF!</v>
      </c>
      <c r="AW339" s="8" t="e">
        <f t="shared" si="140"/>
        <v>#REF!</v>
      </c>
      <c r="AX339" s="8" t="e">
        <f t="shared" si="140"/>
        <v>#REF!</v>
      </c>
      <c r="AY339" s="8" t="e">
        <f t="shared" si="140"/>
        <v>#REF!</v>
      </c>
      <c r="AZ339" s="8" t="e">
        <f t="shared" si="140"/>
        <v>#REF!</v>
      </c>
      <c r="BA339" s="8" t="e">
        <f t="shared" si="140"/>
        <v>#REF!</v>
      </c>
      <c r="BB339" s="8" t="e">
        <f t="shared" si="140"/>
        <v>#REF!</v>
      </c>
      <c r="BC339" s="8" t="e">
        <f t="shared" si="140"/>
        <v>#REF!</v>
      </c>
      <c r="BD339" s="8" t="e">
        <f t="shared" si="140"/>
        <v>#REF!</v>
      </c>
      <c r="BE339" s="8" t="e">
        <f t="shared" si="140"/>
        <v>#REF!</v>
      </c>
      <c r="BF339" s="8" t="e">
        <f t="shared" si="140"/>
        <v>#REF!</v>
      </c>
      <c r="BJ339" s="294"/>
      <c r="BK339" s="136" t="s">
        <v>346</v>
      </c>
      <c r="BL339" s="8" t="e">
        <f t="shared" si="136"/>
        <v>#REF!</v>
      </c>
      <c r="BM339" s="8" t="e">
        <f t="shared" si="136"/>
        <v>#REF!</v>
      </c>
      <c r="BN339" s="8" t="e">
        <f t="shared" si="136"/>
        <v>#REF!</v>
      </c>
      <c r="BO339" s="8" t="e">
        <f t="shared" si="136"/>
        <v>#REF!</v>
      </c>
      <c r="BP339" s="8" t="e">
        <f t="shared" si="136"/>
        <v>#REF!</v>
      </c>
      <c r="BQ339" s="8" t="e">
        <f t="shared" si="136"/>
        <v>#REF!</v>
      </c>
      <c r="BR339" s="8" t="e">
        <f t="shared" si="136"/>
        <v>#REF!</v>
      </c>
      <c r="BS339" s="8" t="e">
        <f t="shared" si="136"/>
        <v>#REF!</v>
      </c>
      <c r="BT339" s="8" t="e">
        <f t="shared" si="136"/>
        <v>#REF!</v>
      </c>
      <c r="BU339" s="8" t="e">
        <f t="shared" si="136"/>
        <v>#REF!</v>
      </c>
      <c r="BV339" s="8" t="e">
        <f t="shared" si="137"/>
        <v>#REF!</v>
      </c>
      <c r="BW339" s="8" t="e">
        <f t="shared" si="137"/>
        <v>#REF!</v>
      </c>
      <c r="BX339" s="8" t="e">
        <f t="shared" si="137"/>
        <v>#REF!</v>
      </c>
      <c r="BY339" s="8" t="e">
        <f t="shared" si="137"/>
        <v>#REF!</v>
      </c>
      <c r="BZ339" s="8" t="e">
        <f t="shared" si="137"/>
        <v>#REF!</v>
      </c>
      <c r="CA339" s="8" t="e">
        <f t="shared" si="137"/>
        <v>#REF!</v>
      </c>
      <c r="CB339" s="8" t="e">
        <f t="shared" si="137"/>
        <v>#REF!</v>
      </c>
      <c r="CC339" s="8" t="e">
        <f t="shared" si="137"/>
        <v>#REF!</v>
      </c>
      <c r="CD339" s="8" t="e">
        <f t="shared" si="137"/>
        <v>#REF!</v>
      </c>
      <c r="CE339" s="8" t="e">
        <f t="shared" si="137"/>
        <v>#REF!</v>
      </c>
      <c r="CF339" s="8" t="e">
        <f t="shared" si="138"/>
        <v>#REF!</v>
      </c>
      <c r="CG339" s="8" t="e">
        <f t="shared" si="138"/>
        <v>#REF!</v>
      </c>
      <c r="CH339" s="8" t="e">
        <f t="shared" si="138"/>
        <v>#REF!</v>
      </c>
      <c r="CI339" s="8" t="e">
        <f t="shared" si="138"/>
        <v>#REF!</v>
      </c>
      <c r="CJ339" s="8" t="e">
        <f t="shared" si="138"/>
        <v>#REF!</v>
      </c>
    </row>
    <row r="340" spans="32:88">
      <c r="AF340" s="292"/>
      <c r="AG340" s="136" t="s">
        <v>278</v>
      </c>
      <c r="AH340" s="8">
        <f t="shared" ref="AH340:BF340" si="141">AH290*$AI$262/100+AH300*$AI$271/100+AH310*$AI$280/100+AH320*($AI$255/100*$AJ$255+$AI$256/100*$AJ$256)+AH330*($AI$244/100*$AJ$244+$AI$245/100*$AJ$245)</f>
        <v>0</v>
      </c>
      <c r="AI340" s="8">
        <f t="shared" si="141"/>
        <v>-8.0913253605913022E-10</v>
      </c>
      <c r="AJ340" s="8">
        <f t="shared" si="141"/>
        <v>13893543.787299817</v>
      </c>
      <c r="AK340" s="8">
        <f>AK290*$AI$262/100+AK300*$AI$271/100+AK310*$AI$280/100+AK320*($AI$255/100*$AJ$255+$AI$256/100*$AJ$256)+AK330*($AI$244/100*$AJ$244+$AI$245/100*$AJ$245)</f>
        <v>34367410.212087199</v>
      </c>
      <c r="AL340" s="8">
        <f t="shared" si="141"/>
        <v>38202695.928500444</v>
      </c>
      <c r="AM340" s="8">
        <f t="shared" si="141"/>
        <v>39475455.680958308</v>
      </c>
      <c r="AN340" s="8">
        <f>AN290*$AI$262/100+AN300*$AI$271/100+AN310*$AI$280/100+AN320*($AI$255/100*$AJ$255+$AI$256/100*$AJ$256)+AN330*($AI$244/100*$AJ$244+$AI$245/100*$AJ$245)</f>
        <v>36237612.832354836</v>
      </c>
      <c r="AO340" s="8">
        <f t="shared" si="141"/>
        <v>35438548.608801961</v>
      </c>
      <c r="AP340" s="8">
        <f t="shared" si="141"/>
        <v>21414234.966787733</v>
      </c>
      <c r="AQ340" s="8">
        <f t="shared" si="141"/>
        <v>19272108.868138339</v>
      </c>
      <c r="AR340" s="8">
        <f t="shared" si="141"/>
        <v>18185650.710911307</v>
      </c>
      <c r="AS340" s="8">
        <f t="shared" si="141"/>
        <v>17114758.554645386</v>
      </c>
      <c r="AT340" s="8">
        <f t="shared" si="141"/>
        <v>16249334.574023776</v>
      </c>
      <c r="AU340" s="8">
        <f t="shared" si="141"/>
        <v>12346801.310489876</v>
      </c>
      <c r="AV340" s="8">
        <f t="shared" si="141"/>
        <v>10051422.716359604</v>
      </c>
      <c r="AW340" s="8">
        <f t="shared" si="141"/>
        <v>7539372.3760902025</v>
      </c>
      <c r="AX340" s="8">
        <f t="shared" si="141"/>
        <v>7159530.8851251947</v>
      </c>
      <c r="AY340" s="8">
        <f t="shared" si="141"/>
        <v>7050523.2289307071</v>
      </c>
      <c r="AZ340" s="8">
        <f t="shared" si="141"/>
        <v>7026124.532568289</v>
      </c>
      <c r="BA340" s="8">
        <f t="shared" si="141"/>
        <v>6848616.3620170243</v>
      </c>
      <c r="BB340" s="8">
        <f t="shared" si="141"/>
        <v>6563327.8401430873</v>
      </c>
      <c r="BC340" s="8">
        <f t="shared" si="141"/>
        <v>6451991.0572809475</v>
      </c>
      <c r="BD340" s="8">
        <f t="shared" si="141"/>
        <v>6309617.7917724159</v>
      </c>
      <c r="BE340" s="8">
        <f t="shared" si="141"/>
        <v>6172533.0296145137</v>
      </c>
      <c r="BF340" s="8">
        <f t="shared" si="141"/>
        <v>5958294.656823663</v>
      </c>
      <c r="BJ340" s="294"/>
      <c r="BK340" s="136" t="s">
        <v>278</v>
      </c>
      <c r="BL340" s="8">
        <f>AH290*$AI$262/100+AH300*$AI$271/100+AH310*$AI$280/100</f>
        <v>0</v>
      </c>
      <c r="BM340" s="8">
        <f t="shared" si="136"/>
        <v>0</v>
      </c>
      <c r="BN340" s="8">
        <f t="shared" si="136"/>
        <v>4820389.7283990867</v>
      </c>
      <c r="BO340" s="8">
        <f t="shared" si="136"/>
        <v>9682741.8068905361</v>
      </c>
      <c r="BP340" s="8">
        <f t="shared" si="136"/>
        <v>10021457.385040937</v>
      </c>
      <c r="BQ340" s="8">
        <f t="shared" si="136"/>
        <v>8736053.9525362626</v>
      </c>
      <c r="BR340" s="8">
        <f t="shared" si="136"/>
        <v>6911376.2911235355</v>
      </c>
      <c r="BS340" s="8">
        <f t="shared" si="136"/>
        <v>6190102.9092627242</v>
      </c>
      <c r="BT340" s="8">
        <f t="shared" si="136"/>
        <v>5545536.33804812</v>
      </c>
      <c r="BU340" s="8">
        <f>AQ290*$AI$262/100+AQ300*$AI$271/100+AQ310*$AI$280/100</f>
        <v>4955641.5773318438</v>
      </c>
      <c r="BV340" s="8">
        <f t="shared" si="137"/>
        <v>4449272.9938787399</v>
      </c>
      <c r="BW340" s="8">
        <f t="shared" si="137"/>
        <v>4033186.8186670872</v>
      </c>
      <c r="BX340" s="8">
        <f t="shared" si="137"/>
        <v>3659789.0391663597</v>
      </c>
      <c r="BY340" s="8">
        <f t="shared" si="137"/>
        <v>3310294.0902077388</v>
      </c>
      <c r="BZ340" s="8">
        <f t="shared" si="137"/>
        <v>3152438.6950522992</v>
      </c>
      <c r="CA340" s="8">
        <f t="shared" si="137"/>
        <v>2894124.4652529461</v>
      </c>
      <c r="CB340" s="8">
        <f t="shared" si="137"/>
        <v>2673422.7396742264</v>
      </c>
      <c r="CC340" s="8">
        <f t="shared" si="137"/>
        <v>2644561.2844272647</v>
      </c>
      <c r="CD340" s="8">
        <f t="shared" si="137"/>
        <v>2653282.0406621094</v>
      </c>
      <c r="CE340" s="8">
        <f t="shared" si="137"/>
        <v>2583896.2151538292</v>
      </c>
      <c r="CF340" s="8">
        <f t="shared" si="138"/>
        <v>2465454.372286547</v>
      </c>
      <c r="CG340" s="8">
        <f t="shared" si="138"/>
        <v>2432893.9182731733</v>
      </c>
      <c r="CH340" s="8">
        <f t="shared" si="138"/>
        <v>2388973.6810514387</v>
      </c>
      <c r="CI340" s="8">
        <f t="shared" si="138"/>
        <v>2351108.3089830182</v>
      </c>
      <c r="CJ340" s="8">
        <f t="shared" si="138"/>
        <v>2276338.1705154311</v>
      </c>
    </row>
    <row r="341" spans="32:88">
      <c r="AF341" s="292"/>
      <c r="AG341" s="136" t="s">
        <v>347</v>
      </c>
      <c r="AH341" s="8" t="e">
        <f t="shared" ref="AH341:BF341" si="142">AH291*$AI$262/100+AH301*$AI$271/100+AH311*$AI$280/100+AH321*($AI$255/100*$AJ$255+$AI$256/100*$AJ$256)+AH331*($AI$244/100*$AJ$244+$AI$245/100*$AJ$245)</f>
        <v>#REF!</v>
      </c>
      <c r="AI341" s="8" t="e">
        <f t="shared" si="142"/>
        <v>#REF!</v>
      </c>
      <c r="AJ341" s="8" t="e">
        <f t="shared" si="142"/>
        <v>#REF!</v>
      </c>
      <c r="AK341" s="8" t="e">
        <f t="shared" si="142"/>
        <v>#REF!</v>
      </c>
      <c r="AL341" s="8" t="e">
        <f t="shared" si="142"/>
        <v>#REF!</v>
      </c>
      <c r="AM341" s="8" t="e">
        <f t="shared" si="142"/>
        <v>#REF!</v>
      </c>
      <c r="AN341" s="8" t="e">
        <f t="shared" si="142"/>
        <v>#REF!</v>
      </c>
      <c r="AO341" s="8" t="e">
        <f t="shared" si="142"/>
        <v>#REF!</v>
      </c>
      <c r="AP341" s="8" t="e">
        <f t="shared" si="142"/>
        <v>#REF!</v>
      </c>
      <c r="AQ341" s="8" t="e">
        <f t="shared" si="142"/>
        <v>#REF!</v>
      </c>
      <c r="AR341" s="8" t="e">
        <f t="shared" si="142"/>
        <v>#REF!</v>
      </c>
      <c r="AS341" s="8" t="e">
        <f t="shared" si="142"/>
        <v>#REF!</v>
      </c>
      <c r="AT341" s="8" t="e">
        <f t="shared" si="142"/>
        <v>#REF!</v>
      </c>
      <c r="AU341" s="8" t="e">
        <f t="shared" si="142"/>
        <v>#REF!</v>
      </c>
      <c r="AV341" s="8" t="e">
        <f t="shared" si="142"/>
        <v>#REF!</v>
      </c>
      <c r="AW341" s="8" t="e">
        <f t="shared" si="142"/>
        <v>#REF!</v>
      </c>
      <c r="AX341" s="8" t="e">
        <f t="shared" si="142"/>
        <v>#REF!</v>
      </c>
      <c r="AY341" s="8" t="e">
        <f t="shared" si="142"/>
        <v>#REF!</v>
      </c>
      <c r="AZ341" s="8" t="e">
        <f t="shared" si="142"/>
        <v>#REF!</v>
      </c>
      <c r="BA341" s="8" t="e">
        <f t="shared" si="142"/>
        <v>#REF!</v>
      </c>
      <c r="BB341" s="8" t="e">
        <f t="shared" si="142"/>
        <v>#REF!</v>
      </c>
      <c r="BC341" s="8" t="e">
        <f t="shared" si="142"/>
        <v>#REF!</v>
      </c>
      <c r="BD341" s="8" t="e">
        <f t="shared" si="142"/>
        <v>#REF!</v>
      </c>
      <c r="BE341" s="8" t="e">
        <f t="shared" si="142"/>
        <v>#REF!</v>
      </c>
      <c r="BF341" s="8" t="e">
        <f t="shared" si="142"/>
        <v>#REF!</v>
      </c>
      <c r="BJ341" s="294"/>
      <c r="BK341" s="136" t="s">
        <v>347</v>
      </c>
      <c r="BL341" s="8" t="e">
        <f t="shared" si="136"/>
        <v>#REF!</v>
      </c>
      <c r="BM341" s="8" t="e">
        <f t="shared" si="136"/>
        <v>#REF!</v>
      </c>
      <c r="BN341" s="8" t="e">
        <f t="shared" si="136"/>
        <v>#REF!</v>
      </c>
      <c r="BO341" s="8" t="e">
        <f t="shared" si="136"/>
        <v>#REF!</v>
      </c>
      <c r="BP341" s="8" t="e">
        <f t="shared" si="136"/>
        <v>#REF!</v>
      </c>
      <c r="BQ341" s="8" t="e">
        <f t="shared" si="136"/>
        <v>#REF!</v>
      </c>
      <c r="BR341" s="8" t="e">
        <f t="shared" si="136"/>
        <v>#REF!</v>
      </c>
      <c r="BS341" s="8" t="e">
        <f t="shared" si="136"/>
        <v>#REF!</v>
      </c>
      <c r="BT341" s="8" t="e">
        <f t="shared" si="136"/>
        <v>#REF!</v>
      </c>
      <c r="BU341" s="8" t="e">
        <f t="shared" si="136"/>
        <v>#REF!</v>
      </c>
      <c r="BV341" s="8" t="e">
        <f t="shared" si="137"/>
        <v>#REF!</v>
      </c>
      <c r="BW341" s="8" t="e">
        <f t="shared" si="137"/>
        <v>#REF!</v>
      </c>
      <c r="BX341" s="8" t="e">
        <f t="shared" si="137"/>
        <v>#REF!</v>
      </c>
      <c r="BY341" s="8" t="e">
        <f t="shared" si="137"/>
        <v>#REF!</v>
      </c>
      <c r="BZ341" s="8" t="e">
        <f t="shared" si="137"/>
        <v>#REF!</v>
      </c>
      <c r="CA341" s="8" t="e">
        <f t="shared" si="137"/>
        <v>#REF!</v>
      </c>
      <c r="CB341" s="8" t="e">
        <f t="shared" si="137"/>
        <v>#REF!</v>
      </c>
      <c r="CC341" s="8" t="e">
        <f t="shared" si="137"/>
        <v>#REF!</v>
      </c>
      <c r="CD341" s="8" t="e">
        <f t="shared" si="137"/>
        <v>#REF!</v>
      </c>
      <c r="CE341" s="8" t="e">
        <f t="shared" si="137"/>
        <v>#REF!</v>
      </c>
      <c r="CF341" s="8" t="e">
        <f t="shared" si="138"/>
        <v>#REF!</v>
      </c>
      <c r="CG341" s="8" t="e">
        <f t="shared" si="138"/>
        <v>#REF!</v>
      </c>
      <c r="CH341" s="8" t="e">
        <f t="shared" si="138"/>
        <v>#REF!</v>
      </c>
      <c r="CI341" s="8" t="e">
        <f t="shared" si="138"/>
        <v>#REF!</v>
      </c>
      <c r="CJ341" s="8" t="e">
        <f t="shared" si="138"/>
        <v>#REF!</v>
      </c>
    </row>
    <row r="342" spans="32:88">
      <c r="AF342" s="292"/>
      <c r="AG342" s="136" t="s">
        <v>348</v>
      </c>
      <c r="AH342" s="8" t="e">
        <f t="shared" ref="AH342:BF342" si="143">AH292*$AI$262/100+AH302*$AI$271/100+AH312*$AI$280/100+AH322*($AI$255/100*$AJ$255+$AI$256/100*$AJ$256)+AH332*($AI$244/100*$AJ$244+$AI$245/100*$AJ$245)</f>
        <v>#REF!</v>
      </c>
      <c r="AI342" s="8" t="e">
        <f t="shared" si="143"/>
        <v>#REF!</v>
      </c>
      <c r="AJ342" s="8" t="e">
        <f t="shared" si="143"/>
        <v>#REF!</v>
      </c>
      <c r="AK342" s="8" t="e">
        <f t="shared" si="143"/>
        <v>#REF!</v>
      </c>
      <c r="AL342" s="8" t="e">
        <f t="shared" si="143"/>
        <v>#REF!</v>
      </c>
      <c r="AM342" s="8" t="e">
        <f t="shared" si="143"/>
        <v>#REF!</v>
      </c>
      <c r="AN342" s="8" t="e">
        <f t="shared" si="143"/>
        <v>#REF!</v>
      </c>
      <c r="AO342" s="8" t="e">
        <f t="shared" si="143"/>
        <v>#REF!</v>
      </c>
      <c r="AP342" s="8" t="e">
        <f t="shared" si="143"/>
        <v>#REF!</v>
      </c>
      <c r="AQ342" s="8" t="e">
        <f t="shared" si="143"/>
        <v>#REF!</v>
      </c>
      <c r="AR342" s="8" t="e">
        <f t="shared" si="143"/>
        <v>#REF!</v>
      </c>
      <c r="AS342" s="8" t="e">
        <f t="shared" si="143"/>
        <v>#REF!</v>
      </c>
      <c r="AT342" s="8" t="e">
        <f t="shared" si="143"/>
        <v>#REF!</v>
      </c>
      <c r="AU342" s="8" t="e">
        <f t="shared" si="143"/>
        <v>#REF!</v>
      </c>
      <c r="AV342" s="8" t="e">
        <f t="shared" si="143"/>
        <v>#REF!</v>
      </c>
      <c r="AW342" s="8" t="e">
        <f t="shared" si="143"/>
        <v>#REF!</v>
      </c>
      <c r="AX342" s="8" t="e">
        <f t="shared" si="143"/>
        <v>#REF!</v>
      </c>
      <c r="AY342" s="8" t="e">
        <f t="shared" si="143"/>
        <v>#REF!</v>
      </c>
      <c r="AZ342" s="8" t="e">
        <f t="shared" si="143"/>
        <v>#REF!</v>
      </c>
      <c r="BA342" s="8" t="e">
        <f t="shared" si="143"/>
        <v>#REF!</v>
      </c>
      <c r="BB342" s="8" t="e">
        <f t="shared" si="143"/>
        <v>#REF!</v>
      </c>
      <c r="BC342" s="8" t="e">
        <f t="shared" si="143"/>
        <v>#REF!</v>
      </c>
      <c r="BD342" s="8" t="e">
        <f t="shared" si="143"/>
        <v>#REF!</v>
      </c>
      <c r="BE342" s="8" t="e">
        <f t="shared" si="143"/>
        <v>#REF!</v>
      </c>
      <c r="BF342" s="8" t="e">
        <f t="shared" si="143"/>
        <v>#REF!</v>
      </c>
      <c r="BJ342" s="294"/>
      <c r="BK342" s="136" t="s">
        <v>348</v>
      </c>
      <c r="BL342" s="8" t="e">
        <f t="shared" si="136"/>
        <v>#REF!</v>
      </c>
      <c r="BM342" s="8" t="e">
        <f t="shared" si="136"/>
        <v>#REF!</v>
      </c>
      <c r="BN342" s="8" t="e">
        <f t="shared" si="136"/>
        <v>#REF!</v>
      </c>
      <c r="BO342" s="8" t="e">
        <f t="shared" si="136"/>
        <v>#REF!</v>
      </c>
      <c r="BP342" s="8" t="e">
        <f t="shared" si="136"/>
        <v>#REF!</v>
      </c>
      <c r="BQ342" s="8" t="e">
        <f t="shared" si="136"/>
        <v>#REF!</v>
      </c>
      <c r="BR342" s="8" t="e">
        <f t="shared" si="136"/>
        <v>#REF!</v>
      </c>
      <c r="BS342" s="8" t="e">
        <f t="shared" si="136"/>
        <v>#REF!</v>
      </c>
      <c r="BT342" s="8" t="e">
        <f t="shared" si="136"/>
        <v>#REF!</v>
      </c>
      <c r="BU342" s="8" t="e">
        <f t="shared" si="136"/>
        <v>#REF!</v>
      </c>
      <c r="BV342" s="8" t="e">
        <f t="shared" si="137"/>
        <v>#REF!</v>
      </c>
      <c r="BW342" s="8" t="e">
        <f t="shared" si="137"/>
        <v>#REF!</v>
      </c>
      <c r="BX342" s="8" t="e">
        <f t="shared" si="137"/>
        <v>#REF!</v>
      </c>
      <c r="BY342" s="8" t="e">
        <f t="shared" si="137"/>
        <v>#REF!</v>
      </c>
      <c r="BZ342" s="8" t="e">
        <f t="shared" si="137"/>
        <v>#REF!</v>
      </c>
      <c r="CA342" s="8" t="e">
        <f t="shared" si="137"/>
        <v>#REF!</v>
      </c>
      <c r="CB342" s="8" t="e">
        <f t="shared" si="137"/>
        <v>#REF!</v>
      </c>
      <c r="CC342" s="8" t="e">
        <f t="shared" si="137"/>
        <v>#REF!</v>
      </c>
      <c r="CD342" s="8" t="e">
        <f t="shared" si="137"/>
        <v>#REF!</v>
      </c>
      <c r="CE342" s="8" t="e">
        <f t="shared" si="137"/>
        <v>#REF!</v>
      </c>
      <c r="CF342" s="8" t="e">
        <f t="shared" si="138"/>
        <v>#REF!</v>
      </c>
      <c r="CG342" s="8" t="e">
        <f t="shared" si="138"/>
        <v>#REF!</v>
      </c>
      <c r="CH342" s="8" t="e">
        <f t="shared" si="138"/>
        <v>#REF!</v>
      </c>
      <c r="CI342" s="8" t="e">
        <f t="shared" si="138"/>
        <v>#REF!</v>
      </c>
      <c r="CJ342" s="8" t="e">
        <f t="shared" si="138"/>
        <v>#REF!</v>
      </c>
    </row>
    <row r="343" spans="32:88">
      <c r="AF343" s="292"/>
      <c r="AG343" s="136" t="s">
        <v>349</v>
      </c>
      <c r="AH343" s="8" t="e">
        <f t="shared" ref="AH343:BF343" si="144">AH293*$AI$262/100+AH303*$AI$271/100+AH313*$AI$280/100+AH323*($AI$255/100*$AJ$255+$AI$256/100*$AJ$256)+AH333*($AI$244/100*$AJ$244+$AI$245/100*$AJ$245)</f>
        <v>#REF!</v>
      </c>
      <c r="AI343" s="8" t="e">
        <f t="shared" si="144"/>
        <v>#REF!</v>
      </c>
      <c r="AJ343" s="8" t="e">
        <f t="shared" si="144"/>
        <v>#REF!</v>
      </c>
      <c r="AK343" s="8" t="e">
        <f t="shared" si="144"/>
        <v>#REF!</v>
      </c>
      <c r="AL343" s="8" t="e">
        <f t="shared" si="144"/>
        <v>#REF!</v>
      </c>
      <c r="AM343" s="8" t="e">
        <f t="shared" si="144"/>
        <v>#REF!</v>
      </c>
      <c r="AN343" s="8" t="e">
        <f t="shared" si="144"/>
        <v>#REF!</v>
      </c>
      <c r="AO343" s="8" t="e">
        <f t="shared" si="144"/>
        <v>#REF!</v>
      </c>
      <c r="AP343" s="8" t="e">
        <f t="shared" si="144"/>
        <v>#REF!</v>
      </c>
      <c r="AQ343" s="8" t="e">
        <f t="shared" si="144"/>
        <v>#REF!</v>
      </c>
      <c r="AR343" s="8" t="e">
        <f t="shared" si="144"/>
        <v>#REF!</v>
      </c>
      <c r="AS343" s="8" t="e">
        <f t="shared" si="144"/>
        <v>#REF!</v>
      </c>
      <c r="AT343" s="8" t="e">
        <f t="shared" si="144"/>
        <v>#REF!</v>
      </c>
      <c r="AU343" s="8" t="e">
        <f t="shared" si="144"/>
        <v>#REF!</v>
      </c>
      <c r="AV343" s="8" t="e">
        <f t="shared" si="144"/>
        <v>#REF!</v>
      </c>
      <c r="AW343" s="8" t="e">
        <f t="shared" si="144"/>
        <v>#REF!</v>
      </c>
      <c r="AX343" s="8" t="e">
        <f t="shared" si="144"/>
        <v>#REF!</v>
      </c>
      <c r="AY343" s="8" t="e">
        <f t="shared" si="144"/>
        <v>#REF!</v>
      </c>
      <c r="AZ343" s="8" t="e">
        <f t="shared" si="144"/>
        <v>#REF!</v>
      </c>
      <c r="BA343" s="8" t="e">
        <f t="shared" si="144"/>
        <v>#REF!</v>
      </c>
      <c r="BB343" s="8" t="e">
        <f t="shared" si="144"/>
        <v>#REF!</v>
      </c>
      <c r="BC343" s="8" t="e">
        <f t="shared" si="144"/>
        <v>#REF!</v>
      </c>
      <c r="BD343" s="8" t="e">
        <f t="shared" si="144"/>
        <v>#REF!</v>
      </c>
      <c r="BE343" s="8" t="e">
        <f t="shared" si="144"/>
        <v>#REF!</v>
      </c>
      <c r="BF343" s="8" t="e">
        <f t="shared" si="144"/>
        <v>#REF!</v>
      </c>
      <c r="BJ343" s="294"/>
      <c r="BK343" s="136" t="s">
        <v>349</v>
      </c>
      <c r="BL343" s="8" t="e">
        <f t="shared" si="136"/>
        <v>#REF!</v>
      </c>
      <c r="BM343" s="8" t="e">
        <f t="shared" si="136"/>
        <v>#REF!</v>
      </c>
      <c r="BN343" s="8" t="e">
        <f t="shared" si="136"/>
        <v>#REF!</v>
      </c>
      <c r="BO343" s="8" t="e">
        <f t="shared" si="136"/>
        <v>#REF!</v>
      </c>
      <c r="BP343" s="8" t="e">
        <f t="shared" si="136"/>
        <v>#REF!</v>
      </c>
      <c r="BQ343" s="8" t="e">
        <f t="shared" si="136"/>
        <v>#REF!</v>
      </c>
      <c r="BR343" s="8" t="e">
        <f t="shared" si="136"/>
        <v>#REF!</v>
      </c>
      <c r="BS343" s="8" t="e">
        <f t="shared" si="136"/>
        <v>#REF!</v>
      </c>
      <c r="BT343" s="8" t="e">
        <f t="shared" si="136"/>
        <v>#REF!</v>
      </c>
      <c r="BU343" s="8" t="e">
        <f t="shared" si="136"/>
        <v>#REF!</v>
      </c>
      <c r="BV343" s="8" t="e">
        <f t="shared" si="137"/>
        <v>#REF!</v>
      </c>
      <c r="BW343" s="8" t="e">
        <f t="shared" si="137"/>
        <v>#REF!</v>
      </c>
      <c r="BX343" s="8" t="e">
        <f t="shared" si="137"/>
        <v>#REF!</v>
      </c>
      <c r="BY343" s="8" t="e">
        <f t="shared" si="137"/>
        <v>#REF!</v>
      </c>
      <c r="BZ343" s="8" t="e">
        <f t="shared" si="137"/>
        <v>#REF!</v>
      </c>
      <c r="CA343" s="8" t="e">
        <f t="shared" si="137"/>
        <v>#REF!</v>
      </c>
      <c r="CB343" s="8" t="e">
        <f t="shared" si="137"/>
        <v>#REF!</v>
      </c>
      <c r="CC343" s="8" t="e">
        <f t="shared" si="137"/>
        <v>#REF!</v>
      </c>
      <c r="CD343" s="8" t="e">
        <f t="shared" si="137"/>
        <v>#REF!</v>
      </c>
      <c r="CE343" s="8" t="e">
        <f t="shared" si="137"/>
        <v>#REF!</v>
      </c>
      <c r="CF343" s="8" t="e">
        <f t="shared" si="138"/>
        <v>#REF!</v>
      </c>
      <c r="CG343" s="8" t="e">
        <f t="shared" si="138"/>
        <v>#REF!</v>
      </c>
      <c r="CH343" s="8" t="e">
        <f t="shared" si="138"/>
        <v>#REF!</v>
      </c>
      <c r="CI343" s="8" t="e">
        <f t="shared" si="138"/>
        <v>#REF!</v>
      </c>
      <c r="CJ343" s="8" t="e">
        <f t="shared" si="138"/>
        <v>#REF!</v>
      </c>
    </row>
    <row r="344" spans="32:88">
      <c r="AF344" s="292"/>
      <c r="AG344" s="136" t="s">
        <v>246</v>
      </c>
      <c r="AH344" s="8">
        <f t="shared" ref="AH344:BF344" si="145">AH294*$AI$262/100+AH304*$AI$271/100+AH314*$AI$280/100+AH324*($AI$255/100*$AJ$255+$AI$256/100*$AJ$256)+AH334*($AI$244/100*$AJ$244+$AI$245/100*$AJ$245)</f>
        <v>0</v>
      </c>
      <c r="AI344" s="8">
        <f t="shared" si="145"/>
        <v>-1.7666776655463122E-11</v>
      </c>
      <c r="AJ344" s="8">
        <f t="shared" si="145"/>
        <v>353413.70855213929</v>
      </c>
      <c r="AK344" s="8">
        <f t="shared" si="145"/>
        <v>956926.97542339144</v>
      </c>
      <c r="AL344" s="8">
        <f t="shared" si="145"/>
        <v>1092301.7589594068</v>
      </c>
      <c r="AM344" s="8">
        <f t="shared" si="145"/>
        <v>1129676.90100706</v>
      </c>
      <c r="AN344" s="8">
        <f t="shared" si="145"/>
        <v>1042498.0078068285</v>
      </c>
      <c r="AO344" s="8">
        <f t="shared" si="145"/>
        <v>1024801.1911372367</v>
      </c>
      <c r="AP344" s="8">
        <f t="shared" si="145"/>
        <v>653657.24760313018</v>
      </c>
      <c r="AQ344" s="8">
        <f t="shared" si="145"/>
        <v>614160.32679518568</v>
      </c>
      <c r="AR344" s="8">
        <f t="shared" si="145"/>
        <v>590602.9207659855</v>
      </c>
      <c r="AS344" s="8">
        <f t="shared" si="145"/>
        <v>567692.1931568532</v>
      </c>
      <c r="AT344" s="8">
        <f t="shared" si="145"/>
        <v>545388.96006256004</v>
      </c>
      <c r="AU344" s="8">
        <f t="shared" si="145"/>
        <v>477813.34377270285</v>
      </c>
      <c r="AV344" s="8">
        <f t="shared" si="145"/>
        <v>429652.73879791982</v>
      </c>
      <c r="AW344" s="8">
        <f t="shared" si="145"/>
        <v>380370.25958818744</v>
      </c>
      <c r="AX344" s="8">
        <f t="shared" si="145"/>
        <v>362827.9437470939</v>
      </c>
      <c r="AY344" s="8">
        <f t="shared" si="145"/>
        <v>365993.12437877501</v>
      </c>
      <c r="AZ344" s="8">
        <f t="shared" si="145"/>
        <v>369191.226643548</v>
      </c>
      <c r="BA344" s="8">
        <f t="shared" si="145"/>
        <v>360536.64687757607</v>
      </c>
      <c r="BB344" s="8">
        <f t="shared" si="145"/>
        <v>343884.41690211627</v>
      </c>
      <c r="BC344" s="8">
        <f t="shared" si="145"/>
        <v>343372.65965015528</v>
      </c>
      <c r="BD344" s="8">
        <f t="shared" si="145"/>
        <v>340754.32921392075</v>
      </c>
      <c r="BE344" s="8">
        <f t="shared" si="145"/>
        <v>338197.17052472674</v>
      </c>
      <c r="BF344" s="8">
        <f t="shared" si="145"/>
        <v>330544.56958206586</v>
      </c>
      <c r="BJ344" s="294"/>
      <c r="BK344" s="136" t="s">
        <v>246</v>
      </c>
      <c r="BL344" s="8">
        <f t="shared" si="136"/>
        <v>0</v>
      </c>
      <c r="BM344" s="8">
        <f t="shared" si="136"/>
        <v>0</v>
      </c>
      <c r="BN344" s="8">
        <f t="shared" si="136"/>
        <v>158422.0175777165</v>
      </c>
      <c r="BO344" s="8">
        <f t="shared" si="136"/>
        <v>435199.38274699188</v>
      </c>
      <c r="BP344" s="8">
        <f t="shared" si="136"/>
        <v>504578.71429706312</v>
      </c>
      <c r="BQ344" s="8">
        <f t="shared" si="136"/>
        <v>495793.75965489208</v>
      </c>
      <c r="BR344" s="8">
        <f t="shared" si="136"/>
        <v>445102.36591175076</v>
      </c>
      <c r="BS344" s="8">
        <f t="shared" si="136"/>
        <v>434888.3122718485</v>
      </c>
      <c r="BT344" s="8">
        <f t="shared" si="136"/>
        <v>420888.22180369496</v>
      </c>
      <c r="BU344" s="8">
        <f t="shared" si="136"/>
        <v>405905.0048835667</v>
      </c>
      <c r="BV344" s="8">
        <f t="shared" si="137"/>
        <v>391320.02444995358</v>
      </c>
      <c r="BW344" s="8">
        <f t="shared" si="137"/>
        <v>378423.60816853843</v>
      </c>
      <c r="BX344" s="8">
        <f t="shared" si="137"/>
        <v>363662.8629372947</v>
      </c>
      <c r="BY344" s="8">
        <f t="shared" si="137"/>
        <v>348741.5069720067</v>
      </c>
      <c r="BZ344" s="8">
        <f t="shared" si="137"/>
        <v>332196.68395203841</v>
      </c>
      <c r="CA344" s="8">
        <f t="shared" si="137"/>
        <v>316265.83841863333</v>
      </c>
      <c r="CB344" s="8">
        <f t="shared" si="137"/>
        <v>300919.65133987053</v>
      </c>
      <c r="CC344" s="8">
        <f t="shared" si="137"/>
        <v>305190.84954462748</v>
      </c>
      <c r="CD344" s="8">
        <f t="shared" si="137"/>
        <v>308846.00025524269</v>
      </c>
      <c r="CE344" s="8">
        <f t="shared" si="137"/>
        <v>301683.50885086396</v>
      </c>
      <c r="CF344" s="8">
        <f t="shared" si="138"/>
        <v>287333.76304569602</v>
      </c>
      <c r="CG344" s="8">
        <f t="shared" si="138"/>
        <v>287909.11913184798</v>
      </c>
      <c r="CH344" s="8">
        <f t="shared" si="138"/>
        <v>286649.44048597128</v>
      </c>
      <c r="CI344" s="8">
        <f t="shared" si="138"/>
        <v>285461.50938001205</v>
      </c>
      <c r="CJ344" s="8">
        <f t="shared" si="138"/>
        <v>279733.57007101225</v>
      </c>
    </row>
    <row r="345" spans="32:88" ht="14.65" customHeight="1">
      <c r="AF345" s="154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J345" s="294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</row>
    <row r="346" spans="32:88">
      <c r="AF346" s="292" t="s">
        <v>403</v>
      </c>
      <c r="AG346" s="136" t="s">
        <v>343</v>
      </c>
      <c r="AH346" s="8" t="e">
        <f t="shared" ref="AH346:BF346" si="146">AH287*$AI$263/100+AH297*$AI$272/100+AH307*$AI$281/100+AH317*($AI$257/100*$AK$257+$AI$258/100*$AK$258)+AH327*($AI$247/100*$AK$247+$AI$248/100*$AK$248+$AI$250/100*$AK$250+$AI$251/100*$AK$251)</f>
        <v>#REF!</v>
      </c>
      <c r="AI346" s="8" t="e">
        <f t="shared" si="146"/>
        <v>#REF!</v>
      </c>
      <c r="AJ346" s="8" t="e">
        <f t="shared" si="146"/>
        <v>#REF!</v>
      </c>
      <c r="AK346" s="8" t="e">
        <f t="shared" si="146"/>
        <v>#REF!</v>
      </c>
      <c r="AL346" s="8" t="e">
        <f t="shared" si="146"/>
        <v>#REF!</v>
      </c>
      <c r="AM346" s="8" t="e">
        <f t="shared" si="146"/>
        <v>#REF!</v>
      </c>
      <c r="AN346" s="8" t="e">
        <f t="shared" si="146"/>
        <v>#REF!</v>
      </c>
      <c r="AO346" s="8" t="e">
        <f t="shared" si="146"/>
        <v>#REF!</v>
      </c>
      <c r="AP346" s="8" t="e">
        <f t="shared" si="146"/>
        <v>#REF!</v>
      </c>
      <c r="AQ346" s="8" t="e">
        <f t="shared" si="146"/>
        <v>#REF!</v>
      </c>
      <c r="AR346" s="8" t="e">
        <f t="shared" si="146"/>
        <v>#REF!</v>
      </c>
      <c r="AS346" s="8" t="e">
        <f t="shared" si="146"/>
        <v>#REF!</v>
      </c>
      <c r="AT346" s="8" t="e">
        <f t="shared" si="146"/>
        <v>#REF!</v>
      </c>
      <c r="AU346" s="8" t="e">
        <f t="shared" si="146"/>
        <v>#REF!</v>
      </c>
      <c r="AV346" s="8" t="e">
        <f t="shared" si="146"/>
        <v>#REF!</v>
      </c>
      <c r="AW346" s="8" t="e">
        <f t="shared" si="146"/>
        <v>#REF!</v>
      </c>
      <c r="AX346" s="8" t="e">
        <f t="shared" si="146"/>
        <v>#REF!</v>
      </c>
      <c r="AY346" s="8" t="e">
        <f t="shared" si="146"/>
        <v>#REF!</v>
      </c>
      <c r="AZ346" s="8" t="e">
        <f t="shared" si="146"/>
        <v>#REF!</v>
      </c>
      <c r="BA346" s="8" t="e">
        <f t="shared" si="146"/>
        <v>#REF!</v>
      </c>
      <c r="BB346" s="8" t="e">
        <f t="shared" si="146"/>
        <v>#REF!</v>
      </c>
      <c r="BC346" s="8" t="e">
        <f t="shared" si="146"/>
        <v>#REF!</v>
      </c>
      <c r="BD346" s="8" t="e">
        <f t="shared" si="146"/>
        <v>#REF!</v>
      </c>
      <c r="BE346" s="8" t="e">
        <f t="shared" si="146"/>
        <v>#REF!</v>
      </c>
      <c r="BF346" s="8" t="e">
        <f t="shared" si="146"/>
        <v>#REF!</v>
      </c>
      <c r="BJ346" s="294"/>
      <c r="BK346" t="s">
        <v>404</v>
      </c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</row>
    <row r="347" spans="32:88">
      <c r="AF347" s="292"/>
      <c r="AG347" s="136" t="s">
        <v>345</v>
      </c>
      <c r="AH347" s="8" t="e">
        <f t="shared" ref="AH347:BF347" si="147">AH288*$AI$263/100+AH298*$AI$272/100+AH308*$AI$281/100+AH318*($AI$257/100*$AK$257+$AI$258/100*$AK$258)+AH328*($AI$247/100*$AK$247+$AI$248/100*$AK$248+$AI$250/100*$AK$250+$AI$251/100*$AK$251)</f>
        <v>#REF!</v>
      </c>
      <c r="AI347" s="8" t="e">
        <f t="shared" si="147"/>
        <v>#REF!</v>
      </c>
      <c r="AJ347" s="8" t="e">
        <f t="shared" si="147"/>
        <v>#REF!</v>
      </c>
      <c r="AK347" s="8" t="e">
        <f t="shared" si="147"/>
        <v>#REF!</v>
      </c>
      <c r="AL347" s="8" t="e">
        <f t="shared" si="147"/>
        <v>#REF!</v>
      </c>
      <c r="AM347" s="8" t="e">
        <f t="shared" si="147"/>
        <v>#REF!</v>
      </c>
      <c r="AN347" s="8" t="e">
        <f t="shared" si="147"/>
        <v>#REF!</v>
      </c>
      <c r="AO347" s="8" t="e">
        <f t="shared" si="147"/>
        <v>#REF!</v>
      </c>
      <c r="AP347" s="8" t="e">
        <f t="shared" si="147"/>
        <v>#REF!</v>
      </c>
      <c r="AQ347" s="8" t="e">
        <f t="shared" si="147"/>
        <v>#REF!</v>
      </c>
      <c r="AR347" s="8" t="e">
        <f t="shared" si="147"/>
        <v>#REF!</v>
      </c>
      <c r="AS347" s="8" t="e">
        <f t="shared" si="147"/>
        <v>#REF!</v>
      </c>
      <c r="AT347" s="8" t="e">
        <f t="shared" si="147"/>
        <v>#REF!</v>
      </c>
      <c r="AU347" s="8" t="e">
        <f t="shared" si="147"/>
        <v>#REF!</v>
      </c>
      <c r="AV347" s="8" t="e">
        <f t="shared" si="147"/>
        <v>#REF!</v>
      </c>
      <c r="AW347" s="8" t="e">
        <f t="shared" si="147"/>
        <v>#REF!</v>
      </c>
      <c r="AX347" s="8" t="e">
        <f t="shared" si="147"/>
        <v>#REF!</v>
      </c>
      <c r="AY347" s="8" t="e">
        <f t="shared" si="147"/>
        <v>#REF!</v>
      </c>
      <c r="AZ347" s="8" t="e">
        <f t="shared" si="147"/>
        <v>#REF!</v>
      </c>
      <c r="BA347" s="8" t="e">
        <f t="shared" si="147"/>
        <v>#REF!</v>
      </c>
      <c r="BB347" s="8" t="e">
        <f t="shared" si="147"/>
        <v>#REF!</v>
      </c>
      <c r="BC347" s="8" t="e">
        <f t="shared" si="147"/>
        <v>#REF!</v>
      </c>
      <c r="BD347" s="8" t="e">
        <f t="shared" si="147"/>
        <v>#REF!</v>
      </c>
      <c r="BE347" s="8" t="e">
        <f t="shared" si="147"/>
        <v>#REF!</v>
      </c>
      <c r="BF347" s="8" t="e">
        <f t="shared" si="147"/>
        <v>#REF!</v>
      </c>
      <c r="BJ347" s="294"/>
      <c r="BK347" s="136" t="s">
        <v>343</v>
      </c>
      <c r="BL347" s="8" t="e">
        <f t="shared" ref="BL347:BU354" si="148">AH317*($AI$255/100*$AJ$255+$AI$256/100*$AJ$256)+AH327*($AI$244/100*$AJ$244+$AI$245/100*$AJ$245)</f>
        <v>#REF!</v>
      </c>
      <c r="BM347" s="8" t="e">
        <f t="shared" si="148"/>
        <v>#REF!</v>
      </c>
      <c r="BN347" s="8" t="e">
        <f t="shared" si="148"/>
        <v>#REF!</v>
      </c>
      <c r="BO347" s="8" t="e">
        <f t="shared" si="148"/>
        <v>#REF!</v>
      </c>
      <c r="BP347" s="8" t="e">
        <f t="shared" si="148"/>
        <v>#REF!</v>
      </c>
      <c r="BQ347" s="8" t="e">
        <f t="shared" si="148"/>
        <v>#REF!</v>
      </c>
      <c r="BR347" s="8" t="e">
        <f t="shared" si="148"/>
        <v>#REF!</v>
      </c>
      <c r="BS347" s="8" t="e">
        <f t="shared" si="148"/>
        <v>#REF!</v>
      </c>
      <c r="BT347" s="8" t="e">
        <f t="shared" si="148"/>
        <v>#REF!</v>
      </c>
      <c r="BU347" s="8" t="e">
        <f t="shared" si="148"/>
        <v>#REF!</v>
      </c>
      <c r="BV347" s="8" t="e">
        <f t="shared" ref="BV347:CE354" si="149">AR317*($AI$255/100*$AJ$255+$AI$256/100*$AJ$256)+AR327*($AI$244/100*$AJ$244+$AI$245/100*$AJ$245)</f>
        <v>#REF!</v>
      </c>
      <c r="BW347" s="8" t="e">
        <f t="shared" si="149"/>
        <v>#REF!</v>
      </c>
      <c r="BX347" s="8" t="e">
        <f t="shared" si="149"/>
        <v>#REF!</v>
      </c>
      <c r="BY347" s="8" t="e">
        <f t="shared" si="149"/>
        <v>#REF!</v>
      </c>
      <c r="BZ347" s="8" t="e">
        <f t="shared" si="149"/>
        <v>#REF!</v>
      </c>
      <c r="CA347" s="8" t="e">
        <f t="shared" si="149"/>
        <v>#REF!</v>
      </c>
      <c r="CB347" s="8" t="e">
        <f t="shared" si="149"/>
        <v>#REF!</v>
      </c>
      <c r="CC347" s="8" t="e">
        <f t="shared" si="149"/>
        <v>#REF!</v>
      </c>
      <c r="CD347" s="8" t="e">
        <f t="shared" si="149"/>
        <v>#REF!</v>
      </c>
      <c r="CE347" s="8" t="e">
        <f t="shared" si="149"/>
        <v>#REF!</v>
      </c>
      <c r="CF347" s="8" t="e">
        <f t="shared" ref="CF347:CJ354" si="150">BB317*($AI$255/100*$AJ$255+$AI$256/100*$AJ$256)+BB327*($AI$244/100*$AJ$244+$AI$245/100*$AJ$245)</f>
        <v>#REF!</v>
      </c>
      <c r="CG347" s="8" t="e">
        <f t="shared" si="150"/>
        <v>#REF!</v>
      </c>
      <c r="CH347" s="8" t="e">
        <f t="shared" si="150"/>
        <v>#REF!</v>
      </c>
      <c r="CI347" s="8" t="e">
        <f t="shared" si="150"/>
        <v>#REF!</v>
      </c>
      <c r="CJ347" s="8" t="e">
        <f t="shared" si="150"/>
        <v>#REF!</v>
      </c>
    </row>
    <row r="348" spans="32:88">
      <c r="AF348" s="292"/>
      <c r="AG348" s="136" t="s">
        <v>346</v>
      </c>
      <c r="AH348" s="8" t="e">
        <f t="shared" ref="AH348:BF348" si="151">AH289*$AI$263/100+AH299*$AI$272/100+AH309*$AI$281/100+AH319*($AI$257/100*$AK$257+$AI$258/100*$AK$258)+AH329*($AI$247/100*$AK$247+$AI$248/100*$AK$248+$AI$250/100*$AK$250+$AI$251/100*$AK$251)</f>
        <v>#REF!</v>
      </c>
      <c r="AI348" s="8" t="e">
        <f t="shared" si="151"/>
        <v>#REF!</v>
      </c>
      <c r="AJ348" s="8" t="e">
        <f t="shared" si="151"/>
        <v>#REF!</v>
      </c>
      <c r="AK348" s="8" t="e">
        <f t="shared" si="151"/>
        <v>#REF!</v>
      </c>
      <c r="AL348" s="8" t="e">
        <f t="shared" si="151"/>
        <v>#REF!</v>
      </c>
      <c r="AM348" s="8" t="e">
        <f t="shared" si="151"/>
        <v>#REF!</v>
      </c>
      <c r="AN348" s="8" t="e">
        <f t="shared" si="151"/>
        <v>#REF!</v>
      </c>
      <c r="AO348" s="8" t="e">
        <f t="shared" si="151"/>
        <v>#REF!</v>
      </c>
      <c r="AP348" s="8" t="e">
        <f t="shared" si="151"/>
        <v>#REF!</v>
      </c>
      <c r="AQ348" s="8" t="e">
        <f t="shared" si="151"/>
        <v>#REF!</v>
      </c>
      <c r="AR348" s="8" t="e">
        <f t="shared" si="151"/>
        <v>#REF!</v>
      </c>
      <c r="AS348" s="8" t="e">
        <f t="shared" si="151"/>
        <v>#REF!</v>
      </c>
      <c r="AT348" s="8" t="e">
        <f t="shared" si="151"/>
        <v>#REF!</v>
      </c>
      <c r="AU348" s="8" t="e">
        <f t="shared" si="151"/>
        <v>#REF!</v>
      </c>
      <c r="AV348" s="8" t="e">
        <f t="shared" si="151"/>
        <v>#REF!</v>
      </c>
      <c r="AW348" s="8" t="e">
        <f t="shared" si="151"/>
        <v>#REF!</v>
      </c>
      <c r="AX348" s="8" t="e">
        <f t="shared" si="151"/>
        <v>#REF!</v>
      </c>
      <c r="AY348" s="8" t="e">
        <f t="shared" si="151"/>
        <v>#REF!</v>
      </c>
      <c r="AZ348" s="8" t="e">
        <f t="shared" si="151"/>
        <v>#REF!</v>
      </c>
      <c r="BA348" s="8" t="e">
        <f t="shared" si="151"/>
        <v>#REF!</v>
      </c>
      <c r="BB348" s="8" t="e">
        <f t="shared" si="151"/>
        <v>#REF!</v>
      </c>
      <c r="BC348" s="8" t="e">
        <f t="shared" si="151"/>
        <v>#REF!</v>
      </c>
      <c r="BD348" s="8" t="e">
        <f t="shared" si="151"/>
        <v>#REF!</v>
      </c>
      <c r="BE348" s="8" t="e">
        <f t="shared" si="151"/>
        <v>#REF!</v>
      </c>
      <c r="BF348" s="8" t="e">
        <f t="shared" si="151"/>
        <v>#REF!</v>
      </c>
      <c r="BJ348" s="294"/>
      <c r="BK348" s="136" t="s">
        <v>345</v>
      </c>
      <c r="BL348" s="8" t="e">
        <f t="shared" si="148"/>
        <v>#REF!</v>
      </c>
      <c r="BM348" s="8" t="e">
        <f t="shared" si="148"/>
        <v>#REF!</v>
      </c>
      <c r="BN348" s="8" t="e">
        <f t="shared" si="148"/>
        <v>#REF!</v>
      </c>
      <c r="BO348" s="8" t="e">
        <f t="shared" si="148"/>
        <v>#REF!</v>
      </c>
      <c r="BP348" s="8" t="e">
        <f t="shared" si="148"/>
        <v>#REF!</v>
      </c>
      <c r="BQ348" s="8" t="e">
        <f t="shared" si="148"/>
        <v>#REF!</v>
      </c>
      <c r="BR348" s="8" t="e">
        <f t="shared" si="148"/>
        <v>#REF!</v>
      </c>
      <c r="BS348" s="8" t="e">
        <f t="shared" si="148"/>
        <v>#REF!</v>
      </c>
      <c r="BT348" s="8" t="e">
        <f t="shared" si="148"/>
        <v>#REF!</v>
      </c>
      <c r="BU348" s="8" t="e">
        <f t="shared" si="148"/>
        <v>#REF!</v>
      </c>
      <c r="BV348" s="8" t="e">
        <f t="shared" si="149"/>
        <v>#REF!</v>
      </c>
      <c r="BW348" s="8" t="e">
        <f t="shared" si="149"/>
        <v>#REF!</v>
      </c>
      <c r="BX348" s="8" t="e">
        <f t="shared" si="149"/>
        <v>#REF!</v>
      </c>
      <c r="BY348" s="8" t="e">
        <f t="shared" si="149"/>
        <v>#REF!</v>
      </c>
      <c r="BZ348" s="8" t="e">
        <f t="shared" si="149"/>
        <v>#REF!</v>
      </c>
      <c r="CA348" s="8" t="e">
        <f t="shared" si="149"/>
        <v>#REF!</v>
      </c>
      <c r="CB348" s="8" t="e">
        <f t="shared" si="149"/>
        <v>#REF!</v>
      </c>
      <c r="CC348" s="8" t="e">
        <f t="shared" si="149"/>
        <v>#REF!</v>
      </c>
      <c r="CD348" s="8" t="e">
        <f t="shared" si="149"/>
        <v>#REF!</v>
      </c>
      <c r="CE348" s="8" t="e">
        <f t="shared" si="149"/>
        <v>#REF!</v>
      </c>
      <c r="CF348" s="8" t="e">
        <f t="shared" si="150"/>
        <v>#REF!</v>
      </c>
      <c r="CG348" s="8" t="e">
        <f t="shared" si="150"/>
        <v>#REF!</v>
      </c>
      <c r="CH348" s="8" t="e">
        <f t="shared" si="150"/>
        <v>#REF!</v>
      </c>
      <c r="CI348" s="8" t="e">
        <f t="shared" si="150"/>
        <v>#REF!</v>
      </c>
      <c r="CJ348" s="8" t="e">
        <f t="shared" si="150"/>
        <v>#REF!</v>
      </c>
    </row>
    <row r="349" spans="32:88">
      <c r="AF349" s="292"/>
      <c r="AG349" s="136" t="s">
        <v>278</v>
      </c>
      <c r="AH349" s="8">
        <f t="shared" ref="AH349:BF349" si="152">AH290*$AI$263/100+AH300*$AI$272/100+AH310*$AI$281/100+AH320*($AI$257/100*$AK$257+$AI$258/100*$AK$258)+AH330*($AI$247/100*$AK$247+$AI$248/100*$AK$248+$AI$250/100*$AK$250+$AI$251/100*$AK$251)</f>
        <v>0</v>
      </c>
      <c r="AI349" s="8">
        <f t="shared" si="152"/>
        <v>-3.0824096611776391E-10</v>
      </c>
      <c r="AJ349" s="8">
        <f t="shared" si="152"/>
        <v>8276829.3698850796</v>
      </c>
      <c r="AK349" s="8">
        <f t="shared" si="152"/>
        <v>19086425.008870214</v>
      </c>
      <c r="AL349" s="8">
        <f t="shared" si="152"/>
        <v>20777112.934423007</v>
      </c>
      <c r="AM349" s="8">
        <f t="shared" si="152"/>
        <v>20618948.369554926</v>
      </c>
      <c r="AN349" s="8">
        <f t="shared" si="152"/>
        <v>18346827.937021695</v>
      </c>
      <c r="AO349" s="8">
        <f t="shared" si="152"/>
        <v>17645289.067704793</v>
      </c>
      <c r="AP349" s="8">
        <f t="shared" si="152"/>
        <v>11727574.617285132</v>
      </c>
      <c r="AQ349" s="8">
        <f t="shared" si="152"/>
        <v>10538194.796154756</v>
      </c>
      <c r="AR349" s="8">
        <f t="shared" si="152"/>
        <v>9815441.6712386161</v>
      </c>
      <c r="AS349" s="8">
        <f t="shared" si="152"/>
        <v>9150549.5841992423</v>
      </c>
      <c r="AT349" s="8">
        <f t="shared" si="152"/>
        <v>8592777.2723341063</v>
      </c>
      <c r="AU349" s="8">
        <f t="shared" si="152"/>
        <v>6834402.7151627727</v>
      </c>
      <c r="AV349" s="8">
        <f t="shared" si="152"/>
        <v>5827068.2036215831</v>
      </c>
      <c r="AW349" s="8">
        <f t="shared" si="152"/>
        <v>4674735.496291141</v>
      </c>
      <c r="AX349" s="8">
        <f t="shared" si="152"/>
        <v>4396062.8606734863</v>
      </c>
      <c r="AY349" s="8">
        <f t="shared" si="152"/>
        <v>4336597.6475417055</v>
      </c>
      <c r="AZ349" s="8">
        <f t="shared" si="152"/>
        <v>4332359.2392428499</v>
      </c>
      <c r="BA349" s="8">
        <f t="shared" si="152"/>
        <v>4221603.4270397928</v>
      </c>
      <c r="BB349" s="8">
        <f t="shared" si="152"/>
        <v>4039309.4332043943</v>
      </c>
      <c r="BC349" s="8">
        <f t="shared" si="152"/>
        <v>3976229.5135507262</v>
      </c>
      <c r="BD349" s="8">
        <f t="shared" si="152"/>
        <v>3894139.0444339369</v>
      </c>
      <c r="BE349" s="8">
        <f t="shared" si="152"/>
        <v>3817636.0807318897</v>
      </c>
      <c r="BF349" s="8">
        <f t="shared" si="152"/>
        <v>3688896.3979474083</v>
      </c>
      <c r="BJ349" s="294"/>
      <c r="BK349" s="136" t="s">
        <v>346</v>
      </c>
      <c r="BL349" s="8" t="e">
        <f t="shared" si="148"/>
        <v>#REF!</v>
      </c>
      <c r="BM349" s="8" t="e">
        <f t="shared" si="148"/>
        <v>#REF!</v>
      </c>
      <c r="BN349" s="8" t="e">
        <f t="shared" si="148"/>
        <v>#REF!</v>
      </c>
      <c r="BO349" s="8" t="e">
        <f t="shared" si="148"/>
        <v>#REF!</v>
      </c>
      <c r="BP349" s="8" t="e">
        <f t="shared" si="148"/>
        <v>#REF!</v>
      </c>
      <c r="BQ349" s="8" t="e">
        <f t="shared" si="148"/>
        <v>#REF!</v>
      </c>
      <c r="BR349" s="8" t="e">
        <f t="shared" si="148"/>
        <v>#REF!</v>
      </c>
      <c r="BS349" s="8" t="e">
        <f t="shared" si="148"/>
        <v>#REF!</v>
      </c>
      <c r="BT349" s="8" t="e">
        <f t="shared" si="148"/>
        <v>#REF!</v>
      </c>
      <c r="BU349" s="8" t="e">
        <f t="shared" si="148"/>
        <v>#REF!</v>
      </c>
      <c r="BV349" s="8" t="e">
        <f t="shared" si="149"/>
        <v>#REF!</v>
      </c>
      <c r="BW349" s="8" t="e">
        <f t="shared" si="149"/>
        <v>#REF!</v>
      </c>
      <c r="BX349" s="8" t="e">
        <f t="shared" si="149"/>
        <v>#REF!</v>
      </c>
      <c r="BY349" s="8" t="e">
        <f t="shared" si="149"/>
        <v>#REF!</v>
      </c>
      <c r="BZ349" s="8" t="e">
        <f t="shared" si="149"/>
        <v>#REF!</v>
      </c>
      <c r="CA349" s="8" t="e">
        <f t="shared" si="149"/>
        <v>#REF!</v>
      </c>
      <c r="CB349" s="8" t="e">
        <f t="shared" si="149"/>
        <v>#REF!</v>
      </c>
      <c r="CC349" s="8" t="e">
        <f t="shared" si="149"/>
        <v>#REF!</v>
      </c>
      <c r="CD349" s="8" t="e">
        <f t="shared" si="149"/>
        <v>#REF!</v>
      </c>
      <c r="CE349" s="8" t="e">
        <f t="shared" si="149"/>
        <v>#REF!</v>
      </c>
      <c r="CF349" s="8" t="e">
        <f t="shared" si="150"/>
        <v>#REF!</v>
      </c>
      <c r="CG349" s="8" t="e">
        <f t="shared" si="150"/>
        <v>#REF!</v>
      </c>
      <c r="CH349" s="8" t="e">
        <f t="shared" si="150"/>
        <v>#REF!</v>
      </c>
      <c r="CI349" s="8" t="e">
        <f t="shared" si="150"/>
        <v>#REF!</v>
      </c>
      <c r="CJ349" s="8" t="e">
        <f t="shared" si="150"/>
        <v>#REF!</v>
      </c>
    </row>
    <row r="350" spans="32:88">
      <c r="AF350" s="292"/>
      <c r="AG350" s="136" t="s">
        <v>347</v>
      </c>
      <c r="AH350" s="8" t="e">
        <f t="shared" ref="AH350:BF350" si="153">AH291*$AI$263/100+AH301*$AI$272/100+AH311*$AI$281/100+AH321*($AI$257/100*$AK$257+$AI$258/100*$AK$258)+AH331*($AI$247/100*$AK$247+$AI$248/100*$AK$248+$AI$250/100*$AK$250+$AI$251/100*$AK$251)</f>
        <v>#REF!</v>
      </c>
      <c r="AI350" s="8" t="e">
        <f t="shared" si="153"/>
        <v>#REF!</v>
      </c>
      <c r="AJ350" s="8" t="e">
        <f t="shared" si="153"/>
        <v>#REF!</v>
      </c>
      <c r="AK350" s="8" t="e">
        <f t="shared" si="153"/>
        <v>#REF!</v>
      </c>
      <c r="AL350" s="8" t="e">
        <f t="shared" si="153"/>
        <v>#REF!</v>
      </c>
      <c r="AM350" s="8" t="e">
        <f t="shared" si="153"/>
        <v>#REF!</v>
      </c>
      <c r="AN350" s="8" t="e">
        <f t="shared" si="153"/>
        <v>#REF!</v>
      </c>
      <c r="AO350" s="8" t="e">
        <f t="shared" si="153"/>
        <v>#REF!</v>
      </c>
      <c r="AP350" s="8" t="e">
        <f t="shared" si="153"/>
        <v>#REF!</v>
      </c>
      <c r="AQ350" s="8" t="e">
        <f t="shared" si="153"/>
        <v>#REF!</v>
      </c>
      <c r="AR350" s="8" t="e">
        <f t="shared" si="153"/>
        <v>#REF!</v>
      </c>
      <c r="AS350" s="8" t="e">
        <f t="shared" si="153"/>
        <v>#REF!</v>
      </c>
      <c r="AT350" s="8" t="e">
        <f t="shared" si="153"/>
        <v>#REF!</v>
      </c>
      <c r="AU350" s="8" t="e">
        <f t="shared" si="153"/>
        <v>#REF!</v>
      </c>
      <c r="AV350" s="8" t="e">
        <f t="shared" si="153"/>
        <v>#REF!</v>
      </c>
      <c r="AW350" s="8" t="e">
        <f t="shared" si="153"/>
        <v>#REF!</v>
      </c>
      <c r="AX350" s="8" t="e">
        <f t="shared" si="153"/>
        <v>#REF!</v>
      </c>
      <c r="AY350" s="8" t="e">
        <f t="shared" si="153"/>
        <v>#REF!</v>
      </c>
      <c r="AZ350" s="8" t="e">
        <f t="shared" si="153"/>
        <v>#REF!</v>
      </c>
      <c r="BA350" s="8" t="e">
        <f t="shared" si="153"/>
        <v>#REF!</v>
      </c>
      <c r="BB350" s="8" t="e">
        <f t="shared" si="153"/>
        <v>#REF!</v>
      </c>
      <c r="BC350" s="8" t="e">
        <f t="shared" si="153"/>
        <v>#REF!</v>
      </c>
      <c r="BD350" s="8" t="e">
        <f t="shared" si="153"/>
        <v>#REF!</v>
      </c>
      <c r="BE350" s="8" t="e">
        <f t="shared" si="153"/>
        <v>#REF!</v>
      </c>
      <c r="BF350" s="8" t="e">
        <f t="shared" si="153"/>
        <v>#REF!</v>
      </c>
      <c r="BJ350" s="294"/>
      <c r="BK350" s="136" t="s">
        <v>278</v>
      </c>
      <c r="BL350" s="8">
        <f t="shared" si="148"/>
        <v>0</v>
      </c>
      <c r="BM350" s="8">
        <f t="shared" si="148"/>
        <v>-8.0913253605913022E-10</v>
      </c>
      <c r="BN350" s="8">
        <f t="shared" si="148"/>
        <v>9073154.0589007307</v>
      </c>
      <c r="BO350" s="8">
        <f t="shared" si="148"/>
        <v>24684668.405196659</v>
      </c>
      <c r="BP350" s="8">
        <f t="shared" si="148"/>
        <v>28181238.543459512</v>
      </c>
      <c r="BQ350" s="8">
        <f t="shared" si="148"/>
        <v>30739401.728422046</v>
      </c>
      <c r="BR350" s="8">
        <f t="shared" si="148"/>
        <v>29326236.541231301</v>
      </c>
      <c r="BS350" s="8">
        <f t="shared" si="148"/>
        <v>29248445.699539237</v>
      </c>
      <c r="BT350" s="8">
        <f t="shared" si="148"/>
        <v>15868698.62873961</v>
      </c>
      <c r="BU350" s="8">
        <f t="shared" si="148"/>
        <v>14316467.290806495</v>
      </c>
      <c r="BV350" s="8">
        <f t="shared" si="149"/>
        <v>13736377.717032567</v>
      </c>
      <c r="BW350" s="8">
        <f t="shared" si="149"/>
        <v>13081571.7359783</v>
      </c>
      <c r="BX350" s="8">
        <f t="shared" si="149"/>
        <v>12589545.534857415</v>
      </c>
      <c r="BY350" s="8">
        <f t="shared" si="149"/>
        <v>9036507.2202821374</v>
      </c>
      <c r="BZ350" s="8">
        <f t="shared" si="149"/>
        <v>6898984.0213073045</v>
      </c>
      <c r="CA350" s="8">
        <f t="shared" si="149"/>
        <v>4645247.9108372554</v>
      </c>
      <c r="CB350" s="8">
        <f t="shared" si="149"/>
        <v>4486108.1454509683</v>
      </c>
      <c r="CC350" s="8">
        <f t="shared" si="149"/>
        <v>4405961.9445034424</v>
      </c>
      <c r="CD350" s="8">
        <f t="shared" si="149"/>
        <v>4372842.49190618</v>
      </c>
      <c r="CE350" s="8">
        <f t="shared" si="149"/>
        <v>4264720.1468631951</v>
      </c>
      <c r="CF350" s="8">
        <f t="shared" si="150"/>
        <v>4097873.4678565403</v>
      </c>
      <c r="CG350" s="8">
        <f t="shared" si="150"/>
        <v>4019097.1390077742</v>
      </c>
      <c r="CH350" s="8">
        <f t="shared" si="150"/>
        <v>3920644.1107209763</v>
      </c>
      <c r="CI350" s="8">
        <f t="shared" si="150"/>
        <v>3821424.720631496</v>
      </c>
      <c r="CJ350" s="8">
        <f t="shared" si="150"/>
        <v>3681956.4863082319</v>
      </c>
    </row>
    <row r="351" spans="32:88">
      <c r="AF351" s="292"/>
      <c r="AG351" s="136" t="s">
        <v>348</v>
      </c>
      <c r="AH351" s="8" t="e">
        <f t="shared" ref="AH351:BF351" si="154">AH292*$AI$263/100+AH302*$AI$272/100+AH312*$AI$281/100+AH322*($AI$257/100*$AK$257+$AI$258/100*$AK$258)+AH332*($AI$247/100*$AK$247+$AI$248/100*$AK$248+$AI$250/100*$AK$250+$AI$251/100*$AK$251)</f>
        <v>#REF!</v>
      </c>
      <c r="AI351" s="8" t="e">
        <f t="shared" si="154"/>
        <v>#REF!</v>
      </c>
      <c r="AJ351" s="8" t="e">
        <f t="shared" si="154"/>
        <v>#REF!</v>
      </c>
      <c r="AK351" s="8" t="e">
        <f t="shared" si="154"/>
        <v>#REF!</v>
      </c>
      <c r="AL351" s="8" t="e">
        <f t="shared" si="154"/>
        <v>#REF!</v>
      </c>
      <c r="AM351" s="8" t="e">
        <f t="shared" si="154"/>
        <v>#REF!</v>
      </c>
      <c r="AN351" s="8" t="e">
        <f t="shared" si="154"/>
        <v>#REF!</v>
      </c>
      <c r="AO351" s="8" t="e">
        <f t="shared" si="154"/>
        <v>#REF!</v>
      </c>
      <c r="AP351" s="8" t="e">
        <f t="shared" si="154"/>
        <v>#REF!</v>
      </c>
      <c r="AQ351" s="8" t="e">
        <f t="shared" si="154"/>
        <v>#REF!</v>
      </c>
      <c r="AR351" s="8" t="e">
        <f t="shared" si="154"/>
        <v>#REF!</v>
      </c>
      <c r="AS351" s="8" t="e">
        <f t="shared" si="154"/>
        <v>#REF!</v>
      </c>
      <c r="AT351" s="8" t="e">
        <f t="shared" si="154"/>
        <v>#REF!</v>
      </c>
      <c r="AU351" s="8" t="e">
        <f t="shared" si="154"/>
        <v>#REF!</v>
      </c>
      <c r="AV351" s="8" t="e">
        <f t="shared" si="154"/>
        <v>#REF!</v>
      </c>
      <c r="AW351" s="8" t="e">
        <f t="shared" si="154"/>
        <v>#REF!</v>
      </c>
      <c r="AX351" s="8" t="e">
        <f t="shared" si="154"/>
        <v>#REF!</v>
      </c>
      <c r="AY351" s="8" t="e">
        <f t="shared" si="154"/>
        <v>#REF!</v>
      </c>
      <c r="AZ351" s="8" t="e">
        <f t="shared" si="154"/>
        <v>#REF!</v>
      </c>
      <c r="BA351" s="8" t="e">
        <f t="shared" si="154"/>
        <v>#REF!</v>
      </c>
      <c r="BB351" s="8" t="e">
        <f t="shared" si="154"/>
        <v>#REF!</v>
      </c>
      <c r="BC351" s="8" t="e">
        <f t="shared" si="154"/>
        <v>#REF!</v>
      </c>
      <c r="BD351" s="8" t="e">
        <f t="shared" si="154"/>
        <v>#REF!</v>
      </c>
      <c r="BE351" s="8" t="e">
        <f t="shared" si="154"/>
        <v>#REF!</v>
      </c>
      <c r="BF351" s="8" t="e">
        <f t="shared" si="154"/>
        <v>#REF!</v>
      </c>
      <c r="BJ351" s="294"/>
      <c r="BK351" s="136" t="s">
        <v>347</v>
      </c>
      <c r="BL351" s="8" t="e">
        <f t="shared" si="148"/>
        <v>#REF!</v>
      </c>
      <c r="BM351" s="8" t="e">
        <f t="shared" si="148"/>
        <v>#REF!</v>
      </c>
      <c r="BN351" s="8" t="e">
        <f t="shared" si="148"/>
        <v>#REF!</v>
      </c>
      <c r="BO351" s="8" t="e">
        <f t="shared" si="148"/>
        <v>#REF!</v>
      </c>
      <c r="BP351" s="8" t="e">
        <f t="shared" si="148"/>
        <v>#REF!</v>
      </c>
      <c r="BQ351" s="8" t="e">
        <f t="shared" si="148"/>
        <v>#REF!</v>
      </c>
      <c r="BR351" s="8" t="e">
        <f t="shared" si="148"/>
        <v>#REF!</v>
      </c>
      <c r="BS351" s="8" t="e">
        <f t="shared" si="148"/>
        <v>#REF!</v>
      </c>
      <c r="BT351" s="8" t="e">
        <f t="shared" si="148"/>
        <v>#REF!</v>
      </c>
      <c r="BU351" s="8" t="e">
        <f t="shared" si="148"/>
        <v>#REF!</v>
      </c>
      <c r="BV351" s="8" t="e">
        <f t="shared" si="149"/>
        <v>#REF!</v>
      </c>
      <c r="BW351" s="8" t="e">
        <f t="shared" si="149"/>
        <v>#REF!</v>
      </c>
      <c r="BX351" s="8" t="e">
        <f t="shared" si="149"/>
        <v>#REF!</v>
      </c>
      <c r="BY351" s="8" t="e">
        <f t="shared" si="149"/>
        <v>#REF!</v>
      </c>
      <c r="BZ351" s="8" t="e">
        <f t="shared" si="149"/>
        <v>#REF!</v>
      </c>
      <c r="CA351" s="8" t="e">
        <f t="shared" si="149"/>
        <v>#REF!</v>
      </c>
      <c r="CB351" s="8" t="e">
        <f t="shared" si="149"/>
        <v>#REF!</v>
      </c>
      <c r="CC351" s="8" t="e">
        <f t="shared" si="149"/>
        <v>#REF!</v>
      </c>
      <c r="CD351" s="8" t="e">
        <f t="shared" si="149"/>
        <v>#REF!</v>
      </c>
      <c r="CE351" s="8" t="e">
        <f t="shared" si="149"/>
        <v>#REF!</v>
      </c>
      <c r="CF351" s="8" t="e">
        <f t="shared" si="150"/>
        <v>#REF!</v>
      </c>
      <c r="CG351" s="8" t="e">
        <f t="shared" si="150"/>
        <v>#REF!</v>
      </c>
      <c r="CH351" s="8" t="e">
        <f t="shared" si="150"/>
        <v>#REF!</v>
      </c>
      <c r="CI351" s="8" t="e">
        <f t="shared" si="150"/>
        <v>#REF!</v>
      </c>
      <c r="CJ351" s="8" t="e">
        <f t="shared" si="150"/>
        <v>#REF!</v>
      </c>
    </row>
    <row r="352" spans="32:88">
      <c r="AF352" s="292"/>
      <c r="AG352" s="136" t="s">
        <v>349</v>
      </c>
      <c r="AH352" s="8" t="e">
        <f t="shared" ref="AH352:BF352" si="155">AH293*$AI$263/100+AH303*$AI$272/100+AH313*$AI$281/100+AH323*($AI$257/100*$AK$257+$AI$258/100*$AK$258)+AH333*($AI$247/100*$AK$247+$AI$248/100*$AK$248+$AI$250/100*$AK$250+$AI$251/100*$AK$251)</f>
        <v>#REF!</v>
      </c>
      <c r="AI352" s="8" t="e">
        <f t="shared" si="155"/>
        <v>#REF!</v>
      </c>
      <c r="AJ352" s="8" t="e">
        <f t="shared" si="155"/>
        <v>#REF!</v>
      </c>
      <c r="AK352" s="8" t="e">
        <f t="shared" si="155"/>
        <v>#REF!</v>
      </c>
      <c r="AL352" s="8" t="e">
        <f t="shared" si="155"/>
        <v>#REF!</v>
      </c>
      <c r="AM352" s="8" t="e">
        <f t="shared" si="155"/>
        <v>#REF!</v>
      </c>
      <c r="AN352" s="8" t="e">
        <f t="shared" si="155"/>
        <v>#REF!</v>
      </c>
      <c r="AO352" s="8" t="e">
        <f t="shared" si="155"/>
        <v>#REF!</v>
      </c>
      <c r="AP352" s="8" t="e">
        <f t="shared" si="155"/>
        <v>#REF!</v>
      </c>
      <c r="AQ352" s="8" t="e">
        <f t="shared" si="155"/>
        <v>#REF!</v>
      </c>
      <c r="AR352" s="8" t="e">
        <f t="shared" si="155"/>
        <v>#REF!</v>
      </c>
      <c r="AS352" s="8" t="e">
        <f t="shared" si="155"/>
        <v>#REF!</v>
      </c>
      <c r="AT352" s="8" t="e">
        <f t="shared" si="155"/>
        <v>#REF!</v>
      </c>
      <c r="AU352" s="8" t="e">
        <f t="shared" si="155"/>
        <v>#REF!</v>
      </c>
      <c r="AV352" s="8" t="e">
        <f t="shared" si="155"/>
        <v>#REF!</v>
      </c>
      <c r="AW352" s="8" t="e">
        <f t="shared" si="155"/>
        <v>#REF!</v>
      </c>
      <c r="AX352" s="8" t="e">
        <f t="shared" si="155"/>
        <v>#REF!</v>
      </c>
      <c r="AY352" s="8" t="e">
        <f t="shared" si="155"/>
        <v>#REF!</v>
      </c>
      <c r="AZ352" s="8" t="e">
        <f t="shared" si="155"/>
        <v>#REF!</v>
      </c>
      <c r="BA352" s="8" t="e">
        <f t="shared" si="155"/>
        <v>#REF!</v>
      </c>
      <c r="BB352" s="8" t="e">
        <f t="shared" si="155"/>
        <v>#REF!</v>
      </c>
      <c r="BC352" s="8" t="e">
        <f t="shared" si="155"/>
        <v>#REF!</v>
      </c>
      <c r="BD352" s="8" t="e">
        <f t="shared" si="155"/>
        <v>#REF!</v>
      </c>
      <c r="BE352" s="8" t="e">
        <f t="shared" si="155"/>
        <v>#REF!</v>
      </c>
      <c r="BF352" s="8" t="e">
        <f t="shared" si="155"/>
        <v>#REF!</v>
      </c>
      <c r="BJ352" s="294"/>
      <c r="BK352" s="136" t="s">
        <v>348</v>
      </c>
      <c r="BL352" s="8" t="e">
        <f t="shared" si="148"/>
        <v>#REF!</v>
      </c>
      <c r="BM352" s="8" t="e">
        <f t="shared" si="148"/>
        <v>#REF!</v>
      </c>
      <c r="BN352" s="8" t="e">
        <f t="shared" si="148"/>
        <v>#REF!</v>
      </c>
      <c r="BO352" s="8" t="e">
        <f t="shared" si="148"/>
        <v>#REF!</v>
      </c>
      <c r="BP352" s="8" t="e">
        <f t="shared" si="148"/>
        <v>#REF!</v>
      </c>
      <c r="BQ352" s="8" t="e">
        <f t="shared" si="148"/>
        <v>#REF!</v>
      </c>
      <c r="BR352" s="8" t="e">
        <f t="shared" si="148"/>
        <v>#REF!</v>
      </c>
      <c r="BS352" s="8" t="e">
        <f t="shared" si="148"/>
        <v>#REF!</v>
      </c>
      <c r="BT352" s="8" t="e">
        <f t="shared" si="148"/>
        <v>#REF!</v>
      </c>
      <c r="BU352" s="8" t="e">
        <f t="shared" si="148"/>
        <v>#REF!</v>
      </c>
      <c r="BV352" s="8" t="e">
        <f t="shared" si="149"/>
        <v>#REF!</v>
      </c>
      <c r="BW352" s="8" t="e">
        <f t="shared" si="149"/>
        <v>#REF!</v>
      </c>
      <c r="BX352" s="8" t="e">
        <f t="shared" si="149"/>
        <v>#REF!</v>
      </c>
      <c r="BY352" s="8" t="e">
        <f t="shared" si="149"/>
        <v>#REF!</v>
      </c>
      <c r="BZ352" s="8" t="e">
        <f t="shared" si="149"/>
        <v>#REF!</v>
      </c>
      <c r="CA352" s="8" t="e">
        <f t="shared" si="149"/>
        <v>#REF!</v>
      </c>
      <c r="CB352" s="8" t="e">
        <f t="shared" si="149"/>
        <v>#REF!</v>
      </c>
      <c r="CC352" s="8" t="e">
        <f t="shared" si="149"/>
        <v>#REF!</v>
      </c>
      <c r="CD352" s="8" t="e">
        <f t="shared" si="149"/>
        <v>#REF!</v>
      </c>
      <c r="CE352" s="8" t="e">
        <f t="shared" si="149"/>
        <v>#REF!</v>
      </c>
      <c r="CF352" s="8" t="e">
        <f t="shared" si="150"/>
        <v>#REF!</v>
      </c>
      <c r="CG352" s="8" t="e">
        <f t="shared" si="150"/>
        <v>#REF!</v>
      </c>
      <c r="CH352" s="8" t="e">
        <f t="shared" si="150"/>
        <v>#REF!</v>
      </c>
      <c r="CI352" s="8" t="e">
        <f t="shared" si="150"/>
        <v>#REF!</v>
      </c>
      <c r="CJ352" s="8" t="e">
        <f t="shared" si="150"/>
        <v>#REF!</v>
      </c>
    </row>
    <row r="353" spans="32:88">
      <c r="AF353" s="292"/>
      <c r="AG353" s="136" t="s">
        <v>246</v>
      </c>
      <c r="AH353" s="8">
        <f t="shared" ref="AH353:BF353" si="156">AH294*$AI$263/100+AH304*$AI$272/100+AH314*$AI$281/100+AH324*($AI$257/100*$AK$257+$AI$258/100*$AK$258)+AH334*($AI$247/100*$AK$247+$AI$248/100*$AK$248+$AI$250/100*$AK$250+$AI$251/100*$AK$251)</f>
        <v>0</v>
      </c>
      <c r="AI353" s="8">
        <f t="shared" si="156"/>
        <v>-6.730200630652618E-12</v>
      </c>
      <c r="AJ353" s="8">
        <f t="shared" si="156"/>
        <v>232704.56652035378</v>
      </c>
      <c r="AK353" s="8">
        <f t="shared" si="156"/>
        <v>633952.75138562033</v>
      </c>
      <c r="AL353" s="8">
        <f t="shared" si="156"/>
        <v>728582.79574350861</v>
      </c>
      <c r="AM353" s="8">
        <f t="shared" si="156"/>
        <v>737985.93208125758</v>
      </c>
      <c r="AN353" s="8">
        <f t="shared" si="156"/>
        <v>673414.60630637256</v>
      </c>
      <c r="AO353" s="8">
        <f t="shared" si="156"/>
        <v>660170.91399675002</v>
      </c>
      <c r="AP353" s="8">
        <f t="shared" si="156"/>
        <v>504522.28480797115</v>
      </c>
      <c r="AQ353" s="8">
        <f t="shared" si="156"/>
        <v>479685.04352808971</v>
      </c>
      <c r="AR353" s="8">
        <f t="shared" si="156"/>
        <v>461548.6652790145</v>
      </c>
      <c r="AS353" s="8">
        <f t="shared" si="156"/>
        <v>444735.23780868243</v>
      </c>
      <c r="AT353" s="8">
        <f t="shared" si="156"/>
        <v>427045.49167389848</v>
      </c>
      <c r="AU353" s="8">
        <f t="shared" si="156"/>
        <v>391365.25401579001</v>
      </c>
      <c r="AV353" s="8">
        <f t="shared" si="156"/>
        <v>362503.51718220243</v>
      </c>
      <c r="AW353" s="8">
        <f t="shared" si="156"/>
        <v>333549.70305273798</v>
      </c>
      <c r="AX353" s="8">
        <f t="shared" si="156"/>
        <v>317628.49537942803</v>
      </c>
      <c r="AY353" s="8">
        <f t="shared" si="156"/>
        <v>321693.99634033843</v>
      </c>
      <c r="AZ353" s="8">
        <f t="shared" si="156"/>
        <v>325345.94892653445</v>
      </c>
      <c r="BA353" s="8">
        <f t="shared" si="156"/>
        <v>317784.97898467624</v>
      </c>
      <c r="BB353" s="8">
        <f t="shared" si="156"/>
        <v>302725.80050642608</v>
      </c>
      <c r="BC353" s="8">
        <f t="shared" si="156"/>
        <v>302906.08710556198</v>
      </c>
      <c r="BD353" s="8">
        <f t="shared" si="156"/>
        <v>301138.71835692838</v>
      </c>
      <c r="BE353" s="8">
        <f t="shared" si="156"/>
        <v>299430.62349362322</v>
      </c>
      <c r="BF353" s="8">
        <f t="shared" si="156"/>
        <v>292966.2918381627</v>
      </c>
      <c r="BJ353" s="294"/>
      <c r="BK353" s="136" t="s">
        <v>349</v>
      </c>
      <c r="BL353" s="8" t="e">
        <f t="shared" si="148"/>
        <v>#REF!</v>
      </c>
      <c r="BM353" s="8" t="e">
        <f t="shared" si="148"/>
        <v>#REF!</v>
      </c>
      <c r="BN353" s="8" t="e">
        <f t="shared" si="148"/>
        <v>#REF!</v>
      </c>
      <c r="BO353" s="8" t="e">
        <f t="shared" si="148"/>
        <v>#REF!</v>
      </c>
      <c r="BP353" s="8" t="e">
        <f t="shared" si="148"/>
        <v>#REF!</v>
      </c>
      <c r="BQ353" s="8" t="e">
        <f t="shared" si="148"/>
        <v>#REF!</v>
      </c>
      <c r="BR353" s="8" t="e">
        <f t="shared" si="148"/>
        <v>#REF!</v>
      </c>
      <c r="BS353" s="8" t="e">
        <f t="shared" si="148"/>
        <v>#REF!</v>
      </c>
      <c r="BT353" s="8" t="e">
        <f t="shared" si="148"/>
        <v>#REF!</v>
      </c>
      <c r="BU353" s="8" t="e">
        <f t="shared" si="148"/>
        <v>#REF!</v>
      </c>
      <c r="BV353" s="8" t="e">
        <f t="shared" si="149"/>
        <v>#REF!</v>
      </c>
      <c r="BW353" s="8" t="e">
        <f t="shared" si="149"/>
        <v>#REF!</v>
      </c>
      <c r="BX353" s="8" t="e">
        <f t="shared" si="149"/>
        <v>#REF!</v>
      </c>
      <c r="BY353" s="8" t="e">
        <f t="shared" si="149"/>
        <v>#REF!</v>
      </c>
      <c r="BZ353" s="8" t="e">
        <f t="shared" si="149"/>
        <v>#REF!</v>
      </c>
      <c r="CA353" s="8" t="e">
        <f t="shared" si="149"/>
        <v>#REF!</v>
      </c>
      <c r="CB353" s="8" t="e">
        <f t="shared" si="149"/>
        <v>#REF!</v>
      </c>
      <c r="CC353" s="8" t="e">
        <f t="shared" si="149"/>
        <v>#REF!</v>
      </c>
      <c r="CD353" s="8" t="e">
        <f t="shared" si="149"/>
        <v>#REF!</v>
      </c>
      <c r="CE353" s="8" t="e">
        <f t="shared" si="149"/>
        <v>#REF!</v>
      </c>
      <c r="CF353" s="8" t="e">
        <f t="shared" si="150"/>
        <v>#REF!</v>
      </c>
      <c r="CG353" s="8" t="e">
        <f t="shared" si="150"/>
        <v>#REF!</v>
      </c>
      <c r="CH353" s="8" t="e">
        <f t="shared" si="150"/>
        <v>#REF!</v>
      </c>
      <c r="CI353" s="8" t="e">
        <f t="shared" si="150"/>
        <v>#REF!</v>
      </c>
      <c r="CJ353" s="8" t="e">
        <f t="shared" si="150"/>
        <v>#REF!</v>
      </c>
    </row>
    <row r="354" spans="32:88" ht="15" customHeight="1">
      <c r="AF354" s="154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J354" s="294"/>
      <c r="BK354" s="136" t="s">
        <v>246</v>
      </c>
      <c r="BL354" s="8">
        <f t="shared" si="148"/>
        <v>0</v>
      </c>
      <c r="BM354" s="8">
        <f t="shared" si="148"/>
        <v>-1.7666776655463122E-11</v>
      </c>
      <c r="BN354" s="8">
        <f t="shared" si="148"/>
        <v>194991.69097442279</v>
      </c>
      <c r="BO354" s="8">
        <f t="shared" si="148"/>
        <v>521727.59267639951</v>
      </c>
      <c r="BP354" s="8">
        <f t="shared" si="148"/>
        <v>587723.04466234357</v>
      </c>
      <c r="BQ354" s="8">
        <f t="shared" si="148"/>
        <v>633883.14135216782</v>
      </c>
      <c r="BR354" s="8">
        <f t="shared" si="148"/>
        <v>597395.64189507766</v>
      </c>
      <c r="BS354" s="8">
        <f t="shared" si="148"/>
        <v>589912.87886538811</v>
      </c>
      <c r="BT354" s="8">
        <f t="shared" si="148"/>
        <v>232769.02579943521</v>
      </c>
      <c r="BU354" s="8">
        <f t="shared" si="148"/>
        <v>208255.32191161893</v>
      </c>
      <c r="BV354" s="8">
        <f t="shared" si="149"/>
        <v>199282.89631603201</v>
      </c>
      <c r="BW354" s="8">
        <f t="shared" si="149"/>
        <v>189268.58498831472</v>
      </c>
      <c r="BX354" s="8">
        <f t="shared" si="149"/>
        <v>181726.09712526534</v>
      </c>
      <c r="BY354" s="8">
        <f t="shared" si="149"/>
        <v>129071.83680069615</v>
      </c>
      <c r="BZ354" s="8">
        <f t="shared" si="149"/>
        <v>97456.054845881386</v>
      </c>
      <c r="CA354" s="8">
        <f t="shared" si="149"/>
        <v>64104.421169554131</v>
      </c>
      <c r="CB354" s="8">
        <f t="shared" si="149"/>
        <v>61908.292407223358</v>
      </c>
      <c r="CC354" s="8">
        <f t="shared" si="149"/>
        <v>60802.274834147509</v>
      </c>
      <c r="CD354" s="8">
        <f t="shared" si="149"/>
        <v>60345.226388305295</v>
      </c>
      <c r="CE354" s="8">
        <f t="shared" si="149"/>
        <v>58853.138026712099</v>
      </c>
      <c r="CF354" s="8">
        <f t="shared" si="150"/>
        <v>56550.653856420249</v>
      </c>
      <c r="CG354" s="8">
        <f t="shared" si="150"/>
        <v>55463.540518307302</v>
      </c>
      <c r="CH354" s="8">
        <f t="shared" si="150"/>
        <v>54104.888727949496</v>
      </c>
      <c r="CI354" s="8">
        <f t="shared" si="150"/>
        <v>52735.661144714635</v>
      </c>
      <c r="CJ354" s="8">
        <f t="shared" si="150"/>
        <v>50810.999511053597</v>
      </c>
    </row>
    <row r="355" spans="32:88">
      <c r="AF355" s="292" t="s">
        <v>361</v>
      </c>
      <c r="AG355" s="136" t="s">
        <v>343</v>
      </c>
      <c r="AH355" s="8" t="e">
        <f t="shared" ref="AH355:BF355" si="157">AH287*$AI$264/100+AH297*$AI$273/100+AH307*$AI$282/100+AH317*$AI$256/100*$AL$256+AH327*$AI$246/100*$AL$246</f>
        <v>#REF!</v>
      </c>
      <c r="AI355" s="8" t="e">
        <f t="shared" si="157"/>
        <v>#REF!</v>
      </c>
      <c r="AJ355" s="8" t="e">
        <f t="shared" si="157"/>
        <v>#REF!</v>
      </c>
      <c r="AK355" s="8" t="e">
        <f t="shared" si="157"/>
        <v>#REF!</v>
      </c>
      <c r="AL355" s="8" t="e">
        <f t="shared" si="157"/>
        <v>#REF!</v>
      </c>
      <c r="AM355" s="8" t="e">
        <f t="shared" si="157"/>
        <v>#REF!</v>
      </c>
      <c r="AN355" s="8" t="e">
        <f t="shared" si="157"/>
        <v>#REF!</v>
      </c>
      <c r="AO355" s="8" t="e">
        <f t="shared" si="157"/>
        <v>#REF!</v>
      </c>
      <c r="AP355" s="8" t="e">
        <f t="shared" si="157"/>
        <v>#REF!</v>
      </c>
      <c r="AQ355" s="8" t="e">
        <f t="shared" si="157"/>
        <v>#REF!</v>
      </c>
      <c r="AR355" s="8" t="e">
        <f t="shared" si="157"/>
        <v>#REF!</v>
      </c>
      <c r="AS355" s="8" t="e">
        <f t="shared" si="157"/>
        <v>#REF!</v>
      </c>
      <c r="AT355" s="8" t="e">
        <f t="shared" si="157"/>
        <v>#REF!</v>
      </c>
      <c r="AU355" s="8" t="e">
        <f t="shared" si="157"/>
        <v>#REF!</v>
      </c>
      <c r="AV355" s="8" t="e">
        <f t="shared" si="157"/>
        <v>#REF!</v>
      </c>
      <c r="AW355" s="8" t="e">
        <f t="shared" si="157"/>
        <v>#REF!</v>
      </c>
      <c r="AX355" s="8" t="e">
        <f t="shared" si="157"/>
        <v>#REF!</v>
      </c>
      <c r="AY355" s="8" t="e">
        <f t="shared" si="157"/>
        <v>#REF!</v>
      </c>
      <c r="AZ355" s="8" t="e">
        <f t="shared" si="157"/>
        <v>#REF!</v>
      </c>
      <c r="BA355" s="8" t="e">
        <f t="shared" si="157"/>
        <v>#REF!</v>
      </c>
      <c r="BB355" s="8" t="e">
        <f t="shared" si="157"/>
        <v>#REF!</v>
      </c>
      <c r="BC355" s="8" t="e">
        <f t="shared" si="157"/>
        <v>#REF!</v>
      </c>
      <c r="BD355" s="8" t="e">
        <f t="shared" si="157"/>
        <v>#REF!</v>
      </c>
      <c r="BE355" s="8" t="e">
        <f t="shared" si="157"/>
        <v>#REF!</v>
      </c>
      <c r="BF355" s="8" t="e">
        <f t="shared" si="157"/>
        <v>#REF!</v>
      </c>
      <c r="BJ355" s="155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</row>
    <row r="356" spans="32:88">
      <c r="AF356" s="292"/>
      <c r="AG356" s="136" t="s">
        <v>345</v>
      </c>
      <c r="AH356" s="8" t="e">
        <f t="shared" ref="AH356:BF356" si="158">AH288*$AI$264/100+AH298*$AI$273/100+AH308*$AI$282/100+AH318*$AI$256/100*$AL$256+AH328*$AI$246/100*$AL$246</f>
        <v>#REF!</v>
      </c>
      <c r="AI356" s="8" t="e">
        <f t="shared" si="158"/>
        <v>#REF!</v>
      </c>
      <c r="AJ356" s="8" t="e">
        <f t="shared" si="158"/>
        <v>#REF!</v>
      </c>
      <c r="AK356" s="8" t="e">
        <f t="shared" si="158"/>
        <v>#REF!</v>
      </c>
      <c r="AL356" s="8" t="e">
        <f t="shared" si="158"/>
        <v>#REF!</v>
      </c>
      <c r="AM356" s="8" t="e">
        <f t="shared" si="158"/>
        <v>#REF!</v>
      </c>
      <c r="AN356" s="8" t="e">
        <f t="shared" si="158"/>
        <v>#REF!</v>
      </c>
      <c r="AO356" s="8" t="e">
        <f t="shared" si="158"/>
        <v>#REF!</v>
      </c>
      <c r="AP356" s="8" t="e">
        <f t="shared" si="158"/>
        <v>#REF!</v>
      </c>
      <c r="AQ356" s="8" t="e">
        <f t="shared" si="158"/>
        <v>#REF!</v>
      </c>
      <c r="AR356" s="8" t="e">
        <f t="shared" si="158"/>
        <v>#REF!</v>
      </c>
      <c r="AS356" s="8" t="e">
        <f t="shared" si="158"/>
        <v>#REF!</v>
      </c>
      <c r="AT356" s="8" t="e">
        <f t="shared" si="158"/>
        <v>#REF!</v>
      </c>
      <c r="AU356" s="8" t="e">
        <f t="shared" si="158"/>
        <v>#REF!</v>
      </c>
      <c r="AV356" s="8" t="e">
        <f t="shared" si="158"/>
        <v>#REF!</v>
      </c>
      <c r="AW356" s="8" t="e">
        <f t="shared" si="158"/>
        <v>#REF!</v>
      </c>
      <c r="AX356" s="8" t="e">
        <f t="shared" si="158"/>
        <v>#REF!</v>
      </c>
      <c r="AY356" s="8" t="e">
        <f t="shared" si="158"/>
        <v>#REF!</v>
      </c>
      <c r="AZ356" s="8" t="e">
        <f t="shared" si="158"/>
        <v>#REF!</v>
      </c>
      <c r="BA356" s="8" t="e">
        <f t="shared" si="158"/>
        <v>#REF!</v>
      </c>
      <c r="BB356" s="8" t="e">
        <f t="shared" si="158"/>
        <v>#REF!</v>
      </c>
      <c r="BC356" s="8" t="e">
        <f t="shared" si="158"/>
        <v>#REF!</v>
      </c>
      <c r="BD356" s="8" t="e">
        <f t="shared" si="158"/>
        <v>#REF!</v>
      </c>
      <c r="BE356" s="8" t="e">
        <f t="shared" si="158"/>
        <v>#REF!</v>
      </c>
      <c r="BF356" s="8" t="e">
        <f t="shared" si="158"/>
        <v>#REF!</v>
      </c>
      <c r="BJ356" s="294" t="s">
        <v>405</v>
      </c>
      <c r="BK356" t="s">
        <v>401</v>
      </c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</row>
    <row r="357" spans="32:88">
      <c r="AF357" s="292"/>
      <c r="AG357" s="136" t="s">
        <v>346</v>
      </c>
      <c r="AH357" s="8" t="e">
        <f t="shared" ref="AH357:BF357" si="159">AH289*$AI$264/100+AH299*$AI$273/100+AH309*$AI$282/100+AH319*$AI$256/100*$AL$256+AH329*$AI$246/100*$AL$246</f>
        <v>#REF!</v>
      </c>
      <c r="AI357" s="8" t="e">
        <f t="shared" si="159"/>
        <v>#REF!</v>
      </c>
      <c r="AJ357" s="8" t="e">
        <f t="shared" si="159"/>
        <v>#REF!</v>
      </c>
      <c r="AK357" s="8" t="e">
        <f t="shared" si="159"/>
        <v>#REF!</v>
      </c>
      <c r="AL357" s="8" t="e">
        <f t="shared" si="159"/>
        <v>#REF!</v>
      </c>
      <c r="AM357" s="8" t="e">
        <f t="shared" si="159"/>
        <v>#REF!</v>
      </c>
      <c r="AN357" s="8" t="e">
        <f t="shared" si="159"/>
        <v>#REF!</v>
      </c>
      <c r="AO357" s="8" t="e">
        <f t="shared" si="159"/>
        <v>#REF!</v>
      </c>
      <c r="AP357" s="8" t="e">
        <f t="shared" si="159"/>
        <v>#REF!</v>
      </c>
      <c r="AQ357" s="8" t="e">
        <f t="shared" si="159"/>
        <v>#REF!</v>
      </c>
      <c r="AR357" s="8" t="e">
        <f t="shared" si="159"/>
        <v>#REF!</v>
      </c>
      <c r="AS357" s="8" t="e">
        <f t="shared" si="159"/>
        <v>#REF!</v>
      </c>
      <c r="AT357" s="8" t="e">
        <f t="shared" si="159"/>
        <v>#REF!</v>
      </c>
      <c r="AU357" s="8" t="e">
        <f t="shared" si="159"/>
        <v>#REF!</v>
      </c>
      <c r="AV357" s="8" t="e">
        <f t="shared" si="159"/>
        <v>#REF!</v>
      </c>
      <c r="AW357" s="8" t="e">
        <f t="shared" si="159"/>
        <v>#REF!</v>
      </c>
      <c r="AX357" s="8" t="e">
        <f t="shared" si="159"/>
        <v>#REF!</v>
      </c>
      <c r="AY357" s="8" t="e">
        <f t="shared" si="159"/>
        <v>#REF!</v>
      </c>
      <c r="AZ357" s="8" t="e">
        <f t="shared" si="159"/>
        <v>#REF!</v>
      </c>
      <c r="BA357" s="8" t="e">
        <f t="shared" si="159"/>
        <v>#REF!</v>
      </c>
      <c r="BB357" s="8" t="e">
        <f t="shared" si="159"/>
        <v>#REF!</v>
      </c>
      <c r="BC357" s="8" t="e">
        <f t="shared" si="159"/>
        <v>#REF!</v>
      </c>
      <c r="BD357" s="8" t="e">
        <f t="shared" si="159"/>
        <v>#REF!</v>
      </c>
      <c r="BE357" s="8" t="e">
        <f t="shared" si="159"/>
        <v>#REF!</v>
      </c>
      <c r="BF357" s="8" t="e">
        <f t="shared" si="159"/>
        <v>#REF!</v>
      </c>
      <c r="BJ357" s="294"/>
      <c r="BK357" s="136" t="s">
        <v>343</v>
      </c>
      <c r="BL357" s="8" t="e">
        <f t="shared" ref="BL357:BU364" si="160">AH287*$AI$263/100+AH297*$AI$272/100+AH307*$AI$281/100</f>
        <v>#REF!</v>
      </c>
      <c r="BM357" s="8" t="e">
        <f t="shared" si="160"/>
        <v>#REF!</v>
      </c>
      <c r="BN357" s="8" t="e">
        <f t="shared" si="160"/>
        <v>#REF!</v>
      </c>
      <c r="BO357" s="8" t="e">
        <f t="shared" si="160"/>
        <v>#REF!</v>
      </c>
      <c r="BP357" s="8" t="e">
        <f t="shared" si="160"/>
        <v>#REF!</v>
      </c>
      <c r="BQ357" s="8" t="e">
        <f t="shared" si="160"/>
        <v>#REF!</v>
      </c>
      <c r="BR357" s="8" t="e">
        <f t="shared" si="160"/>
        <v>#REF!</v>
      </c>
      <c r="BS357" s="8" t="e">
        <f t="shared" si="160"/>
        <v>#REF!</v>
      </c>
      <c r="BT357" s="8" t="e">
        <f t="shared" si="160"/>
        <v>#REF!</v>
      </c>
      <c r="BU357" s="8" t="e">
        <f t="shared" si="160"/>
        <v>#REF!</v>
      </c>
      <c r="BV357" s="8" t="e">
        <f t="shared" ref="BV357:CE364" si="161">AR287*$AI$263/100+AR297*$AI$272/100+AR307*$AI$281/100</f>
        <v>#REF!</v>
      </c>
      <c r="BW357" s="8" t="e">
        <f t="shared" si="161"/>
        <v>#REF!</v>
      </c>
      <c r="BX357" s="8" t="e">
        <f t="shared" si="161"/>
        <v>#REF!</v>
      </c>
      <c r="BY357" s="8" t="e">
        <f t="shared" si="161"/>
        <v>#REF!</v>
      </c>
      <c r="BZ357" s="8" t="e">
        <f t="shared" si="161"/>
        <v>#REF!</v>
      </c>
      <c r="CA357" s="8" t="e">
        <f t="shared" si="161"/>
        <v>#REF!</v>
      </c>
      <c r="CB357" s="8" t="e">
        <f t="shared" si="161"/>
        <v>#REF!</v>
      </c>
      <c r="CC357" s="8" t="e">
        <f t="shared" si="161"/>
        <v>#REF!</v>
      </c>
      <c r="CD357" s="8" t="e">
        <f t="shared" si="161"/>
        <v>#REF!</v>
      </c>
      <c r="CE357" s="8" t="e">
        <f t="shared" si="161"/>
        <v>#REF!</v>
      </c>
      <c r="CF357" s="8" t="e">
        <f t="shared" ref="CF357:CJ364" si="162">BB287*$AI$263/100+BB297*$AI$272/100+BB307*$AI$281/100</f>
        <v>#REF!</v>
      </c>
      <c r="CG357" s="8" t="e">
        <f t="shared" si="162"/>
        <v>#REF!</v>
      </c>
      <c r="CH357" s="8" t="e">
        <f t="shared" si="162"/>
        <v>#REF!</v>
      </c>
      <c r="CI357" s="8" t="e">
        <f t="shared" si="162"/>
        <v>#REF!</v>
      </c>
      <c r="CJ357" s="8" t="e">
        <f t="shared" si="162"/>
        <v>#REF!</v>
      </c>
    </row>
    <row r="358" spans="32:88">
      <c r="AF358" s="292"/>
      <c r="AG358" s="136" t="s">
        <v>278</v>
      </c>
      <c r="AH358" s="8">
        <f t="shared" ref="AH358:BF358" si="163">AH290*$AI$264/100+AH300*$AI$273/100+AH310*$AI$282/100+AH320*$AI$256/100*$AL$256+AH330*$AI$246/100*$AL$246</f>
        <v>0</v>
      </c>
      <c r="AI358" s="8">
        <f t="shared" si="163"/>
        <v>-3.8530120764720491E-10</v>
      </c>
      <c r="AJ358" s="8">
        <f t="shared" si="163"/>
        <v>5927346.1279905196</v>
      </c>
      <c r="AK358" s="8">
        <f t="shared" si="163"/>
        <v>14982184.604771445</v>
      </c>
      <c r="AL358" s="8">
        <f t="shared" si="163"/>
        <v>16570540.338308617</v>
      </c>
      <c r="AM358" s="8">
        <f t="shared" si="163"/>
        <v>15978266.745355366</v>
      </c>
      <c r="AN358" s="8">
        <f t="shared" si="163"/>
        <v>13963433.403321575</v>
      </c>
      <c r="AO358" s="8">
        <f t="shared" si="163"/>
        <v>13317004.356324704</v>
      </c>
      <c r="AP358" s="8">
        <f t="shared" si="163"/>
        <v>7830597.6188757718</v>
      </c>
      <c r="AQ358" s="8">
        <f t="shared" si="163"/>
        <v>6976021.6684990181</v>
      </c>
      <c r="AR358" s="8">
        <f t="shared" si="163"/>
        <v>6542705.9087787457</v>
      </c>
      <c r="AS358" s="8">
        <f t="shared" si="163"/>
        <v>6128164.040399082</v>
      </c>
      <c r="AT358" s="8">
        <f t="shared" si="163"/>
        <v>5783169.2581283674</v>
      </c>
      <c r="AU358" s="8">
        <f t="shared" si="163"/>
        <v>4367036.1398730278</v>
      </c>
      <c r="AV358" s="8">
        <f t="shared" si="163"/>
        <v>3533758.1305695856</v>
      </c>
      <c r="AW358" s="8">
        <f t="shared" si="163"/>
        <v>2630918.6360076959</v>
      </c>
      <c r="AX358" s="8">
        <f t="shared" si="163"/>
        <v>2495073.2586994553</v>
      </c>
      <c r="AY358" s="8">
        <f t="shared" si="163"/>
        <v>2473573.586422733</v>
      </c>
      <c r="AZ358" s="8">
        <f t="shared" si="163"/>
        <v>2477645.3518552901</v>
      </c>
      <c r="BA358" s="8">
        <f t="shared" si="163"/>
        <v>2416021.9682728359</v>
      </c>
      <c r="BB358" s="8">
        <f t="shared" si="163"/>
        <v>2308547.3047640892</v>
      </c>
      <c r="BC358" s="8">
        <f t="shared" si="163"/>
        <v>2271538.8698215564</v>
      </c>
      <c r="BD358" s="8">
        <f t="shared" si="163"/>
        <v>2221137.7885836679</v>
      </c>
      <c r="BE358" s="8">
        <f t="shared" si="163"/>
        <v>2172177.5155664319</v>
      </c>
      <c r="BF358" s="8">
        <f t="shared" si="163"/>
        <v>2091475.8620333765</v>
      </c>
      <c r="BJ358" s="294"/>
      <c r="BK358" s="136" t="s">
        <v>345</v>
      </c>
      <c r="BL358" s="8" t="e">
        <f t="shared" si="160"/>
        <v>#REF!</v>
      </c>
      <c r="BM358" s="8" t="e">
        <f t="shared" si="160"/>
        <v>#REF!</v>
      </c>
      <c r="BN358" s="8" t="e">
        <f t="shared" si="160"/>
        <v>#REF!</v>
      </c>
      <c r="BO358" s="8" t="e">
        <f t="shared" si="160"/>
        <v>#REF!</v>
      </c>
      <c r="BP358" s="8" t="e">
        <f t="shared" si="160"/>
        <v>#REF!</v>
      </c>
      <c r="BQ358" s="8" t="e">
        <f t="shared" si="160"/>
        <v>#REF!</v>
      </c>
      <c r="BR358" s="8" t="e">
        <f t="shared" si="160"/>
        <v>#REF!</v>
      </c>
      <c r="BS358" s="8" t="e">
        <f t="shared" si="160"/>
        <v>#REF!</v>
      </c>
      <c r="BT358" s="8" t="e">
        <f t="shared" si="160"/>
        <v>#REF!</v>
      </c>
      <c r="BU358" s="8" t="e">
        <f t="shared" si="160"/>
        <v>#REF!</v>
      </c>
      <c r="BV358" s="8" t="e">
        <f t="shared" si="161"/>
        <v>#REF!</v>
      </c>
      <c r="BW358" s="8" t="e">
        <f t="shared" si="161"/>
        <v>#REF!</v>
      </c>
      <c r="BX358" s="8" t="e">
        <f t="shared" si="161"/>
        <v>#REF!</v>
      </c>
      <c r="BY358" s="8" t="e">
        <f t="shared" si="161"/>
        <v>#REF!</v>
      </c>
      <c r="BZ358" s="8" t="e">
        <f t="shared" si="161"/>
        <v>#REF!</v>
      </c>
      <c r="CA358" s="8" t="e">
        <f t="shared" si="161"/>
        <v>#REF!</v>
      </c>
      <c r="CB358" s="8" t="e">
        <f t="shared" si="161"/>
        <v>#REF!</v>
      </c>
      <c r="CC358" s="8" t="e">
        <f t="shared" si="161"/>
        <v>#REF!</v>
      </c>
      <c r="CD358" s="8" t="e">
        <f t="shared" si="161"/>
        <v>#REF!</v>
      </c>
      <c r="CE358" s="8" t="e">
        <f t="shared" si="161"/>
        <v>#REF!</v>
      </c>
      <c r="CF358" s="8" t="e">
        <f t="shared" si="162"/>
        <v>#REF!</v>
      </c>
      <c r="CG358" s="8" t="e">
        <f t="shared" si="162"/>
        <v>#REF!</v>
      </c>
      <c r="CH358" s="8" t="e">
        <f t="shared" si="162"/>
        <v>#REF!</v>
      </c>
      <c r="CI358" s="8" t="e">
        <f t="shared" si="162"/>
        <v>#REF!</v>
      </c>
      <c r="CJ358" s="8" t="e">
        <f t="shared" si="162"/>
        <v>#REF!</v>
      </c>
    </row>
    <row r="359" spans="32:88">
      <c r="AF359" s="292"/>
      <c r="AG359" s="136" t="s">
        <v>347</v>
      </c>
      <c r="AH359" s="8" t="e">
        <f t="shared" ref="AH359:BF359" si="164">AH291*$AI$264/100+AH301*$AI$273/100+AH311*$AI$282/100+AH321*$AI$256/100*$AL$256+AH331*$AI$246/100*$AL$246</f>
        <v>#REF!</v>
      </c>
      <c r="AI359" s="8" t="e">
        <f t="shared" si="164"/>
        <v>#REF!</v>
      </c>
      <c r="AJ359" s="8" t="e">
        <f t="shared" si="164"/>
        <v>#REF!</v>
      </c>
      <c r="AK359" s="8" t="e">
        <f t="shared" si="164"/>
        <v>#REF!</v>
      </c>
      <c r="AL359" s="8" t="e">
        <f t="shared" si="164"/>
        <v>#REF!</v>
      </c>
      <c r="AM359" s="8" t="e">
        <f t="shared" si="164"/>
        <v>#REF!</v>
      </c>
      <c r="AN359" s="8" t="e">
        <f t="shared" si="164"/>
        <v>#REF!</v>
      </c>
      <c r="AO359" s="8" t="e">
        <f t="shared" si="164"/>
        <v>#REF!</v>
      </c>
      <c r="AP359" s="8" t="e">
        <f t="shared" si="164"/>
        <v>#REF!</v>
      </c>
      <c r="AQ359" s="8" t="e">
        <f t="shared" si="164"/>
        <v>#REF!</v>
      </c>
      <c r="AR359" s="8" t="e">
        <f t="shared" si="164"/>
        <v>#REF!</v>
      </c>
      <c r="AS359" s="8" t="e">
        <f t="shared" si="164"/>
        <v>#REF!</v>
      </c>
      <c r="AT359" s="8" t="e">
        <f t="shared" si="164"/>
        <v>#REF!</v>
      </c>
      <c r="AU359" s="8" t="e">
        <f t="shared" si="164"/>
        <v>#REF!</v>
      </c>
      <c r="AV359" s="8" t="e">
        <f t="shared" si="164"/>
        <v>#REF!</v>
      </c>
      <c r="AW359" s="8" t="e">
        <f t="shared" si="164"/>
        <v>#REF!</v>
      </c>
      <c r="AX359" s="8" t="e">
        <f t="shared" si="164"/>
        <v>#REF!</v>
      </c>
      <c r="AY359" s="8" t="e">
        <f t="shared" si="164"/>
        <v>#REF!</v>
      </c>
      <c r="AZ359" s="8" t="e">
        <f t="shared" si="164"/>
        <v>#REF!</v>
      </c>
      <c r="BA359" s="8" t="e">
        <f t="shared" si="164"/>
        <v>#REF!</v>
      </c>
      <c r="BB359" s="8" t="e">
        <f t="shared" si="164"/>
        <v>#REF!</v>
      </c>
      <c r="BC359" s="8" t="e">
        <f t="shared" si="164"/>
        <v>#REF!</v>
      </c>
      <c r="BD359" s="8" t="e">
        <f t="shared" si="164"/>
        <v>#REF!</v>
      </c>
      <c r="BE359" s="8" t="e">
        <f t="shared" si="164"/>
        <v>#REF!</v>
      </c>
      <c r="BF359" s="8" t="e">
        <f t="shared" si="164"/>
        <v>#REF!</v>
      </c>
      <c r="BJ359" s="294"/>
      <c r="BK359" s="136" t="s">
        <v>346</v>
      </c>
      <c r="BL359" s="8" t="e">
        <f t="shared" si="160"/>
        <v>#REF!</v>
      </c>
      <c r="BM359" s="8" t="e">
        <f t="shared" si="160"/>
        <v>#REF!</v>
      </c>
      <c r="BN359" s="8" t="e">
        <f t="shared" si="160"/>
        <v>#REF!</v>
      </c>
      <c r="BO359" s="8" t="e">
        <f t="shared" si="160"/>
        <v>#REF!</v>
      </c>
      <c r="BP359" s="8" t="e">
        <f t="shared" si="160"/>
        <v>#REF!</v>
      </c>
      <c r="BQ359" s="8" t="e">
        <f t="shared" si="160"/>
        <v>#REF!</v>
      </c>
      <c r="BR359" s="8" t="e">
        <f t="shared" si="160"/>
        <v>#REF!</v>
      </c>
      <c r="BS359" s="8" t="e">
        <f t="shared" si="160"/>
        <v>#REF!</v>
      </c>
      <c r="BT359" s="8" t="e">
        <f t="shared" si="160"/>
        <v>#REF!</v>
      </c>
      <c r="BU359" s="8" t="e">
        <f t="shared" si="160"/>
        <v>#REF!</v>
      </c>
      <c r="BV359" s="8" t="e">
        <f t="shared" si="161"/>
        <v>#REF!</v>
      </c>
      <c r="BW359" s="8" t="e">
        <f t="shared" si="161"/>
        <v>#REF!</v>
      </c>
      <c r="BX359" s="8" t="e">
        <f t="shared" si="161"/>
        <v>#REF!</v>
      </c>
      <c r="BY359" s="8" t="e">
        <f t="shared" si="161"/>
        <v>#REF!</v>
      </c>
      <c r="BZ359" s="8" t="e">
        <f t="shared" si="161"/>
        <v>#REF!</v>
      </c>
      <c r="CA359" s="8" t="e">
        <f t="shared" si="161"/>
        <v>#REF!</v>
      </c>
      <c r="CB359" s="8" t="e">
        <f t="shared" si="161"/>
        <v>#REF!</v>
      </c>
      <c r="CC359" s="8" t="e">
        <f t="shared" si="161"/>
        <v>#REF!</v>
      </c>
      <c r="CD359" s="8" t="e">
        <f t="shared" si="161"/>
        <v>#REF!</v>
      </c>
      <c r="CE359" s="8" t="e">
        <f t="shared" si="161"/>
        <v>#REF!</v>
      </c>
      <c r="CF359" s="8" t="e">
        <f t="shared" si="162"/>
        <v>#REF!</v>
      </c>
      <c r="CG359" s="8" t="e">
        <f t="shared" si="162"/>
        <v>#REF!</v>
      </c>
      <c r="CH359" s="8" t="e">
        <f t="shared" si="162"/>
        <v>#REF!</v>
      </c>
      <c r="CI359" s="8" t="e">
        <f t="shared" si="162"/>
        <v>#REF!</v>
      </c>
      <c r="CJ359" s="8" t="e">
        <f t="shared" si="162"/>
        <v>#REF!</v>
      </c>
    </row>
    <row r="360" spans="32:88">
      <c r="AF360" s="292"/>
      <c r="AG360" s="136" t="s">
        <v>348</v>
      </c>
      <c r="AH360" s="8" t="e">
        <f t="shared" ref="AH360:BF360" si="165">AH292*$AI$264/100+AH302*$AI$273/100+AH312*$AI$282/100+AH322*$AI$256/100*$AL$256+AH332*$AI$246/100*$AL$246</f>
        <v>#REF!</v>
      </c>
      <c r="AI360" s="8" t="e">
        <f t="shared" si="165"/>
        <v>#REF!</v>
      </c>
      <c r="AJ360" s="8" t="e">
        <f t="shared" si="165"/>
        <v>#REF!</v>
      </c>
      <c r="AK360" s="8" t="e">
        <f t="shared" si="165"/>
        <v>#REF!</v>
      </c>
      <c r="AL360" s="8" t="e">
        <f t="shared" si="165"/>
        <v>#REF!</v>
      </c>
      <c r="AM360" s="8" t="e">
        <f t="shared" si="165"/>
        <v>#REF!</v>
      </c>
      <c r="AN360" s="8" t="e">
        <f t="shared" si="165"/>
        <v>#REF!</v>
      </c>
      <c r="AO360" s="8" t="e">
        <f t="shared" si="165"/>
        <v>#REF!</v>
      </c>
      <c r="AP360" s="8" t="e">
        <f t="shared" si="165"/>
        <v>#REF!</v>
      </c>
      <c r="AQ360" s="8" t="e">
        <f t="shared" si="165"/>
        <v>#REF!</v>
      </c>
      <c r="AR360" s="8" t="e">
        <f t="shared" si="165"/>
        <v>#REF!</v>
      </c>
      <c r="AS360" s="8" t="e">
        <f t="shared" si="165"/>
        <v>#REF!</v>
      </c>
      <c r="AT360" s="8" t="e">
        <f t="shared" si="165"/>
        <v>#REF!</v>
      </c>
      <c r="AU360" s="8" t="e">
        <f t="shared" si="165"/>
        <v>#REF!</v>
      </c>
      <c r="AV360" s="8" t="e">
        <f t="shared" si="165"/>
        <v>#REF!</v>
      </c>
      <c r="AW360" s="8" t="e">
        <f t="shared" si="165"/>
        <v>#REF!</v>
      </c>
      <c r="AX360" s="8" t="e">
        <f t="shared" si="165"/>
        <v>#REF!</v>
      </c>
      <c r="AY360" s="8" t="e">
        <f t="shared" si="165"/>
        <v>#REF!</v>
      </c>
      <c r="AZ360" s="8" t="e">
        <f t="shared" si="165"/>
        <v>#REF!</v>
      </c>
      <c r="BA360" s="8" t="e">
        <f t="shared" si="165"/>
        <v>#REF!</v>
      </c>
      <c r="BB360" s="8" t="e">
        <f t="shared" si="165"/>
        <v>#REF!</v>
      </c>
      <c r="BC360" s="8" t="e">
        <f t="shared" si="165"/>
        <v>#REF!</v>
      </c>
      <c r="BD360" s="8" t="e">
        <f t="shared" si="165"/>
        <v>#REF!</v>
      </c>
      <c r="BE360" s="8" t="e">
        <f t="shared" si="165"/>
        <v>#REF!</v>
      </c>
      <c r="BF360" s="8" t="e">
        <f t="shared" si="165"/>
        <v>#REF!</v>
      </c>
      <c r="BJ360" s="294"/>
      <c r="BK360" s="136" t="s">
        <v>278</v>
      </c>
      <c r="BL360" s="8">
        <f t="shared" si="160"/>
        <v>0</v>
      </c>
      <c r="BM360" s="8">
        <f t="shared" si="160"/>
        <v>0</v>
      </c>
      <c r="BN360" s="8">
        <f t="shared" si="160"/>
        <v>4820389.7283990867</v>
      </c>
      <c r="BO360" s="8">
        <f t="shared" si="160"/>
        <v>9682741.8068905361</v>
      </c>
      <c r="BP360" s="8">
        <f t="shared" si="160"/>
        <v>10011069.755768711</v>
      </c>
      <c r="BQ360" s="8">
        <f t="shared" si="160"/>
        <v>8657250.238350248</v>
      </c>
      <c r="BR360" s="8">
        <f t="shared" si="160"/>
        <v>6806090.9843208203</v>
      </c>
      <c r="BS360" s="8">
        <f t="shared" si="160"/>
        <v>6075152.9088143213</v>
      </c>
      <c r="BT360" s="8">
        <f t="shared" si="160"/>
        <v>5430446.0679950565</v>
      </c>
      <c r="BU360" s="8">
        <f t="shared" si="160"/>
        <v>4845386.6174786938</v>
      </c>
      <c r="BV360" s="8">
        <f t="shared" si="161"/>
        <v>4345493.1006119372</v>
      </c>
      <c r="BW360" s="8">
        <f t="shared" si="161"/>
        <v>3935805.4543631519</v>
      </c>
      <c r="BX360" s="8">
        <f t="shared" si="161"/>
        <v>3567674.7889442882</v>
      </c>
      <c r="BY360" s="8">
        <f t="shared" si="161"/>
        <v>3225604.75012621</v>
      </c>
      <c r="BZ360" s="8">
        <f t="shared" si="161"/>
        <v>3070518.1738932547</v>
      </c>
      <c r="CA360" s="8">
        <f t="shared" si="161"/>
        <v>2817787.2711418513</v>
      </c>
      <c r="CB360" s="8">
        <f t="shared" si="161"/>
        <v>2601899.7408861406</v>
      </c>
      <c r="CC360" s="8">
        <f t="shared" si="161"/>
        <v>2577172.121093553</v>
      </c>
      <c r="CD360" s="8">
        <f t="shared" si="161"/>
        <v>2588260.4094520351</v>
      </c>
      <c r="CE360" s="8">
        <f t="shared" si="161"/>
        <v>2520772.7909701625</v>
      </c>
      <c r="CF360" s="8">
        <f t="shared" si="162"/>
        <v>2403872.5168055189</v>
      </c>
      <c r="CG360" s="8">
        <f t="shared" si="162"/>
        <v>2372619.8411535756</v>
      </c>
      <c r="CH360" s="8">
        <f t="shared" si="162"/>
        <v>2329814.7103359434</v>
      </c>
      <c r="CI360" s="8">
        <f t="shared" si="162"/>
        <v>2292855.0249309307</v>
      </c>
      <c r="CJ360" s="8">
        <f t="shared" si="162"/>
        <v>2218947.7254186389</v>
      </c>
    </row>
    <row r="361" spans="32:88">
      <c r="AF361" s="292"/>
      <c r="AG361" s="136" t="s">
        <v>349</v>
      </c>
      <c r="AH361" s="8" t="e">
        <f t="shared" ref="AH361:BF361" si="166">AH293*$AI$264/100+AH303*$AI$273/100+AH313*$AI$282/100+AH323*$AI$256/100*$AL$256+AH333*$AI$246/100*$AL$246</f>
        <v>#REF!</v>
      </c>
      <c r="AI361" s="8" t="e">
        <f t="shared" si="166"/>
        <v>#REF!</v>
      </c>
      <c r="AJ361" s="8" t="e">
        <f t="shared" si="166"/>
        <v>#REF!</v>
      </c>
      <c r="AK361" s="8" t="e">
        <f t="shared" si="166"/>
        <v>#REF!</v>
      </c>
      <c r="AL361" s="8" t="e">
        <f t="shared" si="166"/>
        <v>#REF!</v>
      </c>
      <c r="AM361" s="8" t="e">
        <f t="shared" si="166"/>
        <v>#REF!</v>
      </c>
      <c r="AN361" s="8" t="e">
        <f t="shared" si="166"/>
        <v>#REF!</v>
      </c>
      <c r="AO361" s="8" t="e">
        <f t="shared" si="166"/>
        <v>#REF!</v>
      </c>
      <c r="AP361" s="8" t="e">
        <f t="shared" si="166"/>
        <v>#REF!</v>
      </c>
      <c r="AQ361" s="8" t="e">
        <f t="shared" si="166"/>
        <v>#REF!</v>
      </c>
      <c r="AR361" s="8" t="e">
        <f t="shared" si="166"/>
        <v>#REF!</v>
      </c>
      <c r="AS361" s="8" t="e">
        <f t="shared" si="166"/>
        <v>#REF!</v>
      </c>
      <c r="AT361" s="8" t="e">
        <f t="shared" si="166"/>
        <v>#REF!</v>
      </c>
      <c r="AU361" s="8" t="e">
        <f t="shared" si="166"/>
        <v>#REF!</v>
      </c>
      <c r="AV361" s="8" t="e">
        <f t="shared" si="166"/>
        <v>#REF!</v>
      </c>
      <c r="AW361" s="8" t="e">
        <f t="shared" si="166"/>
        <v>#REF!</v>
      </c>
      <c r="AX361" s="8" t="e">
        <f t="shared" si="166"/>
        <v>#REF!</v>
      </c>
      <c r="AY361" s="8" t="e">
        <f t="shared" si="166"/>
        <v>#REF!</v>
      </c>
      <c r="AZ361" s="8" t="e">
        <f t="shared" si="166"/>
        <v>#REF!</v>
      </c>
      <c r="BA361" s="8" t="e">
        <f t="shared" si="166"/>
        <v>#REF!</v>
      </c>
      <c r="BB361" s="8" t="e">
        <f t="shared" si="166"/>
        <v>#REF!</v>
      </c>
      <c r="BC361" s="8" t="e">
        <f t="shared" si="166"/>
        <v>#REF!</v>
      </c>
      <c r="BD361" s="8" t="e">
        <f t="shared" si="166"/>
        <v>#REF!</v>
      </c>
      <c r="BE361" s="8" t="e">
        <f t="shared" si="166"/>
        <v>#REF!</v>
      </c>
      <c r="BF361" s="8" t="e">
        <f t="shared" si="166"/>
        <v>#REF!</v>
      </c>
      <c r="BJ361" s="294"/>
      <c r="BK361" s="136" t="s">
        <v>347</v>
      </c>
      <c r="BL361" s="8" t="e">
        <f t="shared" si="160"/>
        <v>#REF!</v>
      </c>
      <c r="BM361" s="8" t="e">
        <f t="shared" si="160"/>
        <v>#REF!</v>
      </c>
      <c r="BN361" s="8" t="e">
        <f t="shared" si="160"/>
        <v>#REF!</v>
      </c>
      <c r="BO361" s="8" t="e">
        <f t="shared" si="160"/>
        <v>#REF!</v>
      </c>
      <c r="BP361" s="8" t="e">
        <f t="shared" si="160"/>
        <v>#REF!</v>
      </c>
      <c r="BQ361" s="8" t="e">
        <f t="shared" si="160"/>
        <v>#REF!</v>
      </c>
      <c r="BR361" s="8" t="e">
        <f t="shared" si="160"/>
        <v>#REF!</v>
      </c>
      <c r="BS361" s="8" t="e">
        <f t="shared" si="160"/>
        <v>#REF!</v>
      </c>
      <c r="BT361" s="8" t="e">
        <f t="shared" si="160"/>
        <v>#REF!</v>
      </c>
      <c r="BU361" s="8" t="e">
        <f t="shared" si="160"/>
        <v>#REF!</v>
      </c>
      <c r="BV361" s="8" t="e">
        <f t="shared" si="161"/>
        <v>#REF!</v>
      </c>
      <c r="BW361" s="8" t="e">
        <f t="shared" si="161"/>
        <v>#REF!</v>
      </c>
      <c r="BX361" s="8" t="e">
        <f t="shared" si="161"/>
        <v>#REF!</v>
      </c>
      <c r="BY361" s="8" t="e">
        <f t="shared" si="161"/>
        <v>#REF!</v>
      </c>
      <c r="BZ361" s="8" t="e">
        <f t="shared" si="161"/>
        <v>#REF!</v>
      </c>
      <c r="CA361" s="8" t="e">
        <f t="shared" si="161"/>
        <v>#REF!</v>
      </c>
      <c r="CB361" s="8" t="e">
        <f t="shared" si="161"/>
        <v>#REF!</v>
      </c>
      <c r="CC361" s="8" t="e">
        <f t="shared" si="161"/>
        <v>#REF!</v>
      </c>
      <c r="CD361" s="8" t="e">
        <f t="shared" si="161"/>
        <v>#REF!</v>
      </c>
      <c r="CE361" s="8" t="e">
        <f t="shared" si="161"/>
        <v>#REF!</v>
      </c>
      <c r="CF361" s="8" t="e">
        <f t="shared" si="162"/>
        <v>#REF!</v>
      </c>
      <c r="CG361" s="8" t="e">
        <f t="shared" si="162"/>
        <v>#REF!</v>
      </c>
      <c r="CH361" s="8" t="e">
        <f t="shared" si="162"/>
        <v>#REF!</v>
      </c>
      <c r="CI361" s="8" t="e">
        <f t="shared" si="162"/>
        <v>#REF!</v>
      </c>
      <c r="CJ361" s="8" t="e">
        <f t="shared" si="162"/>
        <v>#REF!</v>
      </c>
    </row>
    <row r="362" spans="32:88">
      <c r="AF362" s="292"/>
      <c r="AG362" s="136" t="s">
        <v>246</v>
      </c>
      <c r="AH362" s="8">
        <f t="shared" ref="AH362:BF362" si="167">AH294*$AI$264/100+AH304*$AI$273/100+AH314*$AI$282/100+AH324*$AI$256/100*$AL$256+AH334*$AI$246/100*$AL$246</f>
        <v>0</v>
      </c>
      <c r="AI362" s="8">
        <f t="shared" si="167"/>
        <v>-8.4127507883157715E-12</v>
      </c>
      <c r="AJ362" s="8">
        <f t="shared" si="167"/>
        <v>145660.52537086874</v>
      </c>
      <c r="AK362" s="8">
        <f t="shared" si="167"/>
        <v>393508.17171394941</v>
      </c>
      <c r="AL362" s="8">
        <f t="shared" si="167"/>
        <v>444107.24846080563</v>
      </c>
      <c r="AM362" s="8">
        <f t="shared" si="167"/>
        <v>434706.2264247131</v>
      </c>
      <c r="AN362" s="8">
        <f t="shared" si="167"/>
        <v>385882.3813203763</v>
      </c>
      <c r="AO362" s="8">
        <f t="shared" si="167"/>
        <v>371937.74588385085</v>
      </c>
      <c r="AP362" s="8">
        <f t="shared" si="167"/>
        <v>228043.92573405924</v>
      </c>
      <c r="AQ362" s="8">
        <f t="shared" si="167"/>
        <v>212749.59626851534</v>
      </c>
      <c r="AR362" s="8">
        <f t="shared" si="167"/>
        <v>203843.25421984034</v>
      </c>
      <c r="AS362" s="8">
        <f t="shared" si="167"/>
        <v>195354.37532336949</v>
      </c>
      <c r="AT362" s="8">
        <f t="shared" si="167"/>
        <v>187089.87043297687</v>
      </c>
      <c r="AU362" s="8">
        <f t="shared" si="167"/>
        <v>162862.465456665</v>
      </c>
      <c r="AV362" s="8">
        <f t="shared" si="167"/>
        <v>145806.67459573058</v>
      </c>
      <c r="AW362" s="8">
        <f t="shared" si="167"/>
        <v>128415.6507762871</v>
      </c>
      <c r="AX362" s="8">
        <f t="shared" si="167"/>
        <v>122440.81681417457</v>
      </c>
      <c r="AY362" s="8">
        <f t="shared" si="167"/>
        <v>123700.61676581079</v>
      </c>
      <c r="AZ362" s="8">
        <f t="shared" si="167"/>
        <v>124935.07522030489</v>
      </c>
      <c r="BA362" s="8">
        <f t="shared" si="167"/>
        <v>122016.35018941216</v>
      </c>
      <c r="BB362" s="8">
        <f t="shared" si="167"/>
        <v>116294.78370845832</v>
      </c>
      <c r="BC362" s="8">
        <f t="shared" si="167"/>
        <v>116125.63075676352</v>
      </c>
      <c r="BD362" s="8">
        <f t="shared" si="167"/>
        <v>115212.23604494178</v>
      </c>
      <c r="BE362" s="8">
        <f t="shared" si="167"/>
        <v>114314.78795349889</v>
      </c>
      <c r="BF362" s="8">
        <f t="shared" si="167"/>
        <v>111635.73466869371</v>
      </c>
      <c r="BJ362" s="294"/>
      <c r="BK362" s="136" t="s">
        <v>348</v>
      </c>
      <c r="BL362" s="8" t="e">
        <f t="shared" si="160"/>
        <v>#REF!</v>
      </c>
      <c r="BM362" s="8" t="e">
        <f t="shared" si="160"/>
        <v>#REF!</v>
      </c>
      <c r="BN362" s="8" t="e">
        <f t="shared" si="160"/>
        <v>#REF!</v>
      </c>
      <c r="BO362" s="8" t="e">
        <f t="shared" si="160"/>
        <v>#REF!</v>
      </c>
      <c r="BP362" s="8" t="e">
        <f t="shared" si="160"/>
        <v>#REF!</v>
      </c>
      <c r="BQ362" s="8" t="e">
        <f t="shared" si="160"/>
        <v>#REF!</v>
      </c>
      <c r="BR362" s="8" t="e">
        <f t="shared" si="160"/>
        <v>#REF!</v>
      </c>
      <c r="BS362" s="8" t="e">
        <f t="shared" si="160"/>
        <v>#REF!</v>
      </c>
      <c r="BT362" s="8" t="e">
        <f t="shared" si="160"/>
        <v>#REF!</v>
      </c>
      <c r="BU362" s="8" t="e">
        <f t="shared" si="160"/>
        <v>#REF!</v>
      </c>
      <c r="BV362" s="8" t="e">
        <f t="shared" si="161"/>
        <v>#REF!</v>
      </c>
      <c r="BW362" s="8" t="e">
        <f t="shared" si="161"/>
        <v>#REF!</v>
      </c>
      <c r="BX362" s="8" t="e">
        <f t="shared" si="161"/>
        <v>#REF!</v>
      </c>
      <c r="BY362" s="8" t="e">
        <f t="shared" si="161"/>
        <v>#REF!</v>
      </c>
      <c r="BZ362" s="8" t="e">
        <f t="shared" si="161"/>
        <v>#REF!</v>
      </c>
      <c r="CA362" s="8" t="e">
        <f t="shared" si="161"/>
        <v>#REF!</v>
      </c>
      <c r="CB362" s="8" t="e">
        <f t="shared" si="161"/>
        <v>#REF!</v>
      </c>
      <c r="CC362" s="8" t="e">
        <f t="shared" si="161"/>
        <v>#REF!</v>
      </c>
      <c r="CD362" s="8" t="e">
        <f t="shared" si="161"/>
        <v>#REF!</v>
      </c>
      <c r="CE362" s="8" t="e">
        <f t="shared" si="161"/>
        <v>#REF!</v>
      </c>
      <c r="CF362" s="8" t="e">
        <f t="shared" si="162"/>
        <v>#REF!</v>
      </c>
      <c r="CG362" s="8" t="e">
        <f t="shared" si="162"/>
        <v>#REF!</v>
      </c>
      <c r="CH362" s="8" t="e">
        <f t="shared" si="162"/>
        <v>#REF!</v>
      </c>
      <c r="CI362" s="8" t="e">
        <f t="shared" si="162"/>
        <v>#REF!</v>
      </c>
      <c r="CJ362" s="8" t="e">
        <f t="shared" si="162"/>
        <v>#REF!</v>
      </c>
    </row>
    <row r="363" spans="32:88" ht="14.65" customHeight="1">
      <c r="AF363" s="154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J363" s="294"/>
      <c r="BK363" s="136" t="s">
        <v>349</v>
      </c>
      <c r="BL363" s="8" t="e">
        <f t="shared" si="160"/>
        <v>#REF!</v>
      </c>
      <c r="BM363" s="8" t="e">
        <f t="shared" si="160"/>
        <v>#REF!</v>
      </c>
      <c r="BN363" s="8" t="e">
        <f t="shared" si="160"/>
        <v>#REF!</v>
      </c>
      <c r="BO363" s="8" t="e">
        <f t="shared" si="160"/>
        <v>#REF!</v>
      </c>
      <c r="BP363" s="8" t="e">
        <f t="shared" si="160"/>
        <v>#REF!</v>
      </c>
      <c r="BQ363" s="8" t="e">
        <f t="shared" si="160"/>
        <v>#REF!</v>
      </c>
      <c r="BR363" s="8" t="e">
        <f t="shared" si="160"/>
        <v>#REF!</v>
      </c>
      <c r="BS363" s="8" t="e">
        <f t="shared" si="160"/>
        <v>#REF!</v>
      </c>
      <c r="BT363" s="8" t="e">
        <f t="shared" si="160"/>
        <v>#REF!</v>
      </c>
      <c r="BU363" s="8" t="e">
        <f t="shared" si="160"/>
        <v>#REF!</v>
      </c>
      <c r="BV363" s="8" t="e">
        <f t="shared" si="161"/>
        <v>#REF!</v>
      </c>
      <c r="BW363" s="8" t="e">
        <f t="shared" si="161"/>
        <v>#REF!</v>
      </c>
      <c r="BX363" s="8" t="e">
        <f t="shared" si="161"/>
        <v>#REF!</v>
      </c>
      <c r="BY363" s="8" t="e">
        <f t="shared" si="161"/>
        <v>#REF!</v>
      </c>
      <c r="BZ363" s="8" t="e">
        <f t="shared" si="161"/>
        <v>#REF!</v>
      </c>
      <c r="CA363" s="8" t="e">
        <f t="shared" si="161"/>
        <v>#REF!</v>
      </c>
      <c r="CB363" s="8" t="e">
        <f t="shared" si="161"/>
        <v>#REF!</v>
      </c>
      <c r="CC363" s="8" t="e">
        <f t="shared" si="161"/>
        <v>#REF!</v>
      </c>
      <c r="CD363" s="8" t="e">
        <f t="shared" si="161"/>
        <v>#REF!</v>
      </c>
      <c r="CE363" s="8" t="e">
        <f t="shared" si="161"/>
        <v>#REF!</v>
      </c>
      <c r="CF363" s="8" t="e">
        <f t="shared" si="162"/>
        <v>#REF!</v>
      </c>
      <c r="CG363" s="8" t="e">
        <f t="shared" si="162"/>
        <v>#REF!</v>
      </c>
      <c r="CH363" s="8" t="e">
        <f t="shared" si="162"/>
        <v>#REF!</v>
      </c>
      <c r="CI363" s="8" t="e">
        <f t="shared" si="162"/>
        <v>#REF!</v>
      </c>
      <c r="CJ363" s="8" t="e">
        <f t="shared" si="162"/>
        <v>#REF!</v>
      </c>
    </row>
    <row r="364" spans="32:88" ht="30">
      <c r="AF364" s="292" t="s">
        <v>393</v>
      </c>
      <c r="AG364" s="136" t="s">
        <v>343</v>
      </c>
      <c r="AH364" s="8" t="e">
        <f t="shared" ref="AH364:BF364" si="168">AH287*$AI$268/100+AH297*$AI$277/100+AH307*$AI$283/100+AH317*($AI$255/100*$AM$255+$AI$256/100*$AM$256+$AI$257/100*$AM$257+$AI$258/100*$AM$258+$AI$259/100*$AM$259+$AI$260/100*$AM$260)+AH327*($AI$247/100*$AM$247+$AI$248/100*$AM$248+$AI$249/100*$AM$249)</f>
        <v>#REF!</v>
      </c>
      <c r="AI364" s="8" t="e">
        <f t="shared" si="168"/>
        <v>#REF!</v>
      </c>
      <c r="AJ364" s="8" t="e">
        <f t="shared" si="168"/>
        <v>#REF!</v>
      </c>
      <c r="AK364" s="8" t="e">
        <f t="shared" si="168"/>
        <v>#REF!</v>
      </c>
      <c r="AL364" s="8" t="e">
        <f t="shared" si="168"/>
        <v>#REF!</v>
      </c>
      <c r="AM364" s="8" t="e">
        <f t="shared" si="168"/>
        <v>#REF!</v>
      </c>
      <c r="AN364" s="8" t="e">
        <f t="shared" si="168"/>
        <v>#REF!</v>
      </c>
      <c r="AO364" s="8" t="e">
        <f t="shared" si="168"/>
        <v>#REF!</v>
      </c>
      <c r="AP364" s="8" t="e">
        <f t="shared" si="168"/>
        <v>#REF!</v>
      </c>
      <c r="AQ364" s="8" t="e">
        <f t="shared" si="168"/>
        <v>#REF!</v>
      </c>
      <c r="AR364" s="8" t="e">
        <f t="shared" si="168"/>
        <v>#REF!</v>
      </c>
      <c r="AS364" s="8" t="e">
        <f t="shared" si="168"/>
        <v>#REF!</v>
      </c>
      <c r="AT364" s="8" t="e">
        <f t="shared" si="168"/>
        <v>#REF!</v>
      </c>
      <c r="AU364" s="8" t="e">
        <f t="shared" si="168"/>
        <v>#REF!</v>
      </c>
      <c r="AV364" s="8" t="e">
        <f t="shared" si="168"/>
        <v>#REF!</v>
      </c>
      <c r="AW364" s="8" t="e">
        <f t="shared" si="168"/>
        <v>#REF!</v>
      </c>
      <c r="AX364" s="8" t="e">
        <f t="shared" si="168"/>
        <v>#REF!</v>
      </c>
      <c r="AY364" s="8" t="e">
        <f t="shared" si="168"/>
        <v>#REF!</v>
      </c>
      <c r="AZ364" s="8" t="e">
        <f t="shared" si="168"/>
        <v>#REF!</v>
      </c>
      <c r="BA364" s="8" t="e">
        <f t="shared" si="168"/>
        <v>#REF!</v>
      </c>
      <c r="BB364" s="8" t="e">
        <f t="shared" si="168"/>
        <v>#REF!</v>
      </c>
      <c r="BC364" s="8" t="e">
        <f t="shared" si="168"/>
        <v>#REF!</v>
      </c>
      <c r="BD364" s="8" t="e">
        <f t="shared" si="168"/>
        <v>#REF!</v>
      </c>
      <c r="BE364" s="8" t="e">
        <f t="shared" si="168"/>
        <v>#REF!</v>
      </c>
      <c r="BF364" s="8" t="e">
        <f t="shared" si="168"/>
        <v>#REF!</v>
      </c>
      <c r="BJ364" s="294"/>
      <c r="BK364" s="136" t="s">
        <v>246</v>
      </c>
      <c r="BL364" s="8">
        <f t="shared" si="160"/>
        <v>0</v>
      </c>
      <c r="BM364" s="8">
        <f t="shared" si="160"/>
        <v>0</v>
      </c>
      <c r="BN364" s="8">
        <f t="shared" si="160"/>
        <v>158422.0175777165</v>
      </c>
      <c r="BO364" s="8">
        <f t="shared" si="160"/>
        <v>435199.38274699188</v>
      </c>
      <c r="BP364" s="8">
        <f t="shared" si="160"/>
        <v>504055.69888908474</v>
      </c>
      <c r="BQ364" s="8">
        <f t="shared" si="160"/>
        <v>491321.44412853126</v>
      </c>
      <c r="BR364" s="8">
        <f t="shared" si="160"/>
        <v>438321.84388839913</v>
      </c>
      <c r="BS364" s="8">
        <f t="shared" si="160"/>
        <v>426812.45110710926</v>
      </c>
      <c r="BT364" s="8">
        <f t="shared" si="160"/>
        <v>412153.24358757702</v>
      </c>
      <c r="BU364" s="8">
        <f t="shared" si="160"/>
        <v>396874.27913004567</v>
      </c>
      <c r="BV364" s="8">
        <f t="shared" si="161"/>
        <v>382192.43204857677</v>
      </c>
      <c r="BW364" s="8">
        <f t="shared" si="161"/>
        <v>369286.5637158223</v>
      </c>
      <c r="BX364" s="8">
        <f t="shared" si="161"/>
        <v>354509.73099592159</v>
      </c>
      <c r="BY364" s="8">
        <f t="shared" si="161"/>
        <v>339819.43319860258</v>
      </c>
      <c r="BZ364" s="8">
        <f t="shared" si="161"/>
        <v>323564.08928196004</v>
      </c>
      <c r="CA364" s="8">
        <f t="shared" si="161"/>
        <v>307923.81754567777</v>
      </c>
      <c r="CB364" s="8">
        <f t="shared" si="161"/>
        <v>292869.04432636267</v>
      </c>
      <c r="CC364" s="8">
        <f t="shared" si="161"/>
        <v>297413.92407535395</v>
      </c>
      <c r="CD364" s="8">
        <f t="shared" si="161"/>
        <v>301277.38507542119</v>
      </c>
      <c r="CE364" s="8">
        <f t="shared" si="161"/>
        <v>294313.51620691537</v>
      </c>
      <c r="CF364" s="8">
        <f t="shared" si="162"/>
        <v>280156.77106012159</v>
      </c>
      <c r="CG364" s="8">
        <f t="shared" si="162"/>
        <v>280776.27362648136</v>
      </c>
      <c r="CH364" s="8">
        <f t="shared" si="162"/>
        <v>279551.04254637606</v>
      </c>
      <c r="CI364" s="8">
        <f t="shared" si="162"/>
        <v>278388.64492356998</v>
      </c>
      <c r="CJ364" s="8">
        <f t="shared" si="162"/>
        <v>272681.00015726569</v>
      </c>
    </row>
    <row r="365" spans="32:88">
      <c r="AF365" s="292"/>
      <c r="AG365" s="136" t="s">
        <v>345</v>
      </c>
      <c r="AH365" s="8" t="e">
        <f t="shared" ref="AH365:BF365" si="169">AH288*$AI$268/100+AH298*$AI$277/100+AH308*$AI$283/100+AH318*($AI$255/100*$AM$255+$AI$256/100*$AM$256+$AI$257/100*$AM$257+$AI$258/100*$AM$258+$AI$259/100*$AM$259+$AI$260/100*$AM$260)+AH328*($AI$247/100*$AM$247+$AI$248/100*$AM$248+$AI$249/100*$AM$249)</f>
        <v>#REF!</v>
      </c>
      <c r="AI365" s="8" t="e">
        <f t="shared" si="169"/>
        <v>#REF!</v>
      </c>
      <c r="AJ365" s="8" t="e">
        <f t="shared" si="169"/>
        <v>#REF!</v>
      </c>
      <c r="AK365" s="8" t="e">
        <f t="shared" si="169"/>
        <v>#REF!</v>
      </c>
      <c r="AL365" s="8" t="e">
        <f t="shared" si="169"/>
        <v>#REF!</v>
      </c>
      <c r="AM365" s="8" t="e">
        <f t="shared" si="169"/>
        <v>#REF!</v>
      </c>
      <c r="AN365" s="8" t="e">
        <f t="shared" si="169"/>
        <v>#REF!</v>
      </c>
      <c r="AO365" s="8" t="e">
        <f t="shared" si="169"/>
        <v>#REF!</v>
      </c>
      <c r="AP365" s="8" t="e">
        <f t="shared" si="169"/>
        <v>#REF!</v>
      </c>
      <c r="AQ365" s="8" t="e">
        <f t="shared" si="169"/>
        <v>#REF!</v>
      </c>
      <c r="AR365" s="8" t="e">
        <f t="shared" si="169"/>
        <v>#REF!</v>
      </c>
      <c r="AS365" s="8" t="e">
        <f t="shared" si="169"/>
        <v>#REF!</v>
      </c>
      <c r="AT365" s="8" t="e">
        <f t="shared" si="169"/>
        <v>#REF!</v>
      </c>
      <c r="AU365" s="8" t="e">
        <f t="shared" si="169"/>
        <v>#REF!</v>
      </c>
      <c r="AV365" s="8" t="e">
        <f t="shared" si="169"/>
        <v>#REF!</v>
      </c>
      <c r="AW365" s="8" t="e">
        <f t="shared" si="169"/>
        <v>#REF!</v>
      </c>
      <c r="AX365" s="8" t="e">
        <f t="shared" si="169"/>
        <v>#REF!</v>
      </c>
      <c r="AY365" s="8" t="e">
        <f t="shared" si="169"/>
        <v>#REF!</v>
      </c>
      <c r="AZ365" s="8" t="e">
        <f t="shared" si="169"/>
        <v>#REF!</v>
      </c>
      <c r="BA365" s="8" t="e">
        <f t="shared" si="169"/>
        <v>#REF!</v>
      </c>
      <c r="BB365" s="8" t="e">
        <f t="shared" si="169"/>
        <v>#REF!</v>
      </c>
      <c r="BC365" s="8" t="e">
        <f t="shared" si="169"/>
        <v>#REF!</v>
      </c>
      <c r="BD365" s="8" t="e">
        <f t="shared" si="169"/>
        <v>#REF!</v>
      </c>
      <c r="BE365" s="8" t="e">
        <f t="shared" si="169"/>
        <v>#REF!</v>
      </c>
      <c r="BF365" s="8" t="e">
        <f t="shared" si="169"/>
        <v>#REF!</v>
      </c>
      <c r="BJ365" s="294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</row>
    <row r="366" spans="32:88">
      <c r="AF366" s="292"/>
      <c r="AG366" s="136" t="s">
        <v>346</v>
      </c>
      <c r="AH366" s="8" t="e">
        <f t="shared" ref="AH366:BF366" si="170">AH289*$AI$268/100+AH299*$AI$277/100+AH309*$AI$283/100+AH319*($AI$255/100*$AM$255+$AI$256/100*$AM$256+$AI$257/100*$AM$257+$AI$258/100*$AM$258+$AI$259/100*$AM$259+$AI$260/100*$AM$260)+AH329*($AI$247/100*$AM$247+$AI$248/100*$AM$248+$AI$249/100*$AM$249)</f>
        <v>#REF!</v>
      </c>
      <c r="AI366" s="8" t="e">
        <f t="shared" si="170"/>
        <v>#REF!</v>
      </c>
      <c r="AJ366" s="8" t="e">
        <f t="shared" si="170"/>
        <v>#REF!</v>
      </c>
      <c r="AK366" s="8" t="e">
        <f t="shared" si="170"/>
        <v>#REF!</v>
      </c>
      <c r="AL366" s="8" t="e">
        <f t="shared" si="170"/>
        <v>#REF!</v>
      </c>
      <c r="AM366" s="8" t="e">
        <f t="shared" si="170"/>
        <v>#REF!</v>
      </c>
      <c r="AN366" s="8" t="e">
        <f t="shared" si="170"/>
        <v>#REF!</v>
      </c>
      <c r="AO366" s="8" t="e">
        <f t="shared" si="170"/>
        <v>#REF!</v>
      </c>
      <c r="AP366" s="8" t="e">
        <f t="shared" si="170"/>
        <v>#REF!</v>
      </c>
      <c r="AQ366" s="8" t="e">
        <f t="shared" si="170"/>
        <v>#REF!</v>
      </c>
      <c r="AR366" s="8" t="e">
        <f t="shared" si="170"/>
        <v>#REF!</v>
      </c>
      <c r="AS366" s="8" t="e">
        <f t="shared" si="170"/>
        <v>#REF!</v>
      </c>
      <c r="AT366" s="8" t="e">
        <f t="shared" si="170"/>
        <v>#REF!</v>
      </c>
      <c r="AU366" s="8" t="e">
        <f t="shared" si="170"/>
        <v>#REF!</v>
      </c>
      <c r="AV366" s="8" t="e">
        <f t="shared" si="170"/>
        <v>#REF!</v>
      </c>
      <c r="AW366" s="8" t="e">
        <f t="shared" si="170"/>
        <v>#REF!</v>
      </c>
      <c r="AX366" s="8" t="e">
        <f t="shared" si="170"/>
        <v>#REF!</v>
      </c>
      <c r="AY366" s="8" t="e">
        <f t="shared" si="170"/>
        <v>#REF!</v>
      </c>
      <c r="AZ366" s="8" t="e">
        <f t="shared" si="170"/>
        <v>#REF!</v>
      </c>
      <c r="BA366" s="8" t="e">
        <f t="shared" si="170"/>
        <v>#REF!</v>
      </c>
      <c r="BB366" s="8" t="e">
        <f t="shared" si="170"/>
        <v>#REF!</v>
      </c>
      <c r="BC366" s="8" t="e">
        <f t="shared" si="170"/>
        <v>#REF!</v>
      </c>
      <c r="BD366" s="8" t="e">
        <f t="shared" si="170"/>
        <v>#REF!</v>
      </c>
      <c r="BE366" s="8" t="e">
        <f t="shared" si="170"/>
        <v>#REF!</v>
      </c>
      <c r="BF366" s="8" t="e">
        <f t="shared" si="170"/>
        <v>#REF!</v>
      </c>
      <c r="BJ366" s="294"/>
      <c r="BK366" t="s">
        <v>404</v>
      </c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</row>
    <row r="367" spans="32:88">
      <c r="AF367" s="292"/>
      <c r="AG367" s="136" t="s">
        <v>278</v>
      </c>
      <c r="AH367" s="8">
        <f t="shared" ref="AH367:BF367" si="171">AH290*$AI$268/100+AH300*$AI$277/100+AH310*$AI$283/100+AH320*($AI$255/100*$AM$255+$AI$256/100*$AM$256+$AI$257/100*$AM$257+$AI$258/100*$AM$258+$AI$259/100*$AM$259+$AI$260/100*$AM$260)+AH330*($AI$247/100*$AM$247+$AI$248/100*$AM$248+$AI$249/100*$AM$249)</f>
        <v>0</v>
      </c>
      <c r="AI367" s="8">
        <f t="shared" si="171"/>
        <v>-3.4677108688248441E-10</v>
      </c>
      <c r="AJ367" s="8">
        <f t="shared" si="171"/>
        <v>6298689.4608712848</v>
      </c>
      <c r="AK367" s="8">
        <f t="shared" si="171"/>
        <v>15420514.505672408</v>
      </c>
      <c r="AL367" s="8">
        <f t="shared" si="171"/>
        <v>19423329.035212368</v>
      </c>
      <c r="AM367" s="8">
        <f t="shared" si="171"/>
        <v>36887461.617493547</v>
      </c>
      <c r="AN367" s="8">
        <f t="shared" si="171"/>
        <v>44386421.042476162</v>
      </c>
      <c r="AO367" s="8">
        <f t="shared" si="171"/>
        <v>48521965.025296822</v>
      </c>
      <c r="AP367" s="8">
        <f t="shared" si="171"/>
        <v>29004679.176656678</v>
      </c>
      <c r="AQ367" s="8">
        <f t="shared" si="171"/>
        <v>27043723.26127103</v>
      </c>
      <c r="AR367" s="8">
        <f t="shared" si="171"/>
        <v>26389643.553478491</v>
      </c>
      <c r="AS367" s="8">
        <f t="shared" si="171"/>
        <v>25451859.572169006</v>
      </c>
      <c r="AT367" s="8">
        <f t="shared" si="171"/>
        <v>24878440.146384899</v>
      </c>
      <c r="AU367" s="8">
        <f t="shared" si="171"/>
        <v>18369039.883992612</v>
      </c>
      <c r="AV367" s="8">
        <f t="shared" si="171"/>
        <v>14466753.001509042</v>
      </c>
      <c r="AW367" s="8">
        <f t="shared" si="171"/>
        <v>10224724.429846715</v>
      </c>
      <c r="AX367" s="8">
        <f t="shared" si="171"/>
        <v>9874210.207843665</v>
      </c>
      <c r="AY367" s="8">
        <f t="shared" si="171"/>
        <v>9497949.7823505253</v>
      </c>
      <c r="AZ367" s="8">
        <f t="shared" si="171"/>
        <v>9277529.7349515222</v>
      </c>
      <c r="BA367" s="8">
        <f t="shared" si="171"/>
        <v>9034839.8952040635</v>
      </c>
      <c r="BB367" s="8">
        <f t="shared" si="171"/>
        <v>8761743.2234039567</v>
      </c>
      <c r="BC367" s="8">
        <f t="shared" si="171"/>
        <v>8570869.0723457281</v>
      </c>
      <c r="BD367" s="8">
        <f t="shared" si="171"/>
        <v>8369041.2285557799</v>
      </c>
      <c r="BE367" s="8">
        <f t="shared" si="171"/>
        <v>8172805.016538715</v>
      </c>
      <c r="BF367" s="8">
        <f t="shared" si="171"/>
        <v>7944276.9630077025</v>
      </c>
      <c r="BJ367" s="294"/>
      <c r="BK367" s="136" t="s">
        <v>343</v>
      </c>
      <c r="BL367" s="8" t="e">
        <f t="shared" ref="BL367:BU374" si="172">AH317*($AI$257/100*$AK$257+$AI$258/100*$AK$258)+AH327*($AI$247/100*$AK$247+$AI$248/100*$AK$248+$AI$250/100*$AK$250+$AI$251/100*$AK$251)</f>
        <v>#REF!</v>
      </c>
      <c r="BM367" s="8" t="e">
        <f t="shared" si="172"/>
        <v>#REF!</v>
      </c>
      <c r="BN367" s="8" t="e">
        <f t="shared" si="172"/>
        <v>#REF!</v>
      </c>
      <c r="BO367" s="8" t="e">
        <f t="shared" si="172"/>
        <v>#REF!</v>
      </c>
      <c r="BP367" s="8" t="e">
        <f t="shared" si="172"/>
        <v>#REF!</v>
      </c>
      <c r="BQ367" s="8" t="e">
        <f t="shared" si="172"/>
        <v>#REF!</v>
      </c>
      <c r="BR367" s="8" t="e">
        <f t="shared" si="172"/>
        <v>#REF!</v>
      </c>
      <c r="BS367" s="8" t="e">
        <f t="shared" si="172"/>
        <v>#REF!</v>
      </c>
      <c r="BT367" s="8" t="e">
        <f t="shared" si="172"/>
        <v>#REF!</v>
      </c>
      <c r="BU367" s="8" t="e">
        <f t="shared" si="172"/>
        <v>#REF!</v>
      </c>
      <c r="BV367" s="8" t="e">
        <f t="shared" ref="BV367:CE374" si="173">AR317*($AI$257/100*$AK$257+$AI$258/100*$AK$258)+AR327*($AI$247/100*$AK$247+$AI$248/100*$AK$248+$AI$250/100*$AK$250+$AI$251/100*$AK$251)</f>
        <v>#REF!</v>
      </c>
      <c r="BW367" s="8" t="e">
        <f t="shared" si="173"/>
        <v>#REF!</v>
      </c>
      <c r="BX367" s="8" t="e">
        <f t="shared" si="173"/>
        <v>#REF!</v>
      </c>
      <c r="BY367" s="8" t="e">
        <f t="shared" si="173"/>
        <v>#REF!</v>
      </c>
      <c r="BZ367" s="8" t="e">
        <f t="shared" si="173"/>
        <v>#REF!</v>
      </c>
      <c r="CA367" s="8" t="e">
        <f t="shared" si="173"/>
        <v>#REF!</v>
      </c>
      <c r="CB367" s="8" t="e">
        <f t="shared" si="173"/>
        <v>#REF!</v>
      </c>
      <c r="CC367" s="8" t="e">
        <f t="shared" si="173"/>
        <v>#REF!</v>
      </c>
      <c r="CD367" s="8" t="e">
        <f t="shared" si="173"/>
        <v>#REF!</v>
      </c>
      <c r="CE367" s="8" t="e">
        <f t="shared" si="173"/>
        <v>#REF!</v>
      </c>
      <c r="CF367" s="8" t="e">
        <f t="shared" ref="CF367:CJ374" si="174">BB317*($AI$257/100*$AK$257+$AI$258/100*$AK$258)+BB327*($AI$247/100*$AK$247+$AI$248/100*$AK$248+$AI$250/100*$AK$250+$AI$251/100*$AK$251)</f>
        <v>#REF!</v>
      </c>
      <c r="CG367" s="8" t="e">
        <f t="shared" si="174"/>
        <v>#REF!</v>
      </c>
      <c r="CH367" s="8" t="e">
        <f t="shared" si="174"/>
        <v>#REF!</v>
      </c>
      <c r="CI367" s="8" t="e">
        <f t="shared" si="174"/>
        <v>#REF!</v>
      </c>
      <c r="CJ367" s="8" t="e">
        <f t="shared" si="174"/>
        <v>#REF!</v>
      </c>
    </row>
    <row r="368" spans="32:88">
      <c r="AF368" s="292"/>
      <c r="AG368" s="136" t="s">
        <v>347</v>
      </c>
      <c r="AH368" s="8" t="e">
        <f t="shared" ref="AH368:BF368" si="175">AH291*$AI$268/100+AH301*$AI$277/100+AH311*$AI$283/100+AH321*($AI$255/100*$AM$255+$AI$256/100*$AM$256+$AI$257/100*$AM$257+$AI$258/100*$AM$258+$AI$259/100*$AM$259+$AI$260/100*$AM$260)+AH331*($AI$247/100*$AM$247+$AI$248/100*$AM$248+$AI$249/100*$AM$249)</f>
        <v>#REF!</v>
      </c>
      <c r="AI368" s="8" t="e">
        <f t="shared" si="175"/>
        <v>#REF!</v>
      </c>
      <c r="AJ368" s="8" t="e">
        <f t="shared" si="175"/>
        <v>#REF!</v>
      </c>
      <c r="AK368" s="8" t="e">
        <f t="shared" si="175"/>
        <v>#REF!</v>
      </c>
      <c r="AL368" s="8" t="e">
        <f t="shared" si="175"/>
        <v>#REF!</v>
      </c>
      <c r="AM368" s="8" t="e">
        <f t="shared" si="175"/>
        <v>#REF!</v>
      </c>
      <c r="AN368" s="8" t="e">
        <f t="shared" si="175"/>
        <v>#REF!</v>
      </c>
      <c r="AO368" s="8" t="e">
        <f t="shared" si="175"/>
        <v>#REF!</v>
      </c>
      <c r="AP368" s="8" t="e">
        <f t="shared" si="175"/>
        <v>#REF!</v>
      </c>
      <c r="AQ368" s="8" t="e">
        <f t="shared" si="175"/>
        <v>#REF!</v>
      </c>
      <c r="AR368" s="8" t="e">
        <f t="shared" si="175"/>
        <v>#REF!</v>
      </c>
      <c r="AS368" s="8" t="e">
        <f t="shared" si="175"/>
        <v>#REF!</v>
      </c>
      <c r="AT368" s="8" t="e">
        <f t="shared" si="175"/>
        <v>#REF!</v>
      </c>
      <c r="AU368" s="8" t="e">
        <f t="shared" si="175"/>
        <v>#REF!</v>
      </c>
      <c r="AV368" s="8" t="e">
        <f t="shared" si="175"/>
        <v>#REF!</v>
      </c>
      <c r="AW368" s="8" t="e">
        <f t="shared" si="175"/>
        <v>#REF!</v>
      </c>
      <c r="AX368" s="8" t="e">
        <f t="shared" si="175"/>
        <v>#REF!</v>
      </c>
      <c r="AY368" s="8" t="e">
        <f t="shared" si="175"/>
        <v>#REF!</v>
      </c>
      <c r="AZ368" s="8" t="e">
        <f t="shared" si="175"/>
        <v>#REF!</v>
      </c>
      <c r="BA368" s="8" t="e">
        <f t="shared" si="175"/>
        <v>#REF!</v>
      </c>
      <c r="BB368" s="8" t="e">
        <f t="shared" si="175"/>
        <v>#REF!</v>
      </c>
      <c r="BC368" s="8" t="e">
        <f t="shared" si="175"/>
        <v>#REF!</v>
      </c>
      <c r="BD368" s="8" t="e">
        <f t="shared" si="175"/>
        <v>#REF!</v>
      </c>
      <c r="BE368" s="8" t="e">
        <f t="shared" si="175"/>
        <v>#REF!</v>
      </c>
      <c r="BF368" s="8" t="e">
        <f t="shared" si="175"/>
        <v>#REF!</v>
      </c>
      <c r="BJ368" s="294"/>
      <c r="BK368" s="136" t="s">
        <v>345</v>
      </c>
      <c r="BL368" s="8" t="e">
        <f t="shared" si="172"/>
        <v>#REF!</v>
      </c>
      <c r="BM368" s="8" t="e">
        <f t="shared" si="172"/>
        <v>#REF!</v>
      </c>
      <c r="BN368" s="8" t="e">
        <f t="shared" si="172"/>
        <v>#REF!</v>
      </c>
      <c r="BO368" s="8" t="e">
        <f t="shared" si="172"/>
        <v>#REF!</v>
      </c>
      <c r="BP368" s="8" t="e">
        <f t="shared" si="172"/>
        <v>#REF!</v>
      </c>
      <c r="BQ368" s="8" t="e">
        <f t="shared" si="172"/>
        <v>#REF!</v>
      </c>
      <c r="BR368" s="8" t="e">
        <f t="shared" si="172"/>
        <v>#REF!</v>
      </c>
      <c r="BS368" s="8" t="e">
        <f t="shared" si="172"/>
        <v>#REF!</v>
      </c>
      <c r="BT368" s="8" t="e">
        <f t="shared" si="172"/>
        <v>#REF!</v>
      </c>
      <c r="BU368" s="8" t="e">
        <f t="shared" si="172"/>
        <v>#REF!</v>
      </c>
      <c r="BV368" s="8" t="e">
        <f t="shared" si="173"/>
        <v>#REF!</v>
      </c>
      <c r="BW368" s="8" t="e">
        <f t="shared" si="173"/>
        <v>#REF!</v>
      </c>
      <c r="BX368" s="8" t="e">
        <f t="shared" si="173"/>
        <v>#REF!</v>
      </c>
      <c r="BY368" s="8" t="e">
        <f t="shared" si="173"/>
        <v>#REF!</v>
      </c>
      <c r="BZ368" s="8" t="e">
        <f t="shared" si="173"/>
        <v>#REF!</v>
      </c>
      <c r="CA368" s="8" t="e">
        <f t="shared" si="173"/>
        <v>#REF!</v>
      </c>
      <c r="CB368" s="8" t="e">
        <f t="shared" si="173"/>
        <v>#REF!</v>
      </c>
      <c r="CC368" s="8" t="e">
        <f t="shared" si="173"/>
        <v>#REF!</v>
      </c>
      <c r="CD368" s="8" t="e">
        <f t="shared" si="173"/>
        <v>#REF!</v>
      </c>
      <c r="CE368" s="8" t="e">
        <f t="shared" si="173"/>
        <v>#REF!</v>
      </c>
      <c r="CF368" s="8" t="e">
        <f t="shared" si="174"/>
        <v>#REF!</v>
      </c>
      <c r="CG368" s="8" t="e">
        <f t="shared" si="174"/>
        <v>#REF!</v>
      </c>
      <c r="CH368" s="8" t="e">
        <f t="shared" si="174"/>
        <v>#REF!</v>
      </c>
      <c r="CI368" s="8" t="e">
        <f t="shared" si="174"/>
        <v>#REF!</v>
      </c>
      <c r="CJ368" s="8" t="e">
        <f t="shared" si="174"/>
        <v>#REF!</v>
      </c>
    </row>
    <row r="369" spans="32:88">
      <c r="AF369" s="292"/>
      <c r="AG369" s="136" t="s">
        <v>348</v>
      </c>
      <c r="AH369" s="8" t="e">
        <f t="shared" ref="AH369:BF369" si="176">AH292*$AI$268/100+AH302*$AI$277/100+AH312*$AI$283/100+AH322*($AI$255/100*$AM$255+$AI$256/100*$AM$256+$AI$257/100*$AM$257+$AI$258/100*$AM$258+$AI$259/100*$AM$259+$AI$260/100*$AM$260)+AH332*($AI$247/100*$AM$247+$AI$248/100*$AM$248+$AI$249/100*$AM$249)</f>
        <v>#REF!</v>
      </c>
      <c r="AI369" s="8" t="e">
        <f t="shared" si="176"/>
        <v>#REF!</v>
      </c>
      <c r="AJ369" s="8" t="e">
        <f t="shared" si="176"/>
        <v>#REF!</v>
      </c>
      <c r="AK369" s="8" t="e">
        <f t="shared" si="176"/>
        <v>#REF!</v>
      </c>
      <c r="AL369" s="8" t="e">
        <f t="shared" si="176"/>
        <v>#REF!</v>
      </c>
      <c r="AM369" s="8" t="e">
        <f t="shared" si="176"/>
        <v>#REF!</v>
      </c>
      <c r="AN369" s="8" t="e">
        <f t="shared" si="176"/>
        <v>#REF!</v>
      </c>
      <c r="AO369" s="8" t="e">
        <f t="shared" si="176"/>
        <v>#REF!</v>
      </c>
      <c r="AP369" s="8" t="e">
        <f t="shared" si="176"/>
        <v>#REF!</v>
      </c>
      <c r="AQ369" s="8" t="e">
        <f t="shared" si="176"/>
        <v>#REF!</v>
      </c>
      <c r="AR369" s="8" t="e">
        <f t="shared" si="176"/>
        <v>#REF!</v>
      </c>
      <c r="AS369" s="8" t="e">
        <f t="shared" si="176"/>
        <v>#REF!</v>
      </c>
      <c r="AT369" s="8" t="e">
        <f t="shared" si="176"/>
        <v>#REF!</v>
      </c>
      <c r="AU369" s="8" t="e">
        <f t="shared" si="176"/>
        <v>#REF!</v>
      </c>
      <c r="AV369" s="8" t="e">
        <f t="shared" si="176"/>
        <v>#REF!</v>
      </c>
      <c r="AW369" s="8" t="e">
        <f t="shared" si="176"/>
        <v>#REF!</v>
      </c>
      <c r="AX369" s="8" t="e">
        <f t="shared" si="176"/>
        <v>#REF!</v>
      </c>
      <c r="AY369" s="8" t="e">
        <f t="shared" si="176"/>
        <v>#REF!</v>
      </c>
      <c r="AZ369" s="8" t="e">
        <f t="shared" si="176"/>
        <v>#REF!</v>
      </c>
      <c r="BA369" s="8" t="e">
        <f t="shared" si="176"/>
        <v>#REF!</v>
      </c>
      <c r="BB369" s="8" t="e">
        <f t="shared" si="176"/>
        <v>#REF!</v>
      </c>
      <c r="BC369" s="8" t="e">
        <f t="shared" si="176"/>
        <v>#REF!</v>
      </c>
      <c r="BD369" s="8" t="e">
        <f t="shared" si="176"/>
        <v>#REF!</v>
      </c>
      <c r="BE369" s="8" t="e">
        <f t="shared" si="176"/>
        <v>#REF!</v>
      </c>
      <c r="BF369" s="8" t="e">
        <f t="shared" si="176"/>
        <v>#REF!</v>
      </c>
      <c r="BJ369" s="294"/>
      <c r="BK369" s="136" t="s">
        <v>346</v>
      </c>
      <c r="BL369" s="8" t="e">
        <f t="shared" si="172"/>
        <v>#REF!</v>
      </c>
      <c r="BM369" s="8" t="e">
        <f t="shared" si="172"/>
        <v>#REF!</v>
      </c>
      <c r="BN369" s="8" t="e">
        <f t="shared" si="172"/>
        <v>#REF!</v>
      </c>
      <c r="BO369" s="8" t="e">
        <f t="shared" si="172"/>
        <v>#REF!</v>
      </c>
      <c r="BP369" s="8" t="e">
        <f t="shared" si="172"/>
        <v>#REF!</v>
      </c>
      <c r="BQ369" s="8" t="e">
        <f t="shared" si="172"/>
        <v>#REF!</v>
      </c>
      <c r="BR369" s="8" t="e">
        <f t="shared" si="172"/>
        <v>#REF!</v>
      </c>
      <c r="BS369" s="8" t="e">
        <f t="shared" si="172"/>
        <v>#REF!</v>
      </c>
      <c r="BT369" s="8" t="e">
        <f t="shared" si="172"/>
        <v>#REF!</v>
      </c>
      <c r="BU369" s="8" t="e">
        <f t="shared" si="172"/>
        <v>#REF!</v>
      </c>
      <c r="BV369" s="8" t="e">
        <f t="shared" si="173"/>
        <v>#REF!</v>
      </c>
      <c r="BW369" s="8" t="e">
        <f t="shared" si="173"/>
        <v>#REF!</v>
      </c>
      <c r="BX369" s="8" t="e">
        <f t="shared" si="173"/>
        <v>#REF!</v>
      </c>
      <c r="BY369" s="8" t="e">
        <f t="shared" si="173"/>
        <v>#REF!</v>
      </c>
      <c r="BZ369" s="8" t="e">
        <f t="shared" si="173"/>
        <v>#REF!</v>
      </c>
      <c r="CA369" s="8" t="e">
        <f t="shared" si="173"/>
        <v>#REF!</v>
      </c>
      <c r="CB369" s="8" t="e">
        <f t="shared" si="173"/>
        <v>#REF!</v>
      </c>
      <c r="CC369" s="8" t="e">
        <f t="shared" si="173"/>
        <v>#REF!</v>
      </c>
      <c r="CD369" s="8" t="e">
        <f t="shared" si="173"/>
        <v>#REF!</v>
      </c>
      <c r="CE369" s="8" t="e">
        <f t="shared" si="173"/>
        <v>#REF!</v>
      </c>
      <c r="CF369" s="8" t="e">
        <f t="shared" si="174"/>
        <v>#REF!</v>
      </c>
      <c r="CG369" s="8" t="e">
        <f t="shared" si="174"/>
        <v>#REF!</v>
      </c>
      <c r="CH369" s="8" t="e">
        <f t="shared" si="174"/>
        <v>#REF!</v>
      </c>
      <c r="CI369" s="8" t="e">
        <f t="shared" si="174"/>
        <v>#REF!</v>
      </c>
      <c r="CJ369" s="8" t="e">
        <f t="shared" si="174"/>
        <v>#REF!</v>
      </c>
    </row>
    <row r="370" spans="32:88">
      <c r="AF370" s="292"/>
      <c r="AG370" s="136" t="s">
        <v>349</v>
      </c>
      <c r="AH370" s="8" t="e">
        <f t="shared" ref="AH370:BF370" si="177">AH293*$AI$268/100+AH303*$AI$277/100+AH313*$AI$283/100+AH323*($AI$255/100*$AM$255+$AI$256/100*$AM$256+$AI$257/100*$AM$257+$AI$258/100*$AM$258+$AI$259/100*$AM$259+$AI$260/100*$AM$260)+AH333*($AI$247/100*$AM$247+$AI$248/100*$AM$248+$AI$249/100*$AM$249)</f>
        <v>#REF!</v>
      </c>
      <c r="AI370" s="8" t="e">
        <f t="shared" si="177"/>
        <v>#REF!</v>
      </c>
      <c r="AJ370" s="8" t="e">
        <f t="shared" si="177"/>
        <v>#REF!</v>
      </c>
      <c r="AK370" s="8" t="e">
        <f t="shared" si="177"/>
        <v>#REF!</v>
      </c>
      <c r="AL370" s="8" t="e">
        <f t="shared" si="177"/>
        <v>#REF!</v>
      </c>
      <c r="AM370" s="8" t="e">
        <f t="shared" si="177"/>
        <v>#REF!</v>
      </c>
      <c r="AN370" s="8" t="e">
        <f t="shared" si="177"/>
        <v>#REF!</v>
      </c>
      <c r="AO370" s="8" t="e">
        <f t="shared" si="177"/>
        <v>#REF!</v>
      </c>
      <c r="AP370" s="8" t="e">
        <f t="shared" si="177"/>
        <v>#REF!</v>
      </c>
      <c r="AQ370" s="8" t="e">
        <f t="shared" si="177"/>
        <v>#REF!</v>
      </c>
      <c r="AR370" s="8" t="e">
        <f t="shared" si="177"/>
        <v>#REF!</v>
      </c>
      <c r="AS370" s="8" t="e">
        <f t="shared" si="177"/>
        <v>#REF!</v>
      </c>
      <c r="AT370" s="8" t="e">
        <f t="shared" si="177"/>
        <v>#REF!</v>
      </c>
      <c r="AU370" s="8" t="e">
        <f t="shared" si="177"/>
        <v>#REF!</v>
      </c>
      <c r="AV370" s="8" t="e">
        <f t="shared" si="177"/>
        <v>#REF!</v>
      </c>
      <c r="AW370" s="8" t="e">
        <f t="shared" si="177"/>
        <v>#REF!</v>
      </c>
      <c r="AX370" s="8" t="e">
        <f t="shared" si="177"/>
        <v>#REF!</v>
      </c>
      <c r="AY370" s="8" t="e">
        <f t="shared" si="177"/>
        <v>#REF!</v>
      </c>
      <c r="AZ370" s="8" t="e">
        <f t="shared" si="177"/>
        <v>#REF!</v>
      </c>
      <c r="BA370" s="8" t="e">
        <f t="shared" si="177"/>
        <v>#REF!</v>
      </c>
      <c r="BB370" s="8" t="e">
        <f t="shared" si="177"/>
        <v>#REF!</v>
      </c>
      <c r="BC370" s="8" t="e">
        <f t="shared" si="177"/>
        <v>#REF!</v>
      </c>
      <c r="BD370" s="8" t="e">
        <f t="shared" si="177"/>
        <v>#REF!</v>
      </c>
      <c r="BE370" s="8" t="e">
        <f t="shared" si="177"/>
        <v>#REF!</v>
      </c>
      <c r="BF370" s="8" t="e">
        <f t="shared" si="177"/>
        <v>#REF!</v>
      </c>
      <c r="BJ370" s="294"/>
      <c r="BK370" s="136" t="s">
        <v>278</v>
      </c>
      <c r="BL370" s="8">
        <f t="shared" si="172"/>
        <v>0</v>
      </c>
      <c r="BM370" s="8">
        <f t="shared" si="172"/>
        <v>-3.0824096611776391E-10</v>
      </c>
      <c r="BN370" s="8">
        <f t="shared" si="172"/>
        <v>3456439.6414859928</v>
      </c>
      <c r="BO370" s="8">
        <f t="shared" si="172"/>
        <v>9403683.20197968</v>
      </c>
      <c r="BP370" s="8">
        <f t="shared" si="172"/>
        <v>10766043.178654294</v>
      </c>
      <c r="BQ370" s="8">
        <f t="shared" si="172"/>
        <v>11961698.13120468</v>
      </c>
      <c r="BR370" s="8">
        <f t="shared" si="172"/>
        <v>11540736.952700874</v>
      </c>
      <c r="BS370" s="8">
        <f t="shared" si="172"/>
        <v>11570136.158890471</v>
      </c>
      <c r="BT370" s="8">
        <f t="shared" si="172"/>
        <v>6297128.549290075</v>
      </c>
      <c r="BU370" s="8">
        <f t="shared" si="172"/>
        <v>5692808.1786760623</v>
      </c>
      <c r="BV370" s="8">
        <f t="shared" si="173"/>
        <v>5469948.5706266779</v>
      </c>
      <c r="BW370" s="8">
        <f t="shared" si="173"/>
        <v>5214744.1298360899</v>
      </c>
      <c r="BX370" s="8">
        <f t="shared" si="173"/>
        <v>5025102.4833898181</v>
      </c>
      <c r="BY370" s="8">
        <f t="shared" si="173"/>
        <v>3608797.9650365626</v>
      </c>
      <c r="BZ370" s="8">
        <f t="shared" si="173"/>
        <v>2756550.0297283279</v>
      </c>
      <c r="CA370" s="8">
        <f t="shared" si="173"/>
        <v>1856948.2251492902</v>
      </c>
      <c r="CB370" s="8">
        <f t="shared" si="173"/>
        <v>1794163.1197873456</v>
      </c>
      <c r="CC370" s="8">
        <f t="shared" si="173"/>
        <v>1759425.5264481525</v>
      </c>
      <c r="CD370" s="8">
        <f t="shared" si="173"/>
        <v>1744098.829790815</v>
      </c>
      <c r="CE370" s="8">
        <f t="shared" si="173"/>
        <v>1700830.6360696303</v>
      </c>
      <c r="CF370" s="8">
        <f t="shared" si="174"/>
        <v>1635436.9163988754</v>
      </c>
      <c r="CG370" s="8">
        <f t="shared" si="174"/>
        <v>1603609.6723971504</v>
      </c>
      <c r="CH370" s="8">
        <f t="shared" si="174"/>
        <v>1564324.3340979936</v>
      </c>
      <c r="CI370" s="8">
        <f t="shared" si="174"/>
        <v>1524781.0558009585</v>
      </c>
      <c r="CJ370" s="8">
        <f t="shared" si="174"/>
        <v>1469948.6725287698</v>
      </c>
    </row>
    <row r="371" spans="32:88">
      <c r="AF371" s="292"/>
      <c r="AG371" s="136" t="s">
        <v>246</v>
      </c>
      <c r="AH371" s="8">
        <f t="shared" ref="AH371:BF371" si="178">AH294*$AI$268/100+AH304*$AI$277/100+AH314*$AI$283/100+AH324*($AI$255/100*$AM$255+$AI$256/100*$AM$256+$AI$257/100*$AM$257+$AI$258/100*$AM$258+$AI$259/100*$AM$259+$AI$260/100*$AM$260)+AH334*($AI$247/100*$AM$247+$AI$248/100*$AM$248+$AI$249/100*$AM$249)</f>
        <v>0</v>
      </c>
      <c r="AI371" s="8">
        <f t="shared" si="178"/>
        <v>-7.5714757094841943E-12</v>
      </c>
      <c r="AJ371" s="8">
        <f t="shared" si="178"/>
        <v>162778.87634932518</v>
      </c>
      <c r="AK371" s="8">
        <f t="shared" si="178"/>
        <v>441197.23109195288</v>
      </c>
      <c r="AL371" s="8">
        <f t="shared" si="178"/>
        <v>553291.51493162778</v>
      </c>
      <c r="AM371" s="8">
        <f t="shared" si="178"/>
        <v>922442.50620525982</v>
      </c>
      <c r="AN371" s="8">
        <f t="shared" si="178"/>
        <v>1062779.7075269739</v>
      </c>
      <c r="AO371" s="8">
        <f t="shared" si="178"/>
        <v>1141661.0896038623</v>
      </c>
      <c r="AP371" s="8">
        <f t="shared" si="178"/>
        <v>605017.11380844412</v>
      </c>
      <c r="AQ371" s="8">
        <f t="shared" si="178"/>
        <v>570622.15559442702</v>
      </c>
      <c r="AR371" s="8">
        <f t="shared" si="178"/>
        <v>556829.82509672444</v>
      </c>
      <c r="AS371" s="8">
        <f t="shared" si="178"/>
        <v>539020.68727369735</v>
      </c>
      <c r="AT371" s="8">
        <f t="shared" si="178"/>
        <v>525402.35243142291</v>
      </c>
      <c r="AU371" s="8">
        <f t="shared" si="178"/>
        <v>423820.07604362635</v>
      </c>
      <c r="AV371" s="8">
        <f t="shared" si="178"/>
        <v>358581.31796129921</v>
      </c>
      <c r="AW371" s="8">
        <f t="shared" si="178"/>
        <v>289394.81160124706</v>
      </c>
      <c r="AX371" s="8">
        <f t="shared" si="178"/>
        <v>278095.13032733509</v>
      </c>
      <c r="AY371" s="8">
        <f t="shared" si="178"/>
        <v>274936.47430016834</v>
      </c>
      <c r="AZ371" s="8">
        <f t="shared" si="178"/>
        <v>273418.07284265111</v>
      </c>
      <c r="BA371" s="8">
        <f t="shared" si="178"/>
        <v>266727.05116593745</v>
      </c>
      <c r="BB371" s="8">
        <f t="shared" si="178"/>
        <v>256362.33910305862</v>
      </c>
      <c r="BC371" s="8">
        <f t="shared" si="178"/>
        <v>254204.5613494713</v>
      </c>
      <c r="BD371" s="8">
        <f t="shared" si="178"/>
        <v>251066.30407308839</v>
      </c>
      <c r="BE371" s="8">
        <f t="shared" si="178"/>
        <v>248007.6836823695</v>
      </c>
      <c r="BF371" s="8">
        <f t="shared" si="178"/>
        <v>242494.61830057952</v>
      </c>
      <c r="BJ371" s="294"/>
      <c r="BK371" s="136" t="s">
        <v>347</v>
      </c>
      <c r="BL371" s="8" t="e">
        <f t="shared" si="172"/>
        <v>#REF!</v>
      </c>
      <c r="BM371" s="8" t="e">
        <f t="shared" si="172"/>
        <v>#REF!</v>
      </c>
      <c r="BN371" s="8" t="e">
        <f t="shared" si="172"/>
        <v>#REF!</v>
      </c>
      <c r="BO371" s="8" t="e">
        <f t="shared" si="172"/>
        <v>#REF!</v>
      </c>
      <c r="BP371" s="8" t="e">
        <f t="shared" si="172"/>
        <v>#REF!</v>
      </c>
      <c r="BQ371" s="8" t="e">
        <f t="shared" si="172"/>
        <v>#REF!</v>
      </c>
      <c r="BR371" s="8" t="e">
        <f t="shared" si="172"/>
        <v>#REF!</v>
      </c>
      <c r="BS371" s="8" t="e">
        <f t="shared" si="172"/>
        <v>#REF!</v>
      </c>
      <c r="BT371" s="8" t="e">
        <f t="shared" si="172"/>
        <v>#REF!</v>
      </c>
      <c r="BU371" s="8" t="e">
        <f t="shared" si="172"/>
        <v>#REF!</v>
      </c>
      <c r="BV371" s="8" t="e">
        <f t="shared" si="173"/>
        <v>#REF!</v>
      </c>
      <c r="BW371" s="8" t="e">
        <f t="shared" si="173"/>
        <v>#REF!</v>
      </c>
      <c r="BX371" s="8" t="e">
        <f t="shared" si="173"/>
        <v>#REF!</v>
      </c>
      <c r="BY371" s="8" t="e">
        <f t="shared" si="173"/>
        <v>#REF!</v>
      </c>
      <c r="BZ371" s="8" t="e">
        <f t="shared" si="173"/>
        <v>#REF!</v>
      </c>
      <c r="CA371" s="8" t="e">
        <f t="shared" si="173"/>
        <v>#REF!</v>
      </c>
      <c r="CB371" s="8" t="e">
        <f t="shared" si="173"/>
        <v>#REF!</v>
      </c>
      <c r="CC371" s="8" t="e">
        <f t="shared" si="173"/>
        <v>#REF!</v>
      </c>
      <c r="CD371" s="8" t="e">
        <f t="shared" si="173"/>
        <v>#REF!</v>
      </c>
      <c r="CE371" s="8" t="e">
        <f t="shared" si="173"/>
        <v>#REF!</v>
      </c>
      <c r="CF371" s="8" t="e">
        <f t="shared" si="174"/>
        <v>#REF!</v>
      </c>
      <c r="CG371" s="8" t="e">
        <f t="shared" si="174"/>
        <v>#REF!</v>
      </c>
      <c r="CH371" s="8" t="e">
        <f t="shared" si="174"/>
        <v>#REF!</v>
      </c>
      <c r="CI371" s="8" t="e">
        <f t="shared" si="174"/>
        <v>#REF!</v>
      </c>
      <c r="CJ371" s="8" t="e">
        <f t="shared" si="174"/>
        <v>#REF!</v>
      </c>
    </row>
    <row r="372" spans="32:88" ht="19.5" customHeight="1">
      <c r="AF372" s="154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J372" s="294"/>
      <c r="BK372" s="136" t="s">
        <v>348</v>
      </c>
      <c r="BL372" s="8" t="e">
        <f t="shared" si="172"/>
        <v>#REF!</v>
      </c>
      <c r="BM372" s="8" t="e">
        <f t="shared" si="172"/>
        <v>#REF!</v>
      </c>
      <c r="BN372" s="8" t="e">
        <f t="shared" si="172"/>
        <v>#REF!</v>
      </c>
      <c r="BO372" s="8" t="e">
        <f t="shared" si="172"/>
        <v>#REF!</v>
      </c>
      <c r="BP372" s="8" t="e">
        <f t="shared" si="172"/>
        <v>#REF!</v>
      </c>
      <c r="BQ372" s="8" t="e">
        <f t="shared" si="172"/>
        <v>#REF!</v>
      </c>
      <c r="BR372" s="8" t="e">
        <f t="shared" si="172"/>
        <v>#REF!</v>
      </c>
      <c r="BS372" s="8" t="e">
        <f t="shared" si="172"/>
        <v>#REF!</v>
      </c>
      <c r="BT372" s="8" t="e">
        <f t="shared" si="172"/>
        <v>#REF!</v>
      </c>
      <c r="BU372" s="8" t="e">
        <f t="shared" si="172"/>
        <v>#REF!</v>
      </c>
      <c r="BV372" s="8" t="e">
        <f t="shared" si="173"/>
        <v>#REF!</v>
      </c>
      <c r="BW372" s="8" t="e">
        <f t="shared" si="173"/>
        <v>#REF!</v>
      </c>
      <c r="BX372" s="8" t="e">
        <f t="shared" si="173"/>
        <v>#REF!</v>
      </c>
      <c r="BY372" s="8" t="e">
        <f t="shared" si="173"/>
        <v>#REF!</v>
      </c>
      <c r="BZ372" s="8" t="e">
        <f t="shared" si="173"/>
        <v>#REF!</v>
      </c>
      <c r="CA372" s="8" t="e">
        <f t="shared" si="173"/>
        <v>#REF!</v>
      </c>
      <c r="CB372" s="8" t="e">
        <f t="shared" si="173"/>
        <v>#REF!</v>
      </c>
      <c r="CC372" s="8" t="e">
        <f t="shared" si="173"/>
        <v>#REF!</v>
      </c>
      <c r="CD372" s="8" t="e">
        <f t="shared" si="173"/>
        <v>#REF!</v>
      </c>
      <c r="CE372" s="8" t="e">
        <f t="shared" si="173"/>
        <v>#REF!</v>
      </c>
      <c r="CF372" s="8" t="e">
        <f t="shared" si="174"/>
        <v>#REF!</v>
      </c>
      <c r="CG372" s="8" t="e">
        <f t="shared" si="174"/>
        <v>#REF!</v>
      </c>
      <c r="CH372" s="8" t="e">
        <f t="shared" si="174"/>
        <v>#REF!</v>
      </c>
      <c r="CI372" s="8" t="e">
        <f t="shared" si="174"/>
        <v>#REF!</v>
      </c>
      <c r="CJ372" s="8" t="e">
        <f t="shared" si="174"/>
        <v>#REF!</v>
      </c>
    </row>
    <row r="373" spans="32:88" ht="30">
      <c r="AF373" s="292" t="s">
        <v>363</v>
      </c>
      <c r="AG373" s="136" t="s">
        <v>343</v>
      </c>
      <c r="AH373" s="8" t="e">
        <f t="shared" ref="AH373:BF373" si="179">AH287*$AI$267/100+AH297*$AI$276/100+AH307*$AI$284/100+AH317*$AI$260/100*$AN$260+AH327*($AI$247/100*$AN$247+$AI$248/100*$AN$248+$AI$250/100*$AN$250+$AI$251/100*$AN$251+$AI$252/100*$AN$252)</f>
        <v>#REF!</v>
      </c>
      <c r="AI373" s="8" t="e">
        <f t="shared" si="179"/>
        <v>#REF!</v>
      </c>
      <c r="AJ373" s="8" t="e">
        <f t="shared" si="179"/>
        <v>#REF!</v>
      </c>
      <c r="AK373" s="8" t="e">
        <f t="shared" si="179"/>
        <v>#REF!</v>
      </c>
      <c r="AL373" s="8" t="e">
        <f t="shared" si="179"/>
        <v>#REF!</v>
      </c>
      <c r="AM373" s="8" t="e">
        <f t="shared" si="179"/>
        <v>#REF!</v>
      </c>
      <c r="AN373" s="8" t="e">
        <f t="shared" si="179"/>
        <v>#REF!</v>
      </c>
      <c r="AO373" s="8" t="e">
        <f t="shared" si="179"/>
        <v>#REF!</v>
      </c>
      <c r="AP373" s="8" t="e">
        <f t="shared" si="179"/>
        <v>#REF!</v>
      </c>
      <c r="AQ373" s="8" t="e">
        <f t="shared" si="179"/>
        <v>#REF!</v>
      </c>
      <c r="AR373" s="8" t="e">
        <f t="shared" si="179"/>
        <v>#REF!</v>
      </c>
      <c r="AS373" s="8" t="e">
        <f t="shared" si="179"/>
        <v>#REF!</v>
      </c>
      <c r="AT373" s="8" t="e">
        <f t="shared" si="179"/>
        <v>#REF!</v>
      </c>
      <c r="AU373" s="8" t="e">
        <f t="shared" si="179"/>
        <v>#REF!</v>
      </c>
      <c r="AV373" s="8" t="e">
        <f t="shared" si="179"/>
        <v>#REF!</v>
      </c>
      <c r="AW373" s="8" t="e">
        <f t="shared" si="179"/>
        <v>#REF!</v>
      </c>
      <c r="AX373" s="8" t="e">
        <f t="shared" si="179"/>
        <v>#REF!</v>
      </c>
      <c r="AY373" s="8" t="e">
        <f t="shared" si="179"/>
        <v>#REF!</v>
      </c>
      <c r="AZ373" s="8" t="e">
        <f t="shared" si="179"/>
        <v>#REF!</v>
      </c>
      <c r="BA373" s="8" t="e">
        <f t="shared" si="179"/>
        <v>#REF!</v>
      </c>
      <c r="BB373" s="8" t="e">
        <f t="shared" si="179"/>
        <v>#REF!</v>
      </c>
      <c r="BC373" s="8" t="e">
        <f t="shared" si="179"/>
        <v>#REF!</v>
      </c>
      <c r="BD373" s="8" t="e">
        <f t="shared" si="179"/>
        <v>#REF!</v>
      </c>
      <c r="BE373" s="8" t="e">
        <f t="shared" si="179"/>
        <v>#REF!</v>
      </c>
      <c r="BF373" s="8" t="e">
        <f t="shared" si="179"/>
        <v>#REF!</v>
      </c>
      <c r="BJ373" s="294"/>
      <c r="BK373" s="136" t="s">
        <v>349</v>
      </c>
      <c r="BL373" s="8" t="e">
        <f t="shared" si="172"/>
        <v>#REF!</v>
      </c>
      <c r="BM373" s="8" t="e">
        <f t="shared" si="172"/>
        <v>#REF!</v>
      </c>
      <c r="BN373" s="8" t="e">
        <f t="shared" si="172"/>
        <v>#REF!</v>
      </c>
      <c r="BO373" s="8" t="e">
        <f t="shared" si="172"/>
        <v>#REF!</v>
      </c>
      <c r="BP373" s="8" t="e">
        <f t="shared" si="172"/>
        <v>#REF!</v>
      </c>
      <c r="BQ373" s="8" t="e">
        <f t="shared" si="172"/>
        <v>#REF!</v>
      </c>
      <c r="BR373" s="8" t="e">
        <f t="shared" si="172"/>
        <v>#REF!</v>
      </c>
      <c r="BS373" s="8" t="e">
        <f t="shared" si="172"/>
        <v>#REF!</v>
      </c>
      <c r="BT373" s="8" t="e">
        <f t="shared" si="172"/>
        <v>#REF!</v>
      </c>
      <c r="BU373" s="8" t="e">
        <f t="shared" si="172"/>
        <v>#REF!</v>
      </c>
      <c r="BV373" s="8" t="e">
        <f t="shared" si="173"/>
        <v>#REF!</v>
      </c>
      <c r="BW373" s="8" t="e">
        <f t="shared" si="173"/>
        <v>#REF!</v>
      </c>
      <c r="BX373" s="8" t="e">
        <f t="shared" si="173"/>
        <v>#REF!</v>
      </c>
      <c r="BY373" s="8" t="e">
        <f t="shared" si="173"/>
        <v>#REF!</v>
      </c>
      <c r="BZ373" s="8" t="e">
        <f t="shared" si="173"/>
        <v>#REF!</v>
      </c>
      <c r="CA373" s="8" t="e">
        <f t="shared" si="173"/>
        <v>#REF!</v>
      </c>
      <c r="CB373" s="8" t="e">
        <f t="shared" si="173"/>
        <v>#REF!</v>
      </c>
      <c r="CC373" s="8" t="e">
        <f t="shared" si="173"/>
        <v>#REF!</v>
      </c>
      <c r="CD373" s="8" t="e">
        <f t="shared" si="173"/>
        <v>#REF!</v>
      </c>
      <c r="CE373" s="8" t="e">
        <f t="shared" si="173"/>
        <v>#REF!</v>
      </c>
      <c r="CF373" s="8" t="e">
        <f t="shared" si="174"/>
        <v>#REF!</v>
      </c>
      <c r="CG373" s="8" t="e">
        <f t="shared" si="174"/>
        <v>#REF!</v>
      </c>
      <c r="CH373" s="8" t="e">
        <f t="shared" si="174"/>
        <v>#REF!</v>
      </c>
      <c r="CI373" s="8" t="e">
        <f t="shared" si="174"/>
        <v>#REF!</v>
      </c>
      <c r="CJ373" s="8" t="e">
        <f t="shared" si="174"/>
        <v>#REF!</v>
      </c>
    </row>
    <row r="374" spans="32:88">
      <c r="AF374" s="292"/>
      <c r="AG374" s="136" t="s">
        <v>345</v>
      </c>
      <c r="AH374" s="8" t="e">
        <f t="shared" ref="AH374:BF374" si="180">AH288*$AI$267/100+AH298*$AI$276/100+AH308*$AI$284/100+AH318*$AI$260/100*$AN$260+AH328*($AI$247/100*$AN$247+$AI$248/100*$AN$248+$AI$250/100*$AN$250+$AI$251/100*$AN$251+$AI$252/100*$AN$252)</f>
        <v>#REF!</v>
      </c>
      <c r="AI374" s="8" t="e">
        <f t="shared" si="180"/>
        <v>#REF!</v>
      </c>
      <c r="AJ374" s="8" t="e">
        <f t="shared" si="180"/>
        <v>#REF!</v>
      </c>
      <c r="AK374" s="8" t="e">
        <f t="shared" si="180"/>
        <v>#REF!</v>
      </c>
      <c r="AL374" s="8" t="e">
        <f t="shared" si="180"/>
        <v>#REF!</v>
      </c>
      <c r="AM374" s="8" t="e">
        <f t="shared" si="180"/>
        <v>#REF!</v>
      </c>
      <c r="AN374" s="8" t="e">
        <f t="shared" si="180"/>
        <v>#REF!</v>
      </c>
      <c r="AO374" s="8" t="e">
        <f t="shared" si="180"/>
        <v>#REF!</v>
      </c>
      <c r="AP374" s="8" t="e">
        <f t="shared" si="180"/>
        <v>#REF!</v>
      </c>
      <c r="AQ374" s="8" t="e">
        <f t="shared" si="180"/>
        <v>#REF!</v>
      </c>
      <c r="AR374" s="8" t="e">
        <f t="shared" si="180"/>
        <v>#REF!</v>
      </c>
      <c r="AS374" s="8" t="e">
        <f t="shared" si="180"/>
        <v>#REF!</v>
      </c>
      <c r="AT374" s="8" t="e">
        <f t="shared" si="180"/>
        <v>#REF!</v>
      </c>
      <c r="AU374" s="8" t="e">
        <f t="shared" si="180"/>
        <v>#REF!</v>
      </c>
      <c r="AV374" s="8" t="e">
        <f t="shared" si="180"/>
        <v>#REF!</v>
      </c>
      <c r="AW374" s="8" t="e">
        <f t="shared" si="180"/>
        <v>#REF!</v>
      </c>
      <c r="AX374" s="8" t="e">
        <f t="shared" si="180"/>
        <v>#REF!</v>
      </c>
      <c r="AY374" s="8" t="e">
        <f t="shared" si="180"/>
        <v>#REF!</v>
      </c>
      <c r="AZ374" s="8" t="e">
        <f t="shared" si="180"/>
        <v>#REF!</v>
      </c>
      <c r="BA374" s="8" t="e">
        <f t="shared" si="180"/>
        <v>#REF!</v>
      </c>
      <c r="BB374" s="8" t="e">
        <f t="shared" si="180"/>
        <v>#REF!</v>
      </c>
      <c r="BC374" s="8" t="e">
        <f t="shared" si="180"/>
        <v>#REF!</v>
      </c>
      <c r="BD374" s="8" t="e">
        <f t="shared" si="180"/>
        <v>#REF!</v>
      </c>
      <c r="BE374" s="8" t="e">
        <f t="shared" si="180"/>
        <v>#REF!</v>
      </c>
      <c r="BF374" s="8" t="e">
        <f t="shared" si="180"/>
        <v>#REF!</v>
      </c>
      <c r="BJ374" s="294"/>
      <c r="BK374" s="136" t="s">
        <v>246</v>
      </c>
      <c r="BL374" s="8">
        <f t="shared" si="172"/>
        <v>0</v>
      </c>
      <c r="BM374" s="8">
        <f t="shared" si="172"/>
        <v>-6.730200630652618E-12</v>
      </c>
      <c r="BN374" s="8">
        <f t="shared" si="172"/>
        <v>74282.548942637266</v>
      </c>
      <c r="BO374" s="8">
        <f t="shared" si="172"/>
        <v>198753.3686386284</v>
      </c>
      <c r="BP374" s="8">
        <f t="shared" si="172"/>
        <v>224527.0968544239</v>
      </c>
      <c r="BQ374" s="8">
        <f t="shared" si="172"/>
        <v>246664.48795272637</v>
      </c>
      <c r="BR374" s="8">
        <f t="shared" si="172"/>
        <v>235092.76241797343</v>
      </c>
      <c r="BS374" s="8">
        <f t="shared" si="172"/>
        <v>233358.46288964082</v>
      </c>
      <c r="BT374" s="8">
        <f t="shared" si="172"/>
        <v>92369.041220394152</v>
      </c>
      <c r="BU374" s="8">
        <f t="shared" si="172"/>
        <v>82810.764398044048</v>
      </c>
      <c r="BV374" s="8">
        <f t="shared" si="173"/>
        <v>79356.233230437705</v>
      </c>
      <c r="BW374" s="8">
        <f t="shared" si="173"/>
        <v>75448.67409286015</v>
      </c>
      <c r="BX374" s="8">
        <f t="shared" si="173"/>
        <v>72535.760677976898</v>
      </c>
      <c r="BY374" s="8">
        <f t="shared" si="173"/>
        <v>51545.820817187443</v>
      </c>
      <c r="BZ374" s="8">
        <f t="shared" si="173"/>
        <v>38939.427900242365</v>
      </c>
      <c r="CA374" s="8">
        <f t="shared" si="173"/>
        <v>25625.885507060208</v>
      </c>
      <c r="CB374" s="8">
        <f t="shared" si="173"/>
        <v>24759.451053065364</v>
      </c>
      <c r="CC374" s="8">
        <f t="shared" si="173"/>
        <v>24280.072264984501</v>
      </c>
      <c r="CD374" s="8">
        <f t="shared" si="173"/>
        <v>24068.563851113249</v>
      </c>
      <c r="CE374" s="8">
        <f t="shared" si="173"/>
        <v>23471.462777760898</v>
      </c>
      <c r="CF374" s="8">
        <f t="shared" si="174"/>
        <v>22569.029446304477</v>
      </c>
      <c r="CG374" s="8">
        <f t="shared" si="174"/>
        <v>22129.81347908068</v>
      </c>
      <c r="CH374" s="8">
        <f t="shared" si="174"/>
        <v>21587.675810552319</v>
      </c>
      <c r="CI374" s="8">
        <f t="shared" si="174"/>
        <v>21041.978570053223</v>
      </c>
      <c r="CJ374" s="8">
        <f t="shared" si="174"/>
        <v>20285.291680897022</v>
      </c>
    </row>
    <row r="375" spans="32:88">
      <c r="AF375" s="292"/>
      <c r="AG375" s="136" t="s">
        <v>346</v>
      </c>
      <c r="AH375" s="8" t="e">
        <f t="shared" ref="AH375:BF375" si="181">AH289*$AI$267/100+AH299*$AI$276/100+AH309*$AI$284/100+AH319*$AI$260/100*$AN$260+AH329*($AI$247/100*$AN$247+$AI$248/100*$AN$248+$AI$250/100*$AN$250+$AI$251/100*$AN$251+$AI$252/100*$AN$252)</f>
        <v>#REF!</v>
      </c>
      <c r="AI375" s="8" t="e">
        <f t="shared" si="181"/>
        <v>#REF!</v>
      </c>
      <c r="AJ375" s="8" t="e">
        <f t="shared" si="181"/>
        <v>#REF!</v>
      </c>
      <c r="AK375" s="8" t="e">
        <f t="shared" si="181"/>
        <v>#REF!</v>
      </c>
      <c r="AL375" s="8" t="e">
        <f t="shared" si="181"/>
        <v>#REF!</v>
      </c>
      <c r="AM375" s="8" t="e">
        <f t="shared" si="181"/>
        <v>#REF!</v>
      </c>
      <c r="AN375" s="8" t="e">
        <f t="shared" si="181"/>
        <v>#REF!</v>
      </c>
      <c r="AO375" s="8" t="e">
        <f t="shared" si="181"/>
        <v>#REF!</v>
      </c>
      <c r="AP375" s="8" t="e">
        <f t="shared" si="181"/>
        <v>#REF!</v>
      </c>
      <c r="AQ375" s="8" t="e">
        <f t="shared" si="181"/>
        <v>#REF!</v>
      </c>
      <c r="AR375" s="8" t="e">
        <f t="shared" si="181"/>
        <v>#REF!</v>
      </c>
      <c r="AS375" s="8" t="e">
        <f t="shared" si="181"/>
        <v>#REF!</v>
      </c>
      <c r="AT375" s="8" t="e">
        <f t="shared" si="181"/>
        <v>#REF!</v>
      </c>
      <c r="AU375" s="8" t="e">
        <f t="shared" si="181"/>
        <v>#REF!</v>
      </c>
      <c r="AV375" s="8" t="e">
        <f t="shared" si="181"/>
        <v>#REF!</v>
      </c>
      <c r="AW375" s="8" t="e">
        <f t="shared" si="181"/>
        <v>#REF!</v>
      </c>
      <c r="AX375" s="8" t="e">
        <f t="shared" si="181"/>
        <v>#REF!</v>
      </c>
      <c r="AY375" s="8" t="e">
        <f t="shared" si="181"/>
        <v>#REF!</v>
      </c>
      <c r="AZ375" s="8" t="e">
        <f t="shared" si="181"/>
        <v>#REF!</v>
      </c>
      <c r="BA375" s="8" t="e">
        <f t="shared" si="181"/>
        <v>#REF!</v>
      </c>
      <c r="BB375" s="8" t="e">
        <f t="shared" si="181"/>
        <v>#REF!</v>
      </c>
      <c r="BC375" s="8" t="e">
        <f t="shared" si="181"/>
        <v>#REF!</v>
      </c>
      <c r="BD375" s="8" t="e">
        <f t="shared" si="181"/>
        <v>#REF!</v>
      </c>
      <c r="BE375" s="8" t="e">
        <f t="shared" si="181"/>
        <v>#REF!</v>
      </c>
      <c r="BF375" s="8" t="e">
        <f t="shared" si="181"/>
        <v>#REF!</v>
      </c>
      <c r="BJ375" s="155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</row>
    <row r="376" spans="32:88">
      <c r="AF376" s="292"/>
      <c r="AG376" s="136" t="s">
        <v>278</v>
      </c>
      <c r="AH376" s="8">
        <f t="shared" ref="AH376:BF376" si="182">AH290*$AI$267/100+AH300*$AI$276/100+AH310*$AI$284/100+AH320*$AI$260/100*$AN$260+AH330*($AI$247/100*$AN$247+$AI$248/100*$AN$248+$AI$250/100*$AN$250+$AI$251/100*$AN$251+$AI$252/100*$AN$252)</f>
        <v>0</v>
      </c>
      <c r="AI376" s="8">
        <f t="shared" si="182"/>
        <v>-2.0228313401478258E-9</v>
      </c>
      <c r="AJ376" s="8">
        <f t="shared" si="182"/>
        <v>25093080.011451371</v>
      </c>
      <c r="AK376" s="8">
        <f t="shared" si="182"/>
        <v>66553041.916436918</v>
      </c>
      <c r="AL376" s="8">
        <f t="shared" si="182"/>
        <v>74090738.739624918</v>
      </c>
      <c r="AM376" s="8">
        <f t="shared" si="182"/>
        <v>69839912.268347204</v>
      </c>
      <c r="AN376" s="8">
        <f t="shared" si="182"/>
        <v>60091588.834792949</v>
      </c>
      <c r="AO376" s="8">
        <f t="shared" si="182"/>
        <v>56872416.970349953</v>
      </c>
      <c r="AP376" s="8">
        <f t="shared" si="182"/>
        <v>31018897.545532014</v>
      </c>
      <c r="AQ376" s="8">
        <f t="shared" si="182"/>
        <v>27431866.428988505</v>
      </c>
      <c r="AR376" s="8">
        <f t="shared" si="182"/>
        <v>25817784.061631154</v>
      </c>
      <c r="AS376" s="8">
        <f t="shared" si="182"/>
        <v>24236657.810816795</v>
      </c>
      <c r="AT376" s="8">
        <f t="shared" si="182"/>
        <v>22923129.40541197</v>
      </c>
      <c r="AU376" s="8">
        <f t="shared" si="182"/>
        <v>16696040.305063155</v>
      </c>
      <c r="AV376" s="8">
        <f t="shared" si="182"/>
        <v>12983357.201711882</v>
      </c>
      <c r="AW376" s="8">
        <f t="shared" si="182"/>
        <v>9070810.1973238029</v>
      </c>
      <c r="AX376" s="8">
        <f t="shared" si="182"/>
        <v>8663575.9896076433</v>
      </c>
      <c r="AY376" s="8">
        <f t="shared" si="182"/>
        <v>8641258.3562705144</v>
      </c>
      <c r="AZ376" s="8">
        <f t="shared" si="182"/>
        <v>8686603.4553204887</v>
      </c>
      <c r="BA376" s="8">
        <f t="shared" si="182"/>
        <v>8476623.0983078517</v>
      </c>
      <c r="BB376" s="8">
        <f t="shared" si="182"/>
        <v>8083969.7582260733</v>
      </c>
      <c r="BC376" s="8">
        <f t="shared" si="182"/>
        <v>7953539.3247702746</v>
      </c>
      <c r="BD376" s="8">
        <f t="shared" si="182"/>
        <v>7766385.9048086898</v>
      </c>
      <c r="BE376" s="8">
        <f t="shared" si="182"/>
        <v>7578650.3668575669</v>
      </c>
      <c r="BF376" s="8">
        <f t="shared" si="182"/>
        <v>7269835.0489831259</v>
      </c>
      <c r="BJ376" s="294" t="s">
        <v>406</v>
      </c>
      <c r="BK376" t="s">
        <v>401</v>
      </c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</row>
    <row r="377" spans="32:88">
      <c r="AF377" s="292"/>
      <c r="AG377" s="136" t="s">
        <v>347</v>
      </c>
      <c r="AH377" s="8" t="e">
        <f t="shared" ref="AH377:BF377" si="183">AH291*$AI$267/100+AH301*$AI$276/100+AH311*$AI$284/100+AH321*$AI$260/100*$AN$260+AH331*($AI$247/100*$AN$247+$AI$248/100*$AN$248+$AI$250/100*$AN$250+$AI$251/100*$AN$251+$AI$252/100*$AN$252)</f>
        <v>#REF!</v>
      </c>
      <c r="AI377" s="8" t="e">
        <f t="shared" si="183"/>
        <v>#REF!</v>
      </c>
      <c r="AJ377" s="8" t="e">
        <f t="shared" si="183"/>
        <v>#REF!</v>
      </c>
      <c r="AK377" s="8" t="e">
        <f t="shared" si="183"/>
        <v>#REF!</v>
      </c>
      <c r="AL377" s="8" t="e">
        <f t="shared" si="183"/>
        <v>#REF!</v>
      </c>
      <c r="AM377" s="8" t="e">
        <f t="shared" si="183"/>
        <v>#REF!</v>
      </c>
      <c r="AN377" s="8" t="e">
        <f t="shared" si="183"/>
        <v>#REF!</v>
      </c>
      <c r="AO377" s="8" t="e">
        <f t="shared" si="183"/>
        <v>#REF!</v>
      </c>
      <c r="AP377" s="8" t="e">
        <f t="shared" si="183"/>
        <v>#REF!</v>
      </c>
      <c r="AQ377" s="8" t="e">
        <f t="shared" si="183"/>
        <v>#REF!</v>
      </c>
      <c r="AR377" s="8" t="e">
        <f t="shared" si="183"/>
        <v>#REF!</v>
      </c>
      <c r="AS377" s="8" t="e">
        <f t="shared" si="183"/>
        <v>#REF!</v>
      </c>
      <c r="AT377" s="8" t="e">
        <f t="shared" si="183"/>
        <v>#REF!</v>
      </c>
      <c r="AU377" s="8" t="e">
        <f t="shared" si="183"/>
        <v>#REF!</v>
      </c>
      <c r="AV377" s="8" t="e">
        <f t="shared" si="183"/>
        <v>#REF!</v>
      </c>
      <c r="AW377" s="8" t="e">
        <f t="shared" si="183"/>
        <v>#REF!</v>
      </c>
      <c r="AX377" s="8" t="e">
        <f t="shared" si="183"/>
        <v>#REF!</v>
      </c>
      <c r="AY377" s="8" t="e">
        <f t="shared" si="183"/>
        <v>#REF!</v>
      </c>
      <c r="AZ377" s="8" t="e">
        <f t="shared" si="183"/>
        <v>#REF!</v>
      </c>
      <c r="BA377" s="8" t="e">
        <f t="shared" si="183"/>
        <v>#REF!</v>
      </c>
      <c r="BB377" s="8" t="e">
        <f t="shared" si="183"/>
        <v>#REF!</v>
      </c>
      <c r="BC377" s="8" t="e">
        <f t="shared" si="183"/>
        <v>#REF!</v>
      </c>
      <c r="BD377" s="8" t="e">
        <f t="shared" si="183"/>
        <v>#REF!</v>
      </c>
      <c r="BE377" s="8" t="e">
        <f t="shared" si="183"/>
        <v>#REF!</v>
      </c>
      <c r="BF377" s="8" t="e">
        <f t="shared" si="183"/>
        <v>#REF!</v>
      </c>
      <c r="BJ377" s="294"/>
      <c r="BK377" s="136" t="s">
        <v>343</v>
      </c>
      <c r="BL377" s="8" t="e">
        <f t="shared" ref="BL377:BU384" si="184">AH287*$AI$264/100+AH297*$AI$273/100+AH307*$AI$282/100</f>
        <v>#REF!</v>
      </c>
      <c r="BM377" s="8" t="e">
        <f t="shared" si="184"/>
        <v>#REF!</v>
      </c>
      <c r="BN377" s="8" t="e">
        <f t="shared" si="184"/>
        <v>#REF!</v>
      </c>
      <c r="BO377" s="8" t="e">
        <f t="shared" si="184"/>
        <v>#REF!</v>
      </c>
      <c r="BP377" s="8" t="e">
        <f t="shared" si="184"/>
        <v>#REF!</v>
      </c>
      <c r="BQ377" s="8" t="e">
        <f t="shared" si="184"/>
        <v>#REF!</v>
      </c>
      <c r="BR377" s="8" t="e">
        <f t="shared" si="184"/>
        <v>#REF!</v>
      </c>
      <c r="BS377" s="8" t="e">
        <f t="shared" si="184"/>
        <v>#REF!</v>
      </c>
      <c r="BT377" s="8" t="e">
        <f t="shared" si="184"/>
        <v>#REF!</v>
      </c>
      <c r="BU377" s="8" t="e">
        <f t="shared" si="184"/>
        <v>#REF!</v>
      </c>
      <c r="BV377" s="8" t="e">
        <f t="shared" ref="BV377:CE384" si="185">AR287*$AI$264/100+AR297*$AI$273/100+AR307*$AI$282/100</f>
        <v>#REF!</v>
      </c>
      <c r="BW377" s="8" t="e">
        <f t="shared" si="185"/>
        <v>#REF!</v>
      </c>
      <c r="BX377" s="8" t="e">
        <f t="shared" si="185"/>
        <v>#REF!</v>
      </c>
      <c r="BY377" s="8" t="e">
        <f t="shared" si="185"/>
        <v>#REF!</v>
      </c>
      <c r="BZ377" s="8" t="e">
        <f t="shared" si="185"/>
        <v>#REF!</v>
      </c>
      <c r="CA377" s="8" t="e">
        <f t="shared" si="185"/>
        <v>#REF!</v>
      </c>
      <c r="CB377" s="8" t="e">
        <f t="shared" si="185"/>
        <v>#REF!</v>
      </c>
      <c r="CC377" s="8" t="e">
        <f t="shared" si="185"/>
        <v>#REF!</v>
      </c>
      <c r="CD377" s="8" t="e">
        <f t="shared" si="185"/>
        <v>#REF!</v>
      </c>
      <c r="CE377" s="8" t="e">
        <f t="shared" si="185"/>
        <v>#REF!</v>
      </c>
      <c r="CF377" s="8" t="e">
        <f t="shared" ref="CF377:CJ384" si="186">BB287*$AI$264/100+BB297*$AI$273/100+BB307*$AI$282/100</f>
        <v>#REF!</v>
      </c>
      <c r="CG377" s="8" t="e">
        <f t="shared" si="186"/>
        <v>#REF!</v>
      </c>
      <c r="CH377" s="8" t="e">
        <f t="shared" si="186"/>
        <v>#REF!</v>
      </c>
      <c r="CI377" s="8" t="e">
        <f t="shared" si="186"/>
        <v>#REF!</v>
      </c>
      <c r="CJ377" s="8" t="e">
        <f t="shared" si="186"/>
        <v>#REF!</v>
      </c>
    </row>
    <row r="378" spans="32:88">
      <c r="AF378" s="292"/>
      <c r="AG378" s="136" t="s">
        <v>348</v>
      </c>
      <c r="AH378" s="8" t="e">
        <f t="shared" ref="AH378:BF378" si="187">AH292*$AI$267/100+AH302*$AI$276/100+AH312*$AI$284/100+AH322*$AI$260/100*$AN$260+AH332*($AI$247/100*$AN$247+$AI$248/100*$AN$248+$AI$250/100*$AN$250+$AI$251/100*$AN$251+$AI$252/100*$AN$252)</f>
        <v>#REF!</v>
      </c>
      <c r="AI378" s="8" t="e">
        <f t="shared" si="187"/>
        <v>#REF!</v>
      </c>
      <c r="AJ378" s="8" t="e">
        <f t="shared" si="187"/>
        <v>#REF!</v>
      </c>
      <c r="AK378" s="8" t="e">
        <f t="shared" si="187"/>
        <v>#REF!</v>
      </c>
      <c r="AL378" s="8" t="e">
        <f t="shared" si="187"/>
        <v>#REF!</v>
      </c>
      <c r="AM378" s="8" t="e">
        <f t="shared" si="187"/>
        <v>#REF!</v>
      </c>
      <c r="AN378" s="8" t="e">
        <f t="shared" si="187"/>
        <v>#REF!</v>
      </c>
      <c r="AO378" s="8" t="e">
        <f t="shared" si="187"/>
        <v>#REF!</v>
      </c>
      <c r="AP378" s="8" t="e">
        <f t="shared" si="187"/>
        <v>#REF!</v>
      </c>
      <c r="AQ378" s="8" t="e">
        <f t="shared" si="187"/>
        <v>#REF!</v>
      </c>
      <c r="AR378" s="8" t="e">
        <f t="shared" si="187"/>
        <v>#REF!</v>
      </c>
      <c r="AS378" s="8" t="e">
        <f t="shared" si="187"/>
        <v>#REF!</v>
      </c>
      <c r="AT378" s="8" t="e">
        <f t="shared" si="187"/>
        <v>#REF!</v>
      </c>
      <c r="AU378" s="8" t="e">
        <f t="shared" si="187"/>
        <v>#REF!</v>
      </c>
      <c r="AV378" s="8" t="e">
        <f t="shared" si="187"/>
        <v>#REF!</v>
      </c>
      <c r="AW378" s="8" t="e">
        <f t="shared" si="187"/>
        <v>#REF!</v>
      </c>
      <c r="AX378" s="8" t="e">
        <f t="shared" si="187"/>
        <v>#REF!</v>
      </c>
      <c r="AY378" s="8" t="e">
        <f t="shared" si="187"/>
        <v>#REF!</v>
      </c>
      <c r="AZ378" s="8" t="e">
        <f t="shared" si="187"/>
        <v>#REF!</v>
      </c>
      <c r="BA378" s="8" t="e">
        <f t="shared" si="187"/>
        <v>#REF!</v>
      </c>
      <c r="BB378" s="8" t="e">
        <f t="shared" si="187"/>
        <v>#REF!</v>
      </c>
      <c r="BC378" s="8" t="e">
        <f t="shared" si="187"/>
        <v>#REF!</v>
      </c>
      <c r="BD378" s="8" t="e">
        <f t="shared" si="187"/>
        <v>#REF!</v>
      </c>
      <c r="BE378" s="8" t="e">
        <f t="shared" si="187"/>
        <v>#REF!</v>
      </c>
      <c r="BF378" s="8" t="e">
        <f t="shared" si="187"/>
        <v>#REF!</v>
      </c>
      <c r="BJ378" s="294"/>
      <c r="BK378" s="136" t="s">
        <v>345</v>
      </c>
      <c r="BL378" s="8" t="e">
        <f t="shared" si="184"/>
        <v>#REF!</v>
      </c>
      <c r="BM378" s="8" t="e">
        <f t="shared" si="184"/>
        <v>#REF!</v>
      </c>
      <c r="BN378" s="8" t="e">
        <f t="shared" si="184"/>
        <v>#REF!</v>
      </c>
      <c r="BO378" s="8" t="e">
        <f t="shared" si="184"/>
        <v>#REF!</v>
      </c>
      <c r="BP378" s="8" t="e">
        <f t="shared" si="184"/>
        <v>#REF!</v>
      </c>
      <c r="BQ378" s="8" t="e">
        <f t="shared" si="184"/>
        <v>#REF!</v>
      </c>
      <c r="BR378" s="8" t="e">
        <f t="shared" si="184"/>
        <v>#REF!</v>
      </c>
      <c r="BS378" s="8" t="e">
        <f t="shared" si="184"/>
        <v>#REF!</v>
      </c>
      <c r="BT378" s="8" t="e">
        <f t="shared" si="184"/>
        <v>#REF!</v>
      </c>
      <c r="BU378" s="8" t="e">
        <f t="shared" si="184"/>
        <v>#REF!</v>
      </c>
      <c r="BV378" s="8" t="e">
        <f t="shared" si="185"/>
        <v>#REF!</v>
      </c>
      <c r="BW378" s="8" t="e">
        <f t="shared" si="185"/>
        <v>#REF!</v>
      </c>
      <c r="BX378" s="8" t="e">
        <f t="shared" si="185"/>
        <v>#REF!</v>
      </c>
      <c r="BY378" s="8" t="e">
        <f t="shared" si="185"/>
        <v>#REF!</v>
      </c>
      <c r="BZ378" s="8" t="e">
        <f t="shared" si="185"/>
        <v>#REF!</v>
      </c>
      <c r="CA378" s="8" t="e">
        <f t="shared" si="185"/>
        <v>#REF!</v>
      </c>
      <c r="CB378" s="8" t="e">
        <f t="shared" si="185"/>
        <v>#REF!</v>
      </c>
      <c r="CC378" s="8" t="e">
        <f t="shared" si="185"/>
        <v>#REF!</v>
      </c>
      <c r="CD378" s="8" t="e">
        <f t="shared" si="185"/>
        <v>#REF!</v>
      </c>
      <c r="CE378" s="8" t="e">
        <f t="shared" si="185"/>
        <v>#REF!</v>
      </c>
      <c r="CF378" s="8" t="e">
        <f t="shared" si="186"/>
        <v>#REF!</v>
      </c>
      <c r="CG378" s="8" t="e">
        <f t="shared" si="186"/>
        <v>#REF!</v>
      </c>
      <c r="CH378" s="8" t="e">
        <f t="shared" si="186"/>
        <v>#REF!</v>
      </c>
      <c r="CI378" s="8" t="e">
        <f t="shared" si="186"/>
        <v>#REF!</v>
      </c>
      <c r="CJ378" s="8" t="e">
        <f t="shared" si="186"/>
        <v>#REF!</v>
      </c>
    </row>
    <row r="379" spans="32:88">
      <c r="AF379" s="292"/>
      <c r="AG379" s="136" t="s">
        <v>349</v>
      </c>
      <c r="AH379" s="8" t="e">
        <f t="shared" ref="AH379:BF379" si="188">AH293*$AI$267/100+AH303*$AI$276/100+AH313*$AI$284/100+AH323*$AI$260/100*$AN$260+AH333*($AI$247/100*$AN$247+$AI$248/100*$AN$248+$AI$250/100*$AN$250+$AI$251/100*$AN$251+$AI$252/100*$AN$252)</f>
        <v>#REF!</v>
      </c>
      <c r="AI379" s="8" t="e">
        <f t="shared" si="188"/>
        <v>#REF!</v>
      </c>
      <c r="AJ379" s="8" t="e">
        <f t="shared" si="188"/>
        <v>#REF!</v>
      </c>
      <c r="AK379" s="8" t="e">
        <f t="shared" si="188"/>
        <v>#REF!</v>
      </c>
      <c r="AL379" s="8" t="e">
        <f t="shared" si="188"/>
        <v>#REF!</v>
      </c>
      <c r="AM379" s="8" t="e">
        <f t="shared" si="188"/>
        <v>#REF!</v>
      </c>
      <c r="AN379" s="8" t="e">
        <f t="shared" si="188"/>
        <v>#REF!</v>
      </c>
      <c r="AO379" s="8" t="e">
        <f t="shared" si="188"/>
        <v>#REF!</v>
      </c>
      <c r="AP379" s="8" t="e">
        <f t="shared" si="188"/>
        <v>#REF!</v>
      </c>
      <c r="AQ379" s="8" t="e">
        <f t="shared" si="188"/>
        <v>#REF!</v>
      </c>
      <c r="AR379" s="8" t="e">
        <f t="shared" si="188"/>
        <v>#REF!</v>
      </c>
      <c r="AS379" s="8" t="e">
        <f t="shared" si="188"/>
        <v>#REF!</v>
      </c>
      <c r="AT379" s="8" t="e">
        <f t="shared" si="188"/>
        <v>#REF!</v>
      </c>
      <c r="AU379" s="8" t="e">
        <f t="shared" si="188"/>
        <v>#REF!</v>
      </c>
      <c r="AV379" s="8" t="e">
        <f t="shared" si="188"/>
        <v>#REF!</v>
      </c>
      <c r="AW379" s="8" t="e">
        <f t="shared" si="188"/>
        <v>#REF!</v>
      </c>
      <c r="AX379" s="8" t="e">
        <f t="shared" si="188"/>
        <v>#REF!</v>
      </c>
      <c r="AY379" s="8" t="e">
        <f t="shared" si="188"/>
        <v>#REF!</v>
      </c>
      <c r="AZ379" s="8" t="e">
        <f t="shared" si="188"/>
        <v>#REF!</v>
      </c>
      <c r="BA379" s="8" t="e">
        <f t="shared" si="188"/>
        <v>#REF!</v>
      </c>
      <c r="BB379" s="8" t="e">
        <f t="shared" si="188"/>
        <v>#REF!</v>
      </c>
      <c r="BC379" s="8" t="e">
        <f t="shared" si="188"/>
        <v>#REF!</v>
      </c>
      <c r="BD379" s="8" t="e">
        <f t="shared" si="188"/>
        <v>#REF!</v>
      </c>
      <c r="BE379" s="8" t="e">
        <f t="shared" si="188"/>
        <v>#REF!</v>
      </c>
      <c r="BF379" s="8" t="e">
        <f t="shared" si="188"/>
        <v>#REF!</v>
      </c>
      <c r="BJ379" s="294"/>
      <c r="BK379" s="136" t="s">
        <v>346</v>
      </c>
      <c r="BL379" s="8" t="e">
        <f t="shared" si="184"/>
        <v>#REF!</v>
      </c>
      <c r="BM379" s="8" t="e">
        <f t="shared" si="184"/>
        <v>#REF!</v>
      </c>
      <c r="BN379" s="8" t="e">
        <f t="shared" si="184"/>
        <v>#REF!</v>
      </c>
      <c r="BO379" s="8" t="e">
        <f t="shared" si="184"/>
        <v>#REF!</v>
      </c>
      <c r="BP379" s="8" t="e">
        <f t="shared" si="184"/>
        <v>#REF!</v>
      </c>
      <c r="BQ379" s="8" t="e">
        <f t="shared" si="184"/>
        <v>#REF!</v>
      </c>
      <c r="BR379" s="8" t="e">
        <f t="shared" si="184"/>
        <v>#REF!</v>
      </c>
      <c r="BS379" s="8" t="e">
        <f t="shared" si="184"/>
        <v>#REF!</v>
      </c>
      <c r="BT379" s="8" t="e">
        <f t="shared" si="184"/>
        <v>#REF!</v>
      </c>
      <c r="BU379" s="8" t="e">
        <f t="shared" si="184"/>
        <v>#REF!</v>
      </c>
      <c r="BV379" s="8" t="e">
        <f t="shared" si="185"/>
        <v>#REF!</v>
      </c>
      <c r="BW379" s="8" t="e">
        <f t="shared" si="185"/>
        <v>#REF!</v>
      </c>
      <c r="BX379" s="8" t="e">
        <f t="shared" si="185"/>
        <v>#REF!</v>
      </c>
      <c r="BY379" s="8" t="e">
        <f t="shared" si="185"/>
        <v>#REF!</v>
      </c>
      <c r="BZ379" s="8" t="e">
        <f t="shared" si="185"/>
        <v>#REF!</v>
      </c>
      <c r="CA379" s="8" t="e">
        <f t="shared" si="185"/>
        <v>#REF!</v>
      </c>
      <c r="CB379" s="8" t="e">
        <f t="shared" si="185"/>
        <v>#REF!</v>
      </c>
      <c r="CC379" s="8" t="e">
        <f t="shared" si="185"/>
        <v>#REF!</v>
      </c>
      <c r="CD379" s="8" t="e">
        <f t="shared" si="185"/>
        <v>#REF!</v>
      </c>
      <c r="CE379" s="8" t="e">
        <f t="shared" si="185"/>
        <v>#REF!</v>
      </c>
      <c r="CF379" s="8" t="e">
        <f t="shared" si="186"/>
        <v>#REF!</v>
      </c>
      <c r="CG379" s="8" t="e">
        <f t="shared" si="186"/>
        <v>#REF!</v>
      </c>
      <c r="CH379" s="8" t="e">
        <f t="shared" si="186"/>
        <v>#REF!</v>
      </c>
      <c r="CI379" s="8" t="e">
        <f t="shared" si="186"/>
        <v>#REF!</v>
      </c>
      <c r="CJ379" s="8" t="e">
        <f t="shared" si="186"/>
        <v>#REF!</v>
      </c>
    </row>
    <row r="380" spans="32:88">
      <c r="AF380" s="292"/>
      <c r="AG380" s="136" t="s">
        <v>246</v>
      </c>
      <c r="AH380" s="8">
        <f t="shared" ref="AH380:BF380" si="189">AH294*$AI$267/100+AH304*$AI$276/100+AH314*$AI$284/100+AH324*$AI$260/100*$AN$260+AH334*($AI$247/100*$AN$247+$AI$248/100*$AN$248+$AI$250/100*$AN$250+$AI$251/100*$AN$251+$AI$252/100*$AN$252)</f>
        <v>0</v>
      </c>
      <c r="AI380" s="8">
        <f t="shared" si="189"/>
        <v>-4.4166941638657807E-11</v>
      </c>
      <c r="AJ380" s="8">
        <f t="shared" si="189"/>
        <v>566690.23622491525</v>
      </c>
      <c r="AK380" s="8">
        <f t="shared" si="189"/>
        <v>1521918.6730644947</v>
      </c>
      <c r="AL380" s="8">
        <f t="shared" si="189"/>
        <v>1692722.4879346672</v>
      </c>
      <c r="AM380" s="8">
        <f t="shared" si="189"/>
        <v>1595787.6873549339</v>
      </c>
      <c r="AN380" s="8">
        <f t="shared" si="189"/>
        <v>1372652.4788232211</v>
      </c>
      <c r="AO380" s="8">
        <f t="shared" si="189"/>
        <v>1297596.5093400003</v>
      </c>
      <c r="AP380" s="8">
        <f t="shared" si="189"/>
        <v>619280.60990194324</v>
      </c>
      <c r="AQ380" s="8">
        <f t="shared" si="189"/>
        <v>560161.11040040769</v>
      </c>
      <c r="AR380" s="8">
        <f t="shared" si="189"/>
        <v>532002.1779442979</v>
      </c>
      <c r="AS380" s="8">
        <f t="shared" si="189"/>
        <v>504676.25300984865</v>
      </c>
      <c r="AT380" s="8">
        <f t="shared" si="189"/>
        <v>480207.62241410813</v>
      </c>
      <c r="AU380" s="8">
        <f t="shared" si="189"/>
        <v>383193.35649036156</v>
      </c>
      <c r="AV380" s="8">
        <f t="shared" si="189"/>
        <v>321409.14875241613</v>
      </c>
      <c r="AW380" s="8">
        <f t="shared" si="189"/>
        <v>257657.46817000257</v>
      </c>
      <c r="AX380" s="8">
        <f t="shared" si="189"/>
        <v>246062.09529741429</v>
      </c>
      <c r="AY380" s="8">
        <f t="shared" si="189"/>
        <v>248257.59646890443</v>
      </c>
      <c r="AZ380" s="8">
        <f t="shared" si="189"/>
        <v>250787.49816218595</v>
      </c>
      <c r="BA380" s="8">
        <f t="shared" si="189"/>
        <v>244921.26793544512</v>
      </c>
      <c r="BB380" s="8">
        <f t="shared" si="189"/>
        <v>233278.28124543681</v>
      </c>
      <c r="BC380" s="8">
        <f t="shared" si="189"/>
        <v>232010.60745137886</v>
      </c>
      <c r="BD380" s="8">
        <f t="shared" si="189"/>
        <v>229115.46906695759</v>
      </c>
      <c r="BE380" s="8">
        <f t="shared" si="189"/>
        <v>226201.68650147982</v>
      </c>
      <c r="BF380" s="8">
        <f t="shared" si="189"/>
        <v>219597.84977349138</v>
      </c>
      <c r="BJ380" s="294"/>
      <c r="BK380" s="136" t="s">
        <v>278</v>
      </c>
      <c r="BL380" s="8">
        <f t="shared" si="184"/>
        <v>0</v>
      </c>
      <c r="BM380" s="8">
        <f t="shared" si="184"/>
        <v>0</v>
      </c>
      <c r="BN380" s="8">
        <f t="shared" si="184"/>
        <v>1606796.5761330291</v>
      </c>
      <c r="BO380" s="8">
        <f t="shared" si="184"/>
        <v>3227580.602296846</v>
      </c>
      <c r="BP380" s="8">
        <f t="shared" si="184"/>
        <v>3340485.7950136457</v>
      </c>
      <c r="BQ380" s="8">
        <f t="shared" si="184"/>
        <v>2912017.9841787545</v>
      </c>
      <c r="BR380" s="8">
        <f t="shared" si="184"/>
        <v>2303792.097041179</v>
      </c>
      <c r="BS380" s="8">
        <f t="shared" si="184"/>
        <v>2063367.6364209079</v>
      </c>
      <c r="BT380" s="8">
        <f t="shared" si="184"/>
        <v>1848512.1126827069</v>
      </c>
      <c r="BU380" s="8">
        <f t="shared" si="184"/>
        <v>1651880.5257772813</v>
      </c>
      <c r="BV380" s="8">
        <f t="shared" si="185"/>
        <v>1483090.9979595796</v>
      </c>
      <c r="BW380" s="8">
        <f t="shared" si="185"/>
        <v>1344395.6062223625</v>
      </c>
      <c r="BX380" s="8">
        <f t="shared" si="185"/>
        <v>1219929.6797221201</v>
      </c>
      <c r="BY380" s="8">
        <f t="shared" si="185"/>
        <v>1103431.3634025797</v>
      </c>
      <c r="BZ380" s="8">
        <f t="shared" si="185"/>
        <v>1050812.8983507664</v>
      </c>
      <c r="CA380" s="8">
        <f t="shared" si="185"/>
        <v>964708.15508431545</v>
      </c>
      <c r="CB380" s="8">
        <f t="shared" si="185"/>
        <v>891140.91322474217</v>
      </c>
      <c r="CC380" s="8">
        <f t="shared" si="185"/>
        <v>881520.42814242165</v>
      </c>
      <c r="CD380" s="8">
        <f t="shared" si="185"/>
        <v>884427.34688736987</v>
      </c>
      <c r="CE380" s="8">
        <f t="shared" si="185"/>
        <v>861298.73838460981</v>
      </c>
      <c r="CF380" s="8">
        <f t="shared" si="186"/>
        <v>821818.12409551581</v>
      </c>
      <c r="CG380" s="8">
        <f t="shared" si="186"/>
        <v>810964.63942439132</v>
      </c>
      <c r="CH380" s="8">
        <f t="shared" si="186"/>
        <v>796324.56035047956</v>
      </c>
      <c r="CI380" s="8">
        <f t="shared" si="186"/>
        <v>783702.76966100628</v>
      </c>
      <c r="CJ380" s="8">
        <f t="shared" si="186"/>
        <v>758779.39017181052</v>
      </c>
    </row>
    <row r="381" spans="32:88">
      <c r="AF381" s="154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J381" s="294"/>
      <c r="BK381" s="136" t="s">
        <v>347</v>
      </c>
      <c r="BL381" s="8" t="e">
        <f t="shared" si="184"/>
        <v>#REF!</v>
      </c>
      <c r="BM381" s="8" t="e">
        <f t="shared" si="184"/>
        <v>#REF!</v>
      </c>
      <c r="BN381" s="8" t="e">
        <f t="shared" si="184"/>
        <v>#REF!</v>
      </c>
      <c r="BO381" s="8" t="e">
        <f t="shared" si="184"/>
        <v>#REF!</v>
      </c>
      <c r="BP381" s="8" t="e">
        <f t="shared" si="184"/>
        <v>#REF!</v>
      </c>
      <c r="BQ381" s="8" t="e">
        <f t="shared" si="184"/>
        <v>#REF!</v>
      </c>
      <c r="BR381" s="8" t="e">
        <f t="shared" si="184"/>
        <v>#REF!</v>
      </c>
      <c r="BS381" s="8" t="e">
        <f t="shared" si="184"/>
        <v>#REF!</v>
      </c>
      <c r="BT381" s="8" t="e">
        <f t="shared" si="184"/>
        <v>#REF!</v>
      </c>
      <c r="BU381" s="8" t="e">
        <f t="shared" si="184"/>
        <v>#REF!</v>
      </c>
      <c r="BV381" s="8" t="e">
        <f t="shared" si="185"/>
        <v>#REF!</v>
      </c>
      <c r="BW381" s="8" t="e">
        <f t="shared" si="185"/>
        <v>#REF!</v>
      </c>
      <c r="BX381" s="8" t="e">
        <f t="shared" si="185"/>
        <v>#REF!</v>
      </c>
      <c r="BY381" s="8" t="e">
        <f t="shared" si="185"/>
        <v>#REF!</v>
      </c>
      <c r="BZ381" s="8" t="e">
        <f t="shared" si="185"/>
        <v>#REF!</v>
      </c>
      <c r="CA381" s="8" t="e">
        <f t="shared" si="185"/>
        <v>#REF!</v>
      </c>
      <c r="CB381" s="8" t="e">
        <f t="shared" si="185"/>
        <v>#REF!</v>
      </c>
      <c r="CC381" s="8" t="e">
        <f t="shared" si="185"/>
        <v>#REF!</v>
      </c>
      <c r="CD381" s="8" t="e">
        <f t="shared" si="185"/>
        <v>#REF!</v>
      </c>
      <c r="CE381" s="8" t="e">
        <f t="shared" si="185"/>
        <v>#REF!</v>
      </c>
      <c r="CF381" s="8" t="e">
        <f t="shared" si="186"/>
        <v>#REF!</v>
      </c>
      <c r="CG381" s="8" t="e">
        <f t="shared" si="186"/>
        <v>#REF!</v>
      </c>
      <c r="CH381" s="8" t="e">
        <f t="shared" si="186"/>
        <v>#REF!</v>
      </c>
      <c r="CI381" s="8" t="e">
        <f t="shared" si="186"/>
        <v>#REF!</v>
      </c>
      <c r="CJ381" s="8" t="e">
        <f t="shared" si="186"/>
        <v>#REF!</v>
      </c>
    </row>
    <row r="382" spans="32:88" ht="30">
      <c r="AF382" s="292" t="s">
        <v>366</v>
      </c>
      <c r="AG382" s="136" t="s">
        <v>343</v>
      </c>
      <c r="AH382" s="8" t="e">
        <f t="shared" ref="AH382:BF382" si="190">AH287*$AI$265/100+AH297*$AI$274/100+AH317*($AI$257/100*$AQ$257+$AI$258/100*$AQ$258)</f>
        <v>#REF!</v>
      </c>
      <c r="AI382" s="8" t="e">
        <f t="shared" si="190"/>
        <v>#REF!</v>
      </c>
      <c r="AJ382" s="8" t="e">
        <f t="shared" si="190"/>
        <v>#REF!</v>
      </c>
      <c r="AK382" s="8" t="e">
        <f t="shared" si="190"/>
        <v>#REF!</v>
      </c>
      <c r="AL382" s="8" t="e">
        <f t="shared" si="190"/>
        <v>#REF!</v>
      </c>
      <c r="AM382" s="8" t="e">
        <f t="shared" si="190"/>
        <v>#REF!</v>
      </c>
      <c r="AN382" s="8" t="e">
        <f t="shared" si="190"/>
        <v>#REF!</v>
      </c>
      <c r="AO382" s="8" t="e">
        <f t="shared" si="190"/>
        <v>#REF!</v>
      </c>
      <c r="AP382" s="8" t="e">
        <f t="shared" si="190"/>
        <v>#REF!</v>
      </c>
      <c r="AQ382" s="8" t="e">
        <f t="shared" si="190"/>
        <v>#REF!</v>
      </c>
      <c r="AR382" s="8" t="e">
        <f t="shared" si="190"/>
        <v>#REF!</v>
      </c>
      <c r="AS382" s="8" t="e">
        <f t="shared" si="190"/>
        <v>#REF!</v>
      </c>
      <c r="AT382" s="8" t="e">
        <f t="shared" si="190"/>
        <v>#REF!</v>
      </c>
      <c r="AU382" s="8" t="e">
        <f t="shared" si="190"/>
        <v>#REF!</v>
      </c>
      <c r="AV382" s="8" t="e">
        <f t="shared" si="190"/>
        <v>#REF!</v>
      </c>
      <c r="AW382" s="8" t="e">
        <f t="shared" si="190"/>
        <v>#REF!</v>
      </c>
      <c r="AX382" s="8" t="e">
        <f t="shared" si="190"/>
        <v>#REF!</v>
      </c>
      <c r="AY382" s="8" t="e">
        <f t="shared" si="190"/>
        <v>#REF!</v>
      </c>
      <c r="AZ382" s="8" t="e">
        <f t="shared" si="190"/>
        <v>#REF!</v>
      </c>
      <c r="BA382" s="8" t="e">
        <f t="shared" si="190"/>
        <v>#REF!</v>
      </c>
      <c r="BB382" s="8" t="e">
        <f t="shared" si="190"/>
        <v>#REF!</v>
      </c>
      <c r="BC382" s="8" t="e">
        <f t="shared" si="190"/>
        <v>#REF!</v>
      </c>
      <c r="BD382" s="8" t="e">
        <f t="shared" si="190"/>
        <v>#REF!</v>
      </c>
      <c r="BE382" s="8" t="e">
        <f t="shared" si="190"/>
        <v>#REF!</v>
      </c>
      <c r="BF382" s="8" t="e">
        <f t="shared" si="190"/>
        <v>#REF!</v>
      </c>
      <c r="BJ382" s="294"/>
      <c r="BK382" s="136" t="s">
        <v>348</v>
      </c>
      <c r="BL382" s="8" t="e">
        <f t="shared" si="184"/>
        <v>#REF!</v>
      </c>
      <c r="BM382" s="8" t="e">
        <f t="shared" si="184"/>
        <v>#REF!</v>
      </c>
      <c r="BN382" s="8" t="e">
        <f t="shared" si="184"/>
        <v>#REF!</v>
      </c>
      <c r="BO382" s="8" t="e">
        <f t="shared" si="184"/>
        <v>#REF!</v>
      </c>
      <c r="BP382" s="8" t="e">
        <f t="shared" si="184"/>
        <v>#REF!</v>
      </c>
      <c r="BQ382" s="8" t="e">
        <f t="shared" si="184"/>
        <v>#REF!</v>
      </c>
      <c r="BR382" s="8" t="e">
        <f t="shared" si="184"/>
        <v>#REF!</v>
      </c>
      <c r="BS382" s="8" t="e">
        <f t="shared" si="184"/>
        <v>#REF!</v>
      </c>
      <c r="BT382" s="8" t="e">
        <f t="shared" si="184"/>
        <v>#REF!</v>
      </c>
      <c r="BU382" s="8" t="e">
        <f t="shared" si="184"/>
        <v>#REF!</v>
      </c>
      <c r="BV382" s="8" t="e">
        <f t="shared" si="185"/>
        <v>#REF!</v>
      </c>
      <c r="BW382" s="8" t="e">
        <f t="shared" si="185"/>
        <v>#REF!</v>
      </c>
      <c r="BX382" s="8" t="e">
        <f t="shared" si="185"/>
        <v>#REF!</v>
      </c>
      <c r="BY382" s="8" t="e">
        <f t="shared" si="185"/>
        <v>#REF!</v>
      </c>
      <c r="BZ382" s="8" t="e">
        <f t="shared" si="185"/>
        <v>#REF!</v>
      </c>
      <c r="CA382" s="8" t="e">
        <f t="shared" si="185"/>
        <v>#REF!</v>
      </c>
      <c r="CB382" s="8" t="e">
        <f t="shared" si="185"/>
        <v>#REF!</v>
      </c>
      <c r="CC382" s="8" t="e">
        <f t="shared" si="185"/>
        <v>#REF!</v>
      </c>
      <c r="CD382" s="8" t="e">
        <f t="shared" si="185"/>
        <v>#REF!</v>
      </c>
      <c r="CE382" s="8" t="e">
        <f t="shared" si="185"/>
        <v>#REF!</v>
      </c>
      <c r="CF382" s="8" t="e">
        <f t="shared" si="186"/>
        <v>#REF!</v>
      </c>
      <c r="CG382" s="8" t="e">
        <f t="shared" si="186"/>
        <v>#REF!</v>
      </c>
      <c r="CH382" s="8" t="e">
        <f t="shared" si="186"/>
        <v>#REF!</v>
      </c>
      <c r="CI382" s="8" t="e">
        <f t="shared" si="186"/>
        <v>#REF!</v>
      </c>
      <c r="CJ382" s="8" t="e">
        <f t="shared" si="186"/>
        <v>#REF!</v>
      </c>
    </row>
    <row r="383" spans="32:88">
      <c r="AF383" s="292"/>
      <c r="AG383" s="136" t="s">
        <v>345</v>
      </c>
      <c r="AH383" s="8" t="e">
        <f t="shared" ref="AH383:BF383" si="191">AH288*$AI$265/100+AH298*$AI$274/100+AH318*($AI$257/100*$AQ$257+$AI$258/100*$AQ$258)</f>
        <v>#REF!</v>
      </c>
      <c r="AI383" s="8" t="e">
        <f t="shared" si="191"/>
        <v>#REF!</v>
      </c>
      <c r="AJ383" s="8" t="e">
        <f t="shared" si="191"/>
        <v>#REF!</v>
      </c>
      <c r="AK383" s="8" t="e">
        <f t="shared" si="191"/>
        <v>#REF!</v>
      </c>
      <c r="AL383" s="8" t="e">
        <f t="shared" si="191"/>
        <v>#REF!</v>
      </c>
      <c r="AM383" s="8" t="e">
        <f t="shared" si="191"/>
        <v>#REF!</v>
      </c>
      <c r="AN383" s="8" t="e">
        <f t="shared" si="191"/>
        <v>#REF!</v>
      </c>
      <c r="AO383" s="8" t="e">
        <f t="shared" si="191"/>
        <v>#REF!</v>
      </c>
      <c r="AP383" s="8" t="e">
        <f t="shared" si="191"/>
        <v>#REF!</v>
      </c>
      <c r="AQ383" s="8" t="e">
        <f t="shared" si="191"/>
        <v>#REF!</v>
      </c>
      <c r="AR383" s="8" t="e">
        <f t="shared" si="191"/>
        <v>#REF!</v>
      </c>
      <c r="AS383" s="8" t="e">
        <f t="shared" si="191"/>
        <v>#REF!</v>
      </c>
      <c r="AT383" s="8" t="e">
        <f t="shared" si="191"/>
        <v>#REF!</v>
      </c>
      <c r="AU383" s="8" t="e">
        <f t="shared" si="191"/>
        <v>#REF!</v>
      </c>
      <c r="AV383" s="8" t="e">
        <f t="shared" si="191"/>
        <v>#REF!</v>
      </c>
      <c r="AW383" s="8" t="e">
        <f t="shared" si="191"/>
        <v>#REF!</v>
      </c>
      <c r="AX383" s="8" t="e">
        <f t="shared" si="191"/>
        <v>#REF!</v>
      </c>
      <c r="AY383" s="8" t="e">
        <f t="shared" si="191"/>
        <v>#REF!</v>
      </c>
      <c r="AZ383" s="8" t="e">
        <f t="shared" si="191"/>
        <v>#REF!</v>
      </c>
      <c r="BA383" s="8" t="e">
        <f t="shared" si="191"/>
        <v>#REF!</v>
      </c>
      <c r="BB383" s="8" t="e">
        <f t="shared" si="191"/>
        <v>#REF!</v>
      </c>
      <c r="BC383" s="8" t="e">
        <f t="shared" si="191"/>
        <v>#REF!</v>
      </c>
      <c r="BD383" s="8" t="e">
        <f t="shared" si="191"/>
        <v>#REF!</v>
      </c>
      <c r="BE383" s="8" t="e">
        <f t="shared" si="191"/>
        <v>#REF!</v>
      </c>
      <c r="BF383" s="8" t="e">
        <f t="shared" si="191"/>
        <v>#REF!</v>
      </c>
      <c r="BJ383" s="294"/>
      <c r="BK383" s="136" t="s">
        <v>349</v>
      </c>
      <c r="BL383" s="8" t="e">
        <f t="shared" si="184"/>
        <v>#REF!</v>
      </c>
      <c r="BM383" s="8" t="e">
        <f t="shared" si="184"/>
        <v>#REF!</v>
      </c>
      <c r="BN383" s="8" t="e">
        <f t="shared" si="184"/>
        <v>#REF!</v>
      </c>
      <c r="BO383" s="8" t="e">
        <f t="shared" si="184"/>
        <v>#REF!</v>
      </c>
      <c r="BP383" s="8" t="e">
        <f t="shared" si="184"/>
        <v>#REF!</v>
      </c>
      <c r="BQ383" s="8" t="e">
        <f t="shared" si="184"/>
        <v>#REF!</v>
      </c>
      <c r="BR383" s="8" t="e">
        <f t="shared" si="184"/>
        <v>#REF!</v>
      </c>
      <c r="BS383" s="8" t="e">
        <f t="shared" si="184"/>
        <v>#REF!</v>
      </c>
      <c r="BT383" s="8" t="e">
        <f t="shared" si="184"/>
        <v>#REF!</v>
      </c>
      <c r="BU383" s="8" t="e">
        <f t="shared" si="184"/>
        <v>#REF!</v>
      </c>
      <c r="BV383" s="8" t="e">
        <f t="shared" si="185"/>
        <v>#REF!</v>
      </c>
      <c r="BW383" s="8" t="e">
        <f t="shared" si="185"/>
        <v>#REF!</v>
      </c>
      <c r="BX383" s="8" t="e">
        <f t="shared" si="185"/>
        <v>#REF!</v>
      </c>
      <c r="BY383" s="8" t="e">
        <f t="shared" si="185"/>
        <v>#REF!</v>
      </c>
      <c r="BZ383" s="8" t="e">
        <f t="shared" si="185"/>
        <v>#REF!</v>
      </c>
      <c r="CA383" s="8" t="e">
        <f t="shared" si="185"/>
        <v>#REF!</v>
      </c>
      <c r="CB383" s="8" t="e">
        <f t="shared" si="185"/>
        <v>#REF!</v>
      </c>
      <c r="CC383" s="8" t="e">
        <f t="shared" si="185"/>
        <v>#REF!</v>
      </c>
      <c r="CD383" s="8" t="e">
        <f t="shared" si="185"/>
        <v>#REF!</v>
      </c>
      <c r="CE383" s="8" t="e">
        <f t="shared" si="185"/>
        <v>#REF!</v>
      </c>
      <c r="CF383" s="8" t="e">
        <f t="shared" si="186"/>
        <v>#REF!</v>
      </c>
      <c r="CG383" s="8" t="e">
        <f t="shared" si="186"/>
        <v>#REF!</v>
      </c>
      <c r="CH383" s="8" t="e">
        <f t="shared" si="186"/>
        <v>#REF!</v>
      </c>
      <c r="CI383" s="8" t="e">
        <f t="shared" si="186"/>
        <v>#REF!</v>
      </c>
      <c r="CJ383" s="8" t="e">
        <f t="shared" si="186"/>
        <v>#REF!</v>
      </c>
    </row>
    <row r="384" spans="32:88">
      <c r="AF384" s="292"/>
      <c r="AG384" s="136" t="s">
        <v>346</v>
      </c>
      <c r="AH384" s="8" t="e">
        <f t="shared" ref="AH384:BF384" si="192">AH289*$AI$265/100+AH299*$AI$274/100+AH319*($AI$257/100*$AQ$257+$AI$258/100*$AQ$258)</f>
        <v>#REF!</v>
      </c>
      <c r="AI384" s="8" t="e">
        <f t="shared" si="192"/>
        <v>#REF!</v>
      </c>
      <c r="AJ384" s="8" t="e">
        <f t="shared" si="192"/>
        <v>#REF!</v>
      </c>
      <c r="AK384" s="8" t="e">
        <f t="shared" si="192"/>
        <v>#REF!</v>
      </c>
      <c r="AL384" s="8" t="e">
        <f t="shared" si="192"/>
        <v>#REF!</v>
      </c>
      <c r="AM384" s="8" t="e">
        <f t="shared" si="192"/>
        <v>#REF!</v>
      </c>
      <c r="AN384" s="8" t="e">
        <f t="shared" si="192"/>
        <v>#REF!</v>
      </c>
      <c r="AO384" s="8" t="e">
        <f t="shared" si="192"/>
        <v>#REF!</v>
      </c>
      <c r="AP384" s="8" t="e">
        <f t="shared" si="192"/>
        <v>#REF!</v>
      </c>
      <c r="AQ384" s="8" t="e">
        <f t="shared" si="192"/>
        <v>#REF!</v>
      </c>
      <c r="AR384" s="8" t="e">
        <f t="shared" si="192"/>
        <v>#REF!</v>
      </c>
      <c r="AS384" s="8" t="e">
        <f t="shared" si="192"/>
        <v>#REF!</v>
      </c>
      <c r="AT384" s="8" t="e">
        <f t="shared" si="192"/>
        <v>#REF!</v>
      </c>
      <c r="AU384" s="8" t="e">
        <f t="shared" si="192"/>
        <v>#REF!</v>
      </c>
      <c r="AV384" s="8" t="e">
        <f t="shared" si="192"/>
        <v>#REF!</v>
      </c>
      <c r="AW384" s="8" t="e">
        <f t="shared" si="192"/>
        <v>#REF!</v>
      </c>
      <c r="AX384" s="8" t="e">
        <f t="shared" si="192"/>
        <v>#REF!</v>
      </c>
      <c r="AY384" s="8" t="e">
        <f t="shared" si="192"/>
        <v>#REF!</v>
      </c>
      <c r="AZ384" s="8" t="e">
        <f t="shared" si="192"/>
        <v>#REF!</v>
      </c>
      <c r="BA384" s="8" t="e">
        <f t="shared" si="192"/>
        <v>#REF!</v>
      </c>
      <c r="BB384" s="8" t="e">
        <f t="shared" si="192"/>
        <v>#REF!</v>
      </c>
      <c r="BC384" s="8" t="e">
        <f t="shared" si="192"/>
        <v>#REF!</v>
      </c>
      <c r="BD384" s="8" t="e">
        <f t="shared" si="192"/>
        <v>#REF!</v>
      </c>
      <c r="BE384" s="8" t="e">
        <f t="shared" si="192"/>
        <v>#REF!</v>
      </c>
      <c r="BF384" s="8" t="e">
        <f t="shared" si="192"/>
        <v>#REF!</v>
      </c>
      <c r="BJ384" s="294"/>
      <c r="BK384" s="136" t="s">
        <v>246</v>
      </c>
      <c r="BL384" s="8">
        <f t="shared" si="184"/>
        <v>0</v>
      </c>
      <c r="BM384" s="8">
        <f t="shared" si="184"/>
        <v>0</v>
      </c>
      <c r="BN384" s="8">
        <f t="shared" si="184"/>
        <v>52807.339192572159</v>
      </c>
      <c r="BO384" s="8">
        <f t="shared" si="184"/>
        <v>145066.46091566395</v>
      </c>
      <c r="BP384" s="8">
        <f t="shared" si="184"/>
        <v>168192.90476568771</v>
      </c>
      <c r="BQ384" s="8">
        <f t="shared" si="184"/>
        <v>165264.58655163067</v>
      </c>
      <c r="BR384" s="8">
        <f t="shared" si="184"/>
        <v>148367.45530391691</v>
      </c>
      <c r="BS384" s="8">
        <f t="shared" si="184"/>
        <v>144962.77075728285</v>
      </c>
      <c r="BT384" s="8">
        <f t="shared" si="184"/>
        <v>140296.07393456501</v>
      </c>
      <c r="BU384" s="8">
        <f t="shared" si="184"/>
        <v>135301.66829452221</v>
      </c>
      <c r="BV384" s="8">
        <f t="shared" si="185"/>
        <v>130440.00814998454</v>
      </c>
      <c r="BW384" s="8">
        <f t="shared" si="185"/>
        <v>126141.20272284615</v>
      </c>
      <c r="BX384" s="8">
        <f t="shared" si="185"/>
        <v>121220.95431243157</v>
      </c>
      <c r="BY384" s="8">
        <f t="shared" si="185"/>
        <v>116247.1689906689</v>
      </c>
      <c r="BZ384" s="8">
        <f t="shared" si="185"/>
        <v>110732.22798401282</v>
      </c>
      <c r="CA384" s="8">
        <f t="shared" si="185"/>
        <v>105421.94613954445</v>
      </c>
      <c r="CB384" s="8">
        <f t="shared" si="185"/>
        <v>100306.55044662353</v>
      </c>
      <c r="CC384" s="8">
        <f t="shared" si="185"/>
        <v>101730.2831815425</v>
      </c>
      <c r="CD384" s="8">
        <f t="shared" si="185"/>
        <v>102948.66675174757</v>
      </c>
      <c r="CE384" s="8">
        <f t="shared" si="185"/>
        <v>100561.16961695463</v>
      </c>
      <c r="CF384" s="8">
        <f t="shared" si="186"/>
        <v>95777.921015232001</v>
      </c>
      <c r="CG384" s="8">
        <f t="shared" si="186"/>
        <v>95969.706377282651</v>
      </c>
      <c r="CH384" s="8">
        <f t="shared" si="186"/>
        <v>95549.81349532376</v>
      </c>
      <c r="CI384" s="8">
        <f t="shared" si="186"/>
        <v>95153.836460004008</v>
      </c>
      <c r="CJ384" s="8">
        <f t="shared" si="186"/>
        <v>93244.523357004102</v>
      </c>
    </row>
    <row r="385" spans="32:88">
      <c r="AF385" s="292"/>
      <c r="AG385" s="136" t="s">
        <v>278</v>
      </c>
      <c r="AH385" s="8">
        <f t="shared" ref="AH385:BF385" si="193">AH290*$AI$265/100+AH300*$AI$274/100+AH320*($AI$257/100*$AQ$257+$AI$258/100*$AQ$258)</f>
        <v>0</v>
      </c>
      <c r="AI385" s="8">
        <f t="shared" si="193"/>
        <v>0</v>
      </c>
      <c r="AJ385" s="8">
        <f t="shared" si="193"/>
        <v>0</v>
      </c>
      <c r="AK385" s="8">
        <f t="shared" si="193"/>
        <v>0</v>
      </c>
      <c r="AL385" s="8">
        <f t="shared" si="193"/>
        <v>272999.31602747593</v>
      </c>
      <c r="AM385" s="8">
        <f t="shared" si="193"/>
        <v>2263048.6833950831</v>
      </c>
      <c r="AN385" s="8">
        <f t="shared" si="193"/>
        <v>3319535.8615148352</v>
      </c>
      <c r="AO385" s="8">
        <f t="shared" si="193"/>
        <v>3850840.1744511519</v>
      </c>
      <c r="AP385" s="8">
        <f t="shared" si="193"/>
        <v>2267190.2165034348</v>
      </c>
      <c r="AQ385" s="8">
        <f t="shared" si="193"/>
        <v>2150242.8967480101</v>
      </c>
      <c r="AR385" s="8">
        <f t="shared" si="193"/>
        <v>2133384.9629570181</v>
      </c>
      <c r="AS385" s="8">
        <f t="shared" si="193"/>
        <v>2081594.0737420721</v>
      </c>
      <c r="AT385" s="8">
        <f t="shared" si="193"/>
        <v>2061766.2309972299</v>
      </c>
      <c r="AU385" s="8">
        <f t="shared" si="193"/>
        <v>1496871.2157903067</v>
      </c>
      <c r="AV385" s="8">
        <f t="shared" si="193"/>
        <v>1155290.7659299085</v>
      </c>
      <c r="AW385" s="8">
        <f t="shared" si="193"/>
        <v>785969.76061587897</v>
      </c>
      <c r="AX385" s="8">
        <f t="shared" si="193"/>
        <v>766525.86511136254</v>
      </c>
      <c r="AY385" s="8">
        <f t="shared" si="193"/>
        <v>728674.49973585468</v>
      </c>
      <c r="AZ385" s="8">
        <f t="shared" si="193"/>
        <v>704286.63872471778</v>
      </c>
      <c r="BA385" s="8">
        <f t="shared" si="193"/>
        <v>685578.07823857386</v>
      </c>
      <c r="BB385" s="8">
        <f t="shared" si="193"/>
        <v>669080.35779602453</v>
      </c>
      <c r="BC385" s="8">
        <f t="shared" si="193"/>
        <v>652725.43211912771</v>
      </c>
      <c r="BD385" s="8">
        <f t="shared" si="193"/>
        <v>636710.62726716371</v>
      </c>
      <c r="BE385" s="8">
        <f t="shared" si="193"/>
        <v>621001.88861492719</v>
      </c>
      <c r="BF385" s="8">
        <f t="shared" si="193"/>
        <v>605687.24255927536</v>
      </c>
      <c r="BJ385" s="294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</row>
    <row r="386" spans="32:88">
      <c r="AF386" s="292"/>
      <c r="AG386" s="136" t="s">
        <v>347</v>
      </c>
      <c r="AH386" s="8" t="e">
        <f t="shared" ref="AH386:BF386" si="194">AH291*$AI$265/100+AH301*$AI$274/100+AH321*($AI$257/100*$AQ$257+$AI$258/100*$AQ$258)</f>
        <v>#REF!</v>
      </c>
      <c r="AI386" s="8" t="e">
        <f t="shared" si="194"/>
        <v>#REF!</v>
      </c>
      <c r="AJ386" s="8" t="e">
        <f t="shared" si="194"/>
        <v>#REF!</v>
      </c>
      <c r="AK386" s="8" t="e">
        <f t="shared" si="194"/>
        <v>#REF!</v>
      </c>
      <c r="AL386" s="8" t="e">
        <f t="shared" si="194"/>
        <v>#REF!</v>
      </c>
      <c r="AM386" s="8" t="e">
        <f t="shared" si="194"/>
        <v>#REF!</v>
      </c>
      <c r="AN386" s="8" t="e">
        <f t="shared" si="194"/>
        <v>#REF!</v>
      </c>
      <c r="AO386" s="8" t="e">
        <f t="shared" si="194"/>
        <v>#REF!</v>
      </c>
      <c r="AP386" s="8" t="e">
        <f t="shared" si="194"/>
        <v>#REF!</v>
      </c>
      <c r="AQ386" s="8" t="e">
        <f t="shared" si="194"/>
        <v>#REF!</v>
      </c>
      <c r="AR386" s="8" t="e">
        <f t="shared" si="194"/>
        <v>#REF!</v>
      </c>
      <c r="AS386" s="8" t="e">
        <f t="shared" si="194"/>
        <v>#REF!</v>
      </c>
      <c r="AT386" s="8" t="e">
        <f t="shared" si="194"/>
        <v>#REF!</v>
      </c>
      <c r="AU386" s="8" t="e">
        <f t="shared" si="194"/>
        <v>#REF!</v>
      </c>
      <c r="AV386" s="8" t="e">
        <f t="shared" si="194"/>
        <v>#REF!</v>
      </c>
      <c r="AW386" s="8" t="e">
        <f t="shared" si="194"/>
        <v>#REF!</v>
      </c>
      <c r="AX386" s="8" t="e">
        <f t="shared" si="194"/>
        <v>#REF!</v>
      </c>
      <c r="AY386" s="8" t="e">
        <f t="shared" si="194"/>
        <v>#REF!</v>
      </c>
      <c r="AZ386" s="8" t="e">
        <f t="shared" si="194"/>
        <v>#REF!</v>
      </c>
      <c r="BA386" s="8" t="e">
        <f t="shared" si="194"/>
        <v>#REF!</v>
      </c>
      <c r="BB386" s="8" t="e">
        <f t="shared" si="194"/>
        <v>#REF!</v>
      </c>
      <c r="BC386" s="8" t="e">
        <f t="shared" si="194"/>
        <v>#REF!</v>
      </c>
      <c r="BD386" s="8" t="e">
        <f t="shared" si="194"/>
        <v>#REF!</v>
      </c>
      <c r="BE386" s="8" t="e">
        <f t="shared" si="194"/>
        <v>#REF!</v>
      </c>
      <c r="BF386" s="8" t="e">
        <f t="shared" si="194"/>
        <v>#REF!</v>
      </c>
      <c r="BJ386" s="294"/>
      <c r="BK386" t="s">
        <v>404</v>
      </c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</row>
    <row r="387" spans="32:88">
      <c r="AF387" s="292"/>
      <c r="AG387" s="136" t="s">
        <v>348</v>
      </c>
      <c r="AH387" s="8" t="e">
        <f t="shared" ref="AH387:BF387" si="195">AH292*$AI$265/100+AH302*$AI$274/100+AH322*($AI$257/100*$AQ$257+$AI$258/100*$AQ$258)</f>
        <v>#REF!</v>
      </c>
      <c r="AI387" s="8" t="e">
        <f t="shared" si="195"/>
        <v>#REF!</v>
      </c>
      <c r="AJ387" s="8" t="e">
        <f t="shared" si="195"/>
        <v>#REF!</v>
      </c>
      <c r="AK387" s="8" t="e">
        <f t="shared" si="195"/>
        <v>#REF!</v>
      </c>
      <c r="AL387" s="8" t="e">
        <f t="shared" si="195"/>
        <v>#REF!</v>
      </c>
      <c r="AM387" s="8" t="e">
        <f t="shared" si="195"/>
        <v>#REF!</v>
      </c>
      <c r="AN387" s="8" t="e">
        <f t="shared" si="195"/>
        <v>#REF!</v>
      </c>
      <c r="AO387" s="8" t="e">
        <f t="shared" si="195"/>
        <v>#REF!</v>
      </c>
      <c r="AP387" s="8" t="e">
        <f t="shared" si="195"/>
        <v>#REF!</v>
      </c>
      <c r="AQ387" s="8" t="e">
        <f t="shared" si="195"/>
        <v>#REF!</v>
      </c>
      <c r="AR387" s="8" t="e">
        <f t="shared" si="195"/>
        <v>#REF!</v>
      </c>
      <c r="AS387" s="8" t="e">
        <f t="shared" si="195"/>
        <v>#REF!</v>
      </c>
      <c r="AT387" s="8" t="e">
        <f t="shared" si="195"/>
        <v>#REF!</v>
      </c>
      <c r="AU387" s="8" t="e">
        <f t="shared" si="195"/>
        <v>#REF!</v>
      </c>
      <c r="AV387" s="8" t="e">
        <f t="shared" si="195"/>
        <v>#REF!</v>
      </c>
      <c r="AW387" s="8" t="e">
        <f t="shared" si="195"/>
        <v>#REF!</v>
      </c>
      <c r="AX387" s="8" t="e">
        <f t="shared" si="195"/>
        <v>#REF!</v>
      </c>
      <c r="AY387" s="8" t="e">
        <f t="shared" si="195"/>
        <v>#REF!</v>
      </c>
      <c r="AZ387" s="8" t="e">
        <f t="shared" si="195"/>
        <v>#REF!</v>
      </c>
      <c r="BA387" s="8" t="e">
        <f t="shared" si="195"/>
        <v>#REF!</v>
      </c>
      <c r="BB387" s="8" t="e">
        <f t="shared" si="195"/>
        <v>#REF!</v>
      </c>
      <c r="BC387" s="8" t="e">
        <f t="shared" si="195"/>
        <v>#REF!</v>
      </c>
      <c r="BD387" s="8" t="e">
        <f t="shared" si="195"/>
        <v>#REF!</v>
      </c>
      <c r="BE387" s="8" t="e">
        <f t="shared" si="195"/>
        <v>#REF!</v>
      </c>
      <c r="BF387" s="8" t="e">
        <f t="shared" si="195"/>
        <v>#REF!</v>
      </c>
      <c r="BJ387" s="294"/>
      <c r="BK387" s="136" t="s">
        <v>343</v>
      </c>
      <c r="BL387" s="8" t="e">
        <f t="shared" ref="BL387:BU394" si="196">AH317*$AI$256/100*$AL$256+AH327*$AI$246/100*$AL$246</f>
        <v>#REF!</v>
      </c>
      <c r="BM387" s="8" t="e">
        <f t="shared" si="196"/>
        <v>#REF!</v>
      </c>
      <c r="BN387" s="8" t="e">
        <f t="shared" si="196"/>
        <v>#REF!</v>
      </c>
      <c r="BO387" s="8" t="e">
        <f t="shared" si="196"/>
        <v>#REF!</v>
      </c>
      <c r="BP387" s="8" t="e">
        <f t="shared" si="196"/>
        <v>#REF!</v>
      </c>
      <c r="BQ387" s="8" t="e">
        <f t="shared" si="196"/>
        <v>#REF!</v>
      </c>
      <c r="BR387" s="8" t="e">
        <f t="shared" si="196"/>
        <v>#REF!</v>
      </c>
      <c r="BS387" s="8" t="e">
        <f t="shared" si="196"/>
        <v>#REF!</v>
      </c>
      <c r="BT387" s="8" t="e">
        <f t="shared" si="196"/>
        <v>#REF!</v>
      </c>
      <c r="BU387" s="8" t="e">
        <f t="shared" si="196"/>
        <v>#REF!</v>
      </c>
      <c r="BV387" s="8" t="e">
        <f t="shared" ref="BV387:CE394" si="197">AR317*$AI$256/100*$AL$256+AR327*$AI$246/100*$AL$246</f>
        <v>#REF!</v>
      </c>
      <c r="BW387" s="8" t="e">
        <f t="shared" si="197"/>
        <v>#REF!</v>
      </c>
      <c r="BX387" s="8" t="e">
        <f t="shared" si="197"/>
        <v>#REF!</v>
      </c>
      <c r="BY387" s="8" t="e">
        <f t="shared" si="197"/>
        <v>#REF!</v>
      </c>
      <c r="BZ387" s="8" t="e">
        <f t="shared" si="197"/>
        <v>#REF!</v>
      </c>
      <c r="CA387" s="8" t="e">
        <f t="shared" si="197"/>
        <v>#REF!</v>
      </c>
      <c r="CB387" s="8" t="e">
        <f t="shared" si="197"/>
        <v>#REF!</v>
      </c>
      <c r="CC387" s="8" t="e">
        <f t="shared" si="197"/>
        <v>#REF!</v>
      </c>
      <c r="CD387" s="8" t="e">
        <f t="shared" si="197"/>
        <v>#REF!</v>
      </c>
      <c r="CE387" s="8" t="e">
        <f t="shared" si="197"/>
        <v>#REF!</v>
      </c>
      <c r="CF387" s="8" t="e">
        <f t="shared" ref="CF387:CJ394" si="198">BB317*$AI$256/100*$AL$256+BB327*$AI$246/100*$AL$246</f>
        <v>#REF!</v>
      </c>
      <c r="CG387" s="8" t="e">
        <f t="shared" si="198"/>
        <v>#REF!</v>
      </c>
      <c r="CH387" s="8" t="e">
        <f t="shared" si="198"/>
        <v>#REF!</v>
      </c>
      <c r="CI387" s="8" t="e">
        <f t="shared" si="198"/>
        <v>#REF!</v>
      </c>
      <c r="CJ387" s="8" t="e">
        <f t="shared" si="198"/>
        <v>#REF!</v>
      </c>
    </row>
    <row r="388" spans="32:88">
      <c r="AF388" s="292"/>
      <c r="AG388" s="136" t="s">
        <v>349</v>
      </c>
      <c r="AH388" s="8" t="e">
        <f t="shared" ref="AH388:BF388" si="199">AH293*$AI$265/100+AH303*$AI$274/100+AH323*($AI$257/100*$AQ$257+$AI$258/100*$AQ$258)</f>
        <v>#REF!</v>
      </c>
      <c r="AI388" s="8" t="e">
        <f t="shared" si="199"/>
        <v>#REF!</v>
      </c>
      <c r="AJ388" s="8" t="e">
        <f t="shared" si="199"/>
        <v>#REF!</v>
      </c>
      <c r="AK388" s="8" t="e">
        <f t="shared" si="199"/>
        <v>#REF!</v>
      </c>
      <c r="AL388" s="8" t="e">
        <f t="shared" si="199"/>
        <v>#REF!</v>
      </c>
      <c r="AM388" s="8" t="e">
        <f t="shared" si="199"/>
        <v>#REF!</v>
      </c>
      <c r="AN388" s="8" t="e">
        <f t="shared" si="199"/>
        <v>#REF!</v>
      </c>
      <c r="AO388" s="8" t="e">
        <f t="shared" si="199"/>
        <v>#REF!</v>
      </c>
      <c r="AP388" s="8" t="e">
        <f t="shared" si="199"/>
        <v>#REF!</v>
      </c>
      <c r="AQ388" s="8" t="e">
        <f t="shared" si="199"/>
        <v>#REF!</v>
      </c>
      <c r="AR388" s="8" t="e">
        <f t="shared" si="199"/>
        <v>#REF!</v>
      </c>
      <c r="AS388" s="8" t="e">
        <f t="shared" si="199"/>
        <v>#REF!</v>
      </c>
      <c r="AT388" s="8" t="e">
        <f t="shared" si="199"/>
        <v>#REF!</v>
      </c>
      <c r="AU388" s="8" t="e">
        <f t="shared" si="199"/>
        <v>#REF!</v>
      </c>
      <c r="AV388" s="8" t="e">
        <f t="shared" si="199"/>
        <v>#REF!</v>
      </c>
      <c r="AW388" s="8" t="e">
        <f t="shared" si="199"/>
        <v>#REF!</v>
      </c>
      <c r="AX388" s="8" t="e">
        <f t="shared" si="199"/>
        <v>#REF!</v>
      </c>
      <c r="AY388" s="8" t="e">
        <f t="shared" si="199"/>
        <v>#REF!</v>
      </c>
      <c r="AZ388" s="8" t="e">
        <f t="shared" si="199"/>
        <v>#REF!</v>
      </c>
      <c r="BA388" s="8" t="e">
        <f t="shared" si="199"/>
        <v>#REF!</v>
      </c>
      <c r="BB388" s="8" t="e">
        <f t="shared" si="199"/>
        <v>#REF!</v>
      </c>
      <c r="BC388" s="8" t="e">
        <f t="shared" si="199"/>
        <v>#REF!</v>
      </c>
      <c r="BD388" s="8" t="e">
        <f t="shared" si="199"/>
        <v>#REF!</v>
      </c>
      <c r="BE388" s="8" t="e">
        <f t="shared" si="199"/>
        <v>#REF!</v>
      </c>
      <c r="BF388" s="8" t="e">
        <f t="shared" si="199"/>
        <v>#REF!</v>
      </c>
      <c r="BJ388" s="294"/>
      <c r="BK388" s="136" t="s">
        <v>345</v>
      </c>
      <c r="BL388" s="8" t="e">
        <f t="shared" si="196"/>
        <v>#REF!</v>
      </c>
      <c r="BM388" s="8" t="e">
        <f t="shared" si="196"/>
        <v>#REF!</v>
      </c>
      <c r="BN388" s="8" t="e">
        <f t="shared" si="196"/>
        <v>#REF!</v>
      </c>
      <c r="BO388" s="8" t="e">
        <f t="shared" si="196"/>
        <v>#REF!</v>
      </c>
      <c r="BP388" s="8" t="e">
        <f t="shared" si="196"/>
        <v>#REF!</v>
      </c>
      <c r="BQ388" s="8" t="e">
        <f t="shared" si="196"/>
        <v>#REF!</v>
      </c>
      <c r="BR388" s="8" t="e">
        <f t="shared" si="196"/>
        <v>#REF!</v>
      </c>
      <c r="BS388" s="8" t="e">
        <f t="shared" si="196"/>
        <v>#REF!</v>
      </c>
      <c r="BT388" s="8" t="e">
        <f t="shared" si="196"/>
        <v>#REF!</v>
      </c>
      <c r="BU388" s="8" t="e">
        <f t="shared" si="196"/>
        <v>#REF!</v>
      </c>
      <c r="BV388" s="8" t="e">
        <f t="shared" si="197"/>
        <v>#REF!</v>
      </c>
      <c r="BW388" s="8" t="e">
        <f t="shared" si="197"/>
        <v>#REF!</v>
      </c>
      <c r="BX388" s="8" t="e">
        <f t="shared" si="197"/>
        <v>#REF!</v>
      </c>
      <c r="BY388" s="8" t="e">
        <f t="shared" si="197"/>
        <v>#REF!</v>
      </c>
      <c r="BZ388" s="8" t="e">
        <f t="shared" si="197"/>
        <v>#REF!</v>
      </c>
      <c r="CA388" s="8" t="e">
        <f t="shared" si="197"/>
        <v>#REF!</v>
      </c>
      <c r="CB388" s="8" t="e">
        <f t="shared" si="197"/>
        <v>#REF!</v>
      </c>
      <c r="CC388" s="8" t="e">
        <f t="shared" si="197"/>
        <v>#REF!</v>
      </c>
      <c r="CD388" s="8" t="e">
        <f t="shared" si="197"/>
        <v>#REF!</v>
      </c>
      <c r="CE388" s="8" t="e">
        <f t="shared" si="197"/>
        <v>#REF!</v>
      </c>
      <c r="CF388" s="8" t="e">
        <f t="shared" si="198"/>
        <v>#REF!</v>
      </c>
      <c r="CG388" s="8" t="e">
        <f t="shared" si="198"/>
        <v>#REF!</v>
      </c>
      <c r="CH388" s="8" t="e">
        <f t="shared" si="198"/>
        <v>#REF!</v>
      </c>
      <c r="CI388" s="8" t="e">
        <f t="shared" si="198"/>
        <v>#REF!</v>
      </c>
      <c r="CJ388" s="8" t="e">
        <f t="shared" si="198"/>
        <v>#REF!</v>
      </c>
    </row>
    <row r="389" spans="32:88">
      <c r="AF389" s="292"/>
      <c r="AG389" s="136" t="s">
        <v>246</v>
      </c>
      <c r="AH389" s="8">
        <f t="shared" ref="AH389:BF389" si="200">AH294*$AI$265/100+AH304*$AI$274/100+AH324*($AI$257/100*$AQ$257+$AI$258/100*$AQ$258)</f>
        <v>0</v>
      </c>
      <c r="AI389" s="8">
        <f t="shared" si="200"/>
        <v>0</v>
      </c>
      <c r="AJ389" s="8">
        <f t="shared" si="200"/>
        <v>0</v>
      </c>
      <c r="AK389" s="8">
        <f t="shared" si="200"/>
        <v>0</v>
      </c>
      <c r="AL389" s="8">
        <f t="shared" si="200"/>
        <v>5693.4328474943241</v>
      </c>
      <c r="AM389" s="8">
        <f t="shared" si="200"/>
        <v>46666.764081390611</v>
      </c>
      <c r="AN389" s="8">
        <f t="shared" si="200"/>
        <v>67621.232407208925</v>
      </c>
      <c r="AO389" s="8">
        <f t="shared" si="200"/>
        <v>77667.724182579681</v>
      </c>
      <c r="AP389" s="8">
        <f t="shared" si="200"/>
        <v>33256.139671198151</v>
      </c>
      <c r="AQ389" s="8">
        <f t="shared" si="200"/>
        <v>31278.633028274311</v>
      </c>
      <c r="AR389" s="8">
        <f t="shared" si="200"/>
        <v>30950.454561829611</v>
      </c>
      <c r="AS389" s="8">
        <f t="shared" si="200"/>
        <v>30117.204018662214</v>
      </c>
      <c r="AT389" s="8">
        <f t="shared" si="200"/>
        <v>29760.941672310993</v>
      </c>
      <c r="AU389" s="8">
        <f t="shared" si="200"/>
        <v>21380.375466585851</v>
      </c>
      <c r="AV389" s="8">
        <f t="shared" si="200"/>
        <v>16319.80591630223</v>
      </c>
      <c r="AW389" s="8">
        <f t="shared" si="200"/>
        <v>10846.382696499131</v>
      </c>
      <c r="AX389" s="8">
        <f t="shared" si="200"/>
        <v>10578.056938536802</v>
      </c>
      <c r="AY389" s="8">
        <f t="shared" si="200"/>
        <v>10055.708096354794</v>
      </c>
      <c r="AZ389" s="8">
        <f t="shared" si="200"/>
        <v>9719.1556144011065</v>
      </c>
      <c r="BA389" s="8">
        <f t="shared" si="200"/>
        <v>9460.9774796923193</v>
      </c>
      <c r="BB389" s="8">
        <f t="shared" si="200"/>
        <v>9233.3089375851359</v>
      </c>
      <c r="BC389" s="8">
        <f t="shared" si="200"/>
        <v>9007.610963243962</v>
      </c>
      <c r="BD389" s="8">
        <f t="shared" si="200"/>
        <v>8786.6066562868637</v>
      </c>
      <c r="BE389" s="8">
        <f t="shared" si="200"/>
        <v>8569.8260628859916</v>
      </c>
      <c r="BF389" s="8">
        <f t="shared" si="200"/>
        <v>8358.483947318</v>
      </c>
      <c r="BJ389" s="294"/>
      <c r="BK389" s="136" t="s">
        <v>346</v>
      </c>
      <c r="BL389" s="8" t="e">
        <f t="shared" si="196"/>
        <v>#REF!</v>
      </c>
      <c r="BM389" s="8" t="e">
        <f t="shared" si="196"/>
        <v>#REF!</v>
      </c>
      <c r="BN389" s="8" t="e">
        <f t="shared" si="196"/>
        <v>#REF!</v>
      </c>
      <c r="BO389" s="8" t="e">
        <f t="shared" si="196"/>
        <v>#REF!</v>
      </c>
      <c r="BP389" s="8" t="e">
        <f t="shared" si="196"/>
        <v>#REF!</v>
      </c>
      <c r="BQ389" s="8" t="e">
        <f t="shared" si="196"/>
        <v>#REF!</v>
      </c>
      <c r="BR389" s="8" t="e">
        <f t="shared" si="196"/>
        <v>#REF!</v>
      </c>
      <c r="BS389" s="8" t="e">
        <f t="shared" si="196"/>
        <v>#REF!</v>
      </c>
      <c r="BT389" s="8" t="e">
        <f t="shared" si="196"/>
        <v>#REF!</v>
      </c>
      <c r="BU389" s="8" t="e">
        <f t="shared" si="196"/>
        <v>#REF!</v>
      </c>
      <c r="BV389" s="8" t="e">
        <f t="shared" si="197"/>
        <v>#REF!</v>
      </c>
      <c r="BW389" s="8" t="e">
        <f t="shared" si="197"/>
        <v>#REF!</v>
      </c>
      <c r="BX389" s="8" t="e">
        <f t="shared" si="197"/>
        <v>#REF!</v>
      </c>
      <c r="BY389" s="8" t="e">
        <f t="shared" si="197"/>
        <v>#REF!</v>
      </c>
      <c r="BZ389" s="8" t="e">
        <f t="shared" si="197"/>
        <v>#REF!</v>
      </c>
      <c r="CA389" s="8" t="e">
        <f t="shared" si="197"/>
        <v>#REF!</v>
      </c>
      <c r="CB389" s="8" t="e">
        <f t="shared" si="197"/>
        <v>#REF!</v>
      </c>
      <c r="CC389" s="8" t="e">
        <f t="shared" si="197"/>
        <v>#REF!</v>
      </c>
      <c r="CD389" s="8" t="e">
        <f t="shared" si="197"/>
        <v>#REF!</v>
      </c>
      <c r="CE389" s="8" t="e">
        <f t="shared" si="197"/>
        <v>#REF!</v>
      </c>
      <c r="CF389" s="8" t="e">
        <f t="shared" si="198"/>
        <v>#REF!</v>
      </c>
      <c r="CG389" s="8" t="e">
        <f t="shared" si="198"/>
        <v>#REF!</v>
      </c>
      <c r="CH389" s="8" t="e">
        <f t="shared" si="198"/>
        <v>#REF!</v>
      </c>
      <c r="CI389" s="8" t="e">
        <f t="shared" si="198"/>
        <v>#REF!</v>
      </c>
      <c r="CJ389" s="8" t="e">
        <f t="shared" si="198"/>
        <v>#REF!</v>
      </c>
    </row>
    <row r="390" spans="32:88">
      <c r="AF390" s="154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J390" s="294"/>
      <c r="BK390" s="136" t="s">
        <v>278</v>
      </c>
      <c r="BL390" s="8">
        <f t="shared" si="196"/>
        <v>0</v>
      </c>
      <c r="BM390" s="8">
        <f t="shared" si="196"/>
        <v>-3.8530120764720491E-10</v>
      </c>
      <c r="BN390" s="8">
        <f t="shared" si="196"/>
        <v>4320549.5518574901</v>
      </c>
      <c r="BO390" s="8">
        <f t="shared" si="196"/>
        <v>11754604.002474599</v>
      </c>
      <c r="BP390" s="8">
        <f t="shared" si="196"/>
        <v>13230054.543294972</v>
      </c>
      <c r="BQ390" s="8">
        <f t="shared" si="196"/>
        <v>13066248.761176612</v>
      </c>
      <c r="BR390" s="8">
        <f t="shared" si="196"/>
        <v>11659641.306280395</v>
      </c>
      <c r="BS390" s="8">
        <f t="shared" si="196"/>
        <v>11253636.719903797</v>
      </c>
      <c r="BT390" s="8">
        <f t="shared" si="196"/>
        <v>5982085.5061930651</v>
      </c>
      <c r="BU390" s="8">
        <f t="shared" si="196"/>
        <v>5324141.1427217368</v>
      </c>
      <c r="BV390" s="8">
        <f t="shared" si="197"/>
        <v>5059614.9108191663</v>
      </c>
      <c r="BW390" s="8">
        <f t="shared" si="197"/>
        <v>4783768.4341767188</v>
      </c>
      <c r="BX390" s="8">
        <f t="shared" si="197"/>
        <v>4563239.5784062482</v>
      </c>
      <c r="BY390" s="8">
        <f t="shared" si="197"/>
        <v>3263604.7764704479</v>
      </c>
      <c r="BZ390" s="8">
        <f t="shared" si="197"/>
        <v>2482945.2322188197</v>
      </c>
      <c r="CA390" s="8">
        <f t="shared" si="197"/>
        <v>1666210.4809233805</v>
      </c>
      <c r="CB390" s="8">
        <f t="shared" si="197"/>
        <v>1603932.3454747132</v>
      </c>
      <c r="CC390" s="8">
        <f t="shared" si="197"/>
        <v>1592053.1582803116</v>
      </c>
      <c r="CD390" s="8">
        <f t="shared" si="197"/>
        <v>1593218.0049679205</v>
      </c>
      <c r="CE390" s="8">
        <f t="shared" si="197"/>
        <v>1554723.2298882261</v>
      </c>
      <c r="CF390" s="8">
        <f t="shared" si="198"/>
        <v>1486729.1806685736</v>
      </c>
      <c r="CG390" s="8">
        <f t="shared" si="198"/>
        <v>1460574.2303971651</v>
      </c>
      <c r="CH390" s="8">
        <f t="shared" si="198"/>
        <v>1424813.2282331886</v>
      </c>
      <c r="CI390" s="8">
        <f t="shared" si="198"/>
        <v>1388474.7459054256</v>
      </c>
      <c r="CJ390" s="8">
        <f t="shared" si="198"/>
        <v>1332696.4718615662</v>
      </c>
    </row>
    <row r="391" spans="32:88" ht="30">
      <c r="AF391" s="292" t="s">
        <v>365</v>
      </c>
      <c r="AG391" s="136" t="s">
        <v>343</v>
      </c>
      <c r="AH391" s="8" t="e">
        <f t="shared" ref="AH391:BF391" si="201">AH287*$AI$266/100+AH297*$AI$275/100+AH317*($AI$255/100*$AP$255+$AI$256/100*$AP$256)</f>
        <v>#REF!</v>
      </c>
      <c r="AI391" s="8" t="e">
        <f t="shared" si="201"/>
        <v>#REF!</v>
      </c>
      <c r="AJ391" s="8" t="e">
        <f t="shared" si="201"/>
        <v>#REF!</v>
      </c>
      <c r="AK391" s="8" t="e">
        <f t="shared" si="201"/>
        <v>#REF!</v>
      </c>
      <c r="AL391" s="8" t="e">
        <f t="shared" si="201"/>
        <v>#REF!</v>
      </c>
      <c r="AM391" s="8" t="e">
        <f t="shared" si="201"/>
        <v>#REF!</v>
      </c>
      <c r="AN391" s="8" t="e">
        <f t="shared" si="201"/>
        <v>#REF!</v>
      </c>
      <c r="AO391" s="8" t="e">
        <f t="shared" si="201"/>
        <v>#REF!</v>
      </c>
      <c r="AP391" s="8" t="e">
        <f t="shared" si="201"/>
        <v>#REF!</v>
      </c>
      <c r="AQ391" s="8" t="e">
        <f t="shared" si="201"/>
        <v>#REF!</v>
      </c>
      <c r="AR391" s="8" t="e">
        <f t="shared" si="201"/>
        <v>#REF!</v>
      </c>
      <c r="AS391" s="8" t="e">
        <f t="shared" si="201"/>
        <v>#REF!</v>
      </c>
      <c r="AT391" s="8" t="e">
        <f t="shared" si="201"/>
        <v>#REF!</v>
      </c>
      <c r="AU391" s="8" t="e">
        <f t="shared" si="201"/>
        <v>#REF!</v>
      </c>
      <c r="AV391" s="8" t="e">
        <f t="shared" si="201"/>
        <v>#REF!</v>
      </c>
      <c r="AW391" s="8" t="e">
        <f t="shared" si="201"/>
        <v>#REF!</v>
      </c>
      <c r="AX391" s="8" t="e">
        <f t="shared" si="201"/>
        <v>#REF!</v>
      </c>
      <c r="AY391" s="8" t="e">
        <f t="shared" si="201"/>
        <v>#REF!</v>
      </c>
      <c r="AZ391" s="8" t="e">
        <f t="shared" si="201"/>
        <v>#REF!</v>
      </c>
      <c r="BA391" s="8" t="e">
        <f t="shared" si="201"/>
        <v>#REF!</v>
      </c>
      <c r="BB391" s="8" t="e">
        <f t="shared" si="201"/>
        <v>#REF!</v>
      </c>
      <c r="BC391" s="8" t="e">
        <f t="shared" si="201"/>
        <v>#REF!</v>
      </c>
      <c r="BD391" s="8" t="e">
        <f t="shared" si="201"/>
        <v>#REF!</v>
      </c>
      <c r="BE391" s="8" t="e">
        <f t="shared" si="201"/>
        <v>#REF!</v>
      </c>
      <c r="BF391" s="8" t="e">
        <f t="shared" si="201"/>
        <v>#REF!</v>
      </c>
      <c r="BJ391" s="294"/>
      <c r="BK391" s="136" t="s">
        <v>347</v>
      </c>
      <c r="BL391" s="8" t="e">
        <f t="shared" si="196"/>
        <v>#REF!</v>
      </c>
      <c r="BM391" s="8" t="e">
        <f t="shared" si="196"/>
        <v>#REF!</v>
      </c>
      <c r="BN391" s="8" t="e">
        <f t="shared" si="196"/>
        <v>#REF!</v>
      </c>
      <c r="BO391" s="8" t="e">
        <f t="shared" si="196"/>
        <v>#REF!</v>
      </c>
      <c r="BP391" s="8" t="e">
        <f t="shared" si="196"/>
        <v>#REF!</v>
      </c>
      <c r="BQ391" s="8" t="e">
        <f t="shared" si="196"/>
        <v>#REF!</v>
      </c>
      <c r="BR391" s="8" t="e">
        <f t="shared" si="196"/>
        <v>#REF!</v>
      </c>
      <c r="BS391" s="8" t="e">
        <f t="shared" si="196"/>
        <v>#REF!</v>
      </c>
      <c r="BT391" s="8" t="e">
        <f t="shared" si="196"/>
        <v>#REF!</v>
      </c>
      <c r="BU391" s="8" t="e">
        <f t="shared" si="196"/>
        <v>#REF!</v>
      </c>
      <c r="BV391" s="8" t="e">
        <f t="shared" si="197"/>
        <v>#REF!</v>
      </c>
      <c r="BW391" s="8" t="e">
        <f t="shared" si="197"/>
        <v>#REF!</v>
      </c>
      <c r="BX391" s="8" t="e">
        <f t="shared" si="197"/>
        <v>#REF!</v>
      </c>
      <c r="BY391" s="8" t="e">
        <f t="shared" si="197"/>
        <v>#REF!</v>
      </c>
      <c r="BZ391" s="8" t="e">
        <f t="shared" si="197"/>
        <v>#REF!</v>
      </c>
      <c r="CA391" s="8" t="e">
        <f t="shared" si="197"/>
        <v>#REF!</v>
      </c>
      <c r="CB391" s="8" t="e">
        <f t="shared" si="197"/>
        <v>#REF!</v>
      </c>
      <c r="CC391" s="8" t="e">
        <f t="shared" si="197"/>
        <v>#REF!</v>
      </c>
      <c r="CD391" s="8" t="e">
        <f t="shared" si="197"/>
        <v>#REF!</v>
      </c>
      <c r="CE391" s="8" t="e">
        <f t="shared" si="197"/>
        <v>#REF!</v>
      </c>
      <c r="CF391" s="8" t="e">
        <f t="shared" si="198"/>
        <v>#REF!</v>
      </c>
      <c r="CG391" s="8" t="e">
        <f t="shared" si="198"/>
        <v>#REF!</v>
      </c>
      <c r="CH391" s="8" t="e">
        <f t="shared" si="198"/>
        <v>#REF!</v>
      </c>
      <c r="CI391" s="8" t="e">
        <f t="shared" si="198"/>
        <v>#REF!</v>
      </c>
      <c r="CJ391" s="8" t="e">
        <f t="shared" si="198"/>
        <v>#REF!</v>
      </c>
    </row>
    <row r="392" spans="32:88">
      <c r="AF392" s="292"/>
      <c r="AG392" s="136" t="s">
        <v>345</v>
      </c>
      <c r="AH392" s="8" t="e">
        <f t="shared" ref="AH392:BF392" si="202">AH288*$AI$266/100+AH298*$AI$275/100+AH318*($AI$255/100*$AP$255+$AI$256/100*$AP$256)</f>
        <v>#REF!</v>
      </c>
      <c r="AI392" s="8" t="e">
        <f t="shared" si="202"/>
        <v>#REF!</v>
      </c>
      <c r="AJ392" s="8" t="e">
        <f t="shared" si="202"/>
        <v>#REF!</v>
      </c>
      <c r="AK392" s="8" t="e">
        <f t="shared" si="202"/>
        <v>#REF!</v>
      </c>
      <c r="AL392" s="8" t="e">
        <f t="shared" si="202"/>
        <v>#REF!</v>
      </c>
      <c r="AM392" s="8" t="e">
        <f t="shared" si="202"/>
        <v>#REF!</v>
      </c>
      <c r="AN392" s="8" t="e">
        <f t="shared" si="202"/>
        <v>#REF!</v>
      </c>
      <c r="AO392" s="8" t="e">
        <f t="shared" si="202"/>
        <v>#REF!</v>
      </c>
      <c r="AP392" s="8" t="e">
        <f t="shared" si="202"/>
        <v>#REF!</v>
      </c>
      <c r="AQ392" s="8" t="e">
        <f t="shared" si="202"/>
        <v>#REF!</v>
      </c>
      <c r="AR392" s="8" t="e">
        <f t="shared" si="202"/>
        <v>#REF!</v>
      </c>
      <c r="AS392" s="8" t="e">
        <f t="shared" si="202"/>
        <v>#REF!</v>
      </c>
      <c r="AT392" s="8" t="e">
        <f t="shared" si="202"/>
        <v>#REF!</v>
      </c>
      <c r="AU392" s="8" t="e">
        <f t="shared" si="202"/>
        <v>#REF!</v>
      </c>
      <c r="AV392" s="8" t="e">
        <f t="shared" si="202"/>
        <v>#REF!</v>
      </c>
      <c r="AW392" s="8" t="e">
        <f t="shared" si="202"/>
        <v>#REF!</v>
      </c>
      <c r="AX392" s="8" t="e">
        <f t="shared" si="202"/>
        <v>#REF!</v>
      </c>
      <c r="AY392" s="8" t="e">
        <f t="shared" si="202"/>
        <v>#REF!</v>
      </c>
      <c r="AZ392" s="8" t="e">
        <f t="shared" si="202"/>
        <v>#REF!</v>
      </c>
      <c r="BA392" s="8" t="e">
        <f t="shared" si="202"/>
        <v>#REF!</v>
      </c>
      <c r="BB392" s="8" t="e">
        <f t="shared" si="202"/>
        <v>#REF!</v>
      </c>
      <c r="BC392" s="8" t="e">
        <f t="shared" si="202"/>
        <v>#REF!</v>
      </c>
      <c r="BD392" s="8" t="e">
        <f t="shared" si="202"/>
        <v>#REF!</v>
      </c>
      <c r="BE392" s="8" t="e">
        <f t="shared" si="202"/>
        <v>#REF!</v>
      </c>
      <c r="BF392" s="8" t="e">
        <f t="shared" si="202"/>
        <v>#REF!</v>
      </c>
      <c r="BJ392" s="294"/>
      <c r="BK392" s="136" t="s">
        <v>348</v>
      </c>
      <c r="BL392" s="8" t="e">
        <f t="shared" si="196"/>
        <v>#REF!</v>
      </c>
      <c r="BM392" s="8" t="e">
        <f t="shared" si="196"/>
        <v>#REF!</v>
      </c>
      <c r="BN392" s="8" t="e">
        <f t="shared" si="196"/>
        <v>#REF!</v>
      </c>
      <c r="BO392" s="8" t="e">
        <f t="shared" si="196"/>
        <v>#REF!</v>
      </c>
      <c r="BP392" s="8" t="e">
        <f t="shared" si="196"/>
        <v>#REF!</v>
      </c>
      <c r="BQ392" s="8" t="e">
        <f t="shared" si="196"/>
        <v>#REF!</v>
      </c>
      <c r="BR392" s="8" t="e">
        <f t="shared" si="196"/>
        <v>#REF!</v>
      </c>
      <c r="BS392" s="8" t="e">
        <f t="shared" si="196"/>
        <v>#REF!</v>
      </c>
      <c r="BT392" s="8" t="e">
        <f t="shared" si="196"/>
        <v>#REF!</v>
      </c>
      <c r="BU392" s="8" t="e">
        <f t="shared" si="196"/>
        <v>#REF!</v>
      </c>
      <c r="BV392" s="8" t="e">
        <f t="shared" si="197"/>
        <v>#REF!</v>
      </c>
      <c r="BW392" s="8" t="e">
        <f t="shared" si="197"/>
        <v>#REF!</v>
      </c>
      <c r="BX392" s="8" t="e">
        <f t="shared" si="197"/>
        <v>#REF!</v>
      </c>
      <c r="BY392" s="8" t="e">
        <f t="shared" si="197"/>
        <v>#REF!</v>
      </c>
      <c r="BZ392" s="8" t="e">
        <f t="shared" si="197"/>
        <v>#REF!</v>
      </c>
      <c r="CA392" s="8" t="e">
        <f t="shared" si="197"/>
        <v>#REF!</v>
      </c>
      <c r="CB392" s="8" t="e">
        <f t="shared" si="197"/>
        <v>#REF!</v>
      </c>
      <c r="CC392" s="8" t="e">
        <f t="shared" si="197"/>
        <v>#REF!</v>
      </c>
      <c r="CD392" s="8" t="e">
        <f t="shared" si="197"/>
        <v>#REF!</v>
      </c>
      <c r="CE392" s="8" t="e">
        <f t="shared" si="197"/>
        <v>#REF!</v>
      </c>
      <c r="CF392" s="8" t="e">
        <f t="shared" si="198"/>
        <v>#REF!</v>
      </c>
      <c r="CG392" s="8" t="e">
        <f t="shared" si="198"/>
        <v>#REF!</v>
      </c>
      <c r="CH392" s="8" t="e">
        <f t="shared" si="198"/>
        <v>#REF!</v>
      </c>
      <c r="CI392" s="8" t="e">
        <f t="shared" si="198"/>
        <v>#REF!</v>
      </c>
      <c r="CJ392" s="8" t="e">
        <f t="shared" si="198"/>
        <v>#REF!</v>
      </c>
    </row>
    <row r="393" spans="32:88">
      <c r="AF393" s="292"/>
      <c r="AG393" s="136" t="s">
        <v>346</v>
      </c>
      <c r="AH393" s="8" t="e">
        <f t="shared" ref="AH393:BF393" si="203">AH289*$AI$266/100+AH299*$AI$275/100+AH319*($AI$255/100*$AP$255+$AI$256/100*$AP$256)</f>
        <v>#REF!</v>
      </c>
      <c r="AI393" s="8" t="e">
        <f t="shared" si="203"/>
        <v>#REF!</v>
      </c>
      <c r="AJ393" s="8" t="e">
        <f t="shared" si="203"/>
        <v>#REF!</v>
      </c>
      <c r="AK393" s="8" t="e">
        <f t="shared" si="203"/>
        <v>#REF!</v>
      </c>
      <c r="AL393" s="8" t="e">
        <f t="shared" si="203"/>
        <v>#REF!</v>
      </c>
      <c r="AM393" s="8" t="e">
        <f t="shared" si="203"/>
        <v>#REF!</v>
      </c>
      <c r="AN393" s="8" t="e">
        <f t="shared" si="203"/>
        <v>#REF!</v>
      </c>
      <c r="AO393" s="8" t="e">
        <f t="shared" si="203"/>
        <v>#REF!</v>
      </c>
      <c r="AP393" s="8" t="e">
        <f t="shared" si="203"/>
        <v>#REF!</v>
      </c>
      <c r="AQ393" s="8" t="e">
        <f t="shared" si="203"/>
        <v>#REF!</v>
      </c>
      <c r="AR393" s="8" t="e">
        <f t="shared" si="203"/>
        <v>#REF!</v>
      </c>
      <c r="AS393" s="8" t="e">
        <f t="shared" si="203"/>
        <v>#REF!</v>
      </c>
      <c r="AT393" s="8" t="e">
        <f t="shared" si="203"/>
        <v>#REF!</v>
      </c>
      <c r="AU393" s="8" t="e">
        <f t="shared" si="203"/>
        <v>#REF!</v>
      </c>
      <c r="AV393" s="8" t="e">
        <f t="shared" si="203"/>
        <v>#REF!</v>
      </c>
      <c r="AW393" s="8" t="e">
        <f t="shared" si="203"/>
        <v>#REF!</v>
      </c>
      <c r="AX393" s="8" t="e">
        <f t="shared" si="203"/>
        <v>#REF!</v>
      </c>
      <c r="AY393" s="8" t="e">
        <f t="shared" si="203"/>
        <v>#REF!</v>
      </c>
      <c r="AZ393" s="8" t="e">
        <f t="shared" si="203"/>
        <v>#REF!</v>
      </c>
      <c r="BA393" s="8" t="e">
        <f t="shared" si="203"/>
        <v>#REF!</v>
      </c>
      <c r="BB393" s="8" t="e">
        <f t="shared" si="203"/>
        <v>#REF!</v>
      </c>
      <c r="BC393" s="8" t="e">
        <f t="shared" si="203"/>
        <v>#REF!</v>
      </c>
      <c r="BD393" s="8" t="e">
        <f t="shared" si="203"/>
        <v>#REF!</v>
      </c>
      <c r="BE393" s="8" t="e">
        <f t="shared" si="203"/>
        <v>#REF!</v>
      </c>
      <c r="BF393" s="8" t="e">
        <f t="shared" si="203"/>
        <v>#REF!</v>
      </c>
      <c r="BJ393" s="294"/>
      <c r="BK393" s="136" t="s">
        <v>349</v>
      </c>
      <c r="BL393" s="8" t="e">
        <f t="shared" si="196"/>
        <v>#REF!</v>
      </c>
      <c r="BM393" s="8" t="e">
        <f t="shared" si="196"/>
        <v>#REF!</v>
      </c>
      <c r="BN393" s="8" t="e">
        <f t="shared" si="196"/>
        <v>#REF!</v>
      </c>
      <c r="BO393" s="8" t="e">
        <f t="shared" si="196"/>
        <v>#REF!</v>
      </c>
      <c r="BP393" s="8" t="e">
        <f t="shared" si="196"/>
        <v>#REF!</v>
      </c>
      <c r="BQ393" s="8" t="e">
        <f t="shared" si="196"/>
        <v>#REF!</v>
      </c>
      <c r="BR393" s="8" t="e">
        <f t="shared" si="196"/>
        <v>#REF!</v>
      </c>
      <c r="BS393" s="8" t="e">
        <f t="shared" si="196"/>
        <v>#REF!</v>
      </c>
      <c r="BT393" s="8" t="e">
        <f t="shared" si="196"/>
        <v>#REF!</v>
      </c>
      <c r="BU393" s="8" t="e">
        <f t="shared" si="196"/>
        <v>#REF!</v>
      </c>
      <c r="BV393" s="8" t="e">
        <f t="shared" si="197"/>
        <v>#REF!</v>
      </c>
      <c r="BW393" s="8" t="e">
        <f t="shared" si="197"/>
        <v>#REF!</v>
      </c>
      <c r="BX393" s="8" t="e">
        <f t="shared" si="197"/>
        <v>#REF!</v>
      </c>
      <c r="BY393" s="8" t="e">
        <f t="shared" si="197"/>
        <v>#REF!</v>
      </c>
      <c r="BZ393" s="8" t="e">
        <f t="shared" si="197"/>
        <v>#REF!</v>
      </c>
      <c r="CA393" s="8" t="e">
        <f t="shared" si="197"/>
        <v>#REF!</v>
      </c>
      <c r="CB393" s="8" t="e">
        <f t="shared" si="197"/>
        <v>#REF!</v>
      </c>
      <c r="CC393" s="8" t="e">
        <f t="shared" si="197"/>
        <v>#REF!</v>
      </c>
      <c r="CD393" s="8" t="e">
        <f t="shared" si="197"/>
        <v>#REF!</v>
      </c>
      <c r="CE393" s="8" t="e">
        <f t="shared" si="197"/>
        <v>#REF!</v>
      </c>
      <c r="CF393" s="8" t="e">
        <f t="shared" si="198"/>
        <v>#REF!</v>
      </c>
      <c r="CG393" s="8" t="e">
        <f t="shared" si="198"/>
        <v>#REF!</v>
      </c>
      <c r="CH393" s="8" t="e">
        <f t="shared" si="198"/>
        <v>#REF!</v>
      </c>
      <c r="CI393" s="8" t="e">
        <f t="shared" si="198"/>
        <v>#REF!</v>
      </c>
      <c r="CJ393" s="8" t="e">
        <f t="shared" si="198"/>
        <v>#REF!</v>
      </c>
    </row>
    <row r="394" spans="32:88">
      <c r="AF394" s="292"/>
      <c r="AG394" s="136" t="s">
        <v>278</v>
      </c>
      <c r="AH394" s="8">
        <f t="shared" ref="AH394:BF394" si="204">AH290*$AI$266/100+AH300*$AI$275/100+AH320*($AI$255/100*$AP$255+$AI$256/100*$AP$256)</f>
        <v>0</v>
      </c>
      <c r="AI394" s="8">
        <f t="shared" si="204"/>
        <v>0</v>
      </c>
      <c r="AJ394" s="8">
        <f t="shared" si="204"/>
        <v>0</v>
      </c>
      <c r="AK394" s="8">
        <f t="shared" si="204"/>
        <v>0</v>
      </c>
      <c r="AL394" s="8">
        <f t="shared" si="204"/>
        <v>341249.14503434487</v>
      </c>
      <c r="AM394" s="8">
        <f t="shared" si="204"/>
        <v>2828810.8542438536</v>
      </c>
      <c r="AN394" s="8">
        <f t="shared" si="204"/>
        <v>4149419.8268935443</v>
      </c>
      <c r="AO394" s="8">
        <f t="shared" si="204"/>
        <v>4813550.2180639403</v>
      </c>
      <c r="AP394" s="8">
        <f t="shared" si="204"/>
        <v>2833987.7706292938</v>
      </c>
      <c r="AQ394" s="8">
        <f t="shared" si="204"/>
        <v>2687803.6209350126</v>
      </c>
      <c r="AR394" s="8">
        <f t="shared" si="204"/>
        <v>2666731.2036962728</v>
      </c>
      <c r="AS394" s="8">
        <f t="shared" si="204"/>
        <v>2601992.5921775904</v>
      </c>
      <c r="AT394" s="8">
        <f t="shared" si="204"/>
        <v>2577207.7887465376</v>
      </c>
      <c r="AU394" s="8">
        <f t="shared" si="204"/>
        <v>1871089.0197378835</v>
      </c>
      <c r="AV394" s="8">
        <f t="shared" si="204"/>
        <v>1444113.4574123856</v>
      </c>
      <c r="AW394" s="8">
        <f t="shared" si="204"/>
        <v>982462.20076984866</v>
      </c>
      <c r="AX394" s="8">
        <f t="shared" si="204"/>
        <v>958157.3313892032</v>
      </c>
      <c r="AY394" s="8">
        <f t="shared" si="204"/>
        <v>910843.12466981832</v>
      </c>
      <c r="AZ394" s="8">
        <f t="shared" si="204"/>
        <v>880358.29840589722</v>
      </c>
      <c r="BA394" s="8">
        <f t="shared" si="204"/>
        <v>856972.59779821744</v>
      </c>
      <c r="BB394" s="8">
        <f t="shared" si="204"/>
        <v>836350.44724503066</v>
      </c>
      <c r="BC394" s="8">
        <f t="shared" si="204"/>
        <v>815906.79014890955</v>
      </c>
      <c r="BD394" s="8">
        <f t="shared" si="204"/>
        <v>795888.28408395464</v>
      </c>
      <c r="BE394" s="8">
        <f t="shared" si="204"/>
        <v>776252.36076865892</v>
      </c>
      <c r="BF394" s="8">
        <f t="shared" si="204"/>
        <v>757109.05319909414</v>
      </c>
      <c r="BJ394" s="294"/>
      <c r="BK394" s="136" t="s">
        <v>246</v>
      </c>
      <c r="BL394" s="8">
        <f t="shared" si="196"/>
        <v>0</v>
      </c>
      <c r="BM394" s="8">
        <f t="shared" si="196"/>
        <v>-8.4127507883157715E-12</v>
      </c>
      <c r="BN394" s="8">
        <f t="shared" si="196"/>
        <v>92853.186178296586</v>
      </c>
      <c r="BO394" s="8">
        <f t="shared" si="196"/>
        <v>248441.71079828549</v>
      </c>
      <c r="BP394" s="8">
        <f t="shared" si="196"/>
        <v>275914.34369511792</v>
      </c>
      <c r="BQ394" s="8">
        <f t="shared" si="196"/>
        <v>269441.6398730824</v>
      </c>
      <c r="BR394" s="8">
        <f t="shared" si="196"/>
        <v>237514.92601645936</v>
      </c>
      <c r="BS394" s="8">
        <f t="shared" si="196"/>
        <v>226974.97512656797</v>
      </c>
      <c r="BT394" s="8">
        <f t="shared" si="196"/>
        <v>87747.851799494238</v>
      </c>
      <c r="BU394" s="8">
        <f t="shared" si="196"/>
        <v>77447.927973993123</v>
      </c>
      <c r="BV394" s="8">
        <f t="shared" si="197"/>
        <v>73403.246069855784</v>
      </c>
      <c r="BW394" s="8">
        <f t="shared" si="197"/>
        <v>69213.172600523336</v>
      </c>
      <c r="BX394" s="8">
        <f t="shared" si="197"/>
        <v>65868.916120545298</v>
      </c>
      <c r="BY394" s="8">
        <f t="shared" si="197"/>
        <v>46615.2964659961</v>
      </c>
      <c r="BZ394" s="8">
        <f t="shared" si="197"/>
        <v>35074.446611717765</v>
      </c>
      <c r="CA394" s="8">
        <f t="shared" si="197"/>
        <v>22993.704636742652</v>
      </c>
      <c r="CB394" s="8">
        <f t="shared" si="197"/>
        <v>22134.266367551034</v>
      </c>
      <c r="CC394" s="8">
        <f t="shared" si="197"/>
        <v>21970.333584268294</v>
      </c>
      <c r="CD394" s="8">
        <f t="shared" si="197"/>
        <v>21986.408468557303</v>
      </c>
      <c r="CE394" s="8">
        <f t="shared" si="197"/>
        <v>21455.180572457524</v>
      </c>
      <c r="CF394" s="8">
        <f t="shared" si="198"/>
        <v>20516.862693226314</v>
      </c>
      <c r="CG394" s="8">
        <f t="shared" si="198"/>
        <v>20155.924379480879</v>
      </c>
      <c r="CH394" s="8">
        <f t="shared" si="198"/>
        <v>19662.422549618008</v>
      </c>
      <c r="CI394" s="8">
        <f t="shared" si="198"/>
        <v>19160.951493494871</v>
      </c>
      <c r="CJ394" s="8">
        <f t="shared" si="198"/>
        <v>18391.211311689607</v>
      </c>
    </row>
    <row r="395" spans="32:88">
      <c r="AF395" s="292"/>
      <c r="AG395" s="136" t="s">
        <v>347</v>
      </c>
      <c r="AH395" s="8" t="e">
        <f t="shared" ref="AH395:BF395" si="205">AH291*$AI$266/100+AH301*$AI$275/100+AH321*($AI$255/100*$AP$255+$AI$256/100*$AP$256)</f>
        <v>#REF!</v>
      </c>
      <c r="AI395" s="8" t="e">
        <f t="shared" si="205"/>
        <v>#REF!</v>
      </c>
      <c r="AJ395" s="8" t="e">
        <f t="shared" si="205"/>
        <v>#REF!</v>
      </c>
      <c r="AK395" s="8" t="e">
        <f t="shared" si="205"/>
        <v>#REF!</v>
      </c>
      <c r="AL395" s="8" t="e">
        <f t="shared" si="205"/>
        <v>#REF!</v>
      </c>
      <c r="AM395" s="8" t="e">
        <f t="shared" si="205"/>
        <v>#REF!</v>
      </c>
      <c r="AN395" s="8" t="e">
        <f t="shared" si="205"/>
        <v>#REF!</v>
      </c>
      <c r="AO395" s="8" t="e">
        <f t="shared" si="205"/>
        <v>#REF!</v>
      </c>
      <c r="AP395" s="8" t="e">
        <f t="shared" si="205"/>
        <v>#REF!</v>
      </c>
      <c r="AQ395" s="8" t="e">
        <f t="shared" si="205"/>
        <v>#REF!</v>
      </c>
      <c r="AR395" s="8" t="e">
        <f t="shared" si="205"/>
        <v>#REF!</v>
      </c>
      <c r="AS395" s="8" t="e">
        <f t="shared" si="205"/>
        <v>#REF!</v>
      </c>
      <c r="AT395" s="8" t="e">
        <f t="shared" si="205"/>
        <v>#REF!</v>
      </c>
      <c r="AU395" s="8" t="e">
        <f t="shared" si="205"/>
        <v>#REF!</v>
      </c>
      <c r="AV395" s="8" t="e">
        <f t="shared" si="205"/>
        <v>#REF!</v>
      </c>
      <c r="AW395" s="8" t="e">
        <f t="shared" si="205"/>
        <v>#REF!</v>
      </c>
      <c r="AX395" s="8" t="e">
        <f t="shared" si="205"/>
        <v>#REF!</v>
      </c>
      <c r="AY395" s="8" t="e">
        <f t="shared" si="205"/>
        <v>#REF!</v>
      </c>
      <c r="AZ395" s="8" t="e">
        <f t="shared" si="205"/>
        <v>#REF!</v>
      </c>
      <c r="BA395" s="8" t="e">
        <f t="shared" si="205"/>
        <v>#REF!</v>
      </c>
      <c r="BB395" s="8" t="e">
        <f t="shared" si="205"/>
        <v>#REF!</v>
      </c>
      <c r="BC395" s="8" t="e">
        <f t="shared" si="205"/>
        <v>#REF!</v>
      </c>
      <c r="BD395" s="8" t="e">
        <f t="shared" si="205"/>
        <v>#REF!</v>
      </c>
      <c r="BE395" s="8" t="e">
        <f t="shared" si="205"/>
        <v>#REF!</v>
      </c>
      <c r="BF395" s="8" t="e">
        <f t="shared" si="205"/>
        <v>#REF!</v>
      </c>
      <c r="BJ395" s="155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</row>
    <row r="396" spans="32:88">
      <c r="AF396" s="292"/>
      <c r="AG396" s="136" t="s">
        <v>348</v>
      </c>
      <c r="AH396" s="8" t="e">
        <f t="shared" ref="AH396:BF396" si="206">AH292*$AI$266/100+AH302*$AI$275/100+AH322*($AI$255/100*$AP$255+$AI$256/100*$AP$256)</f>
        <v>#REF!</v>
      </c>
      <c r="AI396" s="8" t="e">
        <f t="shared" si="206"/>
        <v>#REF!</v>
      </c>
      <c r="AJ396" s="8" t="e">
        <f t="shared" si="206"/>
        <v>#REF!</v>
      </c>
      <c r="AK396" s="8" t="e">
        <f t="shared" si="206"/>
        <v>#REF!</v>
      </c>
      <c r="AL396" s="8" t="e">
        <f t="shared" si="206"/>
        <v>#REF!</v>
      </c>
      <c r="AM396" s="8" t="e">
        <f t="shared" si="206"/>
        <v>#REF!</v>
      </c>
      <c r="AN396" s="8" t="e">
        <f t="shared" si="206"/>
        <v>#REF!</v>
      </c>
      <c r="AO396" s="8" t="e">
        <f t="shared" si="206"/>
        <v>#REF!</v>
      </c>
      <c r="AP396" s="8" t="e">
        <f t="shared" si="206"/>
        <v>#REF!</v>
      </c>
      <c r="AQ396" s="8" t="e">
        <f t="shared" si="206"/>
        <v>#REF!</v>
      </c>
      <c r="AR396" s="8" t="e">
        <f t="shared" si="206"/>
        <v>#REF!</v>
      </c>
      <c r="AS396" s="8" t="e">
        <f t="shared" si="206"/>
        <v>#REF!</v>
      </c>
      <c r="AT396" s="8" t="e">
        <f t="shared" si="206"/>
        <v>#REF!</v>
      </c>
      <c r="AU396" s="8" t="e">
        <f t="shared" si="206"/>
        <v>#REF!</v>
      </c>
      <c r="AV396" s="8" t="e">
        <f t="shared" si="206"/>
        <v>#REF!</v>
      </c>
      <c r="AW396" s="8" t="e">
        <f t="shared" si="206"/>
        <v>#REF!</v>
      </c>
      <c r="AX396" s="8" t="e">
        <f t="shared" si="206"/>
        <v>#REF!</v>
      </c>
      <c r="AY396" s="8" t="e">
        <f t="shared" si="206"/>
        <v>#REF!</v>
      </c>
      <c r="AZ396" s="8" t="e">
        <f t="shared" si="206"/>
        <v>#REF!</v>
      </c>
      <c r="BA396" s="8" t="e">
        <f t="shared" si="206"/>
        <v>#REF!</v>
      </c>
      <c r="BB396" s="8" t="e">
        <f t="shared" si="206"/>
        <v>#REF!</v>
      </c>
      <c r="BC396" s="8" t="e">
        <f t="shared" si="206"/>
        <v>#REF!</v>
      </c>
      <c r="BD396" s="8" t="e">
        <f t="shared" si="206"/>
        <v>#REF!</v>
      </c>
      <c r="BE396" s="8" t="e">
        <f t="shared" si="206"/>
        <v>#REF!</v>
      </c>
      <c r="BF396" s="8" t="e">
        <f t="shared" si="206"/>
        <v>#REF!</v>
      </c>
      <c r="BJ396" s="294" t="s">
        <v>407</v>
      </c>
      <c r="BK396" t="s">
        <v>401</v>
      </c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</row>
    <row r="397" spans="32:88">
      <c r="AF397" s="292"/>
      <c r="AG397" s="136" t="s">
        <v>349</v>
      </c>
      <c r="AH397" s="8" t="e">
        <f t="shared" ref="AH397:BF397" si="207">AH293*$AI$266/100+AH303*$AI$275/100+AH323*($AI$255/100*$AP$255+$AI$256/100*$AP$256)</f>
        <v>#REF!</v>
      </c>
      <c r="AI397" s="8" t="e">
        <f t="shared" si="207"/>
        <v>#REF!</v>
      </c>
      <c r="AJ397" s="8" t="e">
        <f t="shared" si="207"/>
        <v>#REF!</v>
      </c>
      <c r="AK397" s="8" t="e">
        <f t="shared" si="207"/>
        <v>#REF!</v>
      </c>
      <c r="AL397" s="8" t="e">
        <f t="shared" si="207"/>
        <v>#REF!</v>
      </c>
      <c r="AM397" s="8" t="e">
        <f t="shared" si="207"/>
        <v>#REF!</v>
      </c>
      <c r="AN397" s="8" t="e">
        <f t="shared" si="207"/>
        <v>#REF!</v>
      </c>
      <c r="AO397" s="8" t="e">
        <f t="shared" si="207"/>
        <v>#REF!</v>
      </c>
      <c r="AP397" s="8" t="e">
        <f t="shared" si="207"/>
        <v>#REF!</v>
      </c>
      <c r="AQ397" s="8" t="e">
        <f t="shared" si="207"/>
        <v>#REF!</v>
      </c>
      <c r="AR397" s="8" t="e">
        <f t="shared" si="207"/>
        <v>#REF!</v>
      </c>
      <c r="AS397" s="8" t="e">
        <f t="shared" si="207"/>
        <v>#REF!</v>
      </c>
      <c r="AT397" s="8" t="e">
        <f t="shared" si="207"/>
        <v>#REF!</v>
      </c>
      <c r="AU397" s="8" t="e">
        <f t="shared" si="207"/>
        <v>#REF!</v>
      </c>
      <c r="AV397" s="8" t="e">
        <f t="shared" si="207"/>
        <v>#REF!</v>
      </c>
      <c r="AW397" s="8" t="e">
        <f t="shared" si="207"/>
        <v>#REF!</v>
      </c>
      <c r="AX397" s="8" t="e">
        <f t="shared" si="207"/>
        <v>#REF!</v>
      </c>
      <c r="AY397" s="8" t="e">
        <f t="shared" si="207"/>
        <v>#REF!</v>
      </c>
      <c r="AZ397" s="8" t="e">
        <f t="shared" si="207"/>
        <v>#REF!</v>
      </c>
      <c r="BA397" s="8" t="e">
        <f t="shared" si="207"/>
        <v>#REF!</v>
      </c>
      <c r="BB397" s="8" t="e">
        <f t="shared" si="207"/>
        <v>#REF!</v>
      </c>
      <c r="BC397" s="8" t="e">
        <f t="shared" si="207"/>
        <v>#REF!</v>
      </c>
      <c r="BD397" s="8" t="e">
        <f t="shared" si="207"/>
        <v>#REF!</v>
      </c>
      <c r="BE397" s="8" t="e">
        <f t="shared" si="207"/>
        <v>#REF!</v>
      </c>
      <c r="BF397" s="8" t="e">
        <f t="shared" si="207"/>
        <v>#REF!</v>
      </c>
      <c r="BJ397" s="294"/>
      <c r="BK397" s="136" t="s">
        <v>343</v>
      </c>
      <c r="BL397" s="8" t="e">
        <f t="shared" ref="BL397:BU404" si="208">AH287*$AI$268/100+AH297*$AI$277/100+AH307*$AI$283/100</f>
        <v>#REF!</v>
      </c>
      <c r="BM397" s="8" t="e">
        <f t="shared" si="208"/>
        <v>#REF!</v>
      </c>
      <c r="BN397" s="8" t="e">
        <f t="shared" si="208"/>
        <v>#REF!</v>
      </c>
      <c r="BO397" s="8" t="e">
        <f t="shared" si="208"/>
        <v>#REF!</v>
      </c>
      <c r="BP397" s="8" t="e">
        <f t="shared" si="208"/>
        <v>#REF!</v>
      </c>
      <c r="BQ397" s="8" t="e">
        <f t="shared" si="208"/>
        <v>#REF!</v>
      </c>
      <c r="BR397" s="8" t="e">
        <f t="shared" si="208"/>
        <v>#REF!</v>
      </c>
      <c r="BS397" s="8" t="e">
        <f t="shared" si="208"/>
        <v>#REF!</v>
      </c>
      <c r="BT397" s="8" t="e">
        <f t="shared" si="208"/>
        <v>#REF!</v>
      </c>
      <c r="BU397" s="8" t="e">
        <f t="shared" si="208"/>
        <v>#REF!</v>
      </c>
      <c r="BV397" s="8" t="e">
        <f t="shared" ref="BV397:CE404" si="209">AR287*$AI$268/100+AR297*$AI$277/100+AR307*$AI$283/100</f>
        <v>#REF!</v>
      </c>
      <c r="BW397" s="8" t="e">
        <f t="shared" si="209"/>
        <v>#REF!</v>
      </c>
      <c r="BX397" s="8" t="e">
        <f t="shared" si="209"/>
        <v>#REF!</v>
      </c>
      <c r="BY397" s="8" t="e">
        <f t="shared" si="209"/>
        <v>#REF!</v>
      </c>
      <c r="BZ397" s="8" t="e">
        <f t="shared" si="209"/>
        <v>#REF!</v>
      </c>
      <c r="CA397" s="8" t="e">
        <f t="shared" si="209"/>
        <v>#REF!</v>
      </c>
      <c r="CB397" s="8" t="e">
        <f t="shared" si="209"/>
        <v>#REF!</v>
      </c>
      <c r="CC397" s="8" t="e">
        <f t="shared" si="209"/>
        <v>#REF!</v>
      </c>
      <c r="CD397" s="8" t="e">
        <f t="shared" si="209"/>
        <v>#REF!</v>
      </c>
      <c r="CE397" s="8" t="e">
        <f t="shared" si="209"/>
        <v>#REF!</v>
      </c>
      <c r="CF397" s="8" t="e">
        <f t="shared" ref="CF397:CJ404" si="210">BB287*$AI$268/100+BB297*$AI$277/100+BB307*$AI$283/100</f>
        <v>#REF!</v>
      </c>
      <c r="CG397" s="8" t="e">
        <f t="shared" si="210"/>
        <v>#REF!</v>
      </c>
      <c r="CH397" s="8" t="e">
        <f t="shared" si="210"/>
        <v>#REF!</v>
      </c>
      <c r="CI397" s="8" t="e">
        <f t="shared" si="210"/>
        <v>#REF!</v>
      </c>
      <c r="CJ397" s="8" t="e">
        <f t="shared" si="210"/>
        <v>#REF!</v>
      </c>
    </row>
    <row r="398" spans="32:88">
      <c r="AF398" s="292"/>
      <c r="AG398" s="136" t="s">
        <v>246</v>
      </c>
      <c r="AH398" s="8">
        <f t="shared" ref="AH398:BF398" si="211">AH294*$AI$266/100+AH304*$AI$275/100+AH324*($AI$255/100*$AP$255+$AI$256/100*$AP$256)</f>
        <v>0</v>
      </c>
      <c r="AI398" s="8">
        <f t="shared" si="211"/>
        <v>0</v>
      </c>
      <c r="AJ398" s="8">
        <f t="shared" si="211"/>
        <v>0</v>
      </c>
      <c r="AK398" s="8">
        <f t="shared" si="211"/>
        <v>0</v>
      </c>
      <c r="AL398" s="8">
        <f t="shared" si="211"/>
        <v>7116.7910593679053</v>
      </c>
      <c r="AM398" s="8">
        <f t="shared" si="211"/>
        <v>58333.455101738269</v>
      </c>
      <c r="AN398" s="8">
        <f t="shared" si="211"/>
        <v>84526.54050901116</v>
      </c>
      <c r="AO398" s="8">
        <f t="shared" si="211"/>
        <v>97084.655228224598</v>
      </c>
      <c r="AP398" s="8">
        <f t="shared" si="211"/>
        <v>41570.174588997688</v>
      </c>
      <c r="AQ398" s="8">
        <f t="shared" si="211"/>
        <v>39098.291285342893</v>
      </c>
      <c r="AR398" s="8">
        <f t="shared" si="211"/>
        <v>38688.06820228701</v>
      </c>
      <c r="AS398" s="8">
        <f t="shared" si="211"/>
        <v>37646.505023327765</v>
      </c>
      <c r="AT398" s="8">
        <f t="shared" si="211"/>
        <v>37201.177090388745</v>
      </c>
      <c r="AU398" s="8">
        <f t="shared" si="211"/>
        <v>26725.469333232311</v>
      </c>
      <c r="AV398" s="8">
        <f t="shared" si="211"/>
        <v>20399.757395377786</v>
      </c>
      <c r="AW398" s="8">
        <f t="shared" si="211"/>
        <v>13557.978370623914</v>
      </c>
      <c r="AX398" s="8">
        <f t="shared" si="211"/>
        <v>13222.571173171002</v>
      </c>
      <c r="AY398" s="8">
        <f t="shared" si="211"/>
        <v>12569.635120443492</v>
      </c>
      <c r="AZ398" s="8">
        <f t="shared" si="211"/>
        <v>12148.944518001383</v>
      </c>
      <c r="BA398" s="8">
        <f t="shared" si="211"/>
        <v>11826.2218496154</v>
      </c>
      <c r="BB398" s="8">
        <f t="shared" si="211"/>
        <v>11541.636171981419</v>
      </c>
      <c r="BC398" s="8">
        <f t="shared" si="211"/>
        <v>11259.513704054954</v>
      </c>
      <c r="BD398" s="8">
        <f t="shared" si="211"/>
        <v>10983.258320358578</v>
      </c>
      <c r="BE398" s="8">
        <f t="shared" si="211"/>
        <v>10712.28257860749</v>
      </c>
      <c r="BF398" s="8">
        <f t="shared" si="211"/>
        <v>10448.104934147499</v>
      </c>
      <c r="BJ398" s="294"/>
      <c r="BK398" s="136" t="s">
        <v>345</v>
      </c>
      <c r="BL398" s="8" t="e">
        <f t="shared" si="208"/>
        <v>#REF!</v>
      </c>
      <c r="BM398" s="8" t="e">
        <f t="shared" si="208"/>
        <v>#REF!</v>
      </c>
      <c r="BN398" s="8" t="e">
        <f t="shared" si="208"/>
        <v>#REF!</v>
      </c>
      <c r="BO398" s="8" t="e">
        <f t="shared" si="208"/>
        <v>#REF!</v>
      </c>
      <c r="BP398" s="8" t="e">
        <f t="shared" si="208"/>
        <v>#REF!</v>
      </c>
      <c r="BQ398" s="8" t="e">
        <f t="shared" si="208"/>
        <v>#REF!</v>
      </c>
      <c r="BR398" s="8" t="e">
        <f t="shared" si="208"/>
        <v>#REF!</v>
      </c>
      <c r="BS398" s="8" t="e">
        <f t="shared" si="208"/>
        <v>#REF!</v>
      </c>
      <c r="BT398" s="8" t="e">
        <f t="shared" si="208"/>
        <v>#REF!</v>
      </c>
      <c r="BU398" s="8" t="e">
        <f t="shared" si="208"/>
        <v>#REF!</v>
      </c>
      <c r="BV398" s="8" t="e">
        <f t="shared" si="209"/>
        <v>#REF!</v>
      </c>
      <c r="BW398" s="8" t="e">
        <f t="shared" si="209"/>
        <v>#REF!</v>
      </c>
      <c r="BX398" s="8" t="e">
        <f t="shared" si="209"/>
        <v>#REF!</v>
      </c>
      <c r="BY398" s="8" t="e">
        <f t="shared" si="209"/>
        <v>#REF!</v>
      </c>
      <c r="BZ398" s="8" t="e">
        <f t="shared" si="209"/>
        <v>#REF!</v>
      </c>
      <c r="CA398" s="8" t="e">
        <f t="shared" si="209"/>
        <v>#REF!</v>
      </c>
      <c r="CB398" s="8" t="e">
        <f t="shared" si="209"/>
        <v>#REF!</v>
      </c>
      <c r="CC398" s="8" t="e">
        <f t="shared" si="209"/>
        <v>#REF!</v>
      </c>
      <c r="CD398" s="8" t="e">
        <f t="shared" si="209"/>
        <v>#REF!</v>
      </c>
      <c r="CE398" s="8" t="e">
        <f t="shared" si="209"/>
        <v>#REF!</v>
      </c>
      <c r="CF398" s="8" t="e">
        <f t="shared" si="210"/>
        <v>#REF!</v>
      </c>
      <c r="CG398" s="8" t="e">
        <f t="shared" si="210"/>
        <v>#REF!</v>
      </c>
      <c r="CH398" s="8" t="e">
        <f t="shared" si="210"/>
        <v>#REF!</v>
      </c>
      <c r="CI398" s="8" t="e">
        <f t="shared" si="210"/>
        <v>#REF!</v>
      </c>
      <c r="CJ398" s="8" t="e">
        <f t="shared" si="210"/>
        <v>#REF!</v>
      </c>
    </row>
    <row r="399" spans="32:88">
      <c r="AF399" s="154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J399" s="294"/>
      <c r="BK399" s="136" t="s">
        <v>346</v>
      </c>
      <c r="BL399" s="8" t="e">
        <f t="shared" si="208"/>
        <v>#REF!</v>
      </c>
      <c r="BM399" s="8" t="e">
        <f t="shared" si="208"/>
        <v>#REF!</v>
      </c>
      <c r="BN399" s="8" t="e">
        <f t="shared" si="208"/>
        <v>#REF!</v>
      </c>
      <c r="BO399" s="8" t="e">
        <f t="shared" si="208"/>
        <v>#REF!</v>
      </c>
      <c r="BP399" s="8" t="e">
        <f t="shared" si="208"/>
        <v>#REF!</v>
      </c>
      <c r="BQ399" s="8" t="e">
        <f t="shared" si="208"/>
        <v>#REF!</v>
      </c>
      <c r="BR399" s="8" t="e">
        <f t="shared" si="208"/>
        <v>#REF!</v>
      </c>
      <c r="BS399" s="8" t="e">
        <f t="shared" si="208"/>
        <v>#REF!</v>
      </c>
      <c r="BT399" s="8" t="e">
        <f t="shared" si="208"/>
        <v>#REF!</v>
      </c>
      <c r="BU399" s="8" t="e">
        <f t="shared" si="208"/>
        <v>#REF!</v>
      </c>
      <c r="BV399" s="8" t="e">
        <f t="shared" si="209"/>
        <v>#REF!</v>
      </c>
      <c r="BW399" s="8" t="e">
        <f t="shared" si="209"/>
        <v>#REF!</v>
      </c>
      <c r="BX399" s="8" t="e">
        <f t="shared" si="209"/>
        <v>#REF!</v>
      </c>
      <c r="BY399" s="8" t="e">
        <f t="shared" si="209"/>
        <v>#REF!</v>
      </c>
      <c r="BZ399" s="8" t="e">
        <f t="shared" si="209"/>
        <v>#REF!</v>
      </c>
      <c r="CA399" s="8" t="e">
        <f t="shared" si="209"/>
        <v>#REF!</v>
      </c>
      <c r="CB399" s="8" t="e">
        <f t="shared" si="209"/>
        <v>#REF!</v>
      </c>
      <c r="CC399" s="8" t="e">
        <f t="shared" si="209"/>
        <v>#REF!</v>
      </c>
      <c r="CD399" s="8" t="e">
        <f t="shared" si="209"/>
        <v>#REF!</v>
      </c>
      <c r="CE399" s="8" t="e">
        <f t="shared" si="209"/>
        <v>#REF!</v>
      </c>
      <c r="CF399" s="8" t="e">
        <f t="shared" si="210"/>
        <v>#REF!</v>
      </c>
      <c r="CG399" s="8" t="e">
        <f t="shared" si="210"/>
        <v>#REF!</v>
      </c>
      <c r="CH399" s="8" t="e">
        <f t="shared" si="210"/>
        <v>#REF!</v>
      </c>
      <c r="CI399" s="8" t="e">
        <f t="shared" si="210"/>
        <v>#REF!</v>
      </c>
      <c r="CJ399" s="8" t="e">
        <f t="shared" si="210"/>
        <v>#REF!</v>
      </c>
    </row>
    <row r="400" spans="32:88" ht="14.65" customHeight="1">
      <c r="AF400" s="292" t="s">
        <v>408</v>
      </c>
      <c r="AG400" s="136" t="s">
        <v>343</v>
      </c>
      <c r="AH400" s="8" t="e">
        <f t="shared" ref="AH400:BF400" si="212">AH327*($AI$244/100*$AR$244+$AI$245/100*$AR$245+$AI$249/100*$AR$249)</f>
        <v>#REF!</v>
      </c>
      <c r="AI400" s="8" t="e">
        <f t="shared" si="212"/>
        <v>#REF!</v>
      </c>
      <c r="AJ400" s="8" t="e">
        <f t="shared" si="212"/>
        <v>#REF!</v>
      </c>
      <c r="AK400" s="8" t="e">
        <f t="shared" si="212"/>
        <v>#REF!</v>
      </c>
      <c r="AL400" s="8" t="e">
        <f t="shared" si="212"/>
        <v>#REF!</v>
      </c>
      <c r="AM400" s="8" t="e">
        <f t="shared" si="212"/>
        <v>#REF!</v>
      </c>
      <c r="AN400" s="8" t="e">
        <f t="shared" si="212"/>
        <v>#REF!</v>
      </c>
      <c r="AO400" s="8" t="e">
        <f t="shared" si="212"/>
        <v>#REF!</v>
      </c>
      <c r="AP400" s="8" t="e">
        <f t="shared" si="212"/>
        <v>#REF!</v>
      </c>
      <c r="AQ400" s="8" t="e">
        <f t="shared" si="212"/>
        <v>#REF!</v>
      </c>
      <c r="AR400" s="8" t="e">
        <f t="shared" si="212"/>
        <v>#REF!</v>
      </c>
      <c r="AS400" s="8" t="e">
        <f t="shared" si="212"/>
        <v>#REF!</v>
      </c>
      <c r="AT400" s="8" t="e">
        <f t="shared" si="212"/>
        <v>#REF!</v>
      </c>
      <c r="AU400" s="8" t="e">
        <f t="shared" si="212"/>
        <v>#REF!</v>
      </c>
      <c r="AV400" s="8" t="e">
        <f t="shared" si="212"/>
        <v>#REF!</v>
      </c>
      <c r="AW400" s="8" t="e">
        <f t="shared" si="212"/>
        <v>#REF!</v>
      </c>
      <c r="AX400" s="8" t="e">
        <f t="shared" si="212"/>
        <v>#REF!</v>
      </c>
      <c r="AY400" s="8" t="e">
        <f t="shared" si="212"/>
        <v>#REF!</v>
      </c>
      <c r="AZ400" s="8" t="e">
        <f t="shared" si="212"/>
        <v>#REF!</v>
      </c>
      <c r="BA400" s="8" t="e">
        <f t="shared" si="212"/>
        <v>#REF!</v>
      </c>
      <c r="BB400" s="8" t="e">
        <f t="shared" si="212"/>
        <v>#REF!</v>
      </c>
      <c r="BC400" s="8" t="e">
        <f t="shared" si="212"/>
        <v>#REF!</v>
      </c>
      <c r="BD400" s="8" t="e">
        <f t="shared" si="212"/>
        <v>#REF!</v>
      </c>
      <c r="BE400" s="8" t="e">
        <f t="shared" si="212"/>
        <v>#REF!</v>
      </c>
      <c r="BF400" s="8" t="e">
        <f t="shared" si="212"/>
        <v>#REF!</v>
      </c>
      <c r="BJ400" s="294"/>
      <c r="BK400" s="136" t="s">
        <v>278</v>
      </c>
      <c r="BL400" s="8">
        <f t="shared" si="208"/>
        <v>0</v>
      </c>
      <c r="BM400" s="8">
        <f t="shared" si="208"/>
        <v>0</v>
      </c>
      <c r="BN400" s="8">
        <f t="shared" si="208"/>
        <v>2410194.8641995434</v>
      </c>
      <c r="BO400" s="8">
        <f t="shared" si="208"/>
        <v>4841370.903445268</v>
      </c>
      <c r="BP400" s="8">
        <f t="shared" si="208"/>
        <v>5025161.1874961741</v>
      </c>
      <c r="BQ400" s="8">
        <f t="shared" si="208"/>
        <v>4477518.4964544652</v>
      </c>
      <c r="BR400" s="8">
        <f t="shared" si="208"/>
        <v>3601979.1305009294</v>
      </c>
      <c r="BS400" s="8">
        <f t="shared" si="208"/>
        <v>3254775.3855166342</v>
      </c>
      <c r="BT400" s="8">
        <f t="shared" si="208"/>
        <v>2932691.4954890735</v>
      </c>
      <c r="BU400" s="8">
        <f t="shared" si="208"/>
        <v>2631029.7999958727</v>
      </c>
      <c r="BV400" s="8">
        <f t="shared" si="209"/>
        <v>2368852.3467584443</v>
      </c>
      <c r="BW400" s="8">
        <f t="shared" si="209"/>
        <v>2151922.0585135482</v>
      </c>
      <c r="BX400" s="8">
        <f t="shared" si="209"/>
        <v>1957907.6679695505</v>
      </c>
      <c r="BY400" s="8">
        <f t="shared" si="209"/>
        <v>1772845.7410826611</v>
      </c>
      <c r="BZ400" s="8">
        <f t="shared" si="209"/>
        <v>1690074.0534016876</v>
      </c>
      <c r="CA400" s="8">
        <f t="shared" si="209"/>
        <v>1553160.9313957759</v>
      </c>
      <c r="CB400" s="8">
        <f t="shared" si="209"/>
        <v>1436122.5777752383</v>
      </c>
      <c r="CC400" s="8">
        <f t="shared" si="209"/>
        <v>1415947.1298085691</v>
      </c>
      <c r="CD400" s="8">
        <f t="shared" si="209"/>
        <v>1417017.9521173425</v>
      </c>
      <c r="CE400" s="8">
        <f t="shared" si="209"/>
        <v>1379689.0243776732</v>
      </c>
      <c r="CF400" s="8">
        <f t="shared" si="210"/>
        <v>1318328.6959135162</v>
      </c>
      <c r="CG400" s="8">
        <f t="shared" si="210"/>
        <v>1300232.6969012395</v>
      </c>
      <c r="CH400" s="8">
        <f t="shared" si="210"/>
        <v>1276724.8493330406</v>
      </c>
      <c r="CI400" s="8">
        <f t="shared" si="210"/>
        <v>1256535.5116126202</v>
      </c>
      <c r="CJ400" s="8">
        <f t="shared" si="210"/>
        <v>1217954.0499789042</v>
      </c>
    </row>
    <row r="401" spans="32:88">
      <c r="AF401" s="292"/>
      <c r="AG401" s="136" t="s">
        <v>345</v>
      </c>
      <c r="AH401" s="8" t="e">
        <f t="shared" ref="AH401:BF401" si="213">AH328*($AI$244/100*$AR$244+$AI$245/100*$AR$245+$AI$249/100*$AR$249)</f>
        <v>#REF!</v>
      </c>
      <c r="AI401" s="8" t="e">
        <f t="shared" si="213"/>
        <v>#REF!</v>
      </c>
      <c r="AJ401" s="8" t="e">
        <f t="shared" si="213"/>
        <v>#REF!</v>
      </c>
      <c r="AK401" s="8" t="e">
        <f t="shared" si="213"/>
        <v>#REF!</v>
      </c>
      <c r="AL401" s="8" t="e">
        <f t="shared" si="213"/>
        <v>#REF!</v>
      </c>
      <c r="AM401" s="8" t="e">
        <f t="shared" si="213"/>
        <v>#REF!</v>
      </c>
      <c r="AN401" s="8" t="e">
        <f t="shared" si="213"/>
        <v>#REF!</v>
      </c>
      <c r="AO401" s="8" t="e">
        <f t="shared" si="213"/>
        <v>#REF!</v>
      </c>
      <c r="AP401" s="8" t="e">
        <f t="shared" si="213"/>
        <v>#REF!</v>
      </c>
      <c r="AQ401" s="8" t="e">
        <f t="shared" si="213"/>
        <v>#REF!</v>
      </c>
      <c r="AR401" s="8" t="e">
        <f t="shared" si="213"/>
        <v>#REF!</v>
      </c>
      <c r="AS401" s="8" t="e">
        <f t="shared" si="213"/>
        <v>#REF!</v>
      </c>
      <c r="AT401" s="8" t="e">
        <f t="shared" si="213"/>
        <v>#REF!</v>
      </c>
      <c r="AU401" s="8" t="e">
        <f t="shared" si="213"/>
        <v>#REF!</v>
      </c>
      <c r="AV401" s="8" t="e">
        <f t="shared" si="213"/>
        <v>#REF!</v>
      </c>
      <c r="AW401" s="8" t="e">
        <f t="shared" si="213"/>
        <v>#REF!</v>
      </c>
      <c r="AX401" s="8" t="e">
        <f t="shared" si="213"/>
        <v>#REF!</v>
      </c>
      <c r="AY401" s="8" t="e">
        <f t="shared" si="213"/>
        <v>#REF!</v>
      </c>
      <c r="AZ401" s="8" t="e">
        <f t="shared" si="213"/>
        <v>#REF!</v>
      </c>
      <c r="BA401" s="8" t="e">
        <f t="shared" si="213"/>
        <v>#REF!</v>
      </c>
      <c r="BB401" s="8" t="e">
        <f t="shared" si="213"/>
        <v>#REF!</v>
      </c>
      <c r="BC401" s="8" t="e">
        <f t="shared" si="213"/>
        <v>#REF!</v>
      </c>
      <c r="BD401" s="8" t="e">
        <f t="shared" si="213"/>
        <v>#REF!</v>
      </c>
      <c r="BE401" s="8" t="e">
        <f t="shared" si="213"/>
        <v>#REF!</v>
      </c>
      <c r="BF401" s="8" t="e">
        <f t="shared" si="213"/>
        <v>#REF!</v>
      </c>
      <c r="BJ401" s="294"/>
      <c r="BK401" s="136" t="s">
        <v>347</v>
      </c>
      <c r="BL401" s="8" t="e">
        <f t="shared" si="208"/>
        <v>#REF!</v>
      </c>
      <c r="BM401" s="8" t="e">
        <f t="shared" si="208"/>
        <v>#REF!</v>
      </c>
      <c r="BN401" s="8" t="e">
        <f t="shared" si="208"/>
        <v>#REF!</v>
      </c>
      <c r="BO401" s="8" t="e">
        <f t="shared" si="208"/>
        <v>#REF!</v>
      </c>
      <c r="BP401" s="8" t="e">
        <f t="shared" si="208"/>
        <v>#REF!</v>
      </c>
      <c r="BQ401" s="8" t="e">
        <f t="shared" si="208"/>
        <v>#REF!</v>
      </c>
      <c r="BR401" s="8" t="e">
        <f t="shared" si="208"/>
        <v>#REF!</v>
      </c>
      <c r="BS401" s="8" t="e">
        <f t="shared" si="208"/>
        <v>#REF!</v>
      </c>
      <c r="BT401" s="8" t="e">
        <f t="shared" si="208"/>
        <v>#REF!</v>
      </c>
      <c r="BU401" s="8" t="e">
        <f t="shared" si="208"/>
        <v>#REF!</v>
      </c>
      <c r="BV401" s="8" t="e">
        <f t="shared" si="209"/>
        <v>#REF!</v>
      </c>
      <c r="BW401" s="8" t="e">
        <f t="shared" si="209"/>
        <v>#REF!</v>
      </c>
      <c r="BX401" s="8" t="e">
        <f t="shared" si="209"/>
        <v>#REF!</v>
      </c>
      <c r="BY401" s="8" t="e">
        <f t="shared" si="209"/>
        <v>#REF!</v>
      </c>
      <c r="BZ401" s="8" t="e">
        <f t="shared" si="209"/>
        <v>#REF!</v>
      </c>
      <c r="CA401" s="8" t="e">
        <f t="shared" si="209"/>
        <v>#REF!</v>
      </c>
      <c r="CB401" s="8" t="e">
        <f t="shared" si="209"/>
        <v>#REF!</v>
      </c>
      <c r="CC401" s="8" t="e">
        <f t="shared" si="209"/>
        <v>#REF!</v>
      </c>
      <c r="CD401" s="8" t="e">
        <f t="shared" si="209"/>
        <v>#REF!</v>
      </c>
      <c r="CE401" s="8" t="e">
        <f t="shared" si="209"/>
        <v>#REF!</v>
      </c>
      <c r="CF401" s="8" t="e">
        <f t="shared" si="210"/>
        <v>#REF!</v>
      </c>
      <c r="CG401" s="8" t="e">
        <f t="shared" si="210"/>
        <v>#REF!</v>
      </c>
      <c r="CH401" s="8" t="e">
        <f t="shared" si="210"/>
        <v>#REF!</v>
      </c>
      <c r="CI401" s="8" t="e">
        <f t="shared" si="210"/>
        <v>#REF!</v>
      </c>
      <c r="CJ401" s="8" t="e">
        <f t="shared" si="210"/>
        <v>#REF!</v>
      </c>
    </row>
    <row r="402" spans="32:88">
      <c r="AF402" s="292"/>
      <c r="AG402" s="136" t="s">
        <v>346</v>
      </c>
      <c r="AH402" s="8" t="e">
        <f t="shared" ref="AH402:BF402" si="214">AH329*($AI$244/100*$AR$244+$AI$245/100*$AR$245+$AI$249/100*$AR$249)</f>
        <v>#REF!</v>
      </c>
      <c r="AI402" s="8" t="e">
        <f t="shared" si="214"/>
        <v>#REF!</v>
      </c>
      <c r="AJ402" s="8" t="e">
        <f t="shared" si="214"/>
        <v>#REF!</v>
      </c>
      <c r="AK402" s="8" t="e">
        <f t="shared" si="214"/>
        <v>#REF!</v>
      </c>
      <c r="AL402" s="8" t="e">
        <f t="shared" si="214"/>
        <v>#REF!</v>
      </c>
      <c r="AM402" s="8" t="e">
        <f t="shared" si="214"/>
        <v>#REF!</v>
      </c>
      <c r="AN402" s="8" t="e">
        <f t="shared" si="214"/>
        <v>#REF!</v>
      </c>
      <c r="AO402" s="8" t="e">
        <f t="shared" si="214"/>
        <v>#REF!</v>
      </c>
      <c r="AP402" s="8" t="e">
        <f t="shared" si="214"/>
        <v>#REF!</v>
      </c>
      <c r="AQ402" s="8" t="e">
        <f t="shared" si="214"/>
        <v>#REF!</v>
      </c>
      <c r="AR402" s="8" t="e">
        <f t="shared" si="214"/>
        <v>#REF!</v>
      </c>
      <c r="AS402" s="8" t="e">
        <f t="shared" si="214"/>
        <v>#REF!</v>
      </c>
      <c r="AT402" s="8" t="e">
        <f t="shared" si="214"/>
        <v>#REF!</v>
      </c>
      <c r="AU402" s="8" t="e">
        <f t="shared" si="214"/>
        <v>#REF!</v>
      </c>
      <c r="AV402" s="8" t="e">
        <f t="shared" si="214"/>
        <v>#REF!</v>
      </c>
      <c r="AW402" s="8" t="e">
        <f t="shared" si="214"/>
        <v>#REF!</v>
      </c>
      <c r="AX402" s="8" t="e">
        <f t="shared" si="214"/>
        <v>#REF!</v>
      </c>
      <c r="AY402" s="8" t="e">
        <f t="shared" si="214"/>
        <v>#REF!</v>
      </c>
      <c r="AZ402" s="8" t="e">
        <f t="shared" si="214"/>
        <v>#REF!</v>
      </c>
      <c r="BA402" s="8" t="e">
        <f t="shared" si="214"/>
        <v>#REF!</v>
      </c>
      <c r="BB402" s="8" t="e">
        <f t="shared" si="214"/>
        <v>#REF!</v>
      </c>
      <c r="BC402" s="8" t="e">
        <f t="shared" si="214"/>
        <v>#REF!</v>
      </c>
      <c r="BD402" s="8" t="e">
        <f t="shared" si="214"/>
        <v>#REF!</v>
      </c>
      <c r="BE402" s="8" t="e">
        <f t="shared" si="214"/>
        <v>#REF!</v>
      </c>
      <c r="BF402" s="8" t="e">
        <f t="shared" si="214"/>
        <v>#REF!</v>
      </c>
      <c r="BJ402" s="294"/>
      <c r="BK402" s="136" t="s">
        <v>348</v>
      </c>
      <c r="BL402" s="8" t="e">
        <f t="shared" si="208"/>
        <v>#REF!</v>
      </c>
      <c r="BM402" s="8" t="e">
        <f t="shared" si="208"/>
        <v>#REF!</v>
      </c>
      <c r="BN402" s="8" t="e">
        <f t="shared" si="208"/>
        <v>#REF!</v>
      </c>
      <c r="BO402" s="8" t="e">
        <f t="shared" si="208"/>
        <v>#REF!</v>
      </c>
      <c r="BP402" s="8" t="e">
        <f t="shared" si="208"/>
        <v>#REF!</v>
      </c>
      <c r="BQ402" s="8" t="e">
        <f t="shared" si="208"/>
        <v>#REF!</v>
      </c>
      <c r="BR402" s="8" t="e">
        <f t="shared" si="208"/>
        <v>#REF!</v>
      </c>
      <c r="BS402" s="8" t="e">
        <f t="shared" si="208"/>
        <v>#REF!</v>
      </c>
      <c r="BT402" s="8" t="e">
        <f t="shared" si="208"/>
        <v>#REF!</v>
      </c>
      <c r="BU402" s="8" t="e">
        <f t="shared" si="208"/>
        <v>#REF!</v>
      </c>
      <c r="BV402" s="8" t="e">
        <f t="shared" si="209"/>
        <v>#REF!</v>
      </c>
      <c r="BW402" s="8" t="e">
        <f t="shared" si="209"/>
        <v>#REF!</v>
      </c>
      <c r="BX402" s="8" t="e">
        <f t="shared" si="209"/>
        <v>#REF!</v>
      </c>
      <c r="BY402" s="8" t="e">
        <f t="shared" si="209"/>
        <v>#REF!</v>
      </c>
      <c r="BZ402" s="8" t="e">
        <f t="shared" si="209"/>
        <v>#REF!</v>
      </c>
      <c r="CA402" s="8" t="e">
        <f t="shared" si="209"/>
        <v>#REF!</v>
      </c>
      <c r="CB402" s="8" t="e">
        <f t="shared" si="209"/>
        <v>#REF!</v>
      </c>
      <c r="CC402" s="8" t="e">
        <f t="shared" si="209"/>
        <v>#REF!</v>
      </c>
      <c r="CD402" s="8" t="e">
        <f t="shared" si="209"/>
        <v>#REF!</v>
      </c>
      <c r="CE402" s="8" t="e">
        <f t="shared" si="209"/>
        <v>#REF!</v>
      </c>
      <c r="CF402" s="8" t="e">
        <f t="shared" si="210"/>
        <v>#REF!</v>
      </c>
      <c r="CG402" s="8" t="e">
        <f t="shared" si="210"/>
        <v>#REF!</v>
      </c>
      <c r="CH402" s="8" t="e">
        <f t="shared" si="210"/>
        <v>#REF!</v>
      </c>
      <c r="CI402" s="8" t="e">
        <f t="shared" si="210"/>
        <v>#REF!</v>
      </c>
      <c r="CJ402" s="8" t="e">
        <f t="shared" si="210"/>
        <v>#REF!</v>
      </c>
    </row>
    <row r="403" spans="32:88">
      <c r="AF403" s="292"/>
      <c r="AG403" s="136" t="s">
        <v>278</v>
      </c>
      <c r="AH403" s="8">
        <f t="shared" ref="AH403:BF403" si="215">AH330*($AI$244/100*$AR$244+$AI$245/100*$AR$245+$AI$249/100*$AR$249)</f>
        <v>0</v>
      </c>
      <c r="AI403" s="8">
        <f t="shared" si="215"/>
        <v>-1.6953253136477014E-9</v>
      </c>
      <c r="AJ403" s="8">
        <f t="shared" si="215"/>
        <v>19010418.028172959</v>
      </c>
      <c r="AK403" s="8">
        <f t="shared" si="215"/>
        <v>51720257.610888243</v>
      </c>
      <c r="AL403" s="8">
        <f t="shared" si="215"/>
        <v>57711741.244447507</v>
      </c>
      <c r="AM403" s="8">
        <f>AM330*($AI$244/100*$AR$244+$AI$245/100*$AR$245+$AI$249/100*$AR$249)</f>
        <v>53342571.96295277</v>
      </c>
      <c r="AN403" s="8">
        <f t="shared" si="215"/>
        <v>45216606.001523212</v>
      </c>
      <c r="AO403" s="8">
        <f t="shared" si="215"/>
        <v>42456127.914416254</v>
      </c>
      <c r="AP403" s="8">
        <f t="shared" si="215"/>
        <v>22164660.83032652</v>
      </c>
      <c r="AQ403" s="8">
        <f t="shared" si="215"/>
        <v>19484109.050604288</v>
      </c>
      <c r="AR403" s="8">
        <f t="shared" si="215"/>
        <v>18351099.842183132</v>
      </c>
      <c r="AS403" s="8">
        <f t="shared" si="215"/>
        <v>17232325.308517102</v>
      </c>
      <c r="AT403" s="8">
        <f t="shared" si="215"/>
        <v>16298349.388159236</v>
      </c>
      <c r="AU403" s="8">
        <f t="shared" si="215"/>
        <v>11615597.120854408</v>
      </c>
      <c r="AV403" s="8">
        <f t="shared" si="215"/>
        <v>8806925.9508913066</v>
      </c>
      <c r="AW403" s="8">
        <f t="shared" si="215"/>
        <v>5890381.5549337622</v>
      </c>
      <c r="AX403" s="8">
        <f t="shared" si="215"/>
        <v>5652004.9007179067</v>
      </c>
      <c r="AY403" s="8">
        <f t="shared" si="215"/>
        <v>5669130.6469176374</v>
      </c>
      <c r="AZ403" s="8">
        <f t="shared" si="215"/>
        <v>5718967.0508635342</v>
      </c>
      <c r="BA403" s="8">
        <f t="shared" si="215"/>
        <v>5583889.0680708094</v>
      </c>
      <c r="BB403" s="8">
        <f t="shared" si="215"/>
        <v>5314961.0723156789</v>
      </c>
      <c r="BC403" s="8">
        <f t="shared" si="215"/>
        <v>5229863.3215291249</v>
      </c>
      <c r="BD403" s="8">
        <f t="shared" si="215"/>
        <v>5101875.3875695635</v>
      </c>
      <c r="BE403" s="8">
        <f t="shared" si="215"/>
        <v>4970785.419523173</v>
      </c>
      <c r="BF403" s="8">
        <f t="shared" si="215"/>
        <v>4753437.8648322187</v>
      </c>
      <c r="BJ403" s="294"/>
      <c r="BK403" s="136" t="s">
        <v>349</v>
      </c>
      <c r="BL403" s="8" t="e">
        <f t="shared" si="208"/>
        <v>#REF!</v>
      </c>
      <c r="BM403" s="8" t="e">
        <f t="shared" si="208"/>
        <v>#REF!</v>
      </c>
      <c r="BN403" s="8" t="e">
        <f t="shared" si="208"/>
        <v>#REF!</v>
      </c>
      <c r="BO403" s="8" t="e">
        <f t="shared" si="208"/>
        <v>#REF!</v>
      </c>
      <c r="BP403" s="8" t="e">
        <f t="shared" si="208"/>
        <v>#REF!</v>
      </c>
      <c r="BQ403" s="8" t="e">
        <f t="shared" si="208"/>
        <v>#REF!</v>
      </c>
      <c r="BR403" s="8" t="e">
        <f t="shared" si="208"/>
        <v>#REF!</v>
      </c>
      <c r="BS403" s="8" t="e">
        <f t="shared" si="208"/>
        <v>#REF!</v>
      </c>
      <c r="BT403" s="8" t="e">
        <f t="shared" si="208"/>
        <v>#REF!</v>
      </c>
      <c r="BU403" s="8" t="e">
        <f t="shared" si="208"/>
        <v>#REF!</v>
      </c>
      <c r="BV403" s="8" t="e">
        <f t="shared" si="209"/>
        <v>#REF!</v>
      </c>
      <c r="BW403" s="8" t="e">
        <f t="shared" si="209"/>
        <v>#REF!</v>
      </c>
      <c r="BX403" s="8" t="e">
        <f t="shared" si="209"/>
        <v>#REF!</v>
      </c>
      <c r="BY403" s="8" t="e">
        <f t="shared" si="209"/>
        <v>#REF!</v>
      </c>
      <c r="BZ403" s="8" t="e">
        <f t="shared" si="209"/>
        <v>#REF!</v>
      </c>
      <c r="CA403" s="8" t="e">
        <f t="shared" si="209"/>
        <v>#REF!</v>
      </c>
      <c r="CB403" s="8" t="e">
        <f t="shared" si="209"/>
        <v>#REF!</v>
      </c>
      <c r="CC403" s="8" t="e">
        <f t="shared" si="209"/>
        <v>#REF!</v>
      </c>
      <c r="CD403" s="8" t="e">
        <f t="shared" si="209"/>
        <v>#REF!</v>
      </c>
      <c r="CE403" s="8" t="e">
        <f t="shared" si="209"/>
        <v>#REF!</v>
      </c>
      <c r="CF403" s="8" t="e">
        <f t="shared" si="210"/>
        <v>#REF!</v>
      </c>
      <c r="CG403" s="8" t="e">
        <f t="shared" si="210"/>
        <v>#REF!</v>
      </c>
      <c r="CH403" s="8" t="e">
        <f t="shared" si="210"/>
        <v>#REF!</v>
      </c>
      <c r="CI403" s="8" t="e">
        <f t="shared" si="210"/>
        <v>#REF!</v>
      </c>
      <c r="CJ403" s="8" t="e">
        <f t="shared" si="210"/>
        <v>#REF!</v>
      </c>
    </row>
    <row r="404" spans="32:88">
      <c r="AF404" s="292"/>
      <c r="AG404" s="136" t="s">
        <v>347</v>
      </c>
      <c r="AH404" s="8" t="e">
        <f t="shared" ref="AH404:BF404" si="216">AH331*($AI$244/100*$AR$244+$AI$245/100*$AR$245+$AI$249/100*$AR$249)</f>
        <v>#REF!</v>
      </c>
      <c r="AI404" s="8" t="e">
        <f t="shared" si="216"/>
        <v>#REF!</v>
      </c>
      <c r="AJ404" s="8" t="e">
        <f t="shared" si="216"/>
        <v>#REF!</v>
      </c>
      <c r="AK404" s="8" t="e">
        <f t="shared" si="216"/>
        <v>#REF!</v>
      </c>
      <c r="AL404" s="8" t="e">
        <f t="shared" si="216"/>
        <v>#REF!</v>
      </c>
      <c r="AM404" s="8" t="e">
        <f t="shared" si="216"/>
        <v>#REF!</v>
      </c>
      <c r="AN404" s="8" t="e">
        <f t="shared" si="216"/>
        <v>#REF!</v>
      </c>
      <c r="AO404" s="8" t="e">
        <f t="shared" si="216"/>
        <v>#REF!</v>
      </c>
      <c r="AP404" s="8" t="e">
        <f t="shared" si="216"/>
        <v>#REF!</v>
      </c>
      <c r="AQ404" s="8" t="e">
        <f t="shared" si="216"/>
        <v>#REF!</v>
      </c>
      <c r="AR404" s="8" t="e">
        <f t="shared" si="216"/>
        <v>#REF!</v>
      </c>
      <c r="AS404" s="8" t="e">
        <f t="shared" si="216"/>
        <v>#REF!</v>
      </c>
      <c r="AT404" s="8" t="e">
        <f t="shared" si="216"/>
        <v>#REF!</v>
      </c>
      <c r="AU404" s="8" t="e">
        <f t="shared" si="216"/>
        <v>#REF!</v>
      </c>
      <c r="AV404" s="8" t="e">
        <f t="shared" si="216"/>
        <v>#REF!</v>
      </c>
      <c r="AW404" s="8" t="e">
        <f t="shared" si="216"/>
        <v>#REF!</v>
      </c>
      <c r="AX404" s="8" t="e">
        <f t="shared" si="216"/>
        <v>#REF!</v>
      </c>
      <c r="AY404" s="8" t="e">
        <f t="shared" si="216"/>
        <v>#REF!</v>
      </c>
      <c r="AZ404" s="8" t="e">
        <f t="shared" si="216"/>
        <v>#REF!</v>
      </c>
      <c r="BA404" s="8" t="e">
        <f t="shared" si="216"/>
        <v>#REF!</v>
      </c>
      <c r="BB404" s="8" t="e">
        <f t="shared" si="216"/>
        <v>#REF!</v>
      </c>
      <c r="BC404" s="8" t="e">
        <f t="shared" si="216"/>
        <v>#REF!</v>
      </c>
      <c r="BD404" s="8" t="e">
        <f t="shared" si="216"/>
        <v>#REF!</v>
      </c>
      <c r="BE404" s="8" t="e">
        <f t="shared" si="216"/>
        <v>#REF!</v>
      </c>
      <c r="BF404" s="8" t="e">
        <f t="shared" si="216"/>
        <v>#REF!</v>
      </c>
      <c r="BJ404" s="294"/>
      <c r="BK404" s="136" t="s">
        <v>246</v>
      </c>
      <c r="BL404" s="8">
        <f t="shared" si="208"/>
        <v>0</v>
      </c>
      <c r="BM404" s="8">
        <f t="shared" si="208"/>
        <v>0</v>
      </c>
      <c r="BN404" s="8">
        <f t="shared" si="208"/>
        <v>79211.008788858249</v>
      </c>
      <c r="BO404" s="8">
        <f t="shared" si="208"/>
        <v>217599.69137349594</v>
      </c>
      <c r="BP404" s="8">
        <f t="shared" si="208"/>
        <v>253016.03087263586</v>
      </c>
      <c r="BQ404" s="8">
        <f t="shared" si="208"/>
        <v>254110.80807679615</v>
      </c>
      <c r="BR404" s="8">
        <f t="shared" si="208"/>
        <v>231972.52839637891</v>
      </c>
      <c r="BS404" s="8">
        <f t="shared" si="208"/>
        <v>228665.62882391139</v>
      </c>
      <c r="BT404" s="8">
        <f t="shared" si="208"/>
        <v>222581.77268921619</v>
      </c>
      <c r="BU404" s="8">
        <f t="shared" si="208"/>
        <v>215501.49403483007</v>
      </c>
      <c r="BV404" s="8">
        <f t="shared" si="209"/>
        <v>208344.00575715903</v>
      </c>
      <c r="BW404" s="8">
        <f t="shared" si="209"/>
        <v>201909.34526293358</v>
      </c>
      <c r="BX404" s="8">
        <f t="shared" si="209"/>
        <v>194551.73516309427</v>
      </c>
      <c r="BY404" s="8">
        <f t="shared" si="209"/>
        <v>186770.38309163394</v>
      </c>
      <c r="BZ404" s="8">
        <f t="shared" si="209"/>
        <v>178096.08702449535</v>
      </c>
      <c r="CA404" s="8">
        <f t="shared" si="209"/>
        <v>169727.2353226241</v>
      </c>
      <c r="CB404" s="8">
        <f t="shared" si="209"/>
        <v>161649.52103239082</v>
      </c>
      <c r="CC404" s="8">
        <f t="shared" si="209"/>
        <v>163404.83769508934</v>
      </c>
      <c r="CD404" s="8">
        <f t="shared" si="209"/>
        <v>164943.01023953938</v>
      </c>
      <c r="CE404" s="8">
        <f t="shared" si="209"/>
        <v>161085.96914853324</v>
      </c>
      <c r="CF404" s="8">
        <f t="shared" si="210"/>
        <v>153643.21862369057</v>
      </c>
      <c r="CG404" s="8">
        <f t="shared" si="210"/>
        <v>153869.77936833733</v>
      </c>
      <c r="CH404" s="8">
        <f t="shared" si="210"/>
        <v>153192.33803981455</v>
      </c>
      <c r="CI404" s="8">
        <f t="shared" si="210"/>
        <v>152563.16451438944</v>
      </c>
      <c r="CJ404" s="8">
        <f t="shared" si="210"/>
        <v>149671.36210078211</v>
      </c>
    </row>
    <row r="405" spans="32:88">
      <c r="AF405" s="292"/>
      <c r="AG405" s="136" t="s">
        <v>348</v>
      </c>
      <c r="AH405" s="8" t="e">
        <f t="shared" ref="AH405:BF405" si="217">AH332*($AI$244/100*$AR$244+$AI$245/100*$AR$245+$AI$249/100*$AR$249)</f>
        <v>#REF!</v>
      </c>
      <c r="AI405" s="8" t="e">
        <f t="shared" si="217"/>
        <v>#REF!</v>
      </c>
      <c r="AJ405" s="8" t="e">
        <f t="shared" si="217"/>
        <v>#REF!</v>
      </c>
      <c r="AK405" s="8" t="e">
        <f t="shared" si="217"/>
        <v>#REF!</v>
      </c>
      <c r="AL405" s="8" t="e">
        <f t="shared" si="217"/>
        <v>#REF!</v>
      </c>
      <c r="AM405" s="8" t="e">
        <f t="shared" si="217"/>
        <v>#REF!</v>
      </c>
      <c r="AN405" s="8" t="e">
        <f t="shared" si="217"/>
        <v>#REF!</v>
      </c>
      <c r="AO405" s="8" t="e">
        <f t="shared" si="217"/>
        <v>#REF!</v>
      </c>
      <c r="AP405" s="8" t="e">
        <f t="shared" si="217"/>
        <v>#REF!</v>
      </c>
      <c r="AQ405" s="8" t="e">
        <f t="shared" si="217"/>
        <v>#REF!</v>
      </c>
      <c r="AR405" s="8" t="e">
        <f t="shared" si="217"/>
        <v>#REF!</v>
      </c>
      <c r="AS405" s="8" t="e">
        <f t="shared" si="217"/>
        <v>#REF!</v>
      </c>
      <c r="AT405" s="8" t="e">
        <f t="shared" si="217"/>
        <v>#REF!</v>
      </c>
      <c r="AU405" s="8" t="e">
        <f t="shared" si="217"/>
        <v>#REF!</v>
      </c>
      <c r="AV405" s="8" t="e">
        <f t="shared" si="217"/>
        <v>#REF!</v>
      </c>
      <c r="AW405" s="8" t="e">
        <f t="shared" si="217"/>
        <v>#REF!</v>
      </c>
      <c r="AX405" s="8" t="e">
        <f t="shared" si="217"/>
        <v>#REF!</v>
      </c>
      <c r="AY405" s="8" t="e">
        <f t="shared" si="217"/>
        <v>#REF!</v>
      </c>
      <c r="AZ405" s="8" t="e">
        <f t="shared" si="217"/>
        <v>#REF!</v>
      </c>
      <c r="BA405" s="8" t="e">
        <f t="shared" si="217"/>
        <v>#REF!</v>
      </c>
      <c r="BB405" s="8" t="e">
        <f t="shared" si="217"/>
        <v>#REF!</v>
      </c>
      <c r="BC405" s="8" t="e">
        <f t="shared" si="217"/>
        <v>#REF!</v>
      </c>
      <c r="BD405" s="8" t="e">
        <f t="shared" si="217"/>
        <v>#REF!</v>
      </c>
      <c r="BE405" s="8" t="e">
        <f t="shared" si="217"/>
        <v>#REF!</v>
      </c>
      <c r="BF405" s="8" t="e">
        <f t="shared" si="217"/>
        <v>#REF!</v>
      </c>
      <c r="BJ405" s="294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</row>
    <row r="406" spans="32:88">
      <c r="AF406" s="292"/>
      <c r="AG406" s="136" t="s">
        <v>349</v>
      </c>
      <c r="AH406" s="8" t="e">
        <f t="shared" ref="AH406:BF406" si="218">AH333*($AI$244/100*$AR$244+$AI$245/100*$AR$245+$AI$249/100*$AR$249)</f>
        <v>#REF!</v>
      </c>
      <c r="AI406" s="8" t="e">
        <f t="shared" si="218"/>
        <v>#REF!</v>
      </c>
      <c r="AJ406" s="8" t="e">
        <f t="shared" si="218"/>
        <v>#REF!</v>
      </c>
      <c r="AK406" s="8" t="e">
        <f t="shared" si="218"/>
        <v>#REF!</v>
      </c>
      <c r="AL406" s="8" t="e">
        <f t="shared" si="218"/>
        <v>#REF!</v>
      </c>
      <c r="AM406" s="8" t="e">
        <f t="shared" si="218"/>
        <v>#REF!</v>
      </c>
      <c r="AN406" s="8" t="e">
        <f t="shared" si="218"/>
        <v>#REF!</v>
      </c>
      <c r="AO406" s="8" t="e">
        <f t="shared" si="218"/>
        <v>#REF!</v>
      </c>
      <c r="AP406" s="8" t="e">
        <f t="shared" si="218"/>
        <v>#REF!</v>
      </c>
      <c r="AQ406" s="8" t="e">
        <f t="shared" si="218"/>
        <v>#REF!</v>
      </c>
      <c r="AR406" s="8" t="e">
        <f t="shared" si="218"/>
        <v>#REF!</v>
      </c>
      <c r="AS406" s="8" t="e">
        <f t="shared" si="218"/>
        <v>#REF!</v>
      </c>
      <c r="AT406" s="8" t="e">
        <f t="shared" si="218"/>
        <v>#REF!</v>
      </c>
      <c r="AU406" s="8" t="e">
        <f t="shared" si="218"/>
        <v>#REF!</v>
      </c>
      <c r="AV406" s="8" t="e">
        <f t="shared" si="218"/>
        <v>#REF!</v>
      </c>
      <c r="AW406" s="8" t="e">
        <f t="shared" si="218"/>
        <v>#REF!</v>
      </c>
      <c r="AX406" s="8" t="e">
        <f t="shared" si="218"/>
        <v>#REF!</v>
      </c>
      <c r="AY406" s="8" t="e">
        <f t="shared" si="218"/>
        <v>#REF!</v>
      </c>
      <c r="AZ406" s="8" t="e">
        <f t="shared" si="218"/>
        <v>#REF!</v>
      </c>
      <c r="BA406" s="8" t="e">
        <f t="shared" si="218"/>
        <v>#REF!</v>
      </c>
      <c r="BB406" s="8" t="e">
        <f t="shared" si="218"/>
        <v>#REF!</v>
      </c>
      <c r="BC406" s="8" t="e">
        <f t="shared" si="218"/>
        <v>#REF!</v>
      </c>
      <c r="BD406" s="8" t="e">
        <f t="shared" si="218"/>
        <v>#REF!</v>
      </c>
      <c r="BE406" s="8" t="e">
        <f t="shared" si="218"/>
        <v>#REF!</v>
      </c>
      <c r="BF406" s="8" t="e">
        <f t="shared" si="218"/>
        <v>#REF!</v>
      </c>
      <c r="BJ406" s="294"/>
      <c r="BK406" t="s">
        <v>404</v>
      </c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</row>
    <row r="407" spans="32:88">
      <c r="AF407" s="292"/>
      <c r="AG407" s="136" t="s">
        <v>246</v>
      </c>
      <c r="AH407" s="8">
        <f t="shared" ref="AH407:BF407" si="219">AH334*($AI$244/100*$AR$244+$AI$245/100*$AR$245+$AI$249/100*$AR$249)</f>
        <v>0</v>
      </c>
      <c r="AI407" s="8">
        <f>AI334*($AI$244/100*$AR$244+$AI$245/100*$AR$245+$AI$249/100*$AR$249)</f>
        <v>-3.7016103468589394E-11</v>
      </c>
      <c r="AJ407" s="8">
        <f t="shared" si="219"/>
        <v>408554.01918450493</v>
      </c>
      <c r="AK407" s="8">
        <f t="shared" si="219"/>
        <v>1093143.5275124561</v>
      </c>
      <c r="AL407" s="8">
        <f t="shared" si="219"/>
        <v>1203585.1520381127</v>
      </c>
      <c r="AM407" s="8">
        <f t="shared" si="219"/>
        <v>1099987.4812923467</v>
      </c>
      <c r="AN407" s="8">
        <f t="shared" si="219"/>
        <v>921093.4150592048</v>
      </c>
      <c r="AO407" s="8">
        <f t="shared" si="219"/>
        <v>856299.06288883637</v>
      </c>
      <c r="AP407" s="8">
        <f t="shared" si="219"/>
        <v>325120.95852057799</v>
      </c>
      <c r="AQ407" s="8">
        <f t="shared" si="219"/>
        <v>283426.72253373353</v>
      </c>
      <c r="AR407" s="8">
        <f t="shared" si="219"/>
        <v>266231.78267734451</v>
      </c>
      <c r="AS407" s="8">
        <f t="shared" si="219"/>
        <v>249323.08540808861</v>
      </c>
      <c r="AT407" s="8">
        <f t="shared" si="219"/>
        <v>235261.5045311625</v>
      </c>
      <c r="AU407" s="8">
        <f t="shared" si="219"/>
        <v>165909.94942830876</v>
      </c>
      <c r="AV407" s="8">
        <f t="shared" si="219"/>
        <v>124407.92091167075</v>
      </c>
      <c r="AW407" s="8">
        <f t="shared" si="219"/>
        <v>81287.265458085923</v>
      </c>
      <c r="AX407" s="8">
        <f t="shared" si="219"/>
        <v>77997.667629907097</v>
      </c>
      <c r="AY407" s="8">
        <f t="shared" si="219"/>
        <v>78234.002927463385</v>
      </c>
      <c r="AZ407" s="8">
        <f t="shared" si="219"/>
        <v>78921.745301916788</v>
      </c>
      <c r="BA407" s="8">
        <f t="shared" si="219"/>
        <v>77057.669139377191</v>
      </c>
      <c r="BB407" s="8">
        <f t="shared" si="219"/>
        <v>73346.462797956367</v>
      </c>
      <c r="BC407" s="8">
        <f t="shared" si="219"/>
        <v>72172.113837101948</v>
      </c>
      <c r="BD407" s="8">
        <f t="shared" si="219"/>
        <v>70405.880348459992</v>
      </c>
      <c r="BE407" s="8">
        <f t="shared" si="219"/>
        <v>68596.83878941978</v>
      </c>
      <c r="BF407" s="8">
        <f t="shared" si="219"/>
        <v>65597.442534684626</v>
      </c>
      <c r="BJ407" s="294"/>
      <c r="BK407" s="136" t="s">
        <v>343</v>
      </c>
      <c r="BL407" s="8" t="e">
        <f t="shared" ref="BL407:BU414" si="220">AH317*($AI$255/100*$AM$255+$AI$256/100*$AM$256+$AI$257/100*$AM$257+$AI$258/100*$AM$258+$AI$259/100*$AM$259+$AI$260/100*$AM$260)+AH327*($AI$247/100*$AM$247+$AI$248/100*$AM$248+$AI$249/100*$AM$249)</f>
        <v>#REF!</v>
      </c>
      <c r="BM407" s="8" t="e">
        <f t="shared" si="220"/>
        <v>#REF!</v>
      </c>
      <c r="BN407" s="8" t="e">
        <f t="shared" si="220"/>
        <v>#REF!</v>
      </c>
      <c r="BO407" s="8" t="e">
        <f t="shared" si="220"/>
        <v>#REF!</v>
      </c>
      <c r="BP407" s="8" t="e">
        <f t="shared" si="220"/>
        <v>#REF!</v>
      </c>
      <c r="BQ407" s="8" t="e">
        <f t="shared" si="220"/>
        <v>#REF!</v>
      </c>
      <c r="BR407" s="8" t="e">
        <f t="shared" si="220"/>
        <v>#REF!</v>
      </c>
      <c r="BS407" s="8" t="e">
        <f t="shared" si="220"/>
        <v>#REF!</v>
      </c>
      <c r="BT407" s="8" t="e">
        <f t="shared" si="220"/>
        <v>#REF!</v>
      </c>
      <c r="BU407" s="8" t="e">
        <f t="shared" si="220"/>
        <v>#REF!</v>
      </c>
      <c r="BV407" s="8" t="e">
        <f t="shared" ref="BV407:CE414" si="221">AR317*($AI$255/100*$AM$255+$AI$256/100*$AM$256+$AI$257/100*$AM$257+$AI$258/100*$AM$258+$AI$259/100*$AM$259+$AI$260/100*$AM$260)+AR327*($AI$247/100*$AM$247+$AI$248/100*$AM$248+$AI$249/100*$AM$249)</f>
        <v>#REF!</v>
      </c>
      <c r="BW407" s="8" t="e">
        <f t="shared" si="221"/>
        <v>#REF!</v>
      </c>
      <c r="BX407" s="8" t="e">
        <f t="shared" si="221"/>
        <v>#REF!</v>
      </c>
      <c r="BY407" s="8" t="e">
        <f t="shared" si="221"/>
        <v>#REF!</v>
      </c>
      <c r="BZ407" s="8" t="e">
        <f t="shared" si="221"/>
        <v>#REF!</v>
      </c>
      <c r="CA407" s="8" t="e">
        <f t="shared" si="221"/>
        <v>#REF!</v>
      </c>
      <c r="CB407" s="8" t="e">
        <f t="shared" si="221"/>
        <v>#REF!</v>
      </c>
      <c r="CC407" s="8" t="e">
        <f t="shared" si="221"/>
        <v>#REF!</v>
      </c>
      <c r="CD407" s="8" t="e">
        <f t="shared" si="221"/>
        <v>#REF!</v>
      </c>
      <c r="CE407" s="8" t="e">
        <f t="shared" si="221"/>
        <v>#REF!</v>
      </c>
      <c r="CF407" s="8" t="e">
        <f t="shared" ref="CF407:CJ414" si="222">BB317*($AI$255/100*$AM$255+$AI$256/100*$AM$256+$AI$257/100*$AM$257+$AI$258/100*$AM$258+$AI$259/100*$AM$259+$AI$260/100*$AM$260)+BB327*($AI$247/100*$AM$247+$AI$248/100*$AM$248+$AI$249/100*$AM$249)</f>
        <v>#REF!</v>
      </c>
      <c r="CG407" s="8" t="e">
        <f t="shared" si="222"/>
        <v>#REF!</v>
      </c>
      <c r="CH407" s="8" t="e">
        <f t="shared" si="222"/>
        <v>#REF!</v>
      </c>
      <c r="CI407" s="8" t="e">
        <f t="shared" si="222"/>
        <v>#REF!</v>
      </c>
      <c r="CJ407" s="8" t="e">
        <f t="shared" si="222"/>
        <v>#REF!</v>
      </c>
    </row>
    <row r="408" spans="32:88">
      <c r="AF408" s="154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J408" s="294"/>
      <c r="BK408" s="136" t="s">
        <v>345</v>
      </c>
      <c r="BL408" s="8" t="e">
        <f t="shared" si="220"/>
        <v>#REF!</v>
      </c>
      <c r="BM408" s="8" t="e">
        <f t="shared" si="220"/>
        <v>#REF!</v>
      </c>
      <c r="BN408" s="8" t="e">
        <f t="shared" si="220"/>
        <v>#REF!</v>
      </c>
      <c r="BO408" s="8" t="e">
        <f t="shared" si="220"/>
        <v>#REF!</v>
      </c>
      <c r="BP408" s="8" t="e">
        <f t="shared" si="220"/>
        <v>#REF!</v>
      </c>
      <c r="BQ408" s="8" t="e">
        <f t="shared" si="220"/>
        <v>#REF!</v>
      </c>
      <c r="BR408" s="8" t="e">
        <f t="shared" si="220"/>
        <v>#REF!</v>
      </c>
      <c r="BS408" s="8" t="e">
        <f t="shared" si="220"/>
        <v>#REF!</v>
      </c>
      <c r="BT408" s="8" t="e">
        <f t="shared" si="220"/>
        <v>#REF!</v>
      </c>
      <c r="BU408" s="8" t="e">
        <f t="shared" si="220"/>
        <v>#REF!</v>
      </c>
      <c r="BV408" s="8" t="e">
        <f t="shared" si="221"/>
        <v>#REF!</v>
      </c>
      <c r="BW408" s="8" t="e">
        <f t="shared" si="221"/>
        <v>#REF!</v>
      </c>
      <c r="BX408" s="8" t="e">
        <f t="shared" si="221"/>
        <v>#REF!</v>
      </c>
      <c r="BY408" s="8" t="e">
        <f t="shared" si="221"/>
        <v>#REF!</v>
      </c>
      <c r="BZ408" s="8" t="e">
        <f t="shared" si="221"/>
        <v>#REF!</v>
      </c>
      <c r="CA408" s="8" t="e">
        <f t="shared" si="221"/>
        <v>#REF!</v>
      </c>
      <c r="CB408" s="8" t="e">
        <f t="shared" si="221"/>
        <v>#REF!</v>
      </c>
      <c r="CC408" s="8" t="e">
        <f t="shared" si="221"/>
        <v>#REF!</v>
      </c>
      <c r="CD408" s="8" t="e">
        <f t="shared" si="221"/>
        <v>#REF!</v>
      </c>
      <c r="CE408" s="8" t="e">
        <f t="shared" si="221"/>
        <v>#REF!</v>
      </c>
      <c r="CF408" s="8" t="e">
        <f t="shared" si="222"/>
        <v>#REF!</v>
      </c>
      <c r="CG408" s="8" t="e">
        <f t="shared" si="222"/>
        <v>#REF!</v>
      </c>
      <c r="CH408" s="8" t="e">
        <f t="shared" si="222"/>
        <v>#REF!</v>
      </c>
      <c r="CI408" s="8" t="e">
        <f t="shared" si="222"/>
        <v>#REF!</v>
      </c>
      <c r="CJ408" s="8" t="e">
        <f t="shared" si="222"/>
        <v>#REF!</v>
      </c>
    </row>
    <row r="409" spans="32:88" ht="30">
      <c r="AF409" s="292" t="s">
        <v>368</v>
      </c>
      <c r="AG409" s="136" t="s">
        <v>343</v>
      </c>
      <c r="AH409" s="8" t="e">
        <f t="shared" ref="AH409:BF409" si="223">AH327*($AI$247/100*$AS$247+$AI$248/100*$AS$248+$AI$250/100*$AS$250+$AI$251/100*$AS$251+$AI$252/100*$AS$252)</f>
        <v>#REF!</v>
      </c>
      <c r="AI409" s="8" t="e">
        <f t="shared" si="223"/>
        <v>#REF!</v>
      </c>
      <c r="AJ409" s="8" t="e">
        <f t="shared" si="223"/>
        <v>#REF!</v>
      </c>
      <c r="AK409" s="8" t="e">
        <f t="shared" si="223"/>
        <v>#REF!</v>
      </c>
      <c r="AL409" s="8" t="e">
        <f t="shared" si="223"/>
        <v>#REF!</v>
      </c>
      <c r="AM409" s="8" t="e">
        <f t="shared" si="223"/>
        <v>#REF!</v>
      </c>
      <c r="AN409" s="8" t="e">
        <f t="shared" si="223"/>
        <v>#REF!</v>
      </c>
      <c r="AO409" s="8" t="e">
        <f t="shared" si="223"/>
        <v>#REF!</v>
      </c>
      <c r="AP409" s="8" t="e">
        <f t="shared" si="223"/>
        <v>#REF!</v>
      </c>
      <c r="AQ409" s="8" t="e">
        <f t="shared" si="223"/>
        <v>#REF!</v>
      </c>
      <c r="AR409" s="8" t="e">
        <f t="shared" si="223"/>
        <v>#REF!</v>
      </c>
      <c r="AS409" s="8" t="e">
        <f t="shared" si="223"/>
        <v>#REF!</v>
      </c>
      <c r="AT409" s="8" t="e">
        <f t="shared" si="223"/>
        <v>#REF!</v>
      </c>
      <c r="AU409" s="8" t="e">
        <f t="shared" si="223"/>
        <v>#REF!</v>
      </c>
      <c r="AV409" s="8" t="e">
        <f t="shared" si="223"/>
        <v>#REF!</v>
      </c>
      <c r="AW409" s="8" t="e">
        <f t="shared" si="223"/>
        <v>#REF!</v>
      </c>
      <c r="AX409" s="8" t="e">
        <f t="shared" si="223"/>
        <v>#REF!</v>
      </c>
      <c r="AY409" s="8" t="e">
        <f t="shared" si="223"/>
        <v>#REF!</v>
      </c>
      <c r="AZ409" s="8" t="e">
        <f t="shared" si="223"/>
        <v>#REF!</v>
      </c>
      <c r="BA409" s="8" t="e">
        <f t="shared" si="223"/>
        <v>#REF!</v>
      </c>
      <c r="BB409" s="8" t="e">
        <f t="shared" si="223"/>
        <v>#REF!</v>
      </c>
      <c r="BC409" s="8" t="e">
        <f t="shared" si="223"/>
        <v>#REF!</v>
      </c>
      <c r="BD409" s="8" t="e">
        <f t="shared" si="223"/>
        <v>#REF!</v>
      </c>
      <c r="BE409" s="8" t="e">
        <f t="shared" si="223"/>
        <v>#REF!</v>
      </c>
      <c r="BF409" s="8" t="e">
        <f t="shared" si="223"/>
        <v>#REF!</v>
      </c>
      <c r="BJ409" s="294"/>
      <c r="BK409" s="136" t="s">
        <v>346</v>
      </c>
      <c r="BL409" s="8" t="e">
        <f t="shared" si="220"/>
        <v>#REF!</v>
      </c>
      <c r="BM409" s="8" t="e">
        <f t="shared" si="220"/>
        <v>#REF!</v>
      </c>
      <c r="BN409" s="8" t="e">
        <f t="shared" si="220"/>
        <v>#REF!</v>
      </c>
      <c r="BO409" s="8" t="e">
        <f t="shared" si="220"/>
        <v>#REF!</v>
      </c>
      <c r="BP409" s="8" t="e">
        <f t="shared" si="220"/>
        <v>#REF!</v>
      </c>
      <c r="BQ409" s="8" t="e">
        <f t="shared" si="220"/>
        <v>#REF!</v>
      </c>
      <c r="BR409" s="8" t="e">
        <f t="shared" si="220"/>
        <v>#REF!</v>
      </c>
      <c r="BS409" s="8" t="e">
        <f t="shared" si="220"/>
        <v>#REF!</v>
      </c>
      <c r="BT409" s="8" t="e">
        <f t="shared" si="220"/>
        <v>#REF!</v>
      </c>
      <c r="BU409" s="8" t="e">
        <f t="shared" si="220"/>
        <v>#REF!</v>
      </c>
      <c r="BV409" s="8" t="e">
        <f t="shared" si="221"/>
        <v>#REF!</v>
      </c>
      <c r="BW409" s="8" t="e">
        <f t="shared" si="221"/>
        <v>#REF!</v>
      </c>
      <c r="BX409" s="8" t="e">
        <f t="shared" si="221"/>
        <v>#REF!</v>
      </c>
      <c r="BY409" s="8" t="e">
        <f t="shared" si="221"/>
        <v>#REF!</v>
      </c>
      <c r="BZ409" s="8" t="e">
        <f t="shared" si="221"/>
        <v>#REF!</v>
      </c>
      <c r="CA409" s="8" t="e">
        <f t="shared" si="221"/>
        <v>#REF!</v>
      </c>
      <c r="CB409" s="8" t="e">
        <f t="shared" si="221"/>
        <v>#REF!</v>
      </c>
      <c r="CC409" s="8" t="e">
        <f t="shared" si="221"/>
        <v>#REF!</v>
      </c>
      <c r="CD409" s="8" t="e">
        <f t="shared" si="221"/>
        <v>#REF!</v>
      </c>
      <c r="CE409" s="8" t="e">
        <f t="shared" si="221"/>
        <v>#REF!</v>
      </c>
      <c r="CF409" s="8" t="e">
        <f t="shared" si="222"/>
        <v>#REF!</v>
      </c>
      <c r="CG409" s="8" t="e">
        <f t="shared" si="222"/>
        <v>#REF!</v>
      </c>
      <c r="CH409" s="8" t="e">
        <f t="shared" si="222"/>
        <v>#REF!</v>
      </c>
      <c r="CI409" s="8" t="e">
        <f t="shared" si="222"/>
        <v>#REF!</v>
      </c>
      <c r="CJ409" s="8" t="e">
        <f t="shared" si="222"/>
        <v>#REF!</v>
      </c>
    </row>
    <row r="410" spans="32:88">
      <c r="AF410" s="292"/>
      <c r="AG410" s="136" t="s">
        <v>345</v>
      </c>
      <c r="AH410" s="8" t="e">
        <f t="shared" ref="AH410:BF410" si="224">AH328*($AI$247/100*$AS$247+$AI$248/100*$AS$248+$AI$250/100*$AS$250+$AI$251/100*$AS$251+$AI$252/100*$AS$252)</f>
        <v>#REF!</v>
      </c>
      <c r="AI410" s="8" t="e">
        <f t="shared" si="224"/>
        <v>#REF!</v>
      </c>
      <c r="AJ410" s="8" t="e">
        <f t="shared" si="224"/>
        <v>#REF!</v>
      </c>
      <c r="AK410" s="8" t="e">
        <f t="shared" si="224"/>
        <v>#REF!</v>
      </c>
      <c r="AL410" s="8" t="e">
        <f t="shared" si="224"/>
        <v>#REF!</v>
      </c>
      <c r="AM410" s="8" t="e">
        <f t="shared" si="224"/>
        <v>#REF!</v>
      </c>
      <c r="AN410" s="8" t="e">
        <f t="shared" si="224"/>
        <v>#REF!</v>
      </c>
      <c r="AO410" s="8" t="e">
        <f t="shared" si="224"/>
        <v>#REF!</v>
      </c>
      <c r="AP410" s="8" t="e">
        <f t="shared" si="224"/>
        <v>#REF!</v>
      </c>
      <c r="AQ410" s="8" t="e">
        <f t="shared" si="224"/>
        <v>#REF!</v>
      </c>
      <c r="AR410" s="8" t="e">
        <f t="shared" si="224"/>
        <v>#REF!</v>
      </c>
      <c r="AS410" s="8" t="e">
        <f t="shared" si="224"/>
        <v>#REF!</v>
      </c>
      <c r="AT410" s="8" t="e">
        <f t="shared" si="224"/>
        <v>#REF!</v>
      </c>
      <c r="AU410" s="8" t="e">
        <f t="shared" si="224"/>
        <v>#REF!</v>
      </c>
      <c r="AV410" s="8" t="e">
        <f t="shared" si="224"/>
        <v>#REF!</v>
      </c>
      <c r="AW410" s="8" t="e">
        <f t="shared" si="224"/>
        <v>#REF!</v>
      </c>
      <c r="AX410" s="8" t="e">
        <f t="shared" si="224"/>
        <v>#REF!</v>
      </c>
      <c r="AY410" s="8" t="e">
        <f t="shared" si="224"/>
        <v>#REF!</v>
      </c>
      <c r="AZ410" s="8" t="e">
        <f t="shared" si="224"/>
        <v>#REF!</v>
      </c>
      <c r="BA410" s="8" t="e">
        <f t="shared" si="224"/>
        <v>#REF!</v>
      </c>
      <c r="BB410" s="8" t="e">
        <f t="shared" si="224"/>
        <v>#REF!</v>
      </c>
      <c r="BC410" s="8" t="e">
        <f t="shared" si="224"/>
        <v>#REF!</v>
      </c>
      <c r="BD410" s="8" t="e">
        <f t="shared" si="224"/>
        <v>#REF!</v>
      </c>
      <c r="BE410" s="8" t="e">
        <f t="shared" si="224"/>
        <v>#REF!</v>
      </c>
      <c r="BF410" s="8" t="e">
        <f t="shared" si="224"/>
        <v>#REF!</v>
      </c>
      <c r="BJ410" s="294"/>
      <c r="BK410" s="136" t="s">
        <v>278</v>
      </c>
      <c r="BL410" s="8">
        <f t="shared" si="220"/>
        <v>0</v>
      </c>
      <c r="BM410" s="8">
        <f t="shared" si="220"/>
        <v>-3.4677108688248441E-10</v>
      </c>
      <c r="BN410" s="8">
        <f t="shared" si="220"/>
        <v>3888494.5966717415</v>
      </c>
      <c r="BO410" s="8">
        <f>AK320*($AI$255/100*$AM$255+$AI$256/100*$AM$256+$AI$257/100*$AM$257+$AI$258/100*$AM$258+$AI$259/100*$AM$259+$AI$260/100*$AM$260)+AK330*($AI$247/100*$AM$247+$AI$248/100*$AM$248+$AI$249/100*$AM$249)</f>
        <v>10579143.60222714</v>
      </c>
      <c r="BP410" s="8">
        <f t="shared" si="220"/>
        <v>14398167.847716194</v>
      </c>
      <c r="BQ410" s="8">
        <f t="shared" si="220"/>
        <v>32409943.121039085</v>
      </c>
      <c r="BR410" s="8">
        <f t="shared" si="220"/>
        <v>40784441.911975235</v>
      </c>
      <c r="BS410" s="8">
        <f t="shared" si="220"/>
        <v>45267189.639780186</v>
      </c>
      <c r="BT410" s="8">
        <f t="shared" si="220"/>
        <v>26071987.681167606</v>
      </c>
      <c r="BU410" s="8">
        <f t="shared" si="220"/>
        <v>24412693.461275157</v>
      </c>
      <c r="BV410" s="8">
        <f t="shared" si="221"/>
        <v>24020791.206720047</v>
      </c>
      <c r="BW410" s="8">
        <f t="shared" si="221"/>
        <v>23299937.513655458</v>
      </c>
      <c r="BX410" s="8">
        <f t="shared" si="221"/>
        <v>22920532.478415348</v>
      </c>
      <c r="BY410" s="8">
        <f t="shared" si="221"/>
        <v>16596194.142909953</v>
      </c>
      <c r="BZ410" s="8">
        <f t="shared" si="221"/>
        <v>12776678.948107354</v>
      </c>
      <c r="CA410" s="8">
        <f t="shared" si="221"/>
        <v>8671563.4984509386</v>
      </c>
      <c r="CB410" s="8">
        <f t="shared" si="221"/>
        <v>8438087.630068427</v>
      </c>
      <c r="CC410" s="8">
        <f t="shared" si="221"/>
        <v>8082002.652541955</v>
      </c>
      <c r="CD410" s="8">
        <f t="shared" si="221"/>
        <v>7860511.7828341788</v>
      </c>
      <c r="CE410" s="8">
        <f t="shared" si="221"/>
        <v>7655150.8708263915</v>
      </c>
      <c r="CF410" s="8">
        <f t="shared" si="222"/>
        <v>7443414.5274904408</v>
      </c>
      <c r="CG410" s="8">
        <f t="shared" si="222"/>
        <v>7270636.3754444895</v>
      </c>
      <c r="CH410" s="8">
        <f t="shared" si="222"/>
        <v>7092316.3792227395</v>
      </c>
      <c r="CI410" s="8">
        <f t="shared" si="222"/>
        <v>6916269.5049260948</v>
      </c>
      <c r="CJ410" s="8">
        <f t="shared" si="222"/>
        <v>6726322.9130287981</v>
      </c>
    </row>
    <row r="411" spans="32:88">
      <c r="AF411" s="292"/>
      <c r="AG411" s="136" t="s">
        <v>346</v>
      </c>
      <c r="AH411" s="8" t="e">
        <f t="shared" ref="AH411:BF411" si="225">AH329*($AI$247/100*$AS$247+$AI$248/100*$AS$248+$AI$250/100*$AS$250+$AI$251/100*$AS$251+$AI$252/100*$AS$252)</f>
        <v>#REF!</v>
      </c>
      <c r="AI411" s="8" t="e">
        <f t="shared" si="225"/>
        <v>#REF!</v>
      </c>
      <c r="AJ411" s="8" t="e">
        <f t="shared" si="225"/>
        <v>#REF!</v>
      </c>
      <c r="AK411" s="8" t="e">
        <f t="shared" si="225"/>
        <v>#REF!</v>
      </c>
      <c r="AL411" s="8" t="e">
        <f t="shared" si="225"/>
        <v>#REF!</v>
      </c>
      <c r="AM411" s="8" t="e">
        <f t="shared" si="225"/>
        <v>#REF!</v>
      </c>
      <c r="AN411" s="8" t="e">
        <f t="shared" si="225"/>
        <v>#REF!</v>
      </c>
      <c r="AO411" s="8" t="e">
        <f t="shared" si="225"/>
        <v>#REF!</v>
      </c>
      <c r="AP411" s="8" t="e">
        <f t="shared" si="225"/>
        <v>#REF!</v>
      </c>
      <c r="AQ411" s="8" t="e">
        <f t="shared" si="225"/>
        <v>#REF!</v>
      </c>
      <c r="AR411" s="8" t="e">
        <f t="shared" si="225"/>
        <v>#REF!</v>
      </c>
      <c r="AS411" s="8" t="e">
        <f t="shared" si="225"/>
        <v>#REF!</v>
      </c>
      <c r="AT411" s="8" t="e">
        <f t="shared" si="225"/>
        <v>#REF!</v>
      </c>
      <c r="AU411" s="8" t="e">
        <f t="shared" si="225"/>
        <v>#REF!</v>
      </c>
      <c r="AV411" s="8" t="e">
        <f t="shared" si="225"/>
        <v>#REF!</v>
      </c>
      <c r="AW411" s="8" t="e">
        <f t="shared" si="225"/>
        <v>#REF!</v>
      </c>
      <c r="AX411" s="8" t="e">
        <f t="shared" si="225"/>
        <v>#REF!</v>
      </c>
      <c r="AY411" s="8" t="e">
        <f t="shared" si="225"/>
        <v>#REF!</v>
      </c>
      <c r="AZ411" s="8" t="e">
        <f t="shared" si="225"/>
        <v>#REF!</v>
      </c>
      <c r="BA411" s="8" t="e">
        <f t="shared" si="225"/>
        <v>#REF!</v>
      </c>
      <c r="BB411" s="8" t="e">
        <f t="shared" si="225"/>
        <v>#REF!</v>
      </c>
      <c r="BC411" s="8" t="e">
        <f t="shared" si="225"/>
        <v>#REF!</v>
      </c>
      <c r="BD411" s="8" t="e">
        <f t="shared" si="225"/>
        <v>#REF!</v>
      </c>
      <c r="BE411" s="8" t="e">
        <f t="shared" si="225"/>
        <v>#REF!</v>
      </c>
      <c r="BF411" s="8" t="e">
        <f t="shared" si="225"/>
        <v>#REF!</v>
      </c>
      <c r="BJ411" s="294"/>
      <c r="BK411" s="136" t="s">
        <v>347</v>
      </c>
      <c r="BL411" s="8" t="e">
        <f t="shared" si="220"/>
        <v>#REF!</v>
      </c>
      <c r="BM411" s="8" t="e">
        <f t="shared" si="220"/>
        <v>#REF!</v>
      </c>
      <c r="BN411" s="8" t="e">
        <f t="shared" si="220"/>
        <v>#REF!</v>
      </c>
      <c r="BO411" s="8" t="e">
        <f t="shared" si="220"/>
        <v>#REF!</v>
      </c>
      <c r="BP411" s="8" t="e">
        <f t="shared" si="220"/>
        <v>#REF!</v>
      </c>
      <c r="BQ411" s="8" t="e">
        <f t="shared" si="220"/>
        <v>#REF!</v>
      </c>
      <c r="BR411" s="8" t="e">
        <f t="shared" si="220"/>
        <v>#REF!</v>
      </c>
      <c r="BS411" s="8" t="e">
        <f t="shared" si="220"/>
        <v>#REF!</v>
      </c>
      <c r="BT411" s="8" t="e">
        <f t="shared" si="220"/>
        <v>#REF!</v>
      </c>
      <c r="BU411" s="8" t="e">
        <f t="shared" si="220"/>
        <v>#REF!</v>
      </c>
      <c r="BV411" s="8" t="e">
        <f t="shared" si="221"/>
        <v>#REF!</v>
      </c>
      <c r="BW411" s="8" t="e">
        <f t="shared" si="221"/>
        <v>#REF!</v>
      </c>
      <c r="BX411" s="8" t="e">
        <f t="shared" si="221"/>
        <v>#REF!</v>
      </c>
      <c r="BY411" s="8" t="e">
        <f t="shared" si="221"/>
        <v>#REF!</v>
      </c>
      <c r="BZ411" s="8" t="e">
        <f t="shared" si="221"/>
        <v>#REF!</v>
      </c>
      <c r="CA411" s="8" t="e">
        <f t="shared" si="221"/>
        <v>#REF!</v>
      </c>
      <c r="CB411" s="8" t="e">
        <f t="shared" si="221"/>
        <v>#REF!</v>
      </c>
      <c r="CC411" s="8" t="e">
        <f t="shared" si="221"/>
        <v>#REF!</v>
      </c>
      <c r="CD411" s="8" t="e">
        <f t="shared" si="221"/>
        <v>#REF!</v>
      </c>
      <c r="CE411" s="8" t="e">
        <f t="shared" si="221"/>
        <v>#REF!</v>
      </c>
      <c r="CF411" s="8" t="e">
        <f t="shared" si="222"/>
        <v>#REF!</v>
      </c>
      <c r="CG411" s="8" t="e">
        <f t="shared" si="222"/>
        <v>#REF!</v>
      </c>
      <c r="CH411" s="8" t="e">
        <f t="shared" si="222"/>
        <v>#REF!</v>
      </c>
      <c r="CI411" s="8" t="e">
        <f t="shared" si="222"/>
        <v>#REF!</v>
      </c>
      <c r="CJ411" s="8" t="e">
        <f t="shared" si="222"/>
        <v>#REF!</v>
      </c>
    </row>
    <row r="412" spans="32:88">
      <c r="AF412" s="292"/>
      <c r="AG412" s="136" t="s">
        <v>278</v>
      </c>
      <c r="AH412" s="8">
        <f t="shared" ref="AH412:BF412" si="226">AH330*($AI$247/100*$AS$247+$AI$248/100*$AS$248+$AI$250/100*$AS$250+$AI$251/100*$AS$251+$AI$252/100*$AS$252)</f>
        <v>0</v>
      </c>
      <c r="AI412" s="8">
        <f t="shared" si="226"/>
        <v>-1.7531204947947821E-9</v>
      </c>
      <c r="AJ412" s="8">
        <f t="shared" si="226"/>
        <v>19658500.460951582</v>
      </c>
      <c r="AK412" s="8">
        <f t="shared" si="226"/>
        <v>53483448.211259425</v>
      </c>
      <c r="AL412" s="8">
        <f t="shared" si="226"/>
        <v>59679186.96869003</v>
      </c>
      <c r="AM412" s="8">
        <f t="shared" si="226"/>
        <v>55161068.734417066</v>
      </c>
      <c r="AN412" s="8">
        <f t="shared" si="226"/>
        <v>46758081.206120588</v>
      </c>
      <c r="AO412" s="8">
        <f t="shared" si="226"/>
        <v>43903495.911498629</v>
      </c>
      <c r="AP412" s="8">
        <f t="shared" si="226"/>
        <v>22920274.267724011</v>
      </c>
      <c r="AQ412" s="8">
        <f t="shared" si="226"/>
        <v>20148340.040965796</v>
      </c>
      <c r="AR412" s="8">
        <f t="shared" si="226"/>
        <v>18976705.518621191</v>
      </c>
      <c r="AS412" s="8">
        <f t="shared" si="226"/>
        <v>17819790.944034725</v>
      </c>
      <c r="AT412" s="8">
        <f t="shared" si="226"/>
        <v>16853974.935482845</v>
      </c>
      <c r="AU412" s="8">
        <f t="shared" si="226"/>
        <v>12011583.386338079</v>
      </c>
      <c r="AV412" s="8">
        <f t="shared" si="226"/>
        <v>9107162.0628535096</v>
      </c>
      <c r="AW412" s="8">
        <f t="shared" si="226"/>
        <v>6091190.0170337763</v>
      </c>
      <c r="AX412" s="8">
        <f t="shared" si="226"/>
        <v>5844686.8859696528</v>
      </c>
      <c r="AY412" s="8">
        <f t="shared" si="226"/>
        <v>5862396.4644261925</v>
      </c>
      <c r="AZ412" s="8">
        <f t="shared" si="226"/>
        <v>5913931.8366884273</v>
      </c>
      <c r="BA412" s="8">
        <f t="shared" si="226"/>
        <v>5774248.922664132</v>
      </c>
      <c r="BB412" s="8">
        <f t="shared" si="226"/>
        <v>5496152.9270537132</v>
      </c>
      <c r="BC412" s="8">
        <f t="shared" si="226"/>
        <v>5408154.1165812537</v>
      </c>
      <c r="BD412" s="8">
        <f t="shared" si="226"/>
        <v>5275802.957600343</v>
      </c>
      <c r="BE412" s="8">
        <f t="shared" si="226"/>
        <v>5140244.013370554</v>
      </c>
      <c r="BF412" s="8">
        <f t="shared" si="226"/>
        <v>4915486.882951499</v>
      </c>
      <c r="BJ412" s="294"/>
      <c r="BK412" s="136" t="s">
        <v>348</v>
      </c>
      <c r="BL412" s="8" t="e">
        <f t="shared" si="220"/>
        <v>#REF!</v>
      </c>
      <c r="BM412" s="8" t="e">
        <f t="shared" si="220"/>
        <v>#REF!</v>
      </c>
      <c r="BN412" s="8" t="e">
        <f t="shared" si="220"/>
        <v>#REF!</v>
      </c>
      <c r="BO412" s="8" t="e">
        <f t="shared" si="220"/>
        <v>#REF!</v>
      </c>
      <c r="BP412" s="8" t="e">
        <f t="shared" si="220"/>
        <v>#REF!</v>
      </c>
      <c r="BQ412" s="8" t="e">
        <f t="shared" si="220"/>
        <v>#REF!</v>
      </c>
      <c r="BR412" s="8" t="e">
        <f t="shared" si="220"/>
        <v>#REF!</v>
      </c>
      <c r="BS412" s="8" t="e">
        <f t="shared" si="220"/>
        <v>#REF!</v>
      </c>
      <c r="BT412" s="8" t="e">
        <f t="shared" si="220"/>
        <v>#REF!</v>
      </c>
      <c r="BU412" s="8" t="e">
        <f t="shared" si="220"/>
        <v>#REF!</v>
      </c>
      <c r="BV412" s="8" t="e">
        <f t="shared" si="221"/>
        <v>#REF!</v>
      </c>
      <c r="BW412" s="8" t="e">
        <f t="shared" si="221"/>
        <v>#REF!</v>
      </c>
      <c r="BX412" s="8" t="e">
        <f t="shared" si="221"/>
        <v>#REF!</v>
      </c>
      <c r="BY412" s="8" t="e">
        <f t="shared" si="221"/>
        <v>#REF!</v>
      </c>
      <c r="BZ412" s="8" t="e">
        <f t="shared" si="221"/>
        <v>#REF!</v>
      </c>
      <c r="CA412" s="8" t="e">
        <f t="shared" si="221"/>
        <v>#REF!</v>
      </c>
      <c r="CB412" s="8" t="e">
        <f t="shared" si="221"/>
        <v>#REF!</v>
      </c>
      <c r="CC412" s="8" t="e">
        <f t="shared" si="221"/>
        <v>#REF!</v>
      </c>
      <c r="CD412" s="8" t="e">
        <f t="shared" si="221"/>
        <v>#REF!</v>
      </c>
      <c r="CE412" s="8" t="e">
        <f t="shared" si="221"/>
        <v>#REF!</v>
      </c>
      <c r="CF412" s="8" t="e">
        <f t="shared" si="222"/>
        <v>#REF!</v>
      </c>
      <c r="CG412" s="8" t="e">
        <f t="shared" si="222"/>
        <v>#REF!</v>
      </c>
      <c r="CH412" s="8" t="e">
        <f t="shared" si="222"/>
        <v>#REF!</v>
      </c>
      <c r="CI412" s="8" t="e">
        <f t="shared" si="222"/>
        <v>#REF!</v>
      </c>
      <c r="CJ412" s="8" t="e">
        <f t="shared" si="222"/>
        <v>#REF!</v>
      </c>
    </row>
    <row r="413" spans="32:88">
      <c r="AF413" s="292"/>
      <c r="AG413" s="136" t="s">
        <v>347</v>
      </c>
      <c r="AH413" s="8" t="e">
        <f t="shared" ref="AH413:BF413" si="227">AH331*($AI$247/100*$AS$247+$AI$248/100*$AS$248+$AI$250/100*$AS$250+$AI$251/100*$AS$251+$AI$252/100*$AS$252)</f>
        <v>#REF!</v>
      </c>
      <c r="AI413" s="8" t="e">
        <f t="shared" si="227"/>
        <v>#REF!</v>
      </c>
      <c r="AJ413" s="8" t="e">
        <f t="shared" si="227"/>
        <v>#REF!</v>
      </c>
      <c r="AK413" s="8" t="e">
        <f t="shared" si="227"/>
        <v>#REF!</v>
      </c>
      <c r="AL413" s="8" t="e">
        <f t="shared" si="227"/>
        <v>#REF!</v>
      </c>
      <c r="AM413" s="8" t="e">
        <f t="shared" si="227"/>
        <v>#REF!</v>
      </c>
      <c r="AN413" s="8" t="e">
        <f t="shared" si="227"/>
        <v>#REF!</v>
      </c>
      <c r="AO413" s="8" t="e">
        <f t="shared" si="227"/>
        <v>#REF!</v>
      </c>
      <c r="AP413" s="8" t="e">
        <f t="shared" si="227"/>
        <v>#REF!</v>
      </c>
      <c r="AQ413" s="8" t="e">
        <f t="shared" si="227"/>
        <v>#REF!</v>
      </c>
      <c r="AR413" s="8" t="e">
        <f t="shared" si="227"/>
        <v>#REF!</v>
      </c>
      <c r="AS413" s="8" t="e">
        <f t="shared" si="227"/>
        <v>#REF!</v>
      </c>
      <c r="AT413" s="8" t="e">
        <f t="shared" si="227"/>
        <v>#REF!</v>
      </c>
      <c r="AU413" s="8" t="e">
        <f t="shared" si="227"/>
        <v>#REF!</v>
      </c>
      <c r="AV413" s="8" t="e">
        <f t="shared" si="227"/>
        <v>#REF!</v>
      </c>
      <c r="AW413" s="8" t="e">
        <f t="shared" si="227"/>
        <v>#REF!</v>
      </c>
      <c r="AX413" s="8" t="e">
        <f t="shared" si="227"/>
        <v>#REF!</v>
      </c>
      <c r="AY413" s="8" t="e">
        <f t="shared" si="227"/>
        <v>#REF!</v>
      </c>
      <c r="AZ413" s="8" t="e">
        <f t="shared" si="227"/>
        <v>#REF!</v>
      </c>
      <c r="BA413" s="8" t="e">
        <f t="shared" si="227"/>
        <v>#REF!</v>
      </c>
      <c r="BB413" s="8" t="e">
        <f t="shared" si="227"/>
        <v>#REF!</v>
      </c>
      <c r="BC413" s="8" t="e">
        <f t="shared" si="227"/>
        <v>#REF!</v>
      </c>
      <c r="BD413" s="8" t="e">
        <f t="shared" si="227"/>
        <v>#REF!</v>
      </c>
      <c r="BE413" s="8" t="e">
        <f t="shared" si="227"/>
        <v>#REF!</v>
      </c>
      <c r="BF413" s="8" t="e">
        <f t="shared" si="227"/>
        <v>#REF!</v>
      </c>
      <c r="BJ413" s="294"/>
      <c r="BK413" s="136" t="s">
        <v>349</v>
      </c>
      <c r="BL413" s="8" t="e">
        <f t="shared" si="220"/>
        <v>#REF!</v>
      </c>
      <c r="BM413" s="8" t="e">
        <f t="shared" si="220"/>
        <v>#REF!</v>
      </c>
      <c r="BN413" s="8" t="e">
        <f t="shared" si="220"/>
        <v>#REF!</v>
      </c>
      <c r="BO413" s="8" t="e">
        <f t="shared" si="220"/>
        <v>#REF!</v>
      </c>
      <c r="BP413" s="8" t="e">
        <f t="shared" si="220"/>
        <v>#REF!</v>
      </c>
      <c r="BQ413" s="8" t="e">
        <f t="shared" si="220"/>
        <v>#REF!</v>
      </c>
      <c r="BR413" s="8" t="e">
        <f t="shared" si="220"/>
        <v>#REF!</v>
      </c>
      <c r="BS413" s="8" t="e">
        <f t="shared" si="220"/>
        <v>#REF!</v>
      </c>
      <c r="BT413" s="8" t="e">
        <f t="shared" si="220"/>
        <v>#REF!</v>
      </c>
      <c r="BU413" s="8" t="e">
        <f t="shared" si="220"/>
        <v>#REF!</v>
      </c>
      <c r="BV413" s="8" t="e">
        <f t="shared" si="221"/>
        <v>#REF!</v>
      </c>
      <c r="BW413" s="8" t="e">
        <f t="shared" si="221"/>
        <v>#REF!</v>
      </c>
      <c r="BX413" s="8" t="e">
        <f t="shared" si="221"/>
        <v>#REF!</v>
      </c>
      <c r="BY413" s="8" t="e">
        <f t="shared" si="221"/>
        <v>#REF!</v>
      </c>
      <c r="BZ413" s="8" t="e">
        <f t="shared" si="221"/>
        <v>#REF!</v>
      </c>
      <c r="CA413" s="8" t="e">
        <f t="shared" si="221"/>
        <v>#REF!</v>
      </c>
      <c r="CB413" s="8" t="e">
        <f t="shared" si="221"/>
        <v>#REF!</v>
      </c>
      <c r="CC413" s="8" t="e">
        <f t="shared" si="221"/>
        <v>#REF!</v>
      </c>
      <c r="CD413" s="8" t="e">
        <f t="shared" si="221"/>
        <v>#REF!</v>
      </c>
      <c r="CE413" s="8" t="e">
        <f t="shared" si="221"/>
        <v>#REF!</v>
      </c>
      <c r="CF413" s="8" t="e">
        <f t="shared" si="222"/>
        <v>#REF!</v>
      </c>
      <c r="CG413" s="8" t="e">
        <f t="shared" si="222"/>
        <v>#REF!</v>
      </c>
      <c r="CH413" s="8" t="e">
        <f t="shared" si="222"/>
        <v>#REF!</v>
      </c>
      <c r="CI413" s="8" t="e">
        <f t="shared" si="222"/>
        <v>#REF!</v>
      </c>
      <c r="CJ413" s="8" t="e">
        <f t="shared" si="222"/>
        <v>#REF!</v>
      </c>
    </row>
    <row r="414" spans="32:88">
      <c r="AF414" s="292"/>
      <c r="AG414" s="136" t="s">
        <v>348</v>
      </c>
      <c r="AH414" s="8" t="e">
        <f t="shared" ref="AH414:BF414" si="228">AH332*($AI$247/100*$AS$247+$AI$248/100*$AS$248+$AI$250/100*$AS$250+$AI$251/100*$AS$251+$AI$252/100*$AS$252)</f>
        <v>#REF!</v>
      </c>
      <c r="AI414" s="8" t="e">
        <f t="shared" si="228"/>
        <v>#REF!</v>
      </c>
      <c r="AJ414" s="8" t="e">
        <f t="shared" si="228"/>
        <v>#REF!</v>
      </c>
      <c r="AK414" s="8" t="e">
        <f t="shared" si="228"/>
        <v>#REF!</v>
      </c>
      <c r="AL414" s="8" t="e">
        <f t="shared" si="228"/>
        <v>#REF!</v>
      </c>
      <c r="AM414" s="8" t="e">
        <f t="shared" si="228"/>
        <v>#REF!</v>
      </c>
      <c r="AN414" s="8" t="e">
        <f t="shared" si="228"/>
        <v>#REF!</v>
      </c>
      <c r="AO414" s="8" t="e">
        <f t="shared" si="228"/>
        <v>#REF!</v>
      </c>
      <c r="AP414" s="8" t="e">
        <f t="shared" si="228"/>
        <v>#REF!</v>
      </c>
      <c r="AQ414" s="8" t="e">
        <f t="shared" si="228"/>
        <v>#REF!</v>
      </c>
      <c r="AR414" s="8" t="e">
        <f t="shared" si="228"/>
        <v>#REF!</v>
      </c>
      <c r="AS414" s="8" t="e">
        <f t="shared" si="228"/>
        <v>#REF!</v>
      </c>
      <c r="AT414" s="8" t="e">
        <f t="shared" si="228"/>
        <v>#REF!</v>
      </c>
      <c r="AU414" s="8" t="e">
        <f t="shared" si="228"/>
        <v>#REF!</v>
      </c>
      <c r="AV414" s="8" t="e">
        <f t="shared" si="228"/>
        <v>#REF!</v>
      </c>
      <c r="AW414" s="8" t="e">
        <f t="shared" si="228"/>
        <v>#REF!</v>
      </c>
      <c r="AX414" s="8" t="e">
        <f t="shared" si="228"/>
        <v>#REF!</v>
      </c>
      <c r="AY414" s="8" t="e">
        <f t="shared" si="228"/>
        <v>#REF!</v>
      </c>
      <c r="AZ414" s="8" t="e">
        <f t="shared" si="228"/>
        <v>#REF!</v>
      </c>
      <c r="BA414" s="8" t="e">
        <f t="shared" si="228"/>
        <v>#REF!</v>
      </c>
      <c r="BB414" s="8" t="e">
        <f t="shared" si="228"/>
        <v>#REF!</v>
      </c>
      <c r="BC414" s="8" t="e">
        <f t="shared" si="228"/>
        <v>#REF!</v>
      </c>
      <c r="BD414" s="8" t="e">
        <f t="shared" si="228"/>
        <v>#REF!</v>
      </c>
      <c r="BE414" s="8" t="e">
        <f t="shared" si="228"/>
        <v>#REF!</v>
      </c>
      <c r="BF414" s="8" t="e">
        <f t="shared" si="228"/>
        <v>#REF!</v>
      </c>
      <c r="BJ414" s="294"/>
      <c r="BK414" s="136" t="s">
        <v>246</v>
      </c>
      <c r="BL414" s="8">
        <f t="shared" si="220"/>
        <v>0</v>
      </c>
      <c r="BM414" s="8">
        <f t="shared" si="220"/>
        <v>-7.5714757094841943E-12</v>
      </c>
      <c r="BN414" s="8">
        <f t="shared" si="220"/>
        <v>83567.867560466912</v>
      </c>
      <c r="BO414" s="8">
        <f t="shared" si="220"/>
        <v>223597.53971845692</v>
      </c>
      <c r="BP414" s="8">
        <f t="shared" si="220"/>
        <v>300275.48405899189</v>
      </c>
      <c r="BQ414" s="8">
        <f t="shared" si="220"/>
        <v>668331.69812846358</v>
      </c>
      <c r="BR414" s="8">
        <f t="shared" si="220"/>
        <v>830807.17913059494</v>
      </c>
      <c r="BS414" s="8">
        <f t="shared" si="220"/>
        <v>912995.46077995084</v>
      </c>
      <c r="BT414" s="8">
        <f t="shared" si="220"/>
        <v>382435.34111922793</v>
      </c>
      <c r="BU414" s="8">
        <f t="shared" si="220"/>
        <v>355120.66155959695</v>
      </c>
      <c r="BV414" s="8">
        <f t="shared" si="221"/>
        <v>348485.81933956547</v>
      </c>
      <c r="BW414" s="8">
        <f t="shared" si="221"/>
        <v>337111.34201076376</v>
      </c>
      <c r="BX414" s="8">
        <f t="shared" si="221"/>
        <v>330850.61726832861</v>
      </c>
      <c r="BY414" s="8">
        <f t="shared" si="221"/>
        <v>237049.69295199239</v>
      </c>
      <c r="BZ414" s="8">
        <f t="shared" si="221"/>
        <v>180485.23093680386</v>
      </c>
      <c r="CA414" s="8">
        <f t="shared" si="221"/>
        <v>119667.57627862296</v>
      </c>
      <c r="CB414" s="8">
        <f t="shared" si="221"/>
        <v>116445.60929494427</v>
      </c>
      <c r="CC414" s="8">
        <f t="shared" si="221"/>
        <v>111531.63660507898</v>
      </c>
      <c r="CD414" s="8">
        <f t="shared" si="221"/>
        <v>108475.06260311168</v>
      </c>
      <c r="CE414" s="8">
        <f t="shared" si="221"/>
        <v>105641.0820174042</v>
      </c>
      <c r="CF414" s="8">
        <f t="shared" si="222"/>
        <v>102719.12047936807</v>
      </c>
      <c r="CG414" s="8">
        <f t="shared" si="222"/>
        <v>100334.78198113396</v>
      </c>
      <c r="CH414" s="8">
        <f t="shared" si="222"/>
        <v>97873.966033273842</v>
      </c>
      <c r="CI414" s="8">
        <f t="shared" si="222"/>
        <v>95444.519167980077</v>
      </c>
      <c r="CJ414" s="8">
        <f t="shared" si="222"/>
        <v>92823.256199797412</v>
      </c>
    </row>
    <row r="415" spans="32:88">
      <c r="AF415" s="292"/>
      <c r="AG415" s="136" t="s">
        <v>349</v>
      </c>
      <c r="AH415" s="8" t="e">
        <f t="shared" ref="AH415:BF415" si="229">AH333*($AI$247/100*$AS$247+$AI$248/100*$AS$248+$AI$250/100*$AS$250+$AI$251/100*$AS$251+$AI$252/100*$AS$252)</f>
        <v>#REF!</v>
      </c>
      <c r="AI415" s="8" t="e">
        <f t="shared" si="229"/>
        <v>#REF!</v>
      </c>
      <c r="AJ415" s="8" t="e">
        <f t="shared" si="229"/>
        <v>#REF!</v>
      </c>
      <c r="AK415" s="8" t="e">
        <f t="shared" si="229"/>
        <v>#REF!</v>
      </c>
      <c r="AL415" s="8" t="e">
        <f t="shared" si="229"/>
        <v>#REF!</v>
      </c>
      <c r="AM415" s="8" t="e">
        <f t="shared" si="229"/>
        <v>#REF!</v>
      </c>
      <c r="AN415" s="8" t="e">
        <f t="shared" si="229"/>
        <v>#REF!</v>
      </c>
      <c r="AO415" s="8" t="e">
        <f t="shared" si="229"/>
        <v>#REF!</v>
      </c>
      <c r="AP415" s="8" t="e">
        <f t="shared" si="229"/>
        <v>#REF!</v>
      </c>
      <c r="AQ415" s="8" t="e">
        <f t="shared" si="229"/>
        <v>#REF!</v>
      </c>
      <c r="AR415" s="8" t="e">
        <f t="shared" si="229"/>
        <v>#REF!</v>
      </c>
      <c r="AS415" s="8" t="e">
        <f t="shared" si="229"/>
        <v>#REF!</v>
      </c>
      <c r="AT415" s="8" t="e">
        <f t="shared" si="229"/>
        <v>#REF!</v>
      </c>
      <c r="AU415" s="8" t="e">
        <f t="shared" si="229"/>
        <v>#REF!</v>
      </c>
      <c r="AV415" s="8" t="e">
        <f t="shared" si="229"/>
        <v>#REF!</v>
      </c>
      <c r="AW415" s="8" t="e">
        <f t="shared" si="229"/>
        <v>#REF!</v>
      </c>
      <c r="AX415" s="8" t="e">
        <f t="shared" si="229"/>
        <v>#REF!</v>
      </c>
      <c r="AY415" s="8" t="e">
        <f t="shared" si="229"/>
        <v>#REF!</v>
      </c>
      <c r="AZ415" s="8" t="e">
        <f t="shared" si="229"/>
        <v>#REF!</v>
      </c>
      <c r="BA415" s="8" t="e">
        <f t="shared" si="229"/>
        <v>#REF!</v>
      </c>
      <c r="BB415" s="8" t="e">
        <f t="shared" si="229"/>
        <v>#REF!</v>
      </c>
      <c r="BC415" s="8" t="e">
        <f t="shared" si="229"/>
        <v>#REF!</v>
      </c>
      <c r="BD415" s="8" t="e">
        <f t="shared" si="229"/>
        <v>#REF!</v>
      </c>
      <c r="BE415" s="8" t="e">
        <f t="shared" si="229"/>
        <v>#REF!</v>
      </c>
      <c r="BF415" s="8" t="e">
        <f t="shared" si="229"/>
        <v>#REF!</v>
      </c>
      <c r="BJ415" s="155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</row>
    <row r="416" spans="32:88">
      <c r="AF416" s="292"/>
      <c r="AG416" s="136" t="s">
        <v>246</v>
      </c>
      <c r="AH416" s="8">
        <f t="shared" ref="AH416:BF416" si="230">AH334*($AI$247/100*$AS$247+$AI$248/100*$AS$248+$AI$250/100*$AS$250+$AI$251/100*$AS$251+$AI$252/100*$AS$252)</f>
        <v>0</v>
      </c>
      <c r="AI416" s="8">
        <f t="shared" si="230"/>
        <v>-3.8278016086836763E-11</v>
      </c>
      <c r="AJ416" s="8">
        <f t="shared" si="230"/>
        <v>422481.99711124937</v>
      </c>
      <c r="AK416" s="8">
        <f t="shared" si="230"/>
        <v>1130409.7841321989</v>
      </c>
      <c r="AL416" s="8">
        <f t="shared" si="230"/>
        <v>1244616.4640394119</v>
      </c>
      <c r="AM416" s="8">
        <f t="shared" si="230"/>
        <v>1137487.0545182221</v>
      </c>
      <c r="AN416" s="8">
        <f t="shared" si="230"/>
        <v>952494.32693622308</v>
      </c>
      <c r="AO416" s="8">
        <f t="shared" si="230"/>
        <v>885491.07639641024</v>
      </c>
      <c r="AP416" s="8">
        <f t="shared" si="230"/>
        <v>336204.62756105221</v>
      </c>
      <c r="AQ416" s="8">
        <f t="shared" si="230"/>
        <v>293088.99716556532</v>
      </c>
      <c r="AR416" s="8">
        <f t="shared" si="230"/>
        <v>275307.86617770855</v>
      </c>
      <c r="AS416" s="8">
        <f t="shared" si="230"/>
        <v>257822.73604700071</v>
      </c>
      <c r="AT416" s="8">
        <f t="shared" si="230"/>
        <v>243281.78309472484</v>
      </c>
      <c r="AU416" s="8">
        <f t="shared" si="230"/>
        <v>171565.97043154654</v>
      </c>
      <c r="AV416" s="8">
        <f t="shared" si="230"/>
        <v>128649.10003365952</v>
      </c>
      <c r="AW416" s="8">
        <f t="shared" si="230"/>
        <v>84058.422235066115</v>
      </c>
      <c r="AX416" s="8">
        <f t="shared" si="230"/>
        <v>80656.6790263812</v>
      </c>
      <c r="AY416" s="8">
        <f t="shared" si="230"/>
        <v>80901.071209081449</v>
      </c>
      <c r="AZ416" s="8">
        <f t="shared" si="230"/>
        <v>81612.2593463003</v>
      </c>
      <c r="BA416" s="8">
        <f t="shared" si="230"/>
        <v>79684.635132765034</v>
      </c>
      <c r="BB416" s="8">
        <f t="shared" si="230"/>
        <v>75846.910393341241</v>
      </c>
      <c r="BC416" s="8">
        <f t="shared" si="230"/>
        <v>74632.52680882132</v>
      </c>
      <c r="BD416" s="8">
        <f t="shared" si="230"/>
        <v>72806.080814884757</v>
      </c>
      <c r="BE416" s="8">
        <f t="shared" si="230"/>
        <v>70935.367384513636</v>
      </c>
      <c r="BF416" s="8">
        <f t="shared" si="230"/>
        <v>67833.718984730687</v>
      </c>
      <c r="BJ416" s="294" t="s">
        <v>409</v>
      </c>
      <c r="BK416" t="s">
        <v>401</v>
      </c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</row>
    <row r="417" spans="32:88">
      <c r="AF417" s="154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J417" s="294"/>
      <c r="BK417" s="136" t="s">
        <v>343</v>
      </c>
      <c r="BL417" s="8" t="e">
        <f t="shared" ref="BL417:BU424" si="231">AH287*$AI$267/100+AH297*$AI$276/100+AH307*$AI$284/100</f>
        <v>#REF!</v>
      </c>
      <c r="BM417" s="8" t="e">
        <f t="shared" si="231"/>
        <v>#REF!</v>
      </c>
      <c r="BN417" s="8" t="e">
        <f t="shared" si="231"/>
        <v>#REF!</v>
      </c>
      <c r="BO417" s="8" t="e">
        <f t="shared" si="231"/>
        <v>#REF!</v>
      </c>
      <c r="BP417" s="8" t="e">
        <f t="shared" si="231"/>
        <v>#REF!</v>
      </c>
      <c r="BQ417" s="8" t="e">
        <f t="shared" si="231"/>
        <v>#REF!</v>
      </c>
      <c r="BR417" s="8" t="e">
        <f t="shared" si="231"/>
        <v>#REF!</v>
      </c>
      <c r="BS417" s="8" t="e">
        <f t="shared" si="231"/>
        <v>#REF!</v>
      </c>
      <c r="BT417" s="8" t="e">
        <f t="shared" si="231"/>
        <v>#REF!</v>
      </c>
      <c r="BU417" s="8" t="e">
        <f t="shared" si="231"/>
        <v>#REF!</v>
      </c>
      <c r="BV417" s="8" t="e">
        <f t="shared" ref="BV417:CE424" si="232">AR287*$AI$267/100+AR297*$AI$276/100+AR307*$AI$284/100</f>
        <v>#REF!</v>
      </c>
      <c r="BW417" s="8" t="e">
        <f t="shared" si="232"/>
        <v>#REF!</v>
      </c>
      <c r="BX417" s="8" t="e">
        <f t="shared" si="232"/>
        <v>#REF!</v>
      </c>
      <c r="BY417" s="8" t="e">
        <f t="shared" si="232"/>
        <v>#REF!</v>
      </c>
      <c r="BZ417" s="8" t="e">
        <f t="shared" si="232"/>
        <v>#REF!</v>
      </c>
      <c r="CA417" s="8" t="e">
        <f t="shared" si="232"/>
        <v>#REF!</v>
      </c>
      <c r="CB417" s="8" t="e">
        <f t="shared" si="232"/>
        <v>#REF!</v>
      </c>
      <c r="CC417" s="8" t="e">
        <f t="shared" si="232"/>
        <v>#REF!</v>
      </c>
      <c r="CD417" s="8" t="e">
        <f t="shared" si="232"/>
        <v>#REF!</v>
      </c>
      <c r="CE417" s="8" t="e">
        <f t="shared" si="232"/>
        <v>#REF!</v>
      </c>
      <c r="CF417" s="8" t="e">
        <f t="shared" ref="CF417:CJ424" si="233">BB287*$AI$267/100+BB297*$AI$276/100+BB307*$AI$284/100</f>
        <v>#REF!</v>
      </c>
      <c r="CG417" s="8" t="e">
        <f t="shared" si="233"/>
        <v>#REF!</v>
      </c>
      <c r="CH417" s="8" t="e">
        <f t="shared" si="233"/>
        <v>#REF!</v>
      </c>
      <c r="CI417" s="8" t="e">
        <f t="shared" si="233"/>
        <v>#REF!</v>
      </c>
      <c r="CJ417" s="8" t="e">
        <f t="shared" si="233"/>
        <v>#REF!</v>
      </c>
    </row>
    <row r="418" spans="32:88">
      <c r="AF418" s="292" t="s">
        <v>410</v>
      </c>
      <c r="AG418" s="136" t="s">
        <v>343</v>
      </c>
      <c r="AH418" s="8" t="e">
        <f t="shared" ref="AH418:BF418" si="234">AH327*$AI$246/100*$AO$246+AH287*$AI$269/100+AH317*$AI$256/100*$AO$256</f>
        <v>#REF!</v>
      </c>
      <c r="AI418" s="8" t="e">
        <f t="shared" si="234"/>
        <v>#REF!</v>
      </c>
      <c r="AJ418" s="8" t="e">
        <f t="shared" si="234"/>
        <v>#REF!</v>
      </c>
      <c r="AK418" s="8" t="e">
        <f t="shared" si="234"/>
        <v>#REF!</v>
      </c>
      <c r="AL418" s="8" t="e">
        <f t="shared" si="234"/>
        <v>#REF!</v>
      </c>
      <c r="AM418" s="8" t="e">
        <f t="shared" si="234"/>
        <v>#REF!</v>
      </c>
      <c r="AN418" s="8" t="e">
        <f t="shared" si="234"/>
        <v>#REF!</v>
      </c>
      <c r="AO418" s="8" t="e">
        <f t="shared" si="234"/>
        <v>#REF!</v>
      </c>
      <c r="AP418" s="8" t="e">
        <f t="shared" si="234"/>
        <v>#REF!</v>
      </c>
      <c r="AQ418" s="8" t="e">
        <f t="shared" si="234"/>
        <v>#REF!</v>
      </c>
      <c r="AR418" s="8" t="e">
        <f t="shared" si="234"/>
        <v>#REF!</v>
      </c>
      <c r="AS418" s="8" t="e">
        <f t="shared" si="234"/>
        <v>#REF!</v>
      </c>
      <c r="AT418" s="8" t="e">
        <f t="shared" si="234"/>
        <v>#REF!</v>
      </c>
      <c r="AU418" s="8" t="e">
        <f t="shared" si="234"/>
        <v>#REF!</v>
      </c>
      <c r="AV418" s="8" t="e">
        <f t="shared" si="234"/>
        <v>#REF!</v>
      </c>
      <c r="AW418" s="8" t="e">
        <f t="shared" si="234"/>
        <v>#REF!</v>
      </c>
      <c r="AX418" s="8" t="e">
        <f t="shared" si="234"/>
        <v>#REF!</v>
      </c>
      <c r="AY418" s="8" t="e">
        <f t="shared" si="234"/>
        <v>#REF!</v>
      </c>
      <c r="AZ418" s="8" t="e">
        <f t="shared" si="234"/>
        <v>#REF!</v>
      </c>
      <c r="BA418" s="8" t="e">
        <f t="shared" si="234"/>
        <v>#REF!</v>
      </c>
      <c r="BB418" s="8" t="e">
        <f t="shared" si="234"/>
        <v>#REF!</v>
      </c>
      <c r="BC418" s="8" t="e">
        <f t="shared" si="234"/>
        <v>#REF!</v>
      </c>
      <c r="BD418" s="8" t="e">
        <f t="shared" si="234"/>
        <v>#REF!</v>
      </c>
      <c r="BE418" s="8" t="e">
        <f t="shared" si="234"/>
        <v>#REF!</v>
      </c>
      <c r="BF418" s="8" t="e">
        <f t="shared" si="234"/>
        <v>#REF!</v>
      </c>
      <c r="BJ418" s="294"/>
      <c r="BK418" s="136" t="s">
        <v>345</v>
      </c>
      <c r="BL418" s="8" t="e">
        <f t="shared" si="231"/>
        <v>#REF!</v>
      </c>
      <c r="BM418" s="8" t="e">
        <f t="shared" si="231"/>
        <v>#REF!</v>
      </c>
      <c r="BN418" s="8" t="e">
        <f t="shared" si="231"/>
        <v>#REF!</v>
      </c>
      <c r="BO418" s="8" t="e">
        <f t="shared" si="231"/>
        <v>#REF!</v>
      </c>
      <c r="BP418" s="8" t="e">
        <f t="shared" si="231"/>
        <v>#REF!</v>
      </c>
      <c r="BQ418" s="8" t="e">
        <f t="shared" si="231"/>
        <v>#REF!</v>
      </c>
      <c r="BR418" s="8" t="e">
        <f t="shared" si="231"/>
        <v>#REF!</v>
      </c>
      <c r="BS418" s="8" t="e">
        <f t="shared" si="231"/>
        <v>#REF!</v>
      </c>
      <c r="BT418" s="8" t="e">
        <f t="shared" si="231"/>
        <v>#REF!</v>
      </c>
      <c r="BU418" s="8" t="e">
        <f t="shared" si="231"/>
        <v>#REF!</v>
      </c>
      <c r="BV418" s="8" t="e">
        <f t="shared" si="232"/>
        <v>#REF!</v>
      </c>
      <c r="BW418" s="8" t="e">
        <f t="shared" si="232"/>
        <v>#REF!</v>
      </c>
      <c r="BX418" s="8" t="e">
        <f t="shared" si="232"/>
        <v>#REF!</v>
      </c>
      <c r="BY418" s="8" t="e">
        <f t="shared" si="232"/>
        <v>#REF!</v>
      </c>
      <c r="BZ418" s="8" t="e">
        <f t="shared" si="232"/>
        <v>#REF!</v>
      </c>
      <c r="CA418" s="8" t="e">
        <f t="shared" si="232"/>
        <v>#REF!</v>
      </c>
      <c r="CB418" s="8" t="e">
        <f t="shared" si="232"/>
        <v>#REF!</v>
      </c>
      <c r="CC418" s="8" t="e">
        <f t="shared" si="232"/>
        <v>#REF!</v>
      </c>
      <c r="CD418" s="8" t="e">
        <f t="shared" si="232"/>
        <v>#REF!</v>
      </c>
      <c r="CE418" s="8" t="e">
        <f t="shared" si="232"/>
        <v>#REF!</v>
      </c>
      <c r="CF418" s="8" t="e">
        <f t="shared" si="233"/>
        <v>#REF!</v>
      </c>
      <c r="CG418" s="8" t="e">
        <f t="shared" si="233"/>
        <v>#REF!</v>
      </c>
      <c r="CH418" s="8" t="e">
        <f t="shared" si="233"/>
        <v>#REF!</v>
      </c>
      <c r="CI418" s="8" t="e">
        <f t="shared" si="233"/>
        <v>#REF!</v>
      </c>
      <c r="CJ418" s="8" t="e">
        <f t="shared" si="233"/>
        <v>#REF!</v>
      </c>
    </row>
    <row r="419" spans="32:88">
      <c r="AF419" s="292"/>
      <c r="AG419" s="136" t="s">
        <v>345</v>
      </c>
      <c r="AH419" s="8" t="e">
        <f t="shared" ref="AH419:BF419" si="235">AH328*$AI$246/100*$AO$246+AH288*$AI$269/100+AH318*$AI$256/100*$AO$256</f>
        <v>#REF!</v>
      </c>
      <c r="AI419" s="8" t="e">
        <f t="shared" si="235"/>
        <v>#REF!</v>
      </c>
      <c r="AJ419" s="8" t="e">
        <f t="shared" si="235"/>
        <v>#REF!</v>
      </c>
      <c r="AK419" s="8" t="e">
        <f t="shared" si="235"/>
        <v>#REF!</v>
      </c>
      <c r="AL419" s="8" t="e">
        <f t="shared" si="235"/>
        <v>#REF!</v>
      </c>
      <c r="AM419" s="8" t="e">
        <f t="shared" si="235"/>
        <v>#REF!</v>
      </c>
      <c r="AN419" s="8" t="e">
        <f t="shared" si="235"/>
        <v>#REF!</v>
      </c>
      <c r="AO419" s="8" t="e">
        <f t="shared" si="235"/>
        <v>#REF!</v>
      </c>
      <c r="AP419" s="8" t="e">
        <f t="shared" si="235"/>
        <v>#REF!</v>
      </c>
      <c r="AQ419" s="8" t="e">
        <f t="shared" si="235"/>
        <v>#REF!</v>
      </c>
      <c r="AR419" s="8" t="e">
        <f t="shared" si="235"/>
        <v>#REF!</v>
      </c>
      <c r="AS419" s="8" t="e">
        <f t="shared" si="235"/>
        <v>#REF!</v>
      </c>
      <c r="AT419" s="8" t="e">
        <f t="shared" si="235"/>
        <v>#REF!</v>
      </c>
      <c r="AU419" s="8" t="e">
        <f t="shared" si="235"/>
        <v>#REF!</v>
      </c>
      <c r="AV419" s="8" t="e">
        <f t="shared" si="235"/>
        <v>#REF!</v>
      </c>
      <c r="AW419" s="8" t="e">
        <f t="shared" si="235"/>
        <v>#REF!</v>
      </c>
      <c r="AX419" s="8" t="e">
        <f t="shared" si="235"/>
        <v>#REF!</v>
      </c>
      <c r="AY419" s="8" t="e">
        <f t="shared" si="235"/>
        <v>#REF!</v>
      </c>
      <c r="AZ419" s="8" t="e">
        <f t="shared" si="235"/>
        <v>#REF!</v>
      </c>
      <c r="BA419" s="8" t="e">
        <f t="shared" si="235"/>
        <v>#REF!</v>
      </c>
      <c r="BB419" s="8" t="e">
        <f t="shared" si="235"/>
        <v>#REF!</v>
      </c>
      <c r="BC419" s="8" t="e">
        <f t="shared" si="235"/>
        <v>#REF!</v>
      </c>
      <c r="BD419" s="8" t="e">
        <f t="shared" si="235"/>
        <v>#REF!</v>
      </c>
      <c r="BE419" s="8" t="e">
        <f t="shared" si="235"/>
        <v>#REF!</v>
      </c>
      <c r="BF419" s="8" t="e">
        <f t="shared" si="235"/>
        <v>#REF!</v>
      </c>
      <c r="BJ419" s="294"/>
      <c r="BK419" s="136" t="s">
        <v>346</v>
      </c>
      <c r="BL419" s="8" t="e">
        <f t="shared" si="231"/>
        <v>#REF!</v>
      </c>
      <c r="BM419" s="8" t="e">
        <f t="shared" si="231"/>
        <v>#REF!</v>
      </c>
      <c r="BN419" s="8" t="e">
        <f t="shared" si="231"/>
        <v>#REF!</v>
      </c>
      <c r="BO419" s="8" t="e">
        <f t="shared" si="231"/>
        <v>#REF!</v>
      </c>
      <c r="BP419" s="8" t="e">
        <f t="shared" si="231"/>
        <v>#REF!</v>
      </c>
      <c r="BQ419" s="8" t="e">
        <f t="shared" si="231"/>
        <v>#REF!</v>
      </c>
      <c r="BR419" s="8" t="e">
        <f t="shared" si="231"/>
        <v>#REF!</v>
      </c>
      <c r="BS419" s="8" t="e">
        <f t="shared" si="231"/>
        <v>#REF!</v>
      </c>
      <c r="BT419" s="8" t="e">
        <f t="shared" si="231"/>
        <v>#REF!</v>
      </c>
      <c r="BU419" s="8" t="e">
        <f t="shared" si="231"/>
        <v>#REF!</v>
      </c>
      <c r="BV419" s="8" t="e">
        <f t="shared" si="232"/>
        <v>#REF!</v>
      </c>
      <c r="BW419" s="8" t="e">
        <f t="shared" si="232"/>
        <v>#REF!</v>
      </c>
      <c r="BX419" s="8" t="e">
        <f t="shared" si="232"/>
        <v>#REF!</v>
      </c>
      <c r="BY419" s="8" t="e">
        <f t="shared" si="232"/>
        <v>#REF!</v>
      </c>
      <c r="BZ419" s="8" t="e">
        <f t="shared" si="232"/>
        <v>#REF!</v>
      </c>
      <c r="CA419" s="8" t="e">
        <f t="shared" si="232"/>
        <v>#REF!</v>
      </c>
      <c r="CB419" s="8" t="e">
        <f t="shared" si="232"/>
        <v>#REF!</v>
      </c>
      <c r="CC419" s="8" t="e">
        <f t="shared" si="232"/>
        <v>#REF!</v>
      </c>
      <c r="CD419" s="8" t="e">
        <f t="shared" si="232"/>
        <v>#REF!</v>
      </c>
      <c r="CE419" s="8" t="e">
        <f t="shared" si="232"/>
        <v>#REF!</v>
      </c>
      <c r="CF419" s="8" t="e">
        <f t="shared" si="233"/>
        <v>#REF!</v>
      </c>
      <c r="CG419" s="8" t="e">
        <f t="shared" si="233"/>
        <v>#REF!</v>
      </c>
      <c r="CH419" s="8" t="e">
        <f t="shared" si="233"/>
        <v>#REF!</v>
      </c>
      <c r="CI419" s="8" t="e">
        <f t="shared" si="233"/>
        <v>#REF!</v>
      </c>
      <c r="CJ419" s="8" t="e">
        <f t="shared" si="233"/>
        <v>#REF!</v>
      </c>
    </row>
    <row r="420" spans="32:88" ht="14.65" customHeight="1">
      <c r="AF420" s="292"/>
      <c r="AG420" s="136" t="s">
        <v>346</v>
      </c>
      <c r="AH420" s="8" t="e">
        <f t="shared" ref="AH420:BF420" si="236">AH329*$AI$246/100*$AO$246+AH289*$AI$269/100+AH319*$AI$256/100*$AO$256</f>
        <v>#REF!</v>
      </c>
      <c r="AI420" s="8" t="e">
        <f t="shared" si="236"/>
        <v>#REF!</v>
      </c>
      <c r="AJ420" s="8" t="e">
        <f t="shared" si="236"/>
        <v>#REF!</v>
      </c>
      <c r="AK420" s="8" t="e">
        <f t="shared" si="236"/>
        <v>#REF!</v>
      </c>
      <c r="AL420" s="8" t="e">
        <f t="shared" si="236"/>
        <v>#REF!</v>
      </c>
      <c r="AM420" s="8" t="e">
        <f t="shared" si="236"/>
        <v>#REF!</v>
      </c>
      <c r="AN420" s="8" t="e">
        <f t="shared" si="236"/>
        <v>#REF!</v>
      </c>
      <c r="AO420" s="8" t="e">
        <f t="shared" si="236"/>
        <v>#REF!</v>
      </c>
      <c r="AP420" s="8" t="e">
        <f t="shared" si="236"/>
        <v>#REF!</v>
      </c>
      <c r="AQ420" s="8" t="e">
        <f t="shared" si="236"/>
        <v>#REF!</v>
      </c>
      <c r="AR420" s="8" t="e">
        <f t="shared" si="236"/>
        <v>#REF!</v>
      </c>
      <c r="AS420" s="8" t="e">
        <f t="shared" si="236"/>
        <v>#REF!</v>
      </c>
      <c r="AT420" s="8" t="e">
        <f t="shared" si="236"/>
        <v>#REF!</v>
      </c>
      <c r="AU420" s="8" t="e">
        <f t="shared" si="236"/>
        <v>#REF!</v>
      </c>
      <c r="AV420" s="8" t="e">
        <f t="shared" si="236"/>
        <v>#REF!</v>
      </c>
      <c r="AW420" s="8" t="e">
        <f t="shared" si="236"/>
        <v>#REF!</v>
      </c>
      <c r="AX420" s="8" t="e">
        <f t="shared" si="236"/>
        <v>#REF!</v>
      </c>
      <c r="AY420" s="8" t="e">
        <f t="shared" si="236"/>
        <v>#REF!</v>
      </c>
      <c r="AZ420" s="8" t="e">
        <f t="shared" si="236"/>
        <v>#REF!</v>
      </c>
      <c r="BA420" s="8" t="e">
        <f t="shared" si="236"/>
        <v>#REF!</v>
      </c>
      <c r="BB420" s="8" t="e">
        <f t="shared" si="236"/>
        <v>#REF!</v>
      </c>
      <c r="BC420" s="8" t="e">
        <f t="shared" si="236"/>
        <v>#REF!</v>
      </c>
      <c r="BD420" s="8" t="e">
        <f t="shared" si="236"/>
        <v>#REF!</v>
      </c>
      <c r="BE420" s="8" t="e">
        <f t="shared" si="236"/>
        <v>#REF!</v>
      </c>
      <c r="BF420" s="8" t="e">
        <f t="shared" si="236"/>
        <v>#REF!</v>
      </c>
      <c r="BJ420" s="294"/>
      <c r="BK420" s="136" t="s">
        <v>278</v>
      </c>
      <c r="BL420" s="8">
        <f>AH290*$AI$267/100+AH300*$AI$276/100+AH310*$AI$284/100</f>
        <v>0</v>
      </c>
      <c r="BM420" s="8">
        <f t="shared" si="231"/>
        <v>0</v>
      </c>
      <c r="BN420" s="8">
        <f t="shared" si="231"/>
        <v>2410194.8641995434</v>
      </c>
      <c r="BO420" s="8">
        <f t="shared" si="231"/>
        <v>4841370.903445268</v>
      </c>
      <c r="BP420" s="8">
        <f t="shared" si="231"/>
        <v>5002638.9611135144</v>
      </c>
      <c r="BQ420" s="8">
        <f t="shared" si="231"/>
        <v>4306651.3642674936</v>
      </c>
      <c r="BR420" s="8">
        <f t="shared" si="231"/>
        <v>3373676.789288877</v>
      </c>
      <c r="BS420" s="8">
        <f t="shared" si="231"/>
        <v>3005503.5937576238</v>
      </c>
      <c r="BT420" s="8">
        <f t="shared" si="231"/>
        <v>2683102.0562001606</v>
      </c>
      <c r="BU420" s="8">
        <f t="shared" si="231"/>
        <v>2391912.6857123193</v>
      </c>
      <c r="BV420" s="8">
        <f t="shared" si="232"/>
        <v>2143764.583834826</v>
      </c>
      <c r="BW420" s="8">
        <f t="shared" si="232"/>
        <v>1940698.8395814048</v>
      </c>
      <c r="BX420" s="8">
        <f t="shared" si="232"/>
        <v>1758096.7232545824</v>
      </c>
      <c r="BY420" s="8">
        <f t="shared" si="232"/>
        <v>1589128.3333093438</v>
      </c>
      <c r="BZ420" s="8">
        <f t="shared" si="232"/>
        <v>1512350.9780931633</v>
      </c>
      <c r="CA420" s="8">
        <f t="shared" si="232"/>
        <v>1387539.2233100578</v>
      </c>
      <c r="CB420" s="8">
        <f t="shared" si="232"/>
        <v>1280934.9515370349</v>
      </c>
      <c r="CC420" s="8">
        <f t="shared" si="232"/>
        <v>1269725.9936911822</v>
      </c>
      <c r="CD420" s="8">
        <f t="shared" si="232"/>
        <v>1275930.4191786281</v>
      </c>
      <c r="CE420" s="8">
        <f t="shared" si="232"/>
        <v>1242713.122342732</v>
      </c>
      <c r="CF420" s="8">
        <f t="shared" si="233"/>
        <v>1184687.8775648447</v>
      </c>
      <c r="CG420" s="8">
        <f t="shared" si="233"/>
        <v>1169423.6378464771</v>
      </c>
      <c r="CH420" s="8">
        <f t="shared" si="233"/>
        <v>1148328.7643420668</v>
      </c>
      <c r="CI420" s="8">
        <f t="shared" si="233"/>
        <v>1130098.008353462</v>
      </c>
      <c r="CJ420" s="8">
        <f t="shared" si="233"/>
        <v>1093380.0460089229</v>
      </c>
    </row>
    <row r="421" spans="32:88">
      <c r="AF421" s="292"/>
      <c r="AG421" s="136" t="s">
        <v>278</v>
      </c>
      <c r="AH421" s="8">
        <f t="shared" ref="AH421:BF421" si="237">AH330*$AI$246/100*$AO$246+AH290*$AI$269/100+AH320*$AI$256/100*$AO$256</f>
        <v>0</v>
      </c>
      <c r="AI421" s="8">
        <f t="shared" si="237"/>
        <v>-3.8530120764720491E-10</v>
      </c>
      <c r="AJ421" s="8">
        <f t="shared" si="237"/>
        <v>4320549.5518574901</v>
      </c>
      <c r="AK421" s="8">
        <f t="shared" si="237"/>
        <v>11754604.002474599</v>
      </c>
      <c r="AL421" s="8">
        <f t="shared" si="237"/>
        <v>13211349.465996159</v>
      </c>
      <c r="AM421" s="8">
        <f t="shared" si="237"/>
        <v>12908349.176894005</v>
      </c>
      <c r="AN421" s="8">
        <f t="shared" si="237"/>
        <v>11424018.99595727</v>
      </c>
      <c r="AO421" s="8">
        <f t="shared" si="237"/>
        <v>10977507.302469734</v>
      </c>
      <c r="AP421" s="8">
        <f t="shared" si="237"/>
        <v>5837986.0445630625</v>
      </c>
      <c r="AQ421" s="8">
        <f t="shared" si="237"/>
        <v>5187908.2861362044</v>
      </c>
      <c r="AR421" s="8">
        <f t="shared" si="237"/>
        <v>4922268.7871250203</v>
      </c>
      <c r="AS421" s="8">
        <f t="shared" si="237"/>
        <v>4648249.5462409491</v>
      </c>
      <c r="AT421" s="8">
        <f t="shared" si="237"/>
        <v>4427324.6239874437</v>
      </c>
      <c r="AU421" s="8">
        <f t="shared" si="237"/>
        <v>3171874.8643851848</v>
      </c>
      <c r="AV421" s="8">
        <f t="shared" si="237"/>
        <v>2418605.1864411533</v>
      </c>
      <c r="AW421" s="8">
        <f t="shared" si="237"/>
        <v>1630474.5055302649</v>
      </c>
      <c r="AX421" s="8">
        <f t="shared" si="237"/>
        <v>1567943.3991988054</v>
      </c>
      <c r="AY421" s="8">
        <f t="shared" si="237"/>
        <v>1557607.6075635487</v>
      </c>
      <c r="AZ421" s="8">
        <f t="shared" si="237"/>
        <v>1559882.752317074</v>
      </c>
      <c r="BA421" s="8">
        <f t="shared" si="237"/>
        <v>1522209.2159854365</v>
      </c>
      <c r="BB421" s="8">
        <f t="shared" si="237"/>
        <v>1454992.138474786</v>
      </c>
      <c r="BC421" s="8">
        <f t="shared" si="237"/>
        <v>1429692.1050322927</v>
      </c>
      <c r="BD421" s="8">
        <f t="shared" si="237"/>
        <v>1394833.0473860845</v>
      </c>
      <c r="BE421" s="8">
        <f t="shared" si="237"/>
        <v>1359452.6615898721</v>
      </c>
      <c r="BF421" s="8">
        <f t="shared" si="237"/>
        <v>1304617.054606023</v>
      </c>
      <c r="BJ421" s="294"/>
      <c r="BK421" s="136" t="s">
        <v>347</v>
      </c>
      <c r="BL421" s="8" t="e">
        <f t="shared" si="231"/>
        <v>#REF!</v>
      </c>
      <c r="BM421" s="8" t="e">
        <f t="shared" si="231"/>
        <v>#REF!</v>
      </c>
      <c r="BN421" s="8" t="e">
        <f t="shared" si="231"/>
        <v>#REF!</v>
      </c>
      <c r="BO421" s="8" t="e">
        <f t="shared" si="231"/>
        <v>#REF!</v>
      </c>
      <c r="BP421" s="8" t="e">
        <f t="shared" si="231"/>
        <v>#REF!</v>
      </c>
      <c r="BQ421" s="8" t="e">
        <f t="shared" si="231"/>
        <v>#REF!</v>
      </c>
      <c r="BR421" s="8" t="e">
        <f t="shared" si="231"/>
        <v>#REF!</v>
      </c>
      <c r="BS421" s="8" t="e">
        <f t="shared" si="231"/>
        <v>#REF!</v>
      </c>
      <c r="BT421" s="8" t="e">
        <f t="shared" si="231"/>
        <v>#REF!</v>
      </c>
      <c r="BU421" s="8" t="e">
        <f t="shared" si="231"/>
        <v>#REF!</v>
      </c>
      <c r="BV421" s="8" t="e">
        <f t="shared" si="232"/>
        <v>#REF!</v>
      </c>
      <c r="BW421" s="8" t="e">
        <f t="shared" si="232"/>
        <v>#REF!</v>
      </c>
      <c r="BX421" s="8" t="e">
        <f t="shared" si="232"/>
        <v>#REF!</v>
      </c>
      <c r="BY421" s="8" t="e">
        <f t="shared" si="232"/>
        <v>#REF!</v>
      </c>
      <c r="BZ421" s="8" t="e">
        <f t="shared" si="232"/>
        <v>#REF!</v>
      </c>
      <c r="CA421" s="8" t="e">
        <f t="shared" si="232"/>
        <v>#REF!</v>
      </c>
      <c r="CB421" s="8" t="e">
        <f t="shared" si="232"/>
        <v>#REF!</v>
      </c>
      <c r="CC421" s="8" t="e">
        <f t="shared" si="232"/>
        <v>#REF!</v>
      </c>
      <c r="CD421" s="8" t="e">
        <f t="shared" si="232"/>
        <v>#REF!</v>
      </c>
      <c r="CE421" s="8" t="e">
        <f t="shared" si="232"/>
        <v>#REF!</v>
      </c>
      <c r="CF421" s="8" t="e">
        <f t="shared" si="233"/>
        <v>#REF!</v>
      </c>
      <c r="CG421" s="8" t="e">
        <f t="shared" si="233"/>
        <v>#REF!</v>
      </c>
      <c r="CH421" s="8" t="e">
        <f t="shared" si="233"/>
        <v>#REF!</v>
      </c>
      <c r="CI421" s="8" t="e">
        <f t="shared" si="233"/>
        <v>#REF!</v>
      </c>
      <c r="CJ421" s="8" t="e">
        <f t="shared" si="233"/>
        <v>#REF!</v>
      </c>
    </row>
    <row r="422" spans="32:88">
      <c r="AF422" s="292"/>
      <c r="AG422" s="136" t="s">
        <v>347</v>
      </c>
      <c r="AH422" s="8" t="e">
        <f t="shared" ref="AH422:BF422" si="238">AH331*$AI$246/100*$AO$246+AH291*$AI$269/100+AH321*$AI$256/100*$AO$256</f>
        <v>#REF!</v>
      </c>
      <c r="AI422" s="8" t="e">
        <f t="shared" si="238"/>
        <v>#REF!</v>
      </c>
      <c r="AJ422" s="8" t="e">
        <f t="shared" si="238"/>
        <v>#REF!</v>
      </c>
      <c r="AK422" s="8" t="e">
        <f t="shared" si="238"/>
        <v>#REF!</v>
      </c>
      <c r="AL422" s="8" t="e">
        <f t="shared" si="238"/>
        <v>#REF!</v>
      </c>
      <c r="AM422" s="8" t="e">
        <f t="shared" si="238"/>
        <v>#REF!</v>
      </c>
      <c r="AN422" s="8" t="e">
        <f t="shared" si="238"/>
        <v>#REF!</v>
      </c>
      <c r="AO422" s="8" t="e">
        <f t="shared" si="238"/>
        <v>#REF!</v>
      </c>
      <c r="AP422" s="8" t="e">
        <f t="shared" si="238"/>
        <v>#REF!</v>
      </c>
      <c r="AQ422" s="8" t="e">
        <f t="shared" si="238"/>
        <v>#REF!</v>
      </c>
      <c r="AR422" s="8" t="e">
        <f t="shared" si="238"/>
        <v>#REF!</v>
      </c>
      <c r="AS422" s="8" t="e">
        <f t="shared" si="238"/>
        <v>#REF!</v>
      </c>
      <c r="AT422" s="8" t="e">
        <f t="shared" si="238"/>
        <v>#REF!</v>
      </c>
      <c r="AU422" s="8" t="e">
        <f t="shared" si="238"/>
        <v>#REF!</v>
      </c>
      <c r="AV422" s="8" t="e">
        <f t="shared" si="238"/>
        <v>#REF!</v>
      </c>
      <c r="AW422" s="8" t="e">
        <f t="shared" si="238"/>
        <v>#REF!</v>
      </c>
      <c r="AX422" s="8" t="e">
        <f t="shared" si="238"/>
        <v>#REF!</v>
      </c>
      <c r="AY422" s="8" t="e">
        <f t="shared" si="238"/>
        <v>#REF!</v>
      </c>
      <c r="AZ422" s="8" t="e">
        <f t="shared" si="238"/>
        <v>#REF!</v>
      </c>
      <c r="BA422" s="8" t="e">
        <f t="shared" si="238"/>
        <v>#REF!</v>
      </c>
      <c r="BB422" s="8" t="e">
        <f t="shared" si="238"/>
        <v>#REF!</v>
      </c>
      <c r="BC422" s="8" t="e">
        <f t="shared" si="238"/>
        <v>#REF!</v>
      </c>
      <c r="BD422" s="8" t="e">
        <f t="shared" si="238"/>
        <v>#REF!</v>
      </c>
      <c r="BE422" s="8" t="e">
        <f t="shared" si="238"/>
        <v>#REF!</v>
      </c>
      <c r="BF422" s="8" t="e">
        <f t="shared" si="238"/>
        <v>#REF!</v>
      </c>
      <c r="BJ422" s="294"/>
      <c r="BK422" s="136" t="s">
        <v>348</v>
      </c>
      <c r="BL422" s="8" t="e">
        <f t="shared" si="231"/>
        <v>#REF!</v>
      </c>
      <c r="BM422" s="8" t="e">
        <f t="shared" si="231"/>
        <v>#REF!</v>
      </c>
      <c r="BN422" s="8" t="e">
        <f t="shared" si="231"/>
        <v>#REF!</v>
      </c>
      <c r="BO422" s="8" t="e">
        <f t="shared" si="231"/>
        <v>#REF!</v>
      </c>
      <c r="BP422" s="8" t="e">
        <f t="shared" si="231"/>
        <v>#REF!</v>
      </c>
      <c r="BQ422" s="8" t="e">
        <f t="shared" si="231"/>
        <v>#REF!</v>
      </c>
      <c r="BR422" s="8" t="e">
        <f t="shared" si="231"/>
        <v>#REF!</v>
      </c>
      <c r="BS422" s="8" t="e">
        <f t="shared" si="231"/>
        <v>#REF!</v>
      </c>
      <c r="BT422" s="8" t="e">
        <f t="shared" si="231"/>
        <v>#REF!</v>
      </c>
      <c r="BU422" s="8" t="e">
        <f t="shared" si="231"/>
        <v>#REF!</v>
      </c>
      <c r="BV422" s="8" t="e">
        <f t="shared" si="232"/>
        <v>#REF!</v>
      </c>
      <c r="BW422" s="8" t="e">
        <f t="shared" si="232"/>
        <v>#REF!</v>
      </c>
      <c r="BX422" s="8" t="e">
        <f t="shared" si="232"/>
        <v>#REF!</v>
      </c>
      <c r="BY422" s="8" t="e">
        <f t="shared" si="232"/>
        <v>#REF!</v>
      </c>
      <c r="BZ422" s="8" t="e">
        <f t="shared" si="232"/>
        <v>#REF!</v>
      </c>
      <c r="CA422" s="8" t="e">
        <f t="shared" si="232"/>
        <v>#REF!</v>
      </c>
      <c r="CB422" s="8" t="e">
        <f t="shared" si="232"/>
        <v>#REF!</v>
      </c>
      <c r="CC422" s="8" t="e">
        <f t="shared" si="232"/>
        <v>#REF!</v>
      </c>
      <c r="CD422" s="8" t="e">
        <f t="shared" si="232"/>
        <v>#REF!</v>
      </c>
      <c r="CE422" s="8" t="e">
        <f t="shared" si="232"/>
        <v>#REF!</v>
      </c>
      <c r="CF422" s="8" t="e">
        <f t="shared" si="233"/>
        <v>#REF!</v>
      </c>
      <c r="CG422" s="8" t="e">
        <f t="shared" si="233"/>
        <v>#REF!</v>
      </c>
      <c r="CH422" s="8" t="e">
        <f t="shared" si="233"/>
        <v>#REF!</v>
      </c>
      <c r="CI422" s="8" t="e">
        <f t="shared" si="233"/>
        <v>#REF!</v>
      </c>
      <c r="CJ422" s="8" t="e">
        <f t="shared" si="233"/>
        <v>#REF!</v>
      </c>
    </row>
    <row r="423" spans="32:88">
      <c r="AF423" s="292"/>
      <c r="AG423" s="136" t="s">
        <v>348</v>
      </c>
      <c r="AH423" s="8" t="e">
        <f t="shared" ref="AH423:BF423" si="239">AH332*$AI$246/100*$AO$246+AH292*$AI$269/100+AH322*$AI$256/100*$AO$256</f>
        <v>#REF!</v>
      </c>
      <c r="AI423" s="8" t="e">
        <f t="shared" si="239"/>
        <v>#REF!</v>
      </c>
      <c r="AJ423" s="8" t="e">
        <f t="shared" si="239"/>
        <v>#REF!</v>
      </c>
      <c r="AK423" s="8" t="e">
        <f t="shared" si="239"/>
        <v>#REF!</v>
      </c>
      <c r="AL423" s="8" t="e">
        <f t="shared" si="239"/>
        <v>#REF!</v>
      </c>
      <c r="AM423" s="8" t="e">
        <f t="shared" si="239"/>
        <v>#REF!</v>
      </c>
      <c r="AN423" s="8" t="e">
        <f t="shared" si="239"/>
        <v>#REF!</v>
      </c>
      <c r="AO423" s="8" t="e">
        <f t="shared" si="239"/>
        <v>#REF!</v>
      </c>
      <c r="AP423" s="8" t="e">
        <f t="shared" si="239"/>
        <v>#REF!</v>
      </c>
      <c r="AQ423" s="8" t="e">
        <f t="shared" si="239"/>
        <v>#REF!</v>
      </c>
      <c r="AR423" s="8" t="e">
        <f t="shared" si="239"/>
        <v>#REF!</v>
      </c>
      <c r="AS423" s="8" t="e">
        <f t="shared" si="239"/>
        <v>#REF!</v>
      </c>
      <c r="AT423" s="8" t="e">
        <f t="shared" si="239"/>
        <v>#REF!</v>
      </c>
      <c r="AU423" s="8" t="e">
        <f t="shared" si="239"/>
        <v>#REF!</v>
      </c>
      <c r="AV423" s="8" t="e">
        <f t="shared" si="239"/>
        <v>#REF!</v>
      </c>
      <c r="AW423" s="8" t="e">
        <f t="shared" si="239"/>
        <v>#REF!</v>
      </c>
      <c r="AX423" s="8" t="e">
        <f t="shared" si="239"/>
        <v>#REF!</v>
      </c>
      <c r="AY423" s="8" t="e">
        <f t="shared" si="239"/>
        <v>#REF!</v>
      </c>
      <c r="AZ423" s="8" t="e">
        <f t="shared" si="239"/>
        <v>#REF!</v>
      </c>
      <c r="BA423" s="8" t="e">
        <f t="shared" si="239"/>
        <v>#REF!</v>
      </c>
      <c r="BB423" s="8" t="e">
        <f t="shared" si="239"/>
        <v>#REF!</v>
      </c>
      <c r="BC423" s="8" t="e">
        <f t="shared" si="239"/>
        <v>#REF!</v>
      </c>
      <c r="BD423" s="8" t="e">
        <f t="shared" si="239"/>
        <v>#REF!</v>
      </c>
      <c r="BE423" s="8" t="e">
        <f t="shared" si="239"/>
        <v>#REF!</v>
      </c>
      <c r="BF423" s="8" t="e">
        <f t="shared" si="239"/>
        <v>#REF!</v>
      </c>
      <c r="BJ423" s="294"/>
      <c r="BK423" s="136" t="s">
        <v>349</v>
      </c>
      <c r="BL423" s="8" t="e">
        <f t="shared" si="231"/>
        <v>#REF!</v>
      </c>
      <c r="BM423" s="8" t="e">
        <f t="shared" si="231"/>
        <v>#REF!</v>
      </c>
      <c r="BN423" s="8" t="e">
        <f t="shared" si="231"/>
        <v>#REF!</v>
      </c>
      <c r="BO423" s="8" t="e">
        <f t="shared" si="231"/>
        <v>#REF!</v>
      </c>
      <c r="BP423" s="8" t="e">
        <f t="shared" si="231"/>
        <v>#REF!</v>
      </c>
      <c r="BQ423" s="8" t="e">
        <f t="shared" si="231"/>
        <v>#REF!</v>
      </c>
      <c r="BR423" s="8" t="e">
        <f t="shared" si="231"/>
        <v>#REF!</v>
      </c>
      <c r="BS423" s="8" t="e">
        <f t="shared" si="231"/>
        <v>#REF!</v>
      </c>
      <c r="BT423" s="8" t="e">
        <f t="shared" si="231"/>
        <v>#REF!</v>
      </c>
      <c r="BU423" s="8" t="e">
        <f t="shared" si="231"/>
        <v>#REF!</v>
      </c>
      <c r="BV423" s="8" t="e">
        <f t="shared" si="232"/>
        <v>#REF!</v>
      </c>
      <c r="BW423" s="8" t="e">
        <f t="shared" si="232"/>
        <v>#REF!</v>
      </c>
      <c r="BX423" s="8" t="e">
        <f t="shared" si="232"/>
        <v>#REF!</v>
      </c>
      <c r="BY423" s="8" t="e">
        <f t="shared" si="232"/>
        <v>#REF!</v>
      </c>
      <c r="BZ423" s="8" t="e">
        <f t="shared" si="232"/>
        <v>#REF!</v>
      </c>
      <c r="CA423" s="8" t="e">
        <f t="shared" si="232"/>
        <v>#REF!</v>
      </c>
      <c r="CB423" s="8" t="e">
        <f t="shared" si="232"/>
        <v>#REF!</v>
      </c>
      <c r="CC423" s="8" t="e">
        <f t="shared" si="232"/>
        <v>#REF!</v>
      </c>
      <c r="CD423" s="8" t="e">
        <f t="shared" si="232"/>
        <v>#REF!</v>
      </c>
      <c r="CE423" s="8" t="e">
        <f t="shared" si="232"/>
        <v>#REF!</v>
      </c>
      <c r="CF423" s="8" t="e">
        <f t="shared" si="233"/>
        <v>#REF!</v>
      </c>
      <c r="CG423" s="8" t="e">
        <f t="shared" si="233"/>
        <v>#REF!</v>
      </c>
      <c r="CH423" s="8" t="e">
        <f t="shared" si="233"/>
        <v>#REF!</v>
      </c>
      <c r="CI423" s="8" t="e">
        <f t="shared" si="233"/>
        <v>#REF!</v>
      </c>
      <c r="CJ423" s="8" t="e">
        <f t="shared" si="233"/>
        <v>#REF!</v>
      </c>
    </row>
    <row r="424" spans="32:88">
      <c r="AF424" s="292"/>
      <c r="AG424" s="136" t="s">
        <v>349</v>
      </c>
      <c r="AH424" s="8" t="e">
        <f t="shared" ref="AH424:BF424" si="240">AH333*$AI$246/100*$AO$246+AH293*$AI$269/100+AH323*$AI$256/100*$AO$256</f>
        <v>#REF!</v>
      </c>
      <c r="AI424" s="8" t="e">
        <f t="shared" si="240"/>
        <v>#REF!</v>
      </c>
      <c r="AJ424" s="8" t="e">
        <f t="shared" si="240"/>
        <v>#REF!</v>
      </c>
      <c r="AK424" s="8" t="e">
        <f t="shared" si="240"/>
        <v>#REF!</v>
      </c>
      <c r="AL424" s="8" t="e">
        <f t="shared" si="240"/>
        <v>#REF!</v>
      </c>
      <c r="AM424" s="8" t="e">
        <f t="shared" si="240"/>
        <v>#REF!</v>
      </c>
      <c r="AN424" s="8" t="e">
        <f t="shared" si="240"/>
        <v>#REF!</v>
      </c>
      <c r="AO424" s="8" t="e">
        <f t="shared" si="240"/>
        <v>#REF!</v>
      </c>
      <c r="AP424" s="8" t="e">
        <f t="shared" si="240"/>
        <v>#REF!</v>
      </c>
      <c r="AQ424" s="8" t="e">
        <f t="shared" si="240"/>
        <v>#REF!</v>
      </c>
      <c r="AR424" s="8" t="e">
        <f t="shared" si="240"/>
        <v>#REF!</v>
      </c>
      <c r="AS424" s="8" t="e">
        <f t="shared" si="240"/>
        <v>#REF!</v>
      </c>
      <c r="AT424" s="8" t="e">
        <f t="shared" si="240"/>
        <v>#REF!</v>
      </c>
      <c r="AU424" s="8" t="e">
        <f t="shared" si="240"/>
        <v>#REF!</v>
      </c>
      <c r="AV424" s="8" t="e">
        <f t="shared" si="240"/>
        <v>#REF!</v>
      </c>
      <c r="AW424" s="8" t="e">
        <f t="shared" si="240"/>
        <v>#REF!</v>
      </c>
      <c r="AX424" s="8" t="e">
        <f t="shared" si="240"/>
        <v>#REF!</v>
      </c>
      <c r="AY424" s="8" t="e">
        <f t="shared" si="240"/>
        <v>#REF!</v>
      </c>
      <c r="AZ424" s="8" t="e">
        <f t="shared" si="240"/>
        <v>#REF!</v>
      </c>
      <c r="BA424" s="8" t="e">
        <f t="shared" si="240"/>
        <v>#REF!</v>
      </c>
      <c r="BB424" s="8" t="e">
        <f t="shared" si="240"/>
        <v>#REF!</v>
      </c>
      <c r="BC424" s="8" t="e">
        <f t="shared" si="240"/>
        <v>#REF!</v>
      </c>
      <c r="BD424" s="8" t="e">
        <f t="shared" si="240"/>
        <v>#REF!</v>
      </c>
      <c r="BE424" s="8" t="e">
        <f t="shared" si="240"/>
        <v>#REF!</v>
      </c>
      <c r="BF424" s="8" t="e">
        <f t="shared" si="240"/>
        <v>#REF!</v>
      </c>
      <c r="BJ424" s="294"/>
      <c r="BK424" s="136" t="s">
        <v>246</v>
      </c>
      <c r="BL424" s="8">
        <f t="shared" si="231"/>
        <v>0</v>
      </c>
      <c r="BM424" s="8">
        <f t="shared" si="231"/>
        <v>0</v>
      </c>
      <c r="BN424" s="8">
        <f t="shared" si="231"/>
        <v>79211.008788858249</v>
      </c>
      <c r="BO424" s="8">
        <f t="shared" si="231"/>
        <v>217599.69137349594</v>
      </c>
      <c r="BP424" s="8">
        <f t="shared" si="231"/>
        <v>251882.04051627978</v>
      </c>
      <c r="BQ424" s="8">
        <f t="shared" si="231"/>
        <v>244413.65438146747</v>
      </c>
      <c r="BR424" s="8">
        <f t="shared" si="231"/>
        <v>217269.53612157155</v>
      </c>
      <c r="BS424" s="8">
        <f t="shared" si="231"/>
        <v>211152.93308942846</v>
      </c>
      <c r="BT424" s="8">
        <f t="shared" si="231"/>
        <v>203638.74375934602</v>
      </c>
      <c r="BU424" s="8">
        <f t="shared" si="231"/>
        <v>195915.97076273189</v>
      </c>
      <c r="BV424" s="8">
        <f t="shared" si="232"/>
        <v>188547.20996336595</v>
      </c>
      <c r="BW424" s="8">
        <f t="shared" si="232"/>
        <v>182090.81063237283</v>
      </c>
      <c r="BX424" s="8">
        <f t="shared" si="232"/>
        <v>174697.08796249979</v>
      </c>
      <c r="BY424" s="8">
        <f t="shared" si="232"/>
        <v>167415.64182155041</v>
      </c>
      <c r="BZ424" s="8">
        <f t="shared" si="232"/>
        <v>159368.04121922376</v>
      </c>
      <c r="CA424" s="8">
        <f t="shared" si="232"/>
        <v>151628.32872861286</v>
      </c>
      <c r="CB424" s="8">
        <f t="shared" si="232"/>
        <v>144181.6489720399</v>
      </c>
      <c r="CC424" s="8">
        <f t="shared" si="232"/>
        <v>146530.44986530967</v>
      </c>
      <c r="CD424" s="8">
        <f t="shared" si="232"/>
        <v>148520.21026342825</v>
      </c>
      <c r="CE424" s="8">
        <f t="shared" si="232"/>
        <v>145093.31026712648</v>
      </c>
      <c r="CF424" s="8">
        <f t="shared" si="233"/>
        <v>138068.19129231185</v>
      </c>
      <c r="CG424" s="8">
        <f t="shared" si="233"/>
        <v>138389.81097183045</v>
      </c>
      <c r="CH424" s="8">
        <f t="shared" si="233"/>
        <v>137786.28052851817</v>
      </c>
      <c r="CI424" s="8">
        <f t="shared" si="233"/>
        <v>137211.66395412319</v>
      </c>
      <c r="CJ424" s="8">
        <f t="shared" si="233"/>
        <v>134362.77073244739</v>
      </c>
    </row>
    <row r="425" spans="32:88">
      <c r="AF425" s="292"/>
      <c r="AG425" s="136" t="s">
        <v>246</v>
      </c>
      <c r="AH425" s="8">
        <f t="shared" ref="AH425:BF425" si="241">AH334*$AI$246/100*$AO$246+AH294*$AI$269/100+AH324*$AI$256/100*$AO$256</f>
        <v>0</v>
      </c>
      <c r="AI425" s="8">
        <f t="shared" si="241"/>
        <v>-8.4127507883157715E-12</v>
      </c>
      <c r="AJ425" s="8">
        <f t="shared" si="241"/>
        <v>92853.186178296586</v>
      </c>
      <c r="AK425" s="8">
        <f t="shared" si="241"/>
        <v>248441.71079828549</v>
      </c>
      <c r="AL425" s="8">
        <f t="shared" si="241"/>
        <v>275643.54927395261</v>
      </c>
      <c r="AM425" s="8">
        <f t="shared" si="241"/>
        <v>267294.35558928916</v>
      </c>
      <c r="AN425" s="8">
        <f t="shared" si="241"/>
        <v>234520.64673301054</v>
      </c>
      <c r="AO425" s="8">
        <f t="shared" si="241"/>
        <v>223648.27630126756</v>
      </c>
      <c r="AP425" s="8">
        <f t="shared" si="241"/>
        <v>88379.190398145132</v>
      </c>
      <c r="AQ425" s="8">
        <f t="shared" si="241"/>
        <v>78359.641061162663</v>
      </c>
      <c r="AR425" s="8">
        <f t="shared" si="241"/>
        <v>74380.442653842081</v>
      </c>
      <c r="AS425" s="8">
        <f t="shared" si="241"/>
        <v>70263.902324916358</v>
      </c>
      <c r="AT425" s="8">
        <f t="shared" si="241"/>
        <v>66956.009400926501</v>
      </c>
      <c r="AU425" s="8">
        <f t="shared" si="241"/>
        <v>48311.154342673748</v>
      </c>
      <c r="AV425" s="8">
        <f t="shared" si="241"/>
        <v>37079.613163756978</v>
      </c>
      <c r="AW425" s="8">
        <f t="shared" si="241"/>
        <v>25342.134652386285</v>
      </c>
      <c r="AX425" s="8">
        <f t="shared" si="241"/>
        <v>24391.849971620661</v>
      </c>
      <c r="AY425" s="8">
        <f t="shared" si="241"/>
        <v>24164.845363074102</v>
      </c>
      <c r="AZ425" s="8">
        <f t="shared" si="241"/>
        <v>24127.873766120429</v>
      </c>
      <c r="BA425" s="8">
        <f t="shared" si="241"/>
        <v>23540.987861635909</v>
      </c>
      <c r="BB425" s="8">
        <f t="shared" si="241"/>
        <v>22546.765397028968</v>
      </c>
      <c r="BC425" s="8">
        <f t="shared" si="241"/>
        <v>22187.664429590644</v>
      </c>
      <c r="BD425" s="8">
        <f t="shared" si="241"/>
        <v>21699.425185494496</v>
      </c>
      <c r="BE425" s="8">
        <f t="shared" si="241"/>
        <v>21206.344689529127</v>
      </c>
      <c r="BF425" s="8">
        <f t="shared" si="241"/>
        <v>20446.678134275815</v>
      </c>
      <c r="BJ425" s="294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</row>
    <row r="426" spans="32:88">
      <c r="BJ426" s="294"/>
      <c r="BK426" t="s">
        <v>404</v>
      </c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</row>
    <row r="427" spans="32:88">
      <c r="BJ427" s="294"/>
      <c r="BK427" s="136" t="s">
        <v>343</v>
      </c>
      <c r="BL427" s="8" t="e">
        <f t="shared" ref="BL427:BU430" si="242">AH317*$AI$260/100*$AN$260+AH327*($AI$247/100*$AN$247+$AI$248/100*$AN$248+$AI$250/100*$AN$250+$AI$251/100*$AN$251+$AI$252/100*$AN$252)</f>
        <v>#REF!</v>
      </c>
      <c r="BM427" s="8" t="e">
        <f t="shared" si="242"/>
        <v>#REF!</v>
      </c>
      <c r="BN427" s="8" t="e">
        <f t="shared" si="242"/>
        <v>#REF!</v>
      </c>
      <c r="BO427" s="8" t="e">
        <f t="shared" si="242"/>
        <v>#REF!</v>
      </c>
      <c r="BP427" s="8" t="e">
        <f t="shared" si="242"/>
        <v>#REF!</v>
      </c>
      <c r="BQ427" s="8" t="e">
        <f t="shared" si="242"/>
        <v>#REF!</v>
      </c>
      <c r="BR427" s="8" t="e">
        <f t="shared" si="242"/>
        <v>#REF!</v>
      </c>
      <c r="BS427" s="8" t="e">
        <f t="shared" si="242"/>
        <v>#REF!</v>
      </c>
      <c r="BT427" s="8" t="e">
        <f t="shared" si="242"/>
        <v>#REF!</v>
      </c>
      <c r="BU427" s="8" t="e">
        <f t="shared" si="242"/>
        <v>#REF!</v>
      </c>
      <c r="BV427" s="8" t="e">
        <f t="shared" ref="BV427:CE430" si="243">AR317*$AI$260/100*$AN$260+AR327*($AI$247/100*$AN$247+$AI$248/100*$AN$248+$AI$250/100*$AN$250+$AI$251/100*$AN$251+$AI$252/100*$AN$252)</f>
        <v>#REF!</v>
      </c>
      <c r="BW427" s="8" t="e">
        <f t="shared" si="243"/>
        <v>#REF!</v>
      </c>
      <c r="BX427" s="8" t="e">
        <f t="shared" si="243"/>
        <v>#REF!</v>
      </c>
      <c r="BY427" s="8" t="e">
        <f t="shared" si="243"/>
        <v>#REF!</v>
      </c>
      <c r="BZ427" s="8" t="e">
        <f t="shared" si="243"/>
        <v>#REF!</v>
      </c>
      <c r="CA427" s="8" t="e">
        <f t="shared" si="243"/>
        <v>#REF!</v>
      </c>
      <c r="CB427" s="8" t="e">
        <f t="shared" si="243"/>
        <v>#REF!</v>
      </c>
      <c r="CC427" s="8" t="e">
        <f t="shared" si="243"/>
        <v>#REF!</v>
      </c>
      <c r="CD427" s="8" t="e">
        <f t="shared" si="243"/>
        <v>#REF!</v>
      </c>
      <c r="CE427" s="8" t="e">
        <f t="shared" si="243"/>
        <v>#REF!</v>
      </c>
      <c r="CF427" s="8" t="e">
        <f t="shared" ref="CF427:CJ430" si="244">BB317*$AI$260/100*$AN$260+BB327*($AI$247/100*$AN$247+$AI$248/100*$AN$248+$AI$250/100*$AN$250+$AI$251/100*$AN$251+$AI$252/100*$AN$252)</f>
        <v>#REF!</v>
      </c>
      <c r="CG427" s="8" t="e">
        <f t="shared" si="244"/>
        <v>#REF!</v>
      </c>
      <c r="CH427" s="8" t="e">
        <f t="shared" si="244"/>
        <v>#REF!</v>
      </c>
      <c r="CI427" s="8" t="e">
        <f t="shared" si="244"/>
        <v>#REF!</v>
      </c>
      <c r="CJ427" s="8" t="e">
        <f t="shared" si="244"/>
        <v>#REF!</v>
      </c>
    </row>
    <row r="428" spans="32:88">
      <c r="BJ428" s="294"/>
      <c r="BK428" s="136" t="s">
        <v>345</v>
      </c>
      <c r="BL428" s="8" t="e">
        <f t="shared" si="242"/>
        <v>#REF!</v>
      </c>
      <c r="BM428" s="8" t="e">
        <f t="shared" si="242"/>
        <v>#REF!</v>
      </c>
      <c r="BN428" s="8" t="e">
        <f t="shared" si="242"/>
        <v>#REF!</v>
      </c>
      <c r="BO428" s="8" t="e">
        <f t="shared" si="242"/>
        <v>#REF!</v>
      </c>
      <c r="BP428" s="8" t="e">
        <f t="shared" si="242"/>
        <v>#REF!</v>
      </c>
      <c r="BQ428" s="8" t="e">
        <f t="shared" si="242"/>
        <v>#REF!</v>
      </c>
      <c r="BR428" s="8" t="e">
        <f t="shared" si="242"/>
        <v>#REF!</v>
      </c>
      <c r="BS428" s="8" t="e">
        <f t="shared" si="242"/>
        <v>#REF!</v>
      </c>
      <c r="BT428" s="8" t="e">
        <f t="shared" si="242"/>
        <v>#REF!</v>
      </c>
      <c r="BU428" s="8" t="e">
        <f t="shared" si="242"/>
        <v>#REF!</v>
      </c>
      <c r="BV428" s="8" t="e">
        <f t="shared" si="243"/>
        <v>#REF!</v>
      </c>
      <c r="BW428" s="8" t="e">
        <f t="shared" si="243"/>
        <v>#REF!</v>
      </c>
      <c r="BX428" s="8" t="e">
        <f t="shared" si="243"/>
        <v>#REF!</v>
      </c>
      <c r="BY428" s="8" t="e">
        <f t="shared" si="243"/>
        <v>#REF!</v>
      </c>
      <c r="BZ428" s="8" t="e">
        <f t="shared" si="243"/>
        <v>#REF!</v>
      </c>
      <c r="CA428" s="8" t="e">
        <f t="shared" si="243"/>
        <v>#REF!</v>
      </c>
      <c r="CB428" s="8" t="e">
        <f t="shared" si="243"/>
        <v>#REF!</v>
      </c>
      <c r="CC428" s="8" t="e">
        <f t="shared" si="243"/>
        <v>#REF!</v>
      </c>
      <c r="CD428" s="8" t="e">
        <f t="shared" si="243"/>
        <v>#REF!</v>
      </c>
      <c r="CE428" s="8" t="e">
        <f t="shared" si="243"/>
        <v>#REF!</v>
      </c>
      <c r="CF428" s="8" t="e">
        <f t="shared" si="244"/>
        <v>#REF!</v>
      </c>
      <c r="CG428" s="8" t="e">
        <f t="shared" si="244"/>
        <v>#REF!</v>
      </c>
      <c r="CH428" s="8" t="e">
        <f t="shared" si="244"/>
        <v>#REF!</v>
      </c>
      <c r="CI428" s="8" t="e">
        <f t="shared" si="244"/>
        <v>#REF!</v>
      </c>
      <c r="CJ428" s="8" t="e">
        <f t="shared" si="244"/>
        <v>#REF!</v>
      </c>
    </row>
    <row r="429" spans="32:88">
      <c r="BJ429" s="294"/>
      <c r="BK429" s="136" t="s">
        <v>346</v>
      </c>
      <c r="BL429" s="8" t="e">
        <f t="shared" si="242"/>
        <v>#REF!</v>
      </c>
      <c r="BM429" s="8" t="e">
        <f t="shared" si="242"/>
        <v>#REF!</v>
      </c>
      <c r="BN429" s="8" t="e">
        <f t="shared" si="242"/>
        <v>#REF!</v>
      </c>
      <c r="BO429" s="8" t="e">
        <f t="shared" si="242"/>
        <v>#REF!</v>
      </c>
      <c r="BP429" s="8" t="e">
        <f t="shared" si="242"/>
        <v>#REF!</v>
      </c>
      <c r="BQ429" s="8" t="e">
        <f t="shared" si="242"/>
        <v>#REF!</v>
      </c>
      <c r="BR429" s="8" t="e">
        <f t="shared" si="242"/>
        <v>#REF!</v>
      </c>
      <c r="BS429" s="8" t="e">
        <f t="shared" si="242"/>
        <v>#REF!</v>
      </c>
      <c r="BT429" s="8" t="e">
        <f t="shared" si="242"/>
        <v>#REF!</v>
      </c>
      <c r="BU429" s="8" t="e">
        <f t="shared" si="242"/>
        <v>#REF!</v>
      </c>
      <c r="BV429" s="8" t="e">
        <f t="shared" si="243"/>
        <v>#REF!</v>
      </c>
      <c r="BW429" s="8" t="e">
        <f t="shared" si="243"/>
        <v>#REF!</v>
      </c>
      <c r="BX429" s="8" t="e">
        <f t="shared" si="243"/>
        <v>#REF!</v>
      </c>
      <c r="BY429" s="8" t="e">
        <f t="shared" si="243"/>
        <v>#REF!</v>
      </c>
      <c r="BZ429" s="8" t="e">
        <f t="shared" si="243"/>
        <v>#REF!</v>
      </c>
      <c r="CA429" s="8" t="e">
        <f t="shared" si="243"/>
        <v>#REF!</v>
      </c>
      <c r="CB429" s="8" t="e">
        <f t="shared" si="243"/>
        <v>#REF!</v>
      </c>
      <c r="CC429" s="8" t="e">
        <f t="shared" si="243"/>
        <v>#REF!</v>
      </c>
      <c r="CD429" s="8" t="e">
        <f t="shared" si="243"/>
        <v>#REF!</v>
      </c>
      <c r="CE429" s="8" t="e">
        <f t="shared" si="243"/>
        <v>#REF!</v>
      </c>
      <c r="CF429" s="8" t="e">
        <f t="shared" si="244"/>
        <v>#REF!</v>
      </c>
      <c r="CG429" s="8" t="e">
        <f t="shared" si="244"/>
        <v>#REF!</v>
      </c>
      <c r="CH429" s="8" t="e">
        <f t="shared" si="244"/>
        <v>#REF!</v>
      </c>
      <c r="CI429" s="8" t="e">
        <f t="shared" si="244"/>
        <v>#REF!</v>
      </c>
      <c r="CJ429" s="8" t="e">
        <f t="shared" si="244"/>
        <v>#REF!</v>
      </c>
    </row>
    <row r="430" spans="32:88">
      <c r="BJ430" s="294"/>
      <c r="BK430" s="136" t="s">
        <v>278</v>
      </c>
      <c r="BL430" s="8">
        <f>AH320*$AI$260/100*$AN$260+AH330*($AI$247/100*$AN$247+$AI$248/100*$AN$248+$AI$250/100*$AN$250+$AI$251/100*$AN$251+$AI$252/100*$AN$252)</f>
        <v>0</v>
      </c>
      <c r="BM430" s="8">
        <f t="shared" si="242"/>
        <v>-2.0228313401478258E-9</v>
      </c>
      <c r="BN430" s="8">
        <f t="shared" si="242"/>
        <v>22682885.14725183</v>
      </c>
      <c r="BO430" s="8">
        <f t="shared" si="242"/>
        <v>61711671.012991652</v>
      </c>
      <c r="BP430" s="8">
        <f t="shared" si="242"/>
        <v>69088099.778511405</v>
      </c>
      <c r="BQ430" s="8">
        <f t="shared" si="242"/>
        <v>65533260.904079705</v>
      </c>
      <c r="BR430" s="8">
        <f t="shared" si="242"/>
        <v>56717912.045504078</v>
      </c>
      <c r="BS430" s="8">
        <f t="shared" si="242"/>
        <v>53866913.376592331</v>
      </c>
      <c r="BT430" s="8">
        <f t="shared" si="242"/>
        <v>28335795.489331856</v>
      </c>
      <c r="BU430" s="8">
        <f t="shared" si="242"/>
        <v>25039953.743276186</v>
      </c>
      <c r="BV430" s="8">
        <f t="shared" si="243"/>
        <v>23674019.477796331</v>
      </c>
      <c r="BW430" s="8">
        <f t="shared" si="243"/>
        <v>22295958.971235391</v>
      </c>
      <c r="BX430" s="8">
        <f t="shared" si="243"/>
        <v>21165032.682157386</v>
      </c>
      <c r="BY430" s="8">
        <f t="shared" si="243"/>
        <v>15106911.97175381</v>
      </c>
      <c r="BZ430" s="8">
        <f t="shared" si="243"/>
        <v>11471006.22361872</v>
      </c>
      <c r="CA430" s="8">
        <f t="shared" si="243"/>
        <v>7683270.9740137439</v>
      </c>
      <c r="CB430" s="8">
        <f t="shared" si="243"/>
        <v>7382641.0380706079</v>
      </c>
      <c r="CC430" s="8">
        <f t="shared" si="243"/>
        <v>7371532.3625793327</v>
      </c>
      <c r="CD430" s="8">
        <f t="shared" si="243"/>
        <v>7410673.0361418612</v>
      </c>
      <c r="CE430" s="8">
        <f t="shared" si="243"/>
        <v>7233909.975965119</v>
      </c>
      <c r="CF430" s="8">
        <f t="shared" si="244"/>
        <v>6899281.8806612287</v>
      </c>
      <c r="CG430" s="8">
        <f t="shared" si="244"/>
        <v>6784115.6869237972</v>
      </c>
      <c r="CH430" s="8">
        <f t="shared" si="244"/>
        <v>6618057.140466623</v>
      </c>
      <c r="CI430" s="8">
        <f t="shared" si="244"/>
        <v>6448552.3585041054</v>
      </c>
      <c r="CJ430" s="8">
        <f t="shared" si="244"/>
        <v>6176455.0029742029</v>
      </c>
    </row>
    <row r="431" spans="32:88">
      <c r="BJ431" s="293"/>
      <c r="BK431" s="136" t="s">
        <v>347</v>
      </c>
      <c r="BL431" s="8" t="e">
        <f t="shared" ref="BL431:BU433" si="245">AH321*($AI$255/100*$AP$255+$AI$256/100*$AP$256)</f>
        <v>#REF!</v>
      </c>
      <c r="BM431" s="8" t="e">
        <f t="shared" si="245"/>
        <v>#REF!</v>
      </c>
      <c r="BN431" s="8" t="e">
        <f t="shared" si="245"/>
        <v>#REF!</v>
      </c>
      <c r="BO431" s="8" t="e">
        <f t="shared" si="245"/>
        <v>#REF!</v>
      </c>
      <c r="BP431" s="8" t="e">
        <f t="shared" si="245"/>
        <v>#REF!</v>
      </c>
      <c r="BQ431" s="8" t="e">
        <f t="shared" si="245"/>
        <v>#REF!</v>
      </c>
      <c r="BR431" s="8" t="e">
        <f t="shared" si="245"/>
        <v>#REF!</v>
      </c>
      <c r="BS431" s="8" t="e">
        <f t="shared" si="245"/>
        <v>#REF!</v>
      </c>
      <c r="BT431" s="8" t="e">
        <f t="shared" si="245"/>
        <v>#REF!</v>
      </c>
      <c r="BU431" s="8" t="e">
        <f t="shared" si="245"/>
        <v>#REF!</v>
      </c>
      <c r="BV431" s="8" t="e">
        <f t="shared" ref="BV431:CE433" si="246">AR321*($AI$255/100*$AP$255+$AI$256/100*$AP$256)</f>
        <v>#REF!</v>
      </c>
      <c r="BW431" s="8" t="e">
        <f t="shared" si="246"/>
        <v>#REF!</v>
      </c>
      <c r="BX431" s="8" t="e">
        <f t="shared" si="246"/>
        <v>#REF!</v>
      </c>
      <c r="BY431" s="8" t="e">
        <f t="shared" si="246"/>
        <v>#REF!</v>
      </c>
      <c r="BZ431" s="8" t="e">
        <f t="shared" si="246"/>
        <v>#REF!</v>
      </c>
      <c r="CA431" s="8" t="e">
        <f t="shared" si="246"/>
        <v>#REF!</v>
      </c>
      <c r="CB431" s="8" t="e">
        <f t="shared" si="246"/>
        <v>#REF!</v>
      </c>
      <c r="CC431" s="8" t="e">
        <f t="shared" si="246"/>
        <v>#REF!</v>
      </c>
      <c r="CD431" s="8" t="e">
        <f t="shared" si="246"/>
        <v>#REF!</v>
      </c>
      <c r="CE431" s="8" t="e">
        <f t="shared" si="246"/>
        <v>#REF!</v>
      </c>
      <c r="CF431" s="8" t="e">
        <f t="shared" ref="CF431:CJ433" si="247">BB321*($AI$255/100*$AP$255+$AI$256/100*$AP$256)</f>
        <v>#REF!</v>
      </c>
      <c r="CG431" s="8" t="e">
        <f t="shared" si="247"/>
        <v>#REF!</v>
      </c>
      <c r="CH431" s="8" t="e">
        <f t="shared" si="247"/>
        <v>#REF!</v>
      </c>
      <c r="CI431" s="8" t="e">
        <f t="shared" si="247"/>
        <v>#REF!</v>
      </c>
      <c r="CJ431" s="8" t="e">
        <f t="shared" si="247"/>
        <v>#REF!</v>
      </c>
    </row>
    <row r="432" spans="32:88">
      <c r="BJ432" s="293"/>
      <c r="BK432" s="136" t="s">
        <v>348</v>
      </c>
      <c r="BL432" s="8" t="e">
        <f t="shared" si="245"/>
        <v>#REF!</v>
      </c>
      <c r="BM432" s="8" t="e">
        <f t="shared" si="245"/>
        <v>#REF!</v>
      </c>
      <c r="BN432" s="8" t="e">
        <f t="shared" si="245"/>
        <v>#REF!</v>
      </c>
      <c r="BO432" s="8" t="e">
        <f t="shared" si="245"/>
        <v>#REF!</v>
      </c>
      <c r="BP432" s="8" t="e">
        <f t="shared" si="245"/>
        <v>#REF!</v>
      </c>
      <c r="BQ432" s="8" t="e">
        <f t="shared" si="245"/>
        <v>#REF!</v>
      </c>
      <c r="BR432" s="8" t="e">
        <f t="shared" si="245"/>
        <v>#REF!</v>
      </c>
      <c r="BS432" s="8" t="e">
        <f t="shared" si="245"/>
        <v>#REF!</v>
      </c>
      <c r="BT432" s="8" t="e">
        <f t="shared" si="245"/>
        <v>#REF!</v>
      </c>
      <c r="BU432" s="8" t="e">
        <f t="shared" si="245"/>
        <v>#REF!</v>
      </c>
      <c r="BV432" s="8" t="e">
        <f t="shared" si="246"/>
        <v>#REF!</v>
      </c>
      <c r="BW432" s="8" t="e">
        <f t="shared" si="246"/>
        <v>#REF!</v>
      </c>
      <c r="BX432" s="8" t="e">
        <f t="shared" si="246"/>
        <v>#REF!</v>
      </c>
      <c r="BY432" s="8" t="e">
        <f t="shared" si="246"/>
        <v>#REF!</v>
      </c>
      <c r="BZ432" s="8" t="e">
        <f t="shared" si="246"/>
        <v>#REF!</v>
      </c>
      <c r="CA432" s="8" t="e">
        <f t="shared" si="246"/>
        <v>#REF!</v>
      </c>
      <c r="CB432" s="8" t="e">
        <f t="shared" si="246"/>
        <v>#REF!</v>
      </c>
      <c r="CC432" s="8" t="e">
        <f t="shared" si="246"/>
        <v>#REF!</v>
      </c>
      <c r="CD432" s="8" t="e">
        <f t="shared" si="246"/>
        <v>#REF!</v>
      </c>
      <c r="CE432" s="8" t="e">
        <f t="shared" si="246"/>
        <v>#REF!</v>
      </c>
      <c r="CF432" s="8" t="e">
        <f t="shared" si="247"/>
        <v>#REF!</v>
      </c>
      <c r="CG432" s="8" t="e">
        <f t="shared" si="247"/>
        <v>#REF!</v>
      </c>
      <c r="CH432" s="8" t="e">
        <f t="shared" si="247"/>
        <v>#REF!</v>
      </c>
      <c r="CI432" s="8" t="e">
        <f t="shared" si="247"/>
        <v>#REF!</v>
      </c>
      <c r="CJ432" s="8" t="e">
        <f t="shared" si="247"/>
        <v>#REF!</v>
      </c>
    </row>
    <row r="433" spans="62:88">
      <c r="BJ433" s="293"/>
      <c r="BK433" s="136" t="s">
        <v>349</v>
      </c>
      <c r="BL433" s="8" t="e">
        <f t="shared" si="245"/>
        <v>#REF!</v>
      </c>
      <c r="BM433" s="8" t="e">
        <f t="shared" si="245"/>
        <v>#REF!</v>
      </c>
      <c r="BN433" s="8" t="e">
        <f t="shared" si="245"/>
        <v>#REF!</v>
      </c>
      <c r="BO433" s="8" t="e">
        <f t="shared" si="245"/>
        <v>#REF!</v>
      </c>
      <c r="BP433" s="8" t="e">
        <f t="shared" si="245"/>
        <v>#REF!</v>
      </c>
      <c r="BQ433" s="8" t="e">
        <f t="shared" si="245"/>
        <v>#REF!</v>
      </c>
      <c r="BR433" s="8" t="e">
        <f t="shared" si="245"/>
        <v>#REF!</v>
      </c>
      <c r="BS433" s="8" t="e">
        <f t="shared" si="245"/>
        <v>#REF!</v>
      </c>
      <c r="BT433" s="8" t="e">
        <f t="shared" si="245"/>
        <v>#REF!</v>
      </c>
      <c r="BU433" s="8" t="e">
        <f t="shared" si="245"/>
        <v>#REF!</v>
      </c>
      <c r="BV433" s="8" t="e">
        <f t="shared" si="246"/>
        <v>#REF!</v>
      </c>
      <c r="BW433" s="8" t="e">
        <f t="shared" si="246"/>
        <v>#REF!</v>
      </c>
      <c r="BX433" s="8" t="e">
        <f t="shared" si="246"/>
        <v>#REF!</v>
      </c>
      <c r="BY433" s="8" t="e">
        <f t="shared" si="246"/>
        <v>#REF!</v>
      </c>
      <c r="BZ433" s="8" t="e">
        <f t="shared" si="246"/>
        <v>#REF!</v>
      </c>
      <c r="CA433" s="8" t="e">
        <f t="shared" si="246"/>
        <v>#REF!</v>
      </c>
      <c r="CB433" s="8" t="e">
        <f t="shared" si="246"/>
        <v>#REF!</v>
      </c>
      <c r="CC433" s="8" t="e">
        <f t="shared" si="246"/>
        <v>#REF!</v>
      </c>
      <c r="CD433" s="8" t="e">
        <f t="shared" si="246"/>
        <v>#REF!</v>
      </c>
      <c r="CE433" s="8" t="e">
        <f t="shared" si="246"/>
        <v>#REF!</v>
      </c>
      <c r="CF433" s="8" t="e">
        <f t="shared" si="247"/>
        <v>#REF!</v>
      </c>
      <c r="CG433" s="8" t="e">
        <f t="shared" si="247"/>
        <v>#REF!</v>
      </c>
      <c r="CH433" s="8" t="e">
        <f t="shared" si="247"/>
        <v>#REF!</v>
      </c>
      <c r="CI433" s="8" t="e">
        <f t="shared" si="247"/>
        <v>#REF!</v>
      </c>
      <c r="CJ433" s="8" t="e">
        <f t="shared" si="247"/>
        <v>#REF!</v>
      </c>
    </row>
    <row r="434" spans="62:88">
      <c r="BJ434" s="293"/>
      <c r="BK434" s="136" t="s">
        <v>246</v>
      </c>
      <c r="BL434" s="8">
        <f>AH324*$AI$260/100*$AN$260+AH334*($AI$247/100*$AN$247+$AI$248/100*$AN$248+$AI$250/100*$AN$250+$AI$251/100*$AN$251+$AI$252/100*$AN$252)</f>
        <v>0</v>
      </c>
      <c r="BM434" s="8">
        <f t="shared" ref="BM434:CJ434" si="248">AI324*$AI$260/100*$AN$260+AI334*($AI$247/100*$AN$247+$AI$248/100*$AN$248+$AI$250/100*$AN$250+$AI$251/100*$AN$251+$AI$252/100*$AN$252)</f>
        <v>-4.4166941638657807E-11</v>
      </c>
      <c r="BN434" s="8">
        <f t="shared" si="248"/>
        <v>487479.227436057</v>
      </c>
      <c r="BO434" s="8">
        <f t="shared" si="248"/>
        <v>1304318.9816909989</v>
      </c>
      <c r="BP434" s="8">
        <f t="shared" si="248"/>
        <v>1440840.4474183875</v>
      </c>
      <c r="BQ434" s="8">
        <f t="shared" si="248"/>
        <v>1351374.0329734664</v>
      </c>
      <c r="BR434" s="8">
        <f t="shared" si="248"/>
        <v>1155382.9427016496</v>
      </c>
      <c r="BS434" s="8">
        <f t="shared" si="248"/>
        <v>1086443.5762505718</v>
      </c>
      <c r="BT434" s="8">
        <f t="shared" si="248"/>
        <v>415641.86614259722</v>
      </c>
      <c r="BU434" s="8">
        <f t="shared" si="248"/>
        <v>364245.13963767578</v>
      </c>
      <c r="BV434" s="8">
        <f t="shared" si="248"/>
        <v>343454.96798093198</v>
      </c>
      <c r="BW434" s="8">
        <f t="shared" si="248"/>
        <v>322585.44237747579</v>
      </c>
      <c r="BX434" s="8">
        <f t="shared" si="248"/>
        <v>305510.53445160837</v>
      </c>
      <c r="BY434" s="8">
        <f t="shared" si="248"/>
        <v>215777.71466881115</v>
      </c>
      <c r="BZ434" s="8">
        <f t="shared" si="248"/>
        <v>162041.10753319235</v>
      </c>
      <c r="CA434" s="8">
        <f t="shared" si="248"/>
        <v>106029.13944138968</v>
      </c>
      <c r="CB434" s="8">
        <f t="shared" si="248"/>
        <v>101880.44632537437</v>
      </c>
      <c r="CC434" s="8">
        <f t="shared" si="248"/>
        <v>101727.14660359478</v>
      </c>
      <c r="CD434" s="8">
        <f t="shared" si="248"/>
        <v>102267.2878987577</v>
      </c>
      <c r="CE434" s="8">
        <f t="shared" si="248"/>
        <v>99827.957668318661</v>
      </c>
      <c r="CF434" s="8">
        <f t="shared" si="248"/>
        <v>95210.08995312496</v>
      </c>
      <c r="CG434" s="8">
        <f t="shared" si="248"/>
        <v>93620.796479548415</v>
      </c>
      <c r="CH434" s="8">
        <f t="shared" si="248"/>
        <v>91329.188538439426</v>
      </c>
      <c r="CI434" s="8">
        <f t="shared" si="248"/>
        <v>88990.022547356639</v>
      </c>
      <c r="CJ434" s="8">
        <f t="shared" si="248"/>
        <v>85235.079041043995</v>
      </c>
    </row>
    <row r="436" spans="62:88" ht="30">
      <c r="BJ436" s="449" t="s">
        <v>410</v>
      </c>
      <c r="BK436" t="s">
        <v>401</v>
      </c>
    </row>
    <row r="437" spans="62:88">
      <c r="BJ437" s="449"/>
      <c r="BK437" s="136" t="s">
        <v>343</v>
      </c>
      <c r="BL437" t="e">
        <f t="shared" ref="BL437:BU444" si="249">AH287*$AI$269/100</f>
        <v>#REF!</v>
      </c>
      <c r="BM437" t="e">
        <f t="shared" si="249"/>
        <v>#REF!</v>
      </c>
      <c r="BN437" t="e">
        <f t="shared" si="249"/>
        <v>#REF!</v>
      </c>
      <c r="BO437" t="e">
        <f t="shared" si="249"/>
        <v>#REF!</v>
      </c>
      <c r="BP437" t="e">
        <f t="shared" si="249"/>
        <v>#REF!</v>
      </c>
      <c r="BQ437" t="e">
        <f t="shared" si="249"/>
        <v>#REF!</v>
      </c>
      <c r="BR437" t="e">
        <f t="shared" si="249"/>
        <v>#REF!</v>
      </c>
      <c r="BS437" t="e">
        <f t="shared" si="249"/>
        <v>#REF!</v>
      </c>
      <c r="BT437" t="e">
        <f t="shared" si="249"/>
        <v>#REF!</v>
      </c>
      <c r="BU437" t="e">
        <f t="shared" si="249"/>
        <v>#REF!</v>
      </c>
      <c r="BV437" t="e">
        <f t="shared" ref="BV437:CE444" si="250">AR287*$AI$269/100</f>
        <v>#REF!</v>
      </c>
      <c r="BW437" t="e">
        <f t="shared" si="250"/>
        <v>#REF!</v>
      </c>
      <c r="BX437" t="e">
        <f t="shared" si="250"/>
        <v>#REF!</v>
      </c>
      <c r="BY437" t="e">
        <f t="shared" si="250"/>
        <v>#REF!</v>
      </c>
      <c r="BZ437" t="e">
        <f t="shared" si="250"/>
        <v>#REF!</v>
      </c>
      <c r="CA437" t="e">
        <f t="shared" si="250"/>
        <v>#REF!</v>
      </c>
      <c r="CB437" t="e">
        <f t="shared" si="250"/>
        <v>#REF!</v>
      </c>
      <c r="CC437" t="e">
        <f t="shared" si="250"/>
        <v>#REF!</v>
      </c>
      <c r="CD437" t="e">
        <f t="shared" si="250"/>
        <v>#REF!</v>
      </c>
      <c r="CE437" t="e">
        <f t="shared" si="250"/>
        <v>#REF!</v>
      </c>
      <c r="CF437" t="e">
        <f t="shared" ref="CF437:CJ444" si="251">BB287*$AI$269/100</f>
        <v>#REF!</v>
      </c>
      <c r="CG437" t="e">
        <f t="shared" si="251"/>
        <v>#REF!</v>
      </c>
      <c r="CH437" t="e">
        <f t="shared" si="251"/>
        <v>#REF!</v>
      </c>
      <c r="CI437" t="e">
        <f t="shared" si="251"/>
        <v>#REF!</v>
      </c>
      <c r="CJ437" t="e">
        <f t="shared" si="251"/>
        <v>#REF!</v>
      </c>
    </row>
    <row r="438" spans="62:88">
      <c r="BJ438" s="449"/>
      <c r="BK438" s="136" t="s">
        <v>345</v>
      </c>
      <c r="BL438" t="e">
        <f t="shared" si="249"/>
        <v>#REF!</v>
      </c>
      <c r="BM438" t="e">
        <f t="shared" si="249"/>
        <v>#REF!</v>
      </c>
      <c r="BN438" t="e">
        <f t="shared" si="249"/>
        <v>#REF!</v>
      </c>
      <c r="BO438" t="e">
        <f t="shared" si="249"/>
        <v>#REF!</v>
      </c>
      <c r="BP438" t="e">
        <f t="shared" si="249"/>
        <v>#REF!</v>
      </c>
      <c r="BQ438" t="e">
        <f t="shared" si="249"/>
        <v>#REF!</v>
      </c>
      <c r="BR438" t="e">
        <f t="shared" si="249"/>
        <v>#REF!</v>
      </c>
      <c r="BS438" t="e">
        <f t="shared" si="249"/>
        <v>#REF!</v>
      </c>
      <c r="BT438" t="e">
        <f t="shared" si="249"/>
        <v>#REF!</v>
      </c>
      <c r="BU438" t="e">
        <f t="shared" si="249"/>
        <v>#REF!</v>
      </c>
      <c r="BV438" t="e">
        <f t="shared" si="250"/>
        <v>#REF!</v>
      </c>
      <c r="BW438" t="e">
        <f t="shared" si="250"/>
        <v>#REF!</v>
      </c>
      <c r="BX438" t="e">
        <f t="shared" si="250"/>
        <v>#REF!</v>
      </c>
      <c r="BY438" t="e">
        <f t="shared" si="250"/>
        <v>#REF!</v>
      </c>
      <c r="BZ438" t="e">
        <f t="shared" si="250"/>
        <v>#REF!</v>
      </c>
      <c r="CA438" t="e">
        <f t="shared" si="250"/>
        <v>#REF!</v>
      </c>
      <c r="CB438" t="e">
        <f t="shared" si="250"/>
        <v>#REF!</v>
      </c>
      <c r="CC438" t="e">
        <f t="shared" si="250"/>
        <v>#REF!</v>
      </c>
      <c r="CD438" t="e">
        <f t="shared" si="250"/>
        <v>#REF!</v>
      </c>
      <c r="CE438" t="e">
        <f t="shared" si="250"/>
        <v>#REF!</v>
      </c>
      <c r="CF438" t="e">
        <f t="shared" si="251"/>
        <v>#REF!</v>
      </c>
      <c r="CG438" t="e">
        <f t="shared" si="251"/>
        <v>#REF!</v>
      </c>
      <c r="CH438" t="e">
        <f t="shared" si="251"/>
        <v>#REF!</v>
      </c>
      <c r="CI438" t="e">
        <f t="shared" si="251"/>
        <v>#REF!</v>
      </c>
      <c r="CJ438" t="e">
        <f t="shared" si="251"/>
        <v>#REF!</v>
      </c>
    </row>
    <row r="439" spans="62:88">
      <c r="BJ439" s="449"/>
      <c r="BK439" s="136" t="s">
        <v>346</v>
      </c>
      <c r="BL439" t="e">
        <f t="shared" si="249"/>
        <v>#REF!</v>
      </c>
      <c r="BM439" t="e">
        <f t="shared" si="249"/>
        <v>#REF!</v>
      </c>
      <c r="BN439" t="e">
        <f t="shared" si="249"/>
        <v>#REF!</v>
      </c>
      <c r="BO439" t="e">
        <f t="shared" si="249"/>
        <v>#REF!</v>
      </c>
      <c r="BP439" t="e">
        <f t="shared" si="249"/>
        <v>#REF!</v>
      </c>
      <c r="BQ439" t="e">
        <f t="shared" si="249"/>
        <v>#REF!</v>
      </c>
      <c r="BR439" t="e">
        <f t="shared" si="249"/>
        <v>#REF!</v>
      </c>
      <c r="BS439" t="e">
        <f t="shared" si="249"/>
        <v>#REF!</v>
      </c>
      <c r="BT439" t="e">
        <f t="shared" si="249"/>
        <v>#REF!</v>
      </c>
      <c r="BU439" t="e">
        <f t="shared" si="249"/>
        <v>#REF!</v>
      </c>
      <c r="BV439" t="e">
        <f t="shared" si="250"/>
        <v>#REF!</v>
      </c>
      <c r="BW439" t="e">
        <f t="shared" si="250"/>
        <v>#REF!</v>
      </c>
      <c r="BX439" t="e">
        <f t="shared" si="250"/>
        <v>#REF!</v>
      </c>
      <c r="BY439" t="e">
        <f t="shared" si="250"/>
        <v>#REF!</v>
      </c>
      <c r="BZ439" t="e">
        <f t="shared" si="250"/>
        <v>#REF!</v>
      </c>
      <c r="CA439" t="e">
        <f t="shared" si="250"/>
        <v>#REF!</v>
      </c>
      <c r="CB439" t="e">
        <f t="shared" si="250"/>
        <v>#REF!</v>
      </c>
      <c r="CC439" t="e">
        <f t="shared" si="250"/>
        <v>#REF!</v>
      </c>
      <c r="CD439" t="e">
        <f t="shared" si="250"/>
        <v>#REF!</v>
      </c>
      <c r="CE439" t="e">
        <f t="shared" si="250"/>
        <v>#REF!</v>
      </c>
      <c r="CF439" t="e">
        <f t="shared" si="251"/>
        <v>#REF!</v>
      </c>
      <c r="CG439" t="e">
        <f t="shared" si="251"/>
        <v>#REF!</v>
      </c>
      <c r="CH439" t="e">
        <f t="shared" si="251"/>
        <v>#REF!</v>
      </c>
      <c r="CI439" t="e">
        <f t="shared" si="251"/>
        <v>#REF!</v>
      </c>
      <c r="CJ439" t="e">
        <f t="shared" si="251"/>
        <v>#REF!</v>
      </c>
    </row>
    <row r="440" spans="62:88">
      <c r="BJ440" s="449"/>
      <c r="BK440" s="136" t="s">
        <v>278</v>
      </c>
      <c r="BL440">
        <f t="shared" si="249"/>
        <v>0</v>
      </c>
      <c r="BM440">
        <f t="shared" si="249"/>
        <v>0</v>
      </c>
      <c r="BN440">
        <f t="shared" si="249"/>
        <v>0</v>
      </c>
      <c r="BO440">
        <f t="shared" si="249"/>
        <v>0</v>
      </c>
      <c r="BP440">
        <f t="shared" si="249"/>
        <v>4044.865703477155</v>
      </c>
      <c r="BQ440">
        <f t="shared" si="249"/>
        <v>30687.806000318778</v>
      </c>
      <c r="BR440">
        <f t="shared" si="249"/>
        <v>41005.678136445422</v>
      </c>
      <c r="BS440">
        <f t="shared" si="249"/>
        <v>44773.930436869065</v>
      </c>
      <c r="BT440">
        <f t="shared" si="249"/>
        <v>44833.056411949772</v>
      </c>
      <c r="BU440">
        <f t="shared" si="249"/>
        <v>42954.051476801338</v>
      </c>
      <c r="BV440">
        <f t="shared" si="250"/>
        <v>40435.95655227203</v>
      </c>
      <c r="BW440">
        <f t="shared" si="250"/>
        <v>37947.284876069374</v>
      </c>
      <c r="BX440">
        <f t="shared" si="250"/>
        <v>35898.898164298786</v>
      </c>
      <c r="BY440">
        <f t="shared" si="250"/>
        <v>33009.355897262831</v>
      </c>
      <c r="BZ440">
        <f t="shared" si="250"/>
        <v>31934.184716493171</v>
      </c>
      <c r="CA440">
        <f t="shared" si="250"/>
        <v>29761.504658207734</v>
      </c>
      <c r="CB440">
        <f t="shared" si="250"/>
        <v>27888.209150039191</v>
      </c>
      <c r="CC440">
        <f t="shared" si="250"/>
        <v>26277.324261225018</v>
      </c>
      <c r="CD440">
        <f t="shared" si="250"/>
        <v>25355.300576213311</v>
      </c>
      <c r="CE440">
        <f t="shared" si="250"/>
        <v>24617.49261709131</v>
      </c>
      <c r="CF440">
        <f t="shared" si="251"/>
        <v>24019.654289214435</v>
      </c>
      <c r="CG440">
        <f t="shared" si="251"/>
        <v>23511.660645054832</v>
      </c>
      <c r="CH440">
        <f t="shared" si="251"/>
        <v>23079.03809182618</v>
      </c>
      <c r="CI440">
        <f t="shared" si="251"/>
        <v>22728.07306902358</v>
      </c>
      <c r="CJ440">
        <f t="shared" si="251"/>
        <v>22394.519624396413</v>
      </c>
    </row>
    <row r="441" spans="62:88">
      <c r="BJ441" s="449"/>
      <c r="BK441" s="136" t="s">
        <v>347</v>
      </c>
      <c r="BL441" t="e">
        <f t="shared" si="249"/>
        <v>#REF!</v>
      </c>
      <c r="BM441" t="e">
        <f t="shared" si="249"/>
        <v>#REF!</v>
      </c>
      <c r="BN441" t="e">
        <f t="shared" si="249"/>
        <v>#REF!</v>
      </c>
      <c r="BO441" t="e">
        <f t="shared" si="249"/>
        <v>#REF!</v>
      </c>
      <c r="BP441" t="e">
        <f t="shared" si="249"/>
        <v>#REF!</v>
      </c>
      <c r="BQ441" t="e">
        <f t="shared" si="249"/>
        <v>#REF!</v>
      </c>
      <c r="BR441" t="e">
        <f t="shared" si="249"/>
        <v>#REF!</v>
      </c>
      <c r="BS441" t="e">
        <f t="shared" si="249"/>
        <v>#REF!</v>
      </c>
      <c r="BT441" t="e">
        <f t="shared" si="249"/>
        <v>#REF!</v>
      </c>
      <c r="BU441" t="e">
        <f t="shared" si="249"/>
        <v>#REF!</v>
      </c>
      <c r="BV441" t="e">
        <f t="shared" si="250"/>
        <v>#REF!</v>
      </c>
      <c r="BW441" t="e">
        <f t="shared" si="250"/>
        <v>#REF!</v>
      </c>
      <c r="BX441" t="e">
        <f t="shared" si="250"/>
        <v>#REF!</v>
      </c>
      <c r="BY441" t="e">
        <f t="shared" si="250"/>
        <v>#REF!</v>
      </c>
      <c r="BZ441" t="e">
        <f t="shared" si="250"/>
        <v>#REF!</v>
      </c>
      <c r="CA441" t="e">
        <f t="shared" si="250"/>
        <v>#REF!</v>
      </c>
      <c r="CB441" t="e">
        <f t="shared" si="250"/>
        <v>#REF!</v>
      </c>
      <c r="CC441" t="e">
        <f t="shared" si="250"/>
        <v>#REF!</v>
      </c>
      <c r="CD441" t="e">
        <f t="shared" si="250"/>
        <v>#REF!</v>
      </c>
      <c r="CE441" t="e">
        <f t="shared" si="250"/>
        <v>#REF!</v>
      </c>
      <c r="CF441" t="e">
        <f t="shared" si="251"/>
        <v>#REF!</v>
      </c>
      <c r="CG441" t="e">
        <f t="shared" si="251"/>
        <v>#REF!</v>
      </c>
      <c r="CH441" t="e">
        <f t="shared" si="251"/>
        <v>#REF!</v>
      </c>
      <c r="CI441" t="e">
        <f t="shared" si="251"/>
        <v>#REF!</v>
      </c>
      <c r="CJ441" t="e">
        <f t="shared" si="251"/>
        <v>#REF!</v>
      </c>
    </row>
    <row r="442" spans="62:88">
      <c r="BJ442" s="449"/>
      <c r="BK442" s="136" t="s">
        <v>348</v>
      </c>
      <c r="BL442" t="e">
        <f t="shared" si="249"/>
        <v>#REF!</v>
      </c>
      <c r="BM442" t="e">
        <f t="shared" si="249"/>
        <v>#REF!</v>
      </c>
      <c r="BN442" t="e">
        <f t="shared" si="249"/>
        <v>#REF!</v>
      </c>
      <c r="BO442" t="e">
        <f t="shared" si="249"/>
        <v>#REF!</v>
      </c>
      <c r="BP442" t="e">
        <f t="shared" si="249"/>
        <v>#REF!</v>
      </c>
      <c r="BQ442" t="e">
        <f t="shared" si="249"/>
        <v>#REF!</v>
      </c>
      <c r="BR442" t="e">
        <f t="shared" si="249"/>
        <v>#REF!</v>
      </c>
      <c r="BS442" t="e">
        <f t="shared" si="249"/>
        <v>#REF!</v>
      </c>
      <c r="BT442" t="e">
        <f t="shared" si="249"/>
        <v>#REF!</v>
      </c>
      <c r="BU442" t="e">
        <f t="shared" si="249"/>
        <v>#REF!</v>
      </c>
      <c r="BV442" t="e">
        <f t="shared" si="250"/>
        <v>#REF!</v>
      </c>
      <c r="BW442" t="e">
        <f t="shared" si="250"/>
        <v>#REF!</v>
      </c>
      <c r="BX442" t="e">
        <f t="shared" si="250"/>
        <v>#REF!</v>
      </c>
      <c r="BY442" t="e">
        <f t="shared" si="250"/>
        <v>#REF!</v>
      </c>
      <c r="BZ442" t="e">
        <f t="shared" si="250"/>
        <v>#REF!</v>
      </c>
      <c r="CA442" t="e">
        <f t="shared" si="250"/>
        <v>#REF!</v>
      </c>
      <c r="CB442" t="e">
        <f t="shared" si="250"/>
        <v>#REF!</v>
      </c>
      <c r="CC442" t="e">
        <f t="shared" si="250"/>
        <v>#REF!</v>
      </c>
      <c r="CD442" t="e">
        <f t="shared" si="250"/>
        <v>#REF!</v>
      </c>
      <c r="CE442" t="e">
        <f t="shared" si="250"/>
        <v>#REF!</v>
      </c>
      <c r="CF442" t="e">
        <f t="shared" si="251"/>
        <v>#REF!</v>
      </c>
      <c r="CG442" t="e">
        <f t="shared" si="251"/>
        <v>#REF!</v>
      </c>
      <c r="CH442" t="e">
        <f t="shared" si="251"/>
        <v>#REF!</v>
      </c>
      <c r="CI442" t="e">
        <f t="shared" si="251"/>
        <v>#REF!</v>
      </c>
      <c r="CJ442" t="e">
        <f t="shared" si="251"/>
        <v>#REF!</v>
      </c>
    </row>
    <row r="443" spans="62:88">
      <c r="BJ443" s="449"/>
      <c r="BK443" s="136" t="s">
        <v>349</v>
      </c>
      <c r="BL443" t="e">
        <f t="shared" si="249"/>
        <v>#REF!</v>
      </c>
      <c r="BM443" t="e">
        <f t="shared" si="249"/>
        <v>#REF!</v>
      </c>
      <c r="BN443" t="e">
        <f t="shared" si="249"/>
        <v>#REF!</v>
      </c>
      <c r="BO443" t="e">
        <f t="shared" si="249"/>
        <v>#REF!</v>
      </c>
      <c r="BP443" t="e">
        <f t="shared" si="249"/>
        <v>#REF!</v>
      </c>
      <c r="BQ443" t="e">
        <f t="shared" si="249"/>
        <v>#REF!</v>
      </c>
      <c r="BR443" t="e">
        <f t="shared" si="249"/>
        <v>#REF!</v>
      </c>
      <c r="BS443" t="e">
        <f t="shared" si="249"/>
        <v>#REF!</v>
      </c>
      <c r="BT443" t="e">
        <f t="shared" si="249"/>
        <v>#REF!</v>
      </c>
      <c r="BU443" t="e">
        <f t="shared" si="249"/>
        <v>#REF!</v>
      </c>
      <c r="BV443" t="e">
        <f t="shared" si="250"/>
        <v>#REF!</v>
      </c>
      <c r="BW443" t="e">
        <f t="shared" si="250"/>
        <v>#REF!</v>
      </c>
      <c r="BX443" t="e">
        <f t="shared" si="250"/>
        <v>#REF!</v>
      </c>
      <c r="BY443" t="e">
        <f t="shared" si="250"/>
        <v>#REF!</v>
      </c>
      <c r="BZ443" t="e">
        <f t="shared" si="250"/>
        <v>#REF!</v>
      </c>
      <c r="CA443" t="e">
        <f t="shared" si="250"/>
        <v>#REF!</v>
      </c>
      <c r="CB443" t="e">
        <f t="shared" si="250"/>
        <v>#REF!</v>
      </c>
      <c r="CC443" t="e">
        <f t="shared" si="250"/>
        <v>#REF!</v>
      </c>
      <c r="CD443" t="e">
        <f t="shared" si="250"/>
        <v>#REF!</v>
      </c>
      <c r="CE443" t="e">
        <f t="shared" si="250"/>
        <v>#REF!</v>
      </c>
      <c r="CF443" t="e">
        <f t="shared" si="251"/>
        <v>#REF!</v>
      </c>
      <c r="CG443" t="e">
        <f t="shared" si="251"/>
        <v>#REF!</v>
      </c>
      <c r="CH443" t="e">
        <f t="shared" si="251"/>
        <v>#REF!</v>
      </c>
      <c r="CI443" t="e">
        <f t="shared" si="251"/>
        <v>#REF!</v>
      </c>
      <c r="CJ443" t="e">
        <f t="shared" si="251"/>
        <v>#REF!</v>
      </c>
    </row>
    <row r="444" spans="62:88">
      <c r="BJ444" s="449"/>
      <c r="BK444" s="136" t="s">
        <v>246</v>
      </c>
      <c r="BL444">
        <f t="shared" si="249"/>
        <v>0</v>
      </c>
      <c r="BM444">
        <f t="shared" si="249"/>
        <v>0</v>
      </c>
      <c r="BN444">
        <f t="shared" si="249"/>
        <v>0</v>
      </c>
      <c r="BO444">
        <f t="shared" si="249"/>
        <v>0</v>
      </c>
      <c r="BP444">
        <f t="shared" si="249"/>
        <v>203.65831612588875</v>
      </c>
      <c r="BQ444">
        <f t="shared" si="249"/>
        <v>1741.612722989287</v>
      </c>
      <c r="BR444">
        <f t="shared" si="249"/>
        <v>2640.8234171519184</v>
      </c>
      <c r="BS444">
        <f t="shared" si="249"/>
        <v>3145.6115232478951</v>
      </c>
      <c r="BT444">
        <f t="shared" si="249"/>
        <v>3402.6835712507313</v>
      </c>
      <c r="BU444">
        <f t="shared" si="249"/>
        <v>3518.2658395257286</v>
      </c>
      <c r="BV444">
        <f t="shared" si="250"/>
        <v>3556.4011308054173</v>
      </c>
      <c r="BW444">
        <f t="shared" si="250"/>
        <v>3560.496725948195</v>
      </c>
      <c r="BX444">
        <f t="shared" si="250"/>
        <v>3567.171753073786</v>
      </c>
      <c r="BY444">
        <f t="shared" si="250"/>
        <v>3477.5558322264696</v>
      </c>
      <c r="BZ444">
        <f t="shared" si="250"/>
        <v>3365.1503783977323</v>
      </c>
      <c r="CA444">
        <f t="shared" si="250"/>
        <v>3252.2952403518943</v>
      </c>
      <c r="CB444">
        <f t="shared" si="250"/>
        <v>3139.0883489476905</v>
      </c>
      <c r="CC444">
        <f t="shared" si="250"/>
        <v>3032.4874535020376</v>
      </c>
      <c r="CD444">
        <f t="shared" si="250"/>
        <v>2951.3949320965457</v>
      </c>
      <c r="CE444">
        <f t="shared" si="250"/>
        <v>2874.2220791527425</v>
      </c>
      <c r="CF444">
        <f t="shared" si="251"/>
        <v>2799.3451152680809</v>
      </c>
      <c r="CG444">
        <f t="shared" si="251"/>
        <v>2782.3742970467656</v>
      </c>
      <c r="CH444">
        <f t="shared" si="251"/>
        <v>2769.2198572337261</v>
      </c>
      <c r="CI444">
        <f t="shared" si="251"/>
        <v>2759.545367941419</v>
      </c>
      <c r="CJ444">
        <f t="shared" si="251"/>
        <v>2752.0071515293721</v>
      </c>
    </row>
    <row r="445" spans="62:88">
      <c r="BJ445" s="449"/>
    </row>
    <row r="446" spans="62:88">
      <c r="BJ446" s="449"/>
      <c r="BK446" t="s">
        <v>404</v>
      </c>
    </row>
    <row r="447" spans="62:88">
      <c r="BJ447" s="449"/>
      <c r="BK447" s="136" t="s">
        <v>343</v>
      </c>
      <c r="BL447" t="e">
        <f t="shared" ref="BL447:BU454" si="252">AH327*$AI$246/100*$AO$246+AH317*$AI$256/100*$AO$256</f>
        <v>#REF!</v>
      </c>
      <c r="BM447" t="e">
        <f t="shared" si="252"/>
        <v>#REF!</v>
      </c>
      <c r="BN447" t="e">
        <f t="shared" si="252"/>
        <v>#REF!</v>
      </c>
      <c r="BO447" t="e">
        <f t="shared" si="252"/>
        <v>#REF!</v>
      </c>
      <c r="BP447" t="e">
        <f t="shared" si="252"/>
        <v>#REF!</v>
      </c>
      <c r="BQ447" t="e">
        <f t="shared" si="252"/>
        <v>#REF!</v>
      </c>
      <c r="BR447" t="e">
        <f t="shared" si="252"/>
        <v>#REF!</v>
      </c>
      <c r="BS447" t="e">
        <f t="shared" si="252"/>
        <v>#REF!</v>
      </c>
      <c r="BT447" t="e">
        <f t="shared" si="252"/>
        <v>#REF!</v>
      </c>
      <c r="BU447" t="e">
        <f t="shared" si="252"/>
        <v>#REF!</v>
      </c>
      <c r="BV447" t="e">
        <f t="shared" ref="BV447:CE454" si="253">AR327*$AI$246/100*$AO$246+AR317*$AI$256/100*$AO$256</f>
        <v>#REF!</v>
      </c>
      <c r="BW447" t="e">
        <f t="shared" si="253"/>
        <v>#REF!</v>
      </c>
      <c r="BX447" t="e">
        <f t="shared" si="253"/>
        <v>#REF!</v>
      </c>
      <c r="BY447" t="e">
        <f t="shared" si="253"/>
        <v>#REF!</v>
      </c>
      <c r="BZ447" t="e">
        <f t="shared" si="253"/>
        <v>#REF!</v>
      </c>
      <c r="CA447" t="e">
        <f t="shared" si="253"/>
        <v>#REF!</v>
      </c>
      <c r="CB447" t="e">
        <f t="shared" si="253"/>
        <v>#REF!</v>
      </c>
      <c r="CC447" t="e">
        <f t="shared" si="253"/>
        <v>#REF!</v>
      </c>
      <c r="CD447" t="e">
        <f t="shared" si="253"/>
        <v>#REF!</v>
      </c>
      <c r="CE447" t="e">
        <f t="shared" si="253"/>
        <v>#REF!</v>
      </c>
      <c r="CF447" t="e">
        <f t="shared" ref="CF447:CJ454" si="254">BB327*$AI$246/100*$AO$246+BB317*$AI$256/100*$AO$256</f>
        <v>#REF!</v>
      </c>
      <c r="CG447" t="e">
        <f t="shared" si="254"/>
        <v>#REF!</v>
      </c>
      <c r="CH447" t="e">
        <f t="shared" si="254"/>
        <v>#REF!</v>
      </c>
      <c r="CI447" t="e">
        <f t="shared" si="254"/>
        <v>#REF!</v>
      </c>
      <c r="CJ447" t="e">
        <f t="shared" si="254"/>
        <v>#REF!</v>
      </c>
    </row>
    <row r="448" spans="62:88">
      <c r="BJ448" s="449"/>
      <c r="BK448" s="136" t="s">
        <v>345</v>
      </c>
      <c r="BL448" t="e">
        <f t="shared" si="252"/>
        <v>#REF!</v>
      </c>
      <c r="BM448" t="e">
        <f t="shared" si="252"/>
        <v>#REF!</v>
      </c>
      <c r="BN448" t="e">
        <f t="shared" si="252"/>
        <v>#REF!</v>
      </c>
      <c r="BO448" t="e">
        <f t="shared" si="252"/>
        <v>#REF!</v>
      </c>
      <c r="BP448" t="e">
        <f t="shared" si="252"/>
        <v>#REF!</v>
      </c>
      <c r="BQ448" t="e">
        <f t="shared" si="252"/>
        <v>#REF!</v>
      </c>
      <c r="BR448" t="e">
        <f t="shared" si="252"/>
        <v>#REF!</v>
      </c>
      <c r="BS448" t="e">
        <f t="shared" si="252"/>
        <v>#REF!</v>
      </c>
      <c r="BT448" t="e">
        <f t="shared" si="252"/>
        <v>#REF!</v>
      </c>
      <c r="BU448" t="e">
        <f t="shared" si="252"/>
        <v>#REF!</v>
      </c>
      <c r="BV448" t="e">
        <f t="shared" si="253"/>
        <v>#REF!</v>
      </c>
      <c r="BW448" t="e">
        <f t="shared" si="253"/>
        <v>#REF!</v>
      </c>
      <c r="BX448" t="e">
        <f t="shared" si="253"/>
        <v>#REF!</v>
      </c>
      <c r="BY448" t="e">
        <f t="shared" si="253"/>
        <v>#REF!</v>
      </c>
      <c r="BZ448" t="e">
        <f t="shared" si="253"/>
        <v>#REF!</v>
      </c>
      <c r="CA448" t="e">
        <f t="shared" si="253"/>
        <v>#REF!</v>
      </c>
      <c r="CB448" t="e">
        <f t="shared" si="253"/>
        <v>#REF!</v>
      </c>
      <c r="CC448" t="e">
        <f t="shared" si="253"/>
        <v>#REF!</v>
      </c>
      <c r="CD448" t="e">
        <f t="shared" si="253"/>
        <v>#REF!</v>
      </c>
      <c r="CE448" t="e">
        <f t="shared" si="253"/>
        <v>#REF!</v>
      </c>
      <c r="CF448" t="e">
        <f t="shared" si="254"/>
        <v>#REF!</v>
      </c>
      <c r="CG448" t="e">
        <f t="shared" si="254"/>
        <v>#REF!</v>
      </c>
      <c r="CH448" t="e">
        <f t="shared" si="254"/>
        <v>#REF!</v>
      </c>
      <c r="CI448" t="e">
        <f t="shared" si="254"/>
        <v>#REF!</v>
      </c>
      <c r="CJ448" t="e">
        <f t="shared" si="254"/>
        <v>#REF!</v>
      </c>
    </row>
    <row r="449" spans="62:88">
      <c r="BJ449" s="449"/>
      <c r="BK449" s="136" t="s">
        <v>346</v>
      </c>
      <c r="BL449" t="e">
        <f t="shared" si="252"/>
        <v>#REF!</v>
      </c>
      <c r="BM449" t="e">
        <f t="shared" si="252"/>
        <v>#REF!</v>
      </c>
      <c r="BN449" t="e">
        <f t="shared" si="252"/>
        <v>#REF!</v>
      </c>
      <c r="BO449" t="e">
        <f t="shared" si="252"/>
        <v>#REF!</v>
      </c>
      <c r="BP449" t="e">
        <f t="shared" si="252"/>
        <v>#REF!</v>
      </c>
      <c r="BQ449" t="e">
        <f t="shared" si="252"/>
        <v>#REF!</v>
      </c>
      <c r="BR449" t="e">
        <f t="shared" si="252"/>
        <v>#REF!</v>
      </c>
      <c r="BS449" t="e">
        <f t="shared" si="252"/>
        <v>#REF!</v>
      </c>
      <c r="BT449" t="e">
        <f t="shared" si="252"/>
        <v>#REF!</v>
      </c>
      <c r="BU449" t="e">
        <f t="shared" si="252"/>
        <v>#REF!</v>
      </c>
      <c r="BV449" t="e">
        <f t="shared" si="253"/>
        <v>#REF!</v>
      </c>
      <c r="BW449" t="e">
        <f t="shared" si="253"/>
        <v>#REF!</v>
      </c>
      <c r="BX449" t="e">
        <f t="shared" si="253"/>
        <v>#REF!</v>
      </c>
      <c r="BY449" t="e">
        <f t="shared" si="253"/>
        <v>#REF!</v>
      </c>
      <c r="BZ449" t="e">
        <f t="shared" si="253"/>
        <v>#REF!</v>
      </c>
      <c r="CA449" t="e">
        <f t="shared" si="253"/>
        <v>#REF!</v>
      </c>
      <c r="CB449" t="e">
        <f t="shared" si="253"/>
        <v>#REF!</v>
      </c>
      <c r="CC449" t="e">
        <f t="shared" si="253"/>
        <v>#REF!</v>
      </c>
      <c r="CD449" t="e">
        <f t="shared" si="253"/>
        <v>#REF!</v>
      </c>
      <c r="CE449" t="e">
        <f t="shared" si="253"/>
        <v>#REF!</v>
      </c>
      <c r="CF449" t="e">
        <f t="shared" si="254"/>
        <v>#REF!</v>
      </c>
      <c r="CG449" t="e">
        <f t="shared" si="254"/>
        <v>#REF!</v>
      </c>
      <c r="CH449" t="e">
        <f t="shared" si="254"/>
        <v>#REF!</v>
      </c>
      <c r="CI449" t="e">
        <f t="shared" si="254"/>
        <v>#REF!</v>
      </c>
      <c r="CJ449" t="e">
        <f t="shared" si="254"/>
        <v>#REF!</v>
      </c>
    </row>
    <row r="450" spans="62:88">
      <c r="BJ450" s="449"/>
      <c r="BK450" s="136" t="s">
        <v>278</v>
      </c>
      <c r="BL450">
        <f t="shared" si="252"/>
        <v>0</v>
      </c>
      <c r="BM450">
        <f t="shared" si="252"/>
        <v>-3.8530120764720491E-10</v>
      </c>
      <c r="BN450">
        <f t="shared" si="252"/>
        <v>4320549.5518574901</v>
      </c>
      <c r="BO450">
        <f t="shared" si="252"/>
        <v>11754604.002474599</v>
      </c>
      <c r="BP450">
        <f t="shared" si="252"/>
        <v>13207304.600292683</v>
      </c>
      <c r="BQ450">
        <f t="shared" si="252"/>
        <v>12877661.370893687</v>
      </c>
      <c r="BR450">
        <f t="shared" si="252"/>
        <v>11383013.317820825</v>
      </c>
      <c r="BS450">
        <f t="shared" si="252"/>
        <v>10932733.372032866</v>
      </c>
      <c r="BT450">
        <f t="shared" si="252"/>
        <v>5793152.9881511126</v>
      </c>
      <c r="BU450">
        <f t="shared" si="252"/>
        <v>5144954.2346594026</v>
      </c>
      <c r="BV450">
        <f t="shared" si="253"/>
        <v>4881832.8305727486</v>
      </c>
      <c r="BW450">
        <f t="shared" si="253"/>
        <v>4610302.26136488</v>
      </c>
      <c r="BX450">
        <f t="shared" si="253"/>
        <v>4391425.7258231454</v>
      </c>
      <c r="BY450">
        <f t="shared" si="253"/>
        <v>3138865.5084879221</v>
      </c>
      <c r="BZ450">
        <f t="shared" si="253"/>
        <v>2386671.0017246604</v>
      </c>
      <c r="CA450">
        <f t="shared" si="253"/>
        <v>1600713.0008720572</v>
      </c>
      <c r="CB450">
        <f t="shared" si="253"/>
        <v>1540055.1900487663</v>
      </c>
      <c r="CC450">
        <f t="shared" si="253"/>
        <v>1531330.2833023237</v>
      </c>
      <c r="CD450">
        <f t="shared" si="253"/>
        <v>1534527.4517408607</v>
      </c>
      <c r="CE450">
        <f t="shared" si="253"/>
        <v>1497591.7233683448</v>
      </c>
      <c r="CF450">
        <f t="shared" si="254"/>
        <v>1430972.4841855715</v>
      </c>
      <c r="CG450">
        <f t="shared" si="254"/>
        <v>1406180.4443872378</v>
      </c>
      <c r="CH450">
        <f t="shared" si="254"/>
        <v>1371754.0092942582</v>
      </c>
      <c r="CI450">
        <f t="shared" si="254"/>
        <v>1336724.5885208484</v>
      </c>
      <c r="CJ450">
        <f t="shared" si="254"/>
        <v>1282222.5349816266</v>
      </c>
    </row>
    <row r="451" spans="62:88">
      <c r="BJ451" s="449"/>
      <c r="BK451" s="136" t="s">
        <v>347</v>
      </c>
      <c r="BL451" t="e">
        <f t="shared" si="252"/>
        <v>#REF!</v>
      </c>
      <c r="BM451" t="e">
        <f t="shared" si="252"/>
        <v>#REF!</v>
      </c>
      <c r="BN451" t="e">
        <f t="shared" si="252"/>
        <v>#REF!</v>
      </c>
      <c r="BO451" t="e">
        <f t="shared" si="252"/>
        <v>#REF!</v>
      </c>
      <c r="BP451" t="e">
        <f t="shared" si="252"/>
        <v>#REF!</v>
      </c>
      <c r="BQ451" t="e">
        <f t="shared" si="252"/>
        <v>#REF!</v>
      </c>
      <c r="BR451" t="e">
        <f t="shared" si="252"/>
        <v>#REF!</v>
      </c>
      <c r="BS451" t="e">
        <f t="shared" si="252"/>
        <v>#REF!</v>
      </c>
      <c r="BT451" t="e">
        <f t="shared" si="252"/>
        <v>#REF!</v>
      </c>
      <c r="BU451" t="e">
        <f t="shared" si="252"/>
        <v>#REF!</v>
      </c>
      <c r="BV451" t="e">
        <f t="shared" si="253"/>
        <v>#REF!</v>
      </c>
      <c r="BW451" t="e">
        <f t="shared" si="253"/>
        <v>#REF!</v>
      </c>
      <c r="BX451" t="e">
        <f t="shared" si="253"/>
        <v>#REF!</v>
      </c>
      <c r="BY451" t="e">
        <f t="shared" si="253"/>
        <v>#REF!</v>
      </c>
      <c r="BZ451" t="e">
        <f t="shared" si="253"/>
        <v>#REF!</v>
      </c>
      <c r="CA451" t="e">
        <f t="shared" si="253"/>
        <v>#REF!</v>
      </c>
      <c r="CB451" t="e">
        <f t="shared" si="253"/>
        <v>#REF!</v>
      </c>
      <c r="CC451" t="e">
        <f t="shared" si="253"/>
        <v>#REF!</v>
      </c>
      <c r="CD451" t="e">
        <f t="shared" si="253"/>
        <v>#REF!</v>
      </c>
      <c r="CE451" t="e">
        <f t="shared" si="253"/>
        <v>#REF!</v>
      </c>
      <c r="CF451" t="e">
        <f t="shared" si="254"/>
        <v>#REF!</v>
      </c>
      <c r="CG451" t="e">
        <f t="shared" si="254"/>
        <v>#REF!</v>
      </c>
      <c r="CH451" t="e">
        <f t="shared" si="254"/>
        <v>#REF!</v>
      </c>
      <c r="CI451" t="e">
        <f t="shared" si="254"/>
        <v>#REF!</v>
      </c>
      <c r="CJ451" t="e">
        <f t="shared" si="254"/>
        <v>#REF!</v>
      </c>
    </row>
    <row r="452" spans="62:88">
      <c r="BJ452" s="449"/>
      <c r="BK452" s="136" t="s">
        <v>348</v>
      </c>
      <c r="BL452" t="e">
        <f t="shared" si="252"/>
        <v>#REF!</v>
      </c>
      <c r="BM452" t="e">
        <f t="shared" si="252"/>
        <v>#REF!</v>
      </c>
      <c r="BN452" t="e">
        <f t="shared" si="252"/>
        <v>#REF!</v>
      </c>
      <c r="BO452" t="e">
        <f t="shared" si="252"/>
        <v>#REF!</v>
      </c>
      <c r="BP452" t="e">
        <f t="shared" si="252"/>
        <v>#REF!</v>
      </c>
      <c r="BQ452" t="e">
        <f t="shared" si="252"/>
        <v>#REF!</v>
      </c>
      <c r="BR452" t="e">
        <f t="shared" si="252"/>
        <v>#REF!</v>
      </c>
      <c r="BS452" t="e">
        <f t="shared" si="252"/>
        <v>#REF!</v>
      </c>
      <c r="BT452" t="e">
        <f t="shared" si="252"/>
        <v>#REF!</v>
      </c>
      <c r="BU452" t="e">
        <f t="shared" si="252"/>
        <v>#REF!</v>
      </c>
      <c r="BV452" t="e">
        <f t="shared" si="253"/>
        <v>#REF!</v>
      </c>
      <c r="BW452" t="e">
        <f t="shared" si="253"/>
        <v>#REF!</v>
      </c>
      <c r="BX452" t="e">
        <f t="shared" si="253"/>
        <v>#REF!</v>
      </c>
      <c r="BY452" t="e">
        <f t="shared" si="253"/>
        <v>#REF!</v>
      </c>
      <c r="BZ452" t="e">
        <f t="shared" si="253"/>
        <v>#REF!</v>
      </c>
      <c r="CA452" t="e">
        <f t="shared" si="253"/>
        <v>#REF!</v>
      </c>
      <c r="CB452" t="e">
        <f t="shared" si="253"/>
        <v>#REF!</v>
      </c>
      <c r="CC452" t="e">
        <f t="shared" si="253"/>
        <v>#REF!</v>
      </c>
      <c r="CD452" t="e">
        <f t="shared" si="253"/>
        <v>#REF!</v>
      </c>
      <c r="CE452" t="e">
        <f t="shared" si="253"/>
        <v>#REF!</v>
      </c>
      <c r="CF452" t="e">
        <f t="shared" si="254"/>
        <v>#REF!</v>
      </c>
      <c r="CG452" t="e">
        <f t="shared" si="254"/>
        <v>#REF!</v>
      </c>
      <c r="CH452" t="e">
        <f t="shared" si="254"/>
        <v>#REF!</v>
      </c>
      <c r="CI452" t="e">
        <f t="shared" si="254"/>
        <v>#REF!</v>
      </c>
      <c r="CJ452" t="e">
        <f t="shared" si="254"/>
        <v>#REF!</v>
      </c>
    </row>
    <row r="453" spans="62:88">
      <c r="BJ453" s="449"/>
      <c r="BK453" s="136" t="s">
        <v>349</v>
      </c>
      <c r="BL453" t="e">
        <f t="shared" si="252"/>
        <v>#REF!</v>
      </c>
      <c r="BM453" t="e">
        <f t="shared" si="252"/>
        <v>#REF!</v>
      </c>
      <c r="BN453" t="e">
        <f t="shared" si="252"/>
        <v>#REF!</v>
      </c>
      <c r="BO453" t="e">
        <f t="shared" si="252"/>
        <v>#REF!</v>
      </c>
      <c r="BP453" t="e">
        <f t="shared" si="252"/>
        <v>#REF!</v>
      </c>
      <c r="BQ453" t="e">
        <f t="shared" si="252"/>
        <v>#REF!</v>
      </c>
      <c r="BR453" t="e">
        <f t="shared" si="252"/>
        <v>#REF!</v>
      </c>
      <c r="BS453" t="e">
        <f t="shared" si="252"/>
        <v>#REF!</v>
      </c>
      <c r="BT453" t="e">
        <f t="shared" si="252"/>
        <v>#REF!</v>
      </c>
      <c r="BU453" t="e">
        <f t="shared" si="252"/>
        <v>#REF!</v>
      </c>
      <c r="BV453" t="e">
        <f t="shared" si="253"/>
        <v>#REF!</v>
      </c>
      <c r="BW453" t="e">
        <f t="shared" si="253"/>
        <v>#REF!</v>
      </c>
      <c r="BX453" t="e">
        <f t="shared" si="253"/>
        <v>#REF!</v>
      </c>
      <c r="BY453" t="e">
        <f t="shared" si="253"/>
        <v>#REF!</v>
      </c>
      <c r="BZ453" t="e">
        <f t="shared" si="253"/>
        <v>#REF!</v>
      </c>
      <c r="CA453" t="e">
        <f t="shared" si="253"/>
        <v>#REF!</v>
      </c>
      <c r="CB453" t="e">
        <f t="shared" si="253"/>
        <v>#REF!</v>
      </c>
      <c r="CC453" t="e">
        <f t="shared" si="253"/>
        <v>#REF!</v>
      </c>
      <c r="CD453" t="e">
        <f t="shared" si="253"/>
        <v>#REF!</v>
      </c>
      <c r="CE453" t="e">
        <f t="shared" si="253"/>
        <v>#REF!</v>
      </c>
      <c r="CF453" t="e">
        <f t="shared" si="254"/>
        <v>#REF!</v>
      </c>
      <c r="CG453" t="e">
        <f t="shared" si="254"/>
        <v>#REF!</v>
      </c>
      <c r="CH453" t="e">
        <f t="shared" si="254"/>
        <v>#REF!</v>
      </c>
      <c r="CI453" t="e">
        <f t="shared" si="254"/>
        <v>#REF!</v>
      </c>
      <c r="CJ453" t="e">
        <f t="shared" si="254"/>
        <v>#REF!</v>
      </c>
    </row>
    <row r="454" spans="62:88">
      <c r="BJ454" s="449"/>
      <c r="BK454" s="136" t="s">
        <v>246</v>
      </c>
      <c r="BL454">
        <f>AH334*$AI$246/100*$AO$246+AH324*$AI$256/100*$AO$256</f>
        <v>0</v>
      </c>
      <c r="BM454">
        <f t="shared" si="252"/>
        <v>-8.4127507883157715E-12</v>
      </c>
      <c r="BN454">
        <f t="shared" si="252"/>
        <v>92853.186178296586</v>
      </c>
      <c r="BO454">
        <f t="shared" si="252"/>
        <v>248441.71079828549</v>
      </c>
      <c r="BP454">
        <f t="shared" si="252"/>
        <v>275439.89095782675</v>
      </c>
      <c r="BQ454">
        <f t="shared" si="252"/>
        <v>265552.74286629987</v>
      </c>
      <c r="BR454">
        <f t="shared" si="252"/>
        <v>231879.82331585861</v>
      </c>
      <c r="BS454">
        <f t="shared" si="252"/>
        <v>220502.66477801965</v>
      </c>
      <c r="BT454">
        <f t="shared" si="252"/>
        <v>84976.506826894401</v>
      </c>
      <c r="BU454">
        <f t="shared" si="252"/>
        <v>74841.375221636932</v>
      </c>
      <c r="BV454">
        <f t="shared" si="253"/>
        <v>70824.041523036663</v>
      </c>
      <c r="BW454">
        <f t="shared" si="253"/>
        <v>66703.405598968151</v>
      </c>
      <c r="BX454">
        <f t="shared" si="253"/>
        <v>63388.837647852721</v>
      </c>
      <c r="BY454">
        <f t="shared" si="253"/>
        <v>44833.598510447278</v>
      </c>
      <c r="BZ454">
        <f t="shared" si="253"/>
        <v>33714.462785359246</v>
      </c>
      <c r="CA454">
        <f t="shared" si="253"/>
        <v>22089.839412034391</v>
      </c>
      <c r="CB454">
        <f t="shared" si="253"/>
        <v>21252.76162267297</v>
      </c>
      <c r="CC454">
        <f t="shared" si="253"/>
        <v>21132.357909572063</v>
      </c>
      <c r="CD454">
        <f t="shared" si="253"/>
        <v>21176.478834023881</v>
      </c>
      <c r="CE454">
        <f t="shared" si="253"/>
        <v>20666.765782483166</v>
      </c>
      <c r="CF454">
        <f t="shared" si="254"/>
        <v>19747.420281760889</v>
      </c>
      <c r="CG454">
        <f t="shared" si="254"/>
        <v>19405.29013254388</v>
      </c>
      <c r="CH454">
        <f t="shared" si="254"/>
        <v>18930.20532826077</v>
      </c>
      <c r="CI454">
        <f t="shared" si="254"/>
        <v>18446.799321587707</v>
      </c>
      <c r="CJ454">
        <f t="shared" si="254"/>
        <v>17694.670982746444</v>
      </c>
    </row>
    <row r="456" spans="62:88" ht="43.5" customHeight="1">
      <c r="BJ456" s="485" t="s">
        <v>366</v>
      </c>
      <c r="BK456" s="113" t="s">
        <v>401</v>
      </c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</row>
    <row r="457" spans="62:88">
      <c r="BJ457" s="485"/>
      <c r="BK457" s="113" t="s">
        <v>343</v>
      </c>
      <c r="BL457" t="e">
        <f t="shared" ref="BL457:BL463" si="255">AH287*$AI$265/100+AH297*$AI$274/100</f>
        <v>#REF!</v>
      </c>
      <c r="BM457" t="e">
        <f t="shared" ref="BM457:BM464" si="256">AI287*$AI$265/100+AI297*$AI$274/100</f>
        <v>#REF!</v>
      </c>
      <c r="BN457" t="e">
        <f t="shared" ref="BN457:BN464" si="257">AJ287*$AI$265/100+AJ297*$AI$274/100</f>
        <v>#REF!</v>
      </c>
      <c r="BO457" t="e">
        <f t="shared" ref="BO457:BO464" si="258">AK287*$AI$265/100+AK297*$AI$274/100</f>
        <v>#REF!</v>
      </c>
      <c r="BP457" t="e">
        <f t="shared" ref="BP457:BP464" si="259">AL287*$AI$265/100+AL297*$AI$274/100</f>
        <v>#REF!</v>
      </c>
      <c r="BQ457" t="e">
        <f t="shared" ref="BQ457:BQ464" si="260">AM287*$AI$265/100+AM297*$AI$274/100</f>
        <v>#REF!</v>
      </c>
      <c r="BR457" t="e">
        <f t="shared" ref="BR457:BR464" si="261">AN287*$AI$265/100+AN297*$AI$274/100</f>
        <v>#REF!</v>
      </c>
      <c r="BS457" t="e">
        <f t="shared" ref="BS457:BS464" si="262">AO287*$AI$265/100+AO297*$AI$274/100</f>
        <v>#REF!</v>
      </c>
      <c r="BT457" t="e">
        <f t="shared" ref="BT457:BT464" si="263">AP287*$AI$265/100+AP297*$AI$274/100</f>
        <v>#REF!</v>
      </c>
      <c r="BU457" t="e">
        <f t="shared" ref="BU457:BU464" si="264">AQ287*$AI$265/100+AQ297*$AI$274/100</f>
        <v>#REF!</v>
      </c>
      <c r="BV457" t="e">
        <f t="shared" ref="BV457:BV464" si="265">AR287*$AI$265/100+AR297*$AI$274/100</f>
        <v>#REF!</v>
      </c>
      <c r="BW457" t="e">
        <f t="shared" ref="BW457:BW464" si="266">AS287*$AI$265/100+AS297*$AI$274/100</f>
        <v>#REF!</v>
      </c>
      <c r="BX457" t="e">
        <f t="shared" ref="BX457:BX464" si="267">AT287*$AI$265/100+AT297*$AI$274/100</f>
        <v>#REF!</v>
      </c>
      <c r="BY457" t="e">
        <f t="shared" ref="BY457:BY464" si="268">AU287*$AI$265/100+AU297*$AI$274/100</f>
        <v>#REF!</v>
      </c>
      <c r="BZ457" t="e">
        <f t="shared" ref="BZ457:BZ464" si="269">AV287*$AI$265/100+AV297*$AI$274/100</f>
        <v>#REF!</v>
      </c>
      <c r="CA457" t="e">
        <f t="shared" ref="CA457:CA464" si="270">AW287*$AI$265/100+AW297*$AI$274/100</f>
        <v>#REF!</v>
      </c>
      <c r="CB457" t="e">
        <f t="shared" ref="CB457:CB464" si="271">AX287*$AI$265/100+AX297*$AI$274/100</f>
        <v>#REF!</v>
      </c>
      <c r="CC457" t="e">
        <f t="shared" ref="CC457:CC464" si="272">AY287*$AI$265/100+AY297*$AI$274/100</f>
        <v>#REF!</v>
      </c>
      <c r="CD457" t="e">
        <f t="shared" ref="CD457:CD464" si="273">AZ287*$AI$265/100+AZ297*$AI$274/100</f>
        <v>#REF!</v>
      </c>
      <c r="CE457" t="e">
        <f t="shared" ref="CE457:CE464" si="274">BA287*$AI$265/100+BA297*$AI$274/100</f>
        <v>#REF!</v>
      </c>
      <c r="CF457" t="e">
        <f t="shared" ref="CF457:CF464" si="275">BB287*$AI$265/100+BB297*$AI$274/100</f>
        <v>#REF!</v>
      </c>
      <c r="CG457" t="e">
        <f t="shared" ref="CG457:CG464" si="276">BC287*$AI$265/100+BC297*$AI$274/100</f>
        <v>#REF!</v>
      </c>
      <c r="CH457" t="e">
        <f t="shared" ref="CH457:CH464" si="277">BD287*$AI$265/100+BD297*$AI$274/100</f>
        <v>#REF!</v>
      </c>
      <c r="CI457" t="e">
        <f t="shared" ref="CI457:CI464" si="278">BE287*$AI$265/100+BE297*$AI$274/100</f>
        <v>#REF!</v>
      </c>
      <c r="CJ457" t="e">
        <f t="shared" ref="CJ457:CJ464" si="279">BF287*$AI$265/100+BF297*$AI$274/100</f>
        <v>#REF!</v>
      </c>
    </row>
    <row r="458" spans="62:88">
      <c r="BJ458" s="485"/>
      <c r="BK458" s="113" t="s">
        <v>345</v>
      </c>
      <c r="BL458" t="e">
        <f t="shared" si="255"/>
        <v>#REF!</v>
      </c>
      <c r="BM458" t="e">
        <f t="shared" si="256"/>
        <v>#REF!</v>
      </c>
      <c r="BN458" t="e">
        <f t="shared" si="257"/>
        <v>#REF!</v>
      </c>
      <c r="BO458" t="e">
        <f t="shared" si="258"/>
        <v>#REF!</v>
      </c>
      <c r="BP458" t="e">
        <f t="shared" si="259"/>
        <v>#REF!</v>
      </c>
      <c r="BQ458" t="e">
        <f t="shared" si="260"/>
        <v>#REF!</v>
      </c>
      <c r="BR458" t="e">
        <f t="shared" si="261"/>
        <v>#REF!</v>
      </c>
      <c r="BS458" t="e">
        <f t="shared" si="262"/>
        <v>#REF!</v>
      </c>
      <c r="BT458" t="e">
        <f t="shared" si="263"/>
        <v>#REF!</v>
      </c>
      <c r="BU458" t="e">
        <f t="shared" si="264"/>
        <v>#REF!</v>
      </c>
      <c r="BV458" t="e">
        <f t="shared" si="265"/>
        <v>#REF!</v>
      </c>
      <c r="BW458" t="e">
        <f t="shared" si="266"/>
        <v>#REF!</v>
      </c>
      <c r="BX458" t="e">
        <f t="shared" si="267"/>
        <v>#REF!</v>
      </c>
      <c r="BY458" t="e">
        <f t="shared" si="268"/>
        <v>#REF!</v>
      </c>
      <c r="BZ458" t="e">
        <f t="shared" si="269"/>
        <v>#REF!</v>
      </c>
      <c r="CA458" t="e">
        <f t="shared" si="270"/>
        <v>#REF!</v>
      </c>
      <c r="CB458" t="e">
        <f t="shared" si="271"/>
        <v>#REF!</v>
      </c>
      <c r="CC458" t="e">
        <f t="shared" si="272"/>
        <v>#REF!</v>
      </c>
      <c r="CD458" t="e">
        <f t="shared" si="273"/>
        <v>#REF!</v>
      </c>
      <c r="CE458" t="e">
        <f t="shared" si="274"/>
        <v>#REF!</v>
      </c>
      <c r="CF458" t="e">
        <f t="shared" si="275"/>
        <v>#REF!</v>
      </c>
      <c r="CG458" t="e">
        <f t="shared" si="276"/>
        <v>#REF!</v>
      </c>
      <c r="CH458" t="e">
        <f t="shared" si="277"/>
        <v>#REF!</v>
      </c>
      <c r="CI458" t="e">
        <f t="shared" si="278"/>
        <v>#REF!</v>
      </c>
      <c r="CJ458" t="e">
        <f t="shared" si="279"/>
        <v>#REF!</v>
      </c>
    </row>
    <row r="459" spans="62:88">
      <c r="BJ459" s="485"/>
      <c r="BK459" s="113" t="s">
        <v>346</v>
      </c>
      <c r="BL459" t="e">
        <f t="shared" si="255"/>
        <v>#REF!</v>
      </c>
      <c r="BM459" t="e">
        <f t="shared" si="256"/>
        <v>#REF!</v>
      </c>
      <c r="BN459" t="e">
        <f t="shared" si="257"/>
        <v>#REF!</v>
      </c>
      <c r="BO459" t="e">
        <f t="shared" si="258"/>
        <v>#REF!</v>
      </c>
      <c r="BP459" t="e">
        <f t="shared" si="259"/>
        <v>#REF!</v>
      </c>
      <c r="BQ459" t="e">
        <f t="shared" si="260"/>
        <v>#REF!</v>
      </c>
      <c r="BR459" t="e">
        <f t="shared" si="261"/>
        <v>#REF!</v>
      </c>
      <c r="BS459" t="e">
        <f t="shared" si="262"/>
        <v>#REF!</v>
      </c>
      <c r="BT459" t="e">
        <f t="shared" si="263"/>
        <v>#REF!</v>
      </c>
      <c r="BU459" t="e">
        <f t="shared" si="264"/>
        <v>#REF!</v>
      </c>
      <c r="BV459" t="e">
        <f t="shared" si="265"/>
        <v>#REF!</v>
      </c>
      <c r="BW459" t="e">
        <f t="shared" si="266"/>
        <v>#REF!</v>
      </c>
      <c r="BX459" t="e">
        <f t="shared" si="267"/>
        <v>#REF!</v>
      </c>
      <c r="BY459" t="e">
        <f t="shared" si="268"/>
        <v>#REF!</v>
      </c>
      <c r="BZ459" t="e">
        <f t="shared" si="269"/>
        <v>#REF!</v>
      </c>
      <c r="CA459" t="e">
        <f t="shared" si="270"/>
        <v>#REF!</v>
      </c>
      <c r="CB459" t="e">
        <f t="shared" si="271"/>
        <v>#REF!</v>
      </c>
      <c r="CC459" t="e">
        <f t="shared" si="272"/>
        <v>#REF!</v>
      </c>
      <c r="CD459" t="e">
        <f t="shared" si="273"/>
        <v>#REF!</v>
      </c>
      <c r="CE459" t="e">
        <f t="shared" si="274"/>
        <v>#REF!</v>
      </c>
      <c r="CF459" t="e">
        <f t="shared" si="275"/>
        <v>#REF!</v>
      </c>
      <c r="CG459" t="e">
        <f t="shared" si="276"/>
        <v>#REF!</v>
      </c>
      <c r="CH459" t="e">
        <f t="shared" si="277"/>
        <v>#REF!</v>
      </c>
      <c r="CI459" t="e">
        <f t="shared" si="278"/>
        <v>#REF!</v>
      </c>
      <c r="CJ459" t="e">
        <f t="shared" si="279"/>
        <v>#REF!</v>
      </c>
    </row>
    <row r="460" spans="62:88">
      <c r="BJ460" s="485"/>
      <c r="BK460" s="113" t="s">
        <v>278</v>
      </c>
      <c r="BL460">
        <f>AH290*$AI$265/100+AH300*$AI$274/100</f>
        <v>0</v>
      </c>
      <c r="BM460">
        <f t="shared" si="256"/>
        <v>0</v>
      </c>
      <c r="BN460">
        <f t="shared" si="257"/>
        <v>0</v>
      </c>
      <c r="BO460">
        <f t="shared" si="258"/>
        <v>0</v>
      </c>
      <c r="BP460">
        <f t="shared" si="259"/>
        <v>0</v>
      </c>
      <c r="BQ460">
        <f t="shared" si="260"/>
        <v>0</v>
      </c>
      <c r="BR460">
        <f t="shared" si="261"/>
        <v>0</v>
      </c>
      <c r="BS460">
        <f t="shared" si="262"/>
        <v>0</v>
      </c>
      <c r="BT460">
        <f t="shared" si="263"/>
        <v>0</v>
      </c>
      <c r="BU460">
        <f t="shared" si="264"/>
        <v>0</v>
      </c>
      <c r="BV460">
        <f t="shared" si="265"/>
        <v>0</v>
      </c>
      <c r="BW460">
        <f t="shared" si="266"/>
        <v>0</v>
      </c>
      <c r="BX460">
        <f t="shared" si="267"/>
        <v>0</v>
      </c>
      <c r="BY460">
        <f t="shared" si="268"/>
        <v>0</v>
      </c>
      <c r="BZ460">
        <f t="shared" si="269"/>
        <v>0</v>
      </c>
      <c r="CA460">
        <f t="shared" si="270"/>
        <v>0</v>
      </c>
      <c r="CB460">
        <f t="shared" si="271"/>
        <v>0</v>
      </c>
      <c r="CC460">
        <f t="shared" si="272"/>
        <v>0</v>
      </c>
      <c r="CD460">
        <f t="shared" si="273"/>
        <v>0</v>
      </c>
      <c r="CE460">
        <f t="shared" si="274"/>
        <v>0</v>
      </c>
      <c r="CF460">
        <f t="shared" si="275"/>
        <v>0</v>
      </c>
      <c r="CG460">
        <f t="shared" si="276"/>
        <v>0</v>
      </c>
      <c r="CH460">
        <f t="shared" si="277"/>
        <v>0</v>
      </c>
      <c r="CI460">
        <f t="shared" si="278"/>
        <v>0</v>
      </c>
      <c r="CJ460">
        <f t="shared" si="279"/>
        <v>0</v>
      </c>
    </row>
    <row r="461" spans="62:88">
      <c r="BJ461" s="485"/>
      <c r="BK461" s="113" t="s">
        <v>347</v>
      </c>
      <c r="BL461" t="e">
        <f t="shared" si="255"/>
        <v>#REF!</v>
      </c>
      <c r="BM461" t="e">
        <f t="shared" si="256"/>
        <v>#REF!</v>
      </c>
      <c r="BN461" t="e">
        <f t="shared" si="257"/>
        <v>#REF!</v>
      </c>
      <c r="BO461" t="e">
        <f t="shared" si="258"/>
        <v>#REF!</v>
      </c>
      <c r="BP461" t="e">
        <f t="shared" si="259"/>
        <v>#REF!</v>
      </c>
      <c r="BQ461" t="e">
        <f t="shared" si="260"/>
        <v>#REF!</v>
      </c>
      <c r="BR461" t="e">
        <f t="shared" si="261"/>
        <v>#REF!</v>
      </c>
      <c r="BS461" t="e">
        <f t="shared" si="262"/>
        <v>#REF!</v>
      </c>
      <c r="BT461" t="e">
        <f t="shared" si="263"/>
        <v>#REF!</v>
      </c>
      <c r="BU461" t="e">
        <f t="shared" si="264"/>
        <v>#REF!</v>
      </c>
      <c r="BV461" t="e">
        <f t="shared" si="265"/>
        <v>#REF!</v>
      </c>
      <c r="BW461" t="e">
        <f t="shared" si="266"/>
        <v>#REF!</v>
      </c>
      <c r="BX461" t="e">
        <f t="shared" si="267"/>
        <v>#REF!</v>
      </c>
      <c r="BY461" t="e">
        <f t="shared" si="268"/>
        <v>#REF!</v>
      </c>
      <c r="BZ461" t="e">
        <f t="shared" si="269"/>
        <v>#REF!</v>
      </c>
      <c r="CA461" t="e">
        <f t="shared" si="270"/>
        <v>#REF!</v>
      </c>
      <c r="CB461" t="e">
        <f t="shared" si="271"/>
        <v>#REF!</v>
      </c>
      <c r="CC461" t="e">
        <f t="shared" si="272"/>
        <v>#REF!</v>
      </c>
      <c r="CD461" t="e">
        <f t="shared" si="273"/>
        <v>#REF!</v>
      </c>
      <c r="CE461" t="e">
        <f t="shared" si="274"/>
        <v>#REF!</v>
      </c>
      <c r="CF461" t="e">
        <f t="shared" si="275"/>
        <v>#REF!</v>
      </c>
      <c r="CG461" t="e">
        <f t="shared" si="276"/>
        <v>#REF!</v>
      </c>
      <c r="CH461" t="e">
        <f t="shared" si="277"/>
        <v>#REF!</v>
      </c>
      <c r="CI461" t="e">
        <f t="shared" si="278"/>
        <v>#REF!</v>
      </c>
      <c r="CJ461" t="e">
        <f t="shared" si="279"/>
        <v>#REF!</v>
      </c>
    </row>
    <row r="462" spans="62:88">
      <c r="BJ462" s="485"/>
      <c r="BK462" s="113" t="s">
        <v>348</v>
      </c>
      <c r="BL462" t="e">
        <f t="shared" si="255"/>
        <v>#REF!</v>
      </c>
      <c r="BM462" t="e">
        <f t="shared" si="256"/>
        <v>#REF!</v>
      </c>
      <c r="BN462" t="e">
        <f t="shared" si="257"/>
        <v>#REF!</v>
      </c>
      <c r="BO462" t="e">
        <f t="shared" si="258"/>
        <v>#REF!</v>
      </c>
      <c r="BP462" t="e">
        <f t="shared" si="259"/>
        <v>#REF!</v>
      </c>
      <c r="BQ462" t="e">
        <f t="shared" si="260"/>
        <v>#REF!</v>
      </c>
      <c r="BR462" t="e">
        <f t="shared" si="261"/>
        <v>#REF!</v>
      </c>
      <c r="BS462" t="e">
        <f t="shared" si="262"/>
        <v>#REF!</v>
      </c>
      <c r="BT462" t="e">
        <f t="shared" si="263"/>
        <v>#REF!</v>
      </c>
      <c r="BU462" t="e">
        <f t="shared" si="264"/>
        <v>#REF!</v>
      </c>
      <c r="BV462" t="e">
        <f t="shared" si="265"/>
        <v>#REF!</v>
      </c>
      <c r="BW462" t="e">
        <f t="shared" si="266"/>
        <v>#REF!</v>
      </c>
      <c r="BX462" t="e">
        <f t="shared" si="267"/>
        <v>#REF!</v>
      </c>
      <c r="BY462" t="e">
        <f t="shared" si="268"/>
        <v>#REF!</v>
      </c>
      <c r="BZ462" t="e">
        <f t="shared" si="269"/>
        <v>#REF!</v>
      </c>
      <c r="CA462" t="e">
        <f t="shared" si="270"/>
        <v>#REF!</v>
      </c>
      <c r="CB462" t="e">
        <f t="shared" si="271"/>
        <v>#REF!</v>
      </c>
      <c r="CC462" t="e">
        <f t="shared" si="272"/>
        <v>#REF!</v>
      </c>
      <c r="CD462" t="e">
        <f t="shared" si="273"/>
        <v>#REF!</v>
      </c>
      <c r="CE462" t="e">
        <f t="shared" si="274"/>
        <v>#REF!</v>
      </c>
      <c r="CF462" t="e">
        <f t="shared" si="275"/>
        <v>#REF!</v>
      </c>
      <c r="CG462" t="e">
        <f t="shared" si="276"/>
        <v>#REF!</v>
      </c>
      <c r="CH462" t="e">
        <f t="shared" si="277"/>
        <v>#REF!</v>
      </c>
      <c r="CI462" t="e">
        <f t="shared" si="278"/>
        <v>#REF!</v>
      </c>
      <c r="CJ462" t="e">
        <f t="shared" si="279"/>
        <v>#REF!</v>
      </c>
    </row>
    <row r="463" spans="62:88">
      <c r="BJ463" s="485"/>
      <c r="BK463" s="113" t="s">
        <v>349</v>
      </c>
      <c r="BL463" t="e">
        <f t="shared" si="255"/>
        <v>#REF!</v>
      </c>
      <c r="BM463" t="e">
        <f t="shared" si="256"/>
        <v>#REF!</v>
      </c>
      <c r="BN463" t="e">
        <f t="shared" si="257"/>
        <v>#REF!</v>
      </c>
      <c r="BO463" t="e">
        <f t="shared" si="258"/>
        <v>#REF!</v>
      </c>
      <c r="BP463" t="e">
        <f t="shared" si="259"/>
        <v>#REF!</v>
      </c>
      <c r="BQ463" t="e">
        <f t="shared" si="260"/>
        <v>#REF!</v>
      </c>
      <c r="BR463" t="e">
        <f t="shared" si="261"/>
        <v>#REF!</v>
      </c>
      <c r="BS463" t="e">
        <f t="shared" si="262"/>
        <v>#REF!</v>
      </c>
      <c r="BT463" t="e">
        <f t="shared" si="263"/>
        <v>#REF!</v>
      </c>
      <c r="BU463" t="e">
        <f t="shared" si="264"/>
        <v>#REF!</v>
      </c>
      <c r="BV463" t="e">
        <f t="shared" si="265"/>
        <v>#REF!</v>
      </c>
      <c r="BW463" t="e">
        <f t="shared" si="266"/>
        <v>#REF!</v>
      </c>
      <c r="BX463" t="e">
        <f t="shared" si="267"/>
        <v>#REF!</v>
      </c>
      <c r="BY463" t="e">
        <f t="shared" si="268"/>
        <v>#REF!</v>
      </c>
      <c r="BZ463" t="e">
        <f t="shared" si="269"/>
        <v>#REF!</v>
      </c>
      <c r="CA463" t="e">
        <f t="shared" si="270"/>
        <v>#REF!</v>
      </c>
      <c r="CB463" t="e">
        <f t="shared" si="271"/>
        <v>#REF!</v>
      </c>
      <c r="CC463" t="e">
        <f t="shared" si="272"/>
        <v>#REF!</v>
      </c>
      <c r="CD463" t="e">
        <f t="shared" si="273"/>
        <v>#REF!</v>
      </c>
      <c r="CE463" t="e">
        <f t="shared" si="274"/>
        <v>#REF!</v>
      </c>
      <c r="CF463" t="e">
        <f t="shared" si="275"/>
        <v>#REF!</v>
      </c>
      <c r="CG463" t="e">
        <f t="shared" si="276"/>
        <v>#REF!</v>
      </c>
      <c r="CH463" t="e">
        <f t="shared" si="277"/>
        <v>#REF!</v>
      </c>
      <c r="CI463" t="e">
        <f t="shared" si="278"/>
        <v>#REF!</v>
      </c>
      <c r="CJ463" t="e">
        <f t="shared" si="279"/>
        <v>#REF!</v>
      </c>
    </row>
    <row r="464" spans="62:88">
      <c r="BJ464" s="485"/>
      <c r="BK464" s="113" t="s">
        <v>246</v>
      </c>
      <c r="BL464">
        <f>AH294*$AI$265/100+AH304*$AI$274/100</f>
        <v>0</v>
      </c>
      <c r="BM464">
        <f t="shared" si="256"/>
        <v>0</v>
      </c>
      <c r="BN464">
        <f t="shared" si="257"/>
        <v>0</v>
      </c>
      <c r="BO464">
        <f t="shared" si="258"/>
        <v>0</v>
      </c>
      <c r="BP464">
        <f t="shared" si="259"/>
        <v>0</v>
      </c>
      <c r="BQ464">
        <f t="shared" si="260"/>
        <v>0</v>
      </c>
      <c r="BR464">
        <f t="shared" si="261"/>
        <v>0</v>
      </c>
      <c r="BS464">
        <f t="shared" si="262"/>
        <v>0</v>
      </c>
      <c r="BT464">
        <f t="shared" si="263"/>
        <v>0</v>
      </c>
      <c r="BU464">
        <f t="shared" si="264"/>
        <v>0</v>
      </c>
      <c r="BV464">
        <f t="shared" si="265"/>
        <v>0</v>
      </c>
      <c r="BW464">
        <f t="shared" si="266"/>
        <v>0</v>
      </c>
      <c r="BX464">
        <f t="shared" si="267"/>
        <v>0</v>
      </c>
      <c r="BY464">
        <f t="shared" si="268"/>
        <v>0</v>
      </c>
      <c r="BZ464">
        <f t="shared" si="269"/>
        <v>0</v>
      </c>
      <c r="CA464">
        <f t="shared" si="270"/>
        <v>0</v>
      </c>
      <c r="CB464">
        <f t="shared" si="271"/>
        <v>0</v>
      </c>
      <c r="CC464">
        <f t="shared" si="272"/>
        <v>0</v>
      </c>
      <c r="CD464">
        <f t="shared" si="273"/>
        <v>0</v>
      </c>
      <c r="CE464">
        <f t="shared" si="274"/>
        <v>0</v>
      </c>
      <c r="CF464">
        <f t="shared" si="275"/>
        <v>0</v>
      </c>
      <c r="CG464">
        <f t="shared" si="276"/>
        <v>0</v>
      </c>
      <c r="CH464">
        <f t="shared" si="277"/>
        <v>0</v>
      </c>
      <c r="CI464">
        <f t="shared" si="278"/>
        <v>0</v>
      </c>
      <c r="CJ464">
        <f t="shared" si="279"/>
        <v>0</v>
      </c>
    </row>
    <row r="465" spans="62:88">
      <c r="BJ465" s="485"/>
      <c r="BK465" s="113"/>
    </row>
    <row r="466" spans="62:88">
      <c r="BJ466" s="485"/>
      <c r="BK466" s="113" t="s">
        <v>404</v>
      </c>
    </row>
    <row r="467" spans="62:88">
      <c r="BJ467" s="485"/>
      <c r="BK467" s="113" t="s">
        <v>343</v>
      </c>
      <c r="BL467" t="e">
        <f t="shared" ref="BL467:BL473" si="280">AH317*($AI$257/100*$AQ$257+$AI$258/100*$AQ$258)</f>
        <v>#REF!</v>
      </c>
      <c r="BM467" t="e">
        <f t="shared" ref="BM467:BM473" si="281">AI317*($AI$257/100*$AQ$257+$AI$258/100*$AQ$258)</f>
        <v>#REF!</v>
      </c>
      <c r="BN467" t="e">
        <f t="shared" ref="BN467:BN473" si="282">AJ317*($AI$257/100*$AQ$257+$AI$258/100*$AQ$258)</f>
        <v>#REF!</v>
      </c>
      <c r="BO467" t="e">
        <f t="shared" ref="BO467:BO473" si="283">AK317*($AI$257/100*$AQ$257+$AI$258/100*$AQ$258)</f>
        <v>#REF!</v>
      </c>
      <c r="BP467" t="e">
        <f t="shared" ref="BP467:BP473" si="284">AL317*($AI$257/100*$AQ$257+$AI$258/100*$AQ$258)</f>
        <v>#REF!</v>
      </c>
      <c r="BQ467" t="e">
        <f t="shared" ref="BQ467:BQ473" si="285">AM317*($AI$257/100*$AQ$257+$AI$258/100*$AQ$258)</f>
        <v>#REF!</v>
      </c>
      <c r="BR467" t="e">
        <f t="shared" ref="BR467:BR473" si="286">AN317*($AI$257/100*$AQ$257+$AI$258/100*$AQ$258)</f>
        <v>#REF!</v>
      </c>
      <c r="BS467" t="e">
        <f t="shared" ref="BS467:BS473" si="287">AO317*($AI$257/100*$AQ$257+$AI$258/100*$AQ$258)</f>
        <v>#REF!</v>
      </c>
      <c r="BT467" t="e">
        <f t="shared" ref="BT467:BT473" si="288">AP317*($AI$257/100*$AQ$257+$AI$258/100*$AQ$258)</f>
        <v>#REF!</v>
      </c>
      <c r="BU467" t="e">
        <f t="shared" ref="BU467:BU473" si="289">AQ317*($AI$257/100*$AQ$257+$AI$258/100*$AQ$258)</f>
        <v>#REF!</v>
      </c>
      <c r="BV467" t="e">
        <f t="shared" ref="BV467:BV473" si="290">AR317*($AI$257/100*$AQ$257+$AI$258/100*$AQ$258)</f>
        <v>#REF!</v>
      </c>
      <c r="BW467" t="e">
        <f t="shared" ref="BW467:BW473" si="291">AS317*($AI$257/100*$AQ$257+$AI$258/100*$AQ$258)</f>
        <v>#REF!</v>
      </c>
      <c r="BX467" t="e">
        <f t="shared" ref="BX467:BX473" si="292">AT317*($AI$257/100*$AQ$257+$AI$258/100*$AQ$258)</f>
        <v>#REF!</v>
      </c>
      <c r="BY467" t="e">
        <f t="shared" ref="BY467:BY473" si="293">AU317*($AI$257/100*$AQ$257+$AI$258/100*$AQ$258)</f>
        <v>#REF!</v>
      </c>
      <c r="BZ467" t="e">
        <f t="shared" ref="BZ467:BZ473" si="294">AV317*($AI$257/100*$AQ$257+$AI$258/100*$AQ$258)</f>
        <v>#REF!</v>
      </c>
      <c r="CA467" t="e">
        <f t="shared" ref="CA467:CA473" si="295">AW317*($AI$257/100*$AQ$257+$AI$258/100*$AQ$258)</f>
        <v>#REF!</v>
      </c>
      <c r="CB467" t="e">
        <f t="shared" ref="CB467:CB473" si="296">AX317*($AI$257/100*$AQ$257+$AI$258/100*$AQ$258)</f>
        <v>#REF!</v>
      </c>
      <c r="CC467" t="e">
        <f t="shared" ref="CC467:CC473" si="297">AY317*($AI$257/100*$AQ$257+$AI$258/100*$AQ$258)</f>
        <v>#REF!</v>
      </c>
      <c r="CD467" t="e">
        <f t="shared" ref="CD467:CD473" si="298">AZ317*($AI$257/100*$AQ$257+$AI$258/100*$AQ$258)</f>
        <v>#REF!</v>
      </c>
      <c r="CE467" t="e">
        <f t="shared" ref="CE467:CE473" si="299">BA317*($AI$257/100*$AQ$257+$AI$258/100*$AQ$258)</f>
        <v>#REF!</v>
      </c>
      <c r="CF467" t="e">
        <f t="shared" ref="CF467:CF473" si="300">BB317*($AI$257/100*$AQ$257+$AI$258/100*$AQ$258)</f>
        <v>#REF!</v>
      </c>
      <c r="CG467" t="e">
        <f t="shared" ref="CG467:CG473" si="301">BC317*($AI$257/100*$AQ$257+$AI$258/100*$AQ$258)</f>
        <v>#REF!</v>
      </c>
      <c r="CH467" t="e">
        <f t="shared" ref="CH467:CH473" si="302">BD317*($AI$257/100*$AQ$257+$AI$258/100*$AQ$258)</f>
        <v>#REF!</v>
      </c>
      <c r="CI467" t="e">
        <f t="shared" ref="CI467:CI473" si="303">BE317*($AI$257/100*$AQ$257+$AI$258/100*$AQ$258)</f>
        <v>#REF!</v>
      </c>
      <c r="CJ467" t="e">
        <f t="shared" ref="CJ467:CJ473" si="304">BF317*($AI$257/100*$AQ$257+$AI$258/100*$AQ$258)</f>
        <v>#REF!</v>
      </c>
    </row>
    <row r="468" spans="62:88">
      <c r="BJ468" s="485"/>
      <c r="BK468" s="113" t="s">
        <v>345</v>
      </c>
      <c r="BL468" t="e">
        <f t="shared" si="280"/>
        <v>#REF!</v>
      </c>
      <c r="BM468" t="e">
        <f t="shared" si="281"/>
        <v>#REF!</v>
      </c>
      <c r="BN468" t="e">
        <f t="shared" si="282"/>
        <v>#REF!</v>
      </c>
      <c r="BO468" t="e">
        <f t="shared" si="283"/>
        <v>#REF!</v>
      </c>
      <c r="BP468" t="e">
        <f t="shared" si="284"/>
        <v>#REF!</v>
      </c>
      <c r="BQ468" t="e">
        <f t="shared" si="285"/>
        <v>#REF!</v>
      </c>
      <c r="BR468" t="e">
        <f t="shared" si="286"/>
        <v>#REF!</v>
      </c>
      <c r="BS468" t="e">
        <f t="shared" si="287"/>
        <v>#REF!</v>
      </c>
      <c r="BT468" t="e">
        <f t="shared" si="288"/>
        <v>#REF!</v>
      </c>
      <c r="BU468" t="e">
        <f t="shared" si="289"/>
        <v>#REF!</v>
      </c>
      <c r="BV468" t="e">
        <f t="shared" si="290"/>
        <v>#REF!</v>
      </c>
      <c r="BW468" t="e">
        <f t="shared" si="291"/>
        <v>#REF!</v>
      </c>
      <c r="BX468" t="e">
        <f t="shared" si="292"/>
        <v>#REF!</v>
      </c>
      <c r="BY468" t="e">
        <f t="shared" si="293"/>
        <v>#REF!</v>
      </c>
      <c r="BZ468" t="e">
        <f t="shared" si="294"/>
        <v>#REF!</v>
      </c>
      <c r="CA468" t="e">
        <f t="shared" si="295"/>
        <v>#REF!</v>
      </c>
      <c r="CB468" t="e">
        <f t="shared" si="296"/>
        <v>#REF!</v>
      </c>
      <c r="CC468" t="e">
        <f t="shared" si="297"/>
        <v>#REF!</v>
      </c>
      <c r="CD468" t="e">
        <f t="shared" si="298"/>
        <v>#REF!</v>
      </c>
      <c r="CE468" t="e">
        <f t="shared" si="299"/>
        <v>#REF!</v>
      </c>
      <c r="CF468" t="e">
        <f t="shared" si="300"/>
        <v>#REF!</v>
      </c>
      <c r="CG468" t="e">
        <f t="shared" si="301"/>
        <v>#REF!</v>
      </c>
      <c r="CH468" t="e">
        <f t="shared" si="302"/>
        <v>#REF!</v>
      </c>
      <c r="CI468" t="e">
        <f t="shared" si="303"/>
        <v>#REF!</v>
      </c>
      <c r="CJ468" t="e">
        <f t="shared" si="304"/>
        <v>#REF!</v>
      </c>
    </row>
    <row r="469" spans="62:88">
      <c r="BJ469" s="485"/>
      <c r="BK469" s="113" t="s">
        <v>346</v>
      </c>
      <c r="BL469" t="e">
        <f t="shared" si="280"/>
        <v>#REF!</v>
      </c>
      <c r="BM469" t="e">
        <f t="shared" si="281"/>
        <v>#REF!</v>
      </c>
      <c r="BN469" t="e">
        <f t="shared" si="282"/>
        <v>#REF!</v>
      </c>
      <c r="BO469" t="e">
        <f t="shared" si="283"/>
        <v>#REF!</v>
      </c>
      <c r="BP469" t="e">
        <f t="shared" si="284"/>
        <v>#REF!</v>
      </c>
      <c r="BQ469" t="e">
        <f t="shared" si="285"/>
        <v>#REF!</v>
      </c>
      <c r="BR469" t="e">
        <f t="shared" si="286"/>
        <v>#REF!</v>
      </c>
      <c r="BS469" t="e">
        <f t="shared" si="287"/>
        <v>#REF!</v>
      </c>
      <c r="BT469" t="e">
        <f t="shared" si="288"/>
        <v>#REF!</v>
      </c>
      <c r="BU469" t="e">
        <f t="shared" si="289"/>
        <v>#REF!</v>
      </c>
      <c r="BV469" t="e">
        <f t="shared" si="290"/>
        <v>#REF!</v>
      </c>
      <c r="BW469" t="e">
        <f t="shared" si="291"/>
        <v>#REF!</v>
      </c>
      <c r="BX469" t="e">
        <f t="shared" si="292"/>
        <v>#REF!</v>
      </c>
      <c r="BY469" t="e">
        <f t="shared" si="293"/>
        <v>#REF!</v>
      </c>
      <c r="BZ469" t="e">
        <f t="shared" si="294"/>
        <v>#REF!</v>
      </c>
      <c r="CA469" t="e">
        <f t="shared" si="295"/>
        <v>#REF!</v>
      </c>
      <c r="CB469" t="e">
        <f t="shared" si="296"/>
        <v>#REF!</v>
      </c>
      <c r="CC469" t="e">
        <f t="shared" si="297"/>
        <v>#REF!</v>
      </c>
      <c r="CD469" t="e">
        <f t="shared" si="298"/>
        <v>#REF!</v>
      </c>
      <c r="CE469" t="e">
        <f t="shared" si="299"/>
        <v>#REF!</v>
      </c>
      <c r="CF469" t="e">
        <f t="shared" si="300"/>
        <v>#REF!</v>
      </c>
      <c r="CG469" t="e">
        <f t="shared" si="301"/>
        <v>#REF!</v>
      </c>
      <c r="CH469" t="e">
        <f t="shared" si="302"/>
        <v>#REF!</v>
      </c>
      <c r="CI469" t="e">
        <f t="shared" si="303"/>
        <v>#REF!</v>
      </c>
      <c r="CJ469" t="e">
        <f t="shared" si="304"/>
        <v>#REF!</v>
      </c>
    </row>
    <row r="470" spans="62:88">
      <c r="BJ470" s="485"/>
      <c r="BK470" s="113" t="s">
        <v>278</v>
      </c>
      <c r="BL470">
        <f t="shared" si="280"/>
        <v>0</v>
      </c>
      <c r="BM470">
        <f t="shared" si="281"/>
        <v>0</v>
      </c>
      <c r="BN470">
        <f t="shared" si="282"/>
        <v>0</v>
      </c>
      <c r="BO470">
        <f t="shared" si="283"/>
        <v>0</v>
      </c>
      <c r="BP470">
        <f t="shared" si="284"/>
        <v>272999.31602747593</v>
      </c>
      <c r="BQ470">
        <f t="shared" si="285"/>
        <v>2263048.6833950831</v>
      </c>
      <c r="BR470">
        <f t="shared" si="286"/>
        <v>3319535.8615148352</v>
      </c>
      <c r="BS470">
        <f t="shared" si="287"/>
        <v>3850840.1744511519</v>
      </c>
      <c r="BT470">
        <f t="shared" si="288"/>
        <v>2267190.2165034348</v>
      </c>
      <c r="BU470">
        <f t="shared" si="289"/>
        <v>2150242.8967480101</v>
      </c>
      <c r="BV470">
        <f t="shared" si="290"/>
        <v>2133384.9629570181</v>
      </c>
      <c r="BW470">
        <f t="shared" si="291"/>
        <v>2081594.0737420721</v>
      </c>
      <c r="BX470">
        <f t="shared" si="292"/>
        <v>2061766.2309972299</v>
      </c>
      <c r="BY470">
        <f t="shared" si="293"/>
        <v>1496871.2157903067</v>
      </c>
      <c r="BZ470">
        <f t="shared" si="294"/>
        <v>1155290.7659299085</v>
      </c>
      <c r="CA470">
        <f t="shared" si="295"/>
        <v>785969.76061587897</v>
      </c>
      <c r="CB470">
        <f t="shared" si="296"/>
        <v>766525.86511136254</v>
      </c>
      <c r="CC470">
        <f t="shared" si="297"/>
        <v>728674.49973585468</v>
      </c>
      <c r="CD470">
        <f t="shared" si="298"/>
        <v>704286.63872471778</v>
      </c>
      <c r="CE470">
        <f t="shared" si="299"/>
        <v>685578.07823857386</v>
      </c>
      <c r="CF470">
        <f t="shared" si="300"/>
        <v>669080.35779602453</v>
      </c>
      <c r="CG470">
        <f t="shared" si="301"/>
        <v>652725.43211912771</v>
      </c>
      <c r="CH470">
        <f t="shared" si="302"/>
        <v>636710.62726716371</v>
      </c>
      <c r="CI470">
        <f t="shared" si="303"/>
        <v>621001.88861492719</v>
      </c>
      <c r="CJ470">
        <f t="shared" si="304"/>
        <v>605687.24255927536</v>
      </c>
    </row>
    <row r="471" spans="62:88">
      <c r="BJ471" s="485"/>
      <c r="BK471" s="113" t="s">
        <v>347</v>
      </c>
      <c r="BL471" t="e">
        <f t="shared" si="280"/>
        <v>#REF!</v>
      </c>
      <c r="BM471" t="e">
        <f t="shared" si="281"/>
        <v>#REF!</v>
      </c>
      <c r="BN471" t="e">
        <f t="shared" si="282"/>
        <v>#REF!</v>
      </c>
      <c r="BO471" t="e">
        <f t="shared" si="283"/>
        <v>#REF!</v>
      </c>
      <c r="BP471" t="e">
        <f t="shared" si="284"/>
        <v>#REF!</v>
      </c>
      <c r="BQ471" t="e">
        <f t="shared" si="285"/>
        <v>#REF!</v>
      </c>
      <c r="BR471" t="e">
        <f t="shared" si="286"/>
        <v>#REF!</v>
      </c>
      <c r="BS471" t="e">
        <f t="shared" si="287"/>
        <v>#REF!</v>
      </c>
      <c r="BT471" t="e">
        <f t="shared" si="288"/>
        <v>#REF!</v>
      </c>
      <c r="BU471" t="e">
        <f t="shared" si="289"/>
        <v>#REF!</v>
      </c>
      <c r="BV471" t="e">
        <f t="shared" si="290"/>
        <v>#REF!</v>
      </c>
      <c r="BW471" t="e">
        <f t="shared" si="291"/>
        <v>#REF!</v>
      </c>
      <c r="BX471" t="e">
        <f t="shared" si="292"/>
        <v>#REF!</v>
      </c>
      <c r="BY471" t="e">
        <f t="shared" si="293"/>
        <v>#REF!</v>
      </c>
      <c r="BZ471" t="e">
        <f t="shared" si="294"/>
        <v>#REF!</v>
      </c>
      <c r="CA471" t="e">
        <f t="shared" si="295"/>
        <v>#REF!</v>
      </c>
      <c r="CB471" t="e">
        <f t="shared" si="296"/>
        <v>#REF!</v>
      </c>
      <c r="CC471" t="e">
        <f t="shared" si="297"/>
        <v>#REF!</v>
      </c>
      <c r="CD471" t="e">
        <f t="shared" si="298"/>
        <v>#REF!</v>
      </c>
      <c r="CE471" t="e">
        <f t="shared" si="299"/>
        <v>#REF!</v>
      </c>
      <c r="CF471" t="e">
        <f t="shared" si="300"/>
        <v>#REF!</v>
      </c>
      <c r="CG471" t="e">
        <f t="shared" si="301"/>
        <v>#REF!</v>
      </c>
      <c r="CH471" t="e">
        <f t="shared" si="302"/>
        <v>#REF!</v>
      </c>
      <c r="CI471" t="e">
        <f t="shared" si="303"/>
        <v>#REF!</v>
      </c>
      <c r="CJ471" t="e">
        <f t="shared" si="304"/>
        <v>#REF!</v>
      </c>
    </row>
    <row r="472" spans="62:88">
      <c r="BJ472" s="485"/>
      <c r="BK472" s="113" t="s">
        <v>348</v>
      </c>
      <c r="BL472" t="e">
        <f t="shared" si="280"/>
        <v>#REF!</v>
      </c>
      <c r="BM472" t="e">
        <f t="shared" si="281"/>
        <v>#REF!</v>
      </c>
      <c r="BN472" t="e">
        <f t="shared" si="282"/>
        <v>#REF!</v>
      </c>
      <c r="BO472" t="e">
        <f t="shared" si="283"/>
        <v>#REF!</v>
      </c>
      <c r="BP472" t="e">
        <f t="shared" si="284"/>
        <v>#REF!</v>
      </c>
      <c r="BQ472" t="e">
        <f t="shared" si="285"/>
        <v>#REF!</v>
      </c>
      <c r="BR472" t="e">
        <f t="shared" si="286"/>
        <v>#REF!</v>
      </c>
      <c r="BS472" t="e">
        <f t="shared" si="287"/>
        <v>#REF!</v>
      </c>
      <c r="BT472" t="e">
        <f t="shared" si="288"/>
        <v>#REF!</v>
      </c>
      <c r="BU472" t="e">
        <f t="shared" si="289"/>
        <v>#REF!</v>
      </c>
      <c r="BV472" t="e">
        <f t="shared" si="290"/>
        <v>#REF!</v>
      </c>
      <c r="BW472" t="e">
        <f t="shared" si="291"/>
        <v>#REF!</v>
      </c>
      <c r="BX472" t="e">
        <f t="shared" si="292"/>
        <v>#REF!</v>
      </c>
      <c r="BY472" t="e">
        <f t="shared" si="293"/>
        <v>#REF!</v>
      </c>
      <c r="BZ472" t="e">
        <f t="shared" si="294"/>
        <v>#REF!</v>
      </c>
      <c r="CA472" t="e">
        <f t="shared" si="295"/>
        <v>#REF!</v>
      </c>
      <c r="CB472" t="e">
        <f t="shared" si="296"/>
        <v>#REF!</v>
      </c>
      <c r="CC472" t="e">
        <f t="shared" si="297"/>
        <v>#REF!</v>
      </c>
      <c r="CD472" t="e">
        <f t="shared" si="298"/>
        <v>#REF!</v>
      </c>
      <c r="CE472" t="e">
        <f t="shared" si="299"/>
        <v>#REF!</v>
      </c>
      <c r="CF472" t="e">
        <f t="shared" si="300"/>
        <v>#REF!</v>
      </c>
      <c r="CG472" t="e">
        <f t="shared" si="301"/>
        <v>#REF!</v>
      </c>
      <c r="CH472" t="e">
        <f t="shared" si="302"/>
        <v>#REF!</v>
      </c>
      <c r="CI472" t="e">
        <f t="shared" si="303"/>
        <v>#REF!</v>
      </c>
      <c r="CJ472" t="e">
        <f t="shared" si="304"/>
        <v>#REF!</v>
      </c>
    </row>
    <row r="473" spans="62:88">
      <c r="BJ473" s="485"/>
      <c r="BK473" s="113" t="s">
        <v>349</v>
      </c>
      <c r="BL473" t="e">
        <f t="shared" si="280"/>
        <v>#REF!</v>
      </c>
      <c r="BM473" t="e">
        <f t="shared" si="281"/>
        <v>#REF!</v>
      </c>
      <c r="BN473" t="e">
        <f t="shared" si="282"/>
        <v>#REF!</v>
      </c>
      <c r="BO473" t="e">
        <f t="shared" si="283"/>
        <v>#REF!</v>
      </c>
      <c r="BP473" t="e">
        <f t="shared" si="284"/>
        <v>#REF!</v>
      </c>
      <c r="BQ473" t="e">
        <f t="shared" si="285"/>
        <v>#REF!</v>
      </c>
      <c r="BR473" t="e">
        <f t="shared" si="286"/>
        <v>#REF!</v>
      </c>
      <c r="BS473" t="e">
        <f t="shared" si="287"/>
        <v>#REF!</v>
      </c>
      <c r="BT473" t="e">
        <f t="shared" si="288"/>
        <v>#REF!</v>
      </c>
      <c r="BU473" t="e">
        <f t="shared" si="289"/>
        <v>#REF!</v>
      </c>
      <c r="BV473" t="e">
        <f t="shared" si="290"/>
        <v>#REF!</v>
      </c>
      <c r="BW473" t="e">
        <f t="shared" si="291"/>
        <v>#REF!</v>
      </c>
      <c r="BX473" t="e">
        <f t="shared" si="292"/>
        <v>#REF!</v>
      </c>
      <c r="BY473" t="e">
        <f t="shared" si="293"/>
        <v>#REF!</v>
      </c>
      <c r="BZ473" t="e">
        <f t="shared" si="294"/>
        <v>#REF!</v>
      </c>
      <c r="CA473" t="e">
        <f t="shared" si="295"/>
        <v>#REF!</v>
      </c>
      <c r="CB473" t="e">
        <f t="shared" si="296"/>
        <v>#REF!</v>
      </c>
      <c r="CC473" t="e">
        <f t="shared" si="297"/>
        <v>#REF!</v>
      </c>
      <c r="CD473" t="e">
        <f t="shared" si="298"/>
        <v>#REF!</v>
      </c>
      <c r="CE473" t="e">
        <f t="shared" si="299"/>
        <v>#REF!</v>
      </c>
      <c r="CF473" t="e">
        <f t="shared" si="300"/>
        <v>#REF!</v>
      </c>
      <c r="CG473" t="e">
        <f t="shared" si="301"/>
        <v>#REF!</v>
      </c>
      <c r="CH473" t="e">
        <f t="shared" si="302"/>
        <v>#REF!</v>
      </c>
      <c r="CI473" t="e">
        <f t="shared" si="303"/>
        <v>#REF!</v>
      </c>
      <c r="CJ473" t="e">
        <f t="shared" si="304"/>
        <v>#REF!</v>
      </c>
    </row>
    <row r="474" spans="62:88">
      <c r="BJ474" s="485"/>
      <c r="BK474" s="113" t="s">
        <v>246</v>
      </c>
      <c r="BL474">
        <f>AH324*($AI$257/100*$AQ$257+$AI$258/100*$AQ$258)</f>
        <v>0</v>
      </c>
      <c r="BM474">
        <f t="shared" ref="BM474:CJ474" si="305">AI324*($AI$257/100*$AQ$257+$AI$258/100*$AQ$258)</f>
        <v>0</v>
      </c>
      <c r="BN474">
        <f t="shared" si="305"/>
        <v>0</v>
      </c>
      <c r="BO474">
        <f t="shared" si="305"/>
        <v>0</v>
      </c>
      <c r="BP474">
        <f t="shared" si="305"/>
        <v>5693.4328474943241</v>
      </c>
      <c r="BQ474">
        <f t="shared" si="305"/>
        <v>46666.764081390611</v>
      </c>
      <c r="BR474">
        <f t="shared" si="305"/>
        <v>67621.232407208925</v>
      </c>
      <c r="BS474">
        <f t="shared" si="305"/>
        <v>77667.724182579681</v>
      </c>
      <c r="BT474">
        <f t="shared" si="305"/>
        <v>33256.139671198151</v>
      </c>
      <c r="BU474">
        <f t="shared" si="305"/>
        <v>31278.633028274311</v>
      </c>
      <c r="BV474">
        <f t="shared" si="305"/>
        <v>30950.454561829611</v>
      </c>
      <c r="BW474">
        <f t="shared" si="305"/>
        <v>30117.204018662214</v>
      </c>
      <c r="BX474">
        <f t="shared" si="305"/>
        <v>29760.941672310993</v>
      </c>
      <c r="BY474">
        <f t="shared" si="305"/>
        <v>21380.375466585851</v>
      </c>
      <c r="BZ474">
        <f t="shared" si="305"/>
        <v>16319.80591630223</v>
      </c>
      <c r="CA474">
        <f t="shared" si="305"/>
        <v>10846.382696499131</v>
      </c>
      <c r="CB474">
        <f t="shared" si="305"/>
        <v>10578.056938536802</v>
      </c>
      <c r="CC474">
        <f t="shared" si="305"/>
        <v>10055.708096354794</v>
      </c>
      <c r="CD474">
        <f t="shared" si="305"/>
        <v>9719.1556144011065</v>
      </c>
      <c r="CE474">
        <f t="shared" si="305"/>
        <v>9460.9774796923193</v>
      </c>
      <c r="CF474">
        <f t="shared" si="305"/>
        <v>9233.3089375851359</v>
      </c>
      <c r="CG474">
        <f t="shared" si="305"/>
        <v>9007.610963243962</v>
      </c>
      <c r="CH474">
        <f t="shared" si="305"/>
        <v>8786.6066562868637</v>
      </c>
      <c r="CI474">
        <f t="shared" si="305"/>
        <v>8569.8260628859916</v>
      </c>
      <c r="CJ474">
        <f t="shared" si="305"/>
        <v>8358.483947318</v>
      </c>
    </row>
    <row r="475" spans="62:88">
      <c r="BJ475" s="485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</row>
    <row r="476" spans="62:88" ht="43.5" customHeight="1">
      <c r="BJ476" s="485" t="s">
        <v>365</v>
      </c>
      <c r="BK476" s="113" t="s">
        <v>401</v>
      </c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</row>
    <row r="477" spans="62:88">
      <c r="BJ477" s="485"/>
      <c r="BK477" s="113" t="s">
        <v>343</v>
      </c>
      <c r="BL477" t="e">
        <f t="shared" ref="BL477:BL479" si="306">AH287*$AI$266/100+AH297*$AI$275/100</f>
        <v>#REF!</v>
      </c>
      <c r="BM477" t="e">
        <f t="shared" ref="BM477:BM479" si="307">AI287*$AI$266/100+AI297*$AI$275/100</f>
        <v>#REF!</v>
      </c>
      <c r="BN477" t="e">
        <f t="shared" ref="BN477:BN479" si="308">AJ287*$AI$266/100+AJ297*$AI$275/100</f>
        <v>#REF!</v>
      </c>
      <c r="BO477" t="e">
        <f t="shared" ref="BO477:BO479" si="309">AK287*$AI$266/100+AK297*$AI$275/100</f>
        <v>#REF!</v>
      </c>
      <c r="BP477" t="e">
        <f t="shared" ref="BP477:BP479" si="310">AL287*$AI$266/100+AL297*$AI$275/100</f>
        <v>#REF!</v>
      </c>
      <c r="BQ477" t="e">
        <f t="shared" ref="BQ477:BQ479" si="311">AM287*$AI$266/100+AM297*$AI$275/100</f>
        <v>#REF!</v>
      </c>
      <c r="BR477" t="e">
        <f t="shared" ref="BR477:BR479" si="312">AN287*$AI$266/100+AN297*$AI$275/100</f>
        <v>#REF!</v>
      </c>
      <c r="BS477" t="e">
        <f t="shared" ref="BS477:BS479" si="313">AO287*$AI$266/100+AO297*$AI$275/100</f>
        <v>#REF!</v>
      </c>
      <c r="BT477" t="e">
        <f t="shared" ref="BT477:BT479" si="314">AP287*$AI$266/100+AP297*$AI$275/100</f>
        <v>#REF!</v>
      </c>
      <c r="BU477" t="e">
        <f t="shared" ref="BU477:BU479" si="315">AQ287*$AI$266/100+AQ297*$AI$275/100</f>
        <v>#REF!</v>
      </c>
      <c r="BV477" t="e">
        <f t="shared" ref="BV477:BV479" si="316">AR287*$AI$266/100+AR297*$AI$275/100</f>
        <v>#REF!</v>
      </c>
      <c r="BW477" t="e">
        <f t="shared" ref="BW477:BW479" si="317">AS287*$AI$266/100+AS297*$AI$275/100</f>
        <v>#REF!</v>
      </c>
      <c r="BX477" t="e">
        <f t="shared" ref="BX477:BX479" si="318">AT287*$AI$266/100+AT297*$AI$275/100</f>
        <v>#REF!</v>
      </c>
      <c r="BY477" t="e">
        <f t="shared" ref="BY477:BY479" si="319">AU287*$AI$266/100+AU297*$AI$275/100</f>
        <v>#REF!</v>
      </c>
      <c r="BZ477" t="e">
        <f t="shared" ref="BZ477:BZ479" si="320">AV287*$AI$266/100+AV297*$AI$275/100</f>
        <v>#REF!</v>
      </c>
      <c r="CA477" t="e">
        <f t="shared" ref="CA477:CA479" si="321">AW287*$AI$266/100+AW297*$AI$275/100</f>
        <v>#REF!</v>
      </c>
      <c r="CB477" t="e">
        <f t="shared" ref="CB477:CB479" si="322">AX287*$AI$266/100+AX297*$AI$275/100</f>
        <v>#REF!</v>
      </c>
      <c r="CC477" t="e">
        <f t="shared" ref="CC477:CC479" si="323">AY287*$AI$266/100+AY297*$AI$275/100</f>
        <v>#REF!</v>
      </c>
      <c r="CD477" t="e">
        <f t="shared" ref="CD477:CD479" si="324">AZ287*$AI$266/100+AZ297*$AI$275/100</f>
        <v>#REF!</v>
      </c>
      <c r="CE477" t="e">
        <f t="shared" ref="CE477:CE479" si="325">BA287*$AI$266/100+BA297*$AI$275/100</f>
        <v>#REF!</v>
      </c>
      <c r="CF477" t="e">
        <f t="shared" ref="CF477:CF479" si="326">BB287*$AI$266/100+BB297*$AI$275/100</f>
        <v>#REF!</v>
      </c>
      <c r="CG477" t="e">
        <f t="shared" ref="CG477:CG479" si="327">BC287*$AI$266/100+BC297*$AI$275/100</f>
        <v>#REF!</v>
      </c>
      <c r="CH477" t="e">
        <f t="shared" ref="CH477:CH479" si="328">BD287*$AI$266/100+BD297*$AI$275/100</f>
        <v>#REF!</v>
      </c>
      <c r="CI477" t="e">
        <f t="shared" ref="CI477:CI479" si="329">BE287*$AI$266/100+BE297*$AI$275/100</f>
        <v>#REF!</v>
      </c>
      <c r="CJ477" t="e">
        <f t="shared" ref="CJ477:CJ479" si="330">BF287*$AI$266/100+BF297*$AI$275/100</f>
        <v>#REF!</v>
      </c>
    </row>
    <row r="478" spans="62:88">
      <c r="BJ478" s="485"/>
      <c r="BK478" s="113" t="s">
        <v>345</v>
      </c>
      <c r="BL478" t="e">
        <f t="shared" si="306"/>
        <v>#REF!</v>
      </c>
      <c r="BM478" t="e">
        <f t="shared" si="307"/>
        <v>#REF!</v>
      </c>
      <c r="BN478" t="e">
        <f t="shared" si="308"/>
        <v>#REF!</v>
      </c>
      <c r="BO478" t="e">
        <f t="shared" si="309"/>
        <v>#REF!</v>
      </c>
      <c r="BP478" t="e">
        <f t="shared" si="310"/>
        <v>#REF!</v>
      </c>
      <c r="BQ478" t="e">
        <f t="shared" si="311"/>
        <v>#REF!</v>
      </c>
      <c r="BR478" t="e">
        <f t="shared" si="312"/>
        <v>#REF!</v>
      </c>
      <c r="BS478" t="e">
        <f t="shared" si="313"/>
        <v>#REF!</v>
      </c>
      <c r="BT478" t="e">
        <f t="shared" si="314"/>
        <v>#REF!</v>
      </c>
      <c r="BU478" t="e">
        <f t="shared" si="315"/>
        <v>#REF!</v>
      </c>
      <c r="BV478" t="e">
        <f t="shared" si="316"/>
        <v>#REF!</v>
      </c>
      <c r="BW478" t="e">
        <f t="shared" si="317"/>
        <v>#REF!</v>
      </c>
      <c r="BX478" t="e">
        <f t="shared" si="318"/>
        <v>#REF!</v>
      </c>
      <c r="BY478" t="e">
        <f t="shared" si="319"/>
        <v>#REF!</v>
      </c>
      <c r="BZ478" t="e">
        <f t="shared" si="320"/>
        <v>#REF!</v>
      </c>
      <c r="CA478" t="e">
        <f t="shared" si="321"/>
        <v>#REF!</v>
      </c>
      <c r="CB478" t="e">
        <f t="shared" si="322"/>
        <v>#REF!</v>
      </c>
      <c r="CC478" t="e">
        <f t="shared" si="323"/>
        <v>#REF!</v>
      </c>
      <c r="CD478" t="e">
        <f t="shared" si="324"/>
        <v>#REF!</v>
      </c>
      <c r="CE478" t="e">
        <f t="shared" si="325"/>
        <v>#REF!</v>
      </c>
      <c r="CF478" t="e">
        <f t="shared" si="326"/>
        <v>#REF!</v>
      </c>
      <c r="CG478" t="e">
        <f t="shared" si="327"/>
        <v>#REF!</v>
      </c>
      <c r="CH478" t="e">
        <f t="shared" si="328"/>
        <v>#REF!</v>
      </c>
      <c r="CI478" t="e">
        <f t="shared" si="329"/>
        <v>#REF!</v>
      </c>
      <c r="CJ478" t="e">
        <f t="shared" si="330"/>
        <v>#REF!</v>
      </c>
    </row>
    <row r="479" spans="62:88">
      <c r="BJ479" s="485"/>
      <c r="BK479" s="113" t="s">
        <v>346</v>
      </c>
      <c r="BL479" t="e">
        <f t="shared" si="306"/>
        <v>#REF!</v>
      </c>
      <c r="BM479" t="e">
        <f t="shared" si="307"/>
        <v>#REF!</v>
      </c>
      <c r="BN479" t="e">
        <f t="shared" si="308"/>
        <v>#REF!</v>
      </c>
      <c r="BO479" t="e">
        <f t="shared" si="309"/>
        <v>#REF!</v>
      </c>
      <c r="BP479" t="e">
        <f t="shared" si="310"/>
        <v>#REF!</v>
      </c>
      <c r="BQ479" t="e">
        <f t="shared" si="311"/>
        <v>#REF!</v>
      </c>
      <c r="BR479" t="e">
        <f t="shared" si="312"/>
        <v>#REF!</v>
      </c>
      <c r="BS479" t="e">
        <f t="shared" si="313"/>
        <v>#REF!</v>
      </c>
      <c r="BT479" t="e">
        <f t="shared" si="314"/>
        <v>#REF!</v>
      </c>
      <c r="BU479" t="e">
        <f t="shared" si="315"/>
        <v>#REF!</v>
      </c>
      <c r="BV479" t="e">
        <f t="shared" si="316"/>
        <v>#REF!</v>
      </c>
      <c r="BW479" t="e">
        <f t="shared" si="317"/>
        <v>#REF!</v>
      </c>
      <c r="BX479" t="e">
        <f t="shared" si="318"/>
        <v>#REF!</v>
      </c>
      <c r="BY479" t="e">
        <f t="shared" si="319"/>
        <v>#REF!</v>
      </c>
      <c r="BZ479" t="e">
        <f t="shared" si="320"/>
        <v>#REF!</v>
      </c>
      <c r="CA479" t="e">
        <f t="shared" si="321"/>
        <v>#REF!</v>
      </c>
      <c r="CB479" t="e">
        <f t="shared" si="322"/>
        <v>#REF!</v>
      </c>
      <c r="CC479" t="e">
        <f t="shared" si="323"/>
        <v>#REF!</v>
      </c>
      <c r="CD479" t="e">
        <f t="shared" si="324"/>
        <v>#REF!</v>
      </c>
      <c r="CE479" t="e">
        <f t="shared" si="325"/>
        <v>#REF!</v>
      </c>
      <c r="CF479" t="e">
        <f t="shared" si="326"/>
        <v>#REF!</v>
      </c>
      <c r="CG479" t="e">
        <f t="shared" si="327"/>
        <v>#REF!</v>
      </c>
      <c r="CH479" t="e">
        <f t="shared" si="328"/>
        <v>#REF!</v>
      </c>
      <c r="CI479" t="e">
        <f t="shared" si="329"/>
        <v>#REF!</v>
      </c>
      <c r="CJ479" t="e">
        <f t="shared" si="330"/>
        <v>#REF!</v>
      </c>
    </row>
    <row r="480" spans="62:88">
      <c r="BJ480" s="485"/>
      <c r="BK480" s="113" t="s">
        <v>278</v>
      </c>
      <c r="BL480">
        <f>AH290*$AI$266/100+AH300*$AI$275/100</f>
        <v>0</v>
      </c>
      <c r="BM480">
        <f t="shared" ref="BM480:CJ483" si="331">AI290*$AI$266/100+AI300*$AI$275/100</f>
        <v>0</v>
      </c>
      <c r="BN480">
        <f t="shared" si="331"/>
        <v>0</v>
      </c>
      <c r="BO480">
        <f t="shared" si="331"/>
        <v>0</v>
      </c>
      <c r="BP480">
        <f t="shared" si="331"/>
        <v>0</v>
      </c>
      <c r="BQ480">
        <f t="shared" si="331"/>
        <v>0</v>
      </c>
      <c r="BR480">
        <f t="shared" si="331"/>
        <v>0</v>
      </c>
      <c r="BS480">
        <f t="shared" si="331"/>
        <v>0</v>
      </c>
      <c r="BT480">
        <f t="shared" si="331"/>
        <v>0</v>
      </c>
      <c r="BU480">
        <f t="shared" si="331"/>
        <v>0</v>
      </c>
      <c r="BV480">
        <f t="shared" si="331"/>
        <v>0</v>
      </c>
      <c r="BW480">
        <f t="shared" si="331"/>
        <v>0</v>
      </c>
      <c r="BX480">
        <f t="shared" si="331"/>
        <v>0</v>
      </c>
      <c r="BY480">
        <f t="shared" si="331"/>
        <v>0</v>
      </c>
      <c r="BZ480">
        <f t="shared" si="331"/>
        <v>0</v>
      </c>
      <c r="CA480">
        <f t="shared" si="331"/>
        <v>0</v>
      </c>
      <c r="CB480">
        <f t="shared" si="331"/>
        <v>0</v>
      </c>
      <c r="CC480">
        <f t="shared" si="331"/>
        <v>0</v>
      </c>
      <c r="CD480">
        <f t="shared" si="331"/>
        <v>0</v>
      </c>
      <c r="CE480">
        <f t="shared" si="331"/>
        <v>0</v>
      </c>
      <c r="CF480">
        <f t="shared" si="331"/>
        <v>0</v>
      </c>
      <c r="CG480">
        <f t="shared" si="331"/>
        <v>0</v>
      </c>
      <c r="CH480">
        <f t="shared" si="331"/>
        <v>0</v>
      </c>
      <c r="CI480">
        <f t="shared" si="331"/>
        <v>0</v>
      </c>
      <c r="CJ480">
        <f t="shared" si="331"/>
        <v>0</v>
      </c>
    </row>
    <row r="481" spans="62:88">
      <c r="BJ481" s="485"/>
      <c r="BK481" s="113" t="s">
        <v>347</v>
      </c>
      <c r="BL481" t="e">
        <f t="shared" ref="BL481:BL483" si="332">AH291*$AI$266/100+AH301*$AI$275/100</f>
        <v>#REF!</v>
      </c>
      <c r="BM481" t="e">
        <f t="shared" si="331"/>
        <v>#REF!</v>
      </c>
      <c r="BN481" t="e">
        <f t="shared" si="331"/>
        <v>#REF!</v>
      </c>
      <c r="BO481" t="e">
        <f t="shared" si="331"/>
        <v>#REF!</v>
      </c>
      <c r="BP481" t="e">
        <f t="shared" si="331"/>
        <v>#REF!</v>
      </c>
      <c r="BQ481" t="e">
        <f t="shared" si="331"/>
        <v>#REF!</v>
      </c>
      <c r="BR481" t="e">
        <f t="shared" si="331"/>
        <v>#REF!</v>
      </c>
      <c r="BS481" t="e">
        <f t="shared" si="331"/>
        <v>#REF!</v>
      </c>
      <c r="BT481" t="e">
        <f t="shared" si="331"/>
        <v>#REF!</v>
      </c>
      <c r="BU481" t="e">
        <f t="shared" si="331"/>
        <v>#REF!</v>
      </c>
      <c r="BV481" t="e">
        <f t="shared" si="331"/>
        <v>#REF!</v>
      </c>
      <c r="BW481" t="e">
        <f t="shared" si="331"/>
        <v>#REF!</v>
      </c>
      <c r="BX481" t="e">
        <f t="shared" si="331"/>
        <v>#REF!</v>
      </c>
      <c r="BY481" t="e">
        <f t="shared" si="331"/>
        <v>#REF!</v>
      </c>
      <c r="BZ481" t="e">
        <f t="shared" si="331"/>
        <v>#REF!</v>
      </c>
      <c r="CA481" t="e">
        <f t="shared" si="331"/>
        <v>#REF!</v>
      </c>
      <c r="CB481" t="e">
        <f t="shared" si="331"/>
        <v>#REF!</v>
      </c>
      <c r="CC481" t="e">
        <f t="shared" si="331"/>
        <v>#REF!</v>
      </c>
      <c r="CD481" t="e">
        <f t="shared" si="331"/>
        <v>#REF!</v>
      </c>
      <c r="CE481" t="e">
        <f t="shared" si="331"/>
        <v>#REF!</v>
      </c>
      <c r="CF481" t="e">
        <f t="shared" si="331"/>
        <v>#REF!</v>
      </c>
      <c r="CG481" t="e">
        <f t="shared" si="331"/>
        <v>#REF!</v>
      </c>
      <c r="CH481" t="e">
        <f t="shared" si="331"/>
        <v>#REF!</v>
      </c>
      <c r="CI481" t="e">
        <f t="shared" si="331"/>
        <v>#REF!</v>
      </c>
      <c r="CJ481" t="e">
        <f t="shared" si="331"/>
        <v>#REF!</v>
      </c>
    </row>
    <row r="482" spans="62:88">
      <c r="BJ482" s="485"/>
      <c r="BK482" s="113" t="s">
        <v>348</v>
      </c>
      <c r="BL482" t="e">
        <f t="shared" si="332"/>
        <v>#REF!</v>
      </c>
      <c r="BM482" t="e">
        <f t="shared" si="331"/>
        <v>#REF!</v>
      </c>
      <c r="BN482" t="e">
        <f t="shared" si="331"/>
        <v>#REF!</v>
      </c>
      <c r="BO482" t="e">
        <f t="shared" si="331"/>
        <v>#REF!</v>
      </c>
      <c r="BP482" t="e">
        <f t="shared" si="331"/>
        <v>#REF!</v>
      </c>
      <c r="BQ482" t="e">
        <f t="shared" si="331"/>
        <v>#REF!</v>
      </c>
      <c r="BR482" t="e">
        <f t="shared" si="331"/>
        <v>#REF!</v>
      </c>
      <c r="BS482" t="e">
        <f t="shared" si="331"/>
        <v>#REF!</v>
      </c>
      <c r="BT482" t="e">
        <f t="shared" si="331"/>
        <v>#REF!</v>
      </c>
      <c r="BU482" t="e">
        <f t="shared" si="331"/>
        <v>#REF!</v>
      </c>
      <c r="BV482" t="e">
        <f t="shared" si="331"/>
        <v>#REF!</v>
      </c>
      <c r="BW482" t="e">
        <f t="shared" si="331"/>
        <v>#REF!</v>
      </c>
      <c r="BX482" t="e">
        <f t="shared" si="331"/>
        <v>#REF!</v>
      </c>
      <c r="BY482" t="e">
        <f t="shared" si="331"/>
        <v>#REF!</v>
      </c>
      <c r="BZ482" t="e">
        <f t="shared" si="331"/>
        <v>#REF!</v>
      </c>
      <c r="CA482" t="e">
        <f t="shared" si="331"/>
        <v>#REF!</v>
      </c>
      <c r="CB482" t="e">
        <f t="shared" si="331"/>
        <v>#REF!</v>
      </c>
      <c r="CC482" t="e">
        <f t="shared" si="331"/>
        <v>#REF!</v>
      </c>
      <c r="CD482" t="e">
        <f t="shared" si="331"/>
        <v>#REF!</v>
      </c>
      <c r="CE482" t="e">
        <f t="shared" si="331"/>
        <v>#REF!</v>
      </c>
      <c r="CF482" t="e">
        <f t="shared" si="331"/>
        <v>#REF!</v>
      </c>
      <c r="CG482" t="e">
        <f t="shared" si="331"/>
        <v>#REF!</v>
      </c>
      <c r="CH482" t="e">
        <f t="shared" si="331"/>
        <v>#REF!</v>
      </c>
      <c r="CI482" t="e">
        <f t="shared" si="331"/>
        <v>#REF!</v>
      </c>
      <c r="CJ482" t="e">
        <f t="shared" si="331"/>
        <v>#REF!</v>
      </c>
    </row>
    <row r="483" spans="62:88">
      <c r="BJ483" s="485"/>
      <c r="BK483" s="113" t="s">
        <v>349</v>
      </c>
      <c r="BL483" t="e">
        <f t="shared" si="332"/>
        <v>#REF!</v>
      </c>
      <c r="BM483" t="e">
        <f t="shared" si="331"/>
        <v>#REF!</v>
      </c>
      <c r="BN483" t="e">
        <f t="shared" si="331"/>
        <v>#REF!</v>
      </c>
      <c r="BO483" t="e">
        <f t="shared" si="331"/>
        <v>#REF!</v>
      </c>
      <c r="BP483" t="e">
        <f t="shared" si="331"/>
        <v>#REF!</v>
      </c>
      <c r="BQ483" t="e">
        <f t="shared" si="331"/>
        <v>#REF!</v>
      </c>
      <c r="BR483" t="e">
        <f t="shared" si="331"/>
        <v>#REF!</v>
      </c>
      <c r="BS483" t="e">
        <f t="shared" si="331"/>
        <v>#REF!</v>
      </c>
      <c r="BT483" t="e">
        <f t="shared" si="331"/>
        <v>#REF!</v>
      </c>
      <c r="BU483" t="e">
        <f t="shared" si="331"/>
        <v>#REF!</v>
      </c>
      <c r="BV483" t="e">
        <f t="shared" si="331"/>
        <v>#REF!</v>
      </c>
      <c r="BW483" t="e">
        <f t="shared" si="331"/>
        <v>#REF!</v>
      </c>
      <c r="BX483" t="e">
        <f t="shared" si="331"/>
        <v>#REF!</v>
      </c>
      <c r="BY483" t="e">
        <f t="shared" si="331"/>
        <v>#REF!</v>
      </c>
      <c r="BZ483" t="e">
        <f t="shared" si="331"/>
        <v>#REF!</v>
      </c>
      <c r="CA483" t="e">
        <f t="shared" si="331"/>
        <v>#REF!</v>
      </c>
      <c r="CB483" t="e">
        <f t="shared" si="331"/>
        <v>#REF!</v>
      </c>
      <c r="CC483" t="e">
        <f t="shared" si="331"/>
        <v>#REF!</v>
      </c>
      <c r="CD483" t="e">
        <f t="shared" si="331"/>
        <v>#REF!</v>
      </c>
      <c r="CE483" t="e">
        <f t="shared" si="331"/>
        <v>#REF!</v>
      </c>
      <c r="CF483" t="e">
        <f t="shared" si="331"/>
        <v>#REF!</v>
      </c>
      <c r="CG483" t="e">
        <f t="shared" si="331"/>
        <v>#REF!</v>
      </c>
      <c r="CH483" t="e">
        <f t="shared" si="331"/>
        <v>#REF!</v>
      </c>
      <c r="CI483" t="e">
        <f t="shared" si="331"/>
        <v>#REF!</v>
      </c>
      <c r="CJ483" t="e">
        <f t="shared" si="331"/>
        <v>#REF!</v>
      </c>
    </row>
    <row r="484" spans="62:88">
      <c r="BJ484" s="485"/>
      <c r="BK484" s="113" t="s">
        <v>246</v>
      </c>
      <c r="BL484">
        <f>AH294*$AI$266/100+AH304*$AI$275/100</f>
        <v>0</v>
      </c>
      <c r="BM484">
        <f t="shared" ref="BM484" si="333">AI294*$AI$266/100+AI304*$AI$275/100</f>
        <v>0</v>
      </c>
      <c r="BN484">
        <f t="shared" ref="BN484" si="334">AJ294*$AI$266/100+AJ304*$AI$275/100</f>
        <v>0</v>
      </c>
      <c r="BO484">
        <f t="shared" ref="BO484" si="335">AK294*$AI$266/100+AK304*$AI$275/100</f>
        <v>0</v>
      </c>
      <c r="BP484">
        <f t="shared" ref="BP484" si="336">AL294*$AI$266/100+AL304*$AI$275/100</f>
        <v>0</v>
      </c>
      <c r="BQ484">
        <f t="shared" ref="BQ484" si="337">AM294*$AI$266/100+AM304*$AI$275/100</f>
        <v>0</v>
      </c>
      <c r="BR484">
        <f t="shared" ref="BR484" si="338">AN294*$AI$266/100+AN304*$AI$275/100</f>
        <v>0</v>
      </c>
      <c r="BS484">
        <f t="shared" ref="BS484" si="339">AO294*$AI$266/100+AO304*$AI$275/100</f>
        <v>0</v>
      </c>
      <c r="BT484">
        <f t="shared" ref="BT484" si="340">AP294*$AI$266/100+AP304*$AI$275/100</f>
        <v>0</v>
      </c>
      <c r="BU484">
        <f t="shared" ref="BU484" si="341">AQ294*$AI$266/100+AQ304*$AI$275/100</f>
        <v>0</v>
      </c>
      <c r="BV484">
        <f t="shared" ref="BV484" si="342">AR294*$AI$266/100+AR304*$AI$275/100</f>
        <v>0</v>
      </c>
      <c r="BW484">
        <f t="shared" ref="BW484" si="343">AS294*$AI$266/100+AS304*$AI$275/100</f>
        <v>0</v>
      </c>
      <c r="BX484">
        <f t="shared" ref="BX484" si="344">AT294*$AI$266/100+AT304*$AI$275/100</f>
        <v>0</v>
      </c>
      <c r="BY484">
        <f t="shared" ref="BY484" si="345">AU294*$AI$266/100+AU304*$AI$275/100</f>
        <v>0</v>
      </c>
      <c r="BZ484">
        <f t="shared" ref="BZ484" si="346">AV294*$AI$266/100+AV304*$AI$275/100</f>
        <v>0</v>
      </c>
      <c r="CA484">
        <f t="shared" ref="CA484" si="347">AW294*$AI$266/100+AW304*$AI$275/100</f>
        <v>0</v>
      </c>
      <c r="CB484">
        <f t="shared" ref="CB484" si="348">AX294*$AI$266/100+AX304*$AI$275/100</f>
        <v>0</v>
      </c>
      <c r="CC484">
        <f t="shared" ref="CC484" si="349">AY294*$AI$266/100+AY304*$AI$275/100</f>
        <v>0</v>
      </c>
      <c r="CD484">
        <f t="shared" ref="CD484" si="350">AZ294*$AI$266/100+AZ304*$AI$275/100</f>
        <v>0</v>
      </c>
      <c r="CE484">
        <f t="shared" ref="CE484" si="351">BA294*$AI$266/100+BA304*$AI$275/100</f>
        <v>0</v>
      </c>
      <c r="CF484">
        <f t="shared" ref="CF484" si="352">BB294*$AI$266/100+BB304*$AI$275/100</f>
        <v>0</v>
      </c>
      <c r="CG484">
        <f t="shared" ref="CG484" si="353">BC294*$AI$266/100+BC304*$AI$275/100</f>
        <v>0</v>
      </c>
      <c r="CH484">
        <f t="shared" ref="CH484" si="354">BD294*$AI$266/100+BD304*$AI$275/100</f>
        <v>0</v>
      </c>
      <c r="CI484">
        <f t="shared" ref="CI484" si="355">BE294*$AI$266/100+BE304*$AI$275/100</f>
        <v>0</v>
      </c>
      <c r="CJ484">
        <f t="shared" ref="CJ484" si="356">BF294*$AI$266/100+BF304*$AI$275/100</f>
        <v>0</v>
      </c>
    </row>
    <row r="485" spans="62:88">
      <c r="BJ485" s="485"/>
      <c r="BK485" s="113"/>
    </row>
    <row r="486" spans="62:88">
      <c r="BJ486" s="485"/>
      <c r="BK486" s="113" t="s">
        <v>404</v>
      </c>
    </row>
    <row r="487" spans="62:88">
      <c r="BJ487" s="485"/>
      <c r="BK487" s="113" t="s">
        <v>343</v>
      </c>
      <c r="BL487" t="e">
        <f t="shared" ref="BL487:BL489" si="357">AH317*($AI$256/100*$AP$256+$AI$255/100*$AP$255)</f>
        <v>#REF!</v>
      </c>
      <c r="BM487" t="e">
        <f t="shared" ref="BM487:BM490" si="358">AI317*($AI$256/100*$AP$256+$AI$255/100*$AP$255)</f>
        <v>#REF!</v>
      </c>
      <c r="BN487" t="e">
        <f t="shared" ref="BN487:BN490" si="359">AJ317*($AI$256/100*$AP$256+$AI$255/100*$AP$255)</f>
        <v>#REF!</v>
      </c>
      <c r="BO487" t="e">
        <f t="shared" ref="BO487:BO490" si="360">AK317*($AI$256/100*$AP$256+$AI$255/100*$AP$255)</f>
        <v>#REF!</v>
      </c>
      <c r="BP487" t="e">
        <f t="shared" ref="BP487:BP490" si="361">AL317*($AI$256/100*$AP$256+$AI$255/100*$AP$255)</f>
        <v>#REF!</v>
      </c>
      <c r="BQ487" t="e">
        <f t="shared" ref="BQ487:BQ490" si="362">AM317*($AI$256/100*$AP$256+$AI$255/100*$AP$255)</f>
        <v>#REF!</v>
      </c>
      <c r="BR487" t="e">
        <f t="shared" ref="BR487:BR490" si="363">AN317*($AI$256/100*$AP$256+$AI$255/100*$AP$255)</f>
        <v>#REF!</v>
      </c>
      <c r="BS487" t="e">
        <f t="shared" ref="BS487:BS490" si="364">AO317*($AI$256/100*$AP$256+$AI$255/100*$AP$255)</f>
        <v>#REF!</v>
      </c>
      <c r="BT487" t="e">
        <f t="shared" ref="BT487:BT490" si="365">AP317*($AI$256/100*$AP$256+$AI$255/100*$AP$255)</f>
        <v>#REF!</v>
      </c>
      <c r="BU487" t="e">
        <f t="shared" ref="BU487:BU490" si="366">AQ317*($AI$256/100*$AP$256+$AI$255/100*$AP$255)</f>
        <v>#REF!</v>
      </c>
      <c r="BV487" t="e">
        <f t="shared" ref="BV487:BV490" si="367">AR317*($AI$256/100*$AP$256+$AI$255/100*$AP$255)</f>
        <v>#REF!</v>
      </c>
      <c r="BW487" t="e">
        <f t="shared" ref="BW487:BW490" si="368">AS317*($AI$256/100*$AP$256+$AI$255/100*$AP$255)</f>
        <v>#REF!</v>
      </c>
      <c r="BX487" t="e">
        <f t="shared" ref="BX487:BX490" si="369">AT317*($AI$256/100*$AP$256+$AI$255/100*$AP$255)</f>
        <v>#REF!</v>
      </c>
      <c r="BY487" t="e">
        <f t="shared" ref="BY487:BY490" si="370">AU317*($AI$256/100*$AP$256+$AI$255/100*$AP$255)</f>
        <v>#REF!</v>
      </c>
      <c r="BZ487" t="e">
        <f t="shared" ref="BZ487:BZ490" si="371">AV317*($AI$256/100*$AP$256+$AI$255/100*$AP$255)</f>
        <v>#REF!</v>
      </c>
      <c r="CA487" t="e">
        <f t="shared" ref="CA487:CA490" si="372">AW317*($AI$256/100*$AP$256+$AI$255/100*$AP$255)</f>
        <v>#REF!</v>
      </c>
      <c r="CB487" t="e">
        <f t="shared" ref="CB487:CB490" si="373">AX317*($AI$256/100*$AP$256+$AI$255/100*$AP$255)</f>
        <v>#REF!</v>
      </c>
      <c r="CC487" t="e">
        <f t="shared" ref="CC487:CC490" si="374">AY317*($AI$256/100*$AP$256+$AI$255/100*$AP$255)</f>
        <v>#REF!</v>
      </c>
      <c r="CD487" t="e">
        <f t="shared" ref="CD487:CD490" si="375">AZ317*($AI$256/100*$AP$256+$AI$255/100*$AP$255)</f>
        <v>#REF!</v>
      </c>
      <c r="CE487" t="e">
        <f t="shared" ref="CE487:CE490" si="376">BA317*($AI$256/100*$AP$256+$AI$255/100*$AP$255)</f>
        <v>#REF!</v>
      </c>
      <c r="CF487" t="e">
        <f t="shared" ref="CF487:CF490" si="377">BB317*($AI$256/100*$AP$256+$AI$255/100*$AP$255)</f>
        <v>#REF!</v>
      </c>
      <c r="CG487" t="e">
        <f t="shared" ref="CG487:CG490" si="378">BC317*($AI$256/100*$AP$256+$AI$255/100*$AP$255)</f>
        <v>#REF!</v>
      </c>
      <c r="CH487" t="e">
        <f t="shared" ref="CH487:CH490" si="379">BD317*($AI$256/100*$AP$256+$AI$255/100*$AP$255)</f>
        <v>#REF!</v>
      </c>
      <c r="CI487" t="e">
        <f t="shared" ref="CI487:CI490" si="380">BE317*($AI$256/100*$AP$256+$AI$255/100*$AP$255)</f>
        <v>#REF!</v>
      </c>
      <c r="CJ487" t="e">
        <f t="shared" ref="CJ487:CJ490" si="381">BF317*($AI$256/100*$AP$256+$AI$255/100*$AP$255)</f>
        <v>#REF!</v>
      </c>
    </row>
    <row r="488" spans="62:88">
      <c r="BJ488" s="485"/>
      <c r="BK488" s="113" t="s">
        <v>345</v>
      </c>
      <c r="BL488" t="e">
        <f t="shared" si="357"/>
        <v>#REF!</v>
      </c>
      <c r="BM488" t="e">
        <f t="shared" si="358"/>
        <v>#REF!</v>
      </c>
      <c r="BN488" t="e">
        <f t="shared" si="359"/>
        <v>#REF!</v>
      </c>
      <c r="BO488" t="e">
        <f t="shared" si="360"/>
        <v>#REF!</v>
      </c>
      <c r="BP488" t="e">
        <f t="shared" si="361"/>
        <v>#REF!</v>
      </c>
      <c r="BQ488" t="e">
        <f t="shared" si="362"/>
        <v>#REF!</v>
      </c>
      <c r="BR488" t="e">
        <f t="shared" si="363"/>
        <v>#REF!</v>
      </c>
      <c r="BS488" t="e">
        <f t="shared" si="364"/>
        <v>#REF!</v>
      </c>
      <c r="BT488" t="e">
        <f t="shared" si="365"/>
        <v>#REF!</v>
      </c>
      <c r="BU488" t="e">
        <f t="shared" si="366"/>
        <v>#REF!</v>
      </c>
      <c r="BV488" t="e">
        <f t="shared" si="367"/>
        <v>#REF!</v>
      </c>
      <c r="BW488" t="e">
        <f t="shared" si="368"/>
        <v>#REF!</v>
      </c>
      <c r="BX488" t="e">
        <f t="shared" si="369"/>
        <v>#REF!</v>
      </c>
      <c r="BY488" t="e">
        <f t="shared" si="370"/>
        <v>#REF!</v>
      </c>
      <c r="BZ488" t="e">
        <f t="shared" si="371"/>
        <v>#REF!</v>
      </c>
      <c r="CA488" t="e">
        <f t="shared" si="372"/>
        <v>#REF!</v>
      </c>
      <c r="CB488" t="e">
        <f t="shared" si="373"/>
        <v>#REF!</v>
      </c>
      <c r="CC488" t="e">
        <f t="shared" si="374"/>
        <v>#REF!</v>
      </c>
      <c r="CD488" t="e">
        <f t="shared" si="375"/>
        <v>#REF!</v>
      </c>
      <c r="CE488" t="e">
        <f t="shared" si="376"/>
        <v>#REF!</v>
      </c>
      <c r="CF488" t="e">
        <f t="shared" si="377"/>
        <v>#REF!</v>
      </c>
      <c r="CG488" t="e">
        <f t="shared" si="378"/>
        <v>#REF!</v>
      </c>
      <c r="CH488" t="e">
        <f t="shared" si="379"/>
        <v>#REF!</v>
      </c>
      <c r="CI488" t="e">
        <f t="shared" si="380"/>
        <v>#REF!</v>
      </c>
      <c r="CJ488" t="e">
        <f t="shared" si="381"/>
        <v>#REF!</v>
      </c>
    </row>
    <row r="489" spans="62:88">
      <c r="BJ489" s="485"/>
      <c r="BK489" s="113" t="s">
        <v>346</v>
      </c>
      <c r="BL489" t="e">
        <f t="shared" si="357"/>
        <v>#REF!</v>
      </c>
      <c r="BM489" t="e">
        <f t="shared" si="358"/>
        <v>#REF!</v>
      </c>
      <c r="BN489" t="e">
        <f t="shared" si="359"/>
        <v>#REF!</v>
      </c>
      <c r="BO489" t="e">
        <f t="shared" si="360"/>
        <v>#REF!</v>
      </c>
      <c r="BP489" t="e">
        <f t="shared" si="361"/>
        <v>#REF!</v>
      </c>
      <c r="BQ489" t="e">
        <f t="shared" si="362"/>
        <v>#REF!</v>
      </c>
      <c r="BR489" t="e">
        <f t="shared" si="363"/>
        <v>#REF!</v>
      </c>
      <c r="BS489" t="e">
        <f t="shared" si="364"/>
        <v>#REF!</v>
      </c>
      <c r="BT489" t="e">
        <f t="shared" si="365"/>
        <v>#REF!</v>
      </c>
      <c r="BU489" t="e">
        <f t="shared" si="366"/>
        <v>#REF!</v>
      </c>
      <c r="BV489" t="e">
        <f t="shared" si="367"/>
        <v>#REF!</v>
      </c>
      <c r="BW489" t="e">
        <f t="shared" si="368"/>
        <v>#REF!</v>
      </c>
      <c r="BX489" t="e">
        <f t="shared" si="369"/>
        <v>#REF!</v>
      </c>
      <c r="BY489" t="e">
        <f t="shared" si="370"/>
        <v>#REF!</v>
      </c>
      <c r="BZ489" t="e">
        <f t="shared" si="371"/>
        <v>#REF!</v>
      </c>
      <c r="CA489" t="e">
        <f t="shared" si="372"/>
        <v>#REF!</v>
      </c>
      <c r="CB489" t="e">
        <f t="shared" si="373"/>
        <v>#REF!</v>
      </c>
      <c r="CC489" t="e">
        <f t="shared" si="374"/>
        <v>#REF!</v>
      </c>
      <c r="CD489" t="e">
        <f t="shared" si="375"/>
        <v>#REF!</v>
      </c>
      <c r="CE489" t="e">
        <f t="shared" si="376"/>
        <v>#REF!</v>
      </c>
      <c r="CF489" t="e">
        <f t="shared" si="377"/>
        <v>#REF!</v>
      </c>
      <c r="CG489" t="e">
        <f t="shared" si="378"/>
        <v>#REF!</v>
      </c>
      <c r="CH489" t="e">
        <f t="shared" si="379"/>
        <v>#REF!</v>
      </c>
      <c r="CI489" t="e">
        <f t="shared" si="380"/>
        <v>#REF!</v>
      </c>
      <c r="CJ489" t="e">
        <f t="shared" si="381"/>
        <v>#REF!</v>
      </c>
    </row>
    <row r="490" spans="62:88">
      <c r="BJ490" s="485"/>
      <c r="BK490" s="113" t="s">
        <v>278</v>
      </c>
      <c r="BL490">
        <f>AH320*($AI$256/100*$AP$256+$AI$255/100*$AP$255)</f>
        <v>0</v>
      </c>
      <c r="BM490">
        <f t="shared" si="358"/>
        <v>0</v>
      </c>
      <c r="BN490">
        <f t="shared" si="359"/>
        <v>0</v>
      </c>
      <c r="BO490">
        <f t="shared" si="360"/>
        <v>0</v>
      </c>
      <c r="BP490">
        <f t="shared" si="361"/>
        <v>341249.14503434487</v>
      </c>
      <c r="BQ490">
        <f t="shared" si="362"/>
        <v>2828810.8542438536</v>
      </c>
      <c r="BR490">
        <f t="shared" si="363"/>
        <v>4149419.8268935443</v>
      </c>
      <c r="BS490">
        <f t="shared" si="364"/>
        <v>4813550.2180639403</v>
      </c>
      <c r="BT490">
        <f t="shared" si="365"/>
        <v>2833987.7706292938</v>
      </c>
      <c r="BU490">
        <f t="shared" si="366"/>
        <v>2687803.6209350126</v>
      </c>
      <c r="BV490">
        <f t="shared" si="367"/>
        <v>2666731.2036962728</v>
      </c>
      <c r="BW490">
        <f t="shared" si="368"/>
        <v>2601992.5921775904</v>
      </c>
      <c r="BX490">
        <f t="shared" si="369"/>
        <v>2577207.7887465376</v>
      </c>
      <c r="BY490">
        <f t="shared" si="370"/>
        <v>1871089.0197378835</v>
      </c>
      <c r="BZ490">
        <f t="shared" si="371"/>
        <v>1444113.4574123856</v>
      </c>
      <c r="CA490">
        <f t="shared" si="372"/>
        <v>982462.20076984866</v>
      </c>
      <c r="CB490">
        <f t="shared" si="373"/>
        <v>958157.3313892032</v>
      </c>
      <c r="CC490">
        <f t="shared" si="374"/>
        <v>910843.12466981832</v>
      </c>
      <c r="CD490">
        <f t="shared" si="375"/>
        <v>880358.29840589722</v>
      </c>
      <c r="CE490">
        <f t="shared" si="376"/>
        <v>856972.59779821744</v>
      </c>
      <c r="CF490">
        <f t="shared" si="377"/>
        <v>836350.44724503066</v>
      </c>
      <c r="CG490">
        <f t="shared" si="378"/>
        <v>815906.79014890955</v>
      </c>
      <c r="CH490">
        <f t="shared" si="379"/>
        <v>795888.28408395464</v>
      </c>
      <c r="CI490">
        <f t="shared" si="380"/>
        <v>776252.36076865892</v>
      </c>
      <c r="CJ490">
        <f t="shared" si="381"/>
        <v>757109.05319909414</v>
      </c>
    </row>
    <row r="491" spans="62:88">
      <c r="BJ491" s="485"/>
      <c r="BK491" s="113" t="s">
        <v>347</v>
      </c>
      <c r="BL491" t="e">
        <f t="shared" ref="BL491:BL493" si="382">AH321*($AI$256/100*$AP$256+$AI$255/100*$AP$255)</f>
        <v>#REF!</v>
      </c>
      <c r="BM491" t="e">
        <f t="shared" ref="BM491:CJ493" si="383">AI321*($AI$256/100*$AP$256+$AI$255/100*$AP$255)</f>
        <v>#REF!</v>
      </c>
      <c r="BN491" t="e">
        <f t="shared" si="383"/>
        <v>#REF!</v>
      </c>
      <c r="BO491" t="e">
        <f t="shared" si="383"/>
        <v>#REF!</v>
      </c>
      <c r="BP491" t="e">
        <f t="shared" si="383"/>
        <v>#REF!</v>
      </c>
      <c r="BQ491" t="e">
        <f t="shared" si="383"/>
        <v>#REF!</v>
      </c>
      <c r="BR491" t="e">
        <f t="shared" si="383"/>
        <v>#REF!</v>
      </c>
      <c r="BS491" t="e">
        <f t="shared" si="383"/>
        <v>#REF!</v>
      </c>
      <c r="BT491" t="e">
        <f t="shared" si="383"/>
        <v>#REF!</v>
      </c>
      <c r="BU491" t="e">
        <f t="shared" si="383"/>
        <v>#REF!</v>
      </c>
      <c r="BV491" t="e">
        <f t="shared" si="383"/>
        <v>#REF!</v>
      </c>
      <c r="BW491" t="e">
        <f t="shared" si="383"/>
        <v>#REF!</v>
      </c>
      <c r="BX491" t="e">
        <f t="shared" si="383"/>
        <v>#REF!</v>
      </c>
      <c r="BY491" t="e">
        <f t="shared" si="383"/>
        <v>#REF!</v>
      </c>
      <c r="BZ491" t="e">
        <f t="shared" si="383"/>
        <v>#REF!</v>
      </c>
      <c r="CA491" t="e">
        <f t="shared" si="383"/>
        <v>#REF!</v>
      </c>
      <c r="CB491" t="e">
        <f t="shared" si="383"/>
        <v>#REF!</v>
      </c>
      <c r="CC491" t="e">
        <f t="shared" si="383"/>
        <v>#REF!</v>
      </c>
      <c r="CD491" t="e">
        <f t="shared" si="383"/>
        <v>#REF!</v>
      </c>
      <c r="CE491" t="e">
        <f t="shared" si="383"/>
        <v>#REF!</v>
      </c>
      <c r="CF491" t="e">
        <f t="shared" si="383"/>
        <v>#REF!</v>
      </c>
      <c r="CG491" t="e">
        <f t="shared" si="383"/>
        <v>#REF!</v>
      </c>
      <c r="CH491" t="e">
        <f t="shared" si="383"/>
        <v>#REF!</v>
      </c>
      <c r="CI491" t="e">
        <f t="shared" si="383"/>
        <v>#REF!</v>
      </c>
      <c r="CJ491" t="e">
        <f t="shared" si="383"/>
        <v>#REF!</v>
      </c>
    </row>
    <row r="492" spans="62:88">
      <c r="BJ492" s="485"/>
      <c r="BK492" s="113" t="s">
        <v>348</v>
      </c>
      <c r="BL492" t="e">
        <f t="shared" si="382"/>
        <v>#REF!</v>
      </c>
      <c r="BM492" t="e">
        <f t="shared" si="383"/>
        <v>#REF!</v>
      </c>
      <c r="BN492" t="e">
        <f t="shared" si="383"/>
        <v>#REF!</v>
      </c>
      <c r="BO492" t="e">
        <f t="shared" si="383"/>
        <v>#REF!</v>
      </c>
      <c r="BP492" t="e">
        <f t="shared" si="383"/>
        <v>#REF!</v>
      </c>
      <c r="BQ492" t="e">
        <f t="shared" si="383"/>
        <v>#REF!</v>
      </c>
      <c r="BR492" t="e">
        <f t="shared" si="383"/>
        <v>#REF!</v>
      </c>
      <c r="BS492" t="e">
        <f t="shared" si="383"/>
        <v>#REF!</v>
      </c>
      <c r="BT492" t="e">
        <f t="shared" si="383"/>
        <v>#REF!</v>
      </c>
      <c r="BU492" t="e">
        <f t="shared" si="383"/>
        <v>#REF!</v>
      </c>
      <c r="BV492" t="e">
        <f t="shared" si="383"/>
        <v>#REF!</v>
      </c>
      <c r="BW492" t="e">
        <f t="shared" si="383"/>
        <v>#REF!</v>
      </c>
      <c r="BX492" t="e">
        <f t="shared" si="383"/>
        <v>#REF!</v>
      </c>
      <c r="BY492" t="e">
        <f t="shared" si="383"/>
        <v>#REF!</v>
      </c>
      <c r="BZ492" t="e">
        <f t="shared" si="383"/>
        <v>#REF!</v>
      </c>
      <c r="CA492" t="e">
        <f t="shared" si="383"/>
        <v>#REF!</v>
      </c>
      <c r="CB492" t="e">
        <f t="shared" si="383"/>
        <v>#REF!</v>
      </c>
      <c r="CC492" t="e">
        <f t="shared" si="383"/>
        <v>#REF!</v>
      </c>
      <c r="CD492" t="e">
        <f t="shared" si="383"/>
        <v>#REF!</v>
      </c>
      <c r="CE492" t="e">
        <f t="shared" si="383"/>
        <v>#REF!</v>
      </c>
      <c r="CF492" t="e">
        <f t="shared" si="383"/>
        <v>#REF!</v>
      </c>
      <c r="CG492" t="e">
        <f t="shared" si="383"/>
        <v>#REF!</v>
      </c>
      <c r="CH492" t="e">
        <f t="shared" si="383"/>
        <v>#REF!</v>
      </c>
      <c r="CI492" t="e">
        <f t="shared" si="383"/>
        <v>#REF!</v>
      </c>
      <c r="CJ492" t="e">
        <f t="shared" si="383"/>
        <v>#REF!</v>
      </c>
    </row>
    <row r="493" spans="62:88">
      <c r="BJ493" s="485"/>
      <c r="BK493" s="113" t="s">
        <v>349</v>
      </c>
      <c r="BL493" t="e">
        <f t="shared" si="382"/>
        <v>#REF!</v>
      </c>
      <c r="BM493" t="e">
        <f t="shared" si="383"/>
        <v>#REF!</v>
      </c>
      <c r="BN493" t="e">
        <f t="shared" si="383"/>
        <v>#REF!</v>
      </c>
      <c r="BO493" t="e">
        <f t="shared" si="383"/>
        <v>#REF!</v>
      </c>
      <c r="BP493" t="e">
        <f t="shared" si="383"/>
        <v>#REF!</v>
      </c>
      <c r="BQ493" t="e">
        <f t="shared" si="383"/>
        <v>#REF!</v>
      </c>
      <c r="BR493" t="e">
        <f t="shared" si="383"/>
        <v>#REF!</v>
      </c>
      <c r="BS493" t="e">
        <f t="shared" si="383"/>
        <v>#REF!</v>
      </c>
      <c r="BT493" t="e">
        <f t="shared" si="383"/>
        <v>#REF!</v>
      </c>
      <c r="BU493" t="e">
        <f t="shared" si="383"/>
        <v>#REF!</v>
      </c>
      <c r="BV493" t="e">
        <f t="shared" si="383"/>
        <v>#REF!</v>
      </c>
      <c r="BW493" t="e">
        <f t="shared" si="383"/>
        <v>#REF!</v>
      </c>
      <c r="BX493" t="e">
        <f t="shared" si="383"/>
        <v>#REF!</v>
      </c>
      <c r="BY493" t="e">
        <f t="shared" si="383"/>
        <v>#REF!</v>
      </c>
      <c r="BZ493" t="e">
        <f t="shared" si="383"/>
        <v>#REF!</v>
      </c>
      <c r="CA493" t="e">
        <f t="shared" si="383"/>
        <v>#REF!</v>
      </c>
      <c r="CB493" t="e">
        <f t="shared" si="383"/>
        <v>#REF!</v>
      </c>
      <c r="CC493" t="e">
        <f t="shared" si="383"/>
        <v>#REF!</v>
      </c>
      <c r="CD493" t="e">
        <f t="shared" si="383"/>
        <v>#REF!</v>
      </c>
      <c r="CE493" t="e">
        <f t="shared" si="383"/>
        <v>#REF!</v>
      </c>
      <c r="CF493" t="e">
        <f t="shared" si="383"/>
        <v>#REF!</v>
      </c>
      <c r="CG493" t="e">
        <f t="shared" si="383"/>
        <v>#REF!</v>
      </c>
      <c r="CH493" t="e">
        <f t="shared" si="383"/>
        <v>#REF!</v>
      </c>
      <c r="CI493" t="e">
        <f t="shared" si="383"/>
        <v>#REF!</v>
      </c>
      <c r="CJ493" t="e">
        <f t="shared" si="383"/>
        <v>#REF!</v>
      </c>
    </row>
    <row r="494" spans="62:88">
      <c r="BJ494" s="485"/>
      <c r="BK494" s="113" t="s">
        <v>246</v>
      </c>
      <c r="BL494">
        <f>AH324*($AI$256/100*$AP$256+$AI$255/100*$AP$255)</f>
        <v>0</v>
      </c>
      <c r="BM494">
        <f t="shared" ref="BM494:CJ494" si="384">AI324*($AI$256/100*$AP$256+$AI$255/100*$AP$255)</f>
        <v>0</v>
      </c>
      <c r="BN494">
        <f t="shared" si="384"/>
        <v>0</v>
      </c>
      <c r="BO494">
        <f t="shared" si="384"/>
        <v>0</v>
      </c>
      <c r="BP494">
        <f t="shared" si="384"/>
        <v>7116.7910593679053</v>
      </c>
      <c r="BQ494">
        <f t="shared" si="384"/>
        <v>58333.455101738269</v>
      </c>
      <c r="BR494">
        <f t="shared" si="384"/>
        <v>84526.54050901116</v>
      </c>
      <c r="BS494">
        <f t="shared" si="384"/>
        <v>97084.655228224598</v>
      </c>
      <c r="BT494">
        <f t="shared" si="384"/>
        <v>41570.174588997688</v>
      </c>
      <c r="BU494">
        <f t="shared" si="384"/>
        <v>39098.291285342893</v>
      </c>
      <c r="BV494">
        <f t="shared" si="384"/>
        <v>38688.06820228701</v>
      </c>
      <c r="BW494">
        <f t="shared" si="384"/>
        <v>37646.505023327765</v>
      </c>
      <c r="BX494">
        <f t="shared" si="384"/>
        <v>37201.177090388745</v>
      </c>
      <c r="BY494">
        <f t="shared" si="384"/>
        <v>26725.469333232311</v>
      </c>
      <c r="BZ494">
        <f t="shared" si="384"/>
        <v>20399.757395377786</v>
      </c>
      <c r="CA494">
        <f t="shared" si="384"/>
        <v>13557.978370623914</v>
      </c>
      <c r="CB494">
        <f t="shared" si="384"/>
        <v>13222.571173171002</v>
      </c>
      <c r="CC494">
        <f t="shared" si="384"/>
        <v>12569.635120443492</v>
      </c>
      <c r="CD494">
        <f t="shared" si="384"/>
        <v>12148.944518001383</v>
      </c>
      <c r="CE494">
        <f t="shared" si="384"/>
        <v>11826.2218496154</v>
      </c>
      <c r="CF494">
        <f t="shared" si="384"/>
        <v>11541.636171981419</v>
      </c>
      <c r="CG494">
        <f t="shared" si="384"/>
        <v>11259.513704054954</v>
      </c>
      <c r="CH494">
        <f t="shared" si="384"/>
        <v>10983.258320358578</v>
      </c>
      <c r="CI494">
        <f t="shared" si="384"/>
        <v>10712.28257860749</v>
      </c>
      <c r="CJ494">
        <f t="shared" si="384"/>
        <v>10448.104934147499</v>
      </c>
    </row>
  </sheetData>
  <mergeCells count="36">
    <mergeCell ref="A254:A262"/>
    <mergeCell ref="A105:A120"/>
    <mergeCell ref="BJ456:BJ475"/>
    <mergeCell ref="BJ476:BJ494"/>
    <mergeCell ref="A289:A297"/>
    <mergeCell ref="AG243:AG252"/>
    <mergeCell ref="AG254:AG260"/>
    <mergeCell ref="AG262:AG269"/>
    <mergeCell ref="AG271:AG277"/>
    <mergeCell ref="AG280:AG284"/>
    <mergeCell ref="AF286:AG286"/>
    <mergeCell ref="A265:A273"/>
    <mergeCell ref="A276:A284"/>
    <mergeCell ref="AF296:AG296"/>
    <mergeCell ref="AF306:AG306"/>
    <mergeCell ref="A122:A167"/>
    <mergeCell ref="A169:A204"/>
    <mergeCell ref="AF122:AF167"/>
    <mergeCell ref="AF169:AF214"/>
    <mergeCell ref="A1:A16"/>
    <mergeCell ref="A18:A33"/>
    <mergeCell ref="A35:A50"/>
    <mergeCell ref="A207:A253"/>
    <mergeCell ref="AF35:AF50"/>
    <mergeCell ref="A52:A68"/>
    <mergeCell ref="A70:A86"/>
    <mergeCell ref="A88:A103"/>
    <mergeCell ref="AF88:AF103"/>
    <mergeCell ref="AU77:AU79"/>
    <mergeCell ref="AF316:AG316"/>
    <mergeCell ref="AF326:AG326"/>
    <mergeCell ref="AQ77:AQ79"/>
    <mergeCell ref="AR77:AR79"/>
    <mergeCell ref="AS77:AS79"/>
    <mergeCell ref="AT77:AT79"/>
    <mergeCell ref="AF105:AF12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adf513-09a8-4850-8ad5-7ab91760ab77">
      <Terms xmlns="http://schemas.microsoft.com/office/infopath/2007/PartnerControls"/>
    </lcf76f155ced4ddcb4097134ff3c332f>
    <TaxCatchAll xmlns="f01af37b-b357-48b0-a576-b64b7e6d7c4b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72601200F3D046825A75DF5A6E819F" ma:contentTypeVersion="19" ma:contentTypeDescription="Create a new document." ma:contentTypeScope="" ma:versionID="c06e79ab0d0d9d4d928516ff286296bb">
  <xsd:schema xmlns:xsd="http://www.w3.org/2001/XMLSchema" xmlns:xs="http://www.w3.org/2001/XMLSchema" xmlns:p="http://schemas.microsoft.com/office/2006/metadata/properties" xmlns:ns1="http://schemas.microsoft.com/sharepoint/v3" xmlns:ns2="79adf513-09a8-4850-8ad5-7ab91760ab77" xmlns:ns3="f01af37b-b357-48b0-a576-b64b7e6d7c4b" targetNamespace="http://schemas.microsoft.com/office/2006/metadata/properties" ma:root="true" ma:fieldsID="1ed509ff0e976b17257003d3da45d209" ns1:_="" ns2:_="" ns3:_="">
    <xsd:import namespace="http://schemas.microsoft.com/sharepoint/v3"/>
    <xsd:import namespace="79adf513-09a8-4850-8ad5-7ab91760ab77"/>
    <xsd:import namespace="f01af37b-b357-48b0-a576-b64b7e6d7c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adf513-09a8-4850-8ad5-7ab91760ab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5073050-3fd1-4e92-a2b5-a3b9c7057e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1af37b-b357-48b0-a576-b64b7e6d7c4b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bd36659e-3135-4dd3-8b42-93ada21b5fbd}" ma:internalName="TaxCatchAll" ma:showField="CatchAllData" ma:web="f01af37b-b357-48b0-a576-b64b7e6d7c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11B139-7C8A-456A-8E51-DA2FB341A130}"/>
</file>

<file path=customXml/itemProps2.xml><?xml version="1.0" encoding="utf-8"?>
<ds:datastoreItem xmlns:ds="http://schemas.openxmlformats.org/officeDocument/2006/customXml" ds:itemID="{A94890BF-CA81-43E6-A2D6-CE0860F20013}"/>
</file>

<file path=customXml/itemProps3.xml><?xml version="1.0" encoding="utf-8"?>
<ds:datastoreItem xmlns:ds="http://schemas.openxmlformats.org/officeDocument/2006/customXml" ds:itemID="{EC831125-AD94-4431-9AF8-2679345179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CARB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15 Day Proposed Air Quality Emission Calculation</dc:title>
  <dc:subject/>
  <dc:creator>Firas A.Sneneh;dillon.miner@arb.ca.gov</dc:creator>
  <cp:keywords/>
  <dc:description/>
  <cp:lastModifiedBy/>
  <cp:revision/>
  <dcterms:created xsi:type="dcterms:W3CDTF">2017-07-12T17:01:49Z</dcterms:created>
  <dcterms:modified xsi:type="dcterms:W3CDTF">2024-08-12T23:25:24Z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0x010100FF72601200F3D046825A75DF5A6E819F</vt:lpwstr>
  </property>
  <property fmtid="{D5CDD505-2E9C-101B-9397-08002B2CF9AE}" pid="3" name="MediaServiceImageTags">
    <vt:lpwstr/>
  </property>
</Properties>
</file>